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ustomProperty1.bin" ContentType="application/vnd.openxmlformats-officedocument.spreadsheetml.customProperty"/>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drawings/drawing5.xml" ContentType="application/vnd.openxmlformats-officedocument.drawing+xml"/>
  <Override PartName="/xl/comments1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catrockcap.sharepoint.com/sites/allstaff/Shared Documents/Portfolio/Work/AI/Technical Case Materials/Technical Case Questions/Technical Case Question 1/4Q24/Models/"/>
    </mc:Choice>
  </mc:AlternateContent>
  <xr:revisionPtr revIDLastSave="8" documentId="8_{A93248E1-E52C-47AD-9CEE-127C592A230B}" xr6:coauthVersionLast="47" xr6:coauthVersionMax="47" xr10:uidLastSave="{3C184AE0-DE72-4DA7-ADC8-47180D243C09}"/>
  <bookViews>
    <workbookView xWindow="-110" yWindow="-110" windowWidth="19420" windowHeight="11500" firstSheet="2" activeTab="2" xr2:uid="{48310C70-86AB-49BB-A89C-8C349BC4EE26}"/>
  </bookViews>
  <sheets>
    <sheet name="__snloffice" sheetId="1804" state="veryHidden" r:id="rId1"/>
    <sheet name="_CIQHiddenCacheSheet" sheetId="1803" state="veryHidden" r:id="rId2"/>
    <sheet name="PF FA STER Simple" sheetId="1809" r:id="rId3"/>
    <sheet name="PF Combined Historical Fin" sheetId="1821" r:id="rId4"/>
    <sheet name="PF Basic Historical Fin" sheetId="1810" r:id="rId5"/>
    <sheet name="PF interest" sheetId="1815" r:id="rId6"/>
    <sheet name="Separater Page  1" sheetId="1820" r:id="rId7"/>
    <sheet name="FA Base" sheetId="155" r:id="rId8"/>
    <sheet name="FA - Historical Financials" sheetId="121" r:id="rId9"/>
    <sheet name="FA - Detailed Disclosure" sheetId="1554" r:id="rId10"/>
    <sheet name="Separater Page  2" sheetId="1817" r:id="rId11"/>
    <sheet name="STER - Historical Financials" sheetId="1814" r:id="rId12"/>
    <sheet name="STER - Detailed Disclosure (mm)" sheetId="1813" r:id="rId13"/>
    <sheet name="Separater Page  3" sheetId="1819" r:id="rId14"/>
    <sheet name="Peer benchmarking" sheetId="1583" r:id="rId15"/>
    <sheet name="Guidance Commentary" sheetId="1805" r:id="rId16"/>
    <sheet name="PF STER Capitalization" sheetId="1808" r:id="rId17"/>
    <sheet name="Upside" sheetId="1807" r:id="rId18"/>
    <sheet name="Risk" sheetId="1711" r:id="rId19"/>
    <sheet name="STER Detailed Disclosure" sheetId="1811" r:id="rId20"/>
    <sheet name="STER Canalyst" sheetId="1812" r:id="rId21"/>
    <sheet name="Rates" sheetId="1806" r:id="rId22"/>
    <sheet name="Super Risk" sheetId="1712" r:id="rId23"/>
    <sheet name="Simple Model (Risk)" sheetId="1535" r:id="rId24"/>
    <sheet name="Simple Model (Super Risk)" sheetId="1538" r:id="rId25"/>
    <sheet name="Silverlake return" sheetId="1579" r:id="rId26"/>
    <sheet name="Recession Historicals" sheetId="1545" r:id="rId27"/>
    <sheet name="Macro Build" sheetId="1619" r:id="rId28"/>
    <sheet name="Shares Outstanding" sheetId="1425" r:id="rId29"/>
    <sheet name="BLS Hires" sheetId="1528" r:id="rId30"/>
    <sheet name="BLS Hires vs. FA" sheetId="1518" r:id="rId31"/>
    <sheet name="Daloopa" sheetId="1555" r:id="rId32"/>
    <sheet name="JPM" sheetId="1541" r:id="rId33"/>
  </sheets>
  <externalReferences>
    <externalReference r:id="rId34"/>
    <externalReference r:id="rId35"/>
    <externalReference r:id="rId36"/>
  </externalReferences>
  <definedNames>
    <definedName name="AA.AlternatePriceSourceStartPeriod">"Q3-2021"</definedName>
    <definedName name="AA.CIK">"1645070"</definedName>
    <definedName name="AA.ColorizerVersion">"2.0.4.0"</definedName>
    <definedName name="AA.CSIN">"G2JL860106"</definedName>
    <definedName name="AA.CurationVersion">"2023.11.1.0"</definedName>
    <definedName name="AA.DBMacroVersion">"1.0.12.0"</definedName>
    <definedName name="AA.FreeCashFlow">"TRUE"</definedName>
    <definedName name="AA.ModelChecks.LatestMRQ">"Q3-2021"</definedName>
    <definedName name="AA.ModelChecks.LatestVersionNumber">"2.38.4.0"</definedName>
    <definedName name="AA.ModelColorScheme">"Classic"</definedName>
    <definedName name="AA.ModelColumnOrder">"QQFYFY"</definedName>
    <definedName name="AA.ModelVersion">"Q2-2024.21"</definedName>
    <definedName name="AA.NonLibraryWideCurationVersion">"4"</definedName>
    <definedName name="AA.PartialUpdate.BsAvailable">"TRUE"</definedName>
    <definedName name="AA.PartialUpdate.CfsAvailable">"TRUE"</definedName>
    <definedName name="AA.PartialUpdate.IsAvailable">"TRUE"</definedName>
    <definedName name="AA.PeriodGrouperVersion">"3.0.4.0"</definedName>
    <definedName name="AA.PeriodLayout">"QFY"</definedName>
    <definedName name="AA.RowNameEnforcerVersion">"2023.11.1.0"</definedName>
    <definedName name="AA.SessionToUploadId">""</definedName>
    <definedName name="AA.StartWorkModelVersion">"Q1-2024.23"</definedName>
    <definedName name="AA.StartWorkType">""</definedName>
    <definedName name="AA.SubyearType">"Q"</definedName>
    <definedName name="AA.TemplateUpgradeAttempted">"TRUE"</definedName>
    <definedName name="AA.TemplateVersion">"7.5.1.0"</definedName>
    <definedName name="AA.UpdateType">"Regular"</definedName>
    <definedName name="CIQWBGuid" hidden="1">"bdbd3e0b-bdf9-4507-b701-e8cead8baf94"</definedName>
    <definedName name="CIQWBInfo" hidden="1">"{ ""CIQVersion"":""9.45.614.5792"" }"</definedName>
    <definedName name="FP.DataSourceName">'[1]Front Page'!$H$15</definedName>
    <definedName name="FP.LastPrice">'[1]Front Page'!$H$20</definedName>
    <definedName name="FP.LastPriceDate">'[1]Front Page'!$F$20</definedName>
    <definedName name="FP.RealTimeToggle">'[1]Front Page'!$H$18</definedName>
    <definedName name="FP.UpdateEvent">'[1]Front Page'!$H$13</definedName>
    <definedName name="HP.MRFX">'STER Canalyst'!$B$759</definedName>
    <definedName name="HP.ReportCurrency">'STER Canalyst'!$B$758</definedName>
    <definedName name="HP.Ticker">'STER Canalyst'!$A$2</definedName>
    <definedName name="HP.TradeCurrency">'STER Canalyst'!$B$756</definedName>
    <definedName name="HP.TradeCurrency.HardCoded">'STER Canalyst'!$B$757</definedName>
    <definedName name="IPO.DiscreteFees">[1]IPO!$C$27</definedName>
    <definedName name="IPO.Period">[1]IPO!$C$4</definedName>
    <definedName name="IPO.Price">[1]IPO!$C$9</definedName>
    <definedName name="IPO.ProceedsInclOverallotment">[1]IPO!$C$25</definedName>
    <definedName name="IPO.TradingDate">[1]IPO!$C$5</definedName>
    <definedName name="IPO_tb_ValuationMultiplesToggle">[1]IPO!$A$105:$A$107</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29" hidden="1">44767.5554050926</definedName>
    <definedName name="IQ_NAMES_REVISION_DATE_" hidden="1">44767.4675462963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B_BOOKMARK_COUNT" hidden="1">0</definedName>
    <definedName name="MO.ApplyTradeCurrencyScaling">'STER Canalyst'!$B$755</definedName>
    <definedName name="MO.CFY">'STER Canalyst'!$B$763</definedName>
    <definedName name="MO.CompanyName">'STER Canalyst'!$A$1</definedName>
    <definedName name="MO.DataSourceIndex">'STER Canalyst'!$B$766</definedName>
    <definedName name="MO.DataSourceName">'STER Canalyst'!$A$4</definedName>
    <definedName name="MO.FirstForecastedFiscalYear">'STER Canalyst'!$B$764</definedName>
    <definedName name="MO.KPI.1">'STER Canalyst'!$A$685</definedName>
    <definedName name="MO.KPI.2">'STER Canalyst'!$A$686</definedName>
    <definedName name="MO.KPI.3">'STER Canalyst'!$A$687</definedName>
    <definedName name="MO.KPI.4">'STER Canalyst'!$A$688</definedName>
    <definedName name="MO.KPI.5">'STER Canalyst'!$A$689</definedName>
    <definedName name="MO.KPI.Count">'STER Canalyst'!$B$765</definedName>
    <definedName name="MO.LastPrice">'STER Canalyst'!$B$3</definedName>
    <definedName name="MO.LastPriceDate">'STER Canalyst'!$B$752</definedName>
    <definedName name="MO.LastPriceFormula">'STER Canalyst'!$B$754</definedName>
    <definedName name="MO.LastPriceHardcoded">'STER Canalyst'!$B$751</definedName>
    <definedName name="MO.MRFP">'STER Canalyst'!$B$762</definedName>
    <definedName name="MO.MRFPColumnNumber">'STER Canalyst'!$B$761</definedName>
    <definedName name="MO.MRFX.Hardcoded">'STER Canalyst'!$B$760</definedName>
    <definedName name="MO.RealTime">'STER Canalyst'!$B$4</definedName>
    <definedName name="MO.RealTimeStockPriceToggle">'STER Canalyst'!$B$753</definedName>
    <definedName name="MO.ReportCurrency">'STER Canalyst'!$B$758</definedName>
    <definedName name="MO.ReportFX">'STER Canalyst'!$A$5</definedName>
    <definedName name="MO.Ticker">'STER Canalyst'!$A$2</definedName>
    <definedName name="MO.Ticker.Bloomberg">'STER Canalyst'!$A$665</definedName>
    <definedName name="MO.Ticker.Canalyst">'STER Canalyst'!$A$664</definedName>
    <definedName name="MO.Ticker.CapIQ">'STER Canalyst'!$A$666</definedName>
    <definedName name="MO.Ticker.FactSet">'STER Canalyst'!$A$667</definedName>
    <definedName name="MO.Ticker.Thomson">'STER Canalyst'!$A$668</definedName>
    <definedName name="MO.TradingCurrency">'STER Canalyst'!$A$3</definedName>
    <definedName name="MO.ValuationToggle">'STER Canalyst'!$B$398</definedName>
    <definedName name="MO_AN_DA">'STER Canalyst'!$174:$174</definedName>
    <definedName name="MO_AN_EBITDA_Adj">'STER Canalyst'!$150:$150</definedName>
    <definedName name="MO_AN_EBT_Adj">'STER Canalyst'!$164:$164</definedName>
    <definedName name="MO_AN_NI_NONGAAP_Diluted">'STER Canalyst'!$166:$166</definedName>
    <definedName name="MO_BS_AE">'STER Canalyst'!$613:$613</definedName>
    <definedName name="MO_BS_AP">'STER Canalyst'!$611:$611</definedName>
    <definedName name="MO_BS_AR">'STER Canalyst'!$593:$593</definedName>
    <definedName name="MO_BS_CA">'STER Canalyst'!$598:$598</definedName>
    <definedName name="MO_BS_Cash">'STER Canalyst'!$592:$592</definedName>
    <definedName name="MO_BS_CL">'STER Canalyst'!$618:$618</definedName>
    <definedName name="MO_BS_CommonStock">'STER Canalyst'!$629:$629</definedName>
    <definedName name="MO_BS_ContributedSurplus">'STER Canalyst'!$630:$630</definedName>
    <definedName name="MO_BS_Goodwill">'STER Canalyst'!$602:$602</definedName>
    <definedName name="MO_BS_Intangibles">'STER Canalyst'!$603:$603</definedName>
    <definedName name="MO_BS_NCA">'STER Canalyst'!$607:$607</definedName>
    <definedName name="MO_BS_NCI">'STER Canalyst'!$635:$635</definedName>
    <definedName name="MO_BS_NCL">'STER Canalyst'!$625:$625</definedName>
    <definedName name="MO_BS_OCI">'STER Canalyst'!$633:$633</definedName>
    <definedName name="MO_BS_OL_Current">'STER Canalyst'!$615:$615</definedName>
    <definedName name="MO_BS_OL_NonCurrent">'STER Canalyst'!$623:$623</definedName>
    <definedName name="MO_BS_PPE">'STER Canalyst'!$601:$601</definedName>
    <definedName name="MO_BS_PrepaidExpenses">'STER Canalyst'!$595:$595</definedName>
    <definedName name="MO_BS_RetainedEarnings">'STER Canalyst'!$632:$632</definedName>
    <definedName name="MO_BS_ROU">'STER Canalyst'!$605:$605</definedName>
    <definedName name="MO_BS_SE">'STER Canalyst'!$634:$634</definedName>
    <definedName name="MO_BS_TA">'STER Canalyst'!$608:$608</definedName>
    <definedName name="MO_BS_TaxAssets_Deferred_NonCurrent">'STER Canalyst'!$604:$604</definedName>
    <definedName name="MO_BS_TaxLiabilities_Deferred_NonCurrent">'STER Canalyst'!$622:$622</definedName>
    <definedName name="MO_BS_TL">'STER Canalyst'!$626:$626</definedName>
    <definedName name="MO_BS_TLSE">'STER Canalyst'!$636:$636</definedName>
    <definedName name="MO_BS_TreasuryStock">'STER Canalyst'!$631:$631</definedName>
    <definedName name="MO_BSS_Cash">'STER Canalyst'!$379:$379</definedName>
    <definedName name="MO_BSS_Debt">'STER Canalyst'!$382:$382</definedName>
    <definedName name="MO_BSS_Debt_LT">'STER Canalyst'!$381:$381</definedName>
    <definedName name="MO_BSS_Debt_Net">'STER Canalyst'!$384:$384</definedName>
    <definedName name="MO_BSS_Debt_ST">'STER Canalyst'!$380:$380</definedName>
    <definedName name="MO_BSS_Debt_ToCF">'STER Canalyst'!$395:$395</definedName>
    <definedName name="MO_BSS_Debt_ToEBITDA">'STER Canalyst'!$394:$394</definedName>
    <definedName name="MO_BSS_IE">'STER Canalyst'!$386:$386</definedName>
    <definedName name="MO_BSS_IE_Net">'STER Canalyst'!$390:$390</definedName>
    <definedName name="MO_BSS_II">'STER Canalyst'!$388:$388</definedName>
    <definedName name="MO_BSS_InterestRate_Cash">'STER Canalyst'!$389:$389</definedName>
    <definedName name="MO_BSS_InterestRate_Debt">'STER Canalyst'!$387:$387</definedName>
    <definedName name="MO_BSS_NetInterestCoverage">'STER Canalyst'!$393:$393</definedName>
    <definedName name="MO_BSS_NetInterestRate_Debt">'STER Canalyst'!$391:$391</definedName>
    <definedName name="MO_BSS_OL">'STER Canalyst'!$383:$383</definedName>
    <definedName name="MO_CCFS_Balance_Begin">'STER Canalyst'!$482:$482</definedName>
    <definedName name="MO_CCFS_Balance_End">'STER Canalyst'!$483:$483</definedName>
    <definedName name="MO_CCFS_CFF">'STER Canalyst'!$477:$477</definedName>
    <definedName name="MO_CCFS_CFI">'STER Canalyst'!$457:$457</definedName>
    <definedName name="MO_CCFS_CFO">'STER Canalyst'!$449:$449</definedName>
    <definedName name="MO_CCFS_CFO_BeforeWC">'STER Canalyst'!$440:$440</definedName>
    <definedName name="MO_CCFS_FX">'STER Canalyst'!$479:$479</definedName>
    <definedName name="MO_CCFS_NetChange">'STER Canalyst'!$480:$480</definedName>
    <definedName name="MO_CCFS_Sup_CashInterest">'STER Canalyst'!$485:$485</definedName>
    <definedName name="MO_CCFS_Sup_CashTax">'STER Canalyst'!$486:$486</definedName>
    <definedName name="MO_CFS_Balance_Begin">'STER Canalyst'!$549:$549</definedName>
    <definedName name="MO_CFS_Balance_End">'STER Canalyst'!$550:$550</definedName>
    <definedName name="MO_CFS_Buyback">'STER Canalyst'!$534:$534</definedName>
    <definedName name="MO_CFS_CFF">'STER Canalyst'!$544:$544</definedName>
    <definedName name="MO_CFS_CFI">'STER Canalyst'!$524:$524</definedName>
    <definedName name="MO_CFS_CFO">'STER Canalyst'!$516:$516</definedName>
    <definedName name="MO_CFS_CFO_BeforeWC">'STER Canalyst'!$507:$507</definedName>
    <definedName name="MO_CFS_DA">'STER Canalyst'!$492:$492</definedName>
    <definedName name="MO_CFS_DeferredTax">'STER Canalyst'!$493:$493</definedName>
    <definedName name="MO_CFS_Dividend">'STER Canalyst'!$543:$543</definedName>
    <definedName name="MO_CFS_FX">'STER Canalyst'!$546:$546</definedName>
    <definedName name="MO_CFS_Impairment">'STER Canalyst'!$495:$495</definedName>
    <definedName name="MO_CFS_NetChange">'STER Canalyst'!$547:$547</definedName>
    <definedName name="MO_CFS_NewEquityIssued">'STER Canalyst'!$527:$527</definedName>
    <definedName name="MO_CFS_NI">'STER Canalyst'!$490:$490</definedName>
    <definedName name="MO_CFS_SBC">'STER Canalyst'!$494:$494</definedName>
    <definedName name="MO_CFS_Sup_CashInterest">'STER Canalyst'!$552:$552</definedName>
    <definedName name="MO_CFS_Sup_CashTax">'STER Canalyst'!$553:$553</definedName>
    <definedName name="MO_CFS_WC_AE">'STER Canalyst'!$514:$514</definedName>
    <definedName name="MO_CFS_WC_AP">'STER Canalyst'!$512:$512</definedName>
    <definedName name="MO_CFS_WC_AR">'STER Canalyst'!$508:$508</definedName>
    <definedName name="MO_CFS_WC_PrepaidExpenses">'STER Canalyst'!$510:$510</definedName>
    <definedName name="MO_CFSum_Acquisition">'STER Canalyst'!$360:$360</definedName>
    <definedName name="MO_CFSum_Capex">'STER Canalyst'!$358:$358</definedName>
    <definedName name="MO_CFSum_CFO">'STER Canalyst'!$354:$354</definedName>
    <definedName name="MO_CFSum_CFO_BeforeWC">'STER Canalyst'!$352:$352</definedName>
    <definedName name="MO_CFSum_CFOPS">'STER Canalyst'!$356:$356</definedName>
    <definedName name="MO_CFSum_CFOPS_BeforeWC">'STER Canalyst'!$355:$355</definedName>
    <definedName name="MO_CFSum_CFPS">'STER Canalyst'!$356:$356</definedName>
    <definedName name="MO_CFSum_ChangeInWC">'STER Canalyst'!$353:$353</definedName>
    <definedName name="MO_CFSum_Divestiture">'STER Canalyst'!$361:$361</definedName>
    <definedName name="MO_CFSum_Dividend">'STER Canalyst'!$362:$362</definedName>
    <definedName name="MO_CFSum_DPS">'STER Canalyst'!$363:$363</definedName>
    <definedName name="MO_CFSum_FCF_PostDivPostAD">'STER Canalyst'!$371:$371</definedName>
    <definedName name="MO_CFSum_FCF_PostDivPostADPostDebtPostBuyback">'STER Canalyst'!$372:$372</definedName>
    <definedName name="MO_CFSum_FCF_PostDivPreAD">'STER Canalyst'!$370:$370</definedName>
    <definedName name="MO_CFSum_FCF_PostWCPostDivPostAD">'STER Canalyst'!$375:$375</definedName>
    <definedName name="MO_CFSum_FCF_PostWCPostDivPostADPostDebtPostBuyback">'STER Canalyst'!$376:$376</definedName>
    <definedName name="MO_CFSum_FCF_PostWCPostDivPreAD">'STER Canalyst'!$374:$374</definedName>
    <definedName name="MO_CFSum_FCF_PostWCPreDiv">'STER Canalyst'!$373:$373</definedName>
    <definedName name="MO_CFSum_FCF_PreDiv">'STER Canalyst'!$369:$369</definedName>
    <definedName name="MO_CFSum_NetDebtIssuance">'STER Canalyst'!$365:$365</definedName>
    <definedName name="MO_CFSum_NetShares">'STER Canalyst'!$366:$366</definedName>
    <definedName name="MO_CFSum_NetShares_Price">'STER Canalyst'!$367:$367</definedName>
    <definedName name="MO_Checks_Bottom">'STER Canalyst'!$AR$641:$BL$659</definedName>
    <definedName name="MO_Checks_BS">'STER Canalyst'!$638:$638</definedName>
    <definedName name="MO_Checks_CF">'STER Canalyst'!$555:$555</definedName>
    <definedName name="MO_Checks_IS">'STER Canalyst'!$135:$135</definedName>
    <definedName name="MO_Common_Column_A">'STER Canalyst'!$A:$A</definedName>
    <definedName name="MO_Common_Column_B">'STER Canalyst'!$B:$B</definedName>
    <definedName name="MO_Common_ColumnHeader">'STER Canalyst'!$5:$5</definedName>
    <definedName name="MO_Common_CompanySubtitle">'STER Canalyst'!$2:$2</definedName>
    <definedName name="MO_Common_CompanyTitle">'STER Canalyst'!$1:$1</definedName>
    <definedName name="MO_Common_FPDays">'STER Canalyst'!$3:$3</definedName>
    <definedName name="MO_Common_QEndDate">'STER Canalyst'!$4:$4</definedName>
    <definedName name="MO_Common_QEndDate_LWD">'STER Canalyst'!$745:$745</definedName>
    <definedName name="MO_DAF_A">'STER Canalyst'!$565:$565</definedName>
    <definedName name="MO_DAF_A_Percentage">'STER Canalyst'!$571:$571</definedName>
    <definedName name="MO_DAF_Capex">'STER Canalyst'!$576:$576</definedName>
    <definedName name="MO_DAF_D">'STER Canalyst'!$559:$559</definedName>
    <definedName name="MO_DAF_D_Percentage">'STER Canalyst'!$570:$570</definedName>
    <definedName name="MO_DAF_DA">'STER Canalyst'!$575:$575</definedName>
    <definedName name="MO_DAF_Intangibles_BoP">'STER Canalyst'!$564:$564</definedName>
    <definedName name="MO_DAF_Intangibles_Capex">'STER Canalyst'!$566:$566</definedName>
    <definedName name="MO_DAF_Intangibles_Capex_Percent">'STER Canalyst'!$577:$577</definedName>
    <definedName name="MO_DAF_Intangibles_EoP">'STER Canalyst'!$568:$568</definedName>
    <definedName name="MO_DAF_Intangibles_Life">'STER Canalyst'!$573:$573</definedName>
    <definedName name="MO_DAF_Intangibles_Other">'STER Canalyst'!$567:$567</definedName>
    <definedName name="MO_DAF_PPE_BoP">'STER Canalyst'!$558:$558</definedName>
    <definedName name="MO_DAF_PPE_Capex">'STER Canalyst'!$560:$560</definedName>
    <definedName name="MO_DAF_PPE_EoP">'STER Canalyst'!$562:$562</definedName>
    <definedName name="MO_DAF_PPE_Life">'STER Canalyst'!$572:$572</definedName>
    <definedName name="MO_DAF_PPE_Other">'STER Canalyst'!$561:$561</definedName>
    <definedName name="MO_GA_TotalRevenue">'STER Canalyst'!$9:$9</definedName>
    <definedName name="MO_IS_COGS">'STER Canalyst'!$120:$120</definedName>
    <definedName name="MO_IS_DA">'STER Canalyst'!$124:$124</definedName>
    <definedName name="MO_IS_EBIT">'STER Canalyst'!$126:$126</definedName>
    <definedName name="MO_IS_EBT">'STER Canalyst'!$131:$131</definedName>
    <definedName name="MO_IS_FirstRow">'STER Canalyst'!$119:$119</definedName>
    <definedName name="MO_IS_GP">'STER Canalyst'!$121:$121</definedName>
    <definedName name="MO_IS_IE_Net">'STER Canalyst'!$127:$127</definedName>
    <definedName name="MO_IS_Impairment">'STER Canalyst'!$125:$125</definedName>
    <definedName name="MO_IS_NI_ContinOp">'STER Canalyst'!$133:$133</definedName>
    <definedName name="MO_IS_RD">'STER Canalyst'!$122:$122</definedName>
    <definedName name="MO_IS_REV">'STER Canalyst'!$119:$119</definedName>
    <definedName name="MO_IS_SGA">'STER Canalyst'!$123:$123</definedName>
    <definedName name="MO_IS_Tax">'STER Canalyst'!$132:$132</definedName>
    <definedName name="MO_MA_COGS">'STER Canalyst'!$108:$108</definedName>
    <definedName name="MO_MA_EBITDA">'STER Canalyst'!$114:$114</definedName>
    <definedName name="MO_MA_EBITDA_Adj">'STER Canalyst'!$115:$115</definedName>
    <definedName name="MO_MA_GM">'STER Canalyst'!$109:$109</definedName>
    <definedName name="MO_MA_RD">'STER Canalyst'!$112:$112</definedName>
    <definedName name="MO_MA_SGA">'STER Canalyst'!$113:$113</definedName>
    <definedName name="MO_ProdServ_SegRev_1.1">'STER Canalyst'!$16:$16</definedName>
    <definedName name="MO_ProdServ_SegRev_1.2">'STER Canalyst'!$17:$17</definedName>
    <definedName name="MO_RIS_Adjustments_Dilution_GAAP">'STER Canalyst'!$208:$208</definedName>
    <definedName name="MO_RIS_Adjustments_Dilution_NONGAAP">'STER Canalyst'!$211:$211</definedName>
    <definedName name="MO_RIS_Adjustments_NONGAAP">'STER Canalyst'!$210:$210</definedName>
    <definedName name="MO_RIS_COGS">'STER Canalyst'!$180:$180</definedName>
    <definedName name="MO_RIS_DA">'STER Canalyst'!$189:$189</definedName>
    <definedName name="MO_RIS_DAintangibles">'STER Canalyst'!$190:$190</definedName>
    <definedName name="MO_RIS_DisCont">'STER Canalyst'!$204:$204</definedName>
    <definedName name="MO_RIS_Dividend_Prefs">'STER Canalyst'!$206:$206</definedName>
    <definedName name="MO_RIS_EBIT">'STER Canalyst'!$192:$192</definedName>
    <definedName name="MO_RIS_EBITDA">'STER Canalyst'!$185:$185</definedName>
    <definedName name="MO_RIS_EBITDA_Adj">'STER Canalyst'!$186:$186</definedName>
    <definedName name="MO_RIS_EBT">'STER Canalyst'!$199:$199</definedName>
    <definedName name="MO_RIS_EI">'STER Canalyst'!$196:$196</definedName>
    <definedName name="MO_RIS_EPS_WAB">'STER Canalyst'!$217:$217</definedName>
    <definedName name="MO_RIS_EPS_WAD">'STER Canalyst'!$218:$218</definedName>
    <definedName name="MO_RIS_EPS_WAD_Adj">'STER Canalyst'!$219:$219</definedName>
    <definedName name="MO_RIS_GP">'STER Canalyst'!$181:$181</definedName>
    <definedName name="MO_RIS_IE">'STER Canalyst'!$194:$194</definedName>
    <definedName name="MO_RIS_II">'STER Canalyst'!$195:$195</definedName>
    <definedName name="MO_RIS_NCI">'STER Canalyst'!$205:$205</definedName>
    <definedName name="MO_RIS_NI_ContinOp">'STER Canalyst'!$203:$203</definedName>
    <definedName name="MO_RIS_NI_GAAP_Basic">'STER Canalyst'!$207:$207</definedName>
    <definedName name="MO_RIS_NI_GAAP_Diluted">'STER Canalyst'!$209:$209</definedName>
    <definedName name="MO_RIS_NI_NONGAAP_Diluted">'STER Canalyst'!$212:$212</definedName>
    <definedName name="MO_RIS_OI">'STER Canalyst'!$197:$197</definedName>
    <definedName name="MO_RIS_OTI">'STER Canalyst'!$198:$198</definedName>
    <definedName name="MO_RIS_RD">'STER Canalyst'!$183:$183</definedName>
    <definedName name="MO_RIS_REV">'STER Canalyst'!$177:$177</definedName>
    <definedName name="MO_RIS_SBC">'STER Canalyst'!$191:$191</definedName>
    <definedName name="MO_RIS_SGA">'STER Canalyst'!$184:$184</definedName>
    <definedName name="MO_RIS_ShareCount_WAB">'STER Canalyst'!$222:$222</definedName>
    <definedName name="MO_RIS_ShareCount_WAD">'STER Canalyst'!$223:$223</definedName>
    <definedName name="MO_RIS_ShareCount_WAD_Adj">'STER Canalyst'!$224:$224</definedName>
    <definedName name="MO_RIS_Tax_Current">'STER Canalyst'!$201:$201</definedName>
    <definedName name="MO_RIS_Tax_Deferred">'STER Canalyst'!$202:$202</definedName>
    <definedName name="MO_RIS_TaxRate_Current">'STER Canalyst'!$214:$214</definedName>
    <definedName name="MO_RIS_TaxRate_Deferred">'STER Canalyst'!$215:$215</definedName>
    <definedName name="MO_SCA_Date_CoverPage">'STER Canalyst'!$347:$347</definedName>
    <definedName name="MO_SCA_Date_LastWorkingDay">'STER Canalyst'!$227:$227</definedName>
    <definedName name="MO_SCA_ESPPObligations_EoP">'STER Canalyst'!$336:$336</definedName>
    <definedName name="MO_SCA_Other_EoP">'STER Canalyst'!$340:$340</definedName>
    <definedName name="MO_SCA_Ratio_DilutedOverBasic">'STER Canalyst'!$241:$241</definedName>
    <definedName name="MO_SCA_ShareCount_CoverPage">'STER Canalyst'!$346:$346</definedName>
    <definedName name="MO_SCA_ShareCount_CoverPage_Class1">'STER Canalyst'!$346:$346</definedName>
    <definedName name="MO_SCA_ShareCount_CoverPage_Dilutive">'STER Canalyst'!$349:$349</definedName>
    <definedName name="MO_SCA_ShareCount_CoverPage_Ticker1">'STER Canalyst'!$346:$346</definedName>
    <definedName name="MO_SCA_ShareCount_DilutiveShares">'STER Canalyst'!$240:$240</definedName>
    <definedName name="MO_SCA_ShareCount_EoP">'STER Canalyst'!$230:$230</definedName>
    <definedName name="MO_SCA_ShareCount_EoP_Class1">'STER Canalyst'!$230:$230</definedName>
    <definedName name="MO_SCA_ShareCount_EoP_Diluted">'STER Canalyst'!$243:$243</definedName>
    <definedName name="MO_SCA_ShareCount_EoP_Economic">'STER Canalyst'!$232:$232</definedName>
    <definedName name="MO_SCA_ShareCount_EoP_Growth_Dilutive_QoQ">'STER Canalyst'!$233:$233</definedName>
    <definedName name="MO_SCA_ShareCount_EoP_Growth_Dilutive_YoY">'STER Canalyst'!$234:$234</definedName>
    <definedName name="MO_SCA_ShareCount_EoP_Growth_NetIssuance_QoQ">'STER Canalyst'!$235:$235</definedName>
    <definedName name="MO_SCA_ShareCount_EoP_Growth_NetIssuance_YoY">'STER Canalyst'!$236:$236</definedName>
    <definedName name="MO_SCA_ShareCount_EoP_Growth_QoQ">'STER Canalyst'!$237:$237</definedName>
    <definedName name="MO_SCA_ShareCount_EoP_Growth_YoY">'STER Canalyst'!$238:$238</definedName>
    <definedName name="MO_SCA_ShareCount_EoP_Ticker1">'STER Canalyst'!$230:$230</definedName>
    <definedName name="MO_SCA_ShareCount_FullyDiluted">'STER Canalyst'!$344:$344</definedName>
    <definedName name="MO_SCA_ShareCount_PotentialDilution">'STER Canalyst'!$342:$342</definedName>
    <definedName name="MO_SCA_StockOptions_Dilution">'STER Canalyst'!$328:$328</definedName>
    <definedName name="MO_SCA_StockOptions_EoP">'STER Canalyst'!$326:$326</definedName>
    <definedName name="MO_SCA_StockOptions_Exercisable_EoP">'STER Canalyst'!$330:$330</definedName>
    <definedName name="MO_SCA_StockOptions_Price_EoP">'STER Canalyst'!$327:$327</definedName>
    <definedName name="MO_SCA_StockOptions_Price_Exercisable_EoP">'STER Canalyst'!$331:$331</definedName>
    <definedName name="MO_SCA_StockPrice_EoP">'STER Canalyst'!$228:$228</definedName>
    <definedName name="MO_SCA_UnvestedRSU_EoP">'STER Canalyst'!$333:$333</definedName>
    <definedName name="MO_SCA_UnvestedRSU_Price_EoP">'STER Canalyst'!$334:$334</definedName>
    <definedName name="MO_Section_AdjustedNumbers">'STER Canalyst'!$137:$137</definedName>
    <definedName name="MO_Section_BalanceSheet">'STER Canalyst'!$590:$590</definedName>
    <definedName name="MO_Section_BalanceSheetSummary">'STER Canalyst'!$378:$378</definedName>
    <definedName name="MO_Section_CashFlowStatement">'STER Canalyst'!$488:$488</definedName>
    <definedName name="MO_Section_CashFlowSummary">'STER Canalyst'!$351:$351</definedName>
    <definedName name="MO_Section_CumulativeCashFlowStatement">'STER Canalyst'!$421:$421</definedName>
    <definedName name="MO_Section_DAForecasting">'STER Canalyst'!$557:$557</definedName>
    <definedName name="MO_Section_GrowthAnalysis">'STER Canalyst'!$6:$6</definedName>
    <definedName name="MO_Section_IncomeStatement">'STER Canalyst'!$118:$118</definedName>
    <definedName name="MO_Section_KeyMetricsDescriptionMDA">'STER Canalyst'!$38:$38</definedName>
    <definedName name="MO_Section_KeyMetricsSplitofTotalAddressableMarketandIndsutryMetricsS">'STER Canalyst'!$47:$47</definedName>
    <definedName name="MO_Section_LastRow">'STER Canalyst'!$768:$768</definedName>
    <definedName name="MO_Section_MarginAnalysis">'STER Canalyst'!$107:$107</definedName>
    <definedName name="MO_Section_ModelChecks">'STER Canalyst'!$640:$640</definedName>
    <definedName name="MO_Section_OperatingStatsDescriptionPR">'STER Canalyst'!$25:$25</definedName>
    <definedName name="MO_Section_RevisedIncomeStatement">'STER Canalyst'!$176:$176</definedName>
    <definedName name="MO_Section_SegmentedResultsGeographicBreakdownFS">'STER Canalyst'!$20:$20</definedName>
    <definedName name="MO_Section_SegmentedResultsRevenueBreakdownFS">'STER Canalyst'!$15:$15</definedName>
    <definedName name="MO_Section_ShareCountAnalysis">'STER Canalyst'!$226:$226</definedName>
    <definedName name="MO_Section_Tables">'STER Canalyst'!$661:$661</definedName>
    <definedName name="MO_Section_Valuation">'STER Canalyst'!$397:$397</definedName>
    <definedName name="MO_Section_WorkingCapitalForecasting">'STER Canalyst'!$579:$579</definedName>
    <definedName name="MO_Section_YYCostGranularityS">'STER Canalyst'!$62:$62</definedName>
    <definedName name="MO_SNA_ConsensusEstimatePeriodNumber">'STER Canalyst'!$705:$705</definedName>
    <definedName name="MO_SNA_ConsensusEstimatePeriodType">'STER Canalyst'!$704:$704</definedName>
    <definedName name="MO_SNA_FPStartDate">'STER Canalyst'!$715:$715</definedName>
    <definedName name="MO_SNA_Guidance_ApplicablePeriod_FY">'STER Canalyst'!$700:$700</definedName>
    <definedName name="MO_SNA_Guidance_ApplicablePeriod_Q">'STER Canalyst'!$694:$694</definedName>
    <definedName name="MO_SNA_Guidance_IsLatest_FY">'STER Canalyst'!$699:$699</definedName>
    <definedName name="MO_SNA_Guidance_ReportDate_FY">'STER Canalyst'!$698:$698</definedName>
    <definedName name="MO_SNA_Guidance_ReportDate_Q">'STER Canalyst'!$693:$693</definedName>
    <definedName name="MO_SNA_IsHistoricalPeriod">'STER Canalyst'!$716:$716</definedName>
    <definedName name="MO_SNA_LastDataRow">'STER Canalyst'!$636:$636</definedName>
    <definedName name="MO_SPT_FXAverage">'STER Canalyst'!$738:$738</definedName>
    <definedName name="MO_SPT_FXAverage_Sources">'STER Canalyst'!$739:$743</definedName>
    <definedName name="MO_SPT_FXAverage_Sources_Bloomberg">'STER Canalyst'!$740:$740</definedName>
    <definedName name="MO_SPT_FXAverage_Sources_CapIQ">'STER Canalyst'!$741:$741</definedName>
    <definedName name="MO_SPT_FXAverage_Sources_FactSet">'STER Canalyst'!$742:$742</definedName>
    <definedName name="MO_SPT_FXAverage_Sources_RealTimeOff">'STER Canalyst'!$739:$739</definedName>
    <definedName name="MO_SPT_FXAverage_Sources_Thomson">'STER Canalyst'!$743:$743</definedName>
    <definedName name="MO_SPT_FXEoP">'STER Canalyst'!$747:$747</definedName>
    <definedName name="MO_SPT_StockAverage">'STER Canalyst'!$731:$731</definedName>
    <definedName name="MO_SPT_StockAverage_Sources">'STER Canalyst'!$732:$736</definedName>
    <definedName name="MO_SPT_StockAverage_Sources_Bloomberg">'STER Canalyst'!$733:$733</definedName>
    <definedName name="MO_SPT_StockAverage_Sources_CapIQ">'STER Canalyst'!$734:$734</definedName>
    <definedName name="MO_SPT_StockAverage_Sources_FactSet">'STER Canalyst'!$735:$735</definedName>
    <definedName name="MO_SPT_StockAverage_Sources_RealTimeOff">'STER Canalyst'!$732:$732</definedName>
    <definedName name="MO_SPT_StockAverage_Sources_Thomson">'STER Canalyst'!$736:$736</definedName>
    <definedName name="MO_SPT_StockEoP">'STER Canalyst'!$746:$746</definedName>
    <definedName name="MO_SPT_StockHigh">'STER Canalyst'!$717:$717</definedName>
    <definedName name="MO_SPT_StockHigh_Sources">'STER Canalyst'!$718:$722</definedName>
    <definedName name="MO_SPT_StockHigh_Sources_Bloomberg">'STER Canalyst'!$719:$719</definedName>
    <definedName name="MO_SPT_StockHigh_Sources_CapIQ">'STER Canalyst'!$720:$720</definedName>
    <definedName name="MO_SPT_StockHigh_Sources_FactSet">'STER Canalyst'!$721:$721</definedName>
    <definedName name="MO_SPT_StockHigh_Sources_RealTimeOff">'STER Canalyst'!$718:$718</definedName>
    <definedName name="MO_SPT_StockHigh_Sources_Thomson">'STER Canalyst'!$722:$722</definedName>
    <definedName name="MO_SPT_StockLow">'STER Canalyst'!$724:$724</definedName>
    <definedName name="MO_SPT_StockLow_Sources">'STER Canalyst'!$725:$729</definedName>
    <definedName name="MO_SPT_StockLow_Sources_Bloomberg">'STER Canalyst'!$726:$726</definedName>
    <definedName name="MO_SPT_StockLow_Sources_CapIQ">'STER Canalyst'!$727:$727</definedName>
    <definedName name="MO_SPT_StockLow_Sources_FactSet">'STER Canalyst'!$728:$728</definedName>
    <definedName name="MO_SPT_StockLow_Sources_RealTimeOff">'STER Canalyst'!$725:$725</definedName>
    <definedName name="MO_SPT_StockLow_Sources_Thomson">'STER Canalyst'!$729:$729</definedName>
    <definedName name="MO_SubSection_BS_CA">'STER Canalyst'!$591:$591</definedName>
    <definedName name="MO_SubSection_BS_CL">'STER Canalyst'!$610:$610</definedName>
    <definedName name="MO_SubSection_BS_NCA">'STER Canalyst'!$600:$600</definedName>
    <definedName name="MO_SubSection_BS_NCL">'STER Canalyst'!$620:$620</definedName>
    <definedName name="MO_SubSection_BS_SE">'STER Canalyst'!$628:$628</definedName>
    <definedName name="MO_SubSection_CCFS_CFF">'STER Canalyst'!$459:$459</definedName>
    <definedName name="MO_SubSection_CCFS_CFI">'STER Canalyst'!$451:$451</definedName>
    <definedName name="MO_SubSection_CCFS_CFO">'STER Canalyst'!$422:$422</definedName>
    <definedName name="MO_SubSection_CFS_CFF">'STER Canalyst'!$526:$526</definedName>
    <definedName name="MO_SubSection_CFS_CFI">'STER Canalyst'!$518:$518</definedName>
    <definedName name="MO_SubSection_CFS_CFO">'STER Canalyst'!$489:$489</definedName>
    <definedName name="MO_VA_EV">'STER Canalyst'!$400:$400</definedName>
    <definedName name="MO_VA_EV_ToEBITDA">'STER Canalyst'!$403:$403</definedName>
    <definedName name="MO_VA_EVCalc_NCI">'STER Canalyst'!$417:$417</definedName>
    <definedName name="MO_VA_EVCalc_Other">'STER Canalyst'!$419:$419</definedName>
    <definedName name="MO_VA_EVCalc_Prefs">'STER Canalyst'!$418:$418</definedName>
    <definedName name="MO_VA_FCFYield_ToEV">'STER Canalyst'!$406:$406</definedName>
    <definedName name="MO_VA_FCFYield_ToMktCap">'STER Canalyst'!$405:$405</definedName>
    <definedName name="MO_VA_FX_Average">'STER Canalyst'!$412:$412</definedName>
    <definedName name="MO_VA_FX_EoP">'STER Canalyst'!$413:$413</definedName>
    <definedName name="MO_VA_MarketCap">'STER Canalyst'!$399:$399</definedName>
    <definedName name="MO_VA_P_ToCF">'STER Canalyst'!$404:$404</definedName>
    <definedName name="MO_VA_P_ToE">'STER Canalyst'!$402:$402</definedName>
    <definedName name="MO_VA_StockPrice">'STER Canalyst'!$398:$398</definedName>
    <definedName name="MO_VA_StockPrice_Avg">'STER Canalyst'!$410:$410</definedName>
    <definedName name="MO_VA_StockPrice_EoP">'STER Canalyst'!$411:$411</definedName>
    <definedName name="MO_VA_StockPrice_High">'STER Canalyst'!$408:$408</definedName>
    <definedName name="MO_VA_StockPrice_Low">'STER Canalyst'!$409:$409</definedName>
    <definedName name="MO_VA_StockPrice_TradingCurrency">'STER Canalyst'!$414:$414</definedName>
    <definedName name="MO_WCF_AP_Margin">'STER Canalyst'!$581:$581</definedName>
    <definedName name="MO_WCF_AP_Margin_Change">'STER Canalyst'!$586:$586</definedName>
    <definedName name="MO_WCF_AR_Margin">'STER Canalyst'!$580:$580</definedName>
    <definedName name="MO_WCF_AR_Margin_Change">'STER Canalyst'!$585:$585</definedName>
    <definedName name="_xlnm.Print_Area" localSheetId="30">'BLS Hires vs. FA'!$B$1:$X$37</definedName>
    <definedName name="_xlnm.Print_Area" localSheetId="9">'FA - Detailed Disclosure'!$A$1:$AM$364</definedName>
    <definedName name="_xlnm.Print_Area" localSheetId="8">'FA - Historical Financials'!$A$1:$AM$421</definedName>
    <definedName name="_xlnm.Print_Area" localSheetId="7">'FA Base'!$B$1:$T$90</definedName>
    <definedName name="_xlnm.Print_Area" localSheetId="14">'Peer benchmarking'!$A$1:$AF$210</definedName>
    <definedName name="_xlnm.Print_Area" localSheetId="4">'PF Basic Historical Fin'!$A$1:$AM$116</definedName>
    <definedName name="_xlnm.Print_Area" localSheetId="3">'PF Combined Historical Fin'!$A$1:$AM$107</definedName>
    <definedName name="_xlnm.Print_Area" localSheetId="2">'PF FA STER Simple'!$B$1:$U$85</definedName>
    <definedName name="_xlnm.Print_Area" localSheetId="5">'PF interest'!$A$1:$I$22</definedName>
    <definedName name="_xlnm.Print_Area" localSheetId="16">'PF STER Capitalization'!$A$1:$H$134</definedName>
    <definedName name="_xlnm.Print_Area" localSheetId="21">Rates!$A$1:$R$70</definedName>
    <definedName name="_xlnm.Print_Area" localSheetId="26">'Recession Historicals'!$A$1:$T$62</definedName>
    <definedName name="_xlnm.Print_Area" localSheetId="18">Risk!$B$1:$T$89</definedName>
    <definedName name="_xlnm.Print_Area" localSheetId="28">'Shares Outstanding'!$B$1:$E$20</definedName>
    <definedName name="_xlnm.Print_Area" localSheetId="23">'Simple Model (Risk)'!$B$1:$R$82</definedName>
    <definedName name="_xlnm.Print_Area" localSheetId="24">'Simple Model (Super Risk)'!$B$1:$R$82</definedName>
    <definedName name="_xlnm.Print_Area" localSheetId="12">'STER - Detailed Disclosure (mm)'!$A$1:$AU$228</definedName>
    <definedName name="_xlnm.Print_Area" localSheetId="11">'STER - Historical Financials'!$A$1:$AM$255</definedName>
    <definedName name="_xlnm.Print_Area" localSheetId="20">'STER Canalyst'!$A$1:$BK$636</definedName>
    <definedName name="_xlnm.Print_Area" localSheetId="19">'STER Detailed Disclosure'!$A$1:$AU$208</definedName>
    <definedName name="_xlnm.Print_Area" localSheetId="22">'Super Risk'!$B$1:$S$86</definedName>
    <definedName name="_xlnm.Print_Area" localSheetId="17">Upside!$B$1:$T$90</definedName>
    <definedName name="_xlnm.Print_Titles" localSheetId="30">'BLS Hires vs. FA'!$1:$5</definedName>
    <definedName name="_xlnm.Print_Titles" localSheetId="9">'FA - Detailed Disclosure'!$1:$6</definedName>
    <definedName name="_xlnm.Print_Titles" localSheetId="8">'FA - Historical Financials'!$1:$5</definedName>
    <definedName name="_xlnm.Print_Titles" localSheetId="7">'FA Base'!$1:$5</definedName>
    <definedName name="_xlnm.Print_Titles" localSheetId="16">'PF STER Capitalization'!$1:$4</definedName>
    <definedName name="_xlnm.Print_Titles" localSheetId="12">'STER - Detailed Disclosure (mm)'!$1:$5</definedName>
    <definedName name="_xlnm.Print_Titles" localSheetId="11">'STER - Historical Financials'!$1:$5</definedName>
    <definedName name="_xlnm.Print_Titles" localSheetId="20">'STER Canalyst'!$5:$5</definedName>
    <definedName name="_xlnm.Print_Titles" localSheetId="19">'STER Detailed Disclosure'!$1:$5</definedName>
    <definedName name="SP.ValuationToggle">'[1]Summary Page'!$B$4</definedName>
    <definedName name="SP_BSR_CashFlow_LTM">'[1]Summary Page'!$88:$88</definedName>
    <definedName name="SP_BSR_CL_Avg">'[1]Summary Page'!$108:$108</definedName>
    <definedName name="SP_BSR_Debt_Avg">'[1]Summary Page'!$102:$102</definedName>
    <definedName name="SP_BSR_EBITDA_LTM">'[1]Summary Page'!$87:$87</definedName>
    <definedName name="SP_BSR_SE_Avg">'[1]Summary Page'!$94:$94</definedName>
    <definedName name="SP_BSR_TA_Avg">'[1]Summary Page'!$99:$99</definedName>
    <definedName name="SP_CFA_CFO">'[1]Summary Page'!$65:$65</definedName>
    <definedName name="SP_CFA_CFO_BeforeWC">'[1]Summary Page'!$63:$63</definedName>
    <definedName name="SP_CFA_CFO_PerShare">'[1]Summary Page'!$77:$77</definedName>
    <definedName name="SP_CFA_FCF_PreDiv">'[1]Summary Page'!$67:$67</definedName>
    <definedName name="SP_CFA_NetChange">'[1]Summary Page'!$75:$75</definedName>
    <definedName name="SP_CS_Cash">'[1]Summary Page'!$7:$7</definedName>
    <definedName name="SP_CS_Debt">'[1]Summary Page'!$8:$8</definedName>
    <definedName name="SP_CS_EV">'[1]Summary Page'!$11:$11</definedName>
    <definedName name="SP_CS_EVCalc_Other">'[1]Summary Page'!$10:$10</definedName>
    <definedName name="SP_CS_MarketCap">'[1]Summary Page'!$6:$6</definedName>
    <definedName name="SP_CS_OL">'[1]Summary Page'!$9:$9</definedName>
    <definedName name="SP_CS_ShareCount_EoP_Diluted">'[1]Summary Page'!$5:$5</definedName>
    <definedName name="SP_CS_StockPrice">'[1]Summary Page'!$4:$4</definedName>
    <definedName name="SP_GF_COGS">'[1]Summary Page'!$32:$32</definedName>
    <definedName name="SP_GF_DA">'[1]Summary Page'!$37:$37</definedName>
    <definedName name="SP_GF_DisCont">'[1]Summary Page'!$43:$43</definedName>
    <definedName name="SP_GF_Div_Prefs">'[1]Summary Page'!$45:$45</definedName>
    <definedName name="SP_GF_EBITDA">'[1]Summary Page'!$35:$35</definedName>
    <definedName name="SP_GF_EBT">'[1]Summary Page'!$41:$41</definedName>
    <definedName name="SP_GF_EI">'[1]Summary Page'!$39:$39</definedName>
    <definedName name="SP_GF_IE">'[1]Summary Page'!$38:$38</definedName>
    <definedName name="SP_GF_NCI">'[1]Summary Page'!$44:$44</definedName>
    <definedName name="SP_GF_NI">'[1]Summary Page'!$46:$46</definedName>
    <definedName name="SP_GF_OI">'[1]Summary Page'!$40:$40</definedName>
    <definedName name="SP_GF_RD">'[1]Summary Page'!$33:$33</definedName>
    <definedName name="SP_GF_Rev">'[1]Summary Page'!$31:$31</definedName>
    <definedName name="SP_GF_SBC">'[1]Summary Page'!$36:$36</definedName>
    <definedName name="SP_GF_SGA">'[1]Summary Page'!$34:$34</definedName>
    <definedName name="SP_GF_ShareCount">'[1]Summary Page'!$48:$48</definedName>
    <definedName name="SP_GF_Tax">'[1]Summary Page'!$42:$42</definedName>
    <definedName name="SP_NGF_EBITDA">'[1]Summary Page'!$51:$51</definedName>
    <definedName name="SP_NGF_EPS">'[1]Summary Page'!$53:$53</definedName>
    <definedName name="SP_NGF_NI">'[1]Summary Page'!$52:$52</definedName>
    <definedName name="tb_ConsensusEstimate">'STER Canalyst'!$A$703:$BK$712</definedName>
    <definedName name="tb_EntireModel">'STER Canalyst'!$A$1:$BK$638</definedName>
    <definedName name="tb_Guidance_FY">'STER Canalyst'!$A$697:$BK$701</definedName>
    <definedName name="tb_Guidance_Q">'STER Canalyst'!$A$692:$BK$695</definedName>
    <definedName name="tb_KeyOutputs">'STER Canalyst'!$A$676:$A$682</definedName>
    <definedName name="tb_KPIs">'STER Canalyst'!$A$684:$A$690</definedName>
    <definedName name="tb_StockPrice">'STER Canalyst'!$A$714:$BK$744</definedName>
    <definedName name="tb_Tickers">'STER Canalyst'!$A$663:$A$668</definedName>
    <definedName name="tb_ValuationToggle">'STER Canalyst'!$A$670:$B$674</definedName>
    <definedName name="UL.MRQ">'[1]Update Log'!$F$7</definedName>
    <definedName name="WS.CanalystName" localSheetId="20">"Model"</definedName>
    <definedName name="z_G2JL860106_MO_AN_AdjustedEBITDA">'STER Canalyst'!$150:$150</definedName>
    <definedName name="z_G2JL860106_MO_AN_AdjustedNetIncome_1">'STER Canalyst'!$166:$166</definedName>
    <definedName name="z_G2JL860106_MO_AN_AdjustedNetIncomebeforeincometaxeffect">'STER Canalyst'!$164:$164</definedName>
    <definedName name="z_G2JL860106_MO_AN_Amortizationofacquiredintangibleassets">'STER Canalyst'!$155:$155</definedName>
    <definedName name="z_G2JL860106_MO_AN_Amortizationofacquiredintangibleassets_1">"Deleted"</definedName>
    <definedName name="z_G2JL860106_MO_AN_Amortizationofintangibleassets">'STER Canalyst'!$173:$173</definedName>
    <definedName name="z_G2JL860106_MO_AN_Benefitfromprovisionforincometaxes">'STER Canalyst'!$139:$139</definedName>
    <definedName name="z_G2JL860106_MO_AN_Currentincometaxprovision">'STER Canalyst'!$168:$168</definedName>
    <definedName name="z_G2JL860106_MO_AN_Deferredincometaxprovision">'STER Canalyst'!$169:$169</definedName>
    <definedName name="z_G2JL860106_MO_AN_Depreciation_1">'STER Canalyst'!$172:$172</definedName>
    <definedName name="z_G2JL860106_MO_AN_Depreciationamortization">'STER Canalyst'!$141:$141</definedName>
    <definedName name="z_G2JL860106_MO_AN_Incometaxeffect">'STER Canalyst'!$165:$165</definedName>
    <definedName name="z_G2JL860106_MO_AN_Interestexpense">'STER Canalyst'!$140:$140</definedName>
    <definedName name="z_G2JL860106_MO_AN_Lossgainoninterestswap">'STER Canalyst'!$148:$148</definedName>
    <definedName name="z_G2JL860106_MO_AN_Lossgainoninterestswap_1">'STER Canalyst'!$162:$162</definedName>
    <definedName name="z_G2JL860106_MO_AN_Lossincomebeforeincometaxes">'STER Canalyst'!$154:$154</definedName>
    <definedName name="z_G2JL860106_MO_AN_Lossonextinguishmentofdebt">'STER Canalyst'!$143:$143</definedName>
    <definedName name="z_G2JL860106_MO_AN_Lossonextinguishmentofdebt_1">'STER Canalyst'!$157:$157</definedName>
    <definedName name="z_G2JL860106_MO_AN_Netlossincome">'STER Canalyst'!$138:$138</definedName>
    <definedName name="z_G2JL860106_MO_AN_Netlossincome_1">'STER Canalyst'!$152:$152</definedName>
    <definedName name="z_G2JL860106_MO_AN_Other">'STER Canalyst'!$149:$149</definedName>
    <definedName name="z_G2JL860106_MO_AN_Other_1">'STER Canalyst'!$163:$163</definedName>
    <definedName name="z_G2JL860106_MO_AN_Provisionforbenefitfromincometaxes">'STER Canalyst'!$153:$153</definedName>
    <definedName name="z_G2JL860106_MO_AN_Restructuring">'STER Canalyst'!$145:$145</definedName>
    <definedName name="z_G2JL860106_MO_AN_Restructuring_1">'STER Canalyst'!$159:$159</definedName>
    <definedName name="z_G2JL860106_MO_AN_Settlementsimpactingcomparability">'STER Canalyst'!$147:$147</definedName>
    <definedName name="z_G2JL860106_MO_AN_Settlementsimpactingcomparability_1">'STER Canalyst'!$161:$161</definedName>
    <definedName name="z_G2JL860106_MO_AN_Stockbasedcompensation">'STER Canalyst'!$142:$142</definedName>
    <definedName name="z_G2JL860106_MO_AN_Stockbasedcompensation_1">'STER Canalyst'!$156:$156</definedName>
    <definedName name="z_G2JL860106_MO_AN_Technologytransformation">'STER Canalyst'!$146:$146</definedName>
    <definedName name="z_G2JL860106_MO_AN_Technologytransformation_1">'STER Canalyst'!$160:$160</definedName>
    <definedName name="z_G2JL860106_MO_AN_TotalDepreciationAmortization">'STER Canalyst'!$174:$174</definedName>
    <definedName name="z_G2JL860106_MO_AN_Totaltax">'STER Canalyst'!$170:$170</definedName>
    <definedName name="z_G2JL860106_MO_AN_Transactionexpenses">'STER Canalyst'!$144:$144</definedName>
    <definedName name="z_G2JL860106_MO_AN_Transactionexpenses_1">'STER Canalyst'!$158:$158</definedName>
    <definedName name="z_G2JL860106_MO_BlankRow_AN">'STER Canalyst'!$151:$151</definedName>
    <definedName name="z_G2JL860106_MO_BlankRow_AN_1">'STER Canalyst'!$175:$175</definedName>
    <definedName name="z_G2JL860106_MO_BlankRow_AN_2">'STER Canalyst'!$167:$167</definedName>
    <definedName name="z_G2JL860106_MO_BlankRow_AN_3">'STER Canalyst'!$171:$171</definedName>
    <definedName name="z_G2JL860106_MO_BlankRow_BS_3">'STER Canalyst'!$599:$599</definedName>
    <definedName name="z_G2JL860106_MO_BlankRow_BS_4">'STER Canalyst'!$609:$609</definedName>
    <definedName name="z_G2JL860106_MO_BlankRow_BS_5">'STER Canalyst'!$619:$619</definedName>
    <definedName name="z_G2JL860106_MO_BlankRow_BS_6">'STER Canalyst'!$627:$627</definedName>
    <definedName name="z_G2JL860106_MO_BlankRow_BSS">'STER Canalyst'!$385:$385</definedName>
    <definedName name="z_G2JL860106_MO_BlankRow_BSS_1">'STER Canalyst'!$392:$392</definedName>
    <definedName name="z_G2JL860106_MO_BlankRow_BSS_2">'STER Canalyst'!$396:$396</definedName>
    <definedName name="z_G2JL860106_MO_BlankRow_CCFS">'STER Canalyst'!$450:$450</definedName>
    <definedName name="z_G2JL860106_MO_BlankRow_CCFS_1">'STER Canalyst'!$458:$458</definedName>
    <definedName name="z_G2JL860106_MO_BlankRow_CCFS_2">'STER Canalyst'!$478:$478</definedName>
    <definedName name="z_G2JL860106_MO_BlankRow_CCFS_3">'STER Canalyst'!$481:$481</definedName>
    <definedName name="z_G2JL860106_MO_BlankRow_CCFS_4">'STER Canalyst'!$487:$487</definedName>
    <definedName name="z_G2JL860106_MO_BlankRow_CCFS_5">'STER Canalyst'!$484:$484</definedName>
    <definedName name="z_G2JL860106_MO_BlankRow_CFS_3">'STER Canalyst'!$517:$517</definedName>
    <definedName name="z_G2JL860106_MO_BlankRow_CFS_4">'STER Canalyst'!$525:$525</definedName>
    <definedName name="z_G2JL860106_MO_BlankRow_CFS_5">'STER Canalyst'!$545:$545</definedName>
    <definedName name="z_G2JL860106_MO_BlankRow_CFS_6">'STER Canalyst'!$548:$548</definedName>
    <definedName name="z_G2JL860106_MO_BlankRow_CFS_7">'STER Canalyst'!$554:$554</definedName>
    <definedName name="z_G2JL860106_MO_BlankRow_CFS_8">'STER Canalyst'!$556:$556</definedName>
    <definedName name="z_G2JL860106_MO_BlankRow_CFS_9">'STER Canalyst'!$551:$551</definedName>
    <definedName name="z_G2JL860106_MO_BlankRow_CFSum">'STER Canalyst'!$364:$364</definedName>
    <definedName name="z_G2JL860106_MO_BlankRow_CFSum_1">'STER Canalyst'!$368:$368</definedName>
    <definedName name="z_G2JL860106_MO_BlankRow_CFSum_2">'STER Canalyst'!$377:$377</definedName>
    <definedName name="z_G2JL860106_MO_BlankRow_DAF">'STER Canalyst'!$563:$563</definedName>
    <definedName name="z_G2JL860106_MO_BlankRow_DAF_1">'STER Canalyst'!$569:$569</definedName>
    <definedName name="z_G2JL860106_MO_BlankRow_DAF_2">'STER Canalyst'!$574:$574</definedName>
    <definedName name="z_G2JL860106_MO_BlankRow_DAF_3">'STER Canalyst'!$578:$578</definedName>
    <definedName name="z_G2JL860106_MO_BlankRow_GA">"Deleted"</definedName>
    <definedName name="z_G2JL860106_MO_BlankRow_GA_1">'STER Canalyst'!$14:$14</definedName>
    <definedName name="z_G2JL860106_MO_BlankRow_GA_2">'STER Canalyst'!$10:$10</definedName>
    <definedName name="z_G2JL860106_MO_BlankRow_IS">'STER Canalyst'!$134:$134</definedName>
    <definedName name="z_G2JL860106_MO_BlankRow_IS_1">'STER Canalyst'!$136:$136</definedName>
    <definedName name="z_G2JL860106_MO_BlankRow_MA">'STER Canalyst'!$111:$111</definedName>
    <definedName name="z_G2JL860106_MO_BlankRow_MA_1">'STER Canalyst'!$117:$117</definedName>
    <definedName name="z_G2JL860106_MO_BlankRow_MA_2">'STER Canalyst'!$401:$401</definedName>
    <definedName name="z_G2JL860106_MO_BlankRow_MA_3">'STER Canalyst'!$407:$407</definedName>
    <definedName name="z_G2JL860106_MO_BlankRow_MA_4">'STER Canalyst'!$415:$415</definedName>
    <definedName name="z_G2JL860106_MO_BlankRow_MA_5">'STER Canalyst'!$420:$420</definedName>
    <definedName name="z_G2JL860106_MO_BlankRow_OS">'STER Canalyst'!$19:$19</definedName>
    <definedName name="z_G2JL860106_MO_BlankRow_OS_1">'STER Canalyst'!$24:$24</definedName>
    <definedName name="z_G2JL860106_MO_BlankRow_OS_10">'STER Canalyst'!$584:$584</definedName>
    <definedName name="z_G2JL860106_MO_BlankRow_OS_11">'STER Canalyst'!$589:$589</definedName>
    <definedName name="z_G2JL860106_MO_BlankRow_OS_12">'STER Canalyst'!$72:$72</definedName>
    <definedName name="z_G2JL860106_MO_BlankRow_OS_13">'STER Canalyst'!$81:$81</definedName>
    <definedName name="z_G2JL860106_MO_BlankRow_OS_14">'STER Canalyst'!$99:$99</definedName>
    <definedName name="z_G2JL860106_MO_BlankRow_OS_15">'STER Canalyst'!$106:$106</definedName>
    <definedName name="z_G2JL860106_MO_BlankRow_OS_16">'STER Canalyst'!$34:$34</definedName>
    <definedName name="z_G2JL860106_MO_BlankRow_OS_17">'STER Canalyst'!$239:$239</definedName>
    <definedName name="z_G2JL860106_MO_BlankRow_OS_18">'STER Canalyst'!$350:$350</definedName>
    <definedName name="z_G2JL860106_MO_BlankRow_OS_19">'STER Canalyst'!$229:$229</definedName>
    <definedName name="z_G2JL860106_MO_BlankRow_OS_2">"Deleted"</definedName>
    <definedName name="z_G2JL860106_MO_BlankRow_OS_20">'STER Canalyst'!$242:$242</definedName>
    <definedName name="z_G2JL860106_MO_BlankRow_OS_21">'STER Canalyst'!$244:$244</definedName>
    <definedName name="z_G2JL860106_MO_BlankRow_OS_22">'STER Canalyst'!$250:$250</definedName>
    <definedName name="z_G2JL860106_MO_BlankRow_OS_23">'STER Canalyst'!$256:$256</definedName>
    <definedName name="z_G2JL860106_MO_BlankRow_OS_24">'STER Canalyst'!$262:$262</definedName>
    <definedName name="z_G2JL860106_MO_BlankRow_OS_25">'STER Canalyst'!$268:$268</definedName>
    <definedName name="z_G2JL860106_MO_BlankRow_OS_26">'STER Canalyst'!$271:$271</definedName>
    <definedName name="z_G2JL860106_MO_BlankRow_OS_27">'STER Canalyst'!$277:$277</definedName>
    <definedName name="z_G2JL860106_MO_BlankRow_OS_28">'STER Canalyst'!$283:$283</definedName>
    <definedName name="z_G2JL860106_MO_BlankRow_OS_29">'STER Canalyst'!$289:$289</definedName>
    <definedName name="z_G2JL860106_MO_BlankRow_OS_3">'STER Canalyst'!$31:$31</definedName>
    <definedName name="z_G2JL860106_MO_BlankRow_OS_30">'STER Canalyst'!$295:$295</definedName>
    <definedName name="z_G2JL860106_MO_BlankRow_OS_31">'STER Canalyst'!$298:$298</definedName>
    <definedName name="z_G2JL860106_MO_BlankRow_OS_32">'STER Canalyst'!$304:$304</definedName>
    <definedName name="z_G2JL860106_MO_BlankRow_OS_33">'STER Canalyst'!$310:$310</definedName>
    <definedName name="z_G2JL860106_MO_BlankRow_OS_34">'STER Canalyst'!$316:$316</definedName>
    <definedName name="z_G2JL860106_MO_BlankRow_OS_35">'STER Canalyst'!$322:$322</definedName>
    <definedName name="z_G2JL860106_MO_BlankRow_OS_36">'STER Canalyst'!$325:$325</definedName>
    <definedName name="z_G2JL860106_MO_BlankRow_OS_37">'STER Canalyst'!$329:$329</definedName>
    <definedName name="z_G2JL860106_MO_BlankRow_OS_38">'STER Canalyst'!$332:$332</definedName>
    <definedName name="z_G2JL860106_MO_BlankRow_OS_39">'STER Canalyst'!$335:$335</definedName>
    <definedName name="z_G2JL860106_MO_BlankRow_OS_4">"Deleted"</definedName>
    <definedName name="z_G2JL860106_MO_BlankRow_OS_40">'STER Canalyst'!$337:$337</definedName>
    <definedName name="z_G2JL860106_MO_BlankRow_OS_41">'STER Canalyst'!$341:$341</definedName>
    <definedName name="z_G2JL860106_MO_BlankRow_OS_42">'STER Canalyst'!$343:$343</definedName>
    <definedName name="z_G2JL860106_MO_BlankRow_OS_43">'STER Canalyst'!$345:$345</definedName>
    <definedName name="z_G2JL860106_MO_BlankRow_OS_44">'STER Canalyst'!$348:$348</definedName>
    <definedName name="z_G2JL860106_MO_BlankRow_OS_5">'STER Canalyst'!$37:$37</definedName>
    <definedName name="z_G2JL860106_MO_BlankRow_OS_6">'STER Canalyst'!$46:$46</definedName>
    <definedName name="z_G2JL860106_MO_BlankRow_OS_7">'STER Canalyst'!$52:$52</definedName>
    <definedName name="z_G2JL860106_MO_BlankRow_OS_8">'STER Canalyst'!$58:$58</definedName>
    <definedName name="z_G2JL860106_MO_BlankRow_OS_9">'STER Canalyst'!$61:$61</definedName>
    <definedName name="z_G2JL860106_MO_BlankRow_RIS">'STER Canalyst'!$179:$179</definedName>
    <definedName name="z_G2JL860106_MO_BlankRow_RIS_1">'STER Canalyst'!$182:$182</definedName>
    <definedName name="z_G2JL860106_MO_BlankRow_RIS_2">'STER Canalyst'!$188:$188</definedName>
    <definedName name="z_G2JL860106_MO_BlankRow_RIS_3">'STER Canalyst'!$193:$193</definedName>
    <definedName name="z_G2JL860106_MO_BlankRow_RIS_4">'STER Canalyst'!$200:$200</definedName>
    <definedName name="z_G2JL860106_MO_BlankRow_RIS_5">'STER Canalyst'!$213:$213</definedName>
    <definedName name="z_G2JL860106_MO_BlankRow_RIS_6">'STER Canalyst'!$216:$216</definedName>
    <definedName name="z_G2JL860106_MO_BlankRow_RIS_7">'STER Canalyst'!$221:$221</definedName>
    <definedName name="z_G2JL860106_MO_BlankRow_RIS_8">'STER Canalyst'!$225:$225</definedName>
    <definedName name="z_G2JL860106_MO_BlankRow_SNA">'STER Canalyst'!$637:$637</definedName>
    <definedName name="z_G2JL860106_MO_BlankRow_SNA_1">'STER Canalyst'!$639:$639</definedName>
    <definedName name="z_G2JL860106_MO_BlankRow_SNA_10">'STER Canalyst'!$723:$723</definedName>
    <definedName name="z_G2JL860106_MO_BlankRow_SNA_11">'STER Canalyst'!$730:$730</definedName>
    <definedName name="z_G2JL860106_MO_BlankRow_SNA_12">'STER Canalyst'!$737:$737</definedName>
    <definedName name="z_G2JL860106_MO_BlankRow_SNA_13">'STER Canalyst'!$744:$744</definedName>
    <definedName name="z_G2JL860106_MO_BlankRow_SNA_14">'STER Canalyst'!$749:$749</definedName>
    <definedName name="z_G2JL860106_MO_BlankRow_SNA_15">'STER Canalyst'!$767:$767</definedName>
    <definedName name="z_G2JL860106_MO_BlankRow_SNA_16">'STER Canalyst'!$748:$748</definedName>
    <definedName name="z_G2JL860106_MO_BlankRow_SNA_17">'STER Canalyst'!$690:$690</definedName>
    <definedName name="z_G2JL860106_MO_BlankRow_SNA_18">'STER Canalyst'!$691:$691</definedName>
    <definedName name="z_G2JL860106_MO_BlankRow_SNA_19">'STER Canalyst'!$695:$695</definedName>
    <definedName name="z_G2JL860106_MO_BlankRow_SNA_2">'STER Canalyst'!$660:$660</definedName>
    <definedName name="z_G2JL860106_MO_BlankRow_SNA_20">'STER Canalyst'!$696:$696</definedName>
    <definedName name="z_G2JL860106_MO_BlankRow_SNA_21">'STER Canalyst'!$701:$701</definedName>
    <definedName name="z_G2JL860106_MO_BlankRow_SNA_22">'STER Canalyst'!$702:$702</definedName>
    <definedName name="z_G2JL860106_MO_BlankRow_SNA_3">'STER Canalyst'!$662:$662</definedName>
    <definedName name="z_G2JL860106_MO_BlankRow_SNA_4">'STER Canalyst'!$669:$669</definedName>
    <definedName name="z_G2JL860106_MO_BlankRow_SNA_5">'STER Canalyst'!$675:$675</definedName>
    <definedName name="z_G2JL860106_MO_BlankRow_SNA_6">'STER Canalyst'!$682:$682</definedName>
    <definedName name="z_G2JL860106_MO_BlankRow_SNA_7">'STER Canalyst'!$683:$683</definedName>
    <definedName name="z_G2JL860106_MO_BlankRow_SNA_8">'STER Canalyst'!$712:$712</definedName>
    <definedName name="z_G2JL860106_MO_BlankRow_SNA_9">'STER Canalyst'!$713:$713</definedName>
    <definedName name="z_G2JL860106_MO_BS__10">"Deleted"</definedName>
    <definedName name="z_G2JL860106_MO_BS__11">"Deleted"</definedName>
    <definedName name="z_G2JL860106_MO_BS__12">"Deleted"</definedName>
    <definedName name="z_G2JL860106_MO_BS__18">"Deleted"</definedName>
    <definedName name="z_G2JL860106_MO_BS__19">"Deleted"</definedName>
    <definedName name="z_G2JL860106_MO_BS__20">"Deleted"</definedName>
    <definedName name="z_G2JL860106_MO_BS__21">"Deleted"</definedName>
    <definedName name="z_G2JL860106_MO_BS__22">"Deleted"</definedName>
    <definedName name="z_G2JL860106_MO_BS__23">"Deleted"</definedName>
    <definedName name="z_G2JL860106_MO_BS__24">"Deleted"</definedName>
    <definedName name="z_G2JL860106_MO_BS__25">"Deleted"</definedName>
    <definedName name="z_G2JL860106_MO_BS__33">"Deleted"</definedName>
    <definedName name="z_G2JL860106_MO_BS__34">"Deleted"</definedName>
    <definedName name="z_G2JL860106_MO_BS__35">"Deleted"</definedName>
    <definedName name="z_G2JL860106_MO_BS__36">"Deleted"</definedName>
    <definedName name="z_G2JL860106_MO_BS__37">"Deleted"</definedName>
    <definedName name="z_G2JL860106_MO_BS__42">"Deleted"</definedName>
    <definedName name="z_G2JL860106_MO_BS__43">"Deleted"</definedName>
    <definedName name="z_G2JL860106_MO_BS__44">"Deleted"</definedName>
    <definedName name="z_G2JL860106_MO_BS__45">"Deleted"</definedName>
    <definedName name="z_G2JL860106_MO_BS__46">"Deleted"</definedName>
    <definedName name="z_G2JL860106_MO_BS__47">"Deleted"</definedName>
    <definedName name="z_G2JL860106_MO_BS__5">"Deleted"</definedName>
    <definedName name="z_G2JL860106_MO_BS__55">"Deleted"</definedName>
    <definedName name="z_G2JL860106_MO_BS__56">"Deleted"</definedName>
    <definedName name="z_G2JL860106_MO_BS__57">"Deleted"</definedName>
    <definedName name="z_G2JL860106_MO_BS__58">"Deleted"</definedName>
    <definedName name="z_G2JL860106_MO_BS__6">"Deleted"</definedName>
    <definedName name="z_G2JL860106_MO_BS__7">"Deleted"</definedName>
    <definedName name="z_G2JL860106_MO_BS__8">"Deleted"</definedName>
    <definedName name="z_G2JL860106_MO_BS__9">"Deleted"</definedName>
    <definedName name="z_G2JL860106_MO_BS_Accountspayable">'STER Canalyst'!$611:$611</definedName>
    <definedName name="z_G2JL860106_MO_BS_Accountsreceivable">'STER Canalyst'!$593:$593</definedName>
    <definedName name="z_G2JL860106_MO_BS_Accruedexpenses">'STER Canalyst'!$613:$613</definedName>
    <definedName name="z_G2JL860106_MO_BS_Accumulateddeficit">'STER Canalyst'!$632:$632</definedName>
    <definedName name="z_G2JL860106_MO_BS_Accumulatedothercomprehensivelossincome">'STER Canalyst'!$633:$633</definedName>
    <definedName name="z_G2JL860106_MO_BS_Additionalpaidincapital">'STER Canalyst'!$630:$630</definedName>
    <definedName name="z_G2JL860106_MO_BS_Cashandcashequivalents">'STER Canalyst'!$592:$592</definedName>
    <definedName name="z_G2JL860106_MO_BS_Commonstock">'STER Canalyst'!$629:$629</definedName>
    <definedName name="z_G2JL860106_MO_BS_Commonstockheldintreasury">'STER Canalyst'!$631:$631</definedName>
    <definedName name="z_G2JL860106_MO_BS_Currentportionoflongtermdebt">'STER Canalyst'!$614:$614</definedName>
    <definedName name="z_G2JL860106_MO_BS_Deferredincometaxes">'STER Canalyst'!$622:$622</definedName>
    <definedName name="z_G2JL860106_MO_BS_Deferredincometaxes_1">'STER Canalyst'!$604:$604</definedName>
    <definedName name="z_G2JL860106_MO_BS_Goodwill">'STER Canalyst'!$602:$602</definedName>
    <definedName name="z_G2JL860106_MO_BS_Incometaxespayable">'STER Canalyst'!$616:$616</definedName>
    <definedName name="z_G2JL860106_MO_BS_Insurancereceivable">'STER Canalyst'!$594:$594</definedName>
    <definedName name="z_G2JL860106_MO_BS_Intangibleassets">'STER Canalyst'!$603:$603</definedName>
    <definedName name="z_G2JL860106_MO_BS_Litigationsettlementobligation">'STER Canalyst'!$612:$612</definedName>
    <definedName name="z_G2JL860106_MO_BS_Longtermdebt">'STER Canalyst'!$621:$621</definedName>
    <definedName name="z_G2JL860106_MO_BS_Longtermoperatingleasesliability">'STER Canalyst'!$623:$623</definedName>
    <definedName name="z_G2JL860106_MO_BS_NCI">'STER Canalyst'!$635:$635</definedName>
    <definedName name="z_G2JL860106_MO_BS_Operatingleasesliability">'STER Canalyst'!$615:$615</definedName>
    <definedName name="z_G2JL860106_MO_BS_Operatingleasesrightofuseasset">'STER Canalyst'!$596:$596</definedName>
    <definedName name="z_G2JL860106_MO_BS_Operatingleasesrightofuseasset_1">'STER Canalyst'!$605:$605</definedName>
    <definedName name="z_G2JL860106_MO_BS_Othercurrentassets">'STER Canalyst'!$597:$597</definedName>
    <definedName name="z_G2JL860106_MO_BS_Othercurrentliabilities">'STER Canalyst'!$617:$617</definedName>
    <definedName name="z_G2JL860106_MO_BS_Otherliabilities">'STER Canalyst'!$624:$624</definedName>
    <definedName name="z_G2JL860106_MO_BS_Othernoncurrentassets">'STER Canalyst'!$606:$606</definedName>
    <definedName name="z_G2JL860106_MO_BS_Prepaidexpenses">'STER Canalyst'!$595:$595</definedName>
    <definedName name="z_G2JL860106_MO_BS_Propertyandequipment">'STER Canalyst'!$601:$601</definedName>
    <definedName name="z_G2JL860106_MO_BS_TotalAssets">'STER Canalyst'!$608:$608</definedName>
    <definedName name="z_G2JL860106_MO_BS_TotalCurrentAssets">'STER Canalyst'!$598:$598</definedName>
    <definedName name="z_G2JL860106_MO_BS_TotalCurrentLiabilities">'STER Canalyst'!$618:$618</definedName>
    <definedName name="z_G2JL860106_MO_BS_TotalLiabilities">'STER Canalyst'!$626:$626</definedName>
    <definedName name="z_G2JL860106_MO_BS_TotalLiabilitiesSE">'STER Canalyst'!$636:$636</definedName>
    <definedName name="z_G2JL860106_MO_BS_TotalNonCurrentAssets">'STER Canalyst'!$607:$607</definedName>
    <definedName name="z_G2JL860106_MO_BS_TotalNonCurrentliabilities">'STER Canalyst'!$625:$625</definedName>
    <definedName name="z_G2JL860106_MO_BS_TotalSE">'STER Canalyst'!$634:$634</definedName>
    <definedName name="z_G2JL860106_MO_BSS_Cash">'STER Canalyst'!$379:$379</definedName>
    <definedName name="z_G2JL860106_MO_BSS_Debt">'STER Canalyst'!$382:$382</definedName>
    <definedName name="z_G2JL860106_MO_BSS_EBITDANetInterestExpense">'STER Canalyst'!$393:$393</definedName>
    <definedName name="z_G2JL860106_MO_BSS_EffectiveInterestRateonCash">'STER Canalyst'!$389:$389</definedName>
    <definedName name="z_G2JL860106_MO_BSS_EffectiveInterestRateonDebt">'STER Canalyst'!$387:$387</definedName>
    <definedName name="z_G2JL860106_MO_BSS_EffectiveNetInterestRateonDebt">'STER Canalyst'!$391:$391</definedName>
    <definedName name="z_G2JL860106_MO_BSS_InterestExpense">'STER Canalyst'!$386:$386</definedName>
    <definedName name="z_G2JL860106_MO_BSS_InterestIncome">'STER Canalyst'!$388:$388</definedName>
    <definedName name="z_G2JL860106_MO_BSS_LTDebt">'STER Canalyst'!$381:$381</definedName>
    <definedName name="z_G2JL860106_MO_BSS_NetDebt">'STER Canalyst'!$384:$384</definedName>
    <definedName name="z_G2JL860106_MO_BSS_NetDebtCashFlow">'STER Canalyst'!$395:$395</definedName>
    <definedName name="z_G2JL860106_MO_BSS_NetDebtEBITDA">'STER Canalyst'!$394:$394</definedName>
    <definedName name="z_G2JL860106_MO_BSS_NetInterestExpenseIncome">'STER Canalyst'!$390:$390</definedName>
    <definedName name="z_G2JL860106_MO_BSS_OperatingLeaseLiabilities">'STER Canalyst'!$383:$383</definedName>
    <definedName name="z_G2JL860106_MO_BSS_STDebt">'STER Canalyst'!$380:$380</definedName>
    <definedName name="z_G2JL860106_MO_CCFS__12">"Deleted"</definedName>
    <definedName name="z_G2JL860106_MO_CCFS__13">"Deleted"</definedName>
    <definedName name="z_G2JL860106_MO_CCFS__14">"Deleted"</definedName>
    <definedName name="z_G2JL860106_MO_CCFS__15">"Deleted"</definedName>
    <definedName name="z_G2JL860106_MO_CCFS__16">"Deleted"</definedName>
    <definedName name="z_G2JL860106_MO_CCFS__17">"Deleted"</definedName>
    <definedName name="z_G2JL860106_MO_CCFS__18">"Deleted"</definedName>
    <definedName name="z_G2JL860106_MO_CCFS__19">"Deleted"</definedName>
    <definedName name="z_G2JL860106_MO_CCFS__20">"Deleted"</definedName>
    <definedName name="z_G2JL860106_MO_CCFS__21">"Deleted"</definedName>
    <definedName name="z_G2JL860106_MO_CCFS__22">"Deleted"</definedName>
    <definedName name="z_G2JL860106_MO_CCFS__23">"Deleted"</definedName>
    <definedName name="z_G2JL860106_MO_CCFS__24">"Deleted"</definedName>
    <definedName name="z_G2JL860106_MO_CCFS__34">"Deleted"</definedName>
    <definedName name="z_G2JL860106_MO_CCFS__35">"Deleted"</definedName>
    <definedName name="z_G2JL860106_MO_CCFS__36">"Deleted"</definedName>
    <definedName name="z_G2JL860106_MO_CCFS__44">"Deleted"</definedName>
    <definedName name="z_G2JL860106_MO_CCFS__45">"Deleted"</definedName>
    <definedName name="z_G2JL860106_MO_CCFS__46">"Deleted"</definedName>
    <definedName name="z_G2JL860106_MO_CCFS__47">"Deleted"</definedName>
    <definedName name="z_G2JL860106_MO_CCFS__48">"Deleted"</definedName>
    <definedName name="z_G2JL860106_MO_CCFS__49">"Deleted"</definedName>
    <definedName name="z_G2JL860106_MO_CCFS__50">"Deleted"</definedName>
    <definedName name="z_G2JL860106_MO_CCFS__60">"Deleted"</definedName>
    <definedName name="z_G2JL860106_MO_CCFS__61">"Deleted"</definedName>
    <definedName name="z_G2JL860106_MO_CCFS__62">"Deleted"</definedName>
    <definedName name="z_G2JL860106_MO_CCFS__63">"Deleted"</definedName>
    <definedName name="z_G2JL860106_MO_CCFS__64">"Deleted"</definedName>
    <definedName name="z_G2JL860106_MO_CCFS__65">"Deleted"</definedName>
    <definedName name="z_G2JL860106_MO_CCFS__66">"Deleted"</definedName>
    <definedName name="z_G2JL860106_MO_CCFS__67">"Deleted"</definedName>
    <definedName name="z_G2JL860106_MO_CCFS__68">"Deleted"</definedName>
    <definedName name="z_G2JL860106_MO_CCFS__69">"Deleted"</definedName>
    <definedName name="z_G2JL860106_MO_CCFS__70">"Deleted"</definedName>
    <definedName name="z_G2JL860106_MO_CCFS__71">"Deleted"</definedName>
    <definedName name="z_G2JL860106_MO_CCFS_Accountspayable">'STER Canalyst'!$445:$445</definedName>
    <definedName name="z_G2JL860106_MO_CCFS_Accountsreceivable">'STER Canalyst'!$441:$441</definedName>
    <definedName name="z_G2JL860106_MO_CCFS_Accruedexpenses">'STER Canalyst'!$447:$447</definedName>
    <definedName name="z_G2JL860106_MO_CCFS_Acquisitions">'STER Canalyst'!$456:$456</definedName>
    <definedName name="z_G2JL860106_MO_CCFS_Amortizationofdebtdiscount">'STER Canalyst'!$431:$431</definedName>
    <definedName name="z_G2JL860106_MO_CCFS_Amortizationoffinancingfees">'STER Canalyst'!$430:$430</definedName>
    <definedName name="z_G2JL860106_MO_CCFS_BeginningCashBalance">'STER Canalyst'!$482:$482</definedName>
    <definedName name="z_G2JL860106_MO_CCFS_Borrowingsonrevolvingcreditfacility">'STER Canalyst'!$471:$471</definedName>
    <definedName name="z_G2JL860106_MO_CCFS_Capitalcontributionfromcertainstockholders">'STER Canalyst'!$466:$466</definedName>
    <definedName name="z_G2JL860106_MO_CCFS_Cashpaidduringtheperiodforincometaxes">'STER Canalyst'!$486:$486</definedName>
    <definedName name="z_G2JL860106_MO_CCFS_Cashpaidduringtheperiodforinterest">'STER Canalyst'!$485:$485</definedName>
    <definedName name="z_G2JL860106_MO_CCFS_CashpaidfortaxwithholdingonRSAvestings">'STER Canalyst'!$473:$473</definedName>
    <definedName name="z_G2JL860106_MO_CCFS_Cashpaidforwithholdingonexerciseofemployeestockoptions">'STER Canalyst'!$463:$463</definedName>
    <definedName name="z_G2JL860106_MO_CCFS_CFObeforeWC">'STER Canalyst'!$440:$440</definedName>
    <definedName name="z_G2JL860106_MO_CCFS_Changeinfairvalueofcontingentconsideration">'STER Canalyst'!$437:$437</definedName>
    <definedName name="z_G2JL860106_MO_CCFS_Changesinfairvalueofderivatives">'STER Canalyst'!$436:$436</definedName>
    <definedName name="z_G2JL860106_MO_CCFS_Deferredincometaxes">'STER Canalyst'!$426:$426</definedName>
    <definedName name="z_G2JL860106_MO_CCFS_Deferredrent">'STER Canalyst'!$432:$432</definedName>
    <definedName name="z_G2JL860106_MO_CCFS_Depreciationandamortization">'STER Canalyst'!$425:$425</definedName>
    <definedName name="z_G2JL860106_MO_CCFS_Divestiture">"Deleted"</definedName>
    <definedName name="z_G2JL860106_MO_CCFS_Dividendspaid">'STER Canalyst'!$476:$476</definedName>
    <definedName name="z_G2JL860106_MO_CCFS_EndingCashBalance">'STER Canalyst'!$483:$483</definedName>
    <definedName name="z_G2JL860106_MO_CCFS_Excesspaymentoncontingentconsiderationforacquisition">'STER Canalyst'!$438:$438</definedName>
    <definedName name="z_G2JL860106_MO_CCFS_FX">'STER Canalyst'!$479:$479</definedName>
    <definedName name="z_G2JL860106_MO_CCFS_Gainondispositionofpropertyandequipment">'STER Canalyst'!$439:$439</definedName>
    <definedName name="z_G2JL860106_MO_CCFS_Impairmentsoflonglivedassets">'STER Canalyst'!$428:$428</definedName>
    <definedName name="z_G2JL860106_MO_CCFS_Insurancereceivable">'STER Canalyst'!$442:$442</definedName>
    <definedName name="z_G2JL860106_MO_CCFS_Interestrateswapsettlements">'STER Canalyst'!$435:$435</definedName>
    <definedName name="z_G2JL860106_MO_CCFS_Investmentinminorityinterest">'STER Canalyst'!$454:$454</definedName>
    <definedName name="z_G2JL860106_MO_CCFS_Issuanceofcommonstock">'STER Canalyst'!$460:$460</definedName>
    <definedName name="z_G2JL860106_MO_CCFS_Litigationsettlementobligation">'STER Canalyst'!$446:$446</definedName>
    <definedName name="z_G2JL860106_MO_CCFS_Lossonextinguishmentofdebt">'STER Canalyst'!$424:$424</definedName>
    <definedName name="z_G2JL860106_MO_CCFS_NetCFF">'STER Canalyst'!$477:$477</definedName>
    <definedName name="z_G2JL860106_MO_CCFS_NetCFI">'STER Canalyst'!$457:$457</definedName>
    <definedName name="z_G2JL860106_MO_CCFS_NetCFO">'STER Canalyst'!$449:$449</definedName>
    <definedName name="z_G2JL860106_MO_CCFS_NetChangeinCashBalance">'STER Canalyst'!$480:$480</definedName>
    <definedName name="z_G2JL860106_MO_CCFS_Netloss">'STER Canalyst'!$423:$423</definedName>
    <definedName name="z_G2JL860106_MO_CCFS_NoncashimpactofleaseaccountingunderASC842">'STER Canalyst'!$433:$433</definedName>
    <definedName name="z_G2JL860106_MO_CCFS_Otherassets">'STER Canalyst'!$444:$444</definedName>
    <definedName name="z_G2JL860106_MO_CCFS_Otherliabilities">'STER Canalyst'!$448:$448</definedName>
    <definedName name="z_G2JL860106_MO_CCFS_Paymentofcontingentconsiderationforacquisition">'STER Canalyst'!$474:$474</definedName>
    <definedName name="z_G2JL860106_MO_CCFS_Paymentsofdebtissuancecosts">'STER Canalyst'!$472:$472</definedName>
    <definedName name="z_G2JL860106_MO_CCFS_PaymentsofIPOissuancecosts">'STER Canalyst'!$465:$465</definedName>
    <definedName name="z_G2JL860106_MO_CCFS_Paymentsoflongtermdebt">'STER Canalyst'!$468:$468</definedName>
    <definedName name="z_G2JL860106_MO_CCFS_Paymentsonequipmentcapitalleaseobligations">'STER Canalyst'!$475:$475</definedName>
    <definedName name="z_G2JL860106_MO_CCFS_Prepaidexpenses">'STER Canalyst'!$443:$443</definedName>
    <definedName name="z_G2JL860106_MO_CCFS_Proceedsfromdispositionofpropertyandequipment">'STER Canalyst'!$455:$455</definedName>
    <definedName name="z_G2JL860106_MO_CCFS_Proceedsfromemployeestockpurchaseplan">'STER Canalyst'!$464:$464</definedName>
    <definedName name="z_G2JL860106_MO_CCFS_Proceedsfromexerciseofemployeestockoptions">'STER Canalyst'!$462:$462</definedName>
    <definedName name="z_G2JL860106_MO_CCFS_ProceedsfromissuanceofcommonstockinIPOnetofunderwritingdiscountsandcommissions">'STER Canalyst'!$461:$461</definedName>
    <definedName name="z_G2JL860106_MO_CCFS_Provisionforbaddebts">'STER Canalyst'!$429:$429</definedName>
    <definedName name="z_G2JL860106_MO_CCFS_Purchasesofintangibleassetsandcapitalizedsoftware">'STER Canalyst'!$453:$453</definedName>
    <definedName name="z_G2JL860106_MO_CCFS_Purchasesofpropertyandequipment">'STER Canalyst'!$452:$452</definedName>
    <definedName name="z_G2JL860106_MO_CCFS_Repaymentoftermloanborrowings">'STER Canalyst'!$469:$469</definedName>
    <definedName name="z_G2JL860106_MO_CCFS_Repaymentsofrevolvingcreditfacility">'STER Canalyst'!$470:$470</definedName>
    <definedName name="z_G2JL860106_MO_CCFS_Repurchaseofcommonstock">'STER Canalyst'!$467:$467</definedName>
    <definedName name="z_G2JL860106_MO_CCFS_Stockbasedcompensation">'STER Canalyst'!$427:$427</definedName>
    <definedName name="z_G2JL860106_MO_CCFS_Unrealizedtranslationlossgainoninvestmentinforeignsubsidiaries">'STER Canalyst'!$434:$434</definedName>
    <definedName name="z_G2JL860106_MO_CFS_0">"Deleted"</definedName>
    <definedName name="z_G2JL860106_MO_CFS_0_1">"Deleted"</definedName>
    <definedName name="z_G2JL860106_MO_CFS_0_10">"Deleted"</definedName>
    <definedName name="z_G2JL860106_MO_CFS_0_11">"Deleted"</definedName>
    <definedName name="z_G2JL860106_MO_CFS_0_12">"Deleted"</definedName>
    <definedName name="z_G2JL860106_MO_CFS_0_13">"Deleted"</definedName>
    <definedName name="z_G2JL860106_MO_CFS_0_14">"Deleted"</definedName>
    <definedName name="z_G2JL860106_MO_CFS_0_15">"Deleted"</definedName>
    <definedName name="z_G2JL860106_MO_CFS_0_16">"Deleted"</definedName>
    <definedName name="z_G2JL860106_MO_CFS_0_17">"Deleted"</definedName>
    <definedName name="z_G2JL860106_MO_CFS_0_18">"Deleted"</definedName>
    <definedName name="z_G2JL860106_MO_CFS_0_19">"Deleted"</definedName>
    <definedName name="z_G2JL860106_MO_CFS_0_2">"Deleted"</definedName>
    <definedName name="z_G2JL860106_MO_CFS_0_20">"Deleted"</definedName>
    <definedName name="z_G2JL860106_MO_CFS_0_21">"Deleted"</definedName>
    <definedName name="z_G2JL860106_MO_CFS_0_22">"Deleted"</definedName>
    <definedName name="z_G2JL860106_MO_CFS_0_23">"Deleted"</definedName>
    <definedName name="z_G2JL860106_MO_CFS_0_24">"Deleted"</definedName>
    <definedName name="z_G2JL860106_MO_CFS_0_25">"Deleted"</definedName>
    <definedName name="z_G2JL860106_MO_CFS_0_26">"Deleted"</definedName>
    <definedName name="z_G2JL860106_MO_CFS_0_27">"Deleted"</definedName>
    <definedName name="z_G2JL860106_MO_CFS_0_28">"Deleted"</definedName>
    <definedName name="z_G2JL860106_MO_CFS_0_29">"Deleted"</definedName>
    <definedName name="z_G2JL860106_MO_CFS_0_3">"Deleted"</definedName>
    <definedName name="z_G2JL860106_MO_CFS_0_30">"Deleted"</definedName>
    <definedName name="z_G2JL860106_MO_CFS_0_31">"Deleted"</definedName>
    <definedName name="z_G2JL860106_MO_CFS_0_32">"Deleted"</definedName>
    <definedName name="z_G2JL860106_MO_CFS_0_33">"Deleted"</definedName>
    <definedName name="z_G2JL860106_MO_CFS_0_34">"Deleted"</definedName>
    <definedName name="z_G2JL860106_MO_CFS_0_4">"Deleted"</definedName>
    <definedName name="z_G2JL860106_MO_CFS_0_5">"Deleted"</definedName>
    <definedName name="z_G2JL860106_MO_CFS_0_6">"Deleted"</definedName>
    <definedName name="z_G2JL860106_MO_CFS_0_7">"Deleted"</definedName>
    <definedName name="z_G2JL860106_MO_CFS_0_8">"Deleted"</definedName>
    <definedName name="z_G2JL860106_MO_CFS_0_9">"Deleted"</definedName>
    <definedName name="z_G2JL860106_MO_CFS_Accountspayable">'STER Canalyst'!$512:$512</definedName>
    <definedName name="z_G2JL860106_MO_CFS_Accountsreceivable">'STER Canalyst'!$508:$508</definedName>
    <definedName name="z_G2JL860106_MO_CFS_Accruedexpenses">'STER Canalyst'!$514:$514</definedName>
    <definedName name="z_G2JL860106_MO_CFS_Acquisitions">'STER Canalyst'!$523:$523</definedName>
    <definedName name="z_G2JL860106_MO_CFS_Amortizationofdebtdiscount">'STER Canalyst'!$498:$498</definedName>
    <definedName name="z_G2JL860106_MO_CFS_Amortizationoffinancingfees">'STER Canalyst'!$497:$497</definedName>
    <definedName name="z_G2JL860106_MO_CFS_BeginningCashBalance">'STER Canalyst'!$549:$549</definedName>
    <definedName name="z_G2JL860106_MO_CFS_Borrowingsonrevolvingcreditfacility">'STER Canalyst'!$538:$538</definedName>
    <definedName name="z_G2JL860106_MO_CFS_Capitalcontributionfromcertainstockholders">'STER Canalyst'!$533:$533</definedName>
    <definedName name="z_G2JL860106_MO_CFS_Cashpaidduringtheperiodforincometaxes">'STER Canalyst'!$553:$553</definedName>
    <definedName name="z_G2JL860106_MO_CFS_Cashpaidduringtheperiodforinterest">'STER Canalyst'!$552:$552</definedName>
    <definedName name="z_G2JL860106_MO_CFS_CashpaidfortaxwithholdingonRSAvestings">'STER Canalyst'!$540:$540</definedName>
    <definedName name="z_G2JL860106_MO_CFS_Cashpaidforwithholdingonexerciseofemployeestockoptions">'STER Canalyst'!$530:$530</definedName>
    <definedName name="z_G2JL860106_MO_CFS_CFObeforeWC">'STER Canalyst'!$507:$507</definedName>
    <definedName name="z_G2JL860106_MO_CFS_Changeinfairvalueofcontingentconsideration">'STER Canalyst'!$504:$504</definedName>
    <definedName name="z_G2JL860106_MO_CFS_Changesinfairvalueofderivatives">'STER Canalyst'!$503:$503</definedName>
    <definedName name="z_G2JL860106_MO_CFS_Deferredincometaxes">'STER Canalyst'!$493:$493</definedName>
    <definedName name="z_G2JL860106_MO_CFS_Deferredrent">'STER Canalyst'!$499:$499</definedName>
    <definedName name="z_G2JL860106_MO_CFS_Depreciationandamortization">'STER Canalyst'!$492:$492</definedName>
    <definedName name="z_G2JL860106_MO_CFS_Divestiture">"Deleted"</definedName>
    <definedName name="z_G2JL860106_MO_CFS_Dividendspaid">'STER Canalyst'!$543:$543</definedName>
    <definedName name="z_G2JL860106_MO_CFS_EndingCashBalance">'STER Canalyst'!$550:$550</definedName>
    <definedName name="z_G2JL860106_MO_CFS_Excesspaymentoncontingentconsiderationforacquisition">'STER Canalyst'!$505:$505</definedName>
    <definedName name="z_G2JL860106_MO_CFS_FX">'STER Canalyst'!$546:$546</definedName>
    <definedName name="z_G2JL860106_MO_CFS_Gainondispositionofpropertyandequipment">'STER Canalyst'!$506:$506</definedName>
    <definedName name="z_G2JL860106_MO_CFS_Impairmentsoflonglivedassets">'STER Canalyst'!$495:$495</definedName>
    <definedName name="z_G2JL860106_MO_CFS_Insurancereceivable">'STER Canalyst'!$509:$509</definedName>
    <definedName name="z_G2JL860106_MO_CFS_Interestrateswapsettlements">'STER Canalyst'!$502:$502</definedName>
    <definedName name="z_G2JL860106_MO_CFS_Investmentinminorityinterest">'STER Canalyst'!$521:$521</definedName>
    <definedName name="z_G2JL860106_MO_CFS_Issuanceofcommonstock">'STER Canalyst'!$527:$527</definedName>
    <definedName name="z_G2JL860106_MO_CFS_Litigationsettlementobligation">'STER Canalyst'!$513:$513</definedName>
    <definedName name="z_G2JL860106_MO_CFS_Lossonextinguishmentofdebt">'STER Canalyst'!$491:$491</definedName>
    <definedName name="z_G2JL860106_MO_CFS_NetCFF">'STER Canalyst'!$544:$544</definedName>
    <definedName name="z_G2JL860106_MO_CFS_NetCFI">'STER Canalyst'!$524:$524</definedName>
    <definedName name="z_G2JL860106_MO_CFS_NetCFO">'STER Canalyst'!$516:$516</definedName>
    <definedName name="z_G2JL860106_MO_CFS_NetChangeinCashBalance">'STER Canalyst'!$547:$547</definedName>
    <definedName name="z_G2JL860106_MO_CFS_Netloss">'STER Canalyst'!$490:$490</definedName>
    <definedName name="z_G2JL860106_MO_CFS_NoncashimpactofleaseaccountingunderASC842">'STER Canalyst'!$500:$500</definedName>
    <definedName name="z_G2JL860106_MO_CFS_Otherassets">'STER Canalyst'!$511:$511</definedName>
    <definedName name="z_G2JL860106_MO_CFS_Otherliabilities">'STER Canalyst'!$515:$515</definedName>
    <definedName name="z_G2JL860106_MO_CFS_Paymentofcontingentconsiderationforacquisition">'STER Canalyst'!$541:$541</definedName>
    <definedName name="z_G2JL860106_MO_CFS_Paymentsofdebtissuancecosts">'STER Canalyst'!$539:$539</definedName>
    <definedName name="z_G2JL860106_MO_CFS_PaymentsofIPOissuancecosts">'STER Canalyst'!$532:$532</definedName>
    <definedName name="z_G2JL860106_MO_CFS_Paymentsoflongtermdebt">'STER Canalyst'!$535:$535</definedName>
    <definedName name="z_G2JL860106_MO_CFS_Paymentsonequipmentcapitalleaseobligations">'STER Canalyst'!$542:$542</definedName>
    <definedName name="z_G2JL860106_MO_CFS_Prepaidexpenses">'STER Canalyst'!$510:$510</definedName>
    <definedName name="z_G2JL860106_MO_CFS_Proceedsfromdispositionofpropertyandequipment">'STER Canalyst'!$522:$522</definedName>
    <definedName name="z_G2JL860106_MO_CFS_Proceedsfromemployeestockpurchaseplan">'STER Canalyst'!$531:$531</definedName>
    <definedName name="z_G2JL860106_MO_CFS_Proceedsfromexerciseofemployeestockoptions">'STER Canalyst'!$529:$529</definedName>
    <definedName name="z_G2JL860106_MO_CFS_ProceedsfromissuanceofcommonstockinIPOnetofunderwritingdiscountsandcommissions">'STER Canalyst'!$528:$528</definedName>
    <definedName name="z_G2JL860106_MO_CFS_Provisionforbaddebts">'STER Canalyst'!$496:$496</definedName>
    <definedName name="z_G2JL860106_MO_CFS_Purchasesofintangibleassetsandcapitalizedsoftware">'STER Canalyst'!$520:$520</definedName>
    <definedName name="z_G2JL860106_MO_CFS_Purchasesofpropertyandequipment">'STER Canalyst'!$519:$519</definedName>
    <definedName name="z_G2JL860106_MO_CFS_Repaymentoftermloanborrowings">'STER Canalyst'!$536:$536</definedName>
    <definedName name="z_G2JL860106_MO_CFS_Repaymentsofrevolvingcreditfacility">'STER Canalyst'!$537:$537</definedName>
    <definedName name="z_G2JL860106_MO_CFS_Repurchaseofcommonstock">'STER Canalyst'!$534:$534</definedName>
    <definedName name="z_G2JL860106_MO_CFS_Stockbasedcompensation">'STER Canalyst'!$494:$494</definedName>
    <definedName name="z_G2JL860106_MO_CFS_Unrealizedtranslationlossgainoninvestmentinforeignsubsidiaries">'STER Canalyst'!$501:$501</definedName>
    <definedName name="z_G2JL860106_MO_CFSum_Acquisitions">'STER Canalyst'!$360:$360</definedName>
    <definedName name="z_G2JL860106_MO_CFSum_Capex">'STER Canalyst'!$358:$358</definedName>
    <definedName name="z_G2JL860106_MO_CFSum_CashFlowPerDilutedShare_1">'STER Canalyst'!$356:$356</definedName>
    <definedName name="z_G2JL860106_MO_CFSum_CashFlowPerDilutedSharebeforeWC">'STER Canalyst'!$355:$355</definedName>
    <definedName name="z_G2JL860106_MO_CFSum_ChangeinWorkingCapital">'STER Canalyst'!$353:$353</definedName>
    <definedName name="z_G2JL860106_MO_CFSum_ConsensusEstimatesCapex">'STER Canalyst'!$359:$359</definedName>
    <definedName name="z_G2JL860106_MO_CFSum_ConsensusEstimatesCashFlowPerDilutedShare">'STER Canalyst'!$357:$357</definedName>
    <definedName name="z_G2JL860106_MO_CFSum_Divestiture">'STER Canalyst'!$361:$361</definedName>
    <definedName name="z_G2JL860106_MO_CFSum_DividendPaid">'STER Canalyst'!$362:$362</definedName>
    <definedName name="z_G2JL860106_MO_CFSum_DividendPerShare">'STER Canalyst'!$363:$363</definedName>
    <definedName name="z_G2JL860106_MO_CFSum_EstimatedSharePriceforIssuanceBuybacks">'STER Canalyst'!$367:$367</definedName>
    <definedName name="z_G2JL860106_MO_CFSum_FCF">'STER Canalyst'!$369:$369</definedName>
    <definedName name="z_G2JL860106_MO_CFSum_FCF_1">'STER Canalyst'!$370:$370</definedName>
    <definedName name="z_G2JL860106_MO_CFSum_FCF_2">'STER Canalyst'!$371:$371</definedName>
    <definedName name="z_G2JL860106_MO_CFSum_FCFincludingWC">'STER Canalyst'!$373:$373</definedName>
    <definedName name="z_G2JL860106_MO_CFSum_FCFincludingWCPostDiv">'STER Canalyst'!$374:$374</definedName>
    <definedName name="z_G2JL860106_MO_CFSum_FCFincludingWCPostDiv_1">'STER Canalyst'!$375:$375</definedName>
    <definedName name="z_G2JL860106_MO_CFSum_FCFincludingWCPostDivDebtBuyback">'STER Canalyst'!$376:$376</definedName>
    <definedName name="z_G2JL860106_MO_CFSum_FCFPostDivDebtBuyback">'STER Canalyst'!$372:$372</definedName>
    <definedName name="z_G2JL860106_MO_CFSum_NetDebtIssuanceRepayment">'STER Canalyst'!$365:$365</definedName>
    <definedName name="z_G2JL860106_MO_CFSum_NetShareIssuanceBuybacks">'STER Canalyst'!$366:$366</definedName>
    <definedName name="z_G2JL860106_MO_CFSum_OperatingCashFlowafterWC">'STER Canalyst'!$354:$354</definedName>
    <definedName name="z_G2JL860106_MO_CFSum_OperatingCashFlowbeforeWC">'STER Canalyst'!$352:$352</definedName>
    <definedName name="z_G2JL860106_MO_Checks_CFS_CFCheck">'STER Canalyst'!$555:$555</definedName>
    <definedName name="z_G2JL860106_MO_Checks_IS_ISCheck">'STER Canalyst'!$135:$135</definedName>
    <definedName name="z_G2JL860106_MO_Checks_SNA_AdjustedNumbersFYSumofQs">'STER Canalyst'!$650:$650</definedName>
    <definedName name="z_G2JL860106_MO_Checks_SNA_BalanceSheetisnotRepeated">'STER Canalyst'!$646:$646</definedName>
    <definedName name="z_G2JL860106_MO_Checks_SNA_BSCheck">'STER Canalyst'!$638:$638</definedName>
    <definedName name="z_G2JL860106_MO_Checks_SNA_CapexisUpdated">'STER Canalyst'!$648:$648</definedName>
    <definedName name="z_G2JL860106_MO_Checks_SNA_CashFlowisnotRepeated">'STER Canalyst'!$644:$644</definedName>
    <definedName name="z_G2JL860106_MO_Checks_SNA_CashFlowSummarySignsareCorrect">'STER Canalyst'!$652:$652</definedName>
    <definedName name="z_G2JL860106_MO_Checks_SNA_CFFsubtotalFYSumofQs">'STER Canalyst'!$658:$658</definedName>
    <definedName name="z_G2JL860106_MO_Checks_SNA_CFIsubtotalFYSumofQs">'STER Canalyst'!$657:$657</definedName>
    <definedName name="z_G2JL860106_MO_Checks_SNA_CFOBeforeWCsubtotalFYSumofQs">'STER Canalyst'!$655:$655</definedName>
    <definedName name="z_G2JL860106_MO_Checks_SNA_CFOsubtotalFYSumofQs">'STER Canalyst'!$656:$656</definedName>
    <definedName name="z_G2JL860106_MO_Checks_SNA_CFSummaryFYSumofQs">'STER Canalyst'!$659:$659</definedName>
    <definedName name="z_G2JL860106_MO_Checks_SNA_EndingCFEndingCumulativeCF">'STER Canalyst'!$647:$647</definedName>
    <definedName name="z_G2JL860106_MO_Checks_SNA_IncomeStatementisnotRepeated">'STER Canalyst'!$645:$645</definedName>
    <definedName name="z_G2JL860106_MO_Checks_SNA_Marginaddsupto100">'STER Canalyst'!$651:$651</definedName>
    <definedName name="z_G2JL860106_MO_Checks_SNA_MarginisUpdated">'STER Canalyst'!$649:$649</definedName>
    <definedName name="z_G2JL860106_MO_Checks_SNA_NetIncomeonReportedISNIonRevised">'STER Canalyst'!$642:$642</definedName>
    <definedName name="z_G2JL860106_MO_Checks_SNA_NetIncomeonRevisedISNIonCFstatement">'STER Canalyst'!$641:$641</definedName>
    <definedName name="z_G2JL860106_MO_Checks_SNA_RISAdjustedNIFYSumofQs">'STER Canalyst'!$654:$654</definedName>
    <definedName name="z_G2JL860106_MO_Checks_SNA_RISNIFYSumofQs">'STER Canalyst'!$653:$653</definedName>
    <definedName name="z_G2JL860106_MO_Checks_SNA_SegmentedRevenueRevenue">'STER Canalyst'!$643:$643</definedName>
    <definedName name="z_G2JL860106_MO_DAF_AmortizationaspercentageofIntangiblesBoP">'STER Canalyst'!$571:$571</definedName>
    <definedName name="z_G2JL860106_MO_DAF_Amortizationofintangibles">'STER Canalyst'!$565:$565</definedName>
    <definedName name="z_G2JL860106_MO_DAF_Capexofintangibles">'STER Canalyst'!$566:$566</definedName>
    <definedName name="z_G2JL860106_MO_DAF_CapexofPPE">'STER Canalyst'!$560:$560</definedName>
    <definedName name="z_G2JL860106_MO_DAF_DepreciationaspercentageofPPEBoP">'STER Canalyst'!$570:$570</definedName>
    <definedName name="z_G2JL860106_MO_DAF_Depreciationoffixedassets">'STER Canalyst'!$559:$559</definedName>
    <definedName name="z_G2JL860106_MO_DAF_Impliedlifeoffixedassets">'STER Canalyst'!$572:$572</definedName>
    <definedName name="z_G2JL860106_MO_DAF_Impliedlifeofintangibles">'STER Canalyst'!$573:$573</definedName>
    <definedName name="z_G2JL860106_MO_DAF_IntangiblesBoP">'STER Canalyst'!$564:$564</definedName>
    <definedName name="z_G2JL860106_MO_DAF_IntangiblesEoP">'STER Canalyst'!$568:$568</definedName>
    <definedName name="z_G2JL860106_MO_DAF_Othernetadditionstointangibles">'STER Canalyst'!$567:$567</definedName>
    <definedName name="z_G2JL860106_MO_DAF_OthernetadditionstoPPE">'STER Canalyst'!$561:$561</definedName>
    <definedName name="z_G2JL860106_MO_DAF_Percentageofcapexallocatedtointangibleassets">'STER Canalyst'!$577:$577</definedName>
    <definedName name="z_G2JL860106_MO_DAF_PPEBoP">'STER Canalyst'!$558:$558</definedName>
    <definedName name="z_G2JL860106_MO_DAF_PPEEoP">'STER Canalyst'!$562:$562</definedName>
    <definedName name="z_G2JL860106_MO_DAF_TotalCapex">'STER Canalyst'!$576:$576</definedName>
    <definedName name="z_G2JL860106_MO_DAF_TotalDA">'STER Canalyst'!$575:$575</definedName>
    <definedName name="z_G2JL860106_MO_GA_APACgrowth">'STER Canalyst'!$13:$13</definedName>
    <definedName name="z_G2JL860106_MO_GA_Basegrowth">'STER Canalyst'!$12:$12</definedName>
    <definedName name="z_G2JL860106_MO_GA_Newcustomergrowth">'STER Canalyst'!$11:$11</definedName>
    <definedName name="z_G2JL860106_MO_GA_Otherservicesrevenuegrowth">'STER Canalyst'!$8:$8</definedName>
    <definedName name="z_G2JL860106_MO_GA_Screeningservicesrevenuegrowth">'STER Canalyst'!$7:$7</definedName>
    <definedName name="z_G2JL860106_MO_GA_TotalRevenueGrowth">'STER Canalyst'!$9:$9</definedName>
    <definedName name="z_G2JL860106_MO_Header_HeaderRow">'STER Canalyst'!$1:$1</definedName>
    <definedName name="z_G2JL860106_MO_Header_HeaderRow_1">'STER Canalyst'!$2:$2</definedName>
    <definedName name="z_G2JL860106_MO_Header_HeaderRow_2">'STER Canalyst'!$3:$3</definedName>
    <definedName name="z_G2JL860106_MO_Header_HeaderRow_3">'STER Canalyst'!$4:$4</definedName>
    <definedName name="z_G2JL860106_MO_Header_HeaderRow_4">'STER Canalyst'!$5:$5</definedName>
    <definedName name="z_G2JL860106_MO_IS_Costofrevenues">'STER Canalyst'!$120:$120</definedName>
    <definedName name="z_G2JL860106_MO_IS_Depreciationandamortization">'STER Canalyst'!$124:$124</definedName>
    <definedName name="z_G2JL860106_MO_IS_GrossProfit">'STER Canalyst'!$121:$121</definedName>
    <definedName name="z_G2JL860106_MO_IS_Impairmentsoflonglivedassets">'STER Canalyst'!$125:$125</definedName>
    <definedName name="z_G2JL860106_MO_IS_Incometaxbenefit">'STER Canalyst'!$132:$132</definedName>
    <definedName name="z_G2JL860106_MO_IS_Interestexpense">'STER Canalyst'!$127:$127</definedName>
    <definedName name="z_G2JL860106_MO_IS_LossBeforeIncomeTaxes">'STER Canalyst'!$131:$131</definedName>
    <definedName name="z_G2JL860106_MO_IS_Lossonextinguishmentofdebt">'STER Canalyst'!$129:$129</definedName>
    <definedName name="z_G2JL860106_MO_IS_Lossoninterestrateswap">'STER Canalyst'!$128:$128</definedName>
    <definedName name="z_G2JL860106_MO_IS_Netlossincome">'STER Canalyst'!$133:$133</definedName>
    <definedName name="z_G2JL860106_MO_IS_Operatingloss">'STER Canalyst'!$126:$126</definedName>
    <definedName name="z_G2JL860106_MO_IS_Otherincome">'STER Canalyst'!$130:$130</definedName>
    <definedName name="z_G2JL860106_MO_IS_Productandtechnologyexpense">'STER Canalyst'!$122:$122</definedName>
    <definedName name="z_G2JL860106_MO_IS_Revenues">'STER Canalyst'!$119:$119</definedName>
    <definedName name="z_G2JL860106_MO_IS_Selling">'STER Canalyst'!$123:$123</definedName>
    <definedName name="z_G2JL860106_MO_MA_AdjustedEBITDAMargin">'STER Canalyst'!$115:$115</definedName>
    <definedName name="z_G2JL860106_MO_MA_AverageFXRate">'STER Canalyst'!$412:$412</definedName>
    <definedName name="z_G2JL860106_MO_MA_COGSMargin">'STER Canalyst'!$108:$108</definedName>
    <definedName name="z_G2JL860106_MO_MA_ConsensusEstimatesAdjustedEBITDAMargin">'STER Canalyst'!$116:$116</definedName>
    <definedName name="z_G2JL860106_MO_MA_ConsensusEstimatesGrossMargin">'STER Canalyst'!$110:$110</definedName>
    <definedName name="z_G2JL860106_MO_MA_EBITDAMargin">'STER Canalyst'!$114:$114</definedName>
    <definedName name="z_G2JL860106_MO_MA_EnterpriseValueAvg">'STER Canalyst'!$400:$400</definedName>
    <definedName name="z_G2JL860106_MO_MA_EnterpriseValueComponents">'STER Canalyst'!$416:$416</definedName>
    <definedName name="z_G2JL860106_MO_MA_EoPFXRate">'STER Canalyst'!$413:$413</definedName>
    <definedName name="z_G2JL860106_MO_MA_EVEBITDAAvg">'STER Canalyst'!$403:$403</definedName>
    <definedName name="z_G2JL860106_MO_MA_FCFYieldtoAvgEnterpriseValue">'STER Canalyst'!$406:$406</definedName>
    <definedName name="z_G2JL860106_MO_MA_FCFYieldtoAvgMarketCap">'STER Canalyst'!$405:$405</definedName>
    <definedName name="z_G2JL860106_MO_MA_GrossMargin">'STER Canalyst'!$109:$109</definedName>
    <definedName name="z_G2JL860106_MO_MA_MarketCapAvg">'STER Canalyst'!$399:$399</definedName>
    <definedName name="z_G2JL860106_MO_MA_NoncontrollingInterest">'STER Canalyst'!$417:$417</definedName>
    <definedName name="z_G2JL860106_MO_MA_OtherEVComponents">'STER Canalyst'!$419:$419</definedName>
    <definedName name="z_G2JL860106_MO_MA_PCFAvg">'STER Canalyst'!$404:$404</definedName>
    <definedName name="z_G2JL860106_MO_MA_PEAvg">'STER Canalyst'!$402:$402</definedName>
    <definedName name="z_G2JL860106_MO_MA_PreferredShares">'STER Canalyst'!$418:$418</definedName>
    <definedName name="z_G2JL860106_MO_MA_RDMargin">'STER Canalyst'!$112:$112</definedName>
    <definedName name="z_G2JL860106_MO_MA_SGAMarginadjforSBC">'STER Canalyst'!$113:$113</definedName>
    <definedName name="z_G2JL860106_MO_MA_StockAverage">'STER Canalyst'!$410:$410</definedName>
    <definedName name="z_G2JL860106_MO_MA_StockEoP">'STER Canalyst'!$411:$411</definedName>
    <definedName name="z_G2JL860106_MO_MA_StockHigh">'STER Canalyst'!$408:$408</definedName>
    <definedName name="z_G2JL860106_MO_MA_StockLow">'STER Canalyst'!$409:$409</definedName>
    <definedName name="z_G2JL860106_MO_MA_StockPriceReportingCurAvg">'STER Canalyst'!$398:$398</definedName>
    <definedName name="z_G2JL860106_MO_MA_StockPriceTradingCurAvg">'STER Canalyst'!$414:$414</definedName>
    <definedName name="z_G2JL860106_MO_OS_Accountspayable">'STER Canalyst'!$581:$581</definedName>
    <definedName name="z_G2JL860106_MO_OS_AccountspayableYYChange">'STER Canalyst'!$586:$586</definedName>
    <definedName name="z_G2JL860106_MO_OS_Accountsreceivablenet">'STER Canalyst'!$580:$580</definedName>
    <definedName name="z_G2JL860106_MO_OS_AccountsreceivablenetYYChange">'STER Canalyst'!$585:$585</definedName>
    <definedName name="z_G2JL860106_MO_OS_Accruedexpenses">'STER Canalyst'!$583:$583</definedName>
    <definedName name="z_G2JL860106_MO_OS_AccruedexpensesYYChange">'STER Canalyst'!$588:$588</definedName>
    <definedName name="z_G2JL860106_MO_OS_Allothercountriesrevenue">'STER Canalyst'!$22:$22</definedName>
    <definedName name="z_G2JL860106_MO_OS_AsiaPacific">'STER Canalyst'!$55:$55</definedName>
    <definedName name="z_G2JL860106_MO_OS_AverageClients">'STER Canalyst'!$29:$29</definedName>
    <definedName name="z_G2JL860106_MO_OS_BoP2021OmnibusIncentivePlanWeightedAverageExercisePrice">'STER Canalyst'!$317:$317</definedName>
    <definedName name="z_G2JL860106_MO_OS_BoPPerformanceBasedVestingStockPlanWeightedAverageExercisePrice">'STER Canalyst'!$290:$290</definedName>
    <definedName name="z_G2JL860106_MO_OS_BoPServiceBasedVestingStockPlanWeightedAverageExercisePrice">'STER Canalyst'!$263:$263</definedName>
    <definedName name="z_G2JL860106_MO_OS_BoPTotal2021OmnibusIncentivePlanOptionsOutstanding">'STER Canalyst'!$305:$305</definedName>
    <definedName name="z_G2JL860106_MO_OS_BoPTotalPerformanceBasedVestingStockPlanOptionsOutstanding">'STER Canalyst'!$278:$278</definedName>
    <definedName name="z_G2JL860106_MO_OS_BoPTotalServiceBasedVestingStockPlanOptionsOutstanding">'STER Canalyst'!$251:$251</definedName>
    <definedName name="z_G2JL860106_MO_OS_CanalystCoverPageFullyDilutedSharesOutstanding">'STER Canalyst'!$349:$349</definedName>
    <definedName name="z_G2JL860106_MO_OS_CanalystEoPFullyDilutedSharesOutstanding">'STER Canalyst'!$344:$344</definedName>
    <definedName name="z_G2JL860106_MO_OS_ClientsBoP">'STER Canalyst'!$26:$26</definedName>
    <definedName name="z_G2JL860106_MO_OS_ClientsEoP">'STER Canalyst'!$28:$28</definedName>
    <definedName name="z_G2JL860106_MO_OS_COGSChangeduetochangeinbusinessmixandincreasedcloudexpenses">'STER Canalyst'!$67:$67</definedName>
    <definedName name="z_G2JL860106_MO_OS_COGSChangeduetoCOVID19">'STER Canalyst'!$69:$69</definedName>
    <definedName name="z_G2JL860106_MO_OS_COGSChangeduetofacilitiescosts">'STER Canalyst'!$66:$66</definedName>
    <definedName name="z_G2JL860106_MO_OS_COGSChangeduetoincreasedvolume">'STER Canalyst'!$64:$64</definedName>
    <definedName name="z_G2JL860106_MO_OS_COGSChangeduetoother">'STER Canalyst'!$70:$70</definedName>
    <definedName name="z_G2JL860106_MO_OS_COGSChangeduetoSBC">'STER Canalyst'!$68:$68</definedName>
    <definedName name="z_G2JL860106_MO_OS_COGSChangeduetotheEBIplatformmigration">'STER Canalyst'!$65:$65</definedName>
    <definedName name="z_G2JL860106_MO_OS_CommonstockoutstandingEoP">'STER Canalyst'!$230:$230</definedName>
    <definedName name="z_G2JL860106_MO_OS_CommonstockoutstandingexclunvestedrestrictedstockEoP">'STER Canalyst'!$232:$232</definedName>
    <definedName name="z_G2JL860106_MO_OS_Contingentvertical">'STER Canalyst'!$44:$44</definedName>
    <definedName name="z_G2JL860106_MO_OS_Coverpagecommonstockoutstanding">'STER Canalyst'!$346:$346</definedName>
    <definedName name="z_G2JL860106_MO_OS_CumulativeBoP2021OmnibusIncentivePlanWeightedAverageExercisePrice">'STER Canalyst'!$311:$311</definedName>
    <definedName name="z_G2JL860106_MO_OS_CumulativeBoPPerformanceBasedVestingStockPlanWeightedAverageExercisePrice">'STER Canalyst'!$284:$284</definedName>
    <definedName name="z_G2JL860106_MO_OS_CumulativeBoPServiceBasedVestingStockPlanWeightedAverageExercisePrice">'STER Canalyst'!$257:$257</definedName>
    <definedName name="z_G2JL860106_MO_OS_CumulativeBoPTotal2021OmnibusIncentivePlanOptionsOutstanding">'STER Canalyst'!$299:$299</definedName>
    <definedName name="z_G2JL860106_MO_OS_CumulativeBoPTotalPerformanceBasedVestingStockPlanOptionsOutstanding">'STER Canalyst'!$272:$272</definedName>
    <definedName name="z_G2JL860106_MO_OS_CumulativeBoPTotalServiceBasedVestingStockPlanOptionsOutstanding">'STER Canalyst'!$245:$245</definedName>
    <definedName name="z_G2JL860106_MO_OS_CumulativeEoPTotal2021OmnibusIncentivePlanOptionsOutstanding">'STER Canalyst'!$303:$303</definedName>
    <definedName name="z_G2JL860106_MO_OS_CumulativeEoPTotalPerformanceBasedVestingStockPlanOptionsOutstanding">'STER Canalyst'!$276:$276</definedName>
    <definedName name="z_G2JL860106_MO_OS_CumulativeEoPTotalServiceBasedVestingStockPlanOptionsOutstanding">'STER Canalyst'!$249:$249</definedName>
    <definedName name="z_G2JL860106_MO_OS_CumulativeEoPWeightedAverageExercisePrice">'STER Canalyst'!$261:$261</definedName>
    <definedName name="z_G2JL860106_MO_OS_CumulativeEoPWeightedAverageExercisePrice_1">'STER Canalyst'!$288:$288</definedName>
    <definedName name="z_G2JL860106_MO_OS_CumulativeEoPWeightedAverageExercisePrice_2">'STER Canalyst'!$315:$315</definedName>
    <definedName name="z_G2JL860106_MO_OS_CumulativeExercised2021OmnibusIncentivePlanAverageExercisePrice">'STER Canalyst'!$313:$313</definedName>
    <definedName name="z_G2JL860106_MO_OS_CumulativeExercised2021OmnibusIncentivePlanOptions">'STER Canalyst'!$301:$301</definedName>
    <definedName name="z_G2JL860106_MO_OS_CumulativeExercisedPerformanceBasedVestingStockPlanAverageExercisePrice">'STER Canalyst'!$286:$286</definedName>
    <definedName name="z_G2JL860106_MO_OS_CumulativeExercisedPerformanceBasedVestingStockPlanOptions">'STER Canalyst'!$274:$274</definedName>
    <definedName name="z_G2JL860106_MO_OS_CumulativeExercisedServiceBasedVestingStockPlanAverageExercisePrice">'STER Canalyst'!$259:$259</definedName>
    <definedName name="z_G2JL860106_MO_OS_CumulativeExercisedServiceBasedVestingStockPlanOptions">'STER Canalyst'!$247:$247</definedName>
    <definedName name="z_G2JL860106_MO_OS_CumulativeForfeitedandCanceled2021OmnibusIncentivePlanAverageExercisePrice">'STER Canalyst'!$314:$314</definedName>
    <definedName name="z_G2JL860106_MO_OS_CumulativeForfeitedandCanceled2021OmnibusIncentivePlanOptions">'STER Canalyst'!$302:$302</definedName>
    <definedName name="z_G2JL860106_MO_OS_CumulativeForfeitedandCanceledPerformanceBasedVestingStockPlanAverageExercisePrice">'STER Canalyst'!$287:$287</definedName>
    <definedName name="z_G2JL860106_MO_OS_CumulativeForfeitedandCanceledPerformanceBasedVestingStockPlanOptions">'STER Canalyst'!$275:$275</definedName>
    <definedName name="z_G2JL860106_MO_OS_CumulativeForfeitedandCanceledServiceBasedVestingStockPlanAverageExercisePrice">'STER Canalyst'!$260:$260</definedName>
    <definedName name="z_G2JL860106_MO_OS_CumulativeForfeitedandCanceledServiceBasedVestingStockPlanOptions">'STER Canalyst'!$248:$248</definedName>
    <definedName name="z_G2JL860106_MO_OS_CumulativeGranted2021OmnibusIncentivePlanAverageExercisePrice">'STER Canalyst'!$312:$312</definedName>
    <definedName name="z_G2JL860106_MO_OS_CumulativeGranted2021OmnibusIncentivePlanOptions">'STER Canalyst'!$300:$300</definedName>
    <definedName name="z_G2JL860106_MO_OS_CumulativeGrantedPerformanceBasedVestingStockPlanAverageExercisePrice">'STER Canalyst'!$285:$285</definedName>
    <definedName name="z_G2JL860106_MO_OS_CumulativeGrantedPerformanceBasedVestingStockPlanOptions">'STER Canalyst'!$273:$273</definedName>
    <definedName name="z_G2JL860106_MO_OS_CumulativeGrantedServiceBasedVestingStockPlanAverageExercisePrice">'STER Canalyst'!$258:$258</definedName>
    <definedName name="z_G2JL860106_MO_OS_CumulativeGrantedServiceBasedVestingStockPlanOptions">'STER Canalyst'!$246:$246</definedName>
    <definedName name="z_G2JL860106_MO_OS_CurrentCOGS">'STER Canalyst'!$71:$71</definedName>
    <definedName name="z_G2JL860106_MO_OS_CurrentDA">'STER Canalyst'!$105:$105</definedName>
    <definedName name="z_G2JL860106_MO_OS_CurrentRD">'STER Canalyst'!$80:$80</definedName>
    <definedName name="z_G2JL860106_MO_OS_CurrentSM">'STER Canalyst'!$98:$98</definedName>
    <definedName name="z_G2JL860106_MO_OS_DAChangeduetoamortizationofintangibleassetacquired">'STER Canalyst'!$102:$102</definedName>
    <definedName name="z_G2JL860106_MO_OS_DAChangeduetofixedassetdepreciation">'STER Canalyst'!$103:$103</definedName>
    <definedName name="z_G2JL860106_MO_OS_DAChangeduetointangibleassetamortization">'STER Canalyst'!$101:$101</definedName>
    <definedName name="z_G2JL860106_MO_OS_DAChangeduetoother">'STER Canalyst'!$104:$104</definedName>
    <definedName name="z_G2JL860106_MO_OS_Dateofcoverpagesharecount">'STER Canalyst'!$347:$347</definedName>
    <definedName name="z_G2JL860106_MO_OS_Dilutedsharecounttobasicsharecountratio">'STER Canalyst'!$241:$241</definedName>
    <definedName name="z_G2JL860106_MO_OS_DilutiveShares">'STER Canalyst'!$240:$240</definedName>
    <definedName name="z_G2JL860106_MO_OS_DilutiveSharesfromExercisedOptionsTreasuryMethod">'STER Canalyst'!$328:$328</definedName>
    <definedName name="z_G2JL860106_MO_OS_EndofPeriodStockPrice">'STER Canalyst'!$228:$228</definedName>
    <definedName name="z_G2JL860106_MO_OS_EoP2021OmnibusIncentivePlanWeightedAverageExercisableOptionExercisePrice">'STER Canalyst'!$324:$324</definedName>
    <definedName name="z_G2JL860106_MO_OS_EoP2021OmnibusIncentivePlanWeightedAverageExercisePrice">'STER Canalyst'!$321:$321</definedName>
    <definedName name="z_G2JL860106_MO_OS_EoP2021WeightedAverageExercisePrice">'STER Canalyst'!$327:$327</definedName>
    <definedName name="z_G2JL860106_MO_OS_EoPESPPObligations">'STER Canalyst'!$336:$336</definedName>
    <definedName name="z_G2JL860106_MO_OS_EoPOthers">'STER Canalyst'!$340:$340</definedName>
    <definedName name="z_G2JL860106_MO_OS_EoPPerformanceBasedVestingStockPlanWeightedAverageExercisableOptionExercisePrice">'STER Canalyst'!$297:$297</definedName>
    <definedName name="z_G2JL860106_MO_OS_EoPPerformanceBasedVestingStockPlanWeightedAverageExercisePrice">'STER Canalyst'!$294:$294</definedName>
    <definedName name="z_G2JL860106_MO_OS_EoPPotentiallyDilutiveSecurities">'STER Canalyst'!$342:$342</definedName>
    <definedName name="z_G2JL860106_MO_OS_EoPRestrcitedStockPrice">'STER Canalyst'!$339:$339</definedName>
    <definedName name="z_G2JL860106_MO_OS_EoPRestrictedStock">'STER Canalyst'!$338:$338</definedName>
    <definedName name="z_G2JL860106_MO_OS_EoPServiceBasedVestingStockPlanWeightedAverageExercisableOptionExercisePrice">'STER Canalyst'!$270:$270</definedName>
    <definedName name="z_G2JL860106_MO_OS_EoPServiceBasedVestingStockPlanWeightedAverageExercisePrice">'STER Canalyst'!$267:$267</definedName>
    <definedName name="z_G2JL860106_MO_OS_EoPTotal2021OmnibusIncentivePlanOptionsExercisable">'STER Canalyst'!$323:$323</definedName>
    <definedName name="z_G2JL860106_MO_OS_EoPTotal2021OmnibusIncentivePlanOptionsOutstanding">'STER Canalyst'!$309:$309</definedName>
    <definedName name="z_G2JL860106_MO_OS_EoPTotalDilutedCommonStockOutstanding">'STER Canalyst'!$243:$243</definedName>
    <definedName name="z_G2JL860106_MO_OS_EoPTotalPerformanceBasedVestingStockPlanOptionsExercisable">'STER Canalyst'!$296:$296</definedName>
    <definedName name="z_G2JL860106_MO_OS_EoPTotalPerformanceBasedVestingStockPlanOptionsOutstanding">'STER Canalyst'!$282:$282</definedName>
    <definedName name="z_G2JL860106_MO_OS_EoPTotalServiceBasedVestingStockPlanOptionsExercisable">'STER Canalyst'!$269:$269</definedName>
    <definedName name="z_G2JL860106_MO_OS_EoPTotalServiceBasedVestingStockPlanOptionsOutstanding">'STER Canalyst'!$255:$255</definedName>
    <definedName name="z_G2JL860106_MO_OS_EoPTotalStockOptionsExercisable">'STER Canalyst'!$330:$330</definedName>
    <definedName name="z_G2JL860106_MO_OS_EoPTotalStockOptionsOutstanding">'STER Canalyst'!$326:$326</definedName>
    <definedName name="z_G2JL860106_MO_OS_EoPUnvestedRSUPrice">'STER Canalyst'!$334:$334</definedName>
    <definedName name="z_G2JL860106_MO_OS_EoPUnvestedRSUs">'STER Canalyst'!$333:$333</definedName>
    <definedName name="z_G2JL860106_MO_OS_EoPWeightedAverageExercisableOptionExercisePrice">'STER Canalyst'!$331:$331</definedName>
    <definedName name="z_G2JL860106_MO_OS_Europe">'STER Canalyst'!$54:$54</definedName>
    <definedName name="z_G2JL860106_MO_OS_Exercised2021OmnibusIncentivePlanAverageExercisePrice">'STER Canalyst'!$319:$319</definedName>
    <definedName name="z_G2JL860106_MO_OS_Exercised2021OmnibusIncentivePlanOptions">'STER Canalyst'!$307:$307</definedName>
    <definedName name="z_G2JL860106_MO_OS_ExercisedPerformanceBasedVestingStockPlanAverageExercisePrice">'STER Canalyst'!$292:$292</definedName>
    <definedName name="z_G2JL860106_MO_OS_ExercisedPerformanceBasedVestingStockPlanOptions">'STER Canalyst'!$280:$280</definedName>
    <definedName name="z_G2JL860106_MO_OS_ExercisedServiceBasedVestingStockPlanAverageExercisePrice">'STER Canalyst'!$265:$265</definedName>
    <definedName name="z_G2JL860106_MO_OS_ExercisedServiceBasedVestingStockPlanOptions">'STER Canalyst'!$253:$253</definedName>
    <definedName name="z_G2JL860106_MO_OS_FinancialBusinessServicesvertcial">'STER Canalyst'!$42:$42</definedName>
    <definedName name="z_G2JL860106_MO_OS_ForfeitedandCanceled2021OmnibusIncentivePlanAverageExercisePrice">'STER Canalyst'!$320:$320</definedName>
    <definedName name="z_G2JL860106_MO_OS_ForfeitedandCanceled2021OmnibusIncentivePlanOptions">'STER Canalyst'!$308:$308</definedName>
    <definedName name="z_G2JL860106_MO_OS_ForfeitedandCanceledPerformanceBasedVestingStockPlanAverageExercisePrice">'STER Canalyst'!$293:$293</definedName>
    <definedName name="z_G2JL860106_MO_OS_ForfeitedandCanceledPerformanceBasedVestingStockPlanOptions">'STER Canalyst'!$281:$281</definedName>
    <definedName name="z_G2JL860106_MO_OS_ForfeitedandCanceledServiceBasedVestingStockPlanAverageExercisePrice">'STER Canalyst'!$266:$266</definedName>
    <definedName name="z_G2JL860106_MO_OS_ForfeitedandCanceledServiceBasedVestingStockPlanOptions">'STER Canalyst'!$254:$254</definedName>
    <definedName name="z_G2JL860106_MO_OS_GigConsumerandVolunteersvertical">'STER Canalyst'!$45:$45</definedName>
    <definedName name="z_G2JL860106_MO_OS_Granted2021OmnibusIncentivePlanAverageExercisePrice">'STER Canalyst'!$318:$318</definedName>
    <definedName name="z_G2JL860106_MO_OS_Granted2021OmnibusIncentivePlanOptions">'STER Canalyst'!$306:$306</definedName>
    <definedName name="z_G2JL860106_MO_OS_GrantedPerformanceBasedVestingStockPlanAverageExercisePrice">'STER Canalyst'!$291:$291</definedName>
    <definedName name="z_G2JL860106_MO_OS_GrantedPerformanceBasedVestingStockPlanOptions">'STER Canalyst'!$279:$279</definedName>
    <definedName name="z_G2JL860106_MO_OS_GrantedServiceBasedVestingStockPlanAverageExercisePrice">'STER Canalyst'!$264:$264</definedName>
    <definedName name="z_G2JL860106_MO_OS_GrantedServiceBasedVestingStockPlanOptions">'STER Canalyst'!$252:$252</definedName>
    <definedName name="z_G2JL860106_MO_OS_Grossretentionrate">'STER Canalyst'!$35:$35</definedName>
    <definedName name="z_G2JL860106_MO_OS_Healthcarevertcial">'STER Canalyst'!$40:$40</definedName>
    <definedName name="z_G2JL860106_MO_OS_Identityverification">'STER Canalyst'!$48:$48</definedName>
    <definedName name="z_G2JL860106_MO_OS_Increasedecreaseinclients">'STER Canalyst'!$27:$27</definedName>
    <definedName name="z_G2JL860106_MO_OS_IndustrialsGovernmentandEducationvertical">'STER Canalyst'!$41:$41</definedName>
    <definedName name="z_G2JL860106_MO_OS_LastWorkingDay">'STER Canalyst'!$227:$227</definedName>
    <definedName name="z_G2JL860106_MO_OS_LatinAmerica">'STER Canalyst'!$57:$57</definedName>
    <definedName name="z_G2JL860106_MO_OS_MiddleEastAfrica">'STER Canalyst'!$56:$56</definedName>
    <definedName name="z_G2JL860106_MO_OS_NorthAmerica">'STER Canalyst'!$53:$53</definedName>
    <definedName name="z_G2JL860106_MO_OS_Numberofsearches">'STER Canalyst'!$36:$36</definedName>
    <definedName name="z_G2JL860106_MO_OS_Otherservices">'STER Canalyst'!$17:$17</definedName>
    <definedName name="z_G2JL860106_MO_OS_PostHireBackgroundScreening">'STER Canalyst'!$50:$50</definedName>
    <definedName name="z_G2JL860106_MO_OS_PreHireBackgroundScreening">'STER Canalyst'!$49:$49</definedName>
    <definedName name="z_G2JL860106_MO_OS_Prepaidexpenses">'STER Canalyst'!$582:$582</definedName>
    <definedName name="z_G2JL860106_MO_OS_PrepaidexpensesYYChange">'STER Canalyst'!$587:$587</definedName>
    <definedName name="z_G2JL860106_MO_OS_PreviousCOGS">'STER Canalyst'!$63:$63</definedName>
    <definedName name="z_G2JL860106_MO_OS_PreviousDA">'STER Canalyst'!$100:$100</definedName>
    <definedName name="z_G2JL860106_MO_OS_PreviousRD">'STER Canalyst'!$73:$73</definedName>
    <definedName name="z_G2JL860106_MO_OS_PreviousSM">'STER Canalyst'!$82:$82</definedName>
    <definedName name="z_G2JL860106_MO_OS_QQbasicshareexpansionEoP">'STER Canalyst'!$237:$237</definedName>
    <definedName name="z_G2JL860106_MO_OS_QQbasicshareexpansionfromdilutivesecurities">'STER Canalyst'!$233:$233</definedName>
    <definedName name="z_G2JL860106_MO_OS_QQbasicshareexpansionfromshareissuancebuyback">'STER Canalyst'!$235:$235</definedName>
    <definedName name="z_G2JL860106_MO_OS_RDChangeduetochangeinplatformandproductinitiativesdevelopments">'STER Canalyst'!$74:$74</definedName>
    <definedName name="z_G2JL860106_MO_OS_RDChangeduetomaintainingcorporateinformationtechnologyinfrastructure">'STER Canalyst'!$76:$76</definedName>
    <definedName name="z_G2JL860106_MO_OS_RDChangeduetomaintainingproductionsystems">'STER Canalyst'!$75:$75</definedName>
    <definedName name="z_G2JL860106_MO_OS_RDChangeduetoother">'STER Canalyst'!$79:$79</definedName>
    <definedName name="z_G2JL860106_MO_OS_RDChangeduetopersonnelrelatedcosts">'STER Canalyst'!$78:$78</definedName>
    <definedName name="z_G2JL860106_MO_OS_RDChangeduetoSBC">'STER Canalyst'!$77:$77</definedName>
    <definedName name="z_G2JL860106_MO_OS_Retailvertical">'STER Canalyst'!$43:$43</definedName>
    <definedName name="z_G2JL860106_MO_OS_Revenueperclient">'STER Canalyst'!$32:$32</definedName>
    <definedName name="z_G2JL860106_MO_OS_Screeningservices">'STER Canalyst'!$16:$16</definedName>
    <definedName name="z_G2JL860106_MO_OS_SMChangeduecontractualcompensationpaymenttoaformerexecutive">'STER Canalyst'!$84:$84</definedName>
    <definedName name="z_G2JL860106_MO_OS_SMChangedueinvestormanagementfees">'STER Canalyst'!$85:$85</definedName>
    <definedName name="z_G2JL860106_MO_OS_SMChangeduetobonusexpenses">'STER Canalyst'!$92:$92</definedName>
    <definedName name="z_G2JL860106_MO_OS_SMChangeduetocostsrelatedtotheIPO">'STER Canalyst'!$86:$86</definedName>
    <definedName name="z_G2JL860106_MO_OS_SMChangeduetocostsrelatedtotransactions">'STER Canalyst'!$87:$87</definedName>
    <definedName name="z_G2JL860106_MO_OS_SMChangeduetolegalsettlements">'STER Canalyst'!$93:$93</definedName>
    <definedName name="z_G2JL860106_MO_OS_SMChangeduetoother">'STER Canalyst'!$97:$97</definedName>
    <definedName name="z_G2JL860106_MO_OS_SMChangeduetopayrollandrelatedtaxesandbenefits_1">"Deleted"</definedName>
    <definedName name="z_G2JL860106_MO_OS_SMChangeduetopayrollandrelatedtaxesandbenefitsexpense">'STER Canalyst'!$83:$83</definedName>
    <definedName name="z_G2JL860106_MO_OS_SMChangeduetoprofessionalfees">'STER Canalyst'!$89:$89</definedName>
    <definedName name="z_G2JL860106_MO_OS_SMChangeduetoreassessingfairvalueofcontingentconsideration">'STER Canalyst'!$94:$94</definedName>
    <definedName name="z_G2JL860106_MO_OS_SMChangeduetorentandfacilitiesexpenses">'STER Canalyst'!$96:$96</definedName>
    <definedName name="z_G2JL860106_MO_OS_SMChangeduetorestructuringrelatedcharges">'STER Canalyst'!$90:$90</definedName>
    <definedName name="z_G2JL860106_MO_OS_SMChangeduetoSBC">'STER Canalyst'!$88:$88</definedName>
    <definedName name="z_G2JL860106_MO_OS_SMChangeduetoseveranceexpenses">'STER Canalyst'!$95:$95</definedName>
    <definedName name="z_G2JL860106_MO_OS_SMChangeduetostrategyrefresh">'STER Canalyst'!$91:$91</definedName>
    <definedName name="z_G2JL860106_MO_OS_TechnologyMediaEntertainmentandHospitalityvertical">'STER Canalyst'!$39:$39</definedName>
    <definedName name="z_G2JL860106_MO_OS_TotalRevenue">'STER Canalyst'!$18:$18</definedName>
    <definedName name="z_G2JL860106_MO_OS_TotalRevenue_1">'STER Canalyst'!$23:$23</definedName>
    <definedName name="z_G2JL860106_MO_OS_TotalTAM">'STER Canalyst'!$51:$51</definedName>
    <definedName name="z_G2JL860106_MO_OS_UnitedStatesrevenue">'STER Canalyst'!$21:$21</definedName>
    <definedName name="z_G2JL860106_MO_OS_UnvestedrestrictedstockEoP">'STER Canalyst'!$231:$231</definedName>
    <definedName name="z_G2JL860106_MO_OS_USGigWorkers">'STER Canalyst'!$59:$59</definedName>
    <definedName name="z_G2JL860106_MO_OS_USVoluntaryTunover">'STER Canalyst'!$60:$60</definedName>
    <definedName name="z_G2JL860106_MO_OS_YoYgrowthinpaidenterprisecustomers">'STER Canalyst'!$30:$30</definedName>
    <definedName name="z_G2JL860106_MO_OS_YoYgrowthinquarterlyrevenueperclient">'STER Canalyst'!$33:$33</definedName>
    <definedName name="z_G2JL860106_MO_OS_YYbasicshareexpansionEoP">'STER Canalyst'!$238:$238</definedName>
    <definedName name="z_G2JL860106_MO_OS_YYbasicshareexpansionfromdilutivesecurities">'STER Canalyst'!$234:$234</definedName>
    <definedName name="z_G2JL860106_MO_OS_YYbasicshareexpansionfromshareissuancebuyback">'STER Canalyst'!$236:$236</definedName>
    <definedName name="z_G2JL860106_MO_RIS_AdjustedEarningsPerShareWAD">'STER Canalyst'!$219:$219</definedName>
    <definedName name="z_G2JL860106_MO_RIS_AdjustedEBITDA">'STER Canalyst'!$186:$186</definedName>
    <definedName name="z_G2JL860106_MO_RIS_AdjustedNetIncome">'STER Canalyst'!$212:$212</definedName>
    <definedName name="z_G2JL860106_MO_RIS_AdjustedSharesOutstandingWAD">'STER Canalyst'!$224:$224</definedName>
    <definedName name="z_G2JL860106_MO_RIS_AdjustmentsforConvertibleSecurities">'STER Canalyst'!$208:$208</definedName>
    <definedName name="z_G2JL860106_MO_RIS_AmortizationofIntangibles">'STER Canalyst'!$190:$190</definedName>
    <definedName name="z_G2JL860106_MO_RIS_COGS">'STER Canalyst'!$180:$180</definedName>
    <definedName name="z_G2JL860106_MO_RIS_ConsensusEstimatesAdjustedEarningsPerShareWAD">'STER Canalyst'!$220:$220</definedName>
    <definedName name="z_G2JL860106_MO_RIS_ConsensusEstimatesAdjustedEBITDA">'STER Canalyst'!$187:$187</definedName>
    <definedName name="z_G2JL860106_MO_RIS_ConsensusEstimatesNetRevenue">'STER Canalyst'!$178:$178</definedName>
    <definedName name="z_G2JL860106_MO_RIS_Currenttax">'STER Canalyst'!$201:$201</definedName>
    <definedName name="z_G2JL860106_MO_RIS_Currenttaxrate">'STER Canalyst'!$214:$214</definedName>
    <definedName name="z_G2JL860106_MO_RIS_DA">'STER Canalyst'!$189:$189</definedName>
    <definedName name="z_G2JL860106_MO_RIS_Deferredtax">'STER Canalyst'!$202:$202</definedName>
    <definedName name="z_G2JL860106_MO_RIS_Deferredtaxrate">'STER Canalyst'!$215:$215</definedName>
    <definedName name="z_G2JL860106_MO_RIS_DilutedNetIncometoCommonShareholders">'STER Canalyst'!$209:$209</definedName>
    <definedName name="z_G2JL860106_MO_RIS_DiscontinuedOperations">'STER Canalyst'!$204:$204</definedName>
    <definedName name="z_G2JL860106_MO_RIS_EarningsPerShareWAB">'STER Canalyst'!$217:$217</definedName>
    <definedName name="z_G2JL860106_MO_RIS_EarningsPerShareWAD">'STER Canalyst'!$218:$218</definedName>
    <definedName name="z_G2JL860106_MO_RIS_EarningstoPreferredandOtherSecurities">'STER Canalyst'!$206:$206</definedName>
    <definedName name="z_G2JL860106_MO_RIS_EBIT_1">'STER Canalyst'!$192:$192</definedName>
    <definedName name="z_G2JL860106_MO_RIS_EBITDA">'STER Canalyst'!$185:$185</definedName>
    <definedName name="z_G2JL860106_MO_RIS_EBT">'STER Canalyst'!$199:$199</definedName>
    <definedName name="z_G2JL860106_MO_RIS_GrossProfit">'STER Canalyst'!$181:$181</definedName>
    <definedName name="z_G2JL860106_MO_RIS_Incomefromequitymethodinvestments">'STER Canalyst'!$196:$196</definedName>
    <definedName name="z_G2JL860106_MO_RIS_Interestexpense">'STER Canalyst'!$194:$194</definedName>
    <definedName name="z_G2JL860106_MO_RIS_Interestincome">'STER Canalyst'!$195:$195</definedName>
    <definedName name="z_G2JL860106_MO_RIS_NetIncomefromContinuedOperation">'STER Canalyst'!$203:$203</definedName>
    <definedName name="z_G2JL860106_MO_RIS_NetIncometoCommonShareholders">'STER Canalyst'!$207:$207</definedName>
    <definedName name="z_G2JL860106_MO_RIS_NetIncometoNCI">'STER Canalyst'!$205:$205</definedName>
    <definedName name="z_G2JL860106_MO_RIS_NetRevenue">'STER Canalyst'!$177:$177</definedName>
    <definedName name="z_G2JL860106_MO_RIS_NonGAAPAdjustments">'STER Canalyst'!$210:$210</definedName>
    <definedName name="z_G2JL860106_MO_RIS_NonGAAPAdjustmentsforDilutiveSecurities">'STER Canalyst'!$211:$211</definedName>
    <definedName name="z_G2JL860106_MO_RIS_Onetimeitem">'STER Canalyst'!$198:$198</definedName>
    <definedName name="z_G2JL860106_MO_RIS_Otheritems">'STER Canalyst'!$197:$197</definedName>
    <definedName name="z_G2JL860106_MO_RIS_RD">'STER Canalyst'!$183:$183</definedName>
    <definedName name="z_G2JL860106_MO_RIS_SBC">'STER Canalyst'!$191:$191</definedName>
    <definedName name="z_G2JL860106_MO_RIS_SGAadjforSBC">'STER Canalyst'!$184:$184</definedName>
    <definedName name="z_G2JL860106_MO_RIS_SharesOutstandingWAB">'STER Canalyst'!$222:$222</definedName>
    <definedName name="z_G2JL860106_MO_RIS_SharesOutstandingWAD">'STER Canalyst'!$223:$223</definedName>
    <definedName name="z_G2JL860106_MO_Section_AN_AdjustedNumbersAsReported">'STER Canalyst'!$137:$137</definedName>
    <definedName name="z_G2JL860106_MO_Section_BS_BalanceSheet">'STER Canalyst'!$590:$590</definedName>
    <definedName name="z_G2JL860106_MO_Section_BSS_BalanceSheetSummary">'STER Canalyst'!$378:$378</definedName>
    <definedName name="z_G2JL860106_MO_Section_CCFS_CumulativeCashFlowStatement">'STER Canalyst'!$421:$421</definedName>
    <definedName name="z_G2JL860106_MO_Section_CFS_CashFlowStatement">'STER Canalyst'!$488:$488</definedName>
    <definedName name="z_G2JL860106_MO_Section_CFSum_CashFlowSummary">'STER Canalyst'!$351:$351</definedName>
    <definedName name="z_G2JL860106_MO_Section_DAF_DAForecasting">'STER Canalyst'!$557:$557</definedName>
    <definedName name="z_G2JL860106_MO_Section_GA_GrowthAnalysis">'STER Canalyst'!$6:$6</definedName>
    <definedName name="z_G2JL860106_MO_Section_IS_IncomeStatementAsReported">'STER Canalyst'!$118:$118</definedName>
    <definedName name="z_G2JL860106_MO_Section_MA_MarginAnalysis">'STER Canalyst'!$107:$107</definedName>
    <definedName name="z_G2JL860106_MO_Section_MA_Valuation">'STER Canalyst'!$397:$397</definedName>
    <definedName name="z_G2JL860106_MO_Section_OS_KeyMetricsSplitofTotalAddressableMarketandIndsutryMetricsS1">'STER Canalyst'!$47:$47</definedName>
    <definedName name="z_G2JL860106_MO_Section_OS_KeyMetricsSplitofUSrevenuebyverticalS1">'STER Canalyst'!$38:$38</definedName>
    <definedName name="z_G2JL860106_MO_Section_OS_OperatingStatsRetentionrateClientsandSearchesS1">'STER Canalyst'!$25:$25</definedName>
    <definedName name="z_G2JL860106_MO_Section_OS_SegmentedResultsGeographicBreakdownS1">'STER Canalyst'!$20:$20</definedName>
    <definedName name="z_G2JL860106_MO_Section_OS_SegmentedResultsRevenueBreakdownS1">'STER Canalyst'!$15:$15</definedName>
    <definedName name="z_G2JL860106_MO_Section_OS_ShareCountAnalysis">'STER Canalyst'!$226:$226</definedName>
    <definedName name="z_G2JL860106_MO_Section_OS_WorkingCapitalForecasting">'STER Canalyst'!$579:$579</definedName>
    <definedName name="z_G2JL860106_MO_Section_OS_YYCostGranularityS1">'STER Canalyst'!$62:$62</definedName>
    <definedName name="z_G2JL860106_MO_Section_RIS_RevisedIncomeStatement">'STER Canalyst'!$176:$176</definedName>
    <definedName name="z_G2JL860106_MO_Section_SNA_Canalyst">'STER Canalyst'!$768:$768</definedName>
    <definedName name="z_G2JL860106_MO_Section_SNA_ModelChecks">'STER Canalyst'!$640:$640</definedName>
    <definedName name="z_G2JL860106_MO_Section_SNA_OtherTables">'STER Canalyst'!$661:$661</definedName>
    <definedName name="z_G2JL860106_MO_SubSection_BS_CurrentAssets">'STER Canalyst'!$591:$591</definedName>
    <definedName name="z_G2JL860106_MO_SubSection_BS_CurrentLiabilities">'STER Canalyst'!$610:$610</definedName>
    <definedName name="z_G2JL860106_MO_SubSection_BS_NonCurrentAssets">'STER Canalyst'!$600:$600</definedName>
    <definedName name="z_G2JL860106_MO_SubSection_BS_NonCurrentLiabilities">'STER Canalyst'!$620:$620</definedName>
    <definedName name="z_G2JL860106_MO_SubSection_BS_ShareholdersEquity">'STER Canalyst'!$628:$628</definedName>
    <definedName name="z_G2JL860106_MO_SubSection_CCFS_CFF">'STER Canalyst'!$459:$459</definedName>
    <definedName name="z_G2JL860106_MO_SubSection_CCFS_CFI">'STER Canalyst'!$451:$451</definedName>
    <definedName name="z_G2JL860106_MO_SubSection_CCFS_CFO">'STER Canalyst'!$422:$422</definedName>
    <definedName name="z_G2JL860106_MO_SubSection_CFS_CFF">'STER Canalyst'!$526:$526</definedName>
    <definedName name="z_G2JL860106_MO_SubSection_CFS_CFI">'STER Canalyst'!$518:$518</definedName>
    <definedName name="z_G2JL860106_MO_SubSection_CFS_CFO">'STER Canalyst'!$489:$489</definedName>
    <definedName name="z_G2JL860106_MO_Unstructured_SNA_AdjustedEarningsPerShareWAD">'STER Canalyst'!$679:$679</definedName>
    <definedName name="z_G2JL860106_MO_Unstructured_SNA_AdjustedEBITDA">'STER Canalyst'!$678:$678</definedName>
    <definedName name="z_G2JL860106_MO_Unstructured_SNA_AnnualGuidanceTable">'STER Canalyst'!$697:$697</definedName>
    <definedName name="z_G2JL860106_MO_Unstructured_SNA_ApplicablePeriod">'STER Canalyst'!$694:$694</definedName>
    <definedName name="z_G2JL860106_MO_Unstructured_SNA_ApplicablePeriod_1">'STER Canalyst'!$700:$700</definedName>
    <definedName name="z_G2JL860106_MO_Unstructured_SNA_ApplyTradeCurrencyScaling">'STER Canalyst'!$755:$755</definedName>
    <definedName name="z_G2JL860106_MO_Unstructured_SNA_Avg">'STER Canalyst'!$673:$673</definedName>
    <definedName name="z_G2JL860106_MO_Unstructured_SNA_Bloomberg">'STER Canalyst'!$719:$719</definedName>
    <definedName name="z_G2JL860106_MO_Unstructured_SNA_Bloomberg_1">'STER Canalyst'!$726:$726</definedName>
    <definedName name="z_G2JL860106_MO_Unstructured_SNA_Bloomberg_2">'STER Canalyst'!$733:$733</definedName>
    <definedName name="z_G2JL860106_MO_Unstructured_SNA_Bloomberg_3">'STER Canalyst'!$740:$740</definedName>
    <definedName name="z_G2JL860106_MO_Unstructured_SNA_CapitalIQ">'STER Canalyst'!$720:$720</definedName>
    <definedName name="z_G2JL860106_MO_Unstructured_SNA_CapitalIQ_1">'STER Canalyst'!$727:$727</definedName>
    <definedName name="z_G2JL860106_MO_Unstructured_SNA_CapitalIQ_2">'STER Canalyst'!$734:$734</definedName>
    <definedName name="z_G2JL860106_MO_Unstructured_SNA_CapitalIQ_3">'STER Canalyst'!$741:$741</definedName>
    <definedName name="z_G2JL860106_MO_Unstructured_SNA_ConsensusEstimatesAdjustedEarningsPerShareWAD">'STER Canalyst'!$709:$709</definedName>
    <definedName name="z_G2JL860106_MO_Unstructured_SNA_ConsensusEstimatesAdjustedEBITDA">'STER Canalyst'!$708:$708</definedName>
    <definedName name="z_G2JL860106_MO_Unstructured_SNA_ConsensusEstimatesCapex">'STER Canalyst'!$711:$711</definedName>
    <definedName name="z_G2JL860106_MO_Unstructured_SNA_ConsensusEstimatesCashFlowPerDilutedShare">'STER Canalyst'!$710:$710</definedName>
    <definedName name="z_G2JL860106_MO_Unstructured_SNA_ConsensusEstimatesGrossMargin">'STER Canalyst'!$706:$706</definedName>
    <definedName name="z_G2JL860106_MO_Unstructured_SNA_ConsensusEstimatesNetRevenue">'STER Canalyst'!$707:$707</definedName>
    <definedName name="z_G2JL860106_MO_Unstructured_SNA_ConsensusEstimateTable">'STER Canalyst'!$703:$703</definedName>
    <definedName name="z_G2JL860106_MO_Unstructured_SNA_CurrentFiscalYear">'STER Canalyst'!$763:$763</definedName>
    <definedName name="z_G2JL860106_MO_Unstructured_SNA_DataSourceIndex">'STER Canalyst'!$766:$766</definedName>
    <definedName name="z_G2JL860106_MO_Unstructured_SNA_EoP">'STER Canalyst'!$674:$674</definedName>
    <definedName name="z_G2JL860106_MO_Unstructured_SNA_EVEBITDAAvg">'STER Canalyst'!$680:$680</definedName>
    <definedName name="z_G2JL860106_MO_Unstructured_SNA_FactSet">'STER Canalyst'!$721:$721</definedName>
    <definedName name="z_G2JL860106_MO_Unstructured_SNA_FactSet_1">'STER Canalyst'!$728:$728</definedName>
    <definedName name="z_G2JL860106_MO_Unstructured_SNA_FactSet_2">'STER Canalyst'!$735:$735</definedName>
    <definedName name="z_G2JL860106_MO_Unstructured_SNA_FactSet_3">'STER Canalyst'!$742:$742</definedName>
    <definedName name="z_G2JL860106_MO_Unstructured_SNA_FirstForecastFiscalYear">'STER Canalyst'!$764:$764</definedName>
    <definedName name="z_G2JL860106_MO_Unstructured_SNA_FiscalPeriodStartDate">'STER Canalyst'!$715:$715</definedName>
    <definedName name="z_G2JL860106_MO_Unstructured_SNA_FXAverageRealTimeOffSource">'STER Canalyst'!$738:$738</definedName>
    <definedName name="z_G2JL860106_MO_Unstructured_SNA_FXEoP">'STER Canalyst'!$747:$747</definedName>
    <definedName name="z_G2JL860106_MO_Unstructured_SNA_FYorFQ">'STER Canalyst'!$704:$704</definedName>
    <definedName name="z_G2JL860106_MO_Unstructured_SNA_GeneralTable">'STER Canalyst'!$750:$750</definedName>
    <definedName name="z_G2JL860106_MO_Unstructured_SNA_High">'STER Canalyst'!$671:$671</definedName>
    <definedName name="z_G2JL860106_MO_Unstructured_SNA_IsHistoricalPeriod">'STER Canalyst'!$716:$716</definedName>
    <definedName name="z_G2JL860106_MO_Unstructured_SNA_IsLatest">'STER Canalyst'!$699:$699</definedName>
    <definedName name="z_G2JL860106_MO_Unstructured_SNA_KeyOutputs">'STER Canalyst'!$676:$676</definedName>
    <definedName name="z_G2JL860106_MO_Unstructured_SNA_KPICount">'STER Canalyst'!$765:$765</definedName>
    <definedName name="z_G2JL860106_MO_Unstructured_SNA_KPIData">'STER Canalyst'!$684:$684</definedName>
    <definedName name="z_G2JL860106_MO_Unstructured_SNA_LastPrice">'STER Canalyst'!$751:$751</definedName>
    <definedName name="z_G2JL860106_MO_Unstructured_SNA_LastPriceDate">'STER Canalyst'!$752:$752</definedName>
    <definedName name="z_G2JL860106_MO_Unstructured_SNA_LastPriceFormula">'STER Canalyst'!$754:$754</definedName>
    <definedName name="z_G2JL860106_MO_Unstructured_SNA_LastWorkingDayInPeriod">'STER Canalyst'!$745:$745</definedName>
    <definedName name="z_G2JL860106_MO_Unstructured_SNA_Low">'STER Canalyst'!$672:$672</definedName>
    <definedName name="z_G2JL860106_MO_Unstructured_SNA_ModelSheetCurrencyHardcoded">'STER Canalyst'!$758:$758</definedName>
    <definedName name="z_G2JL860106_MO_Unstructured_SNA_MOMAEBITDAAdj">'STER Canalyst'!$689:$689</definedName>
    <definedName name="z_G2JL860106_MO_Unstructured_SNA_MORISEBITDAAdj">'STER Canalyst'!$688:$688</definedName>
    <definedName name="z_G2JL860106_MO_Unstructured_SNA_MORISEPSWADAdj">'STER Canalyst'!$687:$687</definedName>
    <definedName name="z_G2JL860106_MO_Unstructured_SNA_MORISNINONGAAPDiluted">'STER Canalyst'!$686:$686</definedName>
    <definedName name="z_G2JL860106_MO_Unstructured_SNA_MORISREV">'STER Canalyst'!$685:$685</definedName>
    <definedName name="z_G2JL860106_MO_Unstructured_SNA_MostRecentFiscalPeriodMRFP">'STER Canalyst'!$762:$762</definedName>
    <definedName name="z_G2JL860106_MO_Unstructured_SNA_MostRecentFX">'STER Canalyst'!$759:$759</definedName>
    <definedName name="z_G2JL860106_MO_Unstructured_SNA_MostRecentFXHardcoded">'STER Canalyst'!$760:$760</definedName>
    <definedName name="z_G2JL860106_MO_Unstructured_SNA_MRFPColumnNumber">'STER Canalyst'!$761:$761</definedName>
    <definedName name="z_G2JL860106_MO_Unstructured_SNA_NASDAQSTER">'STER Canalyst'!$666:$666</definedName>
    <definedName name="z_G2JL860106_MO_Unstructured_SNA_NetRevenue">'STER Canalyst'!$677:$677</definedName>
    <definedName name="z_G2JL860106_MO_Unstructured_SNA_PEAvg">'STER Canalyst'!$681:$681</definedName>
    <definedName name="z_G2JL860106_MO_Unstructured_SNA_Period">'STER Canalyst'!$705:$705</definedName>
    <definedName name="z_G2JL860106_MO_Unstructured_SNA_QuarterlyGuidanceTable">'STER Canalyst'!$692:$692</definedName>
    <definedName name="z_G2JL860106_MO_Unstructured_SNA_RealTimeOffSource">'STER Canalyst'!$718:$718</definedName>
    <definedName name="z_G2JL860106_MO_Unstructured_SNA_RealTimeOffSource_1">'STER Canalyst'!$725:$725</definedName>
    <definedName name="z_G2JL860106_MO_Unstructured_SNA_RealTimeOffSource_2">'STER Canalyst'!$732:$732</definedName>
    <definedName name="z_G2JL860106_MO_Unstructured_SNA_RealTimeOffSource_3">'STER Canalyst'!$739:$739</definedName>
    <definedName name="z_G2JL860106_MO_Unstructured_SNA_RealTimeStockPrice">'STER Canalyst'!$753:$753</definedName>
    <definedName name="z_G2JL860106_MO_Unstructured_SNA_Refinitiv">'STER Canalyst'!$722:$722</definedName>
    <definedName name="z_G2JL860106_MO_Unstructured_SNA_Refinitiv_1">'STER Canalyst'!$729:$729</definedName>
    <definedName name="z_G2JL860106_MO_Unstructured_SNA_Refinitiv_2">'STER Canalyst'!$736:$736</definedName>
    <definedName name="z_G2JL860106_MO_Unstructured_SNA_Refinitiv_3">'STER Canalyst'!$743:$743</definedName>
    <definedName name="z_G2JL860106_MO_Unstructured_SNA_ReportingDate">'STER Canalyst'!$693:$693</definedName>
    <definedName name="z_G2JL860106_MO_Unstructured_SNA_ReportingDate_1">'STER Canalyst'!$698:$698</definedName>
    <definedName name="z_G2JL860106_MO_Unstructured_SNA_STEROQ">'STER Canalyst'!$668:$668</definedName>
    <definedName name="z_G2JL860106_MO_Unstructured_SNA_STERUS">'STER Canalyst'!$665:$665</definedName>
    <definedName name="z_G2JL860106_MO_Unstructured_SNA_STERUS_1">'STER Canalyst'!$667:$667</definedName>
    <definedName name="z_G2JL860106_MO_Unstructured_SNA_STERUS_2">'STER Canalyst'!$664:$664</definedName>
    <definedName name="z_G2JL860106_MO_Unstructured_SNA_StockAverageRealTimeOffSource">'STER Canalyst'!$731:$731</definedName>
    <definedName name="z_G2JL860106_MO_Unstructured_SNA_StockHighRealTimeOffSource">'STER Canalyst'!$717:$717</definedName>
    <definedName name="z_G2JL860106_MO_Unstructured_SNA_StockLowRealTimeOffSource">'STER Canalyst'!$724:$724</definedName>
    <definedName name="z_G2JL860106_MO_Unstructured_SNA_StockPriceEoP">'STER Canalyst'!$746:$746</definedName>
    <definedName name="z_G2JL860106_MO_Unstructured_SNA_StockPriceTable">'STER Canalyst'!$714:$714</definedName>
    <definedName name="z_G2JL860106_MO_Unstructured_SNA_TickerSymbol">'STER Canalyst'!$663:$663</definedName>
    <definedName name="z_G2JL860106_MO_Unstructured_SNA_TradeCurrency">'STER Canalyst'!$756:$756</definedName>
    <definedName name="z_G2JL860106_MO_Unstructured_SNA_TradeCurrencyHardcoded">'STER Canalyst'!$757:$757</definedName>
    <definedName name="z_G2JL860106_MO_Unstructured_SNA_ValuationToggleTable">'STER Canalyst'!$670:$670</definedName>
  </definedNames>
  <calcPr calcId="191029" calcMode="autoNoTable"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2" i="1809" l="1"/>
  <c r="C220" i="1814"/>
  <c r="C221" i="1814"/>
  <c r="C382" i="121"/>
  <c r="C383" i="121"/>
  <c r="AM1" i="1814"/>
  <c r="I3" i="1809"/>
  <c r="AM1" i="121" l="1"/>
  <c r="I3" i="155"/>
  <c r="U15" i="1809"/>
  <c r="M54" i="1809"/>
  <c r="E87" i="155" l="1"/>
  <c r="N48" i="1813"/>
  <c r="R48" i="1813"/>
  <c r="V48" i="1813"/>
  <c r="A91" i="1821" l="1"/>
  <c r="A83" i="1821"/>
  <c r="Z26" i="1821"/>
  <c r="AA24" i="1821" s="1"/>
  <c r="AA26" i="1821" s="1"/>
  <c r="AA28" i="1821" s="1"/>
  <c r="H17" i="1809"/>
  <c r="G17" i="1809"/>
  <c r="F17" i="1809"/>
  <c r="E17" i="1809"/>
  <c r="D17" i="1809"/>
  <c r="AF31" i="1821"/>
  <c r="V172" i="121"/>
  <c r="O172" i="121"/>
  <c r="Y166" i="121"/>
  <c r="AI184" i="121"/>
  <c r="AH184" i="121"/>
  <c r="AK178" i="1554"/>
  <c r="AJ178" i="1554"/>
  <c r="J177" i="1554"/>
  <c r="J183" i="121" s="1"/>
  <c r="I177" i="1554"/>
  <c r="I183" i="121" s="1"/>
  <c r="H177" i="1554"/>
  <c r="H183" i="121" s="1"/>
  <c r="G177" i="1554"/>
  <c r="G183" i="121" s="1"/>
  <c r="J176" i="1554"/>
  <c r="J182" i="121" s="1"/>
  <c r="I176" i="1554"/>
  <c r="I182" i="121" s="1"/>
  <c r="H176" i="1554"/>
  <c r="H182" i="121" s="1"/>
  <c r="G176" i="1554"/>
  <c r="G182" i="121" s="1"/>
  <c r="J175" i="1554"/>
  <c r="J181" i="121" s="1"/>
  <c r="I175" i="1554"/>
  <c r="I181" i="121" s="1"/>
  <c r="H175" i="1554"/>
  <c r="H181" i="121" s="1"/>
  <c r="G175" i="1554"/>
  <c r="G181" i="121" s="1"/>
  <c r="J174" i="1554"/>
  <c r="J180" i="121" s="1"/>
  <c r="I174" i="1554"/>
  <c r="H174" i="1554"/>
  <c r="G174" i="1554"/>
  <c r="H154" i="1814"/>
  <c r="H150" i="1814" s="1"/>
  <c r="G154" i="1814"/>
  <c r="G150" i="1814" s="1"/>
  <c r="G179" i="1554" l="1"/>
  <c r="G185" i="121" s="1"/>
  <c r="AJ176" i="1554"/>
  <c r="AH181" i="121"/>
  <c r="AH182" i="121"/>
  <c r="AJ175" i="1554"/>
  <c r="AH183" i="121"/>
  <c r="J179" i="1554"/>
  <c r="J185" i="121" s="1"/>
  <c r="I179" i="1554"/>
  <c r="I185" i="121" s="1"/>
  <c r="H179" i="1554"/>
  <c r="H185" i="121" s="1"/>
  <c r="AJ177" i="1554"/>
  <c r="G180" i="121"/>
  <c r="H180" i="121"/>
  <c r="AJ174" i="1554"/>
  <c r="I180" i="121"/>
  <c r="Z28" i="1821"/>
  <c r="AA30" i="1821" s="1"/>
  <c r="AB24" i="1821"/>
  <c r="AB26" i="1821" s="1"/>
  <c r="P23" i="121"/>
  <c r="M23" i="121"/>
  <c r="L23" i="121"/>
  <c r="I23" i="121"/>
  <c r="H411" i="121"/>
  <c r="G411" i="121"/>
  <c r="H410" i="121"/>
  <c r="G410" i="121"/>
  <c r="H409" i="121"/>
  <c r="G409" i="121"/>
  <c r="AD411" i="121"/>
  <c r="AC411" i="121"/>
  <c r="AB411" i="121"/>
  <c r="AA411" i="121"/>
  <c r="Z411" i="121"/>
  <c r="Y411" i="121"/>
  <c r="X411" i="121"/>
  <c r="W411" i="121"/>
  <c r="V411" i="121"/>
  <c r="U411" i="121"/>
  <c r="T411" i="121"/>
  <c r="S411" i="121"/>
  <c r="R411" i="121"/>
  <c r="Q411" i="121"/>
  <c r="P411" i="121"/>
  <c r="O411" i="121"/>
  <c r="N411" i="121"/>
  <c r="M411" i="121"/>
  <c r="L411" i="121"/>
  <c r="K411" i="121"/>
  <c r="J411" i="121"/>
  <c r="I411" i="121"/>
  <c r="AD410" i="121"/>
  <c r="AC410" i="121"/>
  <c r="AB410" i="121"/>
  <c r="AA410" i="121"/>
  <c r="Z410" i="121"/>
  <c r="Y410" i="121"/>
  <c r="X410" i="121"/>
  <c r="W410" i="121"/>
  <c r="V410" i="121"/>
  <c r="U410" i="121"/>
  <c r="T410" i="121"/>
  <c r="S410" i="121"/>
  <c r="R410" i="121"/>
  <c r="Q410" i="121"/>
  <c r="P410" i="121"/>
  <c r="O410" i="121"/>
  <c r="N410" i="121"/>
  <c r="M410" i="121"/>
  <c r="L410" i="121"/>
  <c r="K410" i="121"/>
  <c r="J410" i="121"/>
  <c r="I410" i="121"/>
  <c r="AD409" i="121"/>
  <c r="AC409" i="121"/>
  <c r="AB409" i="121"/>
  <c r="AA409" i="121"/>
  <c r="Z409" i="121"/>
  <c r="Y409" i="121"/>
  <c r="X409" i="121"/>
  <c r="W409" i="121"/>
  <c r="V409" i="121"/>
  <c r="U409" i="121"/>
  <c r="T409" i="121"/>
  <c r="S409" i="121"/>
  <c r="R409" i="121"/>
  <c r="Q409" i="121"/>
  <c r="P409" i="121"/>
  <c r="O409" i="121"/>
  <c r="N409" i="121"/>
  <c r="M409" i="121"/>
  <c r="L409" i="121"/>
  <c r="K409" i="121"/>
  <c r="J409" i="121"/>
  <c r="I409" i="121"/>
  <c r="AD249" i="1814"/>
  <c r="AC249" i="1814"/>
  <c r="AB249" i="1814"/>
  <c r="AA249" i="1814"/>
  <c r="Z249" i="1814"/>
  <c r="Y249" i="1814"/>
  <c r="X249" i="1814"/>
  <c r="W249" i="1814"/>
  <c r="V249" i="1814"/>
  <c r="U249" i="1814"/>
  <c r="T249" i="1814"/>
  <c r="S249" i="1814"/>
  <c r="R249" i="1814"/>
  <c r="Q249" i="1814"/>
  <c r="P249" i="1814"/>
  <c r="O249" i="1814"/>
  <c r="N249" i="1814"/>
  <c r="M249" i="1814"/>
  <c r="L249" i="1814"/>
  <c r="K249" i="1814"/>
  <c r="J249" i="1814"/>
  <c r="I249" i="1814"/>
  <c r="AD248" i="1814"/>
  <c r="AC248" i="1814"/>
  <c r="AB248" i="1814"/>
  <c r="AA248" i="1814"/>
  <c r="Z248" i="1814"/>
  <c r="Y248" i="1814"/>
  <c r="X248" i="1814"/>
  <c r="W248" i="1814"/>
  <c r="V248" i="1814"/>
  <c r="U248" i="1814"/>
  <c r="T248" i="1814"/>
  <c r="S248" i="1814"/>
  <c r="R248" i="1814"/>
  <c r="Q248" i="1814"/>
  <c r="P248" i="1814"/>
  <c r="O248" i="1814"/>
  <c r="N248" i="1814"/>
  <c r="M248" i="1814"/>
  <c r="L248" i="1814"/>
  <c r="K248" i="1814"/>
  <c r="J248" i="1814"/>
  <c r="I248" i="1814"/>
  <c r="AD247" i="1814"/>
  <c r="AC247" i="1814"/>
  <c r="AB247" i="1814"/>
  <c r="AA247" i="1814"/>
  <c r="Z247" i="1814"/>
  <c r="Y247" i="1814"/>
  <c r="X247" i="1814"/>
  <c r="W247" i="1814"/>
  <c r="V247" i="1814"/>
  <c r="U247" i="1814"/>
  <c r="T247" i="1814"/>
  <c r="S247" i="1814"/>
  <c r="R247" i="1814"/>
  <c r="Q247" i="1814"/>
  <c r="P247" i="1814"/>
  <c r="O247" i="1814"/>
  <c r="N247" i="1814"/>
  <c r="M247" i="1814"/>
  <c r="L247" i="1814"/>
  <c r="K247" i="1814"/>
  <c r="J247" i="1814"/>
  <c r="I247" i="1814"/>
  <c r="A74" i="1821"/>
  <c r="A76" i="1821"/>
  <c r="AH76" i="1821"/>
  <c r="AG76" i="1821"/>
  <c r="T76" i="1821"/>
  <c r="S76" i="1821"/>
  <c r="R76" i="1821"/>
  <c r="Q76" i="1821"/>
  <c r="P76" i="1821"/>
  <c r="O76" i="1821"/>
  <c r="N76" i="1821"/>
  <c r="M76" i="1821"/>
  <c r="L76" i="1821"/>
  <c r="K76" i="1821"/>
  <c r="J76" i="1821"/>
  <c r="I76" i="1821"/>
  <c r="H76" i="1821"/>
  <c r="G76" i="1821"/>
  <c r="J14" i="1821"/>
  <c r="H14" i="1821"/>
  <c r="G14" i="1821"/>
  <c r="AL113" i="1821"/>
  <c r="AK113" i="1821"/>
  <c r="AL112" i="1821"/>
  <c r="AK112" i="1821"/>
  <c r="AI112" i="1821"/>
  <c r="AL110" i="1821"/>
  <c r="AK110" i="1821"/>
  <c r="H104" i="1821"/>
  <c r="A3" i="1821"/>
  <c r="AM1" i="1821"/>
  <c r="C2" i="1805"/>
  <c r="AL174" i="1810"/>
  <c r="AK174" i="1810"/>
  <c r="AL173" i="1810"/>
  <c r="AK173" i="1810"/>
  <c r="AI173" i="1810"/>
  <c r="AL171" i="1810"/>
  <c r="AK171" i="1810"/>
  <c r="H164" i="1810"/>
  <c r="AL153" i="1810"/>
  <c r="Z152" i="1810"/>
  <c r="Z154" i="1810" s="1"/>
  <c r="Z77" i="1821" s="1"/>
  <c r="AK128" i="1810"/>
  <c r="AJ128" i="1810"/>
  <c r="AI128" i="1810"/>
  <c r="AH128" i="1810"/>
  <c r="AK120" i="1810"/>
  <c r="AJ120" i="1810"/>
  <c r="AI120" i="1810"/>
  <c r="AH120" i="1810"/>
  <c r="AG120" i="1810"/>
  <c r="X120" i="1810"/>
  <c r="A111" i="1810"/>
  <c r="A116" i="1810" s="1"/>
  <c r="A101" i="1810"/>
  <c r="AG95" i="1810"/>
  <c r="Y95" i="1810"/>
  <c r="W95" i="1810"/>
  <c r="T95" i="1810"/>
  <c r="P95" i="1810"/>
  <c r="O95" i="1810"/>
  <c r="N95" i="1810"/>
  <c r="M95" i="1810"/>
  <c r="L95" i="1810"/>
  <c r="K95" i="1810"/>
  <c r="J95" i="1810"/>
  <c r="I95" i="1810"/>
  <c r="H95" i="1810"/>
  <c r="G95" i="1810"/>
  <c r="A86" i="1810"/>
  <c r="A91" i="1810" s="1"/>
  <c r="A76" i="1810"/>
  <c r="AK70" i="1810"/>
  <c r="AD70" i="1810"/>
  <c r="AC70" i="1810"/>
  <c r="AB70" i="1810"/>
  <c r="AA70" i="1810"/>
  <c r="Z70" i="1810"/>
  <c r="AL70" i="1810" s="1"/>
  <c r="U70" i="1810"/>
  <c r="T70" i="1810"/>
  <c r="S70" i="1810"/>
  <c r="R70" i="1810"/>
  <c r="P70" i="1810"/>
  <c r="O70" i="1810"/>
  <c r="N70" i="1810"/>
  <c r="L70" i="1810"/>
  <c r="K70" i="1810"/>
  <c r="J70" i="1810"/>
  <c r="I70" i="1810"/>
  <c r="H70" i="1810"/>
  <c r="G70" i="1810"/>
  <c r="F70" i="1810"/>
  <c r="E70" i="1810"/>
  <c r="D70" i="1810"/>
  <c r="C70" i="1810"/>
  <c r="Y69" i="1810"/>
  <c r="Y71" i="1810" s="1"/>
  <c r="Y35" i="1821" s="1"/>
  <c r="A56" i="1810"/>
  <c r="A61" i="1810" s="1"/>
  <c r="A66" i="1810" s="1"/>
  <c r="AK50" i="1810"/>
  <c r="W50" i="1810"/>
  <c r="U50" i="1810"/>
  <c r="T50" i="1810"/>
  <c r="S50" i="1810"/>
  <c r="R50" i="1810"/>
  <c r="Q50" i="1810"/>
  <c r="P50" i="1810"/>
  <c r="O50" i="1810"/>
  <c r="N50" i="1810"/>
  <c r="M50" i="1810"/>
  <c r="L50" i="1810"/>
  <c r="K50" i="1810"/>
  <c r="J50" i="1810"/>
  <c r="I50" i="1810"/>
  <c r="H50" i="1810"/>
  <c r="G50" i="1810"/>
  <c r="F50" i="1810"/>
  <c r="F65" i="1810" s="1"/>
  <c r="E50" i="1810"/>
  <c r="E65" i="1810" s="1"/>
  <c r="D50" i="1810"/>
  <c r="D65" i="1810" s="1"/>
  <c r="C50" i="1810"/>
  <c r="C65" i="1810" s="1"/>
  <c r="A50" i="1810"/>
  <c r="A55" i="1810" s="1"/>
  <c r="A70" i="1810" s="1"/>
  <c r="A49" i="1810"/>
  <c r="A54" i="1810" s="1"/>
  <c r="A41" i="1810"/>
  <c r="A46" i="1810" s="1"/>
  <c r="A40" i="1810"/>
  <c r="A45" i="1810" s="1"/>
  <c r="A39" i="1810"/>
  <c r="A44" i="1810" s="1"/>
  <c r="AQ38" i="1810"/>
  <c r="AP38" i="1810"/>
  <c r="AR37" i="1810"/>
  <c r="AG35" i="1810"/>
  <c r="J35" i="1810"/>
  <c r="AI20" i="1810"/>
  <c r="AH20" i="1810"/>
  <c r="V20" i="1810"/>
  <c r="U20" i="1810"/>
  <c r="T20" i="1810"/>
  <c r="S20" i="1810"/>
  <c r="R20" i="1810"/>
  <c r="Q20" i="1810"/>
  <c r="P20" i="1810"/>
  <c r="O20" i="1810"/>
  <c r="N20" i="1810"/>
  <c r="M20" i="1810"/>
  <c r="L20" i="1810"/>
  <c r="K20" i="1810"/>
  <c r="J20" i="1810"/>
  <c r="I20" i="1810"/>
  <c r="H20" i="1810"/>
  <c r="G20" i="1810"/>
  <c r="Y19" i="1810"/>
  <c r="X19" i="1810"/>
  <c r="W19" i="1810"/>
  <c r="K19" i="1810"/>
  <c r="A16" i="1810"/>
  <c r="A21" i="1810" s="1"/>
  <c r="A26" i="1810" s="1"/>
  <c r="A31" i="1810" s="1"/>
  <c r="A15" i="1810"/>
  <c r="A20" i="1810" s="1"/>
  <c r="A25" i="1810" s="1"/>
  <c r="A30" i="1810" s="1"/>
  <c r="A14" i="1810"/>
  <c r="A19" i="1810" s="1"/>
  <c r="A24" i="1810" s="1"/>
  <c r="A29" i="1810" s="1"/>
  <c r="AK10" i="1810"/>
  <c r="AI10" i="1810"/>
  <c r="AH10" i="1810"/>
  <c r="AG10" i="1810"/>
  <c r="AG15" i="1810" s="1"/>
  <c r="X10" i="1810"/>
  <c r="X75" i="1810" s="1"/>
  <c r="W10" i="1810"/>
  <c r="W75" i="1810" s="1"/>
  <c r="U10" i="1810"/>
  <c r="T10" i="1810"/>
  <c r="S10" i="1810"/>
  <c r="R10" i="1810"/>
  <c r="Q10" i="1810"/>
  <c r="P10" i="1810"/>
  <c r="O10" i="1810"/>
  <c r="N10" i="1810"/>
  <c r="M10" i="1810"/>
  <c r="L10" i="1810"/>
  <c r="K10" i="1810"/>
  <c r="J10" i="1810"/>
  <c r="I10" i="1810"/>
  <c r="H10" i="1810"/>
  <c r="G10" i="1810"/>
  <c r="F10" i="1810"/>
  <c r="E10" i="1810"/>
  <c r="D10" i="1810"/>
  <c r="C10" i="1810"/>
  <c r="P9" i="1810"/>
  <c r="O9" i="1810"/>
  <c r="M9" i="1810"/>
  <c r="L9" i="1810"/>
  <c r="K9" i="1810"/>
  <c r="I9" i="1810"/>
  <c r="H9" i="1810"/>
  <c r="E9" i="1810"/>
  <c r="D9" i="1810"/>
  <c r="C9" i="1810"/>
  <c r="A3" i="1810"/>
  <c r="AM1" i="1810"/>
  <c r="A1" i="121"/>
  <c r="U65" i="1810" l="1"/>
  <c r="W65" i="1810"/>
  <c r="G65" i="1810"/>
  <c r="I65" i="1810"/>
  <c r="L65" i="1810"/>
  <c r="N65" i="1810"/>
  <c r="J65" i="1810"/>
  <c r="O65" i="1810"/>
  <c r="P65" i="1810"/>
  <c r="H65" i="1810"/>
  <c r="M65" i="1810"/>
  <c r="Q65" i="1810"/>
  <c r="R65" i="1810"/>
  <c r="S65" i="1810"/>
  <c r="K65" i="1810"/>
  <c r="T65" i="1810"/>
  <c r="AH185" i="121"/>
  <c r="Z30" i="1821"/>
  <c r="AL30" i="1821" s="1"/>
  <c r="I17" i="1809" s="1"/>
  <c r="AJ179" i="1554"/>
  <c r="AH180" i="121"/>
  <c r="AC24" i="1821"/>
  <c r="AC26" i="1821" s="1"/>
  <c r="AB28" i="1821"/>
  <c r="E80" i="1810"/>
  <c r="E90" i="1810" s="1"/>
  <c r="F25" i="1810"/>
  <c r="U80" i="1810"/>
  <c r="U90" i="1810" s="1"/>
  <c r="E11" i="1810"/>
  <c r="E8" i="1821" s="1"/>
  <c r="C80" i="1810"/>
  <c r="C90" i="1810" s="1"/>
  <c r="D80" i="1810"/>
  <c r="D90" i="1810" s="1"/>
  <c r="T75" i="1810"/>
  <c r="H15" i="1810"/>
  <c r="D75" i="1810"/>
  <c r="L75" i="1810"/>
  <c r="L55" i="1810"/>
  <c r="T60" i="1810"/>
  <c r="E75" i="1810"/>
  <c r="N25" i="1810"/>
  <c r="D11" i="1810"/>
  <c r="D8" i="1821" s="1"/>
  <c r="J100" i="1810"/>
  <c r="F80" i="1810"/>
  <c r="F90" i="1810" s="1"/>
  <c r="I55" i="1810"/>
  <c r="AR38" i="1810"/>
  <c r="AR39" i="1810" s="1"/>
  <c r="U75" i="1810"/>
  <c r="O25" i="1810"/>
  <c r="H55" i="1810"/>
  <c r="I25" i="1810"/>
  <c r="H25" i="1810"/>
  <c r="P15" i="1810"/>
  <c r="P25" i="1810"/>
  <c r="Q25" i="1810"/>
  <c r="O11" i="1810"/>
  <c r="O8" i="1821" s="1"/>
  <c r="AH15" i="1810"/>
  <c r="X25" i="1810"/>
  <c r="R75" i="1810"/>
  <c r="G25" i="1810"/>
  <c r="AG45" i="1810"/>
  <c r="J75" i="1810"/>
  <c r="A60" i="1810"/>
  <c r="A65" i="1810" s="1"/>
  <c r="G15" i="1810"/>
  <c r="K100" i="1810"/>
  <c r="D25" i="1810"/>
  <c r="L15" i="1810"/>
  <c r="T15" i="1810"/>
  <c r="W60" i="1810"/>
  <c r="W55" i="1810"/>
  <c r="E25" i="1810"/>
  <c r="M15" i="1810"/>
  <c r="U15" i="1810"/>
  <c r="H11" i="1810"/>
  <c r="P24" i="1810"/>
  <c r="P11" i="1810"/>
  <c r="I24" i="1810"/>
  <c r="L14" i="1810"/>
  <c r="D24" i="1810"/>
  <c r="M14" i="1810"/>
  <c r="E24" i="1810"/>
  <c r="L24" i="1810"/>
  <c r="M24" i="1810"/>
  <c r="Y68" i="1821"/>
  <c r="A69" i="1810"/>
  <c r="A59" i="1810"/>
  <c r="A64" i="1810" s="1"/>
  <c r="A80" i="1810"/>
  <c r="A85" i="1810" s="1"/>
  <c r="A75" i="1810"/>
  <c r="O60" i="1810"/>
  <c r="O80" i="1810"/>
  <c r="I11" i="1810"/>
  <c r="I8" i="1821" s="1"/>
  <c r="H14" i="1810"/>
  <c r="P14" i="1810"/>
  <c r="X15" i="1810"/>
  <c r="J25" i="1810"/>
  <c r="R25" i="1810"/>
  <c r="H60" i="1810"/>
  <c r="H80" i="1810"/>
  <c r="P60" i="1810"/>
  <c r="P80" i="1810"/>
  <c r="J55" i="1810"/>
  <c r="T55" i="1810"/>
  <c r="C60" i="1810"/>
  <c r="F75" i="1810"/>
  <c r="N75" i="1810"/>
  <c r="L100" i="1810"/>
  <c r="T100" i="1810"/>
  <c r="N15" i="1810"/>
  <c r="G60" i="1810"/>
  <c r="G80" i="1810"/>
  <c r="S55" i="1810"/>
  <c r="I14" i="1810"/>
  <c r="I15" i="1810"/>
  <c r="Q15" i="1810"/>
  <c r="AI15" i="1810"/>
  <c r="K25" i="1810"/>
  <c r="S25" i="1810"/>
  <c r="I60" i="1810"/>
  <c r="I80" i="1810"/>
  <c r="Q60" i="1810"/>
  <c r="K55" i="1810"/>
  <c r="D60" i="1810"/>
  <c r="G75" i="1810"/>
  <c r="O75" i="1810"/>
  <c r="Y143" i="1810"/>
  <c r="I75" i="1810"/>
  <c r="M100" i="1810"/>
  <c r="R60" i="1810"/>
  <c r="K11" i="1810"/>
  <c r="R15" i="1810"/>
  <c r="L25" i="1810"/>
  <c r="T25" i="1810"/>
  <c r="J80" i="1810"/>
  <c r="R80" i="1810"/>
  <c r="F60" i="1810"/>
  <c r="H75" i="1810"/>
  <c r="P75" i="1810"/>
  <c r="AK75" i="1810"/>
  <c r="W15" i="1810"/>
  <c r="S60" i="1810"/>
  <c r="C11" i="1810"/>
  <c r="J15" i="1810"/>
  <c r="L11" i="1810"/>
  <c r="L8" i="1821" s="1"/>
  <c r="K15" i="1810"/>
  <c r="S15" i="1810"/>
  <c r="M25" i="1810"/>
  <c r="U25" i="1810"/>
  <c r="K80" i="1810"/>
  <c r="S80" i="1810"/>
  <c r="AK80" i="1810"/>
  <c r="O55" i="1810"/>
  <c r="J60" i="1810"/>
  <c r="N55" i="1810"/>
  <c r="N60" i="1810"/>
  <c r="R55" i="1810"/>
  <c r="O14" i="1810"/>
  <c r="N80" i="1810"/>
  <c r="M11" i="1810"/>
  <c r="M8" i="1821" s="1"/>
  <c r="L80" i="1810"/>
  <c r="T80" i="1810"/>
  <c r="P55" i="1810"/>
  <c r="K60" i="1810"/>
  <c r="AM70" i="1810"/>
  <c r="O15" i="1810"/>
  <c r="E60" i="1810"/>
  <c r="M55" i="1810"/>
  <c r="M60" i="1810"/>
  <c r="U55" i="1810"/>
  <c r="U60" i="1810"/>
  <c r="G55" i="1810"/>
  <c r="Q55" i="1810"/>
  <c r="L60" i="1810"/>
  <c r="AK60" i="1810"/>
  <c r="C75" i="1810"/>
  <c r="K75" i="1810"/>
  <c r="S75" i="1810"/>
  <c r="W80" i="1810"/>
  <c r="N100" i="1810"/>
  <c r="G100" i="1810"/>
  <c r="O100" i="1810"/>
  <c r="W100" i="1810"/>
  <c r="H100" i="1810"/>
  <c r="P100" i="1810"/>
  <c r="I100" i="1810"/>
  <c r="AG100" i="1810"/>
  <c r="Z90" i="121"/>
  <c r="I1" i="1815"/>
  <c r="E26" i="1810" l="1"/>
  <c r="AB30" i="1821"/>
  <c r="AD24" i="1821"/>
  <c r="AD26" i="1821" s="1"/>
  <c r="AD28" i="1821" s="1"/>
  <c r="AC28" i="1821"/>
  <c r="I9" i="1821"/>
  <c r="H16" i="1810"/>
  <c r="M11" i="1821"/>
  <c r="O16" i="1810"/>
  <c r="M9" i="1821"/>
  <c r="P26" i="1810"/>
  <c r="P8" i="1821"/>
  <c r="H8" i="1821"/>
  <c r="L9" i="1821" s="1"/>
  <c r="D26" i="1810"/>
  <c r="C8" i="1821"/>
  <c r="D11" i="1821" s="1"/>
  <c r="K8" i="1821"/>
  <c r="O9" i="1821" s="1"/>
  <c r="AA90" i="121"/>
  <c r="AA69" i="1810" s="1"/>
  <c r="AA71" i="1810" s="1"/>
  <c r="AA35" i="1821" s="1"/>
  <c r="Z69" i="1810"/>
  <c r="Z71" i="1810" s="1"/>
  <c r="E11" i="1821"/>
  <c r="L105" i="1810"/>
  <c r="L90" i="1810"/>
  <c r="L85" i="1810"/>
  <c r="I105" i="1810"/>
  <c r="I115" i="1810" s="1"/>
  <c r="I85" i="1810"/>
  <c r="I90" i="1810"/>
  <c r="M16" i="1810"/>
  <c r="M26" i="1810"/>
  <c r="L16" i="1810"/>
  <c r="L26" i="1810"/>
  <c r="G105" i="1810"/>
  <c r="G115" i="1810" s="1"/>
  <c r="G85" i="1810"/>
  <c r="G90" i="1810"/>
  <c r="A95" i="1810"/>
  <c r="A90" i="1810"/>
  <c r="W105" i="1810"/>
  <c r="W85" i="1810"/>
  <c r="W90" i="1810"/>
  <c r="N105" i="1810"/>
  <c r="N85" i="1810"/>
  <c r="N90" i="1810"/>
  <c r="AK90" i="1810"/>
  <c r="P16" i="1810"/>
  <c r="I26" i="1810"/>
  <c r="I16" i="1810"/>
  <c r="O105" i="1810"/>
  <c r="O85" i="1810"/>
  <c r="O90" i="1810"/>
  <c r="S90" i="1810"/>
  <c r="S85" i="1810"/>
  <c r="P105" i="1810"/>
  <c r="P85" i="1810"/>
  <c r="P90" i="1810"/>
  <c r="J85" i="1810"/>
  <c r="J105" i="1810"/>
  <c r="J115" i="1810" s="1"/>
  <c r="J90" i="1810"/>
  <c r="T105" i="1810"/>
  <c r="T90" i="1810"/>
  <c r="T85" i="1810"/>
  <c r="R85" i="1810"/>
  <c r="R90" i="1810"/>
  <c r="A74" i="1810"/>
  <c r="A79" i="1810"/>
  <c r="A84" i="1810" s="1"/>
  <c r="K105" i="1810"/>
  <c r="K90" i="1810"/>
  <c r="K85" i="1810"/>
  <c r="H105" i="1810"/>
  <c r="H115" i="1810" s="1"/>
  <c r="H85" i="1810"/>
  <c r="H90" i="1810"/>
  <c r="I20" i="1815"/>
  <c r="A3" i="1815"/>
  <c r="G14" i="1815"/>
  <c r="G15" i="1815" s="1"/>
  <c r="G20" i="1815" s="1"/>
  <c r="C14" i="1815"/>
  <c r="B14" i="1815"/>
  <c r="I13" i="1815"/>
  <c r="I12" i="1815"/>
  <c r="D12" i="1815"/>
  <c r="I11" i="1815"/>
  <c r="D11" i="1815"/>
  <c r="I10" i="1815"/>
  <c r="D10" i="1815"/>
  <c r="I9" i="1815"/>
  <c r="D9" i="1815"/>
  <c r="G6" i="1815"/>
  <c r="AD30" i="1821" l="1"/>
  <c r="AC30" i="1821"/>
  <c r="K17" i="1809"/>
  <c r="H9" i="1821"/>
  <c r="I11" i="1821"/>
  <c r="L11" i="1821"/>
  <c r="Z35" i="1821"/>
  <c r="Z68" i="1821" s="1"/>
  <c r="Z143" i="1810"/>
  <c r="P11" i="1821"/>
  <c r="P9" i="1821"/>
  <c r="L115" i="1810"/>
  <c r="L110" i="1810"/>
  <c r="O115" i="1810"/>
  <c r="O110" i="1810"/>
  <c r="A105" i="1810"/>
  <c r="A100" i="1810"/>
  <c r="K110" i="1810"/>
  <c r="K115" i="1810"/>
  <c r="T115" i="1810"/>
  <c r="T110" i="1810"/>
  <c r="P115" i="1810"/>
  <c r="P110" i="1810"/>
  <c r="A94" i="1810"/>
  <c r="A89" i="1810"/>
  <c r="N115" i="1810"/>
  <c r="N110" i="1810"/>
  <c r="W115" i="1810"/>
  <c r="H14" i="1815"/>
  <c r="I14" i="1815" s="1"/>
  <c r="I15" i="1815" s="1"/>
  <c r="H17" i="1815"/>
  <c r="I17" i="1815" s="1"/>
  <c r="D14" i="1815"/>
  <c r="D15" i="1815" s="1"/>
  <c r="B15" i="1815"/>
  <c r="AM30" i="1821" l="1"/>
  <c r="J17" i="1809" s="1"/>
  <c r="A104" i="1810"/>
  <c r="A99" i="1810"/>
  <c r="A120" i="1810"/>
  <c r="A110" i="1810"/>
  <c r="A115" i="1810" s="1"/>
  <c r="A128" i="1810"/>
  <c r="I18" i="1815"/>
  <c r="H125" i="1808" s="1"/>
  <c r="I39" i="1809" s="1"/>
  <c r="AM129" i="1810" s="1"/>
  <c r="T126" i="1812"/>
  <c r="S126" i="1812"/>
  <c r="R126" i="1812"/>
  <c r="Q126" i="1812"/>
  <c r="U9" i="121"/>
  <c r="Z129" i="1810" l="1"/>
  <c r="AM138" i="1810"/>
  <c r="AA129" i="1810"/>
  <c r="AM54" i="1821"/>
  <c r="AM63" i="1821" s="1"/>
  <c r="A127" i="1810"/>
  <c r="A119" i="1810"/>
  <c r="A109" i="1810"/>
  <c r="A114" i="1810" s="1"/>
  <c r="I21" i="1815"/>
  <c r="I40" i="1809" s="1"/>
  <c r="Z333" i="121"/>
  <c r="Z335" i="121" s="1"/>
  <c r="AM183" i="121"/>
  <c r="AM182" i="121"/>
  <c r="AM181" i="121"/>
  <c r="AM180" i="121"/>
  <c r="AM174" i="121"/>
  <c r="AM166" i="121"/>
  <c r="AM164" i="121"/>
  <c r="E85" i="1809"/>
  <c r="D83" i="1809"/>
  <c r="Y106" i="1814"/>
  <c r="Y66" i="1583"/>
  <c r="Y32" i="1583"/>
  <c r="Y48" i="1583" s="1"/>
  <c r="Y111" i="1814"/>
  <c r="Y149" i="1810" s="1"/>
  <c r="Y162" i="1814"/>
  <c r="Y170" i="1814"/>
  <c r="Y169" i="1814"/>
  <c r="Y168" i="1814"/>
  <c r="Y167" i="1814"/>
  <c r="Y92" i="1813"/>
  <c r="Y174" i="1814" s="1"/>
  <c r="Y91" i="1813"/>
  <c r="Y94" i="1813"/>
  <c r="Y88" i="1814"/>
  <c r="Y84" i="1814"/>
  <c r="Y128" i="1810" s="1"/>
  <c r="Y82" i="1814"/>
  <c r="Y120" i="1810" s="1"/>
  <c r="Y69" i="1814"/>
  <c r="Y101" i="1814" s="1"/>
  <c r="Y27" i="1814"/>
  <c r="Y123" i="1814"/>
  <c r="Y76" i="1813"/>
  <c r="Y86" i="1813" s="1"/>
  <c r="Y88" i="1813" s="1"/>
  <c r="Y333" i="121"/>
  <c r="Y335" i="121" s="1"/>
  <c r="E90" i="155"/>
  <c r="Y38" i="1813"/>
  <c r="Y43" i="1813" s="1"/>
  <c r="Y70" i="1813"/>
  <c r="Y71" i="1813" s="1"/>
  <c r="Y306" i="121"/>
  <c r="Y70" i="121" s="1"/>
  <c r="Y216" i="121"/>
  <c r="Y215" i="121"/>
  <c r="Y214" i="121"/>
  <c r="Y210" i="121"/>
  <c r="Y209" i="121"/>
  <c r="Y208" i="121"/>
  <c r="Y174" i="121"/>
  <c r="Y172" i="121"/>
  <c r="Y164" i="121"/>
  <c r="Y138" i="121"/>
  <c r="Y152" i="1810" s="1"/>
  <c r="Y154" i="1810" s="1"/>
  <c r="Y77" i="1821" s="1"/>
  <c r="Y136" i="121"/>
  <c r="Y127" i="121"/>
  <c r="Y126" i="121"/>
  <c r="Y105" i="121"/>
  <c r="Y103" i="121"/>
  <c r="Y119" i="1810" s="1"/>
  <c r="Y72" i="121"/>
  <c r="Y122" i="121" s="1"/>
  <c r="Y73" i="121"/>
  <c r="Y74" i="121" s="1"/>
  <c r="Y65" i="121"/>
  <c r="Y121" i="121" s="1"/>
  <c r="Y10" i="121"/>
  <c r="Y9" i="121"/>
  <c r="Y163" i="121" s="1"/>
  <c r="Y116" i="1554"/>
  <c r="Y178" i="1554"/>
  <c r="Y179" i="1554" s="1"/>
  <c r="Y127" i="1554" s="1"/>
  <c r="Y163" i="1554"/>
  <c r="Y150" i="1554"/>
  <c r="Y152" i="1554" s="1"/>
  <c r="Y154" i="1554" s="1"/>
  <c r="Y144" i="1554"/>
  <c r="Y146" i="1554" s="1"/>
  <c r="Y122" i="1554"/>
  <c r="Y104" i="1554"/>
  <c r="Y103" i="1554"/>
  <c r="Y100" i="1554"/>
  <c r="Y99" i="1554" s="1"/>
  <c r="Y361" i="1554"/>
  <c r="Y83" i="1554"/>
  <c r="Y90" i="1554" s="1"/>
  <c r="Y92" i="1554" s="1"/>
  <c r="Y76" i="1554"/>
  <c r="Y112" i="1554" s="1"/>
  <c r="Y39" i="1554"/>
  <c r="Y38" i="1554"/>
  <c r="Y64" i="1554"/>
  <c r="Y55" i="1554"/>
  <c r="Y48" i="1554"/>
  <c r="Y47" i="1554"/>
  <c r="Y41" i="1554"/>
  <c r="Y35" i="1554"/>
  <c r="Y24" i="1554"/>
  <c r="Y16" i="1554"/>
  <c r="Y18" i="1554" s="1"/>
  <c r="Y291" i="1554"/>
  <c r="Y290" i="1554"/>
  <c r="Y289" i="1554"/>
  <c r="Y282" i="1554"/>
  <c r="Y281" i="1554"/>
  <c r="Y273" i="1554"/>
  <c r="Y274" i="1554" s="1"/>
  <c r="Y269" i="1554"/>
  <c r="Y267" i="1554"/>
  <c r="Y256" i="1554"/>
  <c r="Y248" i="1554"/>
  <c r="Y251" i="1554" s="1"/>
  <c r="Y231" i="1554"/>
  <c r="Y238" i="1554" s="1"/>
  <c r="Y254" i="1554" s="1"/>
  <c r="Y253" i="1554" s="1"/>
  <c r="Y77" i="1554"/>
  <c r="AA138" i="1810" l="1"/>
  <c r="AA54" i="1821"/>
  <c r="AA63" i="1821" s="1"/>
  <c r="AB129" i="1810"/>
  <c r="G105" i="1821"/>
  <c r="G165" i="1810"/>
  <c r="Z138" i="1810"/>
  <c r="Z54" i="1821"/>
  <c r="Z63" i="1821" s="1"/>
  <c r="Y171" i="121"/>
  <c r="Y173" i="121" s="1"/>
  <c r="Y175" i="121" s="1"/>
  <c r="Y121" i="1810"/>
  <c r="Y49" i="1821" s="1"/>
  <c r="H167" i="1810"/>
  <c r="H107" i="1821"/>
  <c r="Y116" i="121"/>
  <c r="Y127" i="1810"/>
  <c r="Y129" i="1810" s="1"/>
  <c r="Y67" i="1583"/>
  <c r="Y77" i="1583" s="1"/>
  <c r="Y20" i="1810"/>
  <c r="AL128" i="1810"/>
  <c r="Y93" i="1813"/>
  <c r="Y175" i="1814" s="1"/>
  <c r="Y176" i="1814" s="1"/>
  <c r="Y270" i="1554"/>
  <c r="Y276" i="1554" s="1"/>
  <c r="Y277" i="1554" s="1"/>
  <c r="Y64" i="1814"/>
  <c r="Y152" i="1583"/>
  <c r="Y153" i="1583"/>
  <c r="Y171" i="1814"/>
  <c r="Y61" i="1814"/>
  <c r="Y100" i="1814" s="1"/>
  <c r="Y165" i="121"/>
  <c r="Y167" i="121" s="1"/>
  <c r="Y165" i="1554"/>
  <c r="Y292" i="1554"/>
  <c r="Y217" i="121"/>
  <c r="Y26" i="1554"/>
  <c r="Y28" i="1554" s="1"/>
  <c r="Y31" i="1554" s="1"/>
  <c r="Y220" i="121"/>
  <c r="Y148" i="1554"/>
  <c r="Y128" i="121"/>
  <c r="Y211" i="121"/>
  <c r="Y105" i="1554"/>
  <c r="Y11" i="121"/>
  <c r="Y12" i="121" s="1"/>
  <c r="Y307" i="121"/>
  <c r="Y40" i="121"/>
  <c r="Y75" i="121"/>
  <c r="Y150" i="121"/>
  <c r="Y45" i="121"/>
  <c r="Y151" i="121"/>
  <c r="Y305" i="121"/>
  <c r="Y118" i="1554"/>
  <c r="Y168" i="1554"/>
  <c r="Y170" i="1554" s="1"/>
  <c r="Y156" i="1554"/>
  <c r="Y158" i="1554" s="1"/>
  <c r="Y160" i="1554" s="1"/>
  <c r="Y117" i="1554"/>
  <c r="Y49" i="1554"/>
  <c r="Y78" i="1554"/>
  <c r="Y283" i="1554" s="1"/>
  <c r="AS104" i="1813"/>
  <c r="AT104" i="1813"/>
  <c r="AU104" i="1813"/>
  <c r="AS98" i="1813"/>
  <c r="AS97" i="1813"/>
  <c r="AT102" i="1813"/>
  <c r="AT101" i="1813"/>
  <c r="AT100" i="1813"/>
  <c r="AT99" i="1813"/>
  <c r="AT98" i="1813"/>
  <c r="AT97" i="1813"/>
  <c r="AB136" i="1814"/>
  <c r="H22" i="1811"/>
  <c r="G22" i="1811"/>
  <c r="F22" i="1811"/>
  <c r="E22" i="1811"/>
  <c r="Q131" i="1812"/>
  <c r="Q133" i="1812" s="1"/>
  <c r="R131" i="1812"/>
  <c r="R133" i="1812" s="1"/>
  <c r="S131" i="1812"/>
  <c r="S133" i="1812" s="1"/>
  <c r="T131" i="1812"/>
  <c r="T133" i="1812" s="1"/>
  <c r="N130" i="1814"/>
  <c r="R27" i="1814"/>
  <c r="V27" i="1814"/>
  <c r="Z101" i="1814"/>
  <c r="H94" i="1814"/>
  <c r="G94" i="1814"/>
  <c r="AJ33" i="1814"/>
  <c r="AI33" i="1814"/>
  <c r="AK33" i="1814"/>
  <c r="W33" i="1814"/>
  <c r="U33" i="1814"/>
  <c r="T33" i="1814"/>
  <c r="S33" i="1814"/>
  <c r="Q33" i="1814"/>
  <c r="P33" i="1814"/>
  <c r="O33" i="1814"/>
  <c r="N33" i="1814"/>
  <c r="M33" i="1814"/>
  <c r="X33" i="1814"/>
  <c r="V144" i="1814"/>
  <c r="N144" i="1814"/>
  <c r="M144" i="1814"/>
  <c r="M238" i="1814"/>
  <c r="W27" i="1814"/>
  <c r="W20" i="1810" s="1"/>
  <c r="X27" i="1814"/>
  <c r="X20" i="1810" s="1"/>
  <c r="W252" i="121"/>
  <c r="X175" i="1814"/>
  <c r="W175" i="1814"/>
  <c r="V175" i="1814"/>
  <c r="U175" i="1814"/>
  <c r="T175" i="1814"/>
  <c r="S175" i="1814"/>
  <c r="R175" i="1814"/>
  <c r="Q175" i="1814"/>
  <c r="P175" i="1814"/>
  <c r="O175" i="1814"/>
  <c r="W174" i="1814"/>
  <c r="V174" i="1814"/>
  <c r="U174" i="1814"/>
  <c r="T174" i="1814"/>
  <c r="S174" i="1814"/>
  <c r="R174" i="1814"/>
  <c r="Q174" i="1814"/>
  <c r="P174" i="1814"/>
  <c r="O174" i="1814"/>
  <c r="X174" i="1814"/>
  <c r="W94" i="1813"/>
  <c r="V94" i="1813"/>
  <c r="U94" i="1813"/>
  <c r="T94" i="1813"/>
  <c r="S94" i="1813"/>
  <c r="R94" i="1813"/>
  <c r="Q94" i="1813"/>
  <c r="P94" i="1813"/>
  <c r="O94" i="1813"/>
  <c r="X94" i="1813"/>
  <c r="AU93" i="1813"/>
  <c r="AT93" i="1813"/>
  <c r="AU92" i="1813"/>
  <c r="AT92" i="1813"/>
  <c r="AT91" i="1813"/>
  <c r="AU91" i="1813"/>
  <c r="AM134" i="1814"/>
  <c r="AD144" i="1814"/>
  <c r="AC144" i="1814"/>
  <c r="AB144" i="1814"/>
  <c r="AA144" i="1814"/>
  <c r="Z144" i="1814"/>
  <c r="Y144" i="1814"/>
  <c r="AD136" i="1814"/>
  <c r="AC136" i="1814"/>
  <c r="AA136" i="1814"/>
  <c r="W144" i="1814"/>
  <c r="U144" i="1814"/>
  <c r="T144" i="1814"/>
  <c r="S144" i="1814"/>
  <c r="R144" i="1814"/>
  <c r="Q144" i="1814"/>
  <c r="P144" i="1814"/>
  <c r="O144" i="1814"/>
  <c r="X144" i="1814"/>
  <c r="A19" i="1814"/>
  <c r="A25" i="1814" s="1"/>
  <c r="U238" i="1814"/>
  <c r="T238" i="1814"/>
  <c r="S238" i="1814"/>
  <c r="Q238" i="1814"/>
  <c r="P238" i="1814"/>
  <c r="O238" i="1814"/>
  <c r="AB154" i="1814"/>
  <c r="AM153" i="1814"/>
  <c r="AK153" i="1814"/>
  <c r="AJ153" i="1814"/>
  <c r="AM152" i="1814"/>
  <c r="AJ152" i="1814"/>
  <c r="AM151" i="1814"/>
  <c r="AL151" i="1814"/>
  <c r="AK151" i="1814"/>
  <c r="AJ151" i="1814"/>
  <c r="AM150" i="1814"/>
  <c r="AL150" i="1814"/>
  <c r="AK150" i="1814"/>
  <c r="AI115" i="1814"/>
  <c r="AI76" i="1821" s="1"/>
  <c r="AJ115" i="1814"/>
  <c r="AJ76" i="1821" s="1"/>
  <c r="W130" i="1814"/>
  <c r="X130" i="1814"/>
  <c r="W123" i="1814"/>
  <c r="V123" i="1814"/>
  <c r="U123" i="1814"/>
  <c r="T123" i="1814"/>
  <c r="S123" i="1814"/>
  <c r="R123" i="1814"/>
  <c r="Q123" i="1814"/>
  <c r="P123" i="1814"/>
  <c r="O123" i="1814"/>
  <c r="N123" i="1814"/>
  <c r="M123" i="1814"/>
  <c r="L123" i="1814"/>
  <c r="K123" i="1814"/>
  <c r="J123" i="1814"/>
  <c r="I123" i="1814"/>
  <c r="AL233" i="1814"/>
  <c r="AK233" i="1814"/>
  <c r="AJ233" i="1814"/>
  <c r="AI233" i="1814"/>
  <c r="AH233" i="1814"/>
  <c r="AG233" i="1814"/>
  <c r="AD233" i="1814"/>
  <c r="AD250" i="1814" s="1"/>
  <c r="AC233" i="1814"/>
  <c r="AC250" i="1814" s="1"/>
  <c r="AB233" i="1814"/>
  <c r="AB250" i="1814" s="1"/>
  <c r="AA233" i="1814"/>
  <c r="AA250" i="1814" s="1"/>
  <c r="Z233" i="1814"/>
  <c r="Z250" i="1814" s="1"/>
  <c r="Y233" i="1814"/>
  <c r="Y250" i="1814" s="1"/>
  <c r="X233" i="1814"/>
  <c r="X250" i="1814" s="1"/>
  <c r="W233" i="1814"/>
  <c r="W250" i="1814" s="1"/>
  <c r="V233" i="1814"/>
  <c r="V250" i="1814" s="1"/>
  <c r="U233" i="1814"/>
  <c r="U250" i="1814" s="1"/>
  <c r="T233" i="1814"/>
  <c r="T250" i="1814" s="1"/>
  <c r="S233" i="1814"/>
  <c r="S250" i="1814" s="1"/>
  <c r="R233" i="1814"/>
  <c r="R250" i="1814" s="1"/>
  <c r="Q233" i="1814"/>
  <c r="Q250" i="1814" s="1"/>
  <c r="P233" i="1814"/>
  <c r="P250" i="1814" s="1"/>
  <c r="O233" i="1814"/>
  <c r="O250" i="1814" s="1"/>
  <c r="N233" i="1814"/>
  <c r="N250" i="1814" s="1"/>
  <c r="M233" i="1814"/>
  <c r="M250" i="1814" s="1"/>
  <c r="L233" i="1814"/>
  <c r="L250" i="1814" s="1"/>
  <c r="K233" i="1814"/>
  <c r="K250" i="1814" s="1"/>
  <c r="J233" i="1814"/>
  <c r="J250" i="1814" s="1"/>
  <c r="I233" i="1814"/>
  <c r="I250" i="1814" s="1"/>
  <c r="H233" i="1814"/>
  <c r="G233" i="1814"/>
  <c r="A221" i="1814"/>
  <c r="A227" i="1814" s="1"/>
  <c r="A244" i="1814" s="1"/>
  <c r="A220" i="1814"/>
  <c r="A226" i="1814" s="1"/>
  <c r="A243" i="1814" s="1"/>
  <c r="A219" i="1814"/>
  <c r="A225" i="1814" s="1"/>
  <c r="A242" i="1814" s="1"/>
  <c r="A218" i="1814"/>
  <c r="A224" i="1814" s="1"/>
  <c r="A241" i="1814" s="1"/>
  <c r="AF216" i="1814"/>
  <c r="S215" i="1814"/>
  <c r="R215" i="1814"/>
  <c r="Q215" i="1814"/>
  <c r="P215" i="1814"/>
  <c r="A206" i="1814"/>
  <c r="AQ199" i="1814"/>
  <c r="AQ198" i="1814"/>
  <c r="AP198" i="1814"/>
  <c r="AQ194" i="1814"/>
  <c r="AQ193" i="1814"/>
  <c r="AP193" i="1814"/>
  <c r="AQ189" i="1814"/>
  <c r="AQ188" i="1814"/>
  <c r="AP188" i="1814"/>
  <c r="A186" i="1814"/>
  <c r="A191" i="1814" s="1"/>
  <c r="AQ184" i="1814"/>
  <c r="AQ183" i="1814"/>
  <c r="AP183" i="1814"/>
  <c r="AA154" i="1814"/>
  <c r="AD154" i="1814"/>
  <c r="AC154" i="1814"/>
  <c r="A145" i="1814"/>
  <c r="A144" i="1814"/>
  <c r="A143" i="1814"/>
  <c r="A142" i="1814"/>
  <c r="A141" i="1814"/>
  <c r="A137" i="1814"/>
  <c r="AJ136" i="1814"/>
  <c r="A136" i="1814"/>
  <c r="A135" i="1814"/>
  <c r="A134" i="1814"/>
  <c r="AD123" i="1814"/>
  <c r="AC123" i="1814"/>
  <c r="AB123" i="1814"/>
  <c r="AA123" i="1814"/>
  <c r="Z123" i="1814"/>
  <c r="X123" i="1814"/>
  <c r="AQ117" i="1814"/>
  <c r="AM116" i="1814"/>
  <c r="AQ115" i="1814"/>
  <c r="AO115" i="1814"/>
  <c r="AM115" i="1814"/>
  <c r="AL115" i="1814"/>
  <c r="AP114" i="1814"/>
  <c r="AP115" i="1814" s="1"/>
  <c r="AM114" i="1814"/>
  <c r="AR113" i="1814"/>
  <c r="AM113" i="1814"/>
  <c r="AM112" i="1814"/>
  <c r="AM102" i="1814"/>
  <c r="AM101" i="1814"/>
  <c r="AM100" i="1814"/>
  <c r="A100" i="1814"/>
  <c r="AM99" i="1814"/>
  <c r="AQ64" i="1814"/>
  <c r="AQ56" i="1814"/>
  <c r="AQ55" i="1814"/>
  <c r="AP55" i="1814"/>
  <c r="A48" i="1814"/>
  <c r="A53" i="1814" s="1"/>
  <c r="A58" i="1814" s="1"/>
  <c r="A47" i="1814"/>
  <c r="A52" i="1814" s="1"/>
  <c r="A46" i="1814"/>
  <c r="A51" i="1814" s="1"/>
  <c r="AM11" i="1814"/>
  <c r="A3" i="1814"/>
  <c r="Z216" i="1814"/>
  <c r="AU222" i="1813"/>
  <c r="AT222" i="1813"/>
  <c r="A222" i="1813"/>
  <c r="AU221" i="1813"/>
  <c r="AT221" i="1813"/>
  <c r="A221" i="1813"/>
  <c r="AU218" i="1813"/>
  <c r="AT218" i="1813"/>
  <c r="A218" i="1813"/>
  <c r="AU217" i="1813"/>
  <c r="AT217" i="1813"/>
  <c r="A217" i="1813"/>
  <c r="AU214" i="1813"/>
  <c r="AT214" i="1813"/>
  <c r="A214" i="1813"/>
  <c r="AU213" i="1813"/>
  <c r="AT213" i="1813"/>
  <c r="A213" i="1813"/>
  <c r="AU211" i="1813"/>
  <c r="AT211" i="1813"/>
  <c r="A211" i="1813"/>
  <c r="AU210" i="1813"/>
  <c r="AT210" i="1813"/>
  <c r="A210" i="1813"/>
  <c r="AU209" i="1813"/>
  <c r="AT209" i="1813"/>
  <c r="A209" i="1813"/>
  <c r="AU208" i="1813"/>
  <c r="A208" i="1813"/>
  <c r="AU207" i="1813"/>
  <c r="A207" i="1813"/>
  <c r="AU206" i="1813"/>
  <c r="A206" i="1813"/>
  <c r="AU205" i="1813"/>
  <c r="A205" i="1813"/>
  <c r="AU204" i="1813"/>
  <c r="AT204" i="1813"/>
  <c r="A204" i="1813"/>
  <c r="AU203" i="1813"/>
  <c r="AT203" i="1813"/>
  <c r="A203" i="1813"/>
  <c r="AU202" i="1813"/>
  <c r="AT202" i="1813"/>
  <c r="A202" i="1813"/>
  <c r="AU201" i="1813"/>
  <c r="A201" i="1813"/>
  <c r="AU200" i="1813"/>
  <c r="AT200" i="1813"/>
  <c r="A200" i="1813"/>
  <c r="AU199" i="1813"/>
  <c r="A199" i="1813"/>
  <c r="A198" i="1813"/>
  <c r="A197" i="1813"/>
  <c r="A196" i="1813"/>
  <c r="AU195" i="1813"/>
  <c r="AT195" i="1813"/>
  <c r="A195" i="1813"/>
  <c r="AU192" i="1813"/>
  <c r="AT192" i="1813"/>
  <c r="A192" i="1813"/>
  <c r="AU191" i="1813"/>
  <c r="AT191" i="1813"/>
  <c r="A191" i="1813"/>
  <c r="AU190" i="1813"/>
  <c r="AT190" i="1813"/>
  <c r="A190" i="1813"/>
  <c r="AU189" i="1813"/>
  <c r="AT189" i="1813"/>
  <c r="A189" i="1813"/>
  <c r="AU188" i="1813"/>
  <c r="AT188" i="1813"/>
  <c r="A188" i="1813"/>
  <c r="AU187" i="1813"/>
  <c r="AT187" i="1813"/>
  <c r="A187" i="1813"/>
  <c r="AU184" i="1813"/>
  <c r="A184" i="1813"/>
  <c r="AU183" i="1813"/>
  <c r="AT183" i="1813"/>
  <c r="A183" i="1813"/>
  <c r="AU182" i="1813"/>
  <c r="AT182" i="1813"/>
  <c r="A182" i="1813"/>
  <c r="AU181" i="1813"/>
  <c r="AT181" i="1813"/>
  <c r="A181" i="1813"/>
  <c r="AU180" i="1813"/>
  <c r="AT180" i="1813"/>
  <c r="A180" i="1813"/>
  <c r="AU179" i="1813"/>
  <c r="AT179" i="1813"/>
  <c r="A179" i="1813"/>
  <c r="AU178" i="1813"/>
  <c r="AT178" i="1813"/>
  <c r="A178" i="1813"/>
  <c r="AU177" i="1813"/>
  <c r="AT177" i="1813"/>
  <c r="A177" i="1813"/>
  <c r="AU176" i="1813"/>
  <c r="A176" i="1813"/>
  <c r="AU173" i="1813"/>
  <c r="A173" i="1813"/>
  <c r="AU172" i="1813"/>
  <c r="AT172" i="1813"/>
  <c r="A172" i="1813"/>
  <c r="AU171" i="1813"/>
  <c r="AT171" i="1813"/>
  <c r="A171" i="1813"/>
  <c r="A170" i="1813"/>
  <c r="AU169" i="1813"/>
  <c r="AT169" i="1813"/>
  <c r="A169" i="1813"/>
  <c r="A168" i="1813"/>
  <c r="AU167" i="1813"/>
  <c r="AT167" i="1813"/>
  <c r="A167" i="1813"/>
  <c r="AU166" i="1813"/>
  <c r="AT166" i="1813"/>
  <c r="A166" i="1813"/>
  <c r="AU165" i="1813"/>
  <c r="AT165" i="1813"/>
  <c r="A165" i="1813"/>
  <c r="AU164" i="1813"/>
  <c r="AT164" i="1813"/>
  <c r="A164" i="1813"/>
  <c r="AU163" i="1813"/>
  <c r="AT163" i="1813"/>
  <c r="A163" i="1813"/>
  <c r="AU162" i="1813"/>
  <c r="AT162" i="1813"/>
  <c r="A162" i="1813"/>
  <c r="AU161" i="1813"/>
  <c r="AT161" i="1813"/>
  <c r="A161" i="1813"/>
  <c r="AU160" i="1813"/>
  <c r="AT160" i="1813"/>
  <c r="A160" i="1813"/>
  <c r="AU157" i="1813"/>
  <c r="AT157" i="1813"/>
  <c r="A157" i="1813"/>
  <c r="AU151" i="1813"/>
  <c r="A151" i="1813"/>
  <c r="AU150" i="1813"/>
  <c r="A150" i="1813"/>
  <c r="AU149" i="1813"/>
  <c r="A149" i="1813"/>
  <c r="AU148" i="1813"/>
  <c r="A148" i="1813"/>
  <c r="AU147" i="1813"/>
  <c r="A147" i="1813"/>
  <c r="AU146" i="1813"/>
  <c r="A146" i="1813"/>
  <c r="AU145" i="1813"/>
  <c r="A145" i="1813"/>
  <c r="AU144" i="1813"/>
  <c r="A144" i="1813"/>
  <c r="AU143" i="1813"/>
  <c r="AT143" i="1813"/>
  <c r="AS143" i="1813"/>
  <c r="AR143" i="1813"/>
  <c r="AQ143" i="1813"/>
  <c r="X143" i="1813"/>
  <c r="W143" i="1813"/>
  <c r="V143" i="1813"/>
  <c r="U143" i="1813"/>
  <c r="T143" i="1813"/>
  <c r="S143" i="1813"/>
  <c r="R143" i="1813"/>
  <c r="Q143" i="1813"/>
  <c r="P143" i="1813"/>
  <c r="O143" i="1813"/>
  <c r="N143" i="1813"/>
  <c r="M143" i="1813"/>
  <c r="L143" i="1813"/>
  <c r="J143" i="1813"/>
  <c r="F143" i="1813"/>
  <c r="A143" i="1813"/>
  <c r="AU142" i="1813"/>
  <c r="AT142" i="1813"/>
  <c r="AS142" i="1813"/>
  <c r="AR142" i="1813"/>
  <c r="AQ142" i="1813"/>
  <c r="X142" i="1813"/>
  <c r="W142" i="1813"/>
  <c r="V142" i="1813"/>
  <c r="U142" i="1813"/>
  <c r="T142" i="1813"/>
  <c r="S142" i="1813"/>
  <c r="R142" i="1813"/>
  <c r="Q142" i="1813"/>
  <c r="P142" i="1813"/>
  <c r="O142" i="1813"/>
  <c r="N142" i="1813"/>
  <c r="M142" i="1813"/>
  <c r="L142" i="1813"/>
  <c r="J142" i="1813"/>
  <c r="F142" i="1813"/>
  <c r="A142" i="1813"/>
  <c r="AU141" i="1813"/>
  <c r="A141" i="1813"/>
  <c r="AU140" i="1813"/>
  <c r="A140" i="1813"/>
  <c r="AU139" i="1813"/>
  <c r="A139" i="1813"/>
  <c r="AU138" i="1813"/>
  <c r="A138" i="1813"/>
  <c r="AU137" i="1813"/>
  <c r="A137" i="1813"/>
  <c r="AU136" i="1813"/>
  <c r="A136" i="1813"/>
  <c r="AU135" i="1813"/>
  <c r="A135" i="1813"/>
  <c r="AU134" i="1813"/>
  <c r="AT134" i="1813"/>
  <c r="AS134" i="1813"/>
  <c r="AR134" i="1813"/>
  <c r="AQ134" i="1813"/>
  <c r="J134" i="1813"/>
  <c r="F134" i="1813"/>
  <c r="A134" i="1813"/>
  <c r="AU133" i="1813"/>
  <c r="A133" i="1813"/>
  <c r="AU132" i="1813"/>
  <c r="A132" i="1813"/>
  <c r="AU131" i="1813"/>
  <c r="A131" i="1813"/>
  <c r="AU130" i="1813"/>
  <c r="A130" i="1813"/>
  <c r="AU129" i="1813"/>
  <c r="A129" i="1813"/>
  <c r="AU128" i="1813"/>
  <c r="AT128" i="1813"/>
  <c r="AS128" i="1813"/>
  <c r="AR128" i="1813"/>
  <c r="AQ128" i="1813"/>
  <c r="X128" i="1813"/>
  <c r="W128" i="1813"/>
  <c r="V128" i="1813"/>
  <c r="U128" i="1813"/>
  <c r="T128" i="1813"/>
  <c r="S128" i="1813"/>
  <c r="R128" i="1813"/>
  <c r="Q128" i="1813"/>
  <c r="P128" i="1813"/>
  <c r="O128" i="1813"/>
  <c r="N128" i="1813"/>
  <c r="M128" i="1813"/>
  <c r="L128" i="1813"/>
  <c r="J128" i="1813"/>
  <c r="F128" i="1813"/>
  <c r="A128" i="1813"/>
  <c r="AU127" i="1813"/>
  <c r="AT127" i="1813"/>
  <c r="AS127" i="1813"/>
  <c r="AR127" i="1813"/>
  <c r="AQ127" i="1813"/>
  <c r="X127" i="1813"/>
  <c r="W127" i="1813"/>
  <c r="V127" i="1813"/>
  <c r="U127" i="1813"/>
  <c r="T127" i="1813"/>
  <c r="S127" i="1813"/>
  <c r="R127" i="1813"/>
  <c r="Q127" i="1813"/>
  <c r="P127" i="1813"/>
  <c r="O127" i="1813"/>
  <c r="N127" i="1813"/>
  <c r="M127" i="1813"/>
  <c r="L127" i="1813"/>
  <c r="J127" i="1813"/>
  <c r="F127" i="1813"/>
  <c r="A127" i="1813"/>
  <c r="AU125" i="1813"/>
  <c r="A125" i="1813"/>
  <c r="AU124" i="1813"/>
  <c r="A124" i="1813"/>
  <c r="AU123" i="1813"/>
  <c r="A123" i="1813"/>
  <c r="AU122" i="1813"/>
  <c r="A122" i="1813"/>
  <c r="AU121" i="1813"/>
  <c r="A121" i="1813"/>
  <c r="AU120" i="1813"/>
  <c r="A120" i="1813"/>
  <c r="AU119" i="1813"/>
  <c r="A119" i="1813"/>
  <c r="AU118" i="1813"/>
  <c r="A118" i="1813"/>
  <c r="AU117" i="1813"/>
  <c r="A117" i="1813"/>
  <c r="AU116" i="1813"/>
  <c r="A116" i="1813"/>
  <c r="AU115" i="1813"/>
  <c r="A115" i="1813"/>
  <c r="AU114" i="1813"/>
  <c r="A114" i="1813"/>
  <c r="AU113" i="1813"/>
  <c r="A113" i="1813"/>
  <c r="AU112" i="1813"/>
  <c r="A112" i="1813"/>
  <c r="AU88" i="1813"/>
  <c r="AT88" i="1813"/>
  <c r="A88" i="1813"/>
  <c r="AU87" i="1813"/>
  <c r="AT87" i="1813"/>
  <c r="A87" i="1813"/>
  <c r="AU86" i="1813"/>
  <c r="AT86" i="1813"/>
  <c r="A86" i="1813"/>
  <c r="AU85" i="1813"/>
  <c r="AT85" i="1813"/>
  <c r="A85" i="1813"/>
  <c r="AU84" i="1813"/>
  <c r="AT84" i="1813"/>
  <c r="A84" i="1813"/>
  <c r="AU83" i="1813"/>
  <c r="AT83" i="1813"/>
  <c r="A83" i="1813"/>
  <c r="AU82" i="1813"/>
  <c r="AT82" i="1813"/>
  <c r="A82" i="1813"/>
  <c r="AU81" i="1813"/>
  <c r="AT81" i="1813"/>
  <c r="A81" i="1813"/>
  <c r="AU80" i="1813"/>
  <c r="AT80" i="1813"/>
  <c r="A80" i="1813"/>
  <c r="AU79" i="1813"/>
  <c r="AT79" i="1813"/>
  <c r="A79" i="1813"/>
  <c r="AU78" i="1813"/>
  <c r="AT78" i="1813"/>
  <c r="A78" i="1813"/>
  <c r="AU77" i="1813"/>
  <c r="AT77" i="1813"/>
  <c r="A77" i="1813"/>
  <c r="AU76" i="1813"/>
  <c r="AT76" i="1813"/>
  <c r="A76" i="1813"/>
  <c r="AU75" i="1813"/>
  <c r="AT75" i="1813"/>
  <c r="A75" i="1813"/>
  <c r="AU74" i="1813"/>
  <c r="AT74" i="1813"/>
  <c r="A74" i="1813"/>
  <c r="AU70" i="1813"/>
  <c r="AT70" i="1813"/>
  <c r="A70" i="1813"/>
  <c r="AU69" i="1813"/>
  <c r="AT69" i="1813"/>
  <c r="A69" i="1813"/>
  <c r="AU68" i="1813"/>
  <c r="AT68" i="1813"/>
  <c r="A68" i="1813"/>
  <c r="AU67" i="1813"/>
  <c r="AK170" i="1814" s="1"/>
  <c r="AT67" i="1813"/>
  <c r="AJ170" i="1814" s="1"/>
  <c r="A67" i="1813"/>
  <c r="A170" i="1814" s="1"/>
  <c r="AU66" i="1813"/>
  <c r="AK169" i="1814" s="1"/>
  <c r="AT66" i="1813"/>
  <c r="AJ169" i="1814" s="1"/>
  <c r="A66" i="1813"/>
  <c r="A169" i="1814" s="1"/>
  <c r="AU65" i="1813"/>
  <c r="AT65" i="1813"/>
  <c r="A65" i="1813"/>
  <c r="A168" i="1814" s="1"/>
  <c r="AU64" i="1813"/>
  <c r="AK167" i="1814" s="1"/>
  <c r="AT64" i="1813"/>
  <c r="AJ167" i="1814" s="1"/>
  <c r="A64" i="1813"/>
  <c r="A167" i="1814" s="1"/>
  <c r="AU63" i="1813"/>
  <c r="AT63" i="1813"/>
  <c r="A63" i="1813"/>
  <c r="AU62" i="1813"/>
  <c r="AT62" i="1813"/>
  <c r="A62" i="1813"/>
  <c r="AU61" i="1813"/>
  <c r="AT61" i="1813"/>
  <c r="A61" i="1813"/>
  <c r="AU60" i="1813"/>
  <c r="AT60" i="1813"/>
  <c r="A60" i="1813"/>
  <c r="AU59" i="1813"/>
  <c r="A59" i="1813"/>
  <c r="AU58" i="1813"/>
  <c r="AT58" i="1813"/>
  <c r="A58" i="1813"/>
  <c r="AU43" i="1813"/>
  <c r="AT43" i="1813"/>
  <c r="A43" i="1813"/>
  <c r="AU42" i="1813"/>
  <c r="AT42" i="1813"/>
  <c r="A42" i="1813"/>
  <c r="AU41" i="1813"/>
  <c r="AT41" i="1813"/>
  <c r="A41" i="1813"/>
  <c r="AU38" i="1813"/>
  <c r="AT38" i="1813"/>
  <c r="AS38" i="1813"/>
  <c r="A38" i="1813"/>
  <c r="AU37" i="1813"/>
  <c r="AT37" i="1813"/>
  <c r="A37" i="1813"/>
  <c r="AU36" i="1813"/>
  <c r="AT36" i="1813"/>
  <c r="A36" i="1813"/>
  <c r="A33" i="1813"/>
  <c r="A32" i="1813"/>
  <c r="AU29" i="1813"/>
  <c r="A29" i="1813"/>
  <c r="AU28" i="1813"/>
  <c r="AT28" i="1813"/>
  <c r="A28" i="1813"/>
  <c r="AU27" i="1813"/>
  <c r="A27" i="1813"/>
  <c r="AU25" i="1813"/>
  <c r="A25" i="1813"/>
  <c r="AU24" i="1813"/>
  <c r="AT24" i="1813"/>
  <c r="A24" i="1813"/>
  <c r="AU23" i="1813"/>
  <c r="AT23" i="1813"/>
  <c r="A23" i="1813"/>
  <c r="AU22" i="1813"/>
  <c r="A22" i="1813"/>
  <c r="AU21" i="1813"/>
  <c r="AT21" i="1813"/>
  <c r="A21" i="1813"/>
  <c r="AU18" i="1813"/>
  <c r="AT18" i="1813"/>
  <c r="AU16" i="1813"/>
  <c r="AT16" i="1813"/>
  <c r="A16" i="1813"/>
  <c r="AU15" i="1813"/>
  <c r="AK163" i="1814" s="1"/>
  <c r="AT15" i="1813"/>
  <c r="AJ163" i="1814" s="1"/>
  <c r="A15" i="1813"/>
  <c r="A163" i="1814" s="1"/>
  <c r="AU14" i="1813"/>
  <c r="AT14" i="1813"/>
  <c r="A14" i="1813"/>
  <c r="A162" i="1814" s="1"/>
  <c r="AU13" i="1813"/>
  <c r="AK161" i="1814" s="1"/>
  <c r="AT13" i="1813"/>
  <c r="AJ161" i="1814" s="1"/>
  <c r="A13" i="1813"/>
  <c r="A161" i="1814" s="1"/>
  <c r="A180" i="1814" s="1"/>
  <c r="A185" i="1814" s="1"/>
  <c r="A190" i="1814" s="1"/>
  <c r="AU12" i="1813"/>
  <c r="AK160" i="1814" s="1"/>
  <c r="AT12" i="1813"/>
  <c r="AJ160" i="1814" s="1"/>
  <c r="A12" i="1813"/>
  <c r="A160" i="1814" s="1"/>
  <c r="AU11" i="1813"/>
  <c r="AT11" i="1813"/>
  <c r="A11" i="1813"/>
  <c r="A91" i="1813" s="1"/>
  <c r="A8" i="1813"/>
  <c r="AU8" i="1813"/>
  <c r="AT8" i="1813"/>
  <c r="AU1" i="1813"/>
  <c r="P221" i="1814"/>
  <c r="P220" i="1814"/>
  <c r="P219" i="1814"/>
  <c r="P218" i="1814"/>
  <c r="AF221" i="1814"/>
  <c r="AF220" i="1814"/>
  <c r="AF219" i="1814"/>
  <c r="AF218" i="1814"/>
  <c r="R221" i="1814"/>
  <c r="R220" i="1814"/>
  <c r="R219" i="1814"/>
  <c r="R218" i="1814"/>
  <c r="AU49" i="1813" l="1"/>
  <c r="AU48" i="1813" s="1"/>
  <c r="AK27" i="1814" s="1"/>
  <c r="AK162" i="1814"/>
  <c r="AK164" i="1814" s="1"/>
  <c r="AJ162" i="1814"/>
  <c r="AJ164" i="1814" s="1"/>
  <c r="Y112" i="1583"/>
  <c r="AC129" i="1810"/>
  <c r="AB54" i="1821"/>
  <c r="AB63" i="1821" s="1"/>
  <c r="AB138" i="1810"/>
  <c r="Y415" i="121"/>
  <c r="D88" i="155"/>
  <c r="Y157" i="1810"/>
  <c r="Y134" i="1583"/>
  <c r="Y164" i="1583" s="1"/>
  <c r="Y49" i="1810"/>
  <c r="Y122" i="1583"/>
  <c r="Y34" i="1810"/>
  <c r="H105" i="1821"/>
  <c r="H106" i="1821" s="1"/>
  <c r="G104" i="1821"/>
  <c r="G106" i="1821" s="1"/>
  <c r="G164" i="1810"/>
  <c r="G166" i="1810" s="1"/>
  <c r="H165" i="1810"/>
  <c r="H166" i="1810" s="1"/>
  <c r="Y31" i="1583"/>
  <c r="Y9" i="1810"/>
  <c r="Y135" i="1583"/>
  <c r="Y147" i="1583" s="1"/>
  <c r="Y50" i="1810"/>
  <c r="Y138" i="1810"/>
  <c r="Y54" i="1821"/>
  <c r="Y63" i="1821" s="1"/>
  <c r="Y294" i="1554"/>
  <c r="Y46" i="121"/>
  <c r="Y61" i="121" s="1"/>
  <c r="Y40" i="1554"/>
  <c r="Y42" i="1554" s="1"/>
  <c r="Y44" i="1554" s="1"/>
  <c r="Y51" i="1554" s="1"/>
  <c r="Y52" i="1554" s="1"/>
  <c r="Y53" i="1554" s="1"/>
  <c r="Y56" i="1554" s="1"/>
  <c r="Y221" i="121"/>
  <c r="Y222" i="121" s="1"/>
  <c r="Y225" i="121"/>
  <c r="Y60" i="121"/>
  <c r="Y115" i="1554"/>
  <c r="Y304" i="121"/>
  <c r="Y69" i="121"/>
  <c r="Y262" i="121"/>
  <c r="Y87" i="121"/>
  <c r="Y91" i="121"/>
  <c r="Y42" i="121"/>
  <c r="Y152" i="121"/>
  <c r="Y263" i="121"/>
  <c r="Y162" i="1554"/>
  <c r="Y164" i="1554" s="1"/>
  <c r="Y166" i="1554" s="1"/>
  <c r="AJ144" i="1814"/>
  <c r="Q216" i="1814"/>
  <c r="S216" i="1814"/>
  <c r="AG215" i="1814"/>
  <c r="O216" i="1814"/>
  <c r="O215" i="1814" s="1"/>
  <c r="AJ168" i="1814"/>
  <c r="AJ61" i="1814" s="1"/>
  <c r="AA216" i="1814"/>
  <c r="AA215" i="1814" s="1"/>
  <c r="AT94" i="1813"/>
  <c r="AK168" i="1814"/>
  <c r="AK61" i="1814" s="1"/>
  <c r="AU94" i="1813"/>
  <c r="A92" i="1813"/>
  <c r="A93" i="1813"/>
  <c r="AK175" i="1814"/>
  <c r="AJ123" i="1814"/>
  <c r="AK123" i="1814"/>
  <c r="AJ174" i="1814"/>
  <c r="AJ179" i="1814" s="1"/>
  <c r="AK174" i="1814"/>
  <c r="AJ175" i="1814"/>
  <c r="AM136" i="1814"/>
  <c r="AM144" i="1814"/>
  <c r="AM123" i="1814"/>
  <c r="AI123" i="1814"/>
  <c r="AU71" i="1813"/>
  <c r="AM154" i="1814"/>
  <c r="P176" i="1814"/>
  <c r="O176" i="1814"/>
  <c r="AL144" i="1814"/>
  <c r="U176" i="1814"/>
  <c r="W176" i="1814"/>
  <c r="R176" i="1814"/>
  <c r="X176" i="1814"/>
  <c r="Q176" i="1814"/>
  <c r="V176" i="1814"/>
  <c r="A201" i="1814"/>
  <c r="A196" i="1814"/>
  <c r="S176" i="1814"/>
  <c r="A175" i="1814"/>
  <c r="AK144" i="1814"/>
  <c r="T176" i="1814"/>
  <c r="AK115" i="1814"/>
  <c r="AI144" i="1814"/>
  <c r="A195" i="1814"/>
  <c r="A200" i="1814"/>
  <c r="AK11" i="1814"/>
  <c r="AL11" i="1814"/>
  <c r="AK134" i="1814"/>
  <c r="AL134" i="1814"/>
  <c r="AJ11" i="1814"/>
  <c r="A179" i="1814"/>
  <c r="A184" i="1814" s="1"/>
  <c r="A189" i="1814" s="1"/>
  <c r="A174" i="1814"/>
  <c r="AR114" i="1814"/>
  <c r="AR115" i="1814" s="1"/>
  <c r="AU152" i="1813"/>
  <c r="AT71" i="1813"/>
  <c r="AU44" i="1811"/>
  <c r="AU47" i="1811" s="1"/>
  <c r="O221" i="1814"/>
  <c r="O220" i="1814"/>
  <c r="O219" i="1814"/>
  <c r="O218" i="1814"/>
  <c r="Q218" i="1814"/>
  <c r="Q219" i="1814"/>
  <c r="Q220" i="1814"/>
  <c r="Q221" i="1814"/>
  <c r="AA221" i="1814"/>
  <c r="AA220" i="1814"/>
  <c r="AA219" i="1814"/>
  <c r="AA218" i="1814"/>
  <c r="S218" i="1814"/>
  <c r="S219" i="1814"/>
  <c r="S220" i="1814"/>
  <c r="S221" i="1814"/>
  <c r="Y146" i="1583" l="1"/>
  <c r="Y128" i="1583"/>
  <c r="AD129" i="1810"/>
  <c r="AC54" i="1821"/>
  <c r="AC63" i="1821" s="1"/>
  <c r="AC138" i="1810"/>
  <c r="Y141" i="1583"/>
  <c r="S244" i="1814"/>
  <c r="S243" i="1814"/>
  <c r="S242" i="1814"/>
  <c r="S241" i="1814"/>
  <c r="Q244" i="1814"/>
  <c r="R244" i="1814"/>
  <c r="Q243" i="1814"/>
  <c r="R243" i="1814"/>
  <c r="Q242" i="1814"/>
  <c r="R242" i="1814"/>
  <c r="Q241" i="1814"/>
  <c r="R241" i="1814"/>
  <c r="P241" i="1814"/>
  <c r="P242" i="1814"/>
  <c r="P243" i="1814"/>
  <c r="P244" i="1814"/>
  <c r="Y165" i="1583"/>
  <c r="Y177" i="1583" s="1"/>
  <c r="Y74" i="1810"/>
  <c r="Y59" i="1810"/>
  <c r="Y79" i="1810"/>
  <c r="Y44" i="1810"/>
  <c r="Y55" i="1810"/>
  <c r="Y51" i="1810"/>
  <c r="Y80" i="1810"/>
  <c r="Y226" i="121"/>
  <c r="Z226" i="121" s="1"/>
  <c r="AA226" i="121" s="1"/>
  <c r="AB226" i="121" s="1"/>
  <c r="AC226" i="121" s="1"/>
  <c r="Y51" i="121"/>
  <c r="Y47" i="121"/>
  <c r="Y62" i="121" s="1"/>
  <c r="Y176" i="1583"/>
  <c r="Y264" i="121"/>
  <c r="Y274" i="121"/>
  <c r="Y85" i="121"/>
  <c r="Y153" i="121"/>
  <c r="Y251" i="121"/>
  <c r="Y245" i="121"/>
  <c r="Y275" i="121"/>
  <c r="Y93" i="121"/>
  <c r="Y114" i="121"/>
  <c r="Y104" i="121"/>
  <c r="Y106" i="121" s="1"/>
  <c r="Y107" i="121" s="1"/>
  <c r="Y317" i="121"/>
  <c r="Y68" i="121"/>
  <c r="Y316" i="121"/>
  <c r="AJ171" i="1814"/>
  <c r="AJ180" i="1814" s="1"/>
  <c r="AJ181" i="1814" s="1"/>
  <c r="S227" i="1814"/>
  <c r="S226" i="1814"/>
  <c r="S225" i="1814"/>
  <c r="S224" i="1814"/>
  <c r="N216" i="1814"/>
  <c r="N215" i="1814" s="1"/>
  <c r="AG216" i="1814"/>
  <c r="T215" i="1814"/>
  <c r="AK171" i="1814"/>
  <c r="AK15" i="1814"/>
  <c r="AB218" i="1814"/>
  <c r="AB241" i="1814" s="1"/>
  <c r="AB219" i="1814"/>
  <c r="AB220" i="1814"/>
  <c r="AB243" i="1814" s="1"/>
  <c r="AB221" i="1814"/>
  <c r="AJ176" i="1814"/>
  <c r="AK176" i="1814"/>
  <c r="A199" i="1814"/>
  <c r="A194" i="1814"/>
  <c r="AL123" i="1814"/>
  <c r="AG218" i="1814"/>
  <c r="AG219" i="1814"/>
  <c r="AG220" i="1814"/>
  <c r="AG221" i="1814"/>
  <c r="N221" i="1814"/>
  <c r="N220" i="1814"/>
  <c r="N219" i="1814"/>
  <c r="N218" i="1814"/>
  <c r="AD138" i="1810" l="1"/>
  <c r="AD54" i="1821"/>
  <c r="AD63" i="1821" s="1"/>
  <c r="O241" i="1814"/>
  <c r="O242" i="1814"/>
  <c r="O243" i="1814"/>
  <c r="O244" i="1814"/>
  <c r="P252" i="1814"/>
  <c r="R252" i="1814"/>
  <c r="S252" i="1814"/>
  <c r="Q252" i="1814"/>
  <c r="Y89" i="1810"/>
  <c r="AC221" i="1814"/>
  <c r="AC244" i="1814" s="1"/>
  <c r="AB244" i="1814"/>
  <c r="AC219" i="1814"/>
  <c r="AC242" i="1814" s="1"/>
  <c r="AB242" i="1814"/>
  <c r="Y85" i="1810"/>
  <c r="Y105" i="1810"/>
  <c r="Y18" i="1821"/>
  <c r="Y31" i="1821" s="1"/>
  <c r="Y38" i="1821" s="1"/>
  <c r="Y81" i="1810"/>
  <c r="Y227" i="121"/>
  <c r="Y247" i="121" s="1"/>
  <c r="Y246" i="121"/>
  <c r="Y299" i="121"/>
  <c r="Y265" i="121"/>
  <c r="Y84" i="121"/>
  <c r="Y298" i="121"/>
  <c r="Y276" i="121"/>
  <c r="Y318" i="121"/>
  <c r="Y108" i="121"/>
  <c r="Y110" i="121" s="1"/>
  <c r="Y117" i="121"/>
  <c r="S235" i="1814"/>
  <c r="AG227" i="1814"/>
  <c r="AG226" i="1814"/>
  <c r="AG225" i="1814"/>
  <c r="AG224" i="1814"/>
  <c r="R224" i="1814"/>
  <c r="R225" i="1814"/>
  <c r="R226" i="1814"/>
  <c r="R227" i="1814"/>
  <c r="T216" i="1814"/>
  <c r="AH215" i="1814"/>
  <c r="M216" i="1814"/>
  <c r="M215" i="1814" s="1"/>
  <c r="AC220" i="1814"/>
  <c r="AC218" i="1814"/>
  <c r="T218" i="1814"/>
  <c r="T219" i="1814"/>
  <c r="T220" i="1814"/>
  <c r="T221" i="1814"/>
  <c r="M221" i="1814"/>
  <c r="M220" i="1814"/>
  <c r="M219" i="1814"/>
  <c r="M218" i="1814"/>
  <c r="O252" i="1814" l="1"/>
  <c r="T244" i="1814"/>
  <c r="T243" i="1814"/>
  <c r="T242" i="1814"/>
  <c r="T241" i="1814"/>
  <c r="N241" i="1814"/>
  <c r="N242" i="1814"/>
  <c r="N243" i="1814"/>
  <c r="N244" i="1814"/>
  <c r="AB252" i="1814"/>
  <c r="AD221" i="1814"/>
  <c r="AD244" i="1814" s="1"/>
  <c r="AD220" i="1814"/>
  <c r="AD243" i="1814" s="1"/>
  <c r="AC243" i="1814"/>
  <c r="AD219" i="1814"/>
  <c r="AD242" i="1814" s="1"/>
  <c r="AD218" i="1814"/>
  <c r="AD241" i="1814" s="1"/>
  <c r="AC241" i="1814"/>
  <c r="Y136" i="1810"/>
  <c r="Y122" i="1810"/>
  <c r="Y300" i="121"/>
  <c r="Y277" i="121"/>
  <c r="Y319" i="121"/>
  <c r="AG235" i="1814"/>
  <c r="Q224" i="1814"/>
  <c r="Q225" i="1814"/>
  <c r="Q226" i="1814"/>
  <c r="Q227" i="1814"/>
  <c r="T227" i="1814"/>
  <c r="T226" i="1814"/>
  <c r="T225" i="1814"/>
  <c r="T224" i="1814"/>
  <c r="R235" i="1814"/>
  <c r="L216" i="1814"/>
  <c r="L215" i="1814" s="1"/>
  <c r="AH216" i="1814"/>
  <c r="U215" i="1814"/>
  <c r="L221" i="1814"/>
  <c r="L220" i="1814"/>
  <c r="L219" i="1814"/>
  <c r="L218" i="1814"/>
  <c r="AH218" i="1814"/>
  <c r="AH219" i="1814"/>
  <c r="AH220" i="1814"/>
  <c r="AH221" i="1814"/>
  <c r="M241" i="1814" l="1"/>
  <c r="M242" i="1814"/>
  <c r="M243" i="1814"/>
  <c r="M244" i="1814"/>
  <c r="AC252" i="1814"/>
  <c r="N252" i="1814"/>
  <c r="T252" i="1814"/>
  <c r="AD252" i="1814"/>
  <c r="Y130" i="1810"/>
  <c r="Y61" i="1821"/>
  <c r="Y50" i="1821"/>
  <c r="Y301" i="121"/>
  <c r="T235" i="1814"/>
  <c r="P224" i="1814"/>
  <c r="P225" i="1814"/>
  <c r="P226" i="1814"/>
  <c r="P227" i="1814"/>
  <c r="AH227" i="1814"/>
  <c r="AH226" i="1814"/>
  <c r="AH225" i="1814"/>
  <c r="AH224" i="1814"/>
  <c r="K216" i="1814"/>
  <c r="K215" i="1814" s="1"/>
  <c r="U216" i="1814"/>
  <c r="AI215" i="1814"/>
  <c r="Q235" i="1814"/>
  <c r="K221" i="1814"/>
  <c r="K220" i="1814"/>
  <c r="K219" i="1814"/>
  <c r="K218" i="1814"/>
  <c r="U218" i="1814"/>
  <c r="U219" i="1814"/>
  <c r="U220" i="1814"/>
  <c r="U221" i="1814"/>
  <c r="M252" i="1814" l="1"/>
  <c r="U244" i="1814"/>
  <c r="U243" i="1814"/>
  <c r="U242" i="1814"/>
  <c r="U241" i="1814"/>
  <c r="L241" i="1814"/>
  <c r="L242" i="1814"/>
  <c r="L243" i="1814"/>
  <c r="L244" i="1814"/>
  <c r="Y55" i="1821"/>
  <c r="Y131" i="1810"/>
  <c r="Y139" i="1810" s="1"/>
  <c r="P235" i="1814"/>
  <c r="AH235" i="1814"/>
  <c r="U227" i="1814"/>
  <c r="U226" i="1814"/>
  <c r="U225" i="1814"/>
  <c r="U224" i="1814"/>
  <c r="O224" i="1814"/>
  <c r="O225" i="1814"/>
  <c r="O226" i="1814"/>
  <c r="O227" i="1814"/>
  <c r="AI216" i="1814"/>
  <c r="V215" i="1814"/>
  <c r="J216" i="1814"/>
  <c r="J215" i="1814" s="1"/>
  <c r="AI218" i="1814"/>
  <c r="AI219" i="1814"/>
  <c r="AI220" i="1814"/>
  <c r="AI221" i="1814"/>
  <c r="J221" i="1814"/>
  <c r="J220" i="1814"/>
  <c r="J219" i="1814"/>
  <c r="J218" i="1814"/>
  <c r="U252" i="1814" l="1"/>
  <c r="K241" i="1814"/>
  <c r="K242" i="1814"/>
  <c r="K243" i="1814"/>
  <c r="K244" i="1814"/>
  <c r="L252" i="1814"/>
  <c r="Y56" i="1821"/>
  <c r="Y64" i="1821" s="1"/>
  <c r="Y132" i="1810"/>
  <c r="U235" i="1814"/>
  <c r="O235" i="1814"/>
  <c r="AI227" i="1814"/>
  <c r="AI226" i="1814"/>
  <c r="AI225" i="1814"/>
  <c r="AI224" i="1814"/>
  <c r="N224" i="1814"/>
  <c r="N225" i="1814"/>
  <c r="N226" i="1814"/>
  <c r="N227" i="1814"/>
  <c r="AJ215" i="1814"/>
  <c r="I216" i="1814"/>
  <c r="I215" i="1814" s="1"/>
  <c r="V216" i="1814"/>
  <c r="I221" i="1814"/>
  <c r="I220" i="1814"/>
  <c r="I219" i="1814"/>
  <c r="I218" i="1814"/>
  <c r="V218" i="1814"/>
  <c r="V219" i="1814"/>
  <c r="V220" i="1814"/>
  <c r="V221" i="1814"/>
  <c r="K252" i="1814" l="1"/>
  <c r="V244" i="1814"/>
  <c r="V243" i="1814"/>
  <c r="V242" i="1814"/>
  <c r="V241" i="1814"/>
  <c r="J241" i="1814"/>
  <c r="J242" i="1814"/>
  <c r="J243" i="1814"/>
  <c r="J244" i="1814"/>
  <c r="Y57" i="1821"/>
  <c r="AI235" i="1814"/>
  <c r="N235" i="1814"/>
  <c r="V227" i="1814"/>
  <c r="AK221" i="1814"/>
  <c r="V226" i="1814"/>
  <c r="AK220" i="1814"/>
  <c r="V225" i="1814"/>
  <c r="AK219" i="1814"/>
  <c r="V224" i="1814"/>
  <c r="AK218" i="1814"/>
  <c r="M224" i="1814"/>
  <c r="M225" i="1814"/>
  <c r="M226" i="1814"/>
  <c r="M227" i="1814"/>
  <c r="AJ216" i="1814"/>
  <c r="W215" i="1814"/>
  <c r="H216" i="1814"/>
  <c r="H215" i="1814" s="1"/>
  <c r="AJ218" i="1814"/>
  <c r="AJ219" i="1814"/>
  <c r="AJ220" i="1814"/>
  <c r="AJ221" i="1814"/>
  <c r="H221" i="1814"/>
  <c r="H220" i="1814"/>
  <c r="H219" i="1814"/>
  <c r="H218" i="1814"/>
  <c r="J252" i="1814" l="1"/>
  <c r="I241" i="1814"/>
  <c r="I242" i="1814"/>
  <c r="I243" i="1814"/>
  <c r="I244" i="1814"/>
  <c r="V252" i="1814"/>
  <c r="V235" i="1814"/>
  <c r="M235" i="1814"/>
  <c r="AJ227" i="1814"/>
  <c r="AJ226" i="1814"/>
  <c r="AJ225" i="1814"/>
  <c r="AJ224" i="1814"/>
  <c r="L224" i="1814"/>
  <c r="L225" i="1814"/>
  <c r="L226" i="1814"/>
  <c r="L227" i="1814"/>
  <c r="AK215" i="1814"/>
  <c r="AK216" i="1814" s="1"/>
  <c r="AL215" i="1814" s="1"/>
  <c r="AL216" i="1814" s="1"/>
  <c r="AK226" i="1814"/>
  <c r="AK224" i="1814"/>
  <c r="AK227" i="1814"/>
  <c r="G216" i="1814"/>
  <c r="G215" i="1814" s="1"/>
  <c r="W216" i="1814"/>
  <c r="AK225" i="1814"/>
  <c r="G221" i="1814"/>
  <c r="G220" i="1814"/>
  <c r="G219" i="1814"/>
  <c r="G218" i="1814"/>
  <c r="W218" i="1814"/>
  <c r="W219" i="1814"/>
  <c r="W220" i="1814"/>
  <c r="W221" i="1814"/>
  <c r="W244" i="1814" l="1"/>
  <c r="W243" i="1814"/>
  <c r="W242" i="1814"/>
  <c r="W241" i="1814"/>
  <c r="I252" i="1814"/>
  <c r="AJ235" i="1814"/>
  <c r="W227" i="1814"/>
  <c r="AA227" i="1814"/>
  <c r="W226" i="1814"/>
  <c r="AA226" i="1814"/>
  <c r="W225" i="1814"/>
  <c r="AA225" i="1814"/>
  <c r="W224" i="1814"/>
  <c r="AA224" i="1814"/>
  <c r="K224" i="1814"/>
  <c r="K225" i="1814"/>
  <c r="G226" i="1814"/>
  <c r="K226" i="1814"/>
  <c r="G227" i="1814"/>
  <c r="K227" i="1814"/>
  <c r="X215" i="1814"/>
  <c r="AK235" i="1814"/>
  <c r="L235" i="1814"/>
  <c r="F216" i="1814"/>
  <c r="F215" i="1814" s="1"/>
  <c r="F221" i="1814"/>
  <c r="F220" i="1814"/>
  <c r="F219" i="1814"/>
  <c r="F218" i="1814"/>
  <c r="W252" i="1814" l="1"/>
  <c r="AA235" i="1814"/>
  <c r="W235" i="1814"/>
  <c r="J224" i="1814"/>
  <c r="J225" i="1814"/>
  <c r="J226" i="1814"/>
  <c r="J227" i="1814"/>
  <c r="E216" i="1814"/>
  <c r="E215" i="1814" s="1"/>
  <c r="X216" i="1814"/>
  <c r="K235" i="1814"/>
  <c r="E221" i="1814"/>
  <c r="E220" i="1814"/>
  <c r="E219" i="1814"/>
  <c r="E218" i="1814"/>
  <c r="X218" i="1814"/>
  <c r="X219" i="1814"/>
  <c r="X220" i="1814"/>
  <c r="X221" i="1814"/>
  <c r="X244" i="1814" l="1"/>
  <c r="X243" i="1814"/>
  <c r="X242" i="1814"/>
  <c r="X241" i="1814"/>
  <c r="X227" i="1814"/>
  <c r="AB227" i="1814"/>
  <c r="X226" i="1814"/>
  <c r="AB226" i="1814"/>
  <c r="X225" i="1814"/>
  <c r="AB225" i="1814"/>
  <c r="X224" i="1814"/>
  <c r="AB224" i="1814"/>
  <c r="I224" i="1814"/>
  <c r="I225" i="1814"/>
  <c r="I226" i="1814"/>
  <c r="I227" i="1814"/>
  <c r="Y215" i="1814"/>
  <c r="D216" i="1814"/>
  <c r="D215" i="1814" s="1"/>
  <c r="J235" i="1814"/>
  <c r="D221" i="1814"/>
  <c r="D220" i="1814"/>
  <c r="D219" i="1814"/>
  <c r="D218" i="1814"/>
  <c r="X252" i="1814" l="1"/>
  <c r="H224" i="1814"/>
  <c r="H225" i="1814"/>
  <c r="H226" i="1814"/>
  <c r="H227" i="1814"/>
  <c r="C216" i="1814"/>
  <c r="C215" i="1814" s="1"/>
  <c r="Y216" i="1814"/>
  <c r="I235" i="1814"/>
  <c r="X235" i="1814"/>
  <c r="AB235" i="1814"/>
  <c r="C219" i="1814"/>
  <c r="C218" i="1814"/>
  <c r="Y218" i="1814"/>
  <c r="Y219" i="1814"/>
  <c r="Y220" i="1814"/>
  <c r="Y221" i="1814"/>
  <c r="Y244" i="1814" l="1"/>
  <c r="Y243" i="1814"/>
  <c r="Y242" i="1814"/>
  <c r="Y241" i="1814"/>
  <c r="Y227" i="1814"/>
  <c r="AC227" i="1814"/>
  <c r="Y226" i="1814"/>
  <c r="AC226" i="1814"/>
  <c r="Y225" i="1814"/>
  <c r="AC225" i="1814"/>
  <c r="Y224" i="1814"/>
  <c r="AC224" i="1814"/>
  <c r="G224" i="1814"/>
  <c r="G225" i="1814"/>
  <c r="Z215" i="1814"/>
  <c r="Z221" i="1814"/>
  <c r="Z220" i="1814"/>
  <c r="Z219" i="1814"/>
  <c r="Z218" i="1814"/>
  <c r="Y252" i="1814" l="1"/>
  <c r="Z244" i="1814"/>
  <c r="AA244" i="1814"/>
  <c r="Z243" i="1814"/>
  <c r="AA243" i="1814"/>
  <c r="Z242" i="1814"/>
  <c r="AA242" i="1814"/>
  <c r="Z241" i="1814"/>
  <c r="AA241" i="1814"/>
  <c r="AC235" i="1814"/>
  <c r="Y235" i="1814"/>
  <c r="Z227" i="1814"/>
  <c r="AD227" i="1814"/>
  <c r="AL221" i="1814"/>
  <c r="AL227" i="1814" s="1"/>
  <c r="Z226" i="1814"/>
  <c r="AD226" i="1814"/>
  <c r="AL220" i="1814"/>
  <c r="AL226" i="1814" s="1"/>
  <c r="Z225" i="1814"/>
  <c r="AD225" i="1814"/>
  <c r="AL219" i="1814"/>
  <c r="AL225" i="1814" s="1"/>
  <c r="Z224" i="1814"/>
  <c r="AD224" i="1814"/>
  <c r="AL218" i="1814"/>
  <c r="AL224" i="1814" s="1"/>
  <c r="Z252" i="1814" l="1"/>
  <c r="AA252" i="1814"/>
  <c r="AD235" i="1814"/>
  <c r="Z235" i="1814"/>
  <c r="AL235" i="1814"/>
  <c r="X31" i="1811" l="1"/>
  <c r="X33" i="1813" s="1"/>
  <c r="X88" i="1814" s="1"/>
  <c r="Z88" i="1814" s="1"/>
  <c r="AA88" i="1814" s="1"/>
  <c r="W31" i="1811"/>
  <c r="W33" i="1813" s="1"/>
  <c r="W88" i="1814" s="1"/>
  <c r="V31" i="1811"/>
  <c r="V33" i="1813" s="1"/>
  <c r="V88" i="1814" s="1"/>
  <c r="U31" i="1811"/>
  <c r="U33" i="1813" s="1"/>
  <c r="U88" i="1814" s="1"/>
  <c r="T31" i="1811"/>
  <c r="T33" i="1813" s="1"/>
  <c r="T88" i="1814" s="1"/>
  <c r="S31" i="1811"/>
  <c r="S33" i="1813" s="1"/>
  <c r="S88" i="1814" s="1"/>
  <c r="R31" i="1811"/>
  <c r="R33" i="1813" s="1"/>
  <c r="R88" i="1814" s="1"/>
  <c r="Q31" i="1811"/>
  <c r="Q33" i="1813" s="1"/>
  <c r="Q88" i="1814" s="1"/>
  <c r="P31" i="1811"/>
  <c r="P33" i="1813" s="1"/>
  <c r="P88" i="1814" s="1"/>
  <c r="O31" i="1811"/>
  <c r="O33" i="1813" s="1"/>
  <c r="O88" i="1814" s="1"/>
  <c r="N31" i="1811"/>
  <c r="N33" i="1813" s="1"/>
  <c r="N88" i="1814" s="1"/>
  <c r="M31" i="1811"/>
  <c r="M33" i="1813" s="1"/>
  <c r="X30" i="1811"/>
  <c r="X32" i="1813" s="1"/>
  <c r="W30" i="1811"/>
  <c r="W32" i="1813" s="1"/>
  <c r="V30" i="1811"/>
  <c r="V32" i="1813" s="1"/>
  <c r="U30" i="1811"/>
  <c r="U32" i="1813" s="1"/>
  <c r="T30" i="1811"/>
  <c r="T32" i="1813" s="1"/>
  <c r="S30" i="1811"/>
  <c r="S32" i="1813" s="1"/>
  <c r="R30" i="1811"/>
  <c r="R32" i="1813" s="1"/>
  <c r="Q30" i="1811"/>
  <c r="Q32" i="1813" s="1"/>
  <c r="P30" i="1811"/>
  <c r="P32" i="1813" s="1"/>
  <c r="O30" i="1811"/>
  <c r="O32" i="1813" s="1"/>
  <c r="N30" i="1811"/>
  <c r="N32" i="1813" s="1"/>
  <c r="M30" i="1811"/>
  <c r="M32" i="1813" s="1"/>
  <c r="AT31" i="1811"/>
  <c r="AT33" i="1813" s="1"/>
  <c r="AJ88" i="1814" s="1"/>
  <c r="AS31" i="1811"/>
  <c r="AS33" i="1813" s="1"/>
  <c r="AT30" i="1811"/>
  <c r="AT32" i="1813" s="1"/>
  <c r="AS30" i="1811"/>
  <c r="AS32" i="1813" s="1"/>
  <c r="AU30" i="1811"/>
  <c r="AU32" i="1813" s="1"/>
  <c r="AU31" i="1811"/>
  <c r="AU33" i="1813" s="1"/>
  <c r="AK88" i="1814" s="1"/>
  <c r="W114" i="1811"/>
  <c r="W134" i="1813" s="1"/>
  <c r="U114" i="1811"/>
  <c r="U134" i="1813" s="1"/>
  <c r="T114" i="1811"/>
  <c r="T134" i="1813" s="1"/>
  <c r="S114" i="1811"/>
  <c r="S134" i="1813" s="1"/>
  <c r="R114" i="1811"/>
  <c r="R134" i="1813" s="1"/>
  <c r="Q114" i="1811"/>
  <c r="Q134" i="1813" s="1"/>
  <c r="P114" i="1811"/>
  <c r="P134" i="1813" s="1"/>
  <c r="O114" i="1811"/>
  <c r="O134" i="1813" s="1"/>
  <c r="N114" i="1811"/>
  <c r="N134" i="1813" s="1"/>
  <c r="M114" i="1811"/>
  <c r="M134" i="1813" s="1"/>
  <c r="L114" i="1811"/>
  <c r="L134" i="1813" s="1"/>
  <c r="X114" i="1811"/>
  <c r="X134" i="1813" s="1"/>
  <c r="W129" i="1811"/>
  <c r="W149" i="1813" s="1"/>
  <c r="U129" i="1811"/>
  <c r="U149" i="1813" s="1"/>
  <c r="T129" i="1811"/>
  <c r="T149" i="1813" s="1"/>
  <c r="S129" i="1811"/>
  <c r="S149" i="1813" s="1"/>
  <c r="Q129" i="1811"/>
  <c r="Q149" i="1813" s="1"/>
  <c r="P129" i="1811"/>
  <c r="P149" i="1813" s="1"/>
  <c r="O129" i="1811"/>
  <c r="O149" i="1813" s="1"/>
  <c r="M129" i="1811"/>
  <c r="M149" i="1813" s="1"/>
  <c r="L129" i="1811"/>
  <c r="L149" i="1813" s="1"/>
  <c r="W128" i="1811"/>
  <c r="W148" i="1813" s="1"/>
  <c r="U128" i="1811"/>
  <c r="U148" i="1813" s="1"/>
  <c r="T128" i="1811"/>
  <c r="T148" i="1813" s="1"/>
  <c r="S128" i="1811"/>
  <c r="S148" i="1813" s="1"/>
  <c r="Q128" i="1811"/>
  <c r="Q148" i="1813" s="1"/>
  <c r="P128" i="1811"/>
  <c r="P148" i="1813" s="1"/>
  <c r="O128" i="1811"/>
  <c r="O148" i="1813" s="1"/>
  <c r="M128" i="1811"/>
  <c r="M148" i="1813" s="1"/>
  <c r="L128" i="1811"/>
  <c r="L148" i="1813" s="1"/>
  <c r="W127" i="1811"/>
  <c r="W147" i="1813" s="1"/>
  <c r="U127" i="1811"/>
  <c r="U147" i="1813" s="1"/>
  <c r="T127" i="1811"/>
  <c r="T147" i="1813" s="1"/>
  <c r="S127" i="1811"/>
  <c r="S147" i="1813" s="1"/>
  <c r="Q127" i="1811"/>
  <c r="Q147" i="1813" s="1"/>
  <c r="P127" i="1811"/>
  <c r="P147" i="1813" s="1"/>
  <c r="O127" i="1811"/>
  <c r="O147" i="1813" s="1"/>
  <c r="M127" i="1811"/>
  <c r="M147" i="1813" s="1"/>
  <c r="L127" i="1811"/>
  <c r="L147" i="1813" s="1"/>
  <c r="W126" i="1811"/>
  <c r="W146" i="1813" s="1"/>
  <c r="U126" i="1811"/>
  <c r="U146" i="1813" s="1"/>
  <c r="T126" i="1811"/>
  <c r="T146" i="1813" s="1"/>
  <c r="S126" i="1811"/>
  <c r="S146" i="1813" s="1"/>
  <c r="Q126" i="1811"/>
  <c r="Q146" i="1813" s="1"/>
  <c r="P126" i="1811"/>
  <c r="P146" i="1813" s="1"/>
  <c r="O126" i="1811"/>
  <c r="O146" i="1813" s="1"/>
  <c r="M126" i="1811"/>
  <c r="M146" i="1813" s="1"/>
  <c r="L126" i="1811"/>
  <c r="L146" i="1813" s="1"/>
  <c r="W125" i="1811"/>
  <c r="W145" i="1813" s="1"/>
  <c r="U125" i="1811"/>
  <c r="U145" i="1813" s="1"/>
  <c r="T125" i="1811"/>
  <c r="T145" i="1813" s="1"/>
  <c r="S125" i="1811"/>
  <c r="S145" i="1813" s="1"/>
  <c r="Q125" i="1811"/>
  <c r="Q145" i="1813" s="1"/>
  <c r="P125" i="1811"/>
  <c r="P145" i="1813" s="1"/>
  <c r="O125" i="1811"/>
  <c r="O145" i="1813" s="1"/>
  <c r="M125" i="1811"/>
  <c r="M145" i="1813" s="1"/>
  <c r="L125" i="1811"/>
  <c r="L145" i="1813" s="1"/>
  <c r="W124" i="1811"/>
  <c r="W144" i="1813" s="1"/>
  <c r="V124" i="1811"/>
  <c r="V144" i="1813" s="1"/>
  <c r="U124" i="1811"/>
  <c r="U144" i="1813" s="1"/>
  <c r="T124" i="1811"/>
  <c r="T144" i="1813" s="1"/>
  <c r="S124" i="1811"/>
  <c r="S144" i="1813" s="1"/>
  <c r="R124" i="1811"/>
  <c r="R144" i="1813" s="1"/>
  <c r="Q124" i="1811"/>
  <c r="Q144" i="1813" s="1"/>
  <c r="P124" i="1811"/>
  <c r="P144" i="1813" s="1"/>
  <c r="O124" i="1811"/>
  <c r="O144" i="1813" s="1"/>
  <c r="N124" i="1811"/>
  <c r="N144" i="1813" s="1"/>
  <c r="M124" i="1811"/>
  <c r="M144" i="1813" s="1"/>
  <c r="L124" i="1811"/>
  <c r="L144" i="1813" s="1"/>
  <c r="J124" i="1811"/>
  <c r="J144" i="1813" s="1"/>
  <c r="F124" i="1811"/>
  <c r="F144" i="1813" s="1"/>
  <c r="W120" i="1811"/>
  <c r="W140" i="1813" s="1"/>
  <c r="U120" i="1811"/>
  <c r="U140" i="1813" s="1"/>
  <c r="T120" i="1811"/>
  <c r="T140" i="1813" s="1"/>
  <c r="S120" i="1811"/>
  <c r="S140" i="1813" s="1"/>
  <c r="Q120" i="1811"/>
  <c r="Q140" i="1813" s="1"/>
  <c r="P120" i="1811"/>
  <c r="P140" i="1813" s="1"/>
  <c r="O120" i="1811"/>
  <c r="O140" i="1813" s="1"/>
  <c r="M120" i="1811"/>
  <c r="M140" i="1813" s="1"/>
  <c r="L120" i="1811"/>
  <c r="L140" i="1813" s="1"/>
  <c r="W119" i="1811"/>
  <c r="W139" i="1813" s="1"/>
  <c r="U119" i="1811"/>
  <c r="U139" i="1813" s="1"/>
  <c r="T119" i="1811"/>
  <c r="T139" i="1813" s="1"/>
  <c r="S119" i="1811"/>
  <c r="S139" i="1813" s="1"/>
  <c r="Q119" i="1811"/>
  <c r="Q139" i="1813" s="1"/>
  <c r="P119" i="1811"/>
  <c r="P139" i="1813" s="1"/>
  <c r="O119" i="1811"/>
  <c r="O139" i="1813" s="1"/>
  <c r="N119" i="1811"/>
  <c r="N139" i="1813" s="1"/>
  <c r="M119" i="1811"/>
  <c r="M139" i="1813" s="1"/>
  <c r="L119" i="1811"/>
  <c r="L139" i="1813" s="1"/>
  <c r="J119" i="1811"/>
  <c r="J139" i="1813" s="1"/>
  <c r="F119" i="1811"/>
  <c r="F139" i="1813" s="1"/>
  <c r="W118" i="1811"/>
  <c r="W138" i="1813" s="1"/>
  <c r="U118" i="1811"/>
  <c r="U138" i="1813" s="1"/>
  <c r="T118" i="1811"/>
  <c r="T138" i="1813" s="1"/>
  <c r="S118" i="1811"/>
  <c r="S138" i="1813" s="1"/>
  <c r="Q118" i="1811"/>
  <c r="Q138" i="1813" s="1"/>
  <c r="P118" i="1811"/>
  <c r="P138" i="1813" s="1"/>
  <c r="O118" i="1811"/>
  <c r="O138" i="1813" s="1"/>
  <c r="M118" i="1811"/>
  <c r="M138" i="1813" s="1"/>
  <c r="L118" i="1811"/>
  <c r="L138" i="1813" s="1"/>
  <c r="W117" i="1811"/>
  <c r="W137" i="1813" s="1"/>
  <c r="U117" i="1811"/>
  <c r="U137" i="1813" s="1"/>
  <c r="T117" i="1811"/>
  <c r="T137" i="1813" s="1"/>
  <c r="S117" i="1811"/>
  <c r="S137" i="1813" s="1"/>
  <c r="Q117" i="1811"/>
  <c r="Q137" i="1813" s="1"/>
  <c r="P117" i="1811"/>
  <c r="P137" i="1813" s="1"/>
  <c r="O117" i="1811"/>
  <c r="O137" i="1813" s="1"/>
  <c r="M117" i="1811"/>
  <c r="M137" i="1813" s="1"/>
  <c r="L117" i="1811"/>
  <c r="L137" i="1813" s="1"/>
  <c r="W115" i="1811"/>
  <c r="W135" i="1813" s="1"/>
  <c r="U115" i="1811"/>
  <c r="U135" i="1813" s="1"/>
  <c r="T115" i="1811"/>
  <c r="T135" i="1813" s="1"/>
  <c r="S115" i="1811"/>
  <c r="S135" i="1813" s="1"/>
  <c r="Q115" i="1811"/>
  <c r="Q135" i="1813" s="1"/>
  <c r="P115" i="1811"/>
  <c r="P135" i="1813" s="1"/>
  <c r="O115" i="1811"/>
  <c r="O135" i="1813" s="1"/>
  <c r="M115" i="1811"/>
  <c r="M135" i="1813" s="1"/>
  <c r="L115" i="1811"/>
  <c r="L135" i="1813" s="1"/>
  <c r="W113" i="1811"/>
  <c r="W133" i="1813" s="1"/>
  <c r="U113" i="1811"/>
  <c r="U133" i="1813" s="1"/>
  <c r="T113" i="1811"/>
  <c r="T133" i="1813" s="1"/>
  <c r="S113" i="1811"/>
  <c r="S133" i="1813" s="1"/>
  <c r="Q113" i="1811"/>
  <c r="Q133" i="1813" s="1"/>
  <c r="P113" i="1811"/>
  <c r="P133" i="1813" s="1"/>
  <c r="O113" i="1811"/>
  <c r="O133" i="1813" s="1"/>
  <c r="N113" i="1811"/>
  <c r="N133" i="1813" s="1"/>
  <c r="M113" i="1811"/>
  <c r="M133" i="1813" s="1"/>
  <c r="L113" i="1811"/>
  <c r="L133" i="1813" s="1"/>
  <c r="J113" i="1811"/>
  <c r="J133" i="1813" s="1"/>
  <c r="F113" i="1811"/>
  <c r="F133" i="1813" s="1"/>
  <c r="W112" i="1811"/>
  <c r="W132" i="1813" s="1"/>
  <c r="U112" i="1811"/>
  <c r="U132" i="1813" s="1"/>
  <c r="T112" i="1811"/>
  <c r="T132" i="1813" s="1"/>
  <c r="S112" i="1811"/>
  <c r="S132" i="1813" s="1"/>
  <c r="Q112" i="1811"/>
  <c r="Q132" i="1813" s="1"/>
  <c r="P112" i="1811"/>
  <c r="P132" i="1813" s="1"/>
  <c r="O112" i="1811"/>
  <c r="O132" i="1813" s="1"/>
  <c r="M112" i="1811"/>
  <c r="M132" i="1813" s="1"/>
  <c r="L112" i="1811"/>
  <c r="L132" i="1813" s="1"/>
  <c r="W111" i="1811"/>
  <c r="W131" i="1813" s="1"/>
  <c r="U111" i="1811"/>
  <c r="U131" i="1813" s="1"/>
  <c r="T111" i="1811"/>
  <c r="T131" i="1813" s="1"/>
  <c r="S111" i="1811"/>
  <c r="S131" i="1813" s="1"/>
  <c r="Q111" i="1811"/>
  <c r="Q131" i="1813" s="1"/>
  <c r="P111" i="1811"/>
  <c r="P131" i="1813" s="1"/>
  <c r="O111" i="1811"/>
  <c r="O131" i="1813" s="1"/>
  <c r="M111" i="1811"/>
  <c r="M131" i="1813" s="1"/>
  <c r="L111" i="1811"/>
  <c r="L131" i="1813" s="1"/>
  <c r="W110" i="1811"/>
  <c r="W130" i="1813" s="1"/>
  <c r="U110" i="1811"/>
  <c r="U130" i="1813" s="1"/>
  <c r="T110" i="1811"/>
  <c r="T130" i="1813" s="1"/>
  <c r="S110" i="1811"/>
  <c r="S130" i="1813" s="1"/>
  <c r="Q110" i="1811"/>
  <c r="Q130" i="1813" s="1"/>
  <c r="P110" i="1811"/>
  <c r="P130" i="1813" s="1"/>
  <c r="O110" i="1811"/>
  <c r="O130" i="1813" s="1"/>
  <c r="M110" i="1811"/>
  <c r="M130" i="1813" s="1"/>
  <c r="L110" i="1811"/>
  <c r="L130" i="1813" s="1"/>
  <c r="W109" i="1811"/>
  <c r="W129" i="1813" s="1"/>
  <c r="W91" i="1821" s="1"/>
  <c r="U109" i="1811"/>
  <c r="U129" i="1813" s="1"/>
  <c r="U91" i="1821" s="1"/>
  <c r="T109" i="1811"/>
  <c r="T129" i="1813" s="1"/>
  <c r="T91" i="1821" s="1"/>
  <c r="S109" i="1811"/>
  <c r="S129" i="1813" s="1"/>
  <c r="S91" i="1821" s="1"/>
  <c r="Q109" i="1811"/>
  <c r="Q129" i="1813" s="1"/>
  <c r="Q91" i="1821" s="1"/>
  <c r="P109" i="1811"/>
  <c r="P129" i="1813" s="1"/>
  <c r="O109" i="1811"/>
  <c r="O129" i="1813" s="1"/>
  <c r="M109" i="1811"/>
  <c r="M129" i="1813" s="1"/>
  <c r="L109" i="1811"/>
  <c r="L129" i="1813" s="1"/>
  <c r="W104" i="1811"/>
  <c r="W124" i="1813" s="1"/>
  <c r="U104" i="1811"/>
  <c r="U124" i="1813" s="1"/>
  <c r="T104" i="1811"/>
  <c r="T124" i="1813" s="1"/>
  <c r="S104" i="1811"/>
  <c r="S124" i="1813" s="1"/>
  <c r="Q104" i="1811"/>
  <c r="Q124" i="1813" s="1"/>
  <c r="P104" i="1811"/>
  <c r="P124" i="1813" s="1"/>
  <c r="O104" i="1811"/>
  <c r="O124" i="1813" s="1"/>
  <c r="M104" i="1811"/>
  <c r="M124" i="1813" s="1"/>
  <c r="L104" i="1811"/>
  <c r="L124" i="1813" s="1"/>
  <c r="W103" i="1811"/>
  <c r="W123" i="1813" s="1"/>
  <c r="U103" i="1811"/>
  <c r="U123" i="1813" s="1"/>
  <c r="T103" i="1811"/>
  <c r="T123" i="1813" s="1"/>
  <c r="S103" i="1811"/>
  <c r="S123" i="1813" s="1"/>
  <c r="Q103" i="1811"/>
  <c r="Q123" i="1813" s="1"/>
  <c r="P103" i="1811"/>
  <c r="P123" i="1813" s="1"/>
  <c r="O103" i="1811"/>
  <c r="O123" i="1813" s="1"/>
  <c r="N103" i="1811"/>
  <c r="N123" i="1813" s="1"/>
  <c r="M103" i="1811"/>
  <c r="M123" i="1813" s="1"/>
  <c r="L103" i="1811"/>
  <c r="L123" i="1813" s="1"/>
  <c r="J103" i="1811"/>
  <c r="J123" i="1813" s="1"/>
  <c r="F103" i="1811"/>
  <c r="F123" i="1813" s="1"/>
  <c r="W102" i="1811"/>
  <c r="W122" i="1813" s="1"/>
  <c r="U102" i="1811"/>
  <c r="U122" i="1813" s="1"/>
  <c r="T102" i="1811"/>
  <c r="T122" i="1813" s="1"/>
  <c r="S102" i="1811"/>
  <c r="S122" i="1813" s="1"/>
  <c r="Q102" i="1811"/>
  <c r="Q122" i="1813" s="1"/>
  <c r="P102" i="1811"/>
  <c r="P122" i="1813" s="1"/>
  <c r="O102" i="1811"/>
  <c r="O122" i="1813" s="1"/>
  <c r="M102" i="1811"/>
  <c r="M122" i="1813" s="1"/>
  <c r="L102" i="1811"/>
  <c r="L122" i="1813" s="1"/>
  <c r="J102" i="1811"/>
  <c r="J122" i="1813" s="1"/>
  <c r="F102" i="1811"/>
  <c r="F122" i="1813" s="1"/>
  <c r="W101" i="1811"/>
  <c r="W121" i="1813" s="1"/>
  <c r="U101" i="1811"/>
  <c r="U121" i="1813" s="1"/>
  <c r="T101" i="1811"/>
  <c r="T121" i="1813" s="1"/>
  <c r="S101" i="1811"/>
  <c r="S121" i="1813" s="1"/>
  <c r="Q101" i="1811"/>
  <c r="Q121" i="1813" s="1"/>
  <c r="P101" i="1811"/>
  <c r="P121" i="1813" s="1"/>
  <c r="O101" i="1811"/>
  <c r="O121" i="1813" s="1"/>
  <c r="M101" i="1811"/>
  <c r="M121" i="1813" s="1"/>
  <c r="L101" i="1811"/>
  <c r="L121" i="1813" s="1"/>
  <c r="W100" i="1811"/>
  <c r="W120" i="1813" s="1"/>
  <c r="W86" i="1821" s="1"/>
  <c r="U100" i="1811"/>
  <c r="U120" i="1813" s="1"/>
  <c r="U86" i="1821" s="1"/>
  <c r="T100" i="1811"/>
  <c r="T120" i="1813" s="1"/>
  <c r="T86" i="1821" s="1"/>
  <c r="S100" i="1811"/>
  <c r="S120" i="1813" s="1"/>
  <c r="S86" i="1821" s="1"/>
  <c r="Q100" i="1811"/>
  <c r="Q120" i="1813" s="1"/>
  <c r="Q86" i="1821" s="1"/>
  <c r="P100" i="1811"/>
  <c r="P120" i="1813" s="1"/>
  <c r="O100" i="1811"/>
  <c r="O120" i="1813" s="1"/>
  <c r="M100" i="1811"/>
  <c r="M120" i="1813" s="1"/>
  <c r="L100" i="1811"/>
  <c r="L120" i="1813" s="1"/>
  <c r="W99" i="1811"/>
  <c r="W119" i="1813" s="1"/>
  <c r="U99" i="1811"/>
  <c r="U119" i="1813" s="1"/>
  <c r="T99" i="1811"/>
  <c r="T119" i="1813" s="1"/>
  <c r="S99" i="1811"/>
  <c r="S119" i="1813" s="1"/>
  <c r="Q99" i="1811"/>
  <c r="Q119" i="1813" s="1"/>
  <c r="P99" i="1811"/>
  <c r="P119" i="1813" s="1"/>
  <c r="O99" i="1811"/>
  <c r="O119" i="1813" s="1"/>
  <c r="M99" i="1811"/>
  <c r="M119" i="1813" s="1"/>
  <c r="L99" i="1811"/>
  <c r="L119" i="1813" s="1"/>
  <c r="W97" i="1811"/>
  <c r="W117" i="1813" s="1"/>
  <c r="U97" i="1811"/>
  <c r="U117" i="1813" s="1"/>
  <c r="T97" i="1811"/>
  <c r="T117" i="1813" s="1"/>
  <c r="S97" i="1811"/>
  <c r="S117" i="1813" s="1"/>
  <c r="Q97" i="1811"/>
  <c r="Q117" i="1813" s="1"/>
  <c r="P97" i="1811"/>
  <c r="P117" i="1813" s="1"/>
  <c r="O97" i="1811"/>
  <c r="O117" i="1813" s="1"/>
  <c r="M97" i="1811"/>
  <c r="M117" i="1813" s="1"/>
  <c r="L97" i="1811"/>
  <c r="L117" i="1813" s="1"/>
  <c r="W96" i="1811"/>
  <c r="W116" i="1813" s="1"/>
  <c r="V96" i="1811"/>
  <c r="V116" i="1813" s="1"/>
  <c r="U96" i="1811"/>
  <c r="U116" i="1813" s="1"/>
  <c r="T96" i="1811"/>
  <c r="T116" i="1813" s="1"/>
  <c r="S96" i="1811"/>
  <c r="S116" i="1813" s="1"/>
  <c r="R96" i="1811"/>
  <c r="R116" i="1813" s="1"/>
  <c r="Q96" i="1811"/>
  <c r="Q116" i="1813" s="1"/>
  <c r="P96" i="1811"/>
  <c r="P116" i="1813" s="1"/>
  <c r="O96" i="1811"/>
  <c r="O116" i="1813" s="1"/>
  <c r="N96" i="1811"/>
  <c r="N116" i="1813" s="1"/>
  <c r="M96" i="1811"/>
  <c r="M116" i="1813" s="1"/>
  <c r="L96" i="1811"/>
  <c r="L116" i="1813" s="1"/>
  <c r="J96" i="1811"/>
  <c r="J116" i="1813" s="1"/>
  <c r="F96" i="1811"/>
  <c r="F116" i="1813" s="1"/>
  <c r="W95" i="1811"/>
  <c r="W115" i="1813" s="1"/>
  <c r="U95" i="1811"/>
  <c r="U115" i="1813" s="1"/>
  <c r="T95" i="1811"/>
  <c r="T115" i="1813" s="1"/>
  <c r="S95" i="1811"/>
  <c r="S115" i="1813" s="1"/>
  <c r="Q95" i="1811"/>
  <c r="Q115" i="1813" s="1"/>
  <c r="P95" i="1811"/>
  <c r="P115" i="1813" s="1"/>
  <c r="O95" i="1811"/>
  <c r="O115" i="1813" s="1"/>
  <c r="M95" i="1811"/>
  <c r="M115" i="1813" s="1"/>
  <c r="L95" i="1811"/>
  <c r="L115" i="1813" s="1"/>
  <c r="W94" i="1811"/>
  <c r="W114" i="1813" s="1"/>
  <c r="U94" i="1811"/>
  <c r="U114" i="1813" s="1"/>
  <c r="T94" i="1811"/>
  <c r="T114" i="1813" s="1"/>
  <c r="S94" i="1811"/>
  <c r="S114" i="1813" s="1"/>
  <c r="Q94" i="1811"/>
  <c r="Q114" i="1813" s="1"/>
  <c r="P94" i="1811"/>
  <c r="P114" i="1813" s="1"/>
  <c r="O94" i="1811"/>
  <c r="O114" i="1813" s="1"/>
  <c r="M94" i="1811"/>
  <c r="M114" i="1813" s="1"/>
  <c r="L94" i="1811"/>
  <c r="L114" i="1813" s="1"/>
  <c r="W93" i="1811"/>
  <c r="W113" i="1813" s="1"/>
  <c r="W83" i="1821" s="1"/>
  <c r="U93" i="1811"/>
  <c r="U113" i="1813" s="1"/>
  <c r="U83" i="1821" s="1"/>
  <c r="T93" i="1811"/>
  <c r="T113" i="1813" s="1"/>
  <c r="T83" i="1821" s="1"/>
  <c r="S93" i="1811"/>
  <c r="S113" i="1813" s="1"/>
  <c r="S83" i="1821" s="1"/>
  <c r="Q93" i="1811"/>
  <c r="Q113" i="1813" s="1"/>
  <c r="Q83" i="1821" s="1"/>
  <c r="P93" i="1811"/>
  <c r="P113" i="1813" s="1"/>
  <c r="O93" i="1811"/>
  <c r="O113" i="1813" s="1"/>
  <c r="M93" i="1811"/>
  <c r="M113" i="1813" s="1"/>
  <c r="L93" i="1811"/>
  <c r="L113" i="1813" s="1"/>
  <c r="W92" i="1811"/>
  <c r="W112" i="1813" s="1"/>
  <c r="U92" i="1811"/>
  <c r="U112" i="1813" s="1"/>
  <c r="T92" i="1811"/>
  <c r="T112" i="1813" s="1"/>
  <c r="S92" i="1811"/>
  <c r="S112" i="1813" s="1"/>
  <c r="Q92" i="1811"/>
  <c r="Q112" i="1813" s="1"/>
  <c r="P92" i="1811"/>
  <c r="P112" i="1813" s="1"/>
  <c r="P106" i="1814" s="1"/>
  <c r="O92" i="1811"/>
  <c r="O112" i="1813" s="1"/>
  <c r="O106" i="1814" s="1"/>
  <c r="M92" i="1811"/>
  <c r="M112" i="1813" s="1"/>
  <c r="M106" i="1814" s="1"/>
  <c r="L92" i="1811"/>
  <c r="L112" i="1813" s="1"/>
  <c r="L106" i="1814" s="1"/>
  <c r="X129" i="1811"/>
  <c r="X149" i="1813" s="1"/>
  <c r="X128" i="1811"/>
  <c r="X148" i="1813" s="1"/>
  <c r="X127" i="1811"/>
  <c r="X147" i="1813" s="1"/>
  <c r="X126" i="1811"/>
  <c r="X146" i="1813" s="1"/>
  <c r="X125" i="1811"/>
  <c r="X145" i="1813" s="1"/>
  <c r="X124" i="1811"/>
  <c r="X144" i="1813" s="1"/>
  <c r="X120" i="1811"/>
  <c r="X140" i="1813" s="1"/>
  <c r="X119" i="1811"/>
  <c r="X139" i="1813" s="1"/>
  <c r="X118" i="1811"/>
  <c r="X138" i="1813" s="1"/>
  <c r="X117" i="1811"/>
  <c r="X137" i="1813" s="1"/>
  <c r="X115" i="1811"/>
  <c r="X135" i="1813" s="1"/>
  <c r="X113" i="1811"/>
  <c r="X133" i="1813" s="1"/>
  <c r="X112" i="1811"/>
  <c r="X132" i="1813" s="1"/>
  <c r="X111" i="1811"/>
  <c r="X131" i="1813" s="1"/>
  <c r="X110" i="1811"/>
  <c r="X130" i="1813" s="1"/>
  <c r="X109" i="1811"/>
  <c r="X129" i="1813" s="1"/>
  <c r="X91" i="1821" s="1"/>
  <c r="X104" i="1811"/>
  <c r="X124" i="1813" s="1"/>
  <c r="X103" i="1811"/>
  <c r="X123" i="1813" s="1"/>
  <c r="X102" i="1811"/>
  <c r="X122" i="1813" s="1"/>
  <c r="X101" i="1811"/>
  <c r="X121" i="1813" s="1"/>
  <c r="X100" i="1811"/>
  <c r="X120" i="1813" s="1"/>
  <c r="X86" i="1821" s="1"/>
  <c r="X99" i="1811"/>
  <c r="X119" i="1813" s="1"/>
  <c r="X97" i="1811"/>
  <c r="X117" i="1813" s="1"/>
  <c r="X96" i="1811"/>
  <c r="X116" i="1813" s="1"/>
  <c r="X95" i="1811"/>
  <c r="X115" i="1813" s="1"/>
  <c r="X94" i="1811"/>
  <c r="X114" i="1813" s="1"/>
  <c r="X93" i="1811"/>
  <c r="X113" i="1813" s="1"/>
  <c r="X83" i="1821" s="1"/>
  <c r="X92" i="1811"/>
  <c r="X112" i="1813" s="1"/>
  <c r="AS129" i="1811"/>
  <c r="AS149" i="1813" s="1"/>
  <c r="AR129" i="1811"/>
  <c r="AR149" i="1813" s="1"/>
  <c r="AQ129" i="1811"/>
  <c r="AQ149" i="1813" s="1"/>
  <c r="AS128" i="1811"/>
  <c r="AS148" i="1813" s="1"/>
  <c r="AR128" i="1811"/>
  <c r="AR148" i="1813" s="1"/>
  <c r="AQ128" i="1811"/>
  <c r="AQ148" i="1813" s="1"/>
  <c r="AS127" i="1811"/>
  <c r="AS147" i="1813" s="1"/>
  <c r="AR127" i="1811"/>
  <c r="AR147" i="1813" s="1"/>
  <c r="AQ127" i="1811"/>
  <c r="AQ147" i="1813" s="1"/>
  <c r="AS126" i="1811"/>
  <c r="AS146" i="1813" s="1"/>
  <c r="AR126" i="1811"/>
  <c r="AR146" i="1813" s="1"/>
  <c r="AQ126" i="1811"/>
  <c r="AQ146" i="1813" s="1"/>
  <c r="AS125" i="1811"/>
  <c r="AS145" i="1813" s="1"/>
  <c r="AR125" i="1811"/>
  <c r="AR145" i="1813" s="1"/>
  <c r="AQ125" i="1811"/>
  <c r="AQ145" i="1813" s="1"/>
  <c r="AS124" i="1811"/>
  <c r="AS144" i="1813" s="1"/>
  <c r="AR124" i="1811"/>
  <c r="AR144" i="1813" s="1"/>
  <c r="AQ124" i="1811"/>
  <c r="AQ144" i="1813" s="1"/>
  <c r="AU132" i="1811"/>
  <c r="AT129" i="1811"/>
  <c r="AT149" i="1813" s="1"/>
  <c r="AT128" i="1811"/>
  <c r="AT148" i="1813" s="1"/>
  <c r="AT127" i="1811"/>
  <c r="AT147" i="1813" s="1"/>
  <c r="AT126" i="1811"/>
  <c r="AT146" i="1813" s="1"/>
  <c r="AT124" i="1811"/>
  <c r="AT144" i="1813" s="1"/>
  <c r="AT125" i="1811"/>
  <c r="AT145" i="1813" s="1"/>
  <c r="AS120" i="1811"/>
  <c r="AS140" i="1813" s="1"/>
  <c r="AR120" i="1811"/>
  <c r="AR140" i="1813" s="1"/>
  <c r="AQ120" i="1811"/>
  <c r="AQ140" i="1813" s="1"/>
  <c r="AS119" i="1811"/>
  <c r="AS139" i="1813" s="1"/>
  <c r="AR119" i="1811"/>
  <c r="AR139" i="1813" s="1"/>
  <c r="AQ119" i="1811"/>
  <c r="AQ139" i="1813" s="1"/>
  <c r="AS118" i="1811"/>
  <c r="AS138" i="1813" s="1"/>
  <c r="AR118" i="1811"/>
  <c r="AR138" i="1813" s="1"/>
  <c r="AQ118" i="1811"/>
  <c r="AQ138" i="1813" s="1"/>
  <c r="AS117" i="1811"/>
  <c r="AS137" i="1813" s="1"/>
  <c r="AR117" i="1811"/>
  <c r="AR137" i="1813" s="1"/>
  <c r="AQ117" i="1811"/>
  <c r="AQ137" i="1813" s="1"/>
  <c r="AS115" i="1811"/>
  <c r="AS135" i="1813" s="1"/>
  <c r="AR115" i="1811"/>
  <c r="AR135" i="1813" s="1"/>
  <c r="AQ115" i="1811"/>
  <c r="AQ135" i="1813" s="1"/>
  <c r="AS113" i="1811"/>
  <c r="AS133" i="1813" s="1"/>
  <c r="AR113" i="1811"/>
  <c r="AR133" i="1813" s="1"/>
  <c r="AQ113" i="1811"/>
  <c r="AQ133" i="1813" s="1"/>
  <c r="AS112" i="1811"/>
  <c r="AS132" i="1813" s="1"/>
  <c r="AR112" i="1811"/>
  <c r="AR132" i="1813" s="1"/>
  <c r="AQ112" i="1811"/>
  <c r="AQ132" i="1813" s="1"/>
  <c r="AS111" i="1811"/>
  <c r="AS131" i="1813" s="1"/>
  <c r="AR111" i="1811"/>
  <c r="AR131" i="1813" s="1"/>
  <c r="AQ111" i="1811"/>
  <c r="AQ131" i="1813" s="1"/>
  <c r="AS110" i="1811"/>
  <c r="AS130" i="1813" s="1"/>
  <c r="AR110" i="1811"/>
  <c r="AR130" i="1813" s="1"/>
  <c r="AQ110" i="1811"/>
  <c r="AQ130" i="1813" s="1"/>
  <c r="AS109" i="1811"/>
  <c r="AS129" i="1813" s="1"/>
  <c r="AR109" i="1811"/>
  <c r="AR129" i="1813" s="1"/>
  <c r="AQ109" i="1811"/>
  <c r="AQ129" i="1813" s="1"/>
  <c r="AT120" i="1811"/>
  <c r="AT140" i="1813" s="1"/>
  <c r="AT119" i="1811"/>
  <c r="AT139" i="1813" s="1"/>
  <c r="AT118" i="1811"/>
  <c r="AT138" i="1813" s="1"/>
  <c r="AT117" i="1811"/>
  <c r="AT137" i="1813" s="1"/>
  <c r="AT115" i="1811"/>
  <c r="AT135" i="1813" s="1"/>
  <c r="AT113" i="1811"/>
  <c r="AT133" i="1813" s="1"/>
  <c r="AT112" i="1811"/>
  <c r="AT132" i="1813" s="1"/>
  <c r="AT111" i="1811"/>
  <c r="AT131" i="1813" s="1"/>
  <c r="AT110" i="1811"/>
  <c r="AT130" i="1813" s="1"/>
  <c r="AT109" i="1811"/>
  <c r="AT129" i="1813" s="1"/>
  <c r="AS104" i="1811"/>
  <c r="AS124" i="1813" s="1"/>
  <c r="AR104" i="1811"/>
  <c r="AR124" i="1813" s="1"/>
  <c r="AQ104" i="1811"/>
  <c r="AQ124" i="1813" s="1"/>
  <c r="AS103" i="1811"/>
  <c r="AS123" i="1813" s="1"/>
  <c r="AR103" i="1811"/>
  <c r="AR123" i="1813" s="1"/>
  <c r="AQ103" i="1811"/>
  <c r="AQ123" i="1813" s="1"/>
  <c r="AS102" i="1811"/>
  <c r="AS122" i="1813" s="1"/>
  <c r="AR102" i="1811"/>
  <c r="AR122" i="1813" s="1"/>
  <c r="AQ102" i="1811"/>
  <c r="AQ122" i="1813" s="1"/>
  <c r="AS101" i="1811"/>
  <c r="AS121" i="1813" s="1"/>
  <c r="AR101" i="1811"/>
  <c r="AR121" i="1813" s="1"/>
  <c r="AQ101" i="1811"/>
  <c r="AQ121" i="1813" s="1"/>
  <c r="AS100" i="1811"/>
  <c r="AS120" i="1813" s="1"/>
  <c r="AR100" i="1811"/>
  <c r="AR120" i="1813" s="1"/>
  <c r="AQ100" i="1811"/>
  <c r="AQ120" i="1813" s="1"/>
  <c r="AS99" i="1811"/>
  <c r="AS119" i="1813" s="1"/>
  <c r="AR99" i="1811"/>
  <c r="AR119" i="1813" s="1"/>
  <c r="AQ99" i="1811"/>
  <c r="AQ119" i="1813" s="1"/>
  <c r="AS97" i="1811"/>
  <c r="AS117" i="1813" s="1"/>
  <c r="AR97" i="1811"/>
  <c r="AR117" i="1813" s="1"/>
  <c r="AQ97" i="1811"/>
  <c r="AQ117" i="1813" s="1"/>
  <c r="AS96" i="1811"/>
  <c r="AS116" i="1813" s="1"/>
  <c r="AR96" i="1811"/>
  <c r="AR116" i="1813" s="1"/>
  <c r="AQ96" i="1811"/>
  <c r="AQ116" i="1813" s="1"/>
  <c r="AS95" i="1811"/>
  <c r="AS115" i="1813" s="1"/>
  <c r="AR95" i="1811"/>
  <c r="AR115" i="1813" s="1"/>
  <c r="AQ95" i="1811"/>
  <c r="AQ115" i="1813" s="1"/>
  <c r="AS94" i="1811"/>
  <c r="AS114" i="1813" s="1"/>
  <c r="AR94" i="1811"/>
  <c r="AR114" i="1813" s="1"/>
  <c r="AQ94" i="1811"/>
  <c r="AQ114" i="1813" s="1"/>
  <c r="AS93" i="1811"/>
  <c r="AS113" i="1813" s="1"/>
  <c r="AR93" i="1811"/>
  <c r="AR113" i="1813" s="1"/>
  <c r="AQ93" i="1811"/>
  <c r="AQ113" i="1813" s="1"/>
  <c r="AS92" i="1811"/>
  <c r="AS112" i="1813" s="1"/>
  <c r="AR92" i="1811"/>
  <c r="AR112" i="1813" s="1"/>
  <c r="AQ92" i="1811"/>
  <c r="AQ112" i="1813" s="1"/>
  <c r="AT104" i="1811"/>
  <c r="AT124" i="1813" s="1"/>
  <c r="AT103" i="1811"/>
  <c r="AT123" i="1813" s="1"/>
  <c r="AT102" i="1811"/>
  <c r="AT122" i="1813" s="1"/>
  <c r="AT101" i="1811"/>
  <c r="AT121" i="1813" s="1"/>
  <c r="AT100" i="1811"/>
  <c r="AT120" i="1813" s="1"/>
  <c r="AT99" i="1811"/>
  <c r="AT119" i="1813" s="1"/>
  <c r="AT97" i="1811"/>
  <c r="AT117" i="1813" s="1"/>
  <c r="AT96" i="1811"/>
  <c r="AT116" i="1813" s="1"/>
  <c r="AT95" i="1811"/>
  <c r="AT115" i="1813" s="1"/>
  <c r="AT94" i="1811"/>
  <c r="AT114" i="1813" s="1"/>
  <c r="AT93" i="1811"/>
  <c r="AT113" i="1813" s="1"/>
  <c r="AT92" i="1811"/>
  <c r="AT112" i="1813" s="1"/>
  <c r="W85" i="1811"/>
  <c r="W87" i="1813" s="1"/>
  <c r="V85" i="1811"/>
  <c r="V87" i="1813" s="1"/>
  <c r="U85" i="1811"/>
  <c r="U87" i="1813" s="1"/>
  <c r="T85" i="1811"/>
  <c r="T87" i="1813" s="1"/>
  <c r="S85" i="1811"/>
  <c r="S87" i="1813" s="1"/>
  <c r="R85" i="1811"/>
  <c r="R87" i="1813" s="1"/>
  <c r="Q85" i="1811"/>
  <c r="Q87" i="1813" s="1"/>
  <c r="P85" i="1811"/>
  <c r="P87" i="1813" s="1"/>
  <c r="O85" i="1811"/>
  <c r="O87" i="1813" s="1"/>
  <c r="N85" i="1811"/>
  <c r="N87" i="1813" s="1"/>
  <c r="M85" i="1811"/>
  <c r="M87" i="1813" s="1"/>
  <c r="L85" i="1811"/>
  <c r="L87" i="1813" s="1"/>
  <c r="K85" i="1811"/>
  <c r="K87" i="1813" s="1"/>
  <c r="J85" i="1811"/>
  <c r="J87" i="1813" s="1"/>
  <c r="I85" i="1811"/>
  <c r="I87" i="1813" s="1"/>
  <c r="H85" i="1811"/>
  <c r="H87" i="1813" s="1"/>
  <c r="G85" i="1811"/>
  <c r="G87" i="1813" s="1"/>
  <c r="F85" i="1811"/>
  <c r="F87" i="1813" s="1"/>
  <c r="E85" i="1811"/>
  <c r="E87" i="1813" s="1"/>
  <c r="W83" i="1811"/>
  <c r="W85" i="1813" s="1"/>
  <c r="V83" i="1811"/>
  <c r="V85" i="1813" s="1"/>
  <c r="U83" i="1811"/>
  <c r="U85" i="1813" s="1"/>
  <c r="T83" i="1811"/>
  <c r="T85" i="1813" s="1"/>
  <c r="S83" i="1811"/>
  <c r="S85" i="1813" s="1"/>
  <c r="R83" i="1811"/>
  <c r="R85" i="1813" s="1"/>
  <c r="Q83" i="1811"/>
  <c r="Q85" i="1813" s="1"/>
  <c r="P83" i="1811"/>
  <c r="P85" i="1813" s="1"/>
  <c r="O83" i="1811"/>
  <c r="O85" i="1813" s="1"/>
  <c r="N83" i="1811"/>
  <c r="N85" i="1813" s="1"/>
  <c r="M83" i="1811"/>
  <c r="M85" i="1813" s="1"/>
  <c r="L83" i="1811"/>
  <c r="L85" i="1813" s="1"/>
  <c r="K83" i="1811"/>
  <c r="K85" i="1813" s="1"/>
  <c r="J83" i="1811"/>
  <c r="J85" i="1813" s="1"/>
  <c r="I83" i="1811"/>
  <c r="I85" i="1813" s="1"/>
  <c r="H83" i="1811"/>
  <c r="H85" i="1813" s="1"/>
  <c r="G83" i="1811"/>
  <c r="G85" i="1813" s="1"/>
  <c r="F83" i="1811"/>
  <c r="F85" i="1813" s="1"/>
  <c r="E83" i="1811"/>
  <c r="E85" i="1813" s="1"/>
  <c r="W82" i="1811"/>
  <c r="W84" i="1813" s="1"/>
  <c r="V82" i="1811"/>
  <c r="V84" i="1813" s="1"/>
  <c r="U82" i="1811"/>
  <c r="U84" i="1813" s="1"/>
  <c r="T82" i="1811"/>
  <c r="T84" i="1813" s="1"/>
  <c r="S82" i="1811"/>
  <c r="S84" i="1813" s="1"/>
  <c r="R82" i="1811"/>
  <c r="R84" i="1813" s="1"/>
  <c r="Q82" i="1811"/>
  <c r="Q84" i="1813" s="1"/>
  <c r="P82" i="1811"/>
  <c r="P84" i="1813" s="1"/>
  <c r="O82" i="1811"/>
  <c r="O84" i="1813" s="1"/>
  <c r="N82" i="1811"/>
  <c r="N84" i="1813" s="1"/>
  <c r="M82" i="1811"/>
  <c r="M84" i="1813" s="1"/>
  <c r="L82" i="1811"/>
  <c r="L84" i="1813" s="1"/>
  <c r="K82" i="1811"/>
  <c r="K84" i="1813" s="1"/>
  <c r="J82" i="1811"/>
  <c r="J84" i="1813" s="1"/>
  <c r="I82" i="1811"/>
  <c r="I84" i="1813" s="1"/>
  <c r="H82" i="1811"/>
  <c r="H84" i="1813" s="1"/>
  <c r="G82" i="1811"/>
  <c r="G84" i="1813" s="1"/>
  <c r="F82" i="1811"/>
  <c r="F84" i="1813" s="1"/>
  <c r="E82" i="1811"/>
  <c r="E84" i="1813" s="1"/>
  <c r="V81" i="1811"/>
  <c r="V83" i="1813" s="1"/>
  <c r="R81" i="1811"/>
  <c r="R83" i="1813" s="1"/>
  <c r="Q81" i="1811"/>
  <c r="Q83" i="1813" s="1"/>
  <c r="N81" i="1811"/>
  <c r="N83" i="1813" s="1"/>
  <c r="M81" i="1811"/>
  <c r="M83" i="1813" s="1"/>
  <c r="J81" i="1811"/>
  <c r="J83" i="1813" s="1"/>
  <c r="I81" i="1811"/>
  <c r="I83" i="1813" s="1"/>
  <c r="H81" i="1811"/>
  <c r="H83" i="1813" s="1"/>
  <c r="G81" i="1811"/>
  <c r="G83" i="1813" s="1"/>
  <c r="F81" i="1811"/>
  <c r="F83" i="1813" s="1"/>
  <c r="E81" i="1811"/>
  <c r="E83" i="1813" s="1"/>
  <c r="W80" i="1811"/>
  <c r="W82" i="1813" s="1"/>
  <c r="V80" i="1811"/>
  <c r="V82" i="1813" s="1"/>
  <c r="U80" i="1811"/>
  <c r="U82" i="1813" s="1"/>
  <c r="T80" i="1811"/>
  <c r="T82" i="1813" s="1"/>
  <c r="S80" i="1811"/>
  <c r="S82" i="1813" s="1"/>
  <c r="R80" i="1811"/>
  <c r="R82" i="1813" s="1"/>
  <c r="Q80" i="1811"/>
  <c r="Q82" i="1813" s="1"/>
  <c r="P80" i="1811"/>
  <c r="P82" i="1813" s="1"/>
  <c r="O80" i="1811"/>
  <c r="O82" i="1813" s="1"/>
  <c r="N80" i="1811"/>
  <c r="N82" i="1813" s="1"/>
  <c r="M80" i="1811"/>
  <c r="M82" i="1813" s="1"/>
  <c r="L80" i="1811"/>
  <c r="L82" i="1813" s="1"/>
  <c r="K80" i="1811"/>
  <c r="K82" i="1813" s="1"/>
  <c r="J80" i="1811"/>
  <c r="J82" i="1813" s="1"/>
  <c r="I80" i="1811"/>
  <c r="I82" i="1813" s="1"/>
  <c r="H80" i="1811"/>
  <c r="H82" i="1813" s="1"/>
  <c r="G80" i="1811"/>
  <c r="G82" i="1813" s="1"/>
  <c r="F80" i="1811"/>
  <c r="F82" i="1813" s="1"/>
  <c r="E80" i="1811"/>
  <c r="E82" i="1813" s="1"/>
  <c r="W79" i="1811"/>
  <c r="W81" i="1813" s="1"/>
  <c r="V79" i="1811"/>
  <c r="V81" i="1813" s="1"/>
  <c r="U79" i="1811"/>
  <c r="U81" i="1813" s="1"/>
  <c r="T79" i="1811"/>
  <c r="T81" i="1813" s="1"/>
  <c r="S79" i="1811"/>
  <c r="S81" i="1813" s="1"/>
  <c r="R79" i="1811"/>
  <c r="R81" i="1813" s="1"/>
  <c r="Q79" i="1811"/>
  <c r="Q81" i="1813" s="1"/>
  <c r="P79" i="1811"/>
  <c r="P81" i="1813" s="1"/>
  <c r="O79" i="1811"/>
  <c r="O81" i="1813" s="1"/>
  <c r="N79" i="1811"/>
  <c r="N81" i="1813" s="1"/>
  <c r="M79" i="1811"/>
  <c r="M81" i="1813" s="1"/>
  <c r="L79" i="1811"/>
  <c r="L81" i="1813" s="1"/>
  <c r="K79" i="1811"/>
  <c r="K81" i="1813" s="1"/>
  <c r="J79" i="1811"/>
  <c r="J81" i="1813" s="1"/>
  <c r="I79" i="1811"/>
  <c r="I81" i="1813" s="1"/>
  <c r="H79" i="1811"/>
  <c r="H81" i="1813" s="1"/>
  <c r="G79" i="1811"/>
  <c r="G81" i="1813" s="1"/>
  <c r="F79" i="1811"/>
  <c r="F81" i="1813" s="1"/>
  <c r="E79" i="1811"/>
  <c r="E81" i="1813" s="1"/>
  <c r="W78" i="1811"/>
  <c r="W80" i="1813" s="1"/>
  <c r="V78" i="1811"/>
  <c r="V80" i="1813" s="1"/>
  <c r="U78" i="1811"/>
  <c r="U80" i="1813" s="1"/>
  <c r="T78" i="1811"/>
  <c r="T80" i="1813" s="1"/>
  <c r="S78" i="1811"/>
  <c r="S80" i="1813" s="1"/>
  <c r="R78" i="1811"/>
  <c r="R80" i="1813" s="1"/>
  <c r="Q78" i="1811"/>
  <c r="Q80" i="1813" s="1"/>
  <c r="P78" i="1811"/>
  <c r="P80" i="1813" s="1"/>
  <c r="O78" i="1811"/>
  <c r="O80" i="1813" s="1"/>
  <c r="N78" i="1811"/>
  <c r="N80" i="1813" s="1"/>
  <c r="M78" i="1811"/>
  <c r="M80" i="1813" s="1"/>
  <c r="L78" i="1811"/>
  <c r="L80" i="1813" s="1"/>
  <c r="K78" i="1811"/>
  <c r="K80" i="1813" s="1"/>
  <c r="J78" i="1811"/>
  <c r="J80" i="1813" s="1"/>
  <c r="I78" i="1811"/>
  <c r="I80" i="1813" s="1"/>
  <c r="H78" i="1811"/>
  <c r="H80" i="1813" s="1"/>
  <c r="G78" i="1811"/>
  <c r="G80" i="1813" s="1"/>
  <c r="F78" i="1811"/>
  <c r="F80" i="1813" s="1"/>
  <c r="E78" i="1811"/>
  <c r="E80" i="1813" s="1"/>
  <c r="W77" i="1811"/>
  <c r="W79" i="1813" s="1"/>
  <c r="V77" i="1811"/>
  <c r="V79" i="1813" s="1"/>
  <c r="U77" i="1811"/>
  <c r="U79" i="1813" s="1"/>
  <c r="T77" i="1811"/>
  <c r="T79" i="1813" s="1"/>
  <c r="S77" i="1811"/>
  <c r="S79" i="1813" s="1"/>
  <c r="R77" i="1811"/>
  <c r="R79" i="1813" s="1"/>
  <c r="Q77" i="1811"/>
  <c r="Q79" i="1813" s="1"/>
  <c r="P77" i="1811"/>
  <c r="P79" i="1813" s="1"/>
  <c r="O77" i="1811"/>
  <c r="O79" i="1813" s="1"/>
  <c r="N77" i="1811"/>
  <c r="N79" i="1813" s="1"/>
  <c r="M77" i="1811"/>
  <c r="M79" i="1813" s="1"/>
  <c r="L77" i="1811"/>
  <c r="L79" i="1813" s="1"/>
  <c r="K77" i="1811"/>
  <c r="K79" i="1813" s="1"/>
  <c r="J77" i="1811"/>
  <c r="J79" i="1813" s="1"/>
  <c r="I77" i="1811"/>
  <c r="I79" i="1813" s="1"/>
  <c r="H77" i="1811"/>
  <c r="H79" i="1813" s="1"/>
  <c r="G77" i="1811"/>
  <c r="G79" i="1813" s="1"/>
  <c r="F77" i="1811"/>
  <c r="F79" i="1813" s="1"/>
  <c r="E77" i="1811"/>
  <c r="E79" i="1813" s="1"/>
  <c r="W76" i="1811"/>
  <c r="W78" i="1813" s="1"/>
  <c r="V76" i="1811"/>
  <c r="V78" i="1813" s="1"/>
  <c r="U76" i="1811"/>
  <c r="U78" i="1813" s="1"/>
  <c r="T76" i="1811"/>
  <c r="T78" i="1813" s="1"/>
  <c r="S76" i="1811"/>
  <c r="S78" i="1813" s="1"/>
  <c r="R76" i="1811"/>
  <c r="R78" i="1813" s="1"/>
  <c r="Q76" i="1811"/>
  <c r="Q78" i="1813" s="1"/>
  <c r="P76" i="1811"/>
  <c r="P78" i="1813" s="1"/>
  <c r="O76" i="1811"/>
  <c r="O78" i="1813" s="1"/>
  <c r="N76" i="1811"/>
  <c r="N78" i="1813" s="1"/>
  <c r="N94" i="1813" s="1"/>
  <c r="N176" i="1814" s="1"/>
  <c r="M76" i="1811"/>
  <c r="M78" i="1813" s="1"/>
  <c r="M94" i="1813" s="1"/>
  <c r="M176" i="1814" s="1"/>
  <c r="L76" i="1811"/>
  <c r="L78" i="1813" s="1"/>
  <c r="L94" i="1813" s="1"/>
  <c r="L176" i="1814" s="1"/>
  <c r="K76" i="1811"/>
  <c r="K78" i="1813" s="1"/>
  <c r="K94" i="1813" s="1"/>
  <c r="K176" i="1814" s="1"/>
  <c r="J76" i="1811"/>
  <c r="J78" i="1813" s="1"/>
  <c r="J94" i="1813" s="1"/>
  <c r="J176" i="1814" s="1"/>
  <c r="I76" i="1811"/>
  <c r="I78" i="1813" s="1"/>
  <c r="I94" i="1813" s="1"/>
  <c r="I176" i="1814" s="1"/>
  <c r="H76" i="1811"/>
  <c r="H78" i="1813" s="1"/>
  <c r="H94" i="1813" s="1"/>
  <c r="H176" i="1814" s="1"/>
  <c r="G76" i="1811"/>
  <c r="G78" i="1813" s="1"/>
  <c r="G94" i="1813" s="1"/>
  <c r="G176" i="1814" s="1"/>
  <c r="F76" i="1811"/>
  <c r="F78" i="1813" s="1"/>
  <c r="F94" i="1813" s="1"/>
  <c r="F176" i="1814" s="1"/>
  <c r="E76" i="1811"/>
  <c r="E78" i="1813" s="1"/>
  <c r="E94" i="1813" s="1"/>
  <c r="E176" i="1814" s="1"/>
  <c r="W75" i="1811"/>
  <c r="W77" i="1813" s="1"/>
  <c r="V75" i="1811"/>
  <c r="V77" i="1813" s="1"/>
  <c r="U75" i="1811"/>
  <c r="U77" i="1813" s="1"/>
  <c r="T75" i="1811"/>
  <c r="T77" i="1813" s="1"/>
  <c r="S75" i="1811"/>
  <c r="S77" i="1813" s="1"/>
  <c r="R75" i="1811"/>
  <c r="R77" i="1813" s="1"/>
  <c r="Q75" i="1811"/>
  <c r="Q77" i="1813" s="1"/>
  <c r="P75" i="1811"/>
  <c r="P77" i="1813" s="1"/>
  <c r="O75" i="1811"/>
  <c r="O77" i="1813" s="1"/>
  <c r="N75" i="1811"/>
  <c r="N77" i="1813" s="1"/>
  <c r="M75" i="1811"/>
  <c r="M77" i="1813" s="1"/>
  <c r="L75" i="1811"/>
  <c r="L77" i="1813" s="1"/>
  <c r="K75" i="1811"/>
  <c r="K77" i="1813" s="1"/>
  <c r="J75" i="1811"/>
  <c r="J77" i="1813" s="1"/>
  <c r="I75" i="1811"/>
  <c r="I77" i="1813" s="1"/>
  <c r="H75" i="1811"/>
  <c r="H77" i="1813" s="1"/>
  <c r="G75" i="1811"/>
  <c r="G77" i="1813" s="1"/>
  <c r="F75" i="1811"/>
  <c r="F77" i="1813" s="1"/>
  <c r="E75" i="1811"/>
  <c r="E77" i="1813" s="1"/>
  <c r="X85" i="1811"/>
  <c r="X87" i="1813" s="1"/>
  <c r="X83" i="1811"/>
  <c r="X85" i="1813" s="1"/>
  <c r="X82" i="1811"/>
  <c r="X84" i="1813" s="1"/>
  <c r="X80" i="1811"/>
  <c r="X82" i="1813" s="1"/>
  <c r="X79" i="1811"/>
  <c r="X81" i="1813" s="1"/>
  <c r="X78" i="1811"/>
  <c r="X80" i="1813" s="1"/>
  <c r="X77" i="1811"/>
  <c r="X79" i="1813" s="1"/>
  <c r="X76" i="1811"/>
  <c r="X78" i="1813" s="1"/>
  <c r="X75" i="1811"/>
  <c r="X77" i="1813" s="1"/>
  <c r="AR85" i="1811"/>
  <c r="AR87" i="1813" s="1"/>
  <c r="AQ85" i="1811"/>
  <c r="AQ87" i="1813" s="1"/>
  <c r="AR83" i="1811"/>
  <c r="AR85" i="1813" s="1"/>
  <c r="AQ83" i="1811"/>
  <c r="AQ85" i="1813" s="1"/>
  <c r="AR82" i="1811"/>
  <c r="AR84" i="1813" s="1"/>
  <c r="AQ82" i="1811"/>
  <c r="AQ84" i="1813" s="1"/>
  <c r="AR81" i="1811"/>
  <c r="AR83" i="1813" s="1"/>
  <c r="AQ81" i="1811"/>
  <c r="AQ83" i="1813" s="1"/>
  <c r="AR80" i="1811"/>
  <c r="AR82" i="1813" s="1"/>
  <c r="AQ80" i="1811"/>
  <c r="AQ82" i="1813" s="1"/>
  <c r="AR79" i="1811"/>
  <c r="AR81" i="1813" s="1"/>
  <c r="AQ79" i="1811"/>
  <c r="AQ81" i="1813" s="1"/>
  <c r="AR78" i="1811"/>
  <c r="AR80" i="1813" s="1"/>
  <c r="AQ78" i="1811"/>
  <c r="AQ80" i="1813" s="1"/>
  <c r="AR77" i="1811"/>
  <c r="AR79" i="1813" s="1"/>
  <c r="AQ77" i="1811"/>
  <c r="AQ79" i="1813" s="1"/>
  <c r="AR76" i="1811"/>
  <c r="AR78" i="1813" s="1"/>
  <c r="AR94" i="1813" s="1"/>
  <c r="AQ76" i="1811"/>
  <c r="AQ78" i="1813" s="1"/>
  <c r="AQ94" i="1813" s="1"/>
  <c r="AG176" i="1814" s="1"/>
  <c r="AR75" i="1811"/>
  <c r="AR77" i="1813" s="1"/>
  <c r="AQ75" i="1811"/>
  <c r="AQ77" i="1813" s="1"/>
  <c r="AR72" i="1811"/>
  <c r="AR74" i="1813" s="1"/>
  <c r="AS85" i="1811"/>
  <c r="AS87" i="1813" s="1"/>
  <c r="AS83" i="1811"/>
  <c r="AS85" i="1813" s="1"/>
  <c r="AS82" i="1811"/>
  <c r="AS84" i="1813" s="1"/>
  <c r="AS81" i="1811"/>
  <c r="AS83" i="1813" s="1"/>
  <c r="AS80" i="1811"/>
  <c r="AS82" i="1813" s="1"/>
  <c r="AS79" i="1811"/>
  <c r="AS81" i="1813" s="1"/>
  <c r="AS78" i="1811"/>
  <c r="AS80" i="1813" s="1"/>
  <c r="AS77" i="1811"/>
  <c r="AS79" i="1813" s="1"/>
  <c r="AS76" i="1811"/>
  <c r="AS78" i="1813" s="1"/>
  <c r="AS94" i="1813" s="1"/>
  <c r="AS75" i="1811"/>
  <c r="AS77" i="1813" s="1"/>
  <c r="W67" i="1811"/>
  <c r="W69" i="1813" s="1"/>
  <c r="V67" i="1811"/>
  <c r="V69" i="1813" s="1"/>
  <c r="U67" i="1811"/>
  <c r="U69" i="1813" s="1"/>
  <c r="T67" i="1811"/>
  <c r="T69" i="1813" s="1"/>
  <c r="S67" i="1811"/>
  <c r="S69" i="1813" s="1"/>
  <c r="R67" i="1811"/>
  <c r="R69" i="1813" s="1"/>
  <c r="Q67" i="1811"/>
  <c r="Q69" i="1813" s="1"/>
  <c r="P67" i="1811"/>
  <c r="P69" i="1813" s="1"/>
  <c r="O67" i="1811"/>
  <c r="O69" i="1813" s="1"/>
  <c r="N67" i="1811"/>
  <c r="N69" i="1813" s="1"/>
  <c r="M67" i="1811"/>
  <c r="M69" i="1813" s="1"/>
  <c r="L67" i="1811"/>
  <c r="L69" i="1813" s="1"/>
  <c r="K67" i="1811"/>
  <c r="K69" i="1813" s="1"/>
  <c r="J67" i="1811"/>
  <c r="J69" i="1813" s="1"/>
  <c r="I67" i="1811"/>
  <c r="I69" i="1813" s="1"/>
  <c r="H67" i="1811"/>
  <c r="H69" i="1813" s="1"/>
  <c r="G67" i="1811"/>
  <c r="G69" i="1813" s="1"/>
  <c r="F67" i="1811"/>
  <c r="F69" i="1813" s="1"/>
  <c r="E67" i="1811"/>
  <c r="E69" i="1813" s="1"/>
  <c r="W66" i="1811"/>
  <c r="W68" i="1813" s="1"/>
  <c r="V66" i="1811"/>
  <c r="V68" i="1813" s="1"/>
  <c r="U66" i="1811"/>
  <c r="U68" i="1813" s="1"/>
  <c r="T66" i="1811"/>
  <c r="T68" i="1813" s="1"/>
  <c r="S66" i="1811"/>
  <c r="S68" i="1813" s="1"/>
  <c r="R66" i="1811"/>
  <c r="R68" i="1813" s="1"/>
  <c r="Q66" i="1811"/>
  <c r="Q68" i="1813" s="1"/>
  <c r="P66" i="1811"/>
  <c r="P68" i="1813" s="1"/>
  <c r="O66" i="1811"/>
  <c r="O68" i="1813" s="1"/>
  <c r="N66" i="1811"/>
  <c r="N68" i="1813" s="1"/>
  <c r="M66" i="1811"/>
  <c r="M68" i="1813" s="1"/>
  <c r="L66" i="1811"/>
  <c r="L68" i="1813" s="1"/>
  <c r="K66" i="1811"/>
  <c r="K68" i="1813" s="1"/>
  <c r="J66" i="1811"/>
  <c r="J68" i="1813" s="1"/>
  <c r="I66" i="1811"/>
  <c r="I68" i="1813" s="1"/>
  <c r="H66" i="1811"/>
  <c r="H68" i="1813" s="1"/>
  <c r="G66" i="1811"/>
  <c r="G68" i="1813" s="1"/>
  <c r="F66" i="1811"/>
  <c r="F68" i="1813" s="1"/>
  <c r="E66" i="1811"/>
  <c r="E68" i="1813" s="1"/>
  <c r="W65" i="1811"/>
  <c r="W67" i="1813" s="1"/>
  <c r="W170" i="1814" s="1"/>
  <c r="V65" i="1811"/>
  <c r="V67" i="1813" s="1"/>
  <c r="V170" i="1814" s="1"/>
  <c r="U65" i="1811"/>
  <c r="U67" i="1813" s="1"/>
  <c r="U170" i="1814" s="1"/>
  <c r="T65" i="1811"/>
  <c r="T67" i="1813" s="1"/>
  <c r="T170" i="1814" s="1"/>
  <c r="S65" i="1811"/>
  <c r="S67" i="1813" s="1"/>
  <c r="S170" i="1814" s="1"/>
  <c r="R65" i="1811"/>
  <c r="R67" i="1813" s="1"/>
  <c r="R170" i="1814" s="1"/>
  <c r="Q65" i="1811"/>
  <c r="Q67" i="1813" s="1"/>
  <c r="Q170" i="1814" s="1"/>
  <c r="P65" i="1811"/>
  <c r="P67" i="1813" s="1"/>
  <c r="P170" i="1814" s="1"/>
  <c r="O65" i="1811"/>
  <c r="O67" i="1813" s="1"/>
  <c r="O170" i="1814" s="1"/>
  <c r="N65" i="1811"/>
  <c r="N67" i="1813" s="1"/>
  <c r="N170" i="1814" s="1"/>
  <c r="M65" i="1811"/>
  <c r="M67" i="1813" s="1"/>
  <c r="M170" i="1814" s="1"/>
  <c r="L65" i="1811"/>
  <c r="L67" i="1813" s="1"/>
  <c r="L170" i="1814" s="1"/>
  <c r="K65" i="1811"/>
  <c r="K67" i="1813" s="1"/>
  <c r="K170" i="1814" s="1"/>
  <c r="J65" i="1811"/>
  <c r="J67" i="1813" s="1"/>
  <c r="J170" i="1814" s="1"/>
  <c r="I65" i="1811"/>
  <c r="I67" i="1813" s="1"/>
  <c r="I170" i="1814" s="1"/>
  <c r="H65" i="1811"/>
  <c r="H67" i="1813" s="1"/>
  <c r="H170" i="1814" s="1"/>
  <c r="G65" i="1811"/>
  <c r="G67" i="1813" s="1"/>
  <c r="G170" i="1814" s="1"/>
  <c r="F65" i="1811"/>
  <c r="F67" i="1813" s="1"/>
  <c r="F170" i="1814" s="1"/>
  <c r="E65" i="1811"/>
  <c r="E67" i="1813" s="1"/>
  <c r="E170" i="1814" s="1"/>
  <c r="W64" i="1811"/>
  <c r="W66" i="1813" s="1"/>
  <c r="W169" i="1814" s="1"/>
  <c r="V64" i="1811"/>
  <c r="V66" i="1813" s="1"/>
  <c r="V169" i="1814" s="1"/>
  <c r="U64" i="1811"/>
  <c r="U66" i="1813" s="1"/>
  <c r="U169" i="1814" s="1"/>
  <c r="T64" i="1811"/>
  <c r="T66" i="1813" s="1"/>
  <c r="T169" i="1814" s="1"/>
  <c r="S64" i="1811"/>
  <c r="S66" i="1813" s="1"/>
  <c r="S169" i="1814" s="1"/>
  <c r="R64" i="1811"/>
  <c r="R66" i="1813" s="1"/>
  <c r="R169" i="1814" s="1"/>
  <c r="Q64" i="1811"/>
  <c r="Q66" i="1813" s="1"/>
  <c r="Q169" i="1814" s="1"/>
  <c r="P64" i="1811"/>
  <c r="P66" i="1813" s="1"/>
  <c r="P169" i="1814" s="1"/>
  <c r="O64" i="1811"/>
  <c r="O66" i="1813" s="1"/>
  <c r="O169" i="1814" s="1"/>
  <c r="N64" i="1811"/>
  <c r="N66" i="1813" s="1"/>
  <c r="N169" i="1814" s="1"/>
  <c r="M64" i="1811"/>
  <c r="M66" i="1813" s="1"/>
  <c r="M169" i="1814" s="1"/>
  <c r="L64" i="1811"/>
  <c r="L66" i="1813" s="1"/>
  <c r="L169" i="1814" s="1"/>
  <c r="K64" i="1811"/>
  <c r="K66" i="1813" s="1"/>
  <c r="K169" i="1814" s="1"/>
  <c r="J64" i="1811"/>
  <c r="J66" i="1813" s="1"/>
  <c r="J169" i="1814" s="1"/>
  <c r="I64" i="1811"/>
  <c r="I66" i="1813" s="1"/>
  <c r="I169" i="1814" s="1"/>
  <c r="H64" i="1811"/>
  <c r="H66" i="1813" s="1"/>
  <c r="H169" i="1814" s="1"/>
  <c r="G64" i="1811"/>
  <c r="G66" i="1813" s="1"/>
  <c r="G169" i="1814" s="1"/>
  <c r="F64" i="1811"/>
  <c r="F66" i="1813" s="1"/>
  <c r="F169" i="1814" s="1"/>
  <c r="E64" i="1811"/>
  <c r="E66" i="1813" s="1"/>
  <c r="E169" i="1814" s="1"/>
  <c r="W63" i="1811"/>
  <c r="W65" i="1813" s="1"/>
  <c r="V63" i="1811"/>
  <c r="V65" i="1813" s="1"/>
  <c r="U63" i="1811"/>
  <c r="U65" i="1813" s="1"/>
  <c r="T63" i="1811"/>
  <c r="T65" i="1813" s="1"/>
  <c r="S63" i="1811"/>
  <c r="S65" i="1813" s="1"/>
  <c r="R63" i="1811"/>
  <c r="R65" i="1813" s="1"/>
  <c r="Q63" i="1811"/>
  <c r="Q65" i="1813" s="1"/>
  <c r="P63" i="1811"/>
  <c r="P65" i="1813" s="1"/>
  <c r="O63" i="1811"/>
  <c r="O65" i="1813" s="1"/>
  <c r="N63" i="1811"/>
  <c r="N65" i="1813" s="1"/>
  <c r="M63" i="1811"/>
  <c r="M65" i="1813" s="1"/>
  <c r="L63" i="1811"/>
  <c r="L65" i="1813" s="1"/>
  <c r="K63" i="1811"/>
  <c r="K65" i="1813" s="1"/>
  <c r="J63" i="1811"/>
  <c r="J65" i="1813" s="1"/>
  <c r="I63" i="1811"/>
  <c r="I65" i="1813" s="1"/>
  <c r="H63" i="1811"/>
  <c r="H65" i="1813" s="1"/>
  <c r="H168" i="1814" s="1"/>
  <c r="G63" i="1811"/>
  <c r="G65" i="1813" s="1"/>
  <c r="G168" i="1814" s="1"/>
  <c r="F63" i="1811"/>
  <c r="F65" i="1813" s="1"/>
  <c r="F168" i="1814" s="1"/>
  <c r="E63" i="1811"/>
  <c r="E65" i="1813" s="1"/>
  <c r="E168" i="1814" s="1"/>
  <c r="W62" i="1811"/>
  <c r="W64" i="1813" s="1"/>
  <c r="W167" i="1814" s="1"/>
  <c r="V62" i="1811"/>
  <c r="V64" i="1813" s="1"/>
  <c r="V167" i="1814" s="1"/>
  <c r="U62" i="1811"/>
  <c r="U64" i="1813" s="1"/>
  <c r="U167" i="1814" s="1"/>
  <c r="T62" i="1811"/>
  <c r="T64" i="1813" s="1"/>
  <c r="T167" i="1814" s="1"/>
  <c r="S62" i="1811"/>
  <c r="S64" i="1813" s="1"/>
  <c r="S167" i="1814" s="1"/>
  <c r="R62" i="1811"/>
  <c r="R64" i="1813" s="1"/>
  <c r="R167" i="1814" s="1"/>
  <c r="Q62" i="1811"/>
  <c r="Q64" i="1813" s="1"/>
  <c r="Q167" i="1814" s="1"/>
  <c r="P62" i="1811"/>
  <c r="P64" i="1813" s="1"/>
  <c r="P167" i="1814" s="1"/>
  <c r="O62" i="1811"/>
  <c r="O64" i="1813" s="1"/>
  <c r="O167" i="1814" s="1"/>
  <c r="N62" i="1811"/>
  <c r="N64" i="1813" s="1"/>
  <c r="N167" i="1814" s="1"/>
  <c r="M62" i="1811"/>
  <c r="M64" i="1813" s="1"/>
  <c r="M167" i="1814" s="1"/>
  <c r="L62" i="1811"/>
  <c r="L64" i="1813" s="1"/>
  <c r="L167" i="1814" s="1"/>
  <c r="K62" i="1811"/>
  <c r="K64" i="1813" s="1"/>
  <c r="K167" i="1814" s="1"/>
  <c r="J62" i="1811"/>
  <c r="J64" i="1813" s="1"/>
  <c r="J167" i="1814" s="1"/>
  <c r="I62" i="1811"/>
  <c r="I64" i="1813" s="1"/>
  <c r="I167" i="1814" s="1"/>
  <c r="H62" i="1811"/>
  <c r="H64" i="1813" s="1"/>
  <c r="H167" i="1814" s="1"/>
  <c r="G62" i="1811"/>
  <c r="G64" i="1813" s="1"/>
  <c r="G167" i="1814" s="1"/>
  <c r="F62" i="1811"/>
  <c r="F64" i="1813" s="1"/>
  <c r="F167" i="1814" s="1"/>
  <c r="E62" i="1811"/>
  <c r="E64" i="1813" s="1"/>
  <c r="E167" i="1814" s="1"/>
  <c r="W61" i="1811"/>
  <c r="W63" i="1813" s="1"/>
  <c r="V61" i="1811"/>
  <c r="V63" i="1813" s="1"/>
  <c r="U61" i="1811"/>
  <c r="U63" i="1813" s="1"/>
  <c r="T61" i="1811"/>
  <c r="T63" i="1813" s="1"/>
  <c r="S61" i="1811"/>
  <c r="S63" i="1813" s="1"/>
  <c r="R61" i="1811"/>
  <c r="R63" i="1813" s="1"/>
  <c r="Q61" i="1811"/>
  <c r="Q63" i="1813" s="1"/>
  <c r="P61" i="1811"/>
  <c r="P63" i="1813" s="1"/>
  <c r="O61" i="1811"/>
  <c r="O63" i="1813" s="1"/>
  <c r="N61" i="1811"/>
  <c r="N63" i="1813" s="1"/>
  <c r="M61" i="1811"/>
  <c r="M63" i="1813" s="1"/>
  <c r="L61" i="1811"/>
  <c r="L63" i="1813" s="1"/>
  <c r="K61" i="1811"/>
  <c r="K63" i="1813" s="1"/>
  <c r="J61" i="1811"/>
  <c r="J63" i="1813" s="1"/>
  <c r="I61" i="1811"/>
  <c r="I63" i="1813" s="1"/>
  <c r="H61" i="1811"/>
  <c r="H63" i="1813" s="1"/>
  <c r="G61" i="1811"/>
  <c r="G63" i="1813" s="1"/>
  <c r="F61" i="1811"/>
  <c r="F63" i="1813" s="1"/>
  <c r="E61" i="1811"/>
  <c r="E63" i="1813" s="1"/>
  <c r="W60" i="1811"/>
  <c r="W62" i="1813" s="1"/>
  <c r="W69" i="1814" s="1"/>
  <c r="W101" i="1814" s="1"/>
  <c r="V60" i="1811"/>
  <c r="V62" i="1813" s="1"/>
  <c r="V69" i="1814" s="1"/>
  <c r="V101" i="1814" s="1"/>
  <c r="U60" i="1811"/>
  <c r="U62" i="1813" s="1"/>
  <c r="U69" i="1814" s="1"/>
  <c r="U101" i="1814" s="1"/>
  <c r="T60" i="1811"/>
  <c r="T62" i="1813" s="1"/>
  <c r="T69" i="1814" s="1"/>
  <c r="T101" i="1814" s="1"/>
  <c r="S60" i="1811"/>
  <c r="S62" i="1813" s="1"/>
  <c r="S69" i="1814" s="1"/>
  <c r="R60" i="1811"/>
  <c r="R62" i="1813" s="1"/>
  <c r="R69" i="1814" s="1"/>
  <c r="R101" i="1814" s="1"/>
  <c r="Q60" i="1811"/>
  <c r="Q62" i="1813" s="1"/>
  <c r="Q69" i="1814" s="1"/>
  <c r="Q101" i="1814" s="1"/>
  <c r="P60" i="1811"/>
  <c r="P62" i="1813" s="1"/>
  <c r="P69" i="1814" s="1"/>
  <c r="P101" i="1814" s="1"/>
  <c r="O60" i="1811"/>
  <c r="O62" i="1813" s="1"/>
  <c r="O69" i="1814" s="1"/>
  <c r="N60" i="1811"/>
  <c r="N62" i="1813" s="1"/>
  <c r="N69" i="1814" s="1"/>
  <c r="N101" i="1814" s="1"/>
  <c r="M60" i="1811"/>
  <c r="M62" i="1813" s="1"/>
  <c r="M69" i="1814" s="1"/>
  <c r="M101" i="1814" s="1"/>
  <c r="L60" i="1811"/>
  <c r="L62" i="1813" s="1"/>
  <c r="L69" i="1814" s="1"/>
  <c r="L101" i="1814" s="1"/>
  <c r="K60" i="1811"/>
  <c r="K62" i="1813" s="1"/>
  <c r="K69" i="1814" s="1"/>
  <c r="J60" i="1811"/>
  <c r="J62" i="1813" s="1"/>
  <c r="J69" i="1814" s="1"/>
  <c r="J101" i="1814" s="1"/>
  <c r="I60" i="1811"/>
  <c r="I62" i="1813" s="1"/>
  <c r="I69" i="1814" s="1"/>
  <c r="I101" i="1814" s="1"/>
  <c r="H60" i="1811"/>
  <c r="H62" i="1813" s="1"/>
  <c r="H69" i="1814" s="1"/>
  <c r="G60" i="1811"/>
  <c r="G62" i="1813" s="1"/>
  <c r="G69" i="1814" s="1"/>
  <c r="F60" i="1811"/>
  <c r="F62" i="1813" s="1"/>
  <c r="F69" i="1814" s="1"/>
  <c r="E60" i="1811"/>
  <c r="E62" i="1813" s="1"/>
  <c r="E69" i="1814" s="1"/>
  <c r="W59" i="1811"/>
  <c r="W61" i="1813" s="1"/>
  <c r="V59" i="1811"/>
  <c r="V61" i="1813" s="1"/>
  <c r="U59" i="1811"/>
  <c r="U61" i="1813" s="1"/>
  <c r="T59" i="1811"/>
  <c r="T61" i="1813" s="1"/>
  <c r="S59" i="1811"/>
  <c r="S61" i="1813" s="1"/>
  <c r="R59" i="1811"/>
  <c r="R61" i="1813" s="1"/>
  <c r="Q59" i="1811"/>
  <c r="Q61" i="1813" s="1"/>
  <c r="P59" i="1811"/>
  <c r="P61" i="1813" s="1"/>
  <c r="O59" i="1811"/>
  <c r="O61" i="1813" s="1"/>
  <c r="N59" i="1811"/>
  <c r="N61" i="1813" s="1"/>
  <c r="M59" i="1811"/>
  <c r="M61" i="1813" s="1"/>
  <c r="L59" i="1811"/>
  <c r="L61" i="1813" s="1"/>
  <c r="K59" i="1811"/>
  <c r="K61" i="1813" s="1"/>
  <c r="J59" i="1811"/>
  <c r="J61" i="1813" s="1"/>
  <c r="I59" i="1811"/>
  <c r="I61" i="1813" s="1"/>
  <c r="H59" i="1811"/>
  <c r="H61" i="1813" s="1"/>
  <c r="G59" i="1811"/>
  <c r="G61" i="1813" s="1"/>
  <c r="F59" i="1811"/>
  <c r="F61" i="1813" s="1"/>
  <c r="E59" i="1811"/>
  <c r="E61" i="1813" s="1"/>
  <c r="V57" i="1811"/>
  <c r="V59" i="1813" s="1"/>
  <c r="R57" i="1811"/>
  <c r="R59" i="1813" s="1"/>
  <c r="N57" i="1811"/>
  <c r="N59" i="1813" s="1"/>
  <c r="J57" i="1811"/>
  <c r="J59" i="1813" s="1"/>
  <c r="H57" i="1811"/>
  <c r="H59" i="1813" s="1"/>
  <c r="J56" i="1811"/>
  <c r="J58" i="1813" s="1"/>
  <c r="I56" i="1811"/>
  <c r="I58" i="1813" s="1"/>
  <c r="F56" i="1811"/>
  <c r="X67" i="1811"/>
  <c r="X69" i="1813" s="1"/>
  <c r="X66" i="1811"/>
  <c r="X68" i="1813" s="1"/>
  <c r="X65" i="1811"/>
  <c r="X67" i="1813" s="1"/>
  <c r="X170" i="1814" s="1"/>
  <c r="X64" i="1811"/>
  <c r="X66" i="1813" s="1"/>
  <c r="X169" i="1814" s="1"/>
  <c r="X63" i="1811"/>
  <c r="X65" i="1813" s="1"/>
  <c r="X62" i="1811"/>
  <c r="X64" i="1813" s="1"/>
  <c r="X167" i="1814" s="1"/>
  <c r="X61" i="1811"/>
  <c r="X63" i="1813" s="1"/>
  <c r="X60" i="1811"/>
  <c r="X62" i="1813" s="1"/>
  <c r="X69" i="1814" s="1"/>
  <c r="X101" i="1814" s="1"/>
  <c r="X59" i="1811"/>
  <c r="X61" i="1813" s="1"/>
  <c r="AR67" i="1811"/>
  <c r="AR69" i="1813" s="1"/>
  <c r="AQ67" i="1811"/>
  <c r="AQ69" i="1813" s="1"/>
  <c r="AR66" i="1811"/>
  <c r="AR68" i="1813" s="1"/>
  <c r="AQ66" i="1811"/>
  <c r="AQ68" i="1813" s="1"/>
  <c r="AR65" i="1811"/>
  <c r="AR67" i="1813" s="1"/>
  <c r="AH170" i="1814" s="1"/>
  <c r="AQ65" i="1811"/>
  <c r="AQ67" i="1813" s="1"/>
  <c r="AG170" i="1814" s="1"/>
  <c r="AR64" i="1811"/>
  <c r="AR66" i="1813" s="1"/>
  <c r="AH169" i="1814" s="1"/>
  <c r="AQ64" i="1811"/>
  <c r="AQ66" i="1813" s="1"/>
  <c r="AG169" i="1814" s="1"/>
  <c r="AR63" i="1811"/>
  <c r="AR65" i="1813" s="1"/>
  <c r="AQ63" i="1811"/>
  <c r="AQ65" i="1813" s="1"/>
  <c r="AR62" i="1811"/>
  <c r="AR64" i="1813" s="1"/>
  <c r="AH167" i="1814" s="1"/>
  <c r="AQ62" i="1811"/>
  <c r="AQ64" i="1813" s="1"/>
  <c r="AG167" i="1814" s="1"/>
  <c r="AR61" i="1811"/>
  <c r="AR63" i="1813" s="1"/>
  <c r="AQ61" i="1811"/>
  <c r="AQ63" i="1813" s="1"/>
  <c r="AR60" i="1811"/>
  <c r="AR62" i="1813" s="1"/>
  <c r="AQ60" i="1811"/>
  <c r="AQ62" i="1813" s="1"/>
  <c r="AR59" i="1811"/>
  <c r="AR61" i="1813" s="1"/>
  <c r="AQ59" i="1811"/>
  <c r="AQ61" i="1813" s="1"/>
  <c r="AR58" i="1811"/>
  <c r="AR60" i="1813" s="1"/>
  <c r="AQ58" i="1811"/>
  <c r="AQ60" i="1813" s="1"/>
  <c r="AR57" i="1811"/>
  <c r="AR59" i="1813" s="1"/>
  <c r="AQ57" i="1811"/>
  <c r="AQ59" i="1813" s="1"/>
  <c r="AR56" i="1811"/>
  <c r="AR58" i="1813" s="1"/>
  <c r="AS67" i="1811"/>
  <c r="AS69" i="1813" s="1"/>
  <c r="AS66" i="1811"/>
  <c r="AS68" i="1813" s="1"/>
  <c r="AS65" i="1811"/>
  <c r="AS67" i="1813" s="1"/>
  <c r="AI170" i="1814" s="1"/>
  <c r="AS64" i="1811"/>
  <c r="AS66" i="1813" s="1"/>
  <c r="AI169" i="1814" s="1"/>
  <c r="AS63" i="1811"/>
  <c r="AS65" i="1813" s="1"/>
  <c r="AS62" i="1811"/>
  <c r="AS64" i="1813" s="1"/>
  <c r="AI167" i="1814" s="1"/>
  <c r="AS61" i="1811"/>
  <c r="AS63" i="1813" s="1"/>
  <c r="AS60" i="1811"/>
  <c r="AS62" i="1813" s="1"/>
  <c r="AS59" i="1811"/>
  <c r="AS61" i="1813" s="1"/>
  <c r="AT57" i="1811"/>
  <c r="AT59" i="1813" s="1"/>
  <c r="AS57" i="1811"/>
  <c r="AS59" i="1813" s="1"/>
  <c r="W40" i="1811"/>
  <c r="W42" i="1813" s="1"/>
  <c r="U40" i="1811"/>
  <c r="U42" i="1813" s="1"/>
  <c r="Y42" i="1813" s="1"/>
  <c r="T40" i="1811"/>
  <c r="T42" i="1813" s="1"/>
  <c r="S40" i="1811"/>
  <c r="S42" i="1813" s="1"/>
  <c r="Q40" i="1811"/>
  <c r="Q42" i="1813" s="1"/>
  <c r="P40" i="1811"/>
  <c r="P42" i="1813" s="1"/>
  <c r="O40" i="1811"/>
  <c r="O42" i="1813" s="1"/>
  <c r="M40" i="1811"/>
  <c r="M42" i="1813" s="1"/>
  <c r="L40" i="1811"/>
  <c r="L42" i="1813" s="1"/>
  <c r="K40" i="1811"/>
  <c r="K42" i="1813" s="1"/>
  <c r="I40" i="1811"/>
  <c r="I42" i="1813" s="1"/>
  <c r="W39" i="1811"/>
  <c r="W41" i="1813" s="1"/>
  <c r="U39" i="1811"/>
  <c r="U41" i="1813" s="1"/>
  <c r="T39" i="1811"/>
  <c r="T41" i="1813" s="1"/>
  <c r="S39" i="1811"/>
  <c r="S41" i="1813" s="1"/>
  <c r="Q39" i="1811"/>
  <c r="Q41" i="1813" s="1"/>
  <c r="P39" i="1811"/>
  <c r="O39" i="1811"/>
  <c r="O41" i="1813" s="1"/>
  <c r="M39" i="1811"/>
  <c r="M41" i="1813" s="1"/>
  <c r="L39" i="1811"/>
  <c r="L41" i="1813" s="1"/>
  <c r="K39" i="1811"/>
  <c r="K41" i="1813" s="1"/>
  <c r="I39" i="1811"/>
  <c r="I41" i="1813" s="1"/>
  <c r="X40" i="1811"/>
  <c r="X42" i="1813" s="1"/>
  <c r="X39" i="1811"/>
  <c r="X41" i="1813" s="1"/>
  <c r="W35" i="1811"/>
  <c r="W37" i="1813" s="1"/>
  <c r="U35" i="1811"/>
  <c r="U37" i="1813" s="1"/>
  <c r="T35" i="1811"/>
  <c r="T37" i="1813" s="1"/>
  <c r="S35" i="1811"/>
  <c r="S37" i="1813" s="1"/>
  <c r="Q35" i="1811"/>
  <c r="Q37" i="1813" s="1"/>
  <c r="P35" i="1811"/>
  <c r="P37" i="1813" s="1"/>
  <c r="O35" i="1811"/>
  <c r="O37" i="1813" s="1"/>
  <c r="M35" i="1811"/>
  <c r="M37" i="1813" s="1"/>
  <c r="L35" i="1811"/>
  <c r="L37" i="1813" s="1"/>
  <c r="K35" i="1811"/>
  <c r="K37" i="1813" s="1"/>
  <c r="I35" i="1811"/>
  <c r="I37" i="1813" s="1"/>
  <c r="W34" i="1811"/>
  <c r="W36" i="1813" s="1"/>
  <c r="U34" i="1811"/>
  <c r="U36" i="1813" s="1"/>
  <c r="T34" i="1811"/>
  <c r="T36" i="1813" s="1"/>
  <c r="S34" i="1811"/>
  <c r="S36" i="1813" s="1"/>
  <c r="Q34" i="1811"/>
  <c r="Q36" i="1813" s="1"/>
  <c r="P34" i="1811"/>
  <c r="P36" i="1813" s="1"/>
  <c r="O34" i="1811"/>
  <c r="O36" i="1813" s="1"/>
  <c r="M34" i="1811"/>
  <c r="M36" i="1813" s="1"/>
  <c r="L34" i="1811"/>
  <c r="L36" i="1813" s="1"/>
  <c r="K34" i="1811"/>
  <c r="K36" i="1813" s="1"/>
  <c r="I34" i="1811"/>
  <c r="I36" i="1813" s="1"/>
  <c r="X35" i="1811"/>
  <c r="X37" i="1813" s="1"/>
  <c r="X34" i="1811"/>
  <c r="X36" i="1813" s="1"/>
  <c r="W26" i="1811"/>
  <c r="W28" i="1813" s="1"/>
  <c r="U26" i="1811"/>
  <c r="U28" i="1813" s="1"/>
  <c r="T26" i="1811"/>
  <c r="T28" i="1813" s="1"/>
  <c r="S26" i="1811"/>
  <c r="S28" i="1813" s="1"/>
  <c r="R26" i="1811"/>
  <c r="R28" i="1813" s="1"/>
  <c r="Q26" i="1811"/>
  <c r="Q28" i="1813" s="1"/>
  <c r="P26" i="1811"/>
  <c r="P28" i="1813" s="1"/>
  <c r="O26" i="1811"/>
  <c r="O28" i="1813" s="1"/>
  <c r="N26" i="1811"/>
  <c r="N28" i="1813" s="1"/>
  <c r="M26" i="1811"/>
  <c r="M28" i="1813" s="1"/>
  <c r="L26" i="1811"/>
  <c r="L28" i="1813" s="1"/>
  <c r="K26" i="1811"/>
  <c r="K28" i="1813" s="1"/>
  <c r="J26" i="1811"/>
  <c r="J28" i="1813" s="1"/>
  <c r="I26" i="1811"/>
  <c r="I28" i="1813" s="1"/>
  <c r="W21" i="1811"/>
  <c r="W24" i="1813" s="1"/>
  <c r="U21" i="1811"/>
  <c r="U24" i="1813" s="1"/>
  <c r="T21" i="1811"/>
  <c r="T24" i="1813" s="1"/>
  <c r="S21" i="1811"/>
  <c r="S24" i="1813" s="1"/>
  <c r="R21" i="1811"/>
  <c r="R24" i="1813" s="1"/>
  <c r="Q21" i="1811"/>
  <c r="Q24" i="1813" s="1"/>
  <c r="P21" i="1811"/>
  <c r="P24" i="1813" s="1"/>
  <c r="O21" i="1811"/>
  <c r="O24" i="1813" s="1"/>
  <c r="N21" i="1811"/>
  <c r="N24" i="1813" s="1"/>
  <c r="M21" i="1811"/>
  <c r="M24" i="1813" s="1"/>
  <c r="L21" i="1811"/>
  <c r="L24" i="1813" s="1"/>
  <c r="K21" i="1811"/>
  <c r="K24" i="1813" s="1"/>
  <c r="I21" i="1811"/>
  <c r="I24" i="1813" s="1"/>
  <c r="H24" i="1813"/>
  <c r="G24" i="1813"/>
  <c r="F24" i="1813"/>
  <c r="E24" i="1813"/>
  <c r="W20" i="1811"/>
  <c r="W23" i="1813" s="1"/>
  <c r="U20" i="1811"/>
  <c r="U23" i="1813" s="1"/>
  <c r="T20" i="1811"/>
  <c r="T23" i="1813" s="1"/>
  <c r="S20" i="1811"/>
  <c r="S23" i="1813" s="1"/>
  <c r="R20" i="1811"/>
  <c r="R23" i="1813" s="1"/>
  <c r="Q20" i="1811"/>
  <c r="Q23" i="1813" s="1"/>
  <c r="P20" i="1811"/>
  <c r="P23" i="1813" s="1"/>
  <c r="O20" i="1811"/>
  <c r="O23" i="1813" s="1"/>
  <c r="N20" i="1811"/>
  <c r="N23" i="1813" s="1"/>
  <c r="M20" i="1811"/>
  <c r="M23" i="1813" s="1"/>
  <c r="L20" i="1811"/>
  <c r="L23" i="1813" s="1"/>
  <c r="K20" i="1811"/>
  <c r="K23" i="1813" s="1"/>
  <c r="J20" i="1811"/>
  <c r="J23" i="1813" s="1"/>
  <c r="I20" i="1811"/>
  <c r="I23" i="1813" s="1"/>
  <c r="H23" i="1813"/>
  <c r="G23" i="1813"/>
  <c r="F23" i="1813"/>
  <c r="E23" i="1813"/>
  <c r="W19" i="1811"/>
  <c r="W22" i="1813" s="1"/>
  <c r="U19" i="1811"/>
  <c r="U22" i="1813" s="1"/>
  <c r="T19" i="1811"/>
  <c r="T22" i="1813" s="1"/>
  <c r="S19" i="1811"/>
  <c r="S22" i="1813" s="1"/>
  <c r="R19" i="1811"/>
  <c r="R22" i="1813" s="1"/>
  <c r="Q19" i="1811"/>
  <c r="Q22" i="1813" s="1"/>
  <c r="P19" i="1811"/>
  <c r="P22" i="1813" s="1"/>
  <c r="O19" i="1811"/>
  <c r="O22" i="1813" s="1"/>
  <c r="N19" i="1811"/>
  <c r="N22" i="1813" s="1"/>
  <c r="M19" i="1811"/>
  <c r="M22" i="1813" s="1"/>
  <c r="L19" i="1811"/>
  <c r="L22" i="1813" s="1"/>
  <c r="K19" i="1811"/>
  <c r="K22" i="1813" s="1"/>
  <c r="J19" i="1811"/>
  <c r="J22" i="1813" s="1"/>
  <c r="I19" i="1811"/>
  <c r="I22" i="1813" s="1"/>
  <c r="H22" i="1813"/>
  <c r="G22" i="1813"/>
  <c r="F22" i="1813"/>
  <c r="E22" i="1813"/>
  <c r="W18" i="1811"/>
  <c r="W21" i="1813" s="1"/>
  <c r="W84" i="1814" s="1"/>
  <c r="U18" i="1811"/>
  <c r="U21" i="1813" s="1"/>
  <c r="U84" i="1814" s="1"/>
  <c r="U95" i="1814" s="1"/>
  <c r="T18" i="1811"/>
  <c r="T21" i="1813" s="1"/>
  <c r="T84" i="1814" s="1"/>
  <c r="T95" i="1814" s="1"/>
  <c r="S18" i="1811"/>
  <c r="S21" i="1813" s="1"/>
  <c r="S84" i="1814" s="1"/>
  <c r="R18" i="1811"/>
  <c r="R21" i="1813" s="1"/>
  <c r="R84" i="1814" s="1"/>
  <c r="R95" i="1814" s="1"/>
  <c r="Q18" i="1811"/>
  <c r="Q21" i="1813" s="1"/>
  <c r="Q84" i="1814" s="1"/>
  <c r="Q95" i="1814" s="1"/>
  <c r="P18" i="1811"/>
  <c r="P21" i="1813" s="1"/>
  <c r="P84" i="1814" s="1"/>
  <c r="P95" i="1814" s="1"/>
  <c r="O18" i="1811"/>
  <c r="O21" i="1813" s="1"/>
  <c r="O84" i="1814" s="1"/>
  <c r="N18" i="1811"/>
  <c r="N21" i="1813" s="1"/>
  <c r="N84" i="1814" s="1"/>
  <c r="N95" i="1814" s="1"/>
  <c r="M18" i="1811"/>
  <c r="M21" i="1813" s="1"/>
  <c r="M84" i="1814" s="1"/>
  <c r="M95" i="1814" s="1"/>
  <c r="L18" i="1811"/>
  <c r="L21" i="1813" s="1"/>
  <c r="L84" i="1814" s="1"/>
  <c r="L95" i="1814" s="1"/>
  <c r="K18" i="1811"/>
  <c r="K21" i="1813" s="1"/>
  <c r="K84" i="1814" s="1"/>
  <c r="K95" i="1814" s="1"/>
  <c r="J18" i="1811"/>
  <c r="J21" i="1813" s="1"/>
  <c r="J84" i="1814" s="1"/>
  <c r="J95" i="1814" s="1"/>
  <c r="I18" i="1811"/>
  <c r="I21" i="1813" s="1"/>
  <c r="I84" i="1814" s="1"/>
  <c r="I95" i="1814" s="1"/>
  <c r="H21" i="1813"/>
  <c r="H84" i="1814" s="1"/>
  <c r="H95" i="1814" s="1"/>
  <c r="G21" i="1813"/>
  <c r="G84" i="1814" s="1"/>
  <c r="G95" i="1814" s="1"/>
  <c r="F21" i="1813"/>
  <c r="F84" i="1814" s="1"/>
  <c r="E21" i="1813"/>
  <c r="E84" i="1814" s="1"/>
  <c r="W14" i="1811"/>
  <c r="W15" i="1813" s="1"/>
  <c r="W163" i="1814" s="1"/>
  <c r="U14" i="1811"/>
  <c r="U15" i="1813" s="1"/>
  <c r="U163" i="1814" s="1"/>
  <c r="T14" i="1811"/>
  <c r="T15" i="1813" s="1"/>
  <c r="T163" i="1814" s="1"/>
  <c r="S14" i="1811"/>
  <c r="S15" i="1813" s="1"/>
  <c r="S163" i="1814" s="1"/>
  <c r="R14" i="1811"/>
  <c r="R15" i="1813" s="1"/>
  <c r="R163" i="1814" s="1"/>
  <c r="Q14" i="1811"/>
  <c r="Q15" i="1813" s="1"/>
  <c r="Q163" i="1814" s="1"/>
  <c r="P14" i="1811"/>
  <c r="P15" i="1813" s="1"/>
  <c r="P163" i="1814" s="1"/>
  <c r="O14" i="1811"/>
  <c r="O15" i="1813" s="1"/>
  <c r="O163" i="1814" s="1"/>
  <c r="N14" i="1811"/>
  <c r="N15" i="1813" s="1"/>
  <c r="N163" i="1814" s="1"/>
  <c r="M14" i="1811"/>
  <c r="M15" i="1813" s="1"/>
  <c r="M163" i="1814" s="1"/>
  <c r="K14" i="1811"/>
  <c r="K15" i="1813" s="1"/>
  <c r="K163" i="1814" s="1"/>
  <c r="I14" i="1811"/>
  <c r="I15" i="1813" s="1"/>
  <c r="I163" i="1814" s="1"/>
  <c r="W13" i="1811"/>
  <c r="W14" i="1813" s="1"/>
  <c r="U13" i="1811"/>
  <c r="U14" i="1813" s="1"/>
  <c r="T13" i="1811"/>
  <c r="T14" i="1813" s="1"/>
  <c r="S13" i="1811"/>
  <c r="S14" i="1813" s="1"/>
  <c r="R13" i="1811"/>
  <c r="R14" i="1813" s="1"/>
  <c r="Q13" i="1811"/>
  <c r="Q14" i="1813" s="1"/>
  <c r="P13" i="1811"/>
  <c r="P14" i="1813" s="1"/>
  <c r="O13" i="1811"/>
  <c r="O14" i="1813" s="1"/>
  <c r="N13" i="1811"/>
  <c r="N14" i="1813" s="1"/>
  <c r="M13" i="1811"/>
  <c r="M14" i="1813" s="1"/>
  <c r="K13" i="1811"/>
  <c r="K14" i="1813" s="1"/>
  <c r="K162" i="1814" s="1"/>
  <c r="W12" i="1811"/>
  <c r="W13" i="1813" s="1"/>
  <c r="W161" i="1814" s="1"/>
  <c r="U12" i="1811"/>
  <c r="U13" i="1813" s="1"/>
  <c r="U161" i="1814" s="1"/>
  <c r="T12" i="1811"/>
  <c r="T13" i="1813" s="1"/>
  <c r="T161" i="1814" s="1"/>
  <c r="S12" i="1811"/>
  <c r="S13" i="1813" s="1"/>
  <c r="S161" i="1814" s="1"/>
  <c r="R12" i="1811"/>
  <c r="R13" i="1813" s="1"/>
  <c r="R161" i="1814" s="1"/>
  <c r="Q12" i="1811"/>
  <c r="Q13" i="1813" s="1"/>
  <c r="Q161" i="1814" s="1"/>
  <c r="P12" i="1811"/>
  <c r="P13" i="1813" s="1"/>
  <c r="P161" i="1814" s="1"/>
  <c r="O12" i="1811"/>
  <c r="O13" i="1813" s="1"/>
  <c r="O161" i="1814" s="1"/>
  <c r="N12" i="1811"/>
  <c r="N13" i="1813" s="1"/>
  <c r="N161" i="1814" s="1"/>
  <c r="M12" i="1811"/>
  <c r="M13" i="1813" s="1"/>
  <c r="M161" i="1814" s="1"/>
  <c r="K12" i="1811"/>
  <c r="K13" i="1813" s="1"/>
  <c r="K161" i="1814" s="1"/>
  <c r="I12" i="1811"/>
  <c r="I13" i="1813" s="1"/>
  <c r="I161" i="1814" s="1"/>
  <c r="W11" i="1811"/>
  <c r="W12" i="1813" s="1"/>
  <c r="W160" i="1814" s="1"/>
  <c r="W179" i="1814" s="1"/>
  <c r="AA179" i="1814" s="1"/>
  <c r="U11" i="1811"/>
  <c r="U12" i="1813" s="1"/>
  <c r="U160" i="1814" s="1"/>
  <c r="U179" i="1814" s="1"/>
  <c r="T11" i="1811"/>
  <c r="T12" i="1813" s="1"/>
  <c r="T160" i="1814" s="1"/>
  <c r="T179" i="1814" s="1"/>
  <c r="S11" i="1811"/>
  <c r="S12" i="1813" s="1"/>
  <c r="S160" i="1814" s="1"/>
  <c r="S179" i="1814" s="1"/>
  <c r="R11" i="1811"/>
  <c r="R12" i="1813" s="1"/>
  <c r="R160" i="1814" s="1"/>
  <c r="R179" i="1814" s="1"/>
  <c r="Q11" i="1811"/>
  <c r="Q12" i="1813" s="1"/>
  <c r="Q160" i="1814" s="1"/>
  <c r="P11" i="1811"/>
  <c r="P12" i="1813" s="1"/>
  <c r="P160" i="1814" s="1"/>
  <c r="O11" i="1811"/>
  <c r="O12" i="1813" s="1"/>
  <c r="O160" i="1814" s="1"/>
  <c r="N11" i="1811"/>
  <c r="N12" i="1813" s="1"/>
  <c r="N160" i="1814" s="1"/>
  <c r="M11" i="1811"/>
  <c r="M12" i="1813" s="1"/>
  <c r="M160" i="1814" s="1"/>
  <c r="K11" i="1811"/>
  <c r="K12" i="1813" s="1"/>
  <c r="K160" i="1814" s="1"/>
  <c r="I11" i="1811"/>
  <c r="I12" i="1813" s="1"/>
  <c r="I160" i="1814" s="1"/>
  <c r="W10" i="1811"/>
  <c r="W11" i="1813" s="1"/>
  <c r="U10" i="1811"/>
  <c r="U11" i="1813" s="1"/>
  <c r="T10" i="1811"/>
  <c r="T11" i="1813" s="1"/>
  <c r="S10" i="1811"/>
  <c r="S11" i="1813" s="1"/>
  <c r="R10" i="1811"/>
  <c r="R11" i="1813" s="1"/>
  <c r="Q10" i="1811"/>
  <c r="Q11" i="1813" s="1"/>
  <c r="P10" i="1811"/>
  <c r="P11" i="1813" s="1"/>
  <c r="O10" i="1811"/>
  <c r="O11" i="1813" s="1"/>
  <c r="N10" i="1811"/>
  <c r="N11" i="1813" s="1"/>
  <c r="M10" i="1811"/>
  <c r="M11" i="1813" s="1"/>
  <c r="K10" i="1811"/>
  <c r="I10" i="1811"/>
  <c r="W8" i="1811"/>
  <c r="W8" i="1813" s="1"/>
  <c r="U8" i="1811"/>
  <c r="T8" i="1811"/>
  <c r="T8" i="1813" s="1"/>
  <c r="S8" i="1811"/>
  <c r="S8" i="1813" s="1"/>
  <c r="R8" i="1811"/>
  <c r="Q8" i="1811"/>
  <c r="Q8" i="1813" s="1"/>
  <c r="P8" i="1811"/>
  <c r="P8" i="1813" s="1"/>
  <c r="O8" i="1811"/>
  <c r="O8" i="1813" s="1"/>
  <c r="N8" i="1811"/>
  <c r="N8" i="1813" s="1"/>
  <c r="M8" i="1811"/>
  <c r="M8" i="1813" s="1"/>
  <c r="L8" i="1811"/>
  <c r="L8" i="1813" s="1"/>
  <c r="K8" i="1811"/>
  <c r="K8" i="1813" s="1"/>
  <c r="J8" i="1811"/>
  <c r="I8" i="1811"/>
  <c r="I8" i="1813" s="1"/>
  <c r="H8" i="1811"/>
  <c r="G8" i="1811"/>
  <c r="F8" i="1811"/>
  <c r="E8" i="1811"/>
  <c r="X26" i="1811"/>
  <c r="X28" i="1813" s="1"/>
  <c r="X21" i="1811"/>
  <c r="X24" i="1813" s="1"/>
  <c r="X20" i="1811"/>
  <c r="X23" i="1813" s="1"/>
  <c r="X19" i="1811"/>
  <c r="X22" i="1813" s="1"/>
  <c r="X18" i="1811"/>
  <c r="X21" i="1813" s="1"/>
  <c r="X84" i="1814" s="1"/>
  <c r="X14" i="1811"/>
  <c r="X15" i="1813" s="1"/>
  <c r="X163" i="1814" s="1"/>
  <c r="X13" i="1811"/>
  <c r="X14" i="1813" s="1"/>
  <c r="X12" i="1811"/>
  <c r="X13" i="1813" s="1"/>
  <c r="X161" i="1814" s="1"/>
  <c r="X11" i="1811"/>
  <c r="X12" i="1813" s="1"/>
  <c r="X160" i="1814" s="1"/>
  <c r="X10" i="1811"/>
  <c r="X11" i="1813" s="1"/>
  <c r="X8" i="1811"/>
  <c r="X8" i="1813" s="1"/>
  <c r="AR26" i="1811"/>
  <c r="AR28" i="1813" s="1"/>
  <c r="AQ26" i="1811"/>
  <c r="AQ28" i="1813" s="1"/>
  <c r="AR21" i="1811"/>
  <c r="AR24" i="1813" s="1"/>
  <c r="AQ21" i="1811"/>
  <c r="AQ24" i="1813" s="1"/>
  <c r="AR20" i="1811"/>
  <c r="AR23" i="1813" s="1"/>
  <c r="AQ20" i="1811"/>
  <c r="AQ23" i="1813" s="1"/>
  <c r="AR19" i="1811"/>
  <c r="AR22" i="1813" s="1"/>
  <c r="AQ19" i="1811"/>
  <c r="AQ22" i="1813" s="1"/>
  <c r="AR18" i="1811"/>
  <c r="AR21" i="1813" s="1"/>
  <c r="AH84" i="1814" s="1"/>
  <c r="AH95" i="1814" s="1"/>
  <c r="AQ18" i="1811"/>
  <c r="AQ21" i="1813" s="1"/>
  <c r="AG84" i="1814" s="1"/>
  <c r="AG95" i="1814" s="1"/>
  <c r="AR14" i="1811"/>
  <c r="AR15" i="1813" s="1"/>
  <c r="AH163" i="1814" s="1"/>
  <c r="AQ14" i="1811"/>
  <c r="AQ15" i="1813" s="1"/>
  <c r="AG163" i="1814" s="1"/>
  <c r="AR13" i="1811"/>
  <c r="AR14" i="1813" s="1"/>
  <c r="AH162" i="1814" s="1"/>
  <c r="AQ13" i="1811"/>
  <c r="AQ14" i="1813" s="1"/>
  <c r="AG162" i="1814" s="1"/>
  <c r="AR12" i="1811"/>
  <c r="AR13" i="1813" s="1"/>
  <c r="AH161" i="1814" s="1"/>
  <c r="AQ12" i="1811"/>
  <c r="AQ13" i="1813" s="1"/>
  <c r="AG161" i="1814" s="1"/>
  <c r="AR11" i="1811"/>
  <c r="AR12" i="1813" s="1"/>
  <c r="AH160" i="1814" s="1"/>
  <c r="AQ11" i="1811"/>
  <c r="AQ12" i="1813" s="1"/>
  <c r="AG160" i="1814" s="1"/>
  <c r="AR10" i="1811"/>
  <c r="AR11" i="1813" s="1"/>
  <c r="AQ10" i="1811"/>
  <c r="AQ11" i="1813" s="1"/>
  <c r="AR8" i="1811"/>
  <c r="AR8" i="1813" s="1"/>
  <c r="AI142" i="1814" s="1"/>
  <c r="AQ8" i="1811"/>
  <c r="AQ8" i="1813" s="1"/>
  <c r="AS40" i="1811"/>
  <c r="AS42" i="1813" s="1"/>
  <c r="AI10" i="1814" s="1"/>
  <c r="AR40" i="1811"/>
  <c r="AR42" i="1813" s="1"/>
  <c r="AQ40" i="1811"/>
  <c r="AQ42" i="1813" s="1"/>
  <c r="AR39" i="1811"/>
  <c r="AR41" i="1813" s="1"/>
  <c r="AQ39" i="1811"/>
  <c r="AQ41" i="1813" s="1"/>
  <c r="AS39" i="1811"/>
  <c r="AS41" i="1813" s="1"/>
  <c r="AI9" i="1814" s="1"/>
  <c r="AS35" i="1811"/>
  <c r="AS37" i="1813" s="1"/>
  <c r="AR35" i="1811"/>
  <c r="AR37" i="1813" s="1"/>
  <c r="AQ35" i="1811"/>
  <c r="AQ37" i="1813" s="1"/>
  <c r="AR34" i="1811"/>
  <c r="AR36" i="1813" s="1"/>
  <c r="AQ34" i="1811"/>
  <c r="AQ36" i="1813" s="1"/>
  <c r="AS34" i="1811"/>
  <c r="AS36" i="1813" s="1"/>
  <c r="AS26" i="1811"/>
  <c r="AS28" i="1813" s="1"/>
  <c r="AS20" i="1811"/>
  <c r="AS23" i="1813" s="1"/>
  <c r="AS21" i="1811"/>
  <c r="AS24" i="1813" s="1"/>
  <c r="AT19" i="1811"/>
  <c r="AS19" i="1811"/>
  <c r="AS22" i="1813" s="1"/>
  <c r="AS18" i="1811"/>
  <c r="AS21" i="1813" s="1"/>
  <c r="AI84" i="1814" s="1"/>
  <c r="AI95" i="1814" s="1"/>
  <c r="AS14" i="1811"/>
  <c r="AS15" i="1813" s="1"/>
  <c r="AI163" i="1814" s="1"/>
  <c r="AS13" i="1811"/>
  <c r="AS14" i="1813" s="1"/>
  <c r="AS12" i="1811"/>
  <c r="AS13" i="1813" s="1"/>
  <c r="AI161" i="1814" s="1"/>
  <c r="AS11" i="1811"/>
  <c r="AS12" i="1813" s="1"/>
  <c r="AI160" i="1814" s="1"/>
  <c r="AS10" i="1811"/>
  <c r="AS11" i="1813" s="1"/>
  <c r="AS8" i="1811"/>
  <c r="AS8" i="1813" s="1"/>
  <c r="T49" i="1813" l="1"/>
  <c r="T48" i="1813" s="1"/>
  <c r="T27" i="1814" s="1"/>
  <c r="S49" i="1813"/>
  <c r="S48" i="1813" s="1"/>
  <c r="Q49" i="1813"/>
  <c r="Q48" i="1813" s="1"/>
  <c r="M49" i="1813"/>
  <c r="M48" i="1813" s="1"/>
  <c r="M130" i="1814" s="1"/>
  <c r="O49" i="1813"/>
  <c r="O48" i="1813" s="1"/>
  <c r="P49" i="1813"/>
  <c r="P48" i="1813" s="1"/>
  <c r="R46" i="1813"/>
  <c r="AS49" i="1813"/>
  <c r="AS48" i="1813" s="1"/>
  <c r="AT49" i="1813"/>
  <c r="AT48" i="1813" s="1"/>
  <c r="W49" i="1813"/>
  <c r="W47" i="1813" s="1"/>
  <c r="X49" i="1813"/>
  <c r="X47" i="1813" s="1"/>
  <c r="P162" i="1814"/>
  <c r="P164" i="1814" s="1"/>
  <c r="Q162" i="1814"/>
  <c r="Q164" i="1814" s="1"/>
  <c r="X162" i="1814"/>
  <c r="X164" i="1814" s="1"/>
  <c r="O162" i="1814"/>
  <c r="O164" i="1814" s="1"/>
  <c r="R162" i="1814"/>
  <c r="R164" i="1814" s="1"/>
  <c r="N162" i="1814"/>
  <c r="N164" i="1814" s="1"/>
  <c r="S162" i="1814"/>
  <c r="S164" i="1814" s="1"/>
  <c r="U162" i="1814"/>
  <c r="U164" i="1814" s="1"/>
  <c r="M162" i="1814"/>
  <c r="M164" i="1814" s="1"/>
  <c r="AI162" i="1814"/>
  <c r="AI164" i="1814" s="1"/>
  <c r="T162" i="1814"/>
  <c r="T164" i="1814" s="1"/>
  <c r="W162" i="1814"/>
  <c r="W164" i="1814" s="1"/>
  <c r="X106" i="1814"/>
  <c r="X82" i="1821"/>
  <c r="Q106" i="1814"/>
  <c r="Q82" i="1821"/>
  <c r="S106" i="1814"/>
  <c r="S82" i="1821"/>
  <c r="T106" i="1814"/>
  <c r="T82" i="1821"/>
  <c r="U106" i="1814"/>
  <c r="U82" i="1821"/>
  <c r="W106" i="1814"/>
  <c r="W82" i="1821"/>
  <c r="W82" i="1814"/>
  <c r="AG36" i="1814"/>
  <c r="J8" i="1813"/>
  <c r="N154" i="1814" s="1"/>
  <c r="J15" i="1811"/>
  <c r="X168" i="1814"/>
  <c r="X61" i="1814" s="1"/>
  <c r="X100" i="1814" s="1"/>
  <c r="AL101" i="1814"/>
  <c r="H8" i="1813"/>
  <c r="H16" i="1811"/>
  <c r="H24" i="1811" s="1"/>
  <c r="K11" i="1813"/>
  <c r="K36" i="1814" s="1"/>
  <c r="K35" i="1810" s="1"/>
  <c r="K15" i="1811"/>
  <c r="AI168" i="1814"/>
  <c r="AI61" i="1814" s="1"/>
  <c r="E8" i="1813"/>
  <c r="E16" i="1811"/>
  <c r="E24" i="1811" s="1"/>
  <c r="F8" i="1813"/>
  <c r="F16" i="1811"/>
  <c r="F24" i="1811" s="1"/>
  <c r="G8" i="1813"/>
  <c r="G16" i="1811"/>
  <c r="G24" i="1811" s="1"/>
  <c r="I11" i="1813"/>
  <c r="I36" i="1814" s="1"/>
  <c r="I35" i="1810" s="1"/>
  <c r="F58" i="1813"/>
  <c r="F27" i="1811"/>
  <c r="F61" i="1814"/>
  <c r="X105" i="1814"/>
  <c r="L105" i="1814"/>
  <c r="L107" i="1814" s="1"/>
  <c r="M105" i="1814"/>
  <c r="M107" i="1814" s="1"/>
  <c r="P105" i="1814"/>
  <c r="P107" i="1814" s="1"/>
  <c r="Q105" i="1814"/>
  <c r="O105" i="1814"/>
  <c r="O107" i="1814" s="1"/>
  <c r="S105" i="1814"/>
  <c r="T105" i="1814"/>
  <c r="U105" i="1814"/>
  <c r="W105" i="1814"/>
  <c r="X95" i="1814"/>
  <c r="V82" i="1814"/>
  <c r="K168" i="1814"/>
  <c r="K171" i="1814" s="1"/>
  <c r="K181" i="1814" s="1"/>
  <c r="K43" i="1814" s="1"/>
  <c r="S168" i="1814"/>
  <c r="S171" i="1814" s="1"/>
  <c r="S180" i="1814" s="1"/>
  <c r="T168" i="1814"/>
  <c r="T61" i="1814" s="1"/>
  <c r="T100" i="1814" s="1"/>
  <c r="M168" i="1814"/>
  <c r="M61" i="1814" s="1"/>
  <c r="M100" i="1814" s="1"/>
  <c r="O168" i="1814"/>
  <c r="O171" i="1814" s="1"/>
  <c r="O180" i="1814" s="1"/>
  <c r="O42" i="1814" s="1"/>
  <c r="AH176" i="1814"/>
  <c r="AI176" i="1814"/>
  <c r="AI82" i="1814"/>
  <c r="N168" i="1814"/>
  <c r="N61" i="1814" s="1"/>
  <c r="N100" i="1814" s="1"/>
  <c r="P168" i="1814"/>
  <c r="P61" i="1814" s="1"/>
  <c r="P100" i="1814" s="1"/>
  <c r="R168" i="1814"/>
  <c r="R171" i="1814" s="1"/>
  <c r="R180" i="1814" s="1"/>
  <c r="R42" i="1814" s="1"/>
  <c r="J82" i="1814"/>
  <c r="N82" i="1814"/>
  <c r="X36" i="1814"/>
  <c r="X35" i="1810" s="1"/>
  <c r="X82" i="1814"/>
  <c r="AH69" i="1814"/>
  <c r="AH101" i="1814" s="1"/>
  <c r="Q168" i="1814"/>
  <c r="Q171" i="1814" s="1"/>
  <c r="Q180" i="1814" s="1"/>
  <c r="Q42" i="1814" s="1"/>
  <c r="M142" i="1814"/>
  <c r="M154" i="1814"/>
  <c r="M150" i="1814" s="1"/>
  <c r="M136" i="1814" s="1"/>
  <c r="G61" i="1814"/>
  <c r="O142" i="1814"/>
  <c r="H61" i="1814"/>
  <c r="U168" i="1814"/>
  <c r="U171" i="1814" s="1"/>
  <c r="U180" i="1814" s="1"/>
  <c r="U42" i="1814" s="1"/>
  <c r="AH82" i="1814"/>
  <c r="W168" i="1814"/>
  <c r="W61" i="1814" s="1"/>
  <c r="W100" i="1814" s="1"/>
  <c r="M36" i="1814"/>
  <c r="M35" i="1810" s="1"/>
  <c r="Q142" i="1814"/>
  <c r="N36" i="1814"/>
  <c r="N35" i="1810" s="1"/>
  <c r="O36" i="1814"/>
  <c r="O35" i="1810" s="1"/>
  <c r="S142" i="1814"/>
  <c r="E82" i="1814"/>
  <c r="K101" i="1814"/>
  <c r="AI69" i="1814"/>
  <c r="AI101" i="1814" s="1"/>
  <c r="AG82" i="1814"/>
  <c r="S95" i="1814"/>
  <c r="S101" i="1814"/>
  <c r="AK69" i="1814"/>
  <c r="AK101" i="1814" s="1"/>
  <c r="AG168" i="1814"/>
  <c r="AG61" i="1814" s="1"/>
  <c r="AG100" i="1814" s="1"/>
  <c r="F82" i="1814"/>
  <c r="Q36" i="1814"/>
  <c r="Q35" i="1810" s="1"/>
  <c r="U142" i="1814"/>
  <c r="G82" i="1814"/>
  <c r="AH168" i="1814"/>
  <c r="AH171" i="1814" s="1"/>
  <c r="K82" i="1814"/>
  <c r="L82" i="1814"/>
  <c r="W95" i="1814"/>
  <c r="W154" i="1814"/>
  <c r="S36" i="1814"/>
  <c r="S35" i="1810" s="1"/>
  <c r="I82" i="1814"/>
  <c r="W36" i="1814"/>
  <c r="W35" i="1810" s="1"/>
  <c r="M82" i="1814"/>
  <c r="P142" i="1814"/>
  <c r="O101" i="1814"/>
  <c r="AJ69" i="1814"/>
  <c r="AJ101" i="1814" s="1"/>
  <c r="T142" i="1814"/>
  <c r="P36" i="1814"/>
  <c r="P35" i="1810" s="1"/>
  <c r="H82" i="1814"/>
  <c r="O82" i="1814"/>
  <c r="P82" i="1814"/>
  <c r="X154" i="1814"/>
  <c r="X153" i="1814" s="1"/>
  <c r="Y136" i="1814" s="1"/>
  <c r="T36" i="1814"/>
  <c r="T35" i="1810" s="1"/>
  <c r="Q82" i="1814"/>
  <c r="O95" i="1814"/>
  <c r="AJ84" i="1814"/>
  <c r="AJ95" i="1814" s="1"/>
  <c r="R82" i="1814"/>
  <c r="S82" i="1814"/>
  <c r="T82" i="1814"/>
  <c r="U82" i="1814"/>
  <c r="I168" i="1814"/>
  <c r="I61" i="1814" s="1"/>
  <c r="I100" i="1814" s="1"/>
  <c r="AB88" i="1814"/>
  <c r="AC88" i="1814" s="1"/>
  <c r="AD88" i="1814" s="1"/>
  <c r="O179" i="1814"/>
  <c r="P179" i="1814"/>
  <c r="Q179" i="1814"/>
  <c r="R41" i="1814"/>
  <c r="E61" i="1814"/>
  <c r="W41" i="1814"/>
  <c r="W205" i="1814"/>
  <c r="S41" i="1814"/>
  <c r="X179" i="1814"/>
  <c r="T41" i="1814"/>
  <c r="U41" i="1814"/>
  <c r="U205" i="1814"/>
  <c r="K164" i="1814"/>
  <c r="AG164" i="1814"/>
  <c r="AH164" i="1814"/>
  <c r="R205" i="1814"/>
  <c r="E171" i="1814"/>
  <c r="S205" i="1814"/>
  <c r="T205" i="1814"/>
  <c r="G171" i="1814"/>
  <c r="F171" i="1814"/>
  <c r="H171" i="1814"/>
  <c r="X9" i="1814"/>
  <c r="AB9" i="1814" s="1"/>
  <c r="X121" i="1814"/>
  <c r="X122" i="1814"/>
  <c r="X10" i="1814"/>
  <c r="I9" i="1814"/>
  <c r="I121" i="1814"/>
  <c r="K121" i="1814"/>
  <c r="K9" i="1814"/>
  <c r="L9" i="1814"/>
  <c r="L121" i="1814"/>
  <c r="Q10" i="1814"/>
  <c r="Q122" i="1814"/>
  <c r="O154" i="1814"/>
  <c r="O121" i="1814"/>
  <c r="O9" i="1814"/>
  <c r="P10" i="1814"/>
  <c r="P122" i="1814"/>
  <c r="T122" i="1814"/>
  <c r="T10" i="1814"/>
  <c r="P154" i="1814"/>
  <c r="P150" i="1814" s="1"/>
  <c r="P136" i="1814" s="1"/>
  <c r="S121" i="1814"/>
  <c r="S9" i="1814"/>
  <c r="U154" i="1814"/>
  <c r="U152" i="1814" s="1"/>
  <c r="U136" i="1814" s="1"/>
  <c r="U121" i="1814"/>
  <c r="U9" i="1814"/>
  <c r="W122" i="1814"/>
  <c r="W10" i="1814"/>
  <c r="M121" i="1814"/>
  <c r="M133" i="1814" s="1"/>
  <c r="M135" i="1814" s="1"/>
  <c r="M9" i="1814"/>
  <c r="Q121" i="1814"/>
  <c r="Q9" i="1814"/>
  <c r="T121" i="1814"/>
  <c r="T9" i="1814"/>
  <c r="K10" i="1814"/>
  <c r="K122" i="1814"/>
  <c r="O10" i="1814"/>
  <c r="O122" i="1814"/>
  <c r="AI12" i="1814"/>
  <c r="S154" i="1814"/>
  <c r="T154" i="1814"/>
  <c r="T152" i="1814" s="1"/>
  <c r="L10" i="1814"/>
  <c r="L122" i="1814"/>
  <c r="S122" i="1814"/>
  <c r="S10" i="1814"/>
  <c r="AG121" i="1814"/>
  <c r="AG9" i="1814"/>
  <c r="Q154" i="1814"/>
  <c r="Q150" i="1814" s="1"/>
  <c r="Q136" i="1814" s="1"/>
  <c r="M10" i="1814"/>
  <c r="M122" i="1814"/>
  <c r="M141" i="1814" s="1"/>
  <c r="AH121" i="1814"/>
  <c r="AH9" i="1814"/>
  <c r="AH10" i="1814"/>
  <c r="AH122" i="1814"/>
  <c r="W121" i="1814"/>
  <c r="W9" i="1814"/>
  <c r="I10" i="1814"/>
  <c r="I122" i="1814"/>
  <c r="U10" i="1814"/>
  <c r="U122" i="1814"/>
  <c r="AG122" i="1814"/>
  <c r="AG141" i="1814" s="1"/>
  <c r="AG10" i="1814"/>
  <c r="P41" i="1811"/>
  <c r="P43" i="1813" s="1"/>
  <c r="P41" i="1813"/>
  <c r="AT22" i="1811"/>
  <c r="AT22" i="1813"/>
  <c r="U44" i="1811"/>
  <c r="U47" i="1811" s="1"/>
  <c r="U8" i="1813"/>
  <c r="R44" i="1811"/>
  <c r="R8" i="1813"/>
  <c r="R49" i="1813" s="1"/>
  <c r="AT44" i="1811"/>
  <c r="AT47" i="1811" s="1"/>
  <c r="AS44" i="1811"/>
  <c r="AS47" i="1811" s="1"/>
  <c r="R46" i="1811"/>
  <c r="R45" i="1811"/>
  <c r="P44" i="1811"/>
  <c r="P47" i="1811" s="1"/>
  <c r="Q44" i="1811"/>
  <c r="Q47" i="1811" s="1"/>
  <c r="W44" i="1811"/>
  <c r="W46" i="1811" s="1"/>
  <c r="O44" i="1811"/>
  <c r="O47" i="1811" s="1"/>
  <c r="V46" i="1811"/>
  <c r="V45" i="1811"/>
  <c r="T44" i="1811"/>
  <c r="T47" i="1811" s="1"/>
  <c r="X44" i="1811"/>
  <c r="X46" i="1811" s="1"/>
  <c r="S44" i="1811"/>
  <c r="S47" i="1811" s="1"/>
  <c r="AQ130" i="1811"/>
  <c r="AQ150" i="1813" s="1"/>
  <c r="X98" i="1811"/>
  <c r="M116" i="1811"/>
  <c r="U116" i="1811"/>
  <c r="T130" i="1811"/>
  <c r="T150" i="1813" s="1"/>
  <c r="Q36" i="1811"/>
  <c r="Q38" i="1813" s="1"/>
  <c r="S98" i="1811"/>
  <c r="S116" i="1811"/>
  <c r="O130" i="1811"/>
  <c r="O150" i="1813" s="1"/>
  <c r="W130" i="1811"/>
  <c r="W150" i="1813" s="1"/>
  <c r="AT98" i="1811"/>
  <c r="AR130" i="1811"/>
  <c r="AR150" i="1813" s="1"/>
  <c r="X130" i="1811"/>
  <c r="X150" i="1813" s="1"/>
  <c r="L98" i="1811"/>
  <c r="T98" i="1811"/>
  <c r="P98" i="1811"/>
  <c r="P130" i="1811"/>
  <c r="P150" i="1813" s="1"/>
  <c r="L130" i="1811"/>
  <c r="L150" i="1813" s="1"/>
  <c r="Q41" i="1811"/>
  <c r="Q43" i="1813" s="1"/>
  <c r="AT130" i="1811"/>
  <c r="AT150" i="1813" s="1"/>
  <c r="AS130" i="1811"/>
  <c r="AS150" i="1813" s="1"/>
  <c r="M98" i="1811"/>
  <c r="U98" i="1811"/>
  <c r="Q98" i="1811"/>
  <c r="Q130" i="1811"/>
  <c r="Q150" i="1813" s="1"/>
  <c r="M130" i="1811"/>
  <c r="M150" i="1813" s="1"/>
  <c r="U130" i="1811"/>
  <c r="U150" i="1813" s="1"/>
  <c r="AT116" i="1811"/>
  <c r="AQ116" i="1811"/>
  <c r="P36" i="1811"/>
  <c r="P38" i="1813" s="1"/>
  <c r="X116" i="1811"/>
  <c r="O98" i="1811"/>
  <c r="W98" i="1811"/>
  <c r="O116" i="1811"/>
  <c r="S130" i="1811"/>
  <c r="S150" i="1813" s="1"/>
  <c r="P116" i="1811"/>
  <c r="L116" i="1811"/>
  <c r="T116" i="1811"/>
  <c r="W116" i="1811"/>
  <c r="Q116" i="1811"/>
  <c r="AQ98" i="1811"/>
  <c r="AR116" i="1811"/>
  <c r="AS116" i="1811"/>
  <c r="X41" i="1811"/>
  <c r="X43" i="1813" s="1"/>
  <c r="AR68" i="1811"/>
  <c r="AR98" i="1811"/>
  <c r="I36" i="1811"/>
  <c r="I38" i="1813" s="1"/>
  <c r="I22" i="1811"/>
  <c r="I25" i="1813" s="1"/>
  <c r="Q22" i="1811"/>
  <c r="Q25" i="1813" s="1"/>
  <c r="AS98" i="1811"/>
  <c r="I41" i="1811"/>
  <c r="I43" i="1813" s="1"/>
  <c r="T41" i="1811"/>
  <c r="T43" i="1813" s="1"/>
  <c r="K36" i="1811"/>
  <c r="K38" i="1813" s="1"/>
  <c r="U41" i="1811"/>
  <c r="U43" i="1813" s="1"/>
  <c r="K22" i="1811"/>
  <c r="K25" i="1813" s="1"/>
  <c r="S22" i="1811"/>
  <c r="S25" i="1813" s="1"/>
  <c r="R22" i="1811"/>
  <c r="R25" i="1813" s="1"/>
  <c r="L36" i="1811"/>
  <c r="L38" i="1813" s="1"/>
  <c r="T36" i="1811"/>
  <c r="T38" i="1813" s="1"/>
  <c r="S41" i="1811"/>
  <c r="S43" i="1813" s="1"/>
  <c r="L22" i="1811"/>
  <c r="L25" i="1813" s="1"/>
  <c r="T22" i="1811"/>
  <c r="T25" i="1813" s="1"/>
  <c r="M36" i="1811"/>
  <c r="M38" i="1813" s="1"/>
  <c r="U36" i="1811"/>
  <c r="U38" i="1813" s="1"/>
  <c r="O41" i="1811"/>
  <c r="O43" i="1813" s="1"/>
  <c r="W41" i="1811"/>
  <c r="W43" i="1813" s="1"/>
  <c r="S36" i="1811"/>
  <c r="S38" i="1813" s="1"/>
  <c r="L41" i="1811"/>
  <c r="L43" i="1813" s="1"/>
  <c r="M41" i="1811"/>
  <c r="M43" i="1813" s="1"/>
  <c r="AQ15" i="1811"/>
  <c r="AQ22" i="1811"/>
  <c r="AQ25" i="1813" s="1"/>
  <c r="X22" i="1811"/>
  <c r="X25" i="1813" s="1"/>
  <c r="M15" i="1811"/>
  <c r="U15" i="1811"/>
  <c r="O15" i="1811"/>
  <c r="W15" i="1811"/>
  <c r="X36" i="1811"/>
  <c r="X38" i="1813" s="1"/>
  <c r="Y37" i="1813" s="1"/>
  <c r="Y36" i="1813" s="1"/>
  <c r="O36" i="1811"/>
  <c r="O38" i="1813" s="1"/>
  <c r="W36" i="1811"/>
  <c r="W38" i="1813" s="1"/>
  <c r="K41" i="1811"/>
  <c r="K43" i="1813" s="1"/>
  <c r="AR15" i="1811"/>
  <c r="AR22" i="1811"/>
  <c r="AR25" i="1813" s="1"/>
  <c r="N15" i="1811"/>
  <c r="E25" i="1813"/>
  <c r="M22" i="1811"/>
  <c r="M25" i="1813" s="1"/>
  <c r="U22" i="1811"/>
  <c r="U25" i="1813" s="1"/>
  <c r="X15" i="1811"/>
  <c r="P15" i="1811"/>
  <c r="F25" i="1813"/>
  <c r="N22" i="1811"/>
  <c r="N25" i="1813" s="1"/>
  <c r="Q15" i="1811"/>
  <c r="G25" i="1813"/>
  <c r="O22" i="1811"/>
  <c r="O25" i="1813" s="1"/>
  <c r="W22" i="1811"/>
  <c r="W25" i="1813" s="1"/>
  <c r="R15" i="1811"/>
  <c r="H25" i="1813"/>
  <c r="P22" i="1811"/>
  <c r="P25" i="1813" s="1"/>
  <c r="S15" i="1811"/>
  <c r="T15" i="1811"/>
  <c r="AS22" i="1811"/>
  <c r="AS25" i="1813" s="1"/>
  <c r="AS41" i="1811"/>
  <c r="AS43" i="1813" s="1"/>
  <c r="AQ41" i="1811"/>
  <c r="AQ43" i="1813" s="1"/>
  <c r="AR41" i="1811"/>
  <c r="AR43" i="1813" s="1"/>
  <c r="AQ36" i="1811"/>
  <c r="AQ38" i="1813" s="1"/>
  <c r="AR36" i="1811"/>
  <c r="AR38" i="1813" s="1"/>
  <c r="AS15" i="1811"/>
  <c r="R47" i="1813" l="1"/>
  <c r="R142" i="1814" s="1"/>
  <c r="AJ142" i="1814" s="1"/>
  <c r="U107" i="1814"/>
  <c r="Y46" i="1813"/>
  <c r="Y47" i="1813" s="1"/>
  <c r="Y238" i="1814" s="1"/>
  <c r="U49" i="1813"/>
  <c r="U48" i="1813" s="1"/>
  <c r="V46" i="1813"/>
  <c r="N49" i="1813"/>
  <c r="N47" i="1813" s="1"/>
  <c r="N142" i="1814" s="1"/>
  <c r="X107" i="1814"/>
  <c r="X158" i="1810" s="1"/>
  <c r="T107" i="1814"/>
  <c r="S107" i="1814"/>
  <c r="Q107" i="1814"/>
  <c r="W107" i="1814"/>
  <c r="W158" i="1810" s="1"/>
  <c r="O155" i="1814"/>
  <c r="E38" i="1813"/>
  <c r="E12" i="1814" s="1"/>
  <c r="E124" i="1814" s="1"/>
  <c r="I154" i="1814"/>
  <c r="I150" i="1814" s="1"/>
  <c r="H43" i="1813"/>
  <c r="L154" i="1814"/>
  <c r="L150" i="1814" s="1"/>
  <c r="G43" i="1813"/>
  <c r="K154" i="1814"/>
  <c r="K150" i="1814" s="1"/>
  <c r="F43" i="1813"/>
  <c r="J154" i="1814"/>
  <c r="J150" i="1814" s="1"/>
  <c r="N150" i="1814"/>
  <c r="N136" i="1814" s="1"/>
  <c r="AI136" i="1814" s="1"/>
  <c r="N155" i="1814"/>
  <c r="T136" i="1814"/>
  <c r="T40" i="1810"/>
  <c r="T45" i="1810"/>
  <c r="O45" i="1810"/>
  <c r="O40" i="1810"/>
  <c r="X45" i="1810"/>
  <c r="X40" i="1810"/>
  <c r="N45" i="1810"/>
  <c r="W45" i="1810"/>
  <c r="W40" i="1810"/>
  <c r="M40" i="1810"/>
  <c r="M45" i="1810"/>
  <c r="I45" i="1810"/>
  <c r="P45" i="1810"/>
  <c r="S40" i="1810"/>
  <c r="S45" i="1810"/>
  <c r="Q45" i="1810"/>
  <c r="Q40" i="1810"/>
  <c r="K45" i="1810"/>
  <c r="F38" i="1813"/>
  <c r="F12" i="1814" s="1"/>
  <c r="Y105" i="1814"/>
  <c r="Y107" i="1814" s="1"/>
  <c r="Y158" i="1810" s="1"/>
  <c r="Y159" i="1810" s="1"/>
  <c r="Y99" i="1821" s="1"/>
  <c r="H38" i="1813"/>
  <c r="H12" i="1814" s="1"/>
  <c r="X171" i="1814"/>
  <c r="X180" i="1814" s="1"/>
  <c r="AB180" i="1814" s="1"/>
  <c r="Y10" i="1814"/>
  <c r="Y41" i="1813"/>
  <c r="Y9" i="1814" s="1"/>
  <c r="F26" i="1811"/>
  <c r="F28" i="1813" s="1"/>
  <c r="AB179" i="1814"/>
  <c r="Y179" i="1814"/>
  <c r="G38" i="1813"/>
  <c r="G12" i="1814" s="1"/>
  <c r="AG171" i="1814"/>
  <c r="AG181" i="1814" s="1"/>
  <c r="AG43" i="1814" s="1"/>
  <c r="X37" i="1814"/>
  <c r="AM88" i="1814"/>
  <c r="R47" i="1811"/>
  <c r="AI171" i="1814"/>
  <c r="AI181" i="1814" s="1"/>
  <c r="AI201" i="1814" s="1"/>
  <c r="E43" i="1813"/>
  <c r="W37" i="1814"/>
  <c r="AH181" i="1814"/>
  <c r="AH43" i="1814" s="1"/>
  <c r="T171" i="1814"/>
  <c r="T180" i="1814" s="1"/>
  <c r="U195" i="1814" s="1"/>
  <c r="K61" i="1814"/>
  <c r="K100" i="1814" s="1"/>
  <c r="M171" i="1814"/>
  <c r="M181" i="1814" s="1"/>
  <c r="M43" i="1814" s="1"/>
  <c r="N171" i="1814"/>
  <c r="N181" i="1814" s="1"/>
  <c r="N43" i="1814" s="1"/>
  <c r="S61" i="1814"/>
  <c r="S100" i="1814" s="1"/>
  <c r="Z82" i="1814"/>
  <c r="O61" i="1814"/>
  <c r="O100" i="1814" s="1"/>
  <c r="M37" i="1814"/>
  <c r="Y95" i="1814"/>
  <c r="Z84" i="1814"/>
  <c r="AL100" i="1814"/>
  <c r="I171" i="1814"/>
  <c r="I181" i="1814" s="1"/>
  <c r="I43" i="1814" s="1"/>
  <c r="AH61" i="1814"/>
  <c r="AH100" i="1814" s="1"/>
  <c r="P171" i="1814"/>
  <c r="P180" i="1814" s="1"/>
  <c r="P42" i="1814" s="1"/>
  <c r="AJ42" i="1814" s="1"/>
  <c r="R61" i="1814"/>
  <c r="R100" i="1814" s="1"/>
  <c r="T37" i="1814"/>
  <c r="U61" i="1814"/>
  <c r="U100" i="1814" s="1"/>
  <c r="M143" i="1814"/>
  <c r="M145" i="1814" s="1"/>
  <c r="Q61" i="1814"/>
  <c r="Q100" i="1814" s="1"/>
  <c r="M137" i="1814"/>
  <c r="R154" i="1814"/>
  <c r="R150" i="1814" s="1"/>
  <c r="R136" i="1814" s="1"/>
  <c r="R33" i="1814"/>
  <c r="X136" i="1814"/>
  <c r="S37" i="1814"/>
  <c r="U36" i="1814"/>
  <c r="U35" i="1810" s="1"/>
  <c r="O37" i="1814"/>
  <c r="W171" i="1814"/>
  <c r="W180" i="1814" s="1"/>
  <c r="AA180" i="1814" s="1"/>
  <c r="Q37" i="1814"/>
  <c r="AJ82" i="1814"/>
  <c r="AK82" i="1814"/>
  <c r="R36" i="1814"/>
  <c r="R35" i="1810" s="1"/>
  <c r="S42" i="1814"/>
  <c r="S43" i="1814" s="1"/>
  <c r="S181" i="1814"/>
  <c r="AI100" i="1814"/>
  <c r="U47" i="1814"/>
  <c r="U43" i="1814"/>
  <c r="U51" i="1814"/>
  <c r="R52" i="1814"/>
  <c r="W46" i="1814"/>
  <c r="U181" i="1814"/>
  <c r="R43" i="1814"/>
  <c r="P41" i="1814"/>
  <c r="S51" i="1814"/>
  <c r="AJ100" i="1814"/>
  <c r="R181" i="1814"/>
  <c r="Q181" i="1814"/>
  <c r="Q41" i="1814"/>
  <c r="U46" i="1814" s="1"/>
  <c r="Q205" i="1814"/>
  <c r="O181" i="1814"/>
  <c r="O41" i="1814"/>
  <c r="AI236" i="1814"/>
  <c r="AI237" i="1814" s="1"/>
  <c r="T51" i="1814"/>
  <c r="P205" i="1814"/>
  <c r="O205" i="1814"/>
  <c r="AH12" i="1814"/>
  <c r="AI13" i="1814" s="1"/>
  <c r="Q189" i="1814"/>
  <c r="Q194" i="1814"/>
  <c r="U184" i="1814"/>
  <c r="S195" i="1814"/>
  <c r="S190" i="1814"/>
  <c r="S185" i="1814"/>
  <c r="O195" i="1814"/>
  <c r="W184" i="1814"/>
  <c r="S194" i="1814"/>
  <c r="S189" i="1814"/>
  <c r="S184" i="1814"/>
  <c r="AG12" i="1814"/>
  <c r="AG236" i="1814" s="1"/>
  <c r="AG237" i="1814" s="1"/>
  <c r="Z153" i="1814"/>
  <c r="Z136" i="1814" s="1"/>
  <c r="P189" i="1814"/>
  <c r="P194" i="1814"/>
  <c r="T184" i="1814"/>
  <c r="T194" i="1814"/>
  <c r="T189" i="1814"/>
  <c r="U189" i="1814"/>
  <c r="U194" i="1814"/>
  <c r="I124" i="1814"/>
  <c r="R195" i="1814"/>
  <c r="R190" i="1814"/>
  <c r="U185" i="1814"/>
  <c r="R194" i="1814"/>
  <c r="R189" i="1814"/>
  <c r="I12" i="1814"/>
  <c r="Y154" i="1814"/>
  <c r="O194" i="1814"/>
  <c r="O19" i="1814"/>
  <c r="O12" i="1814"/>
  <c r="X142" i="1814"/>
  <c r="X14" i="1814"/>
  <c r="S152" i="1814"/>
  <c r="Q20" i="1814"/>
  <c r="O20" i="1814"/>
  <c r="T12" i="1814"/>
  <c r="W12" i="1814"/>
  <c r="W19" i="1814"/>
  <c r="AA9" i="1814"/>
  <c r="AA27" i="1814"/>
  <c r="AA20" i="1810" s="1"/>
  <c r="P141" i="1814"/>
  <c r="P128" i="1814"/>
  <c r="U141" i="1814"/>
  <c r="U128" i="1814"/>
  <c r="X20" i="1814"/>
  <c r="X133" i="1814"/>
  <c r="X135" i="1814" s="1"/>
  <c r="X124" i="1814"/>
  <c r="X127" i="1814"/>
  <c r="S12" i="1814"/>
  <c r="S19" i="1814"/>
  <c r="P20" i="1814"/>
  <c r="P121" i="1814"/>
  <c r="T127" i="1814" s="1"/>
  <c r="P9" i="1814"/>
  <c r="T19" i="1814" s="1"/>
  <c r="O141" i="1814"/>
  <c r="O128" i="1814"/>
  <c r="U20" i="1814"/>
  <c r="X19" i="1814"/>
  <c r="X12" i="1814"/>
  <c r="AB27" i="1814"/>
  <c r="AB20" i="1810" s="1"/>
  <c r="AG124" i="1814"/>
  <c r="AG133" i="1814"/>
  <c r="AG135" i="1814" s="1"/>
  <c r="S20" i="1814"/>
  <c r="T20" i="1814"/>
  <c r="O15" i="1814"/>
  <c r="Q15" i="1814"/>
  <c r="O133" i="1814"/>
  <c r="O135" i="1814" s="1"/>
  <c r="O127" i="1814"/>
  <c r="O124" i="1814"/>
  <c r="AI27" i="1814"/>
  <c r="AI130" i="1814" s="1"/>
  <c r="AI14" i="1814"/>
  <c r="AI15" i="1814"/>
  <c r="Q141" i="1814"/>
  <c r="Q128" i="1814"/>
  <c r="L12" i="1814"/>
  <c r="T133" i="1814"/>
  <c r="T135" i="1814" s="1"/>
  <c r="T124" i="1814"/>
  <c r="X141" i="1814"/>
  <c r="AB142" i="1814" s="1"/>
  <c r="X128" i="1814"/>
  <c r="AH141" i="1814"/>
  <c r="AH128" i="1814"/>
  <c r="W20" i="1814"/>
  <c r="T130" i="1814"/>
  <c r="T15" i="1814"/>
  <c r="AH133" i="1814"/>
  <c r="AH135" i="1814" s="1"/>
  <c r="AH124" i="1814"/>
  <c r="AH127" i="1814"/>
  <c r="U19" i="1814"/>
  <c r="U12" i="1814"/>
  <c r="S141" i="1814"/>
  <c r="S128" i="1814"/>
  <c r="T141" i="1814"/>
  <c r="T143" i="1814" s="1"/>
  <c r="T145" i="1814" s="1"/>
  <c r="T128" i="1814"/>
  <c r="AJ27" i="1814"/>
  <c r="AJ130" i="1814" s="1"/>
  <c r="AJ15" i="1814"/>
  <c r="P15" i="1814"/>
  <c r="M127" i="1814"/>
  <c r="M124" i="1814"/>
  <c r="M128" i="1814"/>
  <c r="U133" i="1814"/>
  <c r="U135" i="1814" s="1"/>
  <c r="U137" i="1814" s="1"/>
  <c r="U127" i="1814"/>
  <c r="U124" i="1814"/>
  <c r="S133" i="1814"/>
  <c r="S135" i="1814" s="1"/>
  <c r="S124" i="1814"/>
  <c r="S127" i="1814"/>
  <c r="S15" i="1814"/>
  <c r="K124" i="1814"/>
  <c r="Q133" i="1814"/>
  <c r="Q124" i="1814"/>
  <c r="Q127" i="1814"/>
  <c r="O150" i="1814"/>
  <c r="L124" i="1814"/>
  <c r="K12" i="1814"/>
  <c r="W133" i="1814"/>
  <c r="W135" i="1814" s="1"/>
  <c r="W127" i="1814"/>
  <c r="W124" i="1814"/>
  <c r="Q19" i="1814"/>
  <c r="Q12" i="1814"/>
  <c r="M19" i="1814"/>
  <c r="M12" i="1814"/>
  <c r="W141" i="1814"/>
  <c r="AA142" i="1814" s="1"/>
  <c r="W128" i="1814"/>
  <c r="W142" i="1814"/>
  <c r="M20" i="1814"/>
  <c r="X16" i="1811"/>
  <c r="X18" i="1813" s="1"/>
  <c r="X16" i="1813"/>
  <c r="Q16" i="1811"/>
  <c r="Q18" i="1813" s="1"/>
  <c r="Q16" i="1813"/>
  <c r="AR16" i="1811"/>
  <c r="AR18" i="1813" s="1"/>
  <c r="AR16" i="1813"/>
  <c r="M16" i="1811"/>
  <c r="M18" i="1813" s="1"/>
  <c r="M16" i="1813"/>
  <c r="U105" i="1811"/>
  <c r="U125" i="1813" s="1"/>
  <c r="U118" i="1813"/>
  <c r="M105" i="1811"/>
  <c r="M125" i="1813" s="1"/>
  <c r="M118" i="1813"/>
  <c r="O16" i="1811"/>
  <c r="O18" i="1813" s="1"/>
  <c r="O16" i="1813"/>
  <c r="P121" i="1811"/>
  <c r="P141" i="1813" s="1"/>
  <c r="P136" i="1813"/>
  <c r="Q105" i="1811"/>
  <c r="Q125" i="1813" s="1"/>
  <c r="Q118" i="1813"/>
  <c r="AS105" i="1811"/>
  <c r="AS125" i="1813" s="1"/>
  <c r="AS118" i="1813"/>
  <c r="U16" i="1811"/>
  <c r="U18" i="1813" s="1"/>
  <c r="U16" i="1813"/>
  <c r="AS121" i="1811"/>
  <c r="AS141" i="1813" s="1"/>
  <c r="AS136" i="1813"/>
  <c r="AQ16" i="1811"/>
  <c r="AQ18" i="1813" s="1"/>
  <c r="AQ16" i="1813"/>
  <c r="S105" i="1811"/>
  <c r="S125" i="1813" s="1"/>
  <c r="S118" i="1813"/>
  <c r="K16" i="1811"/>
  <c r="K18" i="1813" s="1"/>
  <c r="K16" i="1813"/>
  <c r="W16" i="1811"/>
  <c r="W18" i="1813" s="1"/>
  <c r="W16" i="1813"/>
  <c r="T121" i="1811"/>
  <c r="T136" i="1813"/>
  <c r="R130" i="1814"/>
  <c r="AQ105" i="1811"/>
  <c r="AQ125" i="1813" s="1"/>
  <c r="AQ118" i="1813"/>
  <c r="AT24" i="1811"/>
  <c r="AT25" i="1813"/>
  <c r="Q121" i="1811"/>
  <c r="Q141" i="1813" s="1"/>
  <c r="Q95" i="1821" s="1"/>
  <c r="Q136" i="1813"/>
  <c r="S121" i="1811"/>
  <c r="S141" i="1813" s="1"/>
  <c r="S136" i="1813"/>
  <c r="W121" i="1811"/>
  <c r="W141" i="1813" s="1"/>
  <c r="W136" i="1813"/>
  <c r="S16" i="1811"/>
  <c r="S18" i="1813" s="1"/>
  <c r="S16" i="1813"/>
  <c r="M121" i="1811"/>
  <c r="M141" i="1813" s="1"/>
  <c r="M136" i="1813"/>
  <c r="W105" i="1811"/>
  <c r="W125" i="1813" s="1"/>
  <c r="W118" i="1813"/>
  <c r="AT121" i="1811"/>
  <c r="AT136" i="1813"/>
  <c r="P16" i="1811"/>
  <c r="P18" i="1813" s="1"/>
  <c r="P16" i="1813"/>
  <c r="AR121" i="1811"/>
  <c r="AR141" i="1813" s="1"/>
  <c r="AR136" i="1813"/>
  <c r="U121" i="1811"/>
  <c r="U141" i="1813" s="1"/>
  <c r="U136" i="1813"/>
  <c r="O121" i="1811"/>
  <c r="O141" i="1813" s="1"/>
  <c r="O136" i="1813"/>
  <c r="O105" i="1811"/>
  <c r="O125" i="1813" s="1"/>
  <c r="O118" i="1813"/>
  <c r="AQ121" i="1811"/>
  <c r="AQ141" i="1813" s="1"/>
  <c r="AQ136" i="1813"/>
  <c r="N16" i="1811"/>
  <c r="N18" i="1813" s="1"/>
  <c r="N16" i="1813"/>
  <c r="P105" i="1811"/>
  <c r="P125" i="1813" s="1"/>
  <c r="P118" i="1813"/>
  <c r="AR105" i="1811"/>
  <c r="AR125" i="1813" s="1"/>
  <c r="AR118" i="1813"/>
  <c r="T105" i="1811"/>
  <c r="T125" i="1813" s="1"/>
  <c r="T118" i="1813"/>
  <c r="AR69" i="1811"/>
  <c r="AR70" i="1813"/>
  <c r="AR71" i="1813" s="1"/>
  <c r="L105" i="1811"/>
  <c r="L125" i="1813" s="1"/>
  <c r="L118" i="1813"/>
  <c r="AS16" i="1811"/>
  <c r="AS18" i="1813" s="1"/>
  <c r="AS16" i="1813"/>
  <c r="AT105" i="1811"/>
  <c r="AT125" i="1813" s="1"/>
  <c r="AT118" i="1813"/>
  <c r="T16" i="1811"/>
  <c r="T18" i="1813" s="1"/>
  <c r="T16" i="1813"/>
  <c r="L121" i="1811"/>
  <c r="L141" i="1813" s="1"/>
  <c r="L136" i="1813"/>
  <c r="X105" i="1811"/>
  <c r="X125" i="1813" s="1"/>
  <c r="X118" i="1813"/>
  <c r="R16" i="1811"/>
  <c r="R18" i="1813" s="1"/>
  <c r="R16" i="1813"/>
  <c r="X121" i="1811"/>
  <c r="X141" i="1813" s="1"/>
  <c r="X95" i="1821" s="1"/>
  <c r="X136" i="1813"/>
  <c r="Y33" i="1814" l="1"/>
  <c r="T137" i="1814"/>
  <c r="N238" i="1814"/>
  <c r="U22" i="1814"/>
  <c r="S136" i="1814"/>
  <c r="S137" i="1814" s="1"/>
  <c r="S138" i="1814" s="1"/>
  <c r="S25" i="1814" s="1"/>
  <c r="S155" i="1814"/>
  <c r="T155" i="1814"/>
  <c r="X22" i="1814"/>
  <c r="I253" i="1814"/>
  <c r="I254" i="1814" s="1"/>
  <c r="I22" i="1814"/>
  <c r="S236" i="1814"/>
  <c r="S237" i="1814" s="1"/>
  <c r="F124" i="1814"/>
  <c r="F22" i="1814"/>
  <c r="O236" i="1814"/>
  <c r="O237" i="1814" s="1"/>
  <c r="Q253" i="1814"/>
  <c r="Q254" i="1814" s="1"/>
  <c r="K236" i="1814"/>
  <c r="K237" i="1814" s="1"/>
  <c r="W253" i="1814"/>
  <c r="W254" i="1814" s="1"/>
  <c r="G124" i="1814"/>
  <c r="K129" i="1814" s="1"/>
  <c r="G22" i="1814"/>
  <c r="I236" i="1814"/>
  <c r="I237" i="1814" s="1"/>
  <c r="M253" i="1814"/>
  <c r="M254" i="1814" s="1"/>
  <c r="M22" i="1814"/>
  <c r="L236" i="1814"/>
  <c r="L237" i="1814" s="1"/>
  <c r="L22" i="1814"/>
  <c r="T253" i="1814"/>
  <c r="T254" i="1814" s="1"/>
  <c r="T22" i="1814"/>
  <c r="H124" i="1814"/>
  <c r="L129" i="1814" s="1"/>
  <c r="H22" i="1814"/>
  <c r="U253" i="1814"/>
  <c r="U254" i="1814" s="1"/>
  <c r="X253" i="1814"/>
  <c r="X254" i="1814" s="1"/>
  <c r="K253" i="1814"/>
  <c r="K254" i="1814" s="1"/>
  <c r="Y122" i="1814"/>
  <c r="O253" i="1814"/>
  <c r="O254" i="1814" s="1"/>
  <c r="L253" i="1814"/>
  <c r="L254" i="1814" s="1"/>
  <c r="S253" i="1814"/>
  <c r="S254" i="1814" s="1"/>
  <c r="R45" i="1810"/>
  <c r="R40" i="1810"/>
  <c r="U40" i="1810"/>
  <c r="U45" i="1810"/>
  <c r="X181" i="1814"/>
  <c r="M32" i="1814"/>
  <c r="Z105" i="1814"/>
  <c r="X42" i="1814"/>
  <c r="X57" i="1814" s="1"/>
  <c r="F16" i="1814"/>
  <c r="R37" i="1814"/>
  <c r="U37" i="1814"/>
  <c r="Y20" i="1814"/>
  <c r="Y12" i="1814"/>
  <c r="AC27" i="1814"/>
  <c r="AC20" i="1810" s="1"/>
  <c r="Y121" i="1814"/>
  <c r="AC9" i="1814"/>
  <c r="AC19" i="1814" s="1"/>
  <c r="Y19" i="1814"/>
  <c r="T42" i="1814"/>
  <c r="U52" i="1814" s="1"/>
  <c r="U236" i="1814"/>
  <c r="U237" i="1814" s="1"/>
  <c r="Y160" i="1814"/>
  <c r="N53" i="1814"/>
  <c r="G16" i="1814"/>
  <c r="AH48" i="1814"/>
  <c r="M48" i="1814"/>
  <c r="T195" i="1814"/>
  <c r="U190" i="1814"/>
  <c r="X185" i="1814"/>
  <c r="T190" i="1814"/>
  <c r="AH53" i="1814"/>
  <c r="T181" i="1814"/>
  <c r="T191" i="1814" s="1"/>
  <c r="X24" i="1811"/>
  <c r="X27" i="1811" s="1"/>
  <c r="X29" i="1813" s="1"/>
  <c r="M131" i="1811"/>
  <c r="M151" i="1813" s="1"/>
  <c r="M152" i="1813" s="1"/>
  <c r="P195" i="1814"/>
  <c r="AQ131" i="1811"/>
  <c r="AQ151" i="1813" s="1"/>
  <c r="AQ152" i="1813" s="1"/>
  <c r="P190" i="1814"/>
  <c r="P181" i="1814"/>
  <c r="P196" i="1814" s="1"/>
  <c r="P52" i="1814"/>
  <c r="Q190" i="1814"/>
  <c r="AJ154" i="1814"/>
  <c r="Q195" i="1814"/>
  <c r="Z95" i="1814"/>
  <c r="AA84" i="1814"/>
  <c r="AL84" i="1814"/>
  <c r="AL95" i="1814" s="1"/>
  <c r="Y130" i="1814"/>
  <c r="Q52" i="1814"/>
  <c r="T185" i="1814"/>
  <c r="AA82" i="1814"/>
  <c r="AL82" i="1814"/>
  <c r="AB130" i="1814"/>
  <c r="X137" i="1814"/>
  <c r="X138" i="1814" s="1"/>
  <c r="X25" i="1814" s="1"/>
  <c r="W42" i="1814"/>
  <c r="W43" i="1814" s="1"/>
  <c r="W58" i="1814" s="1"/>
  <c r="U130" i="1814"/>
  <c r="U27" i="1814"/>
  <c r="R15" i="1814"/>
  <c r="R238" i="1814"/>
  <c r="AJ36" i="1814"/>
  <c r="S130" i="1814"/>
  <c r="S27" i="1814"/>
  <c r="U15" i="1814"/>
  <c r="X190" i="1814"/>
  <c r="X195" i="1814"/>
  <c r="P130" i="1814"/>
  <c r="P27" i="1814"/>
  <c r="X15" i="1814"/>
  <c r="Q130" i="1814"/>
  <c r="Q27" i="1814"/>
  <c r="W185" i="1814"/>
  <c r="V154" i="1814"/>
  <c r="V152" i="1814" s="1"/>
  <c r="V136" i="1814" s="1"/>
  <c r="V33" i="1814"/>
  <c r="W181" i="1814"/>
  <c r="W201" i="1814" s="1"/>
  <c r="X236" i="1814"/>
  <c r="X237" i="1814" s="1"/>
  <c r="W236" i="1814"/>
  <c r="W237" i="1814" s="1"/>
  <c r="O43" i="1814"/>
  <c r="O58" i="1814" s="1"/>
  <c r="AJ41" i="1814"/>
  <c r="S143" i="1814"/>
  <c r="S145" i="1814" s="1"/>
  <c r="S146" i="1814" s="1"/>
  <c r="S26" i="1814" s="1"/>
  <c r="R51" i="1814"/>
  <c r="R48" i="1814"/>
  <c r="P43" i="1814"/>
  <c r="P51" i="1814"/>
  <c r="U138" i="1814"/>
  <c r="U25" i="1814" s="1"/>
  <c r="Q135" i="1814"/>
  <c r="Q137" i="1814" s="1"/>
  <c r="Q138" i="1814" s="1"/>
  <c r="Q25" i="1814" s="1"/>
  <c r="S46" i="1814"/>
  <c r="T46" i="1814"/>
  <c r="Q43" i="1814"/>
  <c r="U48" i="1814" s="1"/>
  <c r="Q51" i="1814"/>
  <c r="S53" i="1814"/>
  <c r="AJ205" i="1814"/>
  <c r="S47" i="1814"/>
  <c r="S52" i="1814"/>
  <c r="O130" i="1814"/>
  <c r="O27" i="1814"/>
  <c r="I21" i="1814"/>
  <c r="I13" i="1814"/>
  <c r="I34" i="1814" s="1"/>
  <c r="I58" i="1814"/>
  <c r="AG38" i="1814"/>
  <c r="AG58" i="1814"/>
  <c r="I38" i="1814"/>
  <c r="O196" i="1814"/>
  <c r="O191" i="1814"/>
  <c r="O186" i="1814"/>
  <c r="S196" i="1814"/>
  <c r="S186" i="1814"/>
  <c r="S191" i="1814"/>
  <c r="R191" i="1814"/>
  <c r="R186" i="1814"/>
  <c r="R196" i="1814"/>
  <c r="Z154" i="1814"/>
  <c r="AL154" i="1814" s="1"/>
  <c r="Q186" i="1814"/>
  <c r="U186" i="1814"/>
  <c r="M186" i="1814"/>
  <c r="U129" i="1814"/>
  <c r="W15" i="1814"/>
  <c r="W143" i="1814"/>
  <c r="I201" i="1814"/>
  <c r="AJ186" i="1814"/>
  <c r="AJ191" i="1814"/>
  <c r="AJ196" i="1814"/>
  <c r="N196" i="1814"/>
  <c r="N191" i="1814"/>
  <c r="I129" i="1814"/>
  <c r="M129" i="1814"/>
  <c r="Q129" i="1814"/>
  <c r="AB10" i="1814"/>
  <c r="X143" i="1814"/>
  <c r="X145" i="1814" s="1"/>
  <c r="X146" i="1814" s="1"/>
  <c r="X26" i="1814" s="1"/>
  <c r="T146" i="1814"/>
  <c r="T26" i="1814" s="1"/>
  <c r="P143" i="1814"/>
  <c r="P145" i="1814" s="1"/>
  <c r="Q143" i="1814"/>
  <c r="Q145" i="1814" s="1"/>
  <c r="Q146" i="1814" s="1"/>
  <c r="Q26" i="1814" s="1"/>
  <c r="O143" i="1814"/>
  <c r="AJ150" i="1814"/>
  <c r="O136" i="1814"/>
  <c r="O137" i="1814" s="1"/>
  <c r="U143" i="1814"/>
  <c r="U145" i="1814" s="1"/>
  <c r="U146" i="1814" s="1"/>
  <c r="U26" i="1814" s="1"/>
  <c r="M201" i="1814"/>
  <c r="M38" i="1814"/>
  <c r="M16" i="1814"/>
  <c r="M13" i="1814"/>
  <c r="M34" i="1814" s="1"/>
  <c r="M21" i="1814"/>
  <c r="M58" i="1814"/>
  <c r="W129" i="1814"/>
  <c r="X21" i="1814"/>
  <c r="X38" i="1814"/>
  <c r="AB38" i="1814" s="1"/>
  <c r="X13" i="1814"/>
  <c r="X34" i="1814" s="1"/>
  <c r="X31" i="1814" s="1"/>
  <c r="X16" i="1814"/>
  <c r="X200" i="1814"/>
  <c r="X238" i="1814"/>
  <c r="Q57" i="1814"/>
  <c r="Q38" i="1814"/>
  <c r="Q199" i="1814"/>
  <c r="Q21" i="1814"/>
  <c r="Q56" i="1814"/>
  <c r="Q200" i="1814"/>
  <c r="Q13" i="1814"/>
  <c r="Q201" i="1814"/>
  <c r="AA133" i="1814"/>
  <c r="AA121" i="1814"/>
  <c r="AA19" i="1814"/>
  <c r="S129" i="1814"/>
  <c r="K13" i="1814"/>
  <c r="K34" i="1814" s="1"/>
  <c r="K58" i="1814"/>
  <c r="K21" i="1814"/>
  <c r="K38" i="1814"/>
  <c r="K201" i="1814"/>
  <c r="O129" i="1814"/>
  <c r="U58" i="1814"/>
  <c r="U21" i="1814"/>
  <c r="U200" i="1814"/>
  <c r="U16" i="1814"/>
  <c r="U57" i="1814"/>
  <c r="U38" i="1814"/>
  <c r="U13" i="1814"/>
  <c r="U56" i="1814"/>
  <c r="U199" i="1814"/>
  <c r="U201" i="1814"/>
  <c r="M236" i="1814"/>
  <c r="M237" i="1814" s="1"/>
  <c r="AA130" i="1814"/>
  <c r="Q236" i="1814"/>
  <c r="Q237" i="1814" s="1"/>
  <c r="L16" i="1814"/>
  <c r="AH129" i="1814"/>
  <c r="AI238" i="1814"/>
  <c r="S57" i="1814"/>
  <c r="S200" i="1814"/>
  <c r="S21" i="1814"/>
  <c r="S199" i="1814"/>
  <c r="S56" i="1814"/>
  <c r="S58" i="1814"/>
  <c r="S38" i="1814"/>
  <c r="S13" i="1814"/>
  <c r="S201" i="1814"/>
  <c r="W238" i="1814"/>
  <c r="X129" i="1814"/>
  <c r="O57" i="1814"/>
  <c r="O13" i="1814"/>
  <c r="O38" i="1814"/>
  <c r="O21" i="1814"/>
  <c r="O200" i="1814"/>
  <c r="O56" i="1814"/>
  <c r="O199" i="1814"/>
  <c r="O201" i="1814"/>
  <c r="T56" i="1814"/>
  <c r="T200" i="1814"/>
  <c r="T38" i="1814"/>
  <c r="T199" i="1814"/>
  <c r="T16" i="1814"/>
  <c r="AB121" i="1814"/>
  <c r="AB133" i="1814"/>
  <c r="AB135" i="1814" s="1"/>
  <c r="AB137" i="1814" s="1"/>
  <c r="AB138" i="1814" s="1"/>
  <c r="AB19" i="1814"/>
  <c r="W152" i="1814"/>
  <c r="Y133" i="1814"/>
  <c r="Y135" i="1814" s="1"/>
  <c r="Y137" i="1814" s="1"/>
  <c r="Y138" i="1814" s="1"/>
  <c r="Y25" i="1814" s="1"/>
  <c r="T236" i="1814"/>
  <c r="W38" i="1814"/>
  <c r="AA38" i="1814" s="1"/>
  <c r="W56" i="1814"/>
  <c r="W21" i="1814"/>
  <c r="W13" i="1814"/>
  <c r="W200" i="1814"/>
  <c r="W199" i="1814"/>
  <c r="P19" i="1814"/>
  <c r="P12" i="1814"/>
  <c r="P133" i="1814"/>
  <c r="P135" i="1814" s="1"/>
  <c r="P137" i="1814" s="1"/>
  <c r="P124" i="1814"/>
  <c r="P129" i="1814" s="1"/>
  <c r="P127" i="1814"/>
  <c r="N24" i="1811"/>
  <c r="N27" i="1811" s="1"/>
  <c r="N29" i="1813" s="1"/>
  <c r="AR24" i="1811"/>
  <c r="AR27" i="1811" s="1"/>
  <c r="AR29" i="1813" s="1"/>
  <c r="U24" i="1811"/>
  <c r="U27" i="1813" s="1"/>
  <c r="W131" i="1811"/>
  <c r="W132" i="1811" s="1"/>
  <c r="U131" i="1811"/>
  <c r="U151" i="1813" s="1"/>
  <c r="U152" i="1813" s="1"/>
  <c r="AS24" i="1811"/>
  <c r="AS27" i="1811" s="1"/>
  <c r="AS29" i="1813" s="1"/>
  <c r="O24" i="1811"/>
  <c r="O27" i="1813" s="1"/>
  <c r="Q131" i="1811"/>
  <c r="Q132" i="1811" s="1"/>
  <c r="T24" i="1811"/>
  <c r="T27" i="1811" s="1"/>
  <c r="T29" i="1813" s="1"/>
  <c r="M24" i="1811"/>
  <c r="M27" i="1813" s="1"/>
  <c r="Q24" i="1811"/>
  <c r="Q27" i="1811" s="1"/>
  <c r="Q29" i="1813" s="1"/>
  <c r="AQ24" i="1811"/>
  <c r="P24" i="1811"/>
  <c r="AT131" i="1811"/>
  <c r="AT141" i="1813"/>
  <c r="O131" i="1811"/>
  <c r="S131" i="1811"/>
  <c r="W24" i="1811"/>
  <c r="X131" i="1811"/>
  <c r="P131" i="1811"/>
  <c r="S24" i="1811"/>
  <c r="T131" i="1811"/>
  <c r="T141" i="1813"/>
  <c r="AR131" i="1811"/>
  <c r="AS131" i="1811"/>
  <c r="L131" i="1811"/>
  <c r="AT27" i="1811"/>
  <c r="AT29" i="1813" s="1"/>
  <c r="AT27" i="1813"/>
  <c r="K24" i="1811"/>
  <c r="R24" i="1811"/>
  <c r="AU69" i="1811"/>
  <c r="AT69" i="1811"/>
  <c r="B765" i="1812"/>
  <c r="B764" i="1812"/>
  <c r="B763" i="1812"/>
  <c r="B755" i="1812"/>
  <c r="B753" i="1812"/>
  <c r="B752" i="1812"/>
  <c r="B751" i="1812"/>
  <c r="AR745" i="1812"/>
  <c r="BK743" i="1812"/>
  <c r="BJ743" i="1812"/>
  <c r="BI743" i="1812"/>
  <c r="BH743" i="1812"/>
  <c r="BG743" i="1812"/>
  <c r="BF743" i="1812"/>
  <c r="BE743" i="1812"/>
  <c r="BD743" i="1812"/>
  <c r="BC743" i="1812"/>
  <c r="BB743" i="1812"/>
  <c r="BA743" i="1812"/>
  <c r="AZ743" i="1812"/>
  <c r="AY743" i="1812"/>
  <c r="AX743" i="1812"/>
  <c r="AW743" i="1812"/>
  <c r="AV743" i="1812"/>
  <c r="AU743" i="1812"/>
  <c r="AT743" i="1812"/>
  <c r="AS743" i="1812"/>
  <c r="AR743" i="1812"/>
  <c r="AP743" i="1812"/>
  <c r="AO743" i="1812"/>
  <c r="AN743" i="1812"/>
  <c r="AM743" i="1812"/>
  <c r="AL743" i="1812"/>
  <c r="AK743" i="1812"/>
  <c r="AJ743" i="1812"/>
  <c r="AI743" i="1812"/>
  <c r="AH743" i="1812"/>
  <c r="AG743" i="1812"/>
  <c r="AF743" i="1812"/>
  <c r="AE743" i="1812"/>
  <c r="AD743" i="1812"/>
  <c r="AC743" i="1812"/>
  <c r="AB743" i="1812"/>
  <c r="AA743" i="1812"/>
  <c r="Z743" i="1812"/>
  <c r="Y743" i="1812"/>
  <c r="X743" i="1812"/>
  <c r="W743" i="1812"/>
  <c r="V743" i="1812"/>
  <c r="U743" i="1812"/>
  <c r="T743" i="1812"/>
  <c r="S743" i="1812"/>
  <c r="R743" i="1812"/>
  <c r="Q743" i="1812"/>
  <c r="P743" i="1812"/>
  <c r="O743" i="1812"/>
  <c r="N743" i="1812"/>
  <c r="M743" i="1812"/>
  <c r="L743" i="1812"/>
  <c r="K743" i="1812"/>
  <c r="J743" i="1812"/>
  <c r="I743" i="1812"/>
  <c r="H743" i="1812"/>
  <c r="G743" i="1812"/>
  <c r="F743" i="1812"/>
  <c r="E743" i="1812"/>
  <c r="D743" i="1812"/>
  <c r="C743" i="1812"/>
  <c r="BK739" i="1812"/>
  <c r="BJ739" i="1812"/>
  <c r="BI739" i="1812"/>
  <c r="BH739" i="1812"/>
  <c r="BG739" i="1812"/>
  <c r="BF739" i="1812"/>
  <c r="BE739" i="1812"/>
  <c r="BD739" i="1812"/>
  <c r="BC739" i="1812"/>
  <c r="BB739" i="1812"/>
  <c r="BA739" i="1812"/>
  <c r="AZ739" i="1812"/>
  <c r="AY739" i="1812"/>
  <c r="AX739" i="1812"/>
  <c r="AW739" i="1812"/>
  <c r="AV739" i="1812"/>
  <c r="AU739" i="1812"/>
  <c r="AT739" i="1812"/>
  <c r="AS739" i="1812"/>
  <c r="AR739" i="1812"/>
  <c r="AP739" i="1812"/>
  <c r="AO739" i="1812"/>
  <c r="AN739" i="1812"/>
  <c r="AM739" i="1812"/>
  <c r="AL739" i="1812"/>
  <c r="AK739" i="1812"/>
  <c r="AJ739" i="1812"/>
  <c r="AI739" i="1812"/>
  <c r="AH739" i="1812"/>
  <c r="AG739" i="1812"/>
  <c r="AF739" i="1812"/>
  <c r="AE739" i="1812"/>
  <c r="AD739" i="1812"/>
  <c r="AC739" i="1812"/>
  <c r="AB739" i="1812"/>
  <c r="AA739" i="1812"/>
  <c r="Z739" i="1812"/>
  <c r="Y739" i="1812"/>
  <c r="X739" i="1812"/>
  <c r="W739" i="1812"/>
  <c r="V739" i="1812"/>
  <c r="U739" i="1812"/>
  <c r="T739" i="1812"/>
  <c r="S739" i="1812"/>
  <c r="R739" i="1812"/>
  <c r="Q739" i="1812"/>
  <c r="P739" i="1812"/>
  <c r="O739" i="1812"/>
  <c r="N739" i="1812"/>
  <c r="M739" i="1812"/>
  <c r="L739" i="1812"/>
  <c r="K739" i="1812"/>
  <c r="J739" i="1812"/>
  <c r="I739" i="1812"/>
  <c r="H739" i="1812"/>
  <c r="G739" i="1812"/>
  <c r="F739" i="1812"/>
  <c r="E739" i="1812"/>
  <c r="D739" i="1812"/>
  <c r="C739" i="1812"/>
  <c r="BK716" i="1812"/>
  <c r="BK409" i="1812" s="1"/>
  <c r="BJ716" i="1812"/>
  <c r="BJ409" i="1812" s="1"/>
  <c r="BI716" i="1812"/>
  <c r="BI410" i="1812" s="1"/>
  <c r="BH716" i="1812"/>
  <c r="BH408" i="1812" s="1"/>
  <c r="BG716" i="1812"/>
  <c r="BG408" i="1812" s="1"/>
  <c r="BF716" i="1812"/>
  <c r="BF413" i="1812" s="1"/>
  <c r="BE716" i="1812"/>
  <c r="BE411" i="1812" s="1"/>
  <c r="BE414" i="1812" s="1"/>
  <c r="BD716" i="1812"/>
  <c r="BD411" i="1812" s="1"/>
  <c r="BD414" i="1812" s="1"/>
  <c r="BC716" i="1812"/>
  <c r="BC411" i="1812" s="1"/>
  <c r="BC414" i="1812" s="1"/>
  <c r="BB716" i="1812"/>
  <c r="BB411" i="1812" s="1"/>
  <c r="BB414" i="1812" s="1"/>
  <c r="BA716" i="1812"/>
  <c r="BA411" i="1812" s="1"/>
  <c r="BA414" i="1812" s="1"/>
  <c r="AZ716" i="1812"/>
  <c r="AZ413" i="1812" s="1"/>
  <c r="AY716" i="1812"/>
  <c r="AY411" i="1812" s="1"/>
  <c r="AY414" i="1812" s="1"/>
  <c r="AX716" i="1812"/>
  <c r="AX413" i="1812" s="1"/>
  <c r="AW716" i="1812"/>
  <c r="AW411" i="1812" s="1"/>
  <c r="AW414" i="1812" s="1"/>
  <c r="AV716" i="1812"/>
  <c r="AV413" i="1812" s="1"/>
  <c r="AU716" i="1812"/>
  <c r="AU413" i="1812" s="1"/>
  <c r="AT716" i="1812"/>
  <c r="AT411" i="1812" s="1"/>
  <c r="AT414" i="1812" s="1"/>
  <c r="AS716" i="1812"/>
  <c r="AS411" i="1812" s="1"/>
  <c r="AS414" i="1812" s="1"/>
  <c r="AR716" i="1812"/>
  <c r="AR411" i="1812" s="1"/>
  <c r="AR414" i="1812" s="1"/>
  <c r="AP716" i="1812"/>
  <c r="AP408" i="1812" s="1"/>
  <c r="AO716" i="1812"/>
  <c r="AO410" i="1812" s="1"/>
  <c r="AN716" i="1812"/>
  <c r="AN408" i="1812" s="1"/>
  <c r="AM716" i="1812"/>
  <c r="AM408" i="1812" s="1"/>
  <c r="AL716" i="1812"/>
  <c r="AL410" i="1812" s="1"/>
  <c r="AK716" i="1812"/>
  <c r="AK408" i="1812" s="1"/>
  <c r="AJ716" i="1812"/>
  <c r="AJ411" i="1812" s="1"/>
  <c r="AJ414" i="1812" s="1"/>
  <c r="AI716" i="1812"/>
  <c r="AI413" i="1812" s="1"/>
  <c r="AH716" i="1812"/>
  <c r="AH413" i="1812" s="1"/>
  <c r="AG716" i="1812"/>
  <c r="AG411" i="1812" s="1"/>
  <c r="AG414" i="1812" s="1"/>
  <c r="AF716" i="1812"/>
  <c r="AF413" i="1812" s="1"/>
  <c r="AE716" i="1812"/>
  <c r="AE413" i="1812" s="1"/>
  <c r="AD716" i="1812"/>
  <c r="AD413" i="1812" s="1"/>
  <c r="AC716" i="1812"/>
  <c r="AC413" i="1812" s="1"/>
  <c r="AB716" i="1812"/>
  <c r="AB413" i="1812" s="1"/>
  <c r="AA716" i="1812"/>
  <c r="AA411" i="1812" s="1"/>
  <c r="AA414" i="1812" s="1"/>
  <c r="Z716" i="1812"/>
  <c r="Z411" i="1812" s="1"/>
  <c r="Z414" i="1812" s="1"/>
  <c r="Y716" i="1812"/>
  <c r="Y411" i="1812" s="1"/>
  <c r="Y414" i="1812" s="1"/>
  <c r="X716" i="1812"/>
  <c r="X411" i="1812" s="1"/>
  <c r="X414" i="1812" s="1"/>
  <c r="W716" i="1812"/>
  <c r="W411" i="1812" s="1"/>
  <c r="W414" i="1812" s="1"/>
  <c r="V716" i="1812"/>
  <c r="V413" i="1812" s="1"/>
  <c r="U716" i="1812"/>
  <c r="U413" i="1812" s="1"/>
  <c r="T716" i="1812"/>
  <c r="T411" i="1812" s="1"/>
  <c r="T414" i="1812" s="1"/>
  <c r="S716" i="1812"/>
  <c r="S411" i="1812" s="1"/>
  <c r="S414" i="1812" s="1"/>
  <c r="R716" i="1812"/>
  <c r="R411" i="1812" s="1"/>
  <c r="R414" i="1812" s="1"/>
  <c r="Q716" i="1812"/>
  <c r="Q413" i="1812" s="1"/>
  <c r="P716" i="1812"/>
  <c r="P413" i="1812" s="1"/>
  <c r="O716" i="1812"/>
  <c r="O411" i="1812" s="1"/>
  <c r="O414" i="1812" s="1"/>
  <c r="N716" i="1812"/>
  <c r="N411" i="1812" s="1"/>
  <c r="N414" i="1812" s="1"/>
  <c r="M716" i="1812"/>
  <c r="M411" i="1812" s="1"/>
  <c r="M414" i="1812" s="1"/>
  <c r="L716" i="1812"/>
  <c r="L411" i="1812" s="1"/>
  <c r="L414" i="1812" s="1"/>
  <c r="K716" i="1812"/>
  <c r="K411" i="1812" s="1"/>
  <c r="K414" i="1812" s="1"/>
  <c r="J716" i="1812"/>
  <c r="J411" i="1812" s="1"/>
  <c r="J414" i="1812" s="1"/>
  <c r="I716" i="1812"/>
  <c r="I411" i="1812" s="1"/>
  <c r="I414" i="1812" s="1"/>
  <c r="H716" i="1812"/>
  <c r="H411" i="1812" s="1"/>
  <c r="H414" i="1812" s="1"/>
  <c r="G716" i="1812"/>
  <c r="G411" i="1812" s="1"/>
  <c r="G414" i="1812" s="1"/>
  <c r="F716" i="1812"/>
  <c r="F413" i="1812" s="1"/>
  <c r="E716" i="1812"/>
  <c r="E413" i="1812" s="1"/>
  <c r="D716" i="1812"/>
  <c r="D411" i="1812" s="1"/>
  <c r="D414" i="1812" s="1"/>
  <c r="C716" i="1812"/>
  <c r="C411" i="1812" s="1"/>
  <c r="C414" i="1812" s="1"/>
  <c r="A710" i="1812"/>
  <c r="A706" i="1812"/>
  <c r="BF698" i="1812"/>
  <c r="BE698" i="1812"/>
  <c r="BD698" i="1812"/>
  <c r="AJ698" i="1812"/>
  <c r="AI698" i="1812"/>
  <c r="AH698" i="1812"/>
  <c r="AG698" i="1812"/>
  <c r="AF698" i="1812"/>
  <c r="AE698" i="1812"/>
  <c r="AD698" i="1812"/>
  <c r="AC698" i="1812"/>
  <c r="AB698" i="1812"/>
  <c r="AA698" i="1812"/>
  <c r="Z698" i="1812"/>
  <c r="Y698" i="1812"/>
  <c r="A679" i="1812"/>
  <c r="A677" i="1812"/>
  <c r="R652" i="1812"/>
  <c r="BH650" i="1812"/>
  <c r="BG650" i="1812"/>
  <c r="BK649" i="1812"/>
  <c r="BJ649" i="1812"/>
  <c r="BI649" i="1812"/>
  <c r="BH649" i="1812"/>
  <c r="BG649" i="1812"/>
  <c r="AP649" i="1812"/>
  <c r="AO649" i="1812"/>
  <c r="AN649" i="1812"/>
  <c r="AM649" i="1812"/>
  <c r="AL649" i="1812"/>
  <c r="AK649" i="1812"/>
  <c r="R648" i="1812"/>
  <c r="BK647" i="1812"/>
  <c r="BJ647" i="1812"/>
  <c r="BI647" i="1812"/>
  <c r="BH647" i="1812"/>
  <c r="BG647" i="1812"/>
  <c r="AP647" i="1812"/>
  <c r="AO647" i="1812"/>
  <c r="AN647" i="1812"/>
  <c r="AM647" i="1812"/>
  <c r="AL647" i="1812"/>
  <c r="AK647" i="1812"/>
  <c r="BK642" i="1812"/>
  <c r="BJ642" i="1812"/>
  <c r="BI642" i="1812"/>
  <c r="BH642" i="1812"/>
  <c r="BG642" i="1812"/>
  <c r="AP642" i="1812"/>
  <c r="AO642" i="1812"/>
  <c r="AN642" i="1812"/>
  <c r="AM642" i="1812"/>
  <c r="AL642" i="1812"/>
  <c r="AK642" i="1812"/>
  <c r="BK641" i="1812"/>
  <c r="BJ641" i="1812"/>
  <c r="BI641" i="1812"/>
  <c r="BH641" i="1812"/>
  <c r="BG641" i="1812"/>
  <c r="AP641" i="1812"/>
  <c r="AO641" i="1812"/>
  <c r="AN641" i="1812"/>
  <c r="AM641" i="1812"/>
  <c r="AL641" i="1812"/>
  <c r="AK641" i="1812"/>
  <c r="AK635" i="1812"/>
  <c r="AL635" i="1812" s="1"/>
  <c r="BF634" i="1812"/>
  <c r="BE634" i="1812"/>
  <c r="BD634" i="1812"/>
  <c r="BC634" i="1812"/>
  <c r="BB634" i="1812"/>
  <c r="AJ634" i="1812"/>
  <c r="AI634" i="1812"/>
  <c r="AG634" i="1812"/>
  <c r="AF634" i="1812"/>
  <c r="AE634" i="1812"/>
  <c r="AC634" i="1812"/>
  <c r="AB634" i="1812"/>
  <c r="AA634" i="1812"/>
  <c r="Y634" i="1812"/>
  <c r="X634" i="1812"/>
  <c r="W634" i="1812"/>
  <c r="U634" i="1812"/>
  <c r="T634" i="1812"/>
  <c r="S634" i="1812"/>
  <c r="AK633" i="1812"/>
  <c r="AL633" i="1812" s="1"/>
  <c r="BG633" i="1812" s="1"/>
  <c r="AM633" i="1812" s="1"/>
  <c r="AN633" i="1812" s="1"/>
  <c r="AO633" i="1812" s="1"/>
  <c r="AP633" i="1812" s="1"/>
  <c r="BH633" i="1812" s="1"/>
  <c r="BI633" i="1812" s="1"/>
  <c r="BJ633" i="1812" s="1"/>
  <c r="BK633" i="1812" s="1"/>
  <c r="AH633" i="1812"/>
  <c r="V129" i="1811" s="1"/>
  <c r="V149" i="1813" s="1"/>
  <c r="AD633" i="1812"/>
  <c r="R129" i="1811" s="1"/>
  <c r="R149" i="1813" s="1"/>
  <c r="Z633" i="1812"/>
  <c r="N129" i="1811" s="1"/>
  <c r="N149" i="1813" s="1"/>
  <c r="V633" i="1812"/>
  <c r="J129" i="1811" s="1"/>
  <c r="J149" i="1813" s="1"/>
  <c r="R633" i="1812"/>
  <c r="F129" i="1811" s="1"/>
  <c r="F149" i="1813" s="1"/>
  <c r="AH632" i="1812"/>
  <c r="V128" i="1811" s="1"/>
  <c r="V148" i="1813" s="1"/>
  <c r="AD632" i="1812"/>
  <c r="R128" i="1811" s="1"/>
  <c r="R148" i="1813" s="1"/>
  <c r="Z632" i="1812"/>
  <c r="N128" i="1811" s="1"/>
  <c r="N148" i="1813" s="1"/>
  <c r="V632" i="1812"/>
  <c r="J128" i="1811" s="1"/>
  <c r="J148" i="1813" s="1"/>
  <c r="R632" i="1812"/>
  <c r="F128" i="1811" s="1"/>
  <c r="F148" i="1813" s="1"/>
  <c r="AK631" i="1812"/>
  <c r="AL631" i="1812" s="1"/>
  <c r="BG631" i="1812" s="1"/>
  <c r="AM631" i="1812" s="1"/>
  <c r="AN631" i="1812" s="1"/>
  <c r="AO631" i="1812" s="1"/>
  <c r="AP631" i="1812" s="1"/>
  <c r="BH631" i="1812" s="1"/>
  <c r="BI631" i="1812" s="1"/>
  <c r="BJ631" i="1812" s="1"/>
  <c r="BK631" i="1812" s="1"/>
  <c r="AH631" i="1812"/>
  <c r="V127" i="1811" s="1"/>
  <c r="V147" i="1813" s="1"/>
  <c r="AD631" i="1812"/>
  <c r="R127" i="1811" s="1"/>
  <c r="R147" i="1813" s="1"/>
  <c r="Z631" i="1812"/>
  <c r="N127" i="1811" s="1"/>
  <c r="N147" i="1813" s="1"/>
  <c r="V631" i="1812"/>
  <c r="J127" i="1811" s="1"/>
  <c r="J147" i="1813" s="1"/>
  <c r="R631" i="1812"/>
  <c r="F127" i="1811" s="1"/>
  <c r="F147" i="1813" s="1"/>
  <c r="AH630" i="1812"/>
  <c r="V126" i="1811" s="1"/>
  <c r="V146" i="1813" s="1"/>
  <c r="AD630" i="1812"/>
  <c r="R126" i="1811" s="1"/>
  <c r="R146" i="1813" s="1"/>
  <c r="Z630" i="1812"/>
  <c r="N126" i="1811" s="1"/>
  <c r="N146" i="1813" s="1"/>
  <c r="V630" i="1812"/>
  <c r="J126" i="1811" s="1"/>
  <c r="J146" i="1813" s="1"/>
  <c r="R630" i="1812"/>
  <c r="F126" i="1811" s="1"/>
  <c r="F146" i="1813" s="1"/>
  <c r="AK629" i="1812"/>
  <c r="AL629" i="1812" s="1"/>
  <c r="AH629" i="1812"/>
  <c r="AD629" i="1812"/>
  <c r="Z629" i="1812"/>
  <c r="V629" i="1812"/>
  <c r="R629" i="1812"/>
  <c r="BF625" i="1812"/>
  <c r="BE625" i="1812"/>
  <c r="BD625" i="1812"/>
  <c r="BC625" i="1812"/>
  <c r="BB625" i="1812"/>
  <c r="AJ625" i="1812"/>
  <c r="AI625" i="1812"/>
  <c r="AG625" i="1812"/>
  <c r="AF625" i="1812"/>
  <c r="AF626" i="1812" s="1"/>
  <c r="AE625" i="1812"/>
  <c r="AC625" i="1812"/>
  <c r="AB625" i="1812"/>
  <c r="AA625" i="1812"/>
  <c r="Y625" i="1812"/>
  <c r="X625" i="1812"/>
  <c r="W625" i="1812"/>
  <c r="U625" i="1812"/>
  <c r="T625" i="1812"/>
  <c r="S625" i="1812"/>
  <c r="AK624" i="1812"/>
  <c r="AL624" i="1812" s="1"/>
  <c r="BG624" i="1812" s="1"/>
  <c r="AM624" i="1812" s="1"/>
  <c r="AN624" i="1812" s="1"/>
  <c r="AO624" i="1812" s="1"/>
  <c r="AP624" i="1812" s="1"/>
  <c r="BH624" i="1812" s="1"/>
  <c r="BI624" i="1812" s="1"/>
  <c r="BJ624" i="1812" s="1"/>
  <c r="BK624" i="1812" s="1"/>
  <c r="AH624" i="1812"/>
  <c r="V120" i="1811" s="1"/>
  <c r="V140" i="1813" s="1"/>
  <c r="AD624" i="1812"/>
  <c r="R120" i="1811" s="1"/>
  <c r="R140" i="1813" s="1"/>
  <c r="Z624" i="1812"/>
  <c r="N120" i="1811" s="1"/>
  <c r="N140" i="1813" s="1"/>
  <c r="V624" i="1812"/>
  <c r="J120" i="1811" s="1"/>
  <c r="J140" i="1813" s="1"/>
  <c r="R624" i="1812"/>
  <c r="F120" i="1811" s="1"/>
  <c r="F140" i="1813" s="1"/>
  <c r="AK623" i="1812"/>
  <c r="AL623" i="1812" s="1"/>
  <c r="BG623" i="1812" s="1"/>
  <c r="AM623" i="1812" s="1"/>
  <c r="AN623" i="1812" s="1"/>
  <c r="AO623" i="1812" s="1"/>
  <c r="AP623" i="1812" s="1"/>
  <c r="BH623" i="1812" s="1"/>
  <c r="BI623" i="1812" s="1"/>
  <c r="BJ623" i="1812" s="1"/>
  <c r="BK623" i="1812" s="1"/>
  <c r="AH623" i="1812"/>
  <c r="V119" i="1811" s="1"/>
  <c r="V139" i="1813" s="1"/>
  <c r="AD623" i="1812"/>
  <c r="R119" i="1811" s="1"/>
  <c r="R139" i="1813" s="1"/>
  <c r="AH622" i="1812"/>
  <c r="V118" i="1811" s="1"/>
  <c r="V138" i="1813" s="1"/>
  <c r="AD622" i="1812"/>
  <c r="R118" i="1811" s="1"/>
  <c r="R138" i="1813" s="1"/>
  <c r="Z622" i="1812"/>
  <c r="N118" i="1811" s="1"/>
  <c r="N138" i="1813" s="1"/>
  <c r="V622" i="1812"/>
  <c r="J118" i="1811" s="1"/>
  <c r="J138" i="1813" s="1"/>
  <c r="R622" i="1812"/>
  <c r="F118" i="1811" s="1"/>
  <c r="F138" i="1813" s="1"/>
  <c r="AH621" i="1812"/>
  <c r="V117" i="1811" s="1"/>
  <c r="V137" i="1813" s="1"/>
  <c r="AD621" i="1812"/>
  <c r="AD381" i="1812" s="1"/>
  <c r="Z621" i="1812"/>
  <c r="N117" i="1811" s="1"/>
  <c r="N137" i="1813" s="1"/>
  <c r="V621" i="1812"/>
  <c r="V381" i="1812" s="1"/>
  <c r="R621" i="1812"/>
  <c r="F117" i="1811" s="1"/>
  <c r="F137" i="1813" s="1"/>
  <c r="BF618" i="1812"/>
  <c r="BE618" i="1812"/>
  <c r="BD618" i="1812"/>
  <c r="BC618" i="1812"/>
  <c r="BB618" i="1812"/>
  <c r="AJ618" i="1812"/>
  <c r="AI618" i="1812"/>
  <c r="AG618" i="1812"/>
  <c r="AE618" i="1812"/>
  <c r="AC618" i="1812"/>
  <c r="AB618" i="1812"/>
  <c r="AA618" i="1812"/>
  <c r="Y618" i="1812"/>
  <c r="X618" i="1812"/>
  <c r="W618" i="1812"/>
  <c r="U618" i="1812"/>
  <c r="T618" i="1812"/>
  <c r="S618" i="1812"/>
  <c r="AK617" i="1812"/>
  <c r="AL617" i="1812" s="1"/>
  <c r="BG617" i="1812" s="1"/>
  <c r="AM617" i="1812" s="1"/>
  <c r="AN617" i="1812" s="1"/>
  <c r="AO617" i="1812" s="1"/>
  <c r="AP617" i="1812" s="1"/>
  <c r="BH617" i="1812" s="1"/>
  <c r="BI617" i="1812" s="1"/>
  <c r="BJ617" i="1812" s="1"/>
  <c r="BK617" i="1812" s="1"/>
  <c r="AH617" i="1812"/>
  <c r="V115" i="1811" s="1"/>
  <c r="V135" i="1813" s="1"/>
  <c r="AD617" i="1812"/>
  <c r="R115" i="1811" s="1"/>
  <c r="R135" i="1813" s="1"/>
  <c r="Z617" i="1812"/>
  <c r="N115" i="1811" s="1"/>
  <c r="N135" i="1813" s="1"/>
  <c r="V617" i="1812"/>
  <c r="J115" i="1811" s="1"/>
  <c r="J135" i="1813" s="1"/>
  <c r="R617" i="1812"/>
  <c r="F115" i="1811" s="1"/>
  <c r="F135" i="1813" s="1"/>
  <c r="AK616" i="1812"/>
  <c r="AL616" i="1812" s="1"/>
  <c r="BG616" i="1812" s="1"/>
  <c r="AM616" i="1812" s="1"/>
  <c r="AN616" i="1812" s="1"/>
  <c r="AO616" i="1812" s="1"/>
  <c r="AP616" i="1812" s="1"/>
  <c r="BH616" i="1812" s="1"/>
  <c r="BI616" i="1812" s="1"/>
  <c r="BJ616" i="1812" s="1"/>
  <c r="BK616" i="1812" s="1"/>
  <c r="AH616" i="1812"/>
  <c r="AK615" i="1812"/>
  <c r="AL615" i="1812" s="1"/>
  <c r="BG615" i="1812" s="1"/>
  <c r="AM615" i="1812" s="1"/>
  <c r="AN615" i="1812" s="1"/>
  <c r="AH615" i="1812"/>
  <c r="V113" i="1811" s="1"/>
  <c r="V133" i="1813" s="1"/>
  <c r="AD615" i="1812"/>
  <c r="AH614" i="1812"/>
  <c r="V112" i="1811" s="1"/>
  <c r="V132" i="1813" s="1"/>
  <c r="AD614" i="1812"/>
  <c r="R112" i="1811" s="1"/>
  <c r="R132" i="1813" s="1"/>
  <c r="Z614" i="1812"/>
  <c r="N112" i="1811" s="1"/>
  <c r="N132" i="1813" s="1"/>
  <c r="V614" i="1812"/>
  <c r="J112" i="1811" s="1"/>
  <c r="J132" i="1813" s="1"/>
  <c r="R614" i="1812"/>
  <c r="F112" i="1811" s="1"/>
  <c r="F132" i="1813" s="1"/>
  <c r="AH613" i="1812"/>
  <c r="V111" i="1811" s="1"/>
  <c r="V131" i="1813" s="1"/>
  <c r="AD613" i="1812"/>
  <c r="R111" i="1811" s="1"/>
  <c r="R131" i="1813" s="1"/>
  <c r="Z613" i="1812"/>
  <c r="N111" i="1811" s="1"/>
  <c r="N131" i="1813" s="1"/>
  <c r="V613" i="1812"/>
  <c r="J111" i="1811" s="1"/>
  <c r="J131" i="1813" s="1"/>
  <c r="R613" i="1812"/>
  <c r="F111" i="1811" s="1"/>
  <c r="F131" i="1813" s="1"/>
  <c r="AK612" i="1812"/>
  <c r="AL612" i="1812" s="1"/>
  <c r="BG612" i="1812" s="1"/>
  <c r="AM612" i="1812" s="1"/>
  <c r="AN612" i="1812" s="1"/>
  <c r="AO612" i="1812" s="1"/>
  <c r="AP612" i="1812" s="1"/>
  <c r="BH612" i="1812" s="1"/>
  <c r="BI612" i="1812" s="1"/>
  <c r="BJ612" i="1812" s="1"/>
  <c r="BK612" i="1812" s="1"/>
  <c r="BK513" i="1812" s="1"/>
  <c r="AH612" i="1812"/>
  <c r="V110" i="1811" s="1"/>
  <c r="V130" i="1813" s="1"/>
  <c r="AD612" i="1812"/>
  <c r="R110" i="1811" s="1"/>
  <c r="R130" i="1813" s="1"/>
  <c r="Z612" i="1812"/>
  <c r="N110" i="1811" s="1"/>
  <c r="N130" i="1813" s="1"/>
  <c r="V612" i="1812"/>
  <c r="J110" i="1811" s="1"/>
  <c r="J130" i="1813" s="1"/>
  <c r="R612" i="1812"/>
  <c r="F110" i="1811" s="1"/>
  <c r="F130" i="1813" s="1"/>
  <c r="AH611" i="1812"/>
  <c r="V109" i="1811" s="1"/>
  <c r="V129" i="1813" s="1"/>
  <c r="V91" i="1821" s="1"/>
  <c r="AD611" i="1812"/>
  <c r="R109" i="1811" s="1"/>
  <c r="R129" i="1813" s="1"/>
  <c r="R91" i="1821" s="1"/>
  <c r="Z611" i="1812"/>
  <c r="V611" i="1812"/>
  <c r="R611" i="1812"/>
  <c r="BF607" i="1812"/>
  <c r="BE607" i="1812"/>
  <c r="BD607" i="1812"/>
  <c r="BC607" i="1812"/>
  <c r="BB607" i="1812"/>
  <c r="AJ607" i="1812"/>
  <c r="AI607" i="1812"/>
  <c r="AG607" i="1812"/>
  <c r="AF607" i="1812"/>
  <c r="AE607" i="1812"/>
  <c r="AC607" i="1812"/>
  <c r="AB607" i="1812"/>
  <c r="AA607" i="1812"/>
  <c r="Y607" i="1812"/>
  <c r="X607" i="1812"/>
  <c r="W607" i="1812"/>
  <c r="U607" i="1812"/>
  <c r="T607" i="1812"/>
  <c r="S607" i="1812"/>
  <c r="AK606" i="1812"/>
  <c r="AL606" i="1812" s="1"/>
  <c r="BG606" i="1812" s="1"/>
  <c r="AM606" i="1812" s="1"/>
  <c r="AN606" i="1812" s="1"/>
  <c r="AO606" i="1812" s="1"/>
  <c r="AP606" i="1812" s="1"/>
  <c r="BH606" i="1812" s="1"/>
  <c r="BI606" i="1812" s="1"/>
  <c r="BJ606" i="1812" s="1"/>
  <c r="BK606" i="1812" s="1"/>
  <c r="AH606" i="1812"/>
  <c r="V104" i="1811" s="1"/>
  <c r="V124" i="1813" s="1"/>
  <c r="AD606" i="1812"/>
  <c r="R104" i="1811" s="1"/>
  <c r="R124" i="1813" s="1"/>
  <c r="Z606" i="1812"/>
  <c r="N104" i="1811" s="1"/>
  <c r="N124" i="1813" s="1"/>
  <c r="V606" i="1812"/>
  <c r="J104" i="1811" s="1"/>
  <c r="J124" i="1813" s="1"/>
  <c r="R606" i="1812"/>
  <c r="F104" i="1811" s="1"/>
  <c r="F124" i="1813" s="1"/>
  <c r="AK605" i="1812"/>
  <c r="AL605" i="1812" s="1"/>
  <c r="BG605" i="1812" s="1"/>
  <c r="AM605" i="1812" s="1"/>
  <c r="AN605" i="1812" s="1"/>
  <c r="AO605" i="1812" s="1"/>
  <c r="AP605" i="1812" s="1"/>
  <c r="BH605" i="1812" s="1"/>
  <c r="BI605" i="1812" s="1"/>
  <c r="BJ605" i="1812" s="1"/>
  <c r="BK605" i="1812" s="1"/>
  <c r="AH605" i="1812"/>
  <c r="V103" i="1811" s="1"/>
  <c r="V123" i="1813" s="1"/>
  <c r="AD605" i="1812"/>
  <c r="R103" i="1811" s="1"/>
  <c r="R123" i="1813" s="1"/>
  <c r="AK604" i="1812"/>
  <c r="AL604" i="1812" s="1"/>
  <c r="BG604" i="1812" s="1"/>
  <c r="AM604" i="1812" s="1"/>
  <c r="AN604" i="1812" s="1"/>
  <c r="AO604" i="1812" s="1"/>
  <c r="AP604" i="1812" s="1"/>
  <c r="BH604" i="1812" s="1"/>
  <c r="BI604" i="1812" s="1"/>
  <c r="BJ604" i="1812" s="1"/>
  <c r="BK604" i="1812" s="1"/>
  <c r="AH604" i="1812"/>
  <c r="V102" i="1811" s="1"/>
  <c r="V122" i="1813" s="1"/>
  <c r="AD604" i="1812"/>
  <c r="R102" i="1811" s="1"/>
  <c r="R122" i="1813" s="1"/>
  <c r="Z604" i="1812"/>
  <c r="N102" i="1811" s="1"/>
  <c r="N122" i="1813" s="1"/>
  <c r="AH603" i="1812"/>
  <c r="V101" i="1811" s="1"/>
  <c r="V121" i="1813" s="1"/>
  <c r="AD603" i="1812"/>
  <c r="R101" i="1811" s="1"/>
  <c r="R121" i="1813" s="1"/>
  <c r="Z603" i="1812"/>
  <c r="N101" i="1811" s="1"/>
  <c r="N121" i="1813" s="1"/>
  <c r="V603" i="1812"/>
  <c r="J101" i="1811" s="1"/>
  <c r="J121" i="1813" s="1"/>
  <c r="R603" i="1812"/>
  <c r="F101" i="1811" s="1"/>
  <c r="F121" i="1813" s="1"/>
  <c r="AK602" i="1812"/>
  <c r="AL602" i="1812" s="1"/>
  <c r="BG602" i="1812" s="1"/>
  <c r="AM602" i="1812" s="1"/>
  <c r="AN602" i="1812" s="1"/>
  <c r="AO602" i="1812" s="1"/>
  <c r="AP602" i="1812" s="1"/>
  <c r="BH602" i="1812" s="1"/>
  <c r="BI602" i="1812" s="1"/>
  <c r="BJ602" i="1812" s="1"/>
  <c r="BK602" i="1812" s="1"/>
  <c r="AH602" i="1812"/>
  <c r="V100" i="1811" s="1"/>
  <c r="V120" i="1813" s="1"/>
  <c r="V86" i="1821" s="1"/>
  <c r="AD602" i="1812"/>
  <c r="R100" i="1811" s="1"/>
  <c r="R120" i="1813" s="1"/>
  <c r="R86" i="1821" s="1"/>
  <c r="Z602" i="1812"/>
  <c r="N100" i="1811" s="1"/>
  <c r="N120" i="1813" s="1"/>
  <c r="V602" i="1812"/>
  <c r="J100" i="1811" s="1"/>
  <c r="J120" i="1813" s="1"/>
  <c r="R602" i="1812"/>
  <c r="F100" i="1811" s="1"/>
  <c r="F120" i="1813" s="1"/>
  <c r="AH601" i="1812"/>
  <c r="AH562" i="1812" s="1"/>
  <c r="AD601" i="1812"/>
  <c r="R99" i="1811" s="1"/>
  <c r="R119" i="1813" s="1"/>
  <c r="Z601" i="1812"/>
  <c r="Z562" i="1812" s="1"/>
  <c r="V601" i="1812"/>
  <c r="J99" i="1811" s="1"/>
  <c r="J119" i="1813" s="1"/>
  <c r="R601" i="1812"/>
  <c r="BF598" i="1812"/>
  <c r="BE598" i="1812"/>
  <c r="BD598" i="1812"/>
  <c r="BC598" i="1812"/>
  <c r="BB598" i="1812"/>
  <c r="AJ598" i="1812"/>
  <c r="AI598" i="1812"/>
  <c r="AG598" i="1812"/>
  <c r="AF598" i="1812"/>
  <c r="AE598" i="1812"/>
  <c r="AC598" i="1812"/>
  <c r="AB598" i="1812"/>
  <c r="AA598" i="1812"/>
  <c r="Y598" i="1812"/>
  <c r="X598" i="1812"/>
  <c r="W598" i="1812"/>
  <c r="U598" i="1812"/>
  <c r="T598" i="1812"/>
  <c r="S598" i="1812"/>
  <c r="AK597" i="1812"/>
  <c r="AL597" i="1812" s="1"/>
  <c r="BG597" i="1812" s="1"/>
  <c r="AM597" i="1812" s="1"/>
  <c r="AN597" i="1812" s="1"/>
  <c r="AO597" i="1812" s="1"/>
  <c r="AP597" i="1812" s="1"/>
  <c r="BH597" i="1812" s="1"/>
  <c r="AH597" i="1812"/>
  <c r="V97" i="1811" s="1"/>
  <c r="V117" i="1813" s="1"/>
  <c r="AD597" i="1812"/>
  <c r="R97" i="1811" s="1"/>
  <c r="R117" i="1813" s="1"/>
  <c r="Z597" i="1812"/>
  <c r="V597" i="1812"/>
  <c r="R597" i="1812"/>
  <c r="AK596" i="1812"/>
  <c r="AL596" i="1812" s="1"/>
  <c r="BG596" i="1812" s="1"/>
  <c r="AM596" i="1812" s="1"/>
  <c r="AN596" i="1812" s="1"/>
  <c r="AO596" i="1812" s="1"/>
  <c r="AP596" i="1812" s="1"/>
  <c r="BH596" i="1812" s="1"/>
  <c r="BI596" i="1812" s="1"/>
  <c r="BJ596" i="1812" s="1"/>
  <c r="BK596" i="1812" s="1"/>
  <c r="AH595" i="1812"/>
  <c r="V95" i="1811" s="1"/>
  <c r="V115" i="1813" s="1"/>
  <c r="AD595" i="1812"/>
  <c r="R95" i="1811" s="1"/>
  <c r="R115" i="1813" s="1"/>
  <c r="Z595" i="1812"/>
  <c r="N95" i="1811" s="1"/>
  <c r="N115" i="1813" s="1"/>
  <c r="V595" i="1812"/>
  <c r="J95" i="1811" s="1"/>
  <c r="J115" i="1813" s="1"/>
  <c r="R595" i="1812"/>
  <c r="F95" i="1811" s="1"/>
  <c r="F115" i="1813" s="1"/>
  <c r="AK594" i="1812"/>
  <c r="AL594" i="1812" s="1"/>
  <c r="BG594" i="1812" s="1"/>
  <c r="AM594" i="1812" s="1"/>
  <c r="AN594" i="1812" s="1"/>
  <c r="AO594" i="1812" s="1"/>
  <c r="AP594" i="1812" s="1"/>
  <c r="BH594" i="1812" s="1"/>
  <c r="BI594" i="1812" s="1"/>
  <c r="BJ594" i="1812" s="1"/>
  <c r="BK594" i="1812" s="1"/>
  <c r="AH594" i="1812"/>
  <c r="V94" i="1811" s="1"/>
  <c r="V114" i="1813" s="1"/>
  <c r="AD594" i="1812"/>
  <c r="R94" i="1811" s="1"/>
  <c r="R114" i="1813" s="1"/>
  <c r="Z594" i="1812"/>
  <c r="N94" i="1811" s="1"/>
  <c r="N114" i="1813" s="1"/>
  <c r="V594" i="1812"/>
  <c r="J94" i="1811" s="1"/>
  <c r="J114" i="1813" s="1"/>
  <c r="R594" i="1812"/>
  <c r="F94" i="1811" s="1"/>
  <c r="F114" i="1813" s="1"/>
  <c r="AH593" i="1812"/>
  <c r="V93" i="1811" s="1"/>
  <c r="V113" i="1813" s="1"/>
  <c r="V83" i="1821" s="1"/>
  <c r="AD593" i="1812"/>
  <c r="R93" i="1811" s="1"/>
  <c r="R113" i="1813" s="1"/>
  <c r="R83" i="1821" s="1"/>
  <c r="Z593" i="1812"/>
  <c r="N93" i="1811" s="1"/>
  <c r="N113" i="1813" s="1"/>
  <c r="V593" i="1812"/>
  <c r="J93" i="1811" s="1"/>
  <c r="J113" i="1813" s="1"/>
  <c r="R593" i="1812"/>
  <c r="F93" i="1811" s="1"/>
  <c r="F113" i="1813" s="1"/>
  <c r="AH592" i="1812"/>
  <c r="AH379" i="1812" s="1"/>
  <c r="AD592" i="1812"/>
  <c r="R92" i="1811" s="1"/>
  <c r="R112" i="1813" s="1"/>
  <c r="Z592" i="1812"/>
  <c r="N92" i="1811" s="1"/>
  <c r="N112" i="1813" s="1"/>
  <c r="N106" i="1814" s="1"/>
  <c r="V592" i="1812"/>
  <c r="J92" i="1811" s="1"/>
  <c r="J112" i="1813" s="1"/>
  <c r="J106" i="1814" s="1"/>
  <c r="R592" i="1812"/>
  <c r="F92" i="1811" s="1"/>
  <c r="F112" i="1813" s="1"/>
  <c r="BH577" i="1812"/>
  <c r="BK576" i="1812"/>
  <c r="BK566" i="1812" s="1"/>
  <c r="BJ576" i="1812"/>
  <c r="BJ560" i="1812" s="1"/>
  <c r="BI576" i="1812"/>
  <c r="BI566" i="1812" s="1"/>
  <c r="AP576" i="1812"/>
  <c r="AP566" i="1812" s="1"/>
  <c r="AO576" i="1812"/>
  <c r="AO560" i="1812" s="1"/>
  <c r="AN576" i="1812"/>
  <c r="AN566" i="1812" s="1"/>
  <c r="AM576" i="1812"/>
  <c r="AM566" i="1812" s="1"/>
  <c r="AL576" i="1812"/>
  <c r="AL560" i="1812" s="1"/>
  <c r="AK576" i="1812"/>
  <c r="AK560" i="1812" s="1"/>
  <c r="BH571" i="1812"/>
  <c r="BH570" i="1812"/>
  <c r="BF568" i="1812"/>
  <c r="BG564" i="1812" s="1"/>
  <c r="BE568" i="1812"/>
  <c r="AE564" i="1812" s="1"/>
  <c r="BD568" i="1812"/>
  <c r="AA564" i="1812" s="1"/>
  <c r="BC568" i="1812"/>
  <c r="BD564" i="1812" s="1"/>
  <c r="BB568" i="1812"/>
  <c r="BC564" i="1812" s="1"/>
  <c r="AJ568" i="1812"/>
  <c r="AI568" i="1812"/>
  <c r="AJ564" i="1812" s="1"/>
  <c r="AG568" i="1812"/>
  <c r="AH564" i="1812" s="1"/>
  <c r="AF568" i="1812"/>
  <c r="AG564" i="1812" s="1"/>
  <c r="AE568" i="1812"/>
  <c r="AF564" i="1812" s="1"/>
  <c r="AC568" i="1812"/>
  <c r="AD564" i="1812" s="1"/>
  <c r="AB568" i="1812"/>
  <c r="AA568" i="1812"/>
  <c r="AB564" i="1812" s="1"/>
  <c r="Y568" i="1812"/>
  <c r="Z564" i="1812" s="1"/>
  <c r="X568" i="1812"/>
  <c r="Y564" i="1812" s="1"/>
  <c r="BF562" i="1812"/>
  <c r="AI558" i="1812" s="1"/>
  <c r="BE562" i="1812"/>
  <c r="BD562" i="1812"/>
  <c r="AA558" i="1812" s="1"/>
  <c r="BC562" i="1812"/>
  <c r="BD558" i="1812" s="1"/>
  <c r="BB562" i="1812"/>
  <c r="BC558" i="1812" s="1"/>
  <c r="AJ562" i="1812"/>
  <c r="AK558" i="1812" s="1"/>
  <c r="AI562" i="1812"/>
  <c r="AJ558" i="1812" s="1"/>
  <c r="AG562" i="1812"/>
  <c r="AH558" i="1812" s="1"/>
  <c r="AF562" i="1812"/>
  <c r="AG558" i="1812" s="1"/>
  <c r="AE562" i="1812"/>
  <c r="AC562" i="1812"/>
  <c r="AD558" i="1812" s="1"/>
  <c r="AB562" i="1812"/>
  <c r="AC558" i="1812" s="1"/>
  <c r="AA562" i="1812"/>
  <c r="AB558" i="1812" s="1"/>
  <c r="Y562" i="1812"/>
  <c r="Z558" i="1812" s="1"/>
  <c r="X562" i="1812"/>
  <c r="Y558" i="1812" s="1"/>
  <c r="S555" i="1812"/>
  <c r="BF553" i="1812"/>
  <c r="BE553" i="1812"/>
  <c r="BD553" i="1812"/>
  <c r="AS202" i="1811" s="1"/>
  <c r="AS222" i="1813" s="1"/>
  <c r="BC553" i="1812"/>
  <c r="AR202" i="1811" s="1"/>
  <c r="AR222" i="1813" s="1"/>
  <c r="AH112" i="1814" s="1"/>
  <c r="BB553" i="1812"/>
  <c r="AQ202" i="1811" s="1"/>
  <c r="AQ222" i="1813" s="1"/>
  <c r="AG112" i="1814" s="1"/>
  <c r="AJ553" i="1812"/>
  <c r="X202" i="1811" s="1"/>
  <c r="X222" i="1813" s="1"/>
  <c r="X112" i="1814" s="1"/>
  <c r="AI553" i="1812"/>
  <c r="W202" i="1811" s="1"/>
  <c r="W222" i="1813" s="1"/>
  <c r="W112" i="1814" s="1"/>
  <c r="AG553" i="1812"/>
  <c r="U202" i="1811" s="1"/>
  <c r="U222" i="1813" s="1"/>
  <c r="U112" i="1814" s="1"/>
  <c r="AF553" i="1812"/>
  <c r="T202" i="1811" s="1"/>
  <c r="T222" i="1813" s="1"/>
  <c r="T112" i="1814" s="1"/>
  <c r="AE553" i="1812"/>
  <c r="S202" i="1811" s="1"/>
  <c r="S222" i="1813" s="1"/>
  <c r="S112" i="1814" s="1"/>
  <c r="AC553" i="1812"/>
  <c r="Q202" i="1811" s="1"/>
  <c r="Q222" i="1813" s="1"/>
  <c r="Q112" i="1814" s="1"/>
  <c r="AB553" i="1812"/>
  <c r="P202" i="1811" s="1"/>
  <c r="P222" i="1813" s="1"/>
  <c r="P112" i="1814" s="1"/>
  <c r="AA553" i="1812"/>
  <c r="O202" i="1811" s="1"/>
  <c r="O222" i="1813" s="1"/>
  <c r="O112" i="1814" s="1"/>
  <c r="Y553" i="1812"/>
  <c r="M202" i="1811" s="1"/>
  <c r="M222" i="1813" s="1"/>
  <c r="M112" i="1814" s="1"/>
  <c r="X553" i="1812"/>
  <c r="L202" i="1811" s="1"/>
  <c r="L222" i="1813" s="1"/>
  <c r="L112" i="1814" s="1"/>
  <c r="W553" i="1812"/>
  <c r="K202" i="1811" s="1"/>
  <c r="K222" i="1813" s="1"/>
  <c r="K112" i="1814" s="1"/>
  <c r="U553" i="1812"/>
  <c r="I202" i="1811" s="1"/>
  <c r="I222" i="1813" s="1"/>
  <c r="I112" i="1814" s="1"/>
  <c r="T553" i="1812"/>
  <c r="A553" i="1812"/>
  <c r="BF552" i="1812"/>
  <c r="BE552" i="1812"/>
  <c r="BD552" i="1812"/>
  <c r="AS201" i="1811" s="1"/>
  <c r="AS221" i="1813" s="1"/>
  <c r="BC552" i="1812"/>
  <c r="AR201" i="1811" s="1"/>
  <c r="AR221" i="1813" s="1"/>
  <c r="BB552" i="1812"/>
  <c r="AQ201" i="1811" s="1"/>
  <c r="AQ221" i="1813" s="1"/>
  <c r="AJ552" i="1812"/>
  <c r="X201" i="1811" s="1"/>
  <c r="X221" i="1813" s="1"/>
  <c r="AI552" i="1812"/>
  <c r="W201" i="1811" s="1"/>
  <c r="W221" i="1813" s="1"/>
  <c r="AG552" i="1812"/>
  <c r="U201" i="1811" s="1"/>
  <c r="U221" i="1813" s="1"/>
  <c r="AF552" i="1812"/>
  <c r="T201" i="1811" s="1"/>
  <c r="T221" i="1813" s="1"/>
  <c r="AE552" i="1812"/>
  <c r="S201" i="1811" s="1"/>
  <c r="S221" i="1813" s="1"/>
  <c r="AC552" i="1812"/>
  <c r="Q201" i="1811" s="1"/>
  <c r="Q221" i="1813" s="1"/>
  <c r="AB552" i="1812"/>
  <c r="P201" i="1811" s="1"/>
  <c r="P221" i="1813" s="1"/>
  <c r="AA552" i="1812"/>
  <c r="O201" i="1811" s="1"/>
  <c r="O221" i="1813" s="1"/>
  <c r="Y552" i="1812"/>
  <c r="M201" i="1811" s="1"/>
  <c r="M221" i="1813" s="1"/>
  <c r="X552" i="1812"/>
  <c r="L201" i="1811" s="1"/>
  <c r="L221" i="1813" s="1"/>
  <c r="W552" i="1812"/>
  <c r="K201" i="1811" s="1"/>
  <c r="K221" i="1813" s="1"/>
  <c r="U552" i="1812"/>
  <c r="I201" i="1811" s="1"/>
  <c r="I221" i="1813" s="1"/>
  <c r="T552" i="1812"/>
  <c r="A552" i="1812"/>
  <c r="A550" i="1812"/>
  <c r="A549" i="1812"/>
  <c r="A547" i="1812"/>
  <c r="BH546" i="1812"/>
  <c r="BF546" i="1812"/>
  <c r="BE546" i="1812"/>
  <c r="BD546" i="1812"/>
  <c r="AS193" i="1811" s="1"/>
  <c r="AS213" i="1813" s="1"/>
  <c r="BC546" i="1812"/>
  <c r="AR193" i="1811" s="1"/>
  <c r="AR213" i="1813" s="1"/>
  <c r="BB546" i="1812"/>
  <c r="AQ193" i="1811" s="1"/>
  <c r="AQ213" i="1813" s="1"/>
  <c r="AJ546" i="1812"/>
  <c r="X193" i="1811" s="1"/>
  <c r="X213" i="1813" s="1"/>
  <c r="AI546" i="1812"/>
  <c r="W193" i="1811" s="1"/>
  <c r="W213" i="1813" s="1"/>
  <c r="AG546" i="1812"/>
  <c r="U193" i="1811" s="1"/>
  <c r="U213" i="1813" s="1"/>
  <c r="AF546" i="1812"/>
  <c r="T193" i="1811" s="1"/>
  <c r="T213" i="1813" s="1"/>
  <c r="AE546" i="1812"/>
  <c r="S193" i="1811" s="1"/>
  <c r="S213" i="1813" s="1"/>
  <c r="AC546" i="1812"/>
  <c r="Q193" i="1811" s="1"/>
  <c r="Q213" i="1813" s="1"/>
  <c r="AB546" i="1812"/>
  <c r="P193" i="1811" s="1"/>
  <c r="P213" i="1813" s="1"/>
  <c r="AA546" i="1812"/>
  <c r="O193" i="1811" s="1"/>
  <c r="O213" i="1813" s="1"/>
  <c r="Y546" i="1812"/>
  <c r="M193" i="1811" s="1"/>
  <c r="M213" i="1813" s="1"/>
  <c r="X546" i="1812"/>
  <c r="L193" i="1811" s="1"/>
  <c r="L213" i="1813" s="1"/>
  <c r="W546" i="1812"/>
  <c r="K193" i="1811" s="1"/>
  <c r="K213" i="1813" s="1"/>
  <c r="U546" i="1812"/>
  <c r="I193" i="1811" s="1"/>
  <c r="I213" i="1813" s="1"/>
  <c r="T546" i="1812"/>
  <c r="S546" i="1812"/>
  <c r="A546" i="1812"/>
  <c r="A544" i="1812"/>
  <c r="BF543" i="1812"/>
  <c r="BF362" i="1812" s="1"/>
  <c r="BE543" i="1812"/>
  <c r="BE362" i="1812" s="1"/>
  <c r="BD543" i="1812"/>
  <c r="BD362" i="1812" s="1"/>
  <c r="BC543" i="1812"/>
  <c r="BC362" i="1812" s="1"/>
  <c r="BB543" i="1812"/>
  <c r="BB362" i="1812" s="1"/>
  <c r="AJ543" i="1812"/>
  <c r="AJ362" i="1812" s="1"/>
  <c r="AI543" i="1812"/>
  <c r="AI362" i="1812" s="1"/>
  <c r="AG543" i="1812"/>
  <c r="AG362" i="1812" s="1"/>
  <c r="AF543" i="1812"/>
  <c r="AF362" i="1812" s="1"/>
  <c r="AE543" i="1812"/>
  <c r="AE362" i="1812" s="1"/>
  <c r="AC543" i="1812"/>
  <c r="AC362" i="1812" s="1"/>
  <c r="AB543" i="1812"/>
  <c r="AB362" i="1812" s="1"/>
  <c r="AA543" i="1812"/>
  <c r="AA362" i="1812" s="1"/>
  <c r="Y543" i="1812"/>
  <c r="Y362" i="1812" s="1"/>
  <c r="X543" i="1812"/>
  <c r="X362" i="1812" s="1"/>
  <c r="W543" i="1812"/>
  <c r="W362" i="1812" s="1"/>
  <c r="U543" i="1812"/>
  <c r="U362" i="1812" s="1"/>
  <c r="T543" i="1812"/>
  <c r="T362" i="1812" s="1"/>
  <c r="S543" i="1812"/>
  <c r="S362" i="1812" s="1"/>
  <c r="A543" i="1812"/>
  <c r="BH542" i="1812"/>
  <c r="BF542" i="1812"/>
  <c r="BE542" i="1812"/>
  <c r="BD542" i="1812"/>
  <c r="AS190" i="1811" s="1"/>
  <c r="AS210" i="1813" s="1"/>
  <c r="BC542" i="1812"/>
  <c r="AR190" i="1811" s="1"/>
  <c r="AR210" i="1813" s="1"/>
  <c r="BB542" i="1812"/>
  <c r="AQ190" i="1811" s="1"/>
  <c r="AQ210" i="1813" s="1"/>
  <c r="AJ542" i="1812"/>
  <c r="X190" i="1811" s="1"/>
  <c r="X210" i="1813" s="1"/>
  <c r="AI542" i="1812"/>
  <c r="W190" i="1811" s="1"/>
  <c r="W210" i="1813" s="1"/>
  <c r="AG542" i="1812"/>
  <c r="U190" i="1811" s="1"/>
  <c r="U210" i="1813" s="1"/>
  <c r="AF542" i="1812"/>
  <c r="T190" i="1811" s="1"/>
  <c r="T210" i="1813" s="1"/>
  <c r="AE542" i="1812"/>
  <c r="S190" i="1811" s="1"/>
  <c r="S210" i="1813" s="1"/>
  <c r="AC542" i="1812"/>
  <c r="Q190" i="1811" s="1"/>
  <c r="Q210" i="1813" s="1"/>
  <c r="AB542" i="1812"/>
  <c r="P190" i="1811" s="1"/>
  <c r="P210" i="1813" s="1"/>
  <c r="AA542" i="1812"/>
  <c r="O190" i="1811" s="1"/>
  <c r="O210" i="1813" s="1"/>
  <c r="Y542" i="1812"/>
  <c r="M190" i="1811" s="1"/>
  <c r="M210" i="1813" s="1"/>
  <c r="X542" i="1812"/>
  <c r="L190" i="1811" s="1"/>
  <c r="L210" i="1813" s="1"/>
  <c r="W542" i="1812"/>
  <c r="K190" i="1811" s="1"/>
  <c r="K210" i="1813" s="1"/>
  <c r="U542" i="1812"/>
  <c r="I190" i="1811" s="1"/>
  <c r="I210" i="1813" s="1"/>
  <c r="T542" i="1812"/>
  <c r="S542" i="1812"/>
  <c r="A542" i="1812"/>
  <c r="BH541" i="1812"/>
  <c r="BF541" i="1812"/>
  <c r="BE541" i="1812"/>
  <c r="BD541" i="1812"/>
  <c r="AS189" i="1811" s="1"/>
  <c r="AS209" i="1813" s="1"/>
  <c r="BC541" i="1812"/>
  <c r="AR189" i="1811" s="1"/>
  <c r="AR209" i="1813" s="1"/>
  <c r="BB541" i="1812"/>
  <c r="AQ189" i="1811" s="1"/>
  <c r="AQ209" i="1813" s="1"/>
  <c r="AJ541" i="1812"/>
  <c r="X189" i="1811" s="1"/>
  <c r="X209" i="1813" s="1"/>
  <c r="AI541" i="1812"/>
  <c r="W189" i="1811" s="1"/>
  <c r="W209" i="1813" s="1"/>
  <c r="AG541" i="1812"/>
  <c r="U189" i="1811" s="1"/>
  <c r="U209" i="1813" s="1"/>
  <c r="AF541" i="1812"/>
  <c r="T189" i="1811" s="1"/>
  <c r="T209" i="1813" s="1"/>
  <c r="AE541" i="1812"/>
  <c r="S189" i="1811" s="1"/>
  <c r="S209" i="1813" s="1"/>
  <c r="AC541" i="1812"/>
  <c r="Q189" i="1811" s="1"/>
  <c r="Q209" i="1813" s="1"/>
  <c r="AB541" i="1812"/>
  <c r="P189" i="1811" s="1"/>
  <c r="P209" i="1813" s="1"/>
  <c r="AA541" i="1812"/>
  <c r="O189" i="1811" s="1"/>
  <c r="O209" i="1813" s="1"/>
  <c r="Y541" i="1812"/>
  <c r="M189" i="1811" s="1"/>
  <c r="M209" i="1813" s="1"/>
  <c r="X541" i="1812"/>
  <c r="L189" i="1811" s="1"/>
  <c r="L209" i="1813" s="1"/>
  <c r="W541" i="1812"/>
  <c r="K189" i="1811" s="1"/>
  <c r="K209" i="1813" s="1"/>
  <c r="U541" i="1812"/>
  <c r="I189" i="1811" s="1"/>
  <c r="I209" i="1813" s="1"/>
  <c r="T541" i="1812"/>
  <c r="S541" i="1812"/>
  <c r="A541" i="1812"/>
  <c r="BH540" i="1812"/>
  <c r="BF540" i="1812"/>
  <c r="BE540" i="1812"/>
  <c r="BD540" i="1812"/>
  <c r="AS182" i="1811" s="1"/>
  <c r="AS202" i="1813" s="1"/>
  <c r="BC540" i="1812"/>
  <c r="AR182" i="1811" s="1"/>
  <c r="AR202" i="1813" s="1"/>
  <c r="BB540" i="1812"/>
  <c r="AQ182" i="1811" s="1"/>
  <c r="AQ202" i="1813" s="1"/>
  <c r="AJ540" i="1812"/>
  <c r="X182" i="1811" s="1"/>
  <c r="X202" i="1813" s="1"/>
  <c r="AI540" i="1812"/>
  <c r="AG540" i="1812"/>
  <c r="U182" i="1811" s="1"/>
  <c r="U202" i="1813" s="1"/>
  <c r="AF540" i="1812"/>
  <c r="T182" i="1811" s="1"/>
  <c r="T202" i="1813" s="1"/>
  <c r="AE540" i="1812"/>
  <c r="S182" i="1811" s="1"/>
  <c r="S202" i="1813" s="1"/>
  <c r="AD540" i="1812"/>
  <c r="R182" i="1811" s="1"/>
  <c r="R202" i="1813" s="1"/>
  <c r="AC540" i="1812"/>
  <c r="Q182" i="1811" s="1"/>
  <c r="Q202" i="1813" s="1"/>
  <c r="AB540" i="1812"/>
  <c r="P182" i="1811" s="1"/>
  <c r="P202" i="1813" s="1"/>
  <c r="AA540" i="1812"/>
  <c r="O182" i="1811" s="1"/>
  <c r="O202" i="1813" s="1"/>
  <c r="Z540" i="1812"/>
  <c r="N182" i="1811" s="1"/>
  <c r="N202" i="1813" s="1"/>
  <c r="Y540" i="1812"/>
  <c r="M182" i="1811" s="1"/>
  <c r="M202" i="1813" s="1"/>
  <c r="X540" i="1812"/>
  <c r="L182" i="1811" s="1"/>
  <c r="L202" i="1813" s="1"/>
  <c r="W540" i="1812"/>
  <c r="K182" i="1811" s="1"/>
  <c r="K202" i="1813" s="1"/>
  <c r="V540" i="1812"/>
  <c r="J182" i="1811" s="1"/>
  <c r="J202" i="1813" s="1"/>
  <c r="U540" i="1812"/>
  <c r="I182" i="1811" s="1"/>
  <c r="I202" i="1813" s="1"/>
  <c r="T540" i="1812"/>
  <c r="S540" i="1812"/>
  <c r="A540" i="1812"/>
  <c r="BH539" i="1812"/>
  <c r="BF539" i="1812"/>
  <c r="BE539" i="1812"/>
  <c r="AT188" i="1811" s="1"/>
  <c r="AT208" i="1813" s="1"/>
  <c r="BD539" i="1812"/>
  <c r="AS188" i="1811" s="1"/>
  <c r="AS208" i="1813" s="1"/>
  <c r="BC539" i="1812"/>
  <c r="AR188" i="1811" s="1"/>
  <c r="AR208" i="1813" s="1"/>
  <c r="BB539" i="1812"/>
  <c r="AQ188" i="1811" s="1"/>
  <c r="AQ208" i="1813" s="1"/>
  <c r="AJ539" i="1812"/>
  <c r="AI539" i="1812"/>
  <c r="W188" i="1811" s="1"/>
  <c r="W208" i="1813" s="1"/>
  <c r="AG539" i="1812"/>
  <c r="U188" i="1811" s="1"/>
  <c r="U208" i="1813" s="1"/>
  <c r="AF539" i="1812"/>
  <c r="T188" i="1811" s="1"/>
  <c r="T208" i="1813" s="1"/>
  <c r="AE539" i="1812"/>
  <c r="S188" i="1811" s="1"/>
  <c r="S208" i="1813" s="1"/>
  <c r="AC539" i="1812"/>
  <c r="Q188" i="1811" s="1"/>
  <c r="Q208" i="1813" s="1"/>
  <c r="AB539" i="1812"/>
  <c r="P188" i="1811" s="1"/>
  <c r="P208" i="1813" s="1"/>
  <c r="AA539" i="1812"/>
  <c r="O188" i="1811" s="1"/>
  <c r="O208" i="1813" s="1"/>
  <c r="Z539" i="1812"/>
  <c r="N188" i="1811" s="1"/>
  <c r="N208" i="1813" s="1"/>
  <c r="Y539" i="1812"/>
  <c r="M188" i="1811" s="1"/>
  <c r="M208" i="1813" s="1"/>
  <c r="X539" i="1812"/>
  <c r="L188" i="1811" s="1"/>
  <c r="L208" i="1813" s="1"/>
  <c r="W539" i="1812"/>
  <c r="K188" i="1811" s="1"/>
  <c r="K208" i="1813" s="1"/>
  <c r="V539" i="1812"/>
  <c r="J188" i="1811" s="1"/>
  <c r="J208" i="1813" s="1"/>
  <c r="U539" i="1812"/>
  <c r="I188" i="1811" s="1"/>
  <c r="I208" i="1813" s="1"/>
  <c r="T539" i="1812"/>
  <c r="S539" i="1812"/>
  <c r="A539" i="1812"/>
  <c r="BH538" i="1812"/>
  <c r="BF538" i="1812"/>
  <c r="BE538" i="1812"/>
  <c r="AT187" i="1811" s="1"/>
  <c r="AT207" i="1813" s="1"/>
  <c r="BD538" i="1812"/>
  <c r="AS187" i="1811" s="1"/>
  <c r="AS207" i="1813" s="1"/>
  <c r="BC538" i="1812"/>
  <c r="AR187" i="1811" s="1"/>
  <c r="AR207" i="1813" s="1"/>
  <c r="BB538" i="1812"/>
  <c r="AQ187" i="1811" s="1"/>
  <c r="AQ207" i="1813" s="1"/>
  <c r="AJ538" i="1812"/>
  <c r="X187" i="1811" s="1"/>
  <c r="X207" i="1813" s="1"/>
  <c r="AI538" i="1812"/>
  <c r="W187" i="1811" s="1"/>
  <c r="W207" i="1813" s="1"/>
  <c r="AG538" i="1812"/>
  <c r="U187" i="1811" s="1"/>
  <c r="U207" i="1813" s="1"/>
  <c r="AF538" i="1812"/>
  <c r="T187" i="1811" s="1"/>
  <c r="T207" i="1813" s="1"/>
  <c r="AE538" i="1812"/>
  <c r="S187" i="1811" s="1"/>
  <c r="S207" i="1813" s="1"/>
  <c r="AC538" i="1812"/>
  <c r="Q187" i="1811" s="1"/>
  <c r="Q207" i="1813" s="1"/>
  <c r="AB538" i="1812"/>
  <c r="P187" i="1811" s="1"/>
  <c r="P207" i="1813" s="1"/>
  <c r="AA538" i="1812"/>
  <c r="O187" i="1811" s="1"/>
  <c r="O207" i="1813" s="1"/>
  <c r="Y538" i="1812"/>
  <c r="M187" i="1811" s="1"/>
  <c r="M207" i="1813" s="1"/>
  <c r="X538" i="1812"/>
  <c r="L187" i="1811" s="1"/>
  <c r="L207" i="1813" s="1"/>
  <c r="W538" i="1812"/>
  <c r="K187" i="1811" s="1"/>
  <c r="K207" i="1813" s="1"/>
  <c r="U538" i="1812"/>
  <c r="I187" i="1811" s="1"/>
  <c r="I207" i="1813" s="1"/>
  <c r="T538" i="1812"/>
  <c r="S538" i="1812"/>
  <c r="A538" i="1812"/>
  <c r="BH537" i="1812"/>
  <c r="BF537" i="1812"/>
  <c r="BE537" i="1812"/>
  <c r="AT186" i="1811" s="1"/>
  <c r="AT206" i="1813" s="1"/>
  <c r="BD537" i="1812"/>
  <c r="AS186" i="1811" s="1"/>
  <c r="AS206" i="1813" s="1"/>
  <c r="BC537" i="1812"/>
  <c r="AR186" i="1811" s="1"/>
  <c r="AR206" i="1813" s="1"/>
  <c r="BB537" i="1812"/>
  <c r="AQ186" i="1811" s="1"/>
  <c r="AQ206" i="1813" s="1"/>
  <c r="AJ537" i="1812"/>
  <c r="AI537" i="1812"/>
  <c r="W186" i="1811" s="1"/>
  <c r="W206" i="1813" s="1"/>
  <c r="AG537" i="1812"/>
  <c r="U186" i="1811" s="1"/>
  <c r="U206" i="1813" s="1"/>
  <c r="AF537" i="1812"/>
  <c r="T186" i="1811" s="1"/>
  <c r="T206" i="1813" s="1"/>
  <c r="AE537" i="1812"/>
  <c r="S186" i="1811" s="1"/>
  <c r="S206" i="1813" s="1"/>
  <c r="AC537" i="1812"/>
  <c r="Q186" i="1811" s="1"/>
  <c r="Q206" i="1813" s="1"/>
  <c r="AB537" i="1812"/>
  <c r="P186" i="1811" s="1"/>
  <c r="P206" i="1813" s="1"/>
  <c r="AA537" i="1812"/>
  <c r="O186" i="1811" s="1"/>
  <c r="O206" i="1813" s="1"/>
  <c r="Y537" i="1812"/>
  <c r="M186" i="1811" s="1"/>
  <c r="M206" i="1813" s="1"/>
  <c r="X537" i="1812"/>
  <c r="L186" i="1811" s="1"/>
  <c r="L206" i="1813" s="1"/>
  <c r="W537" i="1812"/>
  <c r="K186" i="1811" s="1"/>
  <c r="K206" i="1813" s="1"/>
  <c r="U537" i="1812"/>
  <c r="I186" i="1811" s="1"/>
  <c r="I206" i="1813" s="1"/>
  <c r="T537" i="1812"/>
  <c r="S537" i="1812"/>
  <c r="A537" i="1812"/>
  <c r="BH536" i="1812"/>
  <c r="BF536" i="1812"/>
  <c r="BE536" i="1812"/>
  <c r="AT185" i="1811" s="1"/>
  <c r="AT205" i="1813" s="1"/>
  <c r="BD536" i="1812"/>
  <c r="AS185" i="1811" s="1"/>
  <c r="AS205" i="1813" s="1"/>
  <c r="BC536" i="1812"/>
  <c r="AR185" i="1811" s="1"/>
  <c r="AR205" i="1813" s="1"/>
  <c r="BB536" i="1812"/>
  <c r="AQ185" i="1811" s="1"/>
  <c r="AQ205" i="1813" s="1"/>
  <c r="AJ536" i="1812"/>
  <c r="AI536" i="1812"/>
  <c r="W185" i="1811" s="1"/>
  <c r="W205" i="1813" s="1"/>
  <c r="AG536" i="1812"/>
  <c r="U185" i="1811" s="1"/>
  <c r="U205" i="1813" s="1"/>
  <c r="AF536" i="1812"/>
  <c r="T185" i="1811" s="1"/>
  <c r="T205" i="1813" s="1"/>
  <c r="AE536" i="1812"/>
  <c r="S185" i="1811" s="1"/>
  <c r="S205" i="1813" s="1"/>
  <c r="AC536" i="1812"/>
  <c r="Q185" i="1811" s="1"/>
  <c r="Q205" i="1813" s="1"/>
  <c r="AB536" i="1812"/>
  <c r="P185" i="1811" s="1"/>
  <c r="P205" i="1813" s="1"/>
  <c r="AA536" i="1812"/>
  <c r="O185" i="1811" s="1"/>
  <c r="O205" i="1813" s="1"/>
  <c r="Z536" i="1812"/>
  <c r="N185" i="1811" s="1"/>
  <c r="N205" i="1813" s="1"/>
  <c r="Y536" i="1812"/>
  <c r="M185" i="1811" s="1"/>
  <c r="M205" i="1813" s="1"/>
  <c r="X536" i="1812"/>
  <c r="L185" i="1811" s="1"/>
  <c r="L205" i="1813" s="1"/>
  <c r="W536" i="1812"/>
  <c r="K185" i="1811" s="1"/>
  <c r="K205" i="1813" s="1"/>
  <c r="V536" i="1812"/>
  <c r="J185" i="1811" s="1"/>
  <c r="J205" i="1813" s="1"/>
  <c r="U536" i="1812"/>
  <c r="I185" i="1811" s="1"/>
  <c r="I205" i="1813" s="1"/>
  <c r="T536" i="1812"/>
  <c r="S536" i="1812"/>
  <c r="A536" i="1812"/>
  <c r="BK535" i="1812"/>
  <c r="BJ535" i="1812"/>
  <c r="BI535" i="1812"/>
  <c r="BF535" i="1812"/>
  <c r="BE535" i="1812"/>
  <c r="BD535" i="1812"/>
  <c r="AS184" i="1811" s="1"/>
  <c r="AS204" i="1813" s="1"/>
  <c r="BC535" i="1812"/>
  <c r="AR184" i="1811" s="1"/>
  <c r="AR204" i="1813" s="1"/>
  <c r="BB535" i="1812"/>
  <c r="AQ184" i="1811" s="1"/>
  <c r="AQ204" i="1813" s="1"/>
  <c r="AP535" i="1812"/>
  <c r="AO535" i="1812"/>
  <c r="AN535" i="1812"/>
  <c r="AM535" i="1812"/>
  <c r="AL535" i="1812"/>
  <c r="AK535" i="1812"/>
  <c r="AJ535" i="1812"/>
  <c r="X184" i="1811" s="1"/>
  <c r="X204" i="1813" s="1"/>
  <c r="AI535" i="1812"/>
  <c r="AG535" i="1812"/>
  <c r="U184" i="1811" s="1"/>
  <c r="U204" i="1813" s="1"/>
  <c r="AF535" i="1812"/>
  <c r="T184" i="1811" s="1"/>
  <c r="T204" i="1813" s="1"/>
  <c r="AE535" i="1812"/>
  <c r="S184" i="1811" s="1"/>
  <c r="S204" i="1813" s="1"/>
  <c r="AC535" i="1812"/>
  <c r="Q184" i="1811" s="1"/>
  <c r="Q204" i="1813" s="1"/>
  <c r="AB535" i="1812"/>
  <c r="P184" i="1811" s="1"/>
  <c r="P204" i="1813" s="1"/>
  <c r="AA535" i="1812"/>
  <c r="O184" i="1811" s="1"/>
  <c r="O204" i="1813" s="1"/>
  <c r="Y535" i="1812"/>
  <c r="M184" i="1811" s="1"/>
  <c r="M204" i="1813" s="1"/>
  <c r="X535" i="1812"/>
  <c r="L184" i="1811" s="1"/>
  <c r="L204" i="1813" s="1"/>
  <c r="W535" i="1812"/>
  <c r="K184" i="1811" s="1"/>
  <c r="K204" i="1813" s="1"/>
  <c r="U535" i="1812"/>
  <c r="I184" i="1811" s="1"/>
  <c r="I204" i="1813" s="1"/>
  <c r="T535" i="1812"/>
  <c r="S535" i="1812"/>
  <c r="A535" i="1812"/>
  <c r="BH534" i="1812"/>
  <c r="BF534" i="1812"/>
  <c r="BE534" i="1812"/>
  <c r="AT179" i="1811" s="1"/>
  <c r="AT199" i="1813" s="1"/>
  <c r="BD534" i="1812"/>
  <c r="AS179" i="1811" s="1"/>
  <c r="AS199" i="1813" s="1"/>
  <c r="BC534" i="1812"/>
  <c r="AR179" i="1811" s="1"/>
  <c r="AR199" i="1813" s="1"/>
  <c r="AH114" i="1814" s="1"/>
  <c r="BB534" i="1812"/>
  <c r="AQ179" i="1811" s="1"/>
  <c r="AQ199" i="1813" s="1"/>
  <c r="AG114" i="1814" s="1"/>
  <c r="AJ534" i="1812"/>
  <c r="X179" i="1811" s="1"/>
  <c r="X199" i="1813" s="1"/>
  <c r="X114" i="1814" s="1"/>
  <c r="AI534" i="1812"/>
  <c r="AG534" i="1812"/>
  <c r="U179" i="1811" s="1"/>
  <c r="U199" i="1813" s="1"/>
  <c r="U114" i="1814" s="1"/>
  <c r="AF534" i="1812"/>
  <c r="T179" i="1811" s="1"/>
  <c r="T199" i="1813" s="1"/>
  <c r="T114" i="1814" s="1"/>
  <c r="AE534" i="1812"/>
  <c r="S179" i="1811" s="1"/>
  <c r="S199" i="1813" s="1"/>
  <c r="S114" i="1814" s="1"/>
  <c r="AC534" i="1812"/>
  <c r="Q179" i="1811" s="1"/>
  <c r="Q199" i="1813" s="1"/>
  <c r="Q114" i="1814" s="1"/>
  <c r="AB534" i="1812"/>
  <c r="P179" i="1811" s="1"/>
  <c r="P199" i="1813" s="1"/>
  <c r="P114" i="1814" s="1"/>
  <c r="AA534" i="1812"/>
  <c r="O179" i="1811" s="1"/>
  <c r="O199" i="1813" s="1"/>
  <c r="O114" i="1814" s="1"/>
  <c r="Y534" i="1812"/>
  <c r="M179" i="1811" s="1"/>
  <c r="M199" i="1813" s="1"/>
  <c r="M114" i="1814" s="1"/>
  <c r="X534" i="1812"/>
  <c r="L179" i="1811" s="1"/>
  <c r="L199" i="1813" s="1"/>
  <c r="L114" i="1814" s="1"/>
  <c r="W534" i="1812"/>
  <c r="K179" i="1811" s="1"/>
  <c r="K199" i="1813" s="1"/>
  <c r="K114" i="1814" s="1"/>
  <c r="V534" i="1812"/>
  <c r="J179" i="1811" s="1"/>
  <c r="J199" i="1813" s="1"/>
  <c r="J114" i="1814" s="1"/>
  <c r="U534" i="1812"/>
  <c r="I179" i="1811" s="1"/>
  <c r="I199" i="1813" s="1"/>
  <c r="I114" i="1814" s="1"/>
  <c r="T534" i="1812"/>
  <c r="S534" i="1812"/>
  <c r="A534" i="1812"/>
  <c r="BH533" i="1812"/>
  <c r="BF533" i="1812"/>
  <c r="BE533" i="1812"/>
  <c r="BD533" i="1812"/>
  <c r="AS183" i="1811" s="1"/>
  <c r="AS203" i="1813" s="1"/>
  <c r="BC533" i="1812"/>
  <c r="AR183" i="1811" s="1"/>
  <c r="AR203" i="1813" s="1"/>
  <c r="BB533" i="1812"/>
  <c r="AQ183" i="1811" s="1"/>
  <c r="AQ203" i="1813" s="1"/>
  <c r="AJ533" i="1812"/>
  <c r="X183" i="1811" s="1"/>
  <c r="X203" i="1813" s="1"/>
  <c r="AI533" i="1812"/>
  <c r="AG533" i="1812"/>
  <c r="U183" i="1811" s="1"/>
  <c r="U203" i="1813" s="1"/>
  <c r="AF533" i="1812"/>
  <c r="T183" i="1811" s="1"/>
  <c r="T203" i="1813" s="1"/>
  <c r="AE533" i="1812"/>
  <c r="S183" i="1811" s="1"/>
  <c r="S203" i="1813" s="1"/>
  <c r="AC533" i="1812"/>
  <c r="Q183" i="1811" s="1"/>
  <c r="Q203" i="1813" s="1"/>
  <c r="AB533" i="1812"/>
  <c r="P183" i="1811" s="1"/>
  <c r="P203" i="1813" s="1"/>
  <c r="AA533" i="1812"/>
  <c r="O183" i="1811" s="1"/>
  <c r="O203" i="1813" s="1"/>
  <c r="Y533" i="1812"/>
  <c r="M183" i="1811" s="1"/>
  <c r="M203" i="1813" s="1"/>
  <c r="X533" i="1812"/>
  <c r="L183" i="1811" s="1"/>
  <c r="L203" i="1813" s="1"/>
  <c r="W533" i="1812"/>
  <c r="K183" i="1811" s="1"/>
  <c r="K203" i="1813" s="1"/>
  <c r="V533" i="1812"/>
  <c r="J183" i="1811" s="1"/>
  <c r="J203" i="1813" s="1"/>
  <c r="U533" i="1812"/>
  <c r="I183" i="1811" s="1"/>
  <c r="I203" i="1813" s="1"/>
  <c r="T533" i="1812"/>
  <c r="S533" i="1812"/>
  <c r="A533" i="1812"/>
  <c r="BH532" i="1812"/>
  <c r="BF532" i="1812"/>
  <c r="BE532" i="1812"/>
  <c r="AT181" i="1811" s="1"/>
  <c r="AT201" i="1813" s="1"/>
  <c r="BD532" i="1812"/>
  <c r="AS181" i="1811" s="1"/>
  <c r="AS201" i="1813" s="1"/>
  <c r="BC532" i="1812"/>
  <c r="AR181" i="1811" s="1"/>
  <c r="AR201" i="1813" s="1"/>
  <c r="BB532" i="1812"/>
  <c r="AQ181" i="1811" s="1"/>
  <c r="AQ201" i="1813" s="1"/>
  <c r="AJ532" i="1812"/>
  <c r="X181" i="1811" s="1"/>
  <c r="X201" i="1813" s="1"/>
  <c r="AI532" i="1812"/>
  <c r="AG532" i="1812"/>
  <c r="U181" i="1811" s="1"/>
  <c r="U201" i="1813" s="1"/>
  <c r="AF532" i="1812"/>
  <c r="T181" i="1811" s="1"/>
  <c r="T201" i="1813" s="1"/>
  <c r="AE532" i="1812"/>
  <c r="S181" i="1811" s="1"/>
  <c r="S201" i="1813" s="1"/>
  <c r="AC532" i="1812"/>
  <c r="Q181" i="1811" s="1"/>
  <c r="Q201" i="1813" s="1"/>
  <c r="AB532" i="1812"/>
  <c r="P181" i="1811" s="1"/>
  <c r="P201" i="1813" s="1"/>
  <c r="AA532" i="1812"/>
  <c r="O181" i="1811" s="1"/>
  <c r="O201" i="1813" s="1"/>
  <c r="Y532" i="1812"/>
  <c r="M181" i="1811" s="1"/>
  <c r="M201" i="1813" s="1"/>
  <c r="X532" i="1812"/>
  <c r="L181" i="1811" s="1"/>
  <c r="L201" i="1813" s="1"/>
  <c r="W532" i="1812"/>
  <c r="K181" i="1811" s="1"/>
  <c r="K201" i="1813" s="1"/>
  <c r="V532" i="1812"/>
  <c r="J181" i="1811" s="1"/>
  <c r="J201" i="1813" s="1"/>
  <c r="U532" i="1812"/>
  <c r="I181" i="1811" s="1"/>
  <c r="I201" i="1813" s="1"/>
  <c r="T532" i="1812"/>
  <c r="S532" i="1812"/>
  <c r="A532" i="1812"/>
  <c r="BH531" i="1812"/>
  <c r="BF531" i="1812"/>
  <c r="AU178" i="1811" s="1"/>
  <c r="AU198" i="1813" s="1"/>
  <c r="BE531" i="1812"/>
  <c r="AT178" i="1811" s="1"/>
  <c r="AT198" i="1813" s="1"/>
  <c r="BD531" i="1812"/>
  <c r="AS178" i="1811" s="1"/>
  <c r="AS198" i="1813" s="1"/>
  <c r="BC531" i="1812"/>
  <c r="AR178" i="1811" s="1"/>
  <c r="AR198" i="1813" s="1"/>
  <c r="BB531" i="1812"/>
  <c r="AQ178" i="1811" s="1"/>
  <c r="AQ198" i="1813" s="1"/>
  <c r="AJ531" i="1812"/>
  <c r="X178" i="1811" s="1"/>
  <c r="X198" i="1813" s="1"/>
  <c r="AI531" i="1812"/>
  <c r="W178" i="1811" s="1"/>
  <c r="W198" i="1813" s="1"/>
  <c r="AH531" i="1812"/>
  <c r="V178" i="1811" s="1"/>
  <c r="V198" i="1813" s="1"/>
  <c r="AG531" i="1812"/>
  <c r="U178" i="1811" s="1"/>
  <c r="U198" i="1813" s="1"/>
  <c r="AF531" i="1812"/>
  <c r="T178" i="1811" s="1"/>
  <c r="T198" i="1813" s="1"/>
  <c r="AE531" i="1812"/>
  <c r="S178" i="1811" s="1"/>
  <c r="S198" i="1813" s="1"/>
  <c r="AD531" i="1812"/>
  <c r="R178" i="1811" s="1"/>
  <c r="R198" i="1813" s="1"/>
  <c r="AC531" i="1812"/>
  <c r="Q178" i="1811" s="1"/>
  <c r="Q198" i="1813" s="1"/>
  <c r="AB531" i="1812"/>
  <c r="P178" i="1811" s="1"/>
  <c r="P198" i="1813" s="1"/>
  <c r="AA531" i="1812"/>
  <c r="O178" i="1811" s="1"/>
  <c r="O198" i="1813" s="1"/>
  <c r="Z531" i="1812"/>
  <c r="N178" i="1811" s="1"/>
  <c r="N198" i="1813" s="1"/>
  <c r="Y531" i="1812"/>
  <c r="M178" i="1811" s="1"/>
  <c r="M198" i="1813" s="1"/>
  <c r="X531" i="1812"/>
  <c r="L178" i="1811" s="1"/>
  <c r="L198" i="1813" s="1"/>
  <c r="W531" i="1812"/>
  <c r="K178" i="1811" s="1"/>
  <c r="K198" i="1813" s="1"/>
  <c r="V531" i="1812"/>
  <c r="J178" i="1811" s="1"/>
  <c r="J198" i="1813" s="1"/>
  <c r="U531" i="1812"/>
  <c r="I178" i="1811" s="1"/>
  <c r="I198" i="1813" s="1"/>
  <c r="T531" i="1812"/>
  <c r="S531" i="1812"/>
  <c r="A531" i="1812"/>
  <c r="BH530" i="1812"/>
  <c r="BF530" i="1812"/>
  <c r="AU177" i="1811" s="1"/>
  <c r="AU197" i="1813" s="1"/>
  <c r="BE530" i="1812"/>
  <c r="AT177" i="1811" s="1"/>
  <c r="AT197" i="1813" s="1"/>
  <c r="BD530" i="1812"/>
  <c r="AS177" i="1811" s="1"/>
  <c r="AS197" i="1813" s="1"/>
  <c r="BC530" i="1812"/>
  <c r="AR177" i="1811" s="1"/>
  <c r="AR197" i="1813" s="1"/>
  <c r="BB530" i="1812"/>
  <c r="AQ177" i="1811" s="1"/>
  <c r="AQ197" i="1813" s="1"/>
  <c r="AJ530" i="1812"/>
  <c r="X177" i="1811" s="1"/>
  <c r="X197" i="1813" s="1"/>
  <c r="AI530" i="1812"/>
  <c r="AH530" i="1812"/>
  <c r="V177" i="1811" s="1"/>
  <c r="V197" i="1813" s="1"/>
  <c r="AG530" i="1812"/>
  <c r="U177" i="1811" s="1"/>
  <c r="U197" i="1813" s="1"/>
  <c r="AF530" i="1812"/>
  <c r="T177" i="1811" s="1"/>
  <c r="T197" i="1813" s="1"/>
  <c r="AE530" i="1812"/>
  <c r="S177" i="1811" s="1"/>
  <c r="S197" i="1813" s="1"/>
  <c r="AD530" i="1812"/>
  <c r="R177" i="1811" s="1"/>
  <c r="R197" i="1813" s="1"/>
  <c r="AC530" i="1812"/>
  <c r="Q177" i="1811" s="1"/>
  <c r="Q197" i="1813" s="1"/>
  <c r="AB530" i="1812"/>
  <c r="P177" i="1811" s="1"/>
  <c r="P197" i="1813" s="1"/>
  <c r="AA530" i="1812"/>
  <c r="O177" i="1811" s="1"/>
  <c r="O197" i="1813" s="1"/>
  <c r="Z530" i="1812"/>
  <c r="N177" i="1811" s="1"/>
  <c r="N197" i="1813" s="1"/>
  <c r="Y530" i="1812"/>
  <c r="M177" i="1811" s="1"/>
  <c r="M197" i="1813" s="1"/>
  <c r="X530" i="1812"/>
  <c r="L177" i="1811" s="1"/>
  <c r="L197" i="1813" s="1"/>
  <c r="W530" i="1812"/>
  <c r="K177" i="1811" s="1"/>
  <c r="K197" i="1813" s="1"/>
  <c r="V530" i="1812"/>
  <c r="J177" i="1811" s="1"/>
  <c r="J197" i="1813" s="1"/>
  <c r="U530" i="1812"/>
  <c r="I177" i="1811" s="1"/>
  <c r="I197" i="1813" s="1"/>
  <c r="T530" i="1812"/>
  <c r="S530" i="1812"/>
  <c r="A530" i="1812"/>
  <c r="BH529" i="1812"/>
  <c r="BF529" i="1812"/>
  <c r="AU176" i="1811" s="1"/>
  <c r="AU196" i="1813" s="1"/>
  <c r="BE529" i="1812"/>
  <c r="AT176" i="1811" s="1"/>
  <c r="AT196" i="1813" s="1"/>
  <c r="BD529" i="1812"/>
  <c r="AS176" i="1811" s="1"/>
  <c r="AS196" i="1813" s="1"/>
  <c r="BC529" i="1812"/>
  <c r="AR176" i="1811" s="1"/>
  <c r="AR196" i="1813" s="1"/>
  <c r="BB529" i="1812"/>
  <c r="AQ176" i="1811" s="1"/>
  <c r="AQ196" i="1813" s="1"/>
  <c r="AJ529" i="1812"/>
  <c r="X176" i="1811" s="1"/>
  <c r="X196" i="1813" s="1"/>
  <c r="AI529" i="1812"/>
  <c r="AH529" i="1812"/>
  <c r="V176" i="1811" s="1"/>
  <c r="V196" i="1813" s="1"/>
  <c r="AG529" i="1812"/>
  <c r="U176" i="1811" s="1"/>
  <c r="U196" i="1813" s="1"/>
  <c r="AF529" i="1812"/>
  <c r="T176" i="1811" s="1"/>
  <c r="T196" i="1813" s="1"/>
  <c r="AE529" i="1812"/>
  <c r="S176" i="1811" s="1"/>
  <c r="S196" i="1813" s="1"/>
  <c r="AD529" i="1812"/>
  <c r="R176" i="1811" s="1"/>
  <c r="R196" i="1813" s="1"/>
  <c r="AC529" i="1812"/>
  <c r="AB529" i="1812"/>
  <c r="P176" i="1811" s="1"/>
  <c r="P196" i="1813" s="1"/>
  <c r="AA529" i="1812"/>
  <c r="O176" i="1811" s="1"/>
  <c r="O196" i="1813" s="1"/>
  <c r="Z529" i="1812"/>
  <c r="N176" i="1811" s="1"/>
  <c r="N196" i="1813" s="1"/>
  <c r="Y529" i="1812"/>
  <c r="M176" i="1811" s="1"/>
  <c r="M196" i="1813" s="1"/>
  <c r="X529" i="1812"/>
  <c r="L176" i="1811" s="1"/>
  <c r="L196" i="1813" s="1"/>
  <c r="W529" i="1812"/>
  <c r="K176" i="1811" s="1"/>
  <c r="K196" i="1813" s="1"/>
  <c r="V529" i="1812"/>
  <c r="J176" i="1811" s="1"/>
  <c r="J196" i="1813" s="1"/>
  <c r="U529" i="1812"/>
  <c r="T529" i="1812"/>
  <c r="S529" i="1812"/>
  <c r="A529" i="1812"/>
  <c r="BH528" i="1812"/>
  <c r="BF528" i="1812"/>
  <c r="BE528" i="1812"/>
  <c r="BD528" i="1812"/>
  <c r="AS180" i="1811" s="1"/>
  <c r="AS200" i="1813" s="1"/>
  <c r="BC528" i="1812"/>
  <c r="AR180" i="1811" s="1"/>
  <c r="AR200" i="1813" s="1"/>
  <c r="BB528" i="1812"/>
  <c r="AQ180" i="1811" s="1"/>
  <c r="AQ200" i="1813" s="1"/>
  <c r="AJ528" i="1812"/>
  <c r="X180" i="1811" s="1"/>
  <c r="X200" i="1813" s="1"/>
  <c r="AI528" i="1812"/>
  <c r="AG528" i="1812"/>
  <c r="U180" i="1811" s="1"/>
  <c r="U200" i="1813" s="1"/>
  <c r="AF528" i="1812"/>
  <c r="T180" i="1811" s="1"/>
  <c r="T200" i="1813" s="1"/>
  <c r="AE528" i="1812"/>
  <c r="S180" i="1811" s="1"/>
  <c r="S200" i="1813" s="1"/>
  <c r="AC528" i="1812"/>
  <c r="Q180" i="1811" s="1"/>
  <c r="Q200" i="1813" s="1"/>
  <c r="AB528" i="1812"/>
  <c r="P180" i="1811" s="1"/>
  <c r="P200" i="1813" s="1"/>
  <c r="AA528" i="1812"/>
  <c r="O180" i="1811" s="1"/>
  <c r="O200" i="1813" s="1"/>
  <c r="Y528" i="1812"/>
  <c r="M180" i="1811" s="1"/>
  <c r="M200" i="1813" s="1"/>
  <c r="X528" i="1812"/>
  <c r="L180" i="1811" s="1"/>
  <c r="L200" i="1813" s="1"/>
  <c r="W528" i="1812"/>
  <c r="K180" i="1811" s="1"/>
  <c r="K200" i="1813" s="1"/>
  <c r="V528" i="1812"/>
  <c r="J180" i="1811" s="1"/>
  <c r="J200" i="1813" s="1"/>
  <c r="U528" i="1812"/>
  <c r="I180" i="1811" s="1"/>
  <c r="I200" i="1813" s="1"/>
  <c r="T528" i="1812"/>
  <c r="S528" i="1812"/>
  <c r="A528" i="1812"/>
  <c r="BK527" i="1812"/>
  <c r="BJ527" i="1812"/>
  <c r="BI527" i="1812"/>
  <c r="BF527" i="1812"/>
  <c r="BE527" i="1812"/>
  <c r="BD527" i="1812"/>
  <c r="AS175" i="1811" s="1"/>
  <c r="AS195" i="1813" s="1"/>
  <c r="BC527" i="1812"/>
  <c r="AR175" i="1811" s="1"/>
  <c r="AR195" i="1813" s="1"/>
  <c r="BB527" i="1812"/>
  <c r="AP527" i="1812"/>
  <c r="AO527" i="1812"/>
  <c r="AN527" i="1812"/>
  <c r="AM527" i="1812"/>
  <c r="AL527" i="1812"/>
  <c r="AK527" i="1812"/>
  <c r="AJ527" i="1812"/>
  <c r="X175" i="1811" s="1"/>
  <c r="X195" i="1813" s="1"/>
  <c r="AI527" i="1812"/>
  <c r="W175" i="1811" s="1"/>
  <c r="W195" i="1813" s="1"/>
  <c r="AG527" i="1812"/>
  <c r="AF527" i="1812"/>
  <c r="AE527" i="1812"/>
  <c r="S175" i="1811" s="1"/>
  <c r="S195" i="1813" s="1"/>
  <c r="AC527" i="1812"/>
  <c r="Q175" i="1811" s="1"/>
  <c r="Q195" i="1813" s="1"/>
  <c r="AB527" i="1812"/>
  <c r="AA527" i="1812"/>
  <c r="O175" i="1811" s="1"/>
  <c r="O195" i="1813" s="1"/>
  <c r="Y527" i="1812"/>
  <c r="X527" i="1812"/>
  <c r="L175" i="1811" s="1"/>
  <c r="L195" i="1813" s="1"/>
  <c r="W527" i="1812"/>
  <c r="U527" i="1812"/>
  <c r="I175" i="1811" s="1"/>
  <c r="I195" i="1813" s="1"/>
  <c r="T527" i="1812"/>
  <c r="S527" i="1812"/>
  <c r="A527" i="1812"/>
  <c r="A526" i="1812"/>
  <c r="A524" i="1812"/>
  <c r="BK523" i="1812"/>
  <c r="BJ523" i="1812"/>
  <c r="BI523" i="1812"/>
  <c r="BF523" i="1812"/>
  <c r="BF360" i="1812" s="1"/>
  <c r="BE523" i="1812"/>
  <c r="BE360" i="1812" s="1"/>
  <c r="BD523" i="1812"/>
  <c r="AS170" i="1811" s="1"/>
  <c r="AS190" i="1813" s="1"/>
  <c r="BC523" i="1812"/>
  <c r="AR170" i="1811" s="1"/>
  <c r="AR190" i="1813" s="1"/>
  <c r="BB523" i="1812"/>
  <c r="AQ170" i="1811" s="1"/>
  <c r="AQ190" i="1813" s="1"/>
  <c r="AP523" i="1812"/>
  <c r="AO523" i="1812"/>
  <c r="AN523" i="1812"/>
  <c r="AM523" i="1812"/>
  <c r="AL523" i="1812"/>
  <c r="AK523" i="1812"/>
  <c r="AJ523" i="1812"/>
  <c r="X170" i="1811" s="1"/>
  <c r="X190" i="1813" s="1"/>
  <c r="AI523" i="1812"/>
  <c r="W170" i="1811" s="1"/>
  <c r="W190" i="1813" s="1"/>
  <c r="AG523" i="1812"/>
  <c r="U170" i="1811" s="1"/>
  <c r="U190" i="1813" s="1"/>
  <c r="AF523" i="1812"/>
  <c r="T170" i="1811" s="1"/>
  <c r="T190" i="1813" s="1"/>
  <c r="AE523" i="1812"/>
  <c r="S170" i="1811" s="1"/>
  <c r="S190" i="1813" s="1"/>
  <c r="AC523" i="1812"/>
  <c r="Q170" i="1811" s="1"/>
  <c r="Q190" i="1813" s="1"/>
  <c r="AB523" i="1812"/>
  <c r="P170" i="1811" s="1"/>
  <c r="P190" i="1813" s="1"/>
  <c r="AA523" i="1812"/>
  <c r="O170" i="1811" s="1"/>
  <c r="O190" i="1813" s="1"/>
  <c r="Y523" i="1812"/>
  <c r="M170" i="1811" s="1"/>
  <c r="M190" i="1813" s="1"/>
  <c r="X523" i="1812"/>
  <c r="L170" i="1811" s="1"/>
  <c r="L190" i="1813" s="1"/>
  <c r="W523" i="1812"/>
  <c r="K170" i="1811" s="1"/>
  <c r="K190" i="1813" s="1"/>
  <c r="U523" i="1812"/>
  <c r="I170" i="1811" s="1"/>
  <c r="I190" i="1813" s="1"/>
  <c r="T523" i="1812"/>
  <c r="S523" i="1812"/>
  <c r="S360" i="1812" s="1"/>
  <c r="A523" i="1812"/>
  <c r="BH522" i="1812"/>
  <c r="BH361" i="1812" s="1"/>
  <c r="BF522" i="1812"/>
  <c r="BF361" i="1812" s="1"/>
  <c r="BE522" i="1812"/>
  <c r="BE361" i="1812" s="1"/>
  <c r="BD522" i="1812"/>
  <c r="AS171" i="1811" s="1"/>
  <c r="AS191" i="1813" s="1"/>
  <c r="BC522" i="1812"/>
  <c r="AR171" i="1811" s="1"/>
  <c r="AR191" i="1813" s="1"/>
  <c r="BB522" i="1812"/>
  <c r="AQ171" i="1811" s="1"/>
  <c r="AQ191" i="1813" s="1"/>
  <c r="AJ522" i="1812"/>
  <c r="X171" i="1811" s="1"/>
  <c r="X191" i="1813" s="1"/>
  <c r="AI522" i="1812"/>
  <c r="AI361" i="1812" s="1"/>
  <c r="AG522" i="1812"/>
  <c r="U171" i="1811" s="1"/>
  <c r="U191" i="1813" s="1"/>
  <c r="AF522" i="1812"/>
  <c r="T171" i="1811" s="1"/>
  <c r="T191" i="1813" s="1"/>
  <c r="AE522" i="1812"/>
  <c r="S171" i="1811" s="1"/>
  <c r="S191" i="1813" s="1"/>
  <c r="AC522" i="1812"/>
  <c r="Q171" i="1811" s="1"/>
  <c r="Q191" i="1813" s="1"/>
  <c r="AB522" i="1812"/>
  <c r="P171" i="1811" s="1"/>
  <c r="P191" i="1813" s="1"/>
  <c r="AA522" i="1812"/>
  <c r="O171" i="1811" s="1"/>
  <c r="O191" i="1813" s="1"/>
  <c r="Y522" i="1812"/>
  <c r="M171" i="1811" s="1"/>
  <c r="M191" i="1813" s="1"/>
  <c r="X522" i="1812"/>
  <c r="L171" i="1811" s="1"/>
  <c r="L191" i="1813" s="1"/>
  <c r="W522" i="1812"/>
  <c r="K171" i="1811" s="1"/>
  <c r="K191" i="1813" s="1"/>
  <c r="U522" i="1812"/>
  <c r="I171" i="1811" s="1"/>
  <c r="I191" i="1813" s="1"/>
  <c r="T522" i="1812"/>
  <c r="S522" i="1812"/>
  <c r="S361" i="1812" s="1"/>
  <c r="A522" i="1812"/>
  <c r="BH521" i="1812"/>
  <c r="BF521" i="1812"/>
  <c r="BE521" i="1812"/>
  <c r="BD521" i="1812"/>
  <c r="AS169" i="1811" s="1"/>
  <c r="AS189" i="1813" s="1"/>
  <c r="BC521" i="1812"/>
  <c r="AR169" i="1811" s="1"/>
  <c r="AR189" i="1813" s="1"/>
  <c r="BB521" i="1812"/>
  <c r="AQ169" i="1811" s="1"/>
  <c r="AQ189" i="1813" s="1"/>
  <c r="AJ521" i="1812"/>
  <c r="X169" i="1811" s="1"/>
  <c r="X189" i="1813" s="1"/>
  <c r="AI521" i="1812"/>
  <c r="AG521" i="1812"/>
  <c r="U169" i="1811" s="1"/>
  <c r="U189" i="1813" s="1"/>
  <c r="AF521" i="1812"/>
  <c r="T169" i="1811" s="1"/>
  <c r="T189" i="1813" s="1"/>
  <c r="AE521" i="1812"/>
  <c r="S169" i="1811" s="1"/>
  <c r="S189" i="1813" s="1"/>
  <c r="AC521" i="1812"/>
  <c r="Q169" i="1811" s="1"/>
  <c r="Q189" i="1813" s="1"/>
  <c r="AB521" i="1812"/>
  <c r="P169" i="1811" s="1"/>
  <c r="P189" i="1813" s="1"/>
  <c r="AA521" i="1812"/>
  <c r="O169" i="1811" s="1"/>
  <c r="O189" i="1813" s="1"/>
  <c r="Y521" i="1812"/>
  <c r="M169" i="1811" s="1"/>
  <c r="M189" i="1813" s="1"/>
  <c r="X521" i="1812"/>
  <c r="L169" i="1811" s="1"/>
  <c r="L189" i="1813" s="1"/>
  <c r="W521" i="1812"/>
  <c r="K169" i="1811" s="1"/>
  <c r="K189" i="1813" s="1"/>
  <c r="U521" i="1812"/>
  <c r="I169" i="1811" s="1"/>
  <c r="I189" i="1813" s="1"/>
  <c r="T521" i="1812"/>
  <c r="S521" i="1812"/>
  <c r="A521" i="1812"/>
  <c r="BH520" i="1812"/>
  <c r="BF520" i="1812"/>
  <c r="BF566" i="1812" s="1"/>
  <c r="BE520" i="1812"/>
  <c r="BE566" i="1812" s="1"/>
  <c r="BD520" i="1812"/>
  <c r="BC520" i="1812"/>
  <c r="BB520" i="1812"/>
  <c r="AQ168" i="1811" s="1"/>
  <c r="AQ188" i="1813" s="1"/>
  <c r="AJ520" i="1812"/>
  <c r="AI520" i="1812"/>
  <c r="AG520" i="1812"/>
  <c r="AF520" i="1812"/>
  <c r="AE520" i="1812"/>
  <c r="AC520" i="1812"/>
  <c r="AB520" i="1812"/>
  <c r="AA520" i="1812"/>
  <c r="Y520" i="1812"/>
  <c r="X520" i="1812"/>
  <c r="L168" i="1811" s="1"/>
  <c r="L188" i="1813" s="1"/>
  <c r="W520" i="1812"/>
  <c r="K168" i="1811" s="1"/>
  <c r="K188" i="1813" s="1"/>
  <c r="U520" i="1812"/>
  <c r="I168" i="1811" s="1"/>
  <c r="I188" i="1813" s="1"/>
  <c r="T520" i="1812"/>
  <c r="S520" i="1812"/>
  <c r="A520" i="1812"/>
  <c r="BK519" i="1812"/>
  <c r="BK648" i="1812" s="1"/>
  <c r="BJ519" i="1812"/>
  <c r="BJ648" i="1812" s="1"/>
  <c r="BI519" i="1812"/>
  <c r="BF519" i="1812"/>
  <c r="BF560" i="1812" s="1"/>
  <c r="BE519" i="1812"/>
  <c r="BE560" i="1812" s="1"/>
  <c r="BD519" i="1812"/>
  <c r="BC519" i="1812"/>
  <c r="BB519" i="1812"/>
  <c r="AQ167" i="1811" s="1"/>
  <c r="AQ187" i="1813" s="1"/>
  <c r="AP519" i="1812"/>
  <c r="AO519" i="1812"/>
  <c r="AO648" i="1812" s="1"/>
  <c r="AN519" i="1812"/>
  <c r="AN648" i="1812" s="1"/>
  <c r="AM519" i="1812"/>
  <c r="AM648" i="1812" s="1"/>
  <c r="AL519" i="1812"/>
  <c r="AL648" i="1812" s="1"/>
  <c r="AK519" i="1812"/>
  <c r="AK648" i="1812" s="1"/>
  <c r="AJ519" i="1812"/>
  <c r="AI519" i="1812"/>
  <c r="AG519" i="1812"/>
  <c r="U167" i="1811" s="1"/>
  <c r="U187" i="1813" s="1"/>
  <c r="AF519" i="1812"/>
  <c r="T167" i="1811" s="1"/>
  <c r="T187" i="1813" s="1"/>
  <c r="AE519" i="1812"/>
  <c r="AC519" i="1812"/>
  <c r="AC560" i="1812" s="1"/>
  <c r="AB519" i="1812"/>
  <c r="AA519" i="1812"/>
  <c r="Y519" i="1812"/>
  <c r="M167" i="1811" s="1"/>
  <c r="M187" i="1813" s="1"/>
  <c r="X519" i="1812"/>
  <c r="L167" i="1811" s="1"/>
  <c r="L187" i="1813" s="1"/>
  <c r="W519" i="1812"/>
  <c r="U519" i="1812"/>
  <c r="I167" i="1811" s="1"/>
  <c r="I187" i="1813" s="1"/>
  <c r="T519" i="1812"/>
  <c r="S519" i="1812"/>
  <c r="A519" i="1812"/>
  <c r="A518" i="1812"/>
  <c r="A516" i="1812"/>
  <c r="BF515" i="1812"/>
  <c r="BE515" i="1812"/>
  <c r="BD515" i="1812"/>
  <c r="AS163" i="1811" s="1"/>
  <c r="AS183" i="1813" s="1"/>
  <c r="BC515" i="1812"/>
  <c r="AR163" i="1811" s="1"/>
  <c r="AR183" i="1813" s="1"/>
  <c r="BB515" i="1812"/>
  <c r="AQ163" i="1811" s="1"/>
  <c r="AQ183" i="1813" s="1"/>
  <c r="AJ515" i="1812"/>
  <c r="X163" i="1811" s="1"/>
  <c r="X183" i="1813" s="1"/>
  <c r="AI515" i="1812"/>
  <c r="W163" i="1811" s="1"/>
  <c r="W183" i="1813" s="1"/>
  <c r="AG515" i="1812"/>
  <c r="U163" i="1811" s="1"/>
  <c r="U183" i="1813" s="1"/>
  <c r="AF515" i="1812"/>
  <c r="T163" i="1811" s="1"/>
  <c r="T183" i="1813" s="1"/>
  <c r="AE515" i="1812"/>
  <c r="S163" i="1811" s="1"/>
  <c r="S183" i="1813" s="1"/>
  <c r="AC515" i="1812"/>
  <c r="Q163" i="1811" s="1"/>
  <c r="Q183" i="1813" s="1"/>
  <c r="AB515" i="1812"/>
  <c r="P163" i="1811" s="1"/>
  <c r="P183" i="1813" s="1"/>
  <c r="AA515" i="1812"/>
  <c r="O163" i="1811" s="1"/>
  <c r="O183" i="1813" s="1"/>
  <c r="Y515" i="1812"/>
  <c r="M163" i="1811" s="1"/>
  <c r="M183" i="1813" s="1"/>
  <c r="X515" i="1812"/>
  <c r="L163" i="1811" s="1"/>
  <c r="L183" i="1813" s="1"/>
  <c r="W515" i="1812"/>
  <c r="K163" i="1811" s="1"/>
  <c r="K183" i="1813" s="1"/>
  <c r="U515" i="1812"/>
  <c r="I163" i="1811" s="1"/>
  <c r="I183" i="1813" s="1"/>
  <c r="T515" i="1812"/>
  <c r="S515" i="1812"/>
  <c r="A515" i="1812"/>
  <c r="BF514" i="1812"/>
  <c r="BE514" i="1812"/>
  <c r="BD514" i="1812"/>
  <c r="AS162" i="1811" s="1"/>
  <c r="AS182" i="1813" s="1"/>
  <c r="BC514" i="1812"/>
  <c r="AR162" i="1811" s="1"/>
  <c r="AR182" i="1813" s="1"/>
  <c r="BB514" i="1812"/>
  <c r="AQ162" i="1811" s="1"/>
  <c r="AQ182" i="1813" s="1"/>
  <c r="AJ514" i="1812"/>
  <c r="X162" i="1811" s="1"/>
  <c r="X182" i="1813" s="1"/>
  <c r="AI514" i="1812"/>
  <c r="W162" i="1811" s="1"/>
  <c r="W182" i="1813" s="1"/>
  <c r="AG514" i="1812"/>
  <c r="U162" i="1811" s="1"/>
  <c r="U182" i="1813" s="1"/>
  <c r="AF514" i="1812"/>
  <c r="T162" i="1811" s="1"/>
  <c r="T182" i="1813" s="1"/>
  <c r="AE514" i="1812"/>
  <c r="S162" i="1811" s="1"/>
  <c r="S182" i="1813" s="1"/>
  <c r="AC514" i="1812"/>
  <c r="Q162" i="1811" s="1"/>
  <c r="Q182" i="1813" s="1"/>
  <c r="AB514" i="1812"/>
  <c r="P162" i="1811" s="1"/>
  <c r="P182" i="1813" s="1"/>
  <c r="AA514" i="1812"/>
  <c r="O162" i="1811" s="1"/>
  <c r="O182" i="1813" s="1"/>
  <c r="Y514" i="1812"/>
  <c r="M162" i="1811" s="1"/>
  <c r="M182" i="1813" s="1"/>
  <c r="X514" i="1812"/>
  <c r="L162" i="1811" s="1"/>
  <c r="L182" i="1813" s="1"/>
  <c r="W514" i="1812"/>
  <c r="K162" i="1811" s="1"/>
  <c r="K182" i="1813" s="1"/>
  <c r="U514" i="1812"/>
  <c r="I162" i="1811" s="1"/>
  <c r="I182" i="1813" s="1"/>
  <c r="T514" i="1812"/>
  <c r="S514" i="1812"/>
  <c r="A514" i="1812"/>
  <c r="BF513" i="1812"/>
  <c r="BE513" i="1812"/>
  <c r="BD513" i="1812"/>
  <c r="AS161" i="1811" s="1"/>
  <c r="AS181" i="1813" s="1"/>
  <c r="BC513" i="1812"/>
  <c r="AR161" i="1811" s="1"/>
  <c r="AR181" i="1813" s="1"/>
  <c r="BB513" i="1812"/>
  <c r="AQ161" i="1811" s="1"/>
  <c r="AQ181" i="1813" s="1"/>
  <c r="AJ513" i="1812"/>
  <c r="AI513" i="1812"/>
  <c r="W161" i="1811" s="1"/>
  <c r="W181" i="1813" s="1"/>
  <c r="AG513" i="1812"/>
  <c r="U161" i="1811" s="1"/>
  <c r="U181" i="1813" s="1"/>
  <c r="AF513" i="1812"/>
  <c r="T161" i="1811" s="1"/>
  <c r="T181" i="1813" s="1"/>
  <c r="AE513" i="1812"/>
  <c r="S161" i="1811" s="1"/>
  <c r="S181" i="1813" s="1"/>
  <c r="AC513" i="1812"/>
  <c r="Q161" i="1811" s="1"/>
  <c r="Q181" i="1813" s="1"/>
  <c r="AB513" i="1812"/>
  <c r="P161" i="1811" s="1"/>
  <c r="P181" i="1813" s="1"/>
  <c r="AA513" i="1812"/>
  <c r="O161" i="1811" s="1"/>
  <c r="O181" i="1813" s="1"/>
  <c r="Y513" i="1812"/>
  <c r="M161" i="1811" s="1"/>
  <c r="M181" i="1813" s="1"/>
  <c r="X513" i="1812"/>
  <c r="L161" i="1811" s="1"/>
  <c r="L181" i="1813" s="1"/>
  <c r="W513" i="1812"/>
  <c r="K161" i="1811" s="1"/>
  <c r="K181" i="1813" s="1"/>
  <c r="U513" i="1812"/>
  <c r="I161" i="1811" s="1"/>
  <c r="I181" i="1813" s="1"/>
  <c r="T513" i="1812"/>
  <c r="S513" i="1812"/>
  <c r="A513" i="1812"/>
  <c r="BF512" i="1812"/>
  <c r="BE512" i="1812"/>
  <c r="BD512" i="1812"/>
  <c r="AS160" i="1811" s="1"/>
  <c r="AS180" i="1813" s="1"/>
  <c r="BC512" i="1812"/>
  <c r="AR160" i="1811" s="1"/>
  <c r="AR180" i="1813" s="1"/>
  <c r="BB512" i="1812"/>
  <c r="AQ160" i="1811" s="1"/>
  <c r="AQ180" i="1813" s="1"/>
  <c r="AJ512" i="1812"/>
  <c r="X160" i="1811" s="1"/>
  <c r="X180" i="1813" s="1"/>
  <c r="AI512" i="1812"/>
  <c r="W160" i="1811" s="1"/>
  <c r="W180" i="1813" s="1"/>
  <c r="AG512" i="1812"/>
  <c r="U160" i="1811" s="1"/>
  <c r="U180" i="1813" s="1"/>
  <c r="AF512" i="1812"/>
  <c r="T160" i="1811" s="1"/>
  <c r="T180" i="1813" s="1"/>
  <c r="AE512" i="1812"/>
  <c r="S160" i="1811" s="1"/>
  <c r="S180" i="1813" s="1"/>
  <c r="AC512" i="1812"/>
  <c r="Q160" i="1811" s="1"/>
  <c r="Q180" i="1813" s="1"/>
  <c r="AB512" i="1812"/>
  <c r="P160" i="1811" s="1"/>
  <c r="P180" i="1813" s="1"/>
  <c r="AA512" i="1812"/>
  <c r="O160" i="1811" s="1"/>
  <c r="O180" i="1813" s="1"/>
  <c r="Y512" i="1812"/>
  <c r="M160" i="1811" s="1"/>
  <c r="M180" i="1813" s="1"/>
  <c r="X512" i="1812"/>
  <c r="L160" i="1811" s="1"/>
  <c r="L180" i="1813" s="1"/>
  <c r="W512" i="1812"/>
  <c r="K160" i="1811" s="1"/>
  <c r="K180" i="1813" s="1"/>
  <c r="U512" i="1812"/>
  <c r="I160" i="1811" s="1"/>
  <c r="I180" i="1813" s="1"/>
  <c r="T512" i="1812"/>
  <c r="S512" i="1812"/>
  <c r="A512" i="1812"/>
  <c r="BF511" i="1812"/>
  <c r="BE511" i="1812"/>
  <c r="BD511" i="1812"/>
  <c r="AS159" i="1811" s="1"/>
  <c r="AS179" i="1813" s="1"/>
  <c r="BC511" i="1812"/>
  <c r="AR159" i="1811" s="1"/>
  <c r="AR179" i="1813" s="1"/>
  <c r="BB511" i="1812"/>
  <c r="AQ159" i="1811" s="1"/>
  <c r="AQ179" i="1813" s="1"/>
  <c r="AJ511" i="1812"/>
  <c r="X159" i="1811" s="1"/>
  <c r="X179" i="1813" s="1"/>
  <c r="AI511" i="1812"/>
  <c r="W159" i="1811" s="1"/>
  <c r="W179" i="1813" s="1"/>
  <c r="AG511" i="1812"/>
  <c r="U159" i="1811" s="1"/>
  <c r="U179" i="1813" s="1"/>
  <c r="AF511" i="1812"/>
  <c r="T159" i="1811" s="1"/>
  <c r="T179" i="1813" s="1"/>
  <c r="AE511" i="1812"/>
  <c r="S159" i="1811" s="1"/>
  <c r="S179" i="1813" s="1"/>
  <c r="AC511" i="1812"/>
  <c r="Q159" i="1811" s="1"/>
  <c r="Q179" i="1813" s="1"/>
  <c r="AB511" i="1812"/>
  <c r="P159" i="1811" s="1"/>
  <c r="P179" i="1813" s="1"/>
  <c r="AA511" i="1812"/>
  <c r="O159" i="1811" s="1"/>
  <c r="O179" i="1813" s="1"/>
  <c r="Y511" i="1812"/>
  <c r="M159" i="1811" s="1"/>
  <c r="M179" i="1813" s="1"/>
  <c r="X511" i="1812"/>
  <c r="L159" i="1811" s="1"/>
  <c r="L179" i="1813" s="1"/>
  <c r="W511" i="1812"/>
  <c r="K159" i="1811" s="1"/>
  <c r="K179" i="1813" s="1"/>
  <c r="U511" i="1812"/>
  <c r="I159" i="1811" s="1"/>
  <c r="I179" i="1813" s="1"/>
  <c r="T511" i="1812"/>
  <c r="S511" i="1812"/>
  <c r="A511" i="1812"/>
  <c r="BF510" i="1812"/>
  <c r="BE510" i="1812"/>
  <c r="BD510" i="1812"/>
  <c r="AS158" i="1811" s="1"/>
  <c r="AS178" i="1813" s="1"/>
  <c r="BC510" i="1812"/>
  <c r="AR158" i="1811" s="1"/>
  <c r="AR178" i="1813" s="1"/>
  <c r="BB510" i="1812"/>
  <c r="AQ158" i="1811" s="1"/>
  <c r="AQ178" i="1813" s="1"/>
  <c r="AJ510" i="1812"/>
  <c r="X158" i="1811" s="1"/>
  <c r="X178" i="1813" s="1"/>
  <c r="AI510" i="1812"/>
  <c r="W158" i="1811" s="1"/>
  <c r="W178" i="1813" s="1"/>
  <c r="AG510" i="1812"/>
  <c r="U158" i="1811" s="1"/>
  <c r="U178" i="1813" s="1"/>
  <c r="AF510" i="1812"/>
  <c r="T158" i="1811" s="1"/>
  <c r="T178" i="1813" s="1"/>
  <c r="AE510" i="1812"/>
  <c r="S158" i="1811" s="1"/>
  <c r="S178" i="1813" s="1"/>
  <c r="AC510" i="1812"/>
  <c r="Q158" i="1811" s="1"/>
  <c r="Q178" i="1813" s="1"/>
  <c r="AB510" i="1812"/>
  <c r="P158" i="1811" s="1"/>
  <c r="P178" i="1813" s="1"/>
  <c r="AA510" i="1812"/>
  <c r="O158" i="1811" s="1"/>
  <c r="O178" i="1813" s="1"/>
  <c r="Y510" i="1812"/>
  <c r="M158" i="1811" s="1"/>
  <c r="M178" i="1813" s="1"/>
  <c r="X510" i="1812"/>
  <c r="L158" i="1811" s="1"/>
  <c r="L178" i="1813" s="1"/>
  <c r="W510" i="1812"/>
  <c r="K158" i="1811" s="1"/>
  <c r="K178" i="1813" s="1"/>
  <c r="U510" i="1812"/>
  <c r="I158" i="1811" s="1"/>
  <c r="I178" i="1813" s="1"/>
  <c r="T510" i="1812"/>
  <c r="S510" i="1812"/>
  <c r="A510" i="1812"/>
  <c r="BF509" i="1812"/>
  <c r="BE509" i="1812"/>
  <c r="BD509" i="1812"/>
  <c r="AS157" i="1811" s="1"/>
  <c r="AS177" i="1813" s="1"/>
  <c r="BC509" i="1812"/>
  <c r="AR157" i="1811" s="1"/>
  <c r="AR177" i="1813" s="1"/>
  <c r="BB509" i="1812"/>
  <c r="AQ157" i="1811" s="1"/>
  <c r="AQ177" i="1813" s="1"/>
  <c r="AJ509" i="1812"/>
  <c r="X157" i="1811" s="1"/>
  <c r="X177" i="1813" s="1"/>
  <c r="AI509" i="1812"/>
  <c r="W157" i="1811" s="1"/>
  <c r="W177" i="1813" s="1"/>
  <c r="AG509" i="1812"/>
  <c r="U157" i="1811" s="1"/>
  <c r="U177" i="1813" s="1"/>
  <c r="AF509" i="1812"/>
  <c r="T157" i="1811" s="1"/>
  <c r="T177" i="1813" s="1"/>
  <c r="AE509" i="1812"/>
  <c r="S157" i="1811" s="1"/>
  <c r="S177" i="1813" s="1"/>
  <c r="AC509" i="1812"/>
  <c r="Q157" i="1811" s="1"/>
  <c r="Q177" i="1813" s="1"/>
  <c r="AB509" i="1812"/>
  <c r="P157" i="1811" s="1"/>
  <c r="P177" i="1813" s="1"/>
  <c r="AA509" i="1812"/>
  <c r="O157" i="1811" s="1"/>
  <c r="O177" i="1813" s="1"/>
  <c r="Y509" i="1812"/>
  <c r="M157" i="1811" s="1"/>
  <c r="M177" i="1813" s="1"/>
  <c r="X509" i="1812"/>
  <c r="L157" i="1811" s="1"/>
  <c r="L177" i="1813" s="1"/>
  <c r="W509" i="1812"/>
  <c r="K157" i="1811" s="1"/>
  <c r="K177" i="1813" s="1"/>
  <c r="U509" i="1812"/>
  <c r="I157" i="1811" s="1"/>
  <c r="I177" i="1813" s="1"/>
  <c r="T509" i="1812"/>
  <c r="S509" i="1812"/>
  <c r="A509" i="1812"/>
  <c r="BF508" i="1812"/>
  <c r="BE508" i="1812"/>
  <c r="AT156" i="1811" s="1"/>
  <c r="AT176" i="1813" s="1"/>
  <c r="BD508" i="1812"/>
  <c r="AS156" i="1811" s="1"/>
  <c r="AS176" i="1813" s="1"/>
  <c r="BC508" i="1812"/>
  <c r="AR156" i="1811" s="1"/>
  <c r="AR176" i="1813" s="1"/>
  <c r="BB508" i="1812"/>
  <c r="AQ156" i="1811" s="1"/>
  <c r="AQ176" i="1813" s="1"/>
  <c r="AJ508" i="1812"/>
  <c r="X156" i="1811" s="1"/>
  <c r="X176" i="1813" s="1"/>
  <c r="AI508" i="1812"/>
  <c r="W156" i="1811" s="1"/>
  <c r="W176" i="1813" s="1"/>
  <c r="AG508" i="1812"/>
  <c r="U156" i="1811" s="1"/>
  <c r="U176" i="1813" s="1"/>
  <c r="AF508" i="1812"/>
  <c r="T156" i="1811" s="1"/>
  <c r="T176" i="1813" s="1"/>
  <c r="AE508" i="1812"/>
  <c r="S156" i="1811" s="1"/>
  <c r="S176" i="1813" s="1"/>
  <c r="AC508" i="1812"/>
  <c r="Q156" i="1811" s="1"/>
  <c r="Q176" i="1813" s="1"/>
  <c r="AB508" i="1812"/>
  <c r="P156" i="1811" s="1"/>
  <c r="P176" i="1813" s="1"/>
  <c r="AA508" i="1812"/>
  <c r="O156" i="1811" s="1"/>
  <c r="O176" i="1813" s="1"/>
  <c r="Y508" i="1812"/>
  <c r="M156" i="1811" s="1"/>
  <c r="M176" i="1813" s="1"/>
  <c r="X508" i="1812"/>
  <c r="L156" i="1811" s="1"/>
  <c r="L176" i="1813" s="1"/>
  <c r="W508" i="1812"/>
  <c r="K156" i="1811" s="1"/>
  <c r="K176" i="1813" s="1"/>
  <c r="U508" i="1812"/>
  <c r="I156" i="1811" s="1"/>
  <c r="I176" i="1813" s="1"/>
  <c r="T508" i="1812"/>
  <c r="S508" i="1812"/>
  <c r="A508" i="1812"/>
  <c r="A507" i="1812"/>
  <c r="BH506" i="1812"/>
  <c r="BF506" i="1812"/>
  <c r="BE506" i="1812"/>
  <c r="BD506" i="1812"/>
  <c r="BC506" i="1812"/>
  <c r="BB506" i="1812"/>
  <c r="AJ506" i="1812"/>
  <c r="AI506" i="1812"/>
  <c r="AG506" i="1812"/>
  <c r="AF506" i="1812"/>
  <c r="AE506" i="1812"/>
  <c r="AD506" i="1812"/>
  <c r="AC506" i="1812"/>
  <c r="AB506" i="1812"/>
  <c r="AA506" i="1812"/>
  <c r="Z506" i="1812"/>
  <c r="Y506" i="1812"/>
  <c r="X506" i="1812"/>
  <c r="W506" i="1812"/>
  <c r="V506" i="1812"/>
  <c r="U506" i="1812"/>
  <c r="T506" i="1812"/>
  <c r="S506" i="1812"/>
  <c r="A506" i="1812"/>
  <c r="BH505" i="1812"/>
  <c r="BF505" i="1812"/>
  <c r="BE505" i="1812"/>
  <c r="AT153" i="1811" s="1"/>
  <c r="AT173" i="1813" s="1"/>
  <c r="BD505" i="1812"/>
  <c r="AS153" i="1811" s="1"/>
  <c r="AS173" i="1813" s="1"/>
  <c r="BC505" i="1812"/>
  <c r="AR153" i="1811" s="1"/>
  <c r="AR173" i="1813" s="1"/>
  <c r="BB505" i="1812"/>
  <c r="AQ153" i="1811" s="1"/>
  <c r="AQ173" i="1813" s="1"/>
  <c r="AJ505" i="1812"/>
  <c r="X153" i="1811" s="1"/>
  <c r="X173" i="1813" s="1"/>
  <c r="AI505" i="1812"/>
  <c r="W153" i="1811" s="1"/>
  <c r="W173" i="1813" s="1"/>
  <c r="AG505" i="1812"/>
  <c r="U153" i="1811" s="1"/>
  <c r="U173" i="1813" s="1"/>
  <c r="AF505" i="1812"/>
  <c r="T153" i="1811" s="1"/>
  <c r="T173" i="1813" s="1"/>
  <c r="AE505" i="1812"/>
  <c r="S153" i="1811" s="1"/>
  <c r="S173" i="1813" s="1"/>
  <c r="AC505" i="1812"/>
  <c r="Q153" i="1811" s="1"/>
  <c r="Q173" i="1813" s="1"/>
  <c r="AB505" i="1812"/>
  <c r="P153" i="1811" s="1"/>
  <c r="P173" i="1813" s="1"/>
  <c r="AA505" i="1812"/>
  <c r="O153" i="1811" s="1"/>
  <c r="O173" i="1813" s="1"/>
  <c r="Y505" i="1812"/>
  <c r="M153" i="1811" s="1"/>
  <c r="M173" i="1813" s="1"/>
  <c r="X505" i="1812"/>
  <c r="L153" i="1811" s="1"/>
  <c r="L173" i="1813" s="1"/>
  <c r="W505" i="1812"/>
  <c r="K153" i="1811" s="1"/>
  <c r="K173" i="1813" s="1"/>
  <c r="U505" i="1812"/>
  <c r="I153" i="1811" s="1"/>
  <c r="I173" i="1813" s="1"/>
  <c r="T505" i="1812"/>
  <c r="S505" i="1812"/>
  <c r="A505" i="1812"/>
  <c r="BH504" i="1812"/>
  <c r="BF504" i="1812"/>
  <c r="BE504" i="1812"/>
  <c r="BD504" i="1812"/>
  <c r="AS152" i="1811" s="1"/>
  <c r="AS172" i="1813" s="1"/>
  <c r="BC504" i="1812"/>
  <c r="AR152" i="1811" s="1"/>
  <c r="AR172" i="1813" s="1"/>
  <c r="BB504" i="1812"/>
  <c r="AQ152" i="1811" s="1"/>
  <c r="AQ172" i="1813" s="1"/>
  <c r="AJ504" i="1812"/>
  <c r="X152" i="1811" s="1"/>
  <c r="X172" i="1813" s="1"/>
  <c r="AI504" i="1812"/>
  <c r="W152" i="1811" s="1"/>
  <c r="W172" i="1813" s="1"/>
  <c r="AG504" i="1812"/>
  <c r="U152" i="1811" s="1"/>
  <c r="U172" i="1813" s="1"/>
  <c r="AF504" i="1812"/>
  <c r="T152" i="1811" s="1"/>
  <c r="T172" i="1813" s="1"/>
  <c r="AE504" i="1812"/>
  <c r="S152" i="1811" s="1"/>
  <c r="S172" i="1813" s="1"/>
  <c r="AD504" i="1812"/>
  <c r="R152" i="1811" s="1"/>
  <c r="R172" i="1813" s="1"/>
  <c r="AC504" i="1812"/>
  <c r="Q152" i="1811" s="1"/>
  <c r="Q172" i="1813" s="1"/>
  <c r="AB504" i="1812"/>
  <c r="P152" i="1811" s="1"/>
  <c r="P172" i="1813" s="1"/>
  <c r="AA504" i="1812"/>
  <c r="O152" i="1811" s="1"/>
  <c r="O172" i="1813" s="1"/>
  <c r="Z504" i="1812"/>
  <c r="N152" i="1811" s="1"/>
  <c r="N172" i="1813" s="1"/>
  <c r="Y504" i="1812"/>
  <c r="M152" i="1811" s="1"/>
  <c r="M172" i="1813" s="1"/>
  <c r="X504" i="1812"/>
  <c r="L152" i="1811" s="1"/>
  <c r="L172" i="1813" s="1"/>
  <c r="W504" i="1812"/>
  <c r="K152" i="1811" s="1"/>
  <c r="K172" i="1813" s="1"/>
  <c r="V504" i="1812"/>
  <c r="J152" i="1811" s="1"/>
  <c r="J172" i="1813" s="1"/>
  <c r="U504" i="1812"/>
  <c r="I152" i="1811" s="1"/>
  <c r="I172" i="1813" s="1"/>
  <c r="T504" i="1812"/>
  <c r="S504" i="1812"/>
  <c r="A504" i="1812"/>
  <c r="BH503" i="1812"/>
  <c r="BF503" i="1812"/>
  <c r="BE503" i="1812"/>
  <c r="BD503" i="1812"/>
  <c r="AS151" i="1811" s="1"/>
  <c r="AS171" i="1813" s="1"/>
  <c r="BC503" i="1812"/>
  <c r="AR151" i="1811" s="1"/>
  <c r="AR171" i="1813" s="1"/>
  <c r="BB503" i="1812"/>
  <c r="AQ151" i="1811" s="1"/>
  <c r="AQ171" i="1813" s="1"/>
  <c r="AJ503" i="1812"/>
  <c r="X151" i="1811" s="1"/>
  <c r="X171" i="1813" s="1"/>
  <c r="AI503" i="1812"/>
  <c r="AG503" i="1812"/>
  <c r="U151" i="1811" s="1"/>
  <c r="U171" i="1813" s="1"/>
  <c r="AF503" i="1812"/>
  <c r="T151" i="1811" s="1"/>
  <c r="T171" i="1813" s="1"/>
  <c r="AE503" i="1812"/>
  <c r="S151" i="1811" s="1"/>
  <c r="S171" i="1813" s="1"/>
  <c r="AC503" i="1812"/>
  <c r="Q151" i="1811" s="1"/>
  <c r="Q171" i="1813" s="1"/>
  <c r="AB503" i="1812"/>
  <c r="P151" i="1811" s="1"/>
  <c r="P171" i="1813" s="1"/>
  <c r="AA503" i="1812"/>
  <c r="O151" i="1811" s="1"/>
  <c r="O171" i="1813" s="1"/>
  <c r="Y503" i="1812"/>
  <c r="M151" i="1811" s="1"/>
  <c r="M171" i="1813" s="1"/>
  <c r="X503" i="1812"/>
  <c r="L151" i="1811" s="1"/>
  <c r="L171" i="1813" s="1"/>
  <c r="W503" i="1812"/>
  <c r="K151" i="1811" s="1"/>
  <c r="K171" i="1813" s="1"/>
  <c r="U503" i="1812"/>
  <c r="I151" i="1811" s="1"/>
  <c r="I171" i="1813" s="1"/>
  <c r="T503" i="1812"/>
  <c r="S503" i="1812"/>
  <c r="A503" i="1812"/>
  <c r="BH502" i="1812"/>
  <c r="BF502" i="1812"/>
  <c r="AU150" i="1811" s="1"/>
  <c r="AU170" i="1813" s="1"/>
  <c r="BE502" i="1812"/>
  <c r="BD502" i="1812"/>
  <c r="AS150" i="1811" s="1"/>
  <c r="AS170" i="1813" s="1"/>
  <c r="BC502" i="1812"/>
  <c r="AR150" i="1811" s="1"/>
  <c r="AR170" i="1813" s="1"/>
  <c r="BB502" i="1812"/>
  <c r="AQ150" i="1811" s="1"/>
  <c r="AQ170" i="1813" s="1"/>
  <c r="AJ502" i="1812"/>
  <c r="X150" i="1811" s="1"/>
  <c r="X170" i="1813" s="1"/>
  <c r="AI502" i="1812"/>
  <c r="W150" i="1811" s="1"/>
  <c r="W170" i="1813" s="1"/>
  <c r="AG502" i="1812"/>
  <c r="U150" i="1811" s="1"/>
  <c r="U170" i="1813" s="1"/>
  <c r="AF502" i="1812"/>
  <c r="T150" i="1811" s="1"/>
  <c r="T170" i="1813" s="1"/>
  <c r="AE502" i="1812"/>
  <c r="S150" i="1811" s="1"/>
  <c r="S170" i="1813" s="1"/>
  <c r="AD502" i="1812"/>
  <c r="R150" i="1811" s="1"/>
  <c r="R170" i="1813" s="1"/>
  <c r="AC502" i="1812"/>
  <c r="Q150" i="1811" s="1"/>
  <c r="Q170" i="1813" s="1"/>
  <c r="AB502" i="1812"/>
  <c r="P150" i="1811" s="1"/>
  <c r="P170" i="1813" s="1"/>
  <c r="AA502" i="1812"/>
  <c r="O150" i="1811" s="1"/>
  <c r="O170" i="1813" s="1"/>
  <c r="Z502" i="1812"/>
  <c r="N150" i="1811" s="1"/>
  <c r="N170" i="1813" s="1"/>
  <c r="Y502" i="1812"/>
  <c r="M150" i="1811" s="1"/>
  <c r="M170" i="1813" s="1"/>
  <c r="X502" i="1812"/>
  <c r="L150" i="1811" s="1"/>
  <c r="L170" i="1813" s="1"/>
  <c r="W502" i="1812"/>
  <c r="K150" i="1811" s="1"/>
  <c r="K170" i="1813" s="1"/>
  <c r="V502" i="1812"/>
  <c r="J150" i="1811" s="1"/>
  <c r="J170" i="1813" s="1"/>
  <c r="U502" i="1812"/>
  <c r="I150" i="1811" s="1"/>
  <c r="I170" i="1813" s="1"/>
  <c r="T502" i="1812"/>
  <c r="S502" i="1812"/>
  <c r="A502" i="1812"/>
  <c r="BH501" i="1812"/>
  <c r="BF501" i="1812"/>
  <c r="BE501" i="1812"/>
  <c r="BD501" i="1812"/>
  <c r="AS149" i="1811" s="1"/>
  <c r="AS169" i="1813" s="1"/>
  <c r="BC501" i="1812"/>
  <c r="AR149" i="1811" s="1"/>
  <c r="AR169" i="1813" s="1"/>
  <c r="BB501" i="1812"/>
  <c r="AQ149" i="1811" s="1"/>
  <c r="AQ169" i="1813" s="1"/>
  <c r="AJ501" i="1812"/>
  <c r="X149" i="1811" s="1"/>
  <c r="X169" i="1813" s="1"/>
  <c r="AI501" i="1812"/>
  <c r="W149" i="1811" s="1"/>
  <c r="W169" i="1813" s="1"/>
  <c r="AG501" i="1812"/>
  <c r="U149" i="1811" s="1"/>
  <c r="U169" i="1813" s="1"/>
  <c r="AF501" i="1812"/>
  <c r="T149" i="1811" s="1"/>
  <c r="T169" i="1813" s="1"/>
  <c r="AE501" i="1812"/>
  <c r="S149" i="1811" s="1"/>
  <c r="S169" i="1813" s="1"/>
  <c r="AC501" i="1812"/>
  <c r="Q149" i="1811" s="1"/>
  <c r="Q169" i="1813" s="1"/>
  <c r="AB501" i="1812"/>
  <c r="P149" i="1811" s="1"/>
  <c r="P169" i="1813" s="1"/>
  <c r="AA501" i="1812"/>
  <c r="O149" i="1811" s="1"/>
  <c r="O169" i="1813" s="1"/>
  <c r="Y501" i="1812"/>
  <c r="M149" i="1811" s="1"/>
  <c r="M169" i="1813" s="1"/>
  <c r="X501" i="1812"/>
  <c r="L149" i="1811" s="1"/>
  <c r="L169" i="1813" s="1"/>
  <c r="W501" i="1812"/>
  <c r="K149" i="1811" s="1"/>
  <c r="K169" i="1813" s="1"/>
  <c r="U501" i="1812"/>
  <c r="I149" i="1811" s="1"/>
  <c r="I169" i="1813" s="1"/>
  <c r="T501" i="1812"/>
  <c r="S501" i="1812"/>
  <c r="A501" i="1812"/>
  <c r="BH500" i="1812"/>
  <c r="BF500" i="1812"/>
  <c r="AU148" i="1811" s="1"/>
  <c r="AU168" i="1813" s="1"/>
  <c r="BE500" i="1812"/>
  <c r="AT148" i="1811" s="1"/>
  <c r="AT168" i="1813" s="1"/>
  <c r="BD500" i="1812"/>
  <c r="AS148" i="1811" s="1"/>
  <c r="AS168" i="1813" s="1"/>
  <c r="BC500" i="1812"/>
  <c r="AR148" i="1811" s="1"/>
  <c r="AR168" i="1813" s="1"/>
  <c r="BB500" i="1812"/>
  <c r="AQ148" i="1811" s="1"/>
  <c r="AQ168" i="1813" s="1"/>
  <c r="AJ500" i="1812"/>
  <c r="X148" i="1811" s="1"/>
  <c r="X168" i="1813" s="1"/>
  <c r="AI500" i="1812"/>
  <c r="W148" i="1811" s="1"/>
  <c r="W168" i="1813" s="1"/>
  <c r="AH500" i="1812"/>
  <c r="V148" i="1811" s="1"/>
  <c r="V168" i="1813" s="1"/>
  <c r="AG500" i="1812"/>
  <c r="U148" i="1811" s="1"/>
  <c r="U168" i="1813" s="1"/>
  <c r="AF500" i="1812"/>
  <c r="T148" i="1811" s="1"/>
  <c r="T168" i="1813" s="1"/>
  <c r="AE500" i="1812"/>
  <c r="S148" i="1811" s="1"/>
  <c r="S168" i="1813" s="1"/>
  <c r="AD500" i="1812"/>
  <c r="R148" i="1811" s="1"/>
  <c r="R168" i="1813" s="1"/>
  <c r="AC500" i="1812"/>
  <c r="Q148" i="1811" s="1"/>
  <c r="Q168" i="1813" s="1"/>
  <c r="AB500" i="1812"/>
  <c r="P148" i="1811" s="1"/>
  <c r="P168" i="1813" s="1"/>
  <c r="AA500" i="1812"/>
  <c r="O148" i="1811" s="1"/>
  <c r="O168" i="1813" s="1"/>
  <c r="Z500" i="1812"/>
  <c r="N148" i="1811" s="1"/>
  <c r="N168" i="1813" s="1"/>
  <c r="Y500" i="1812"/>
  <c r="M148" i="1811" s="1"/>
  <c r="M168" i="1813" s="1"/>
  <c r="X500" i="1812"/>
  <c r="L148" i="1811" s="1"/>
  <c r="L168" i="1813" s="1"/>
  <c r="W500" i="1812"/>
  <c r="K148" i="1811" s="1"/>
  <c r="K168" i="1813" s="1"/>
  <c r="V500" i="1812"/>
  <c r="J148" i="1811" s="1"/>
  <c r="J168" i="1813" s="1"/>
  <c r="U500" i="1812"/>
  <c r="I148" i="1811" s="1"/>
  <c r="I168" i="1813" s="1"/>
  <c r="T500" i="1812"/>
  <c r="S500" i="1812"/>
  <c r="A500" i="1812"/>
  <c r="BH499" i="1812"/>
  <c r="BF499" i="1812"/>
  <c r="BE499" i="1812"/>
  <c r="BD499" i="1812"/>
  <c r="AS147" i="1811" s="1"/>
  <c r="AS167" i="1813" s="1"/>
  <c r="BC499" i="1812"/>
  <c r="AR147" i="1811" s="1"/>
  <c r="AR167" i="1813" s="1"/>
  <c r="BB499" i="1812"/>
  <c r="AQ147" i="1811" s="1"/>
  <c r="AQ167" i="1813" s="1"/>
  <c r="AJ499" i="1812"/>
  <c r="AI499" i="1812"/>
  <c r="W147" i="1811" s="1"/>
  <c r="W167" i="1813" s="1"/>
  <c r="AG499" i="1812"/>
  <c r="U147" i="1811" s="1"/>
  <c r="U167" i="1813" s="1"/>
  <c r="AF499" i="1812"/>
  <c r="T147" i="1811" s="1"/>
  <c r="T167" i="1813" s="1"/>
  <c r="AE499" i="1812"/>
  <c r="S147" i="1811" s="1"/>
  <c r="S167" i="1813" s="1"/>
  <c r="AC499" i="1812"/>
  <c r="Q147" i="1811" s="1"/>
  <c r="Q167" i="1813" s="1"/>
  <c r="AB499" i="1812"/>
  <c r="P147" i="1811" s="1"/>
  <c r="P167" i="1813" s="1"/>
  <c r="AA499" i="1812"/>
  <c r="O147" i="1811" s="1"/>
  <c r="O167" i="1813" s="1"/>
  <c r="Y499" i="1812"/>
  <c r="M147" i="1811" s="1"/>
  <c r="M167" i="1813" s="1"/>
  <c r="X499" i="1812"/>
  <c r="L147" i="1811" s="1"/>
  <c r="L167" i="1813" s="1"/>
  <c r="W499" i="1812"/>
  <c r="K147" i="1811" s="1"/>
  <c r="K167" i="1813" s="1"/>
  <c r="U499" i="1812"/>
  <c r="I147" i="1811" s="1"/>
  <c r="I167" i="1813" s="1"/>
  <c r="T499" i="1812"/>
  <c r="S499" i="1812"/>
  <c r="A499" i="1812"/>
  <c r="BH498" i="1812"/>
  <c r="BF498" i="1812"/>
  <c r="BE498" i="1812"/>
  <c r="BD498" i="1812"/>
  <c r="AS146" i="1811" s="1"/>
  <c r="AS166" i="1813" s="1"/>
  <c r="BC498" i="1812"/>
  <c r="AR146" i="1811" s="1"/>
  <c r="AR166" i="1813" s="1"/>
  <c r="BB498" i="1812"/>
  <c r="AQ146" i="1811" s="1"/>
  <c r="AQ166" i="1813" s="1"/>
  <c r="AJ498" i="1812"/>
  <c r="X146" i="1811" s="1"/>
  <c r="X166" i="1813" s="1"/>
  <c r="AI498" i="1812"/>
  <c r="W146" i="1811" s="1"/>
  <c r="W166" i="1813" s="1"/>
  <c r="AG498" i="1812"/>
  <c r="U146" i="1811" s="1"/>
  <c r="U166" i="1813" s="1"/>
  <c r="AF498" i="1812"/>
  <c r="T146" i="1811" s="1"/>
  <c r="T166" i="1813" s="1"/>
  <c r="AE498" i="1812"/>
  <c r="S146" i="1811" s="1"/>
  <c r="S166" i="1813" s="1"/>
  <c r="AC498" i="1812"/>
  <c r="Q146" i="1811" s="1"/>
  <c r="Q166" i="1813" s="1"/>
  <c r="AB498" i="1812"/>
  <c r="P146" i="1811" s="1"/>
  <c r="P166" i="1813" s="1"/>
  <c r="AA498" i="1812"/>
  <c r="O146" i="1811" s="1"/>
  <c r="O166" i="1813" s="1"/>
  <c r="Y498" i="1812"/>
  <c r="M146" i="1811" s="1"/>
  <c r="M166" i="1813" s="1"/>
  <c r="X498" i="1812"/>
  <c r="L146" i="1811" s="1"/>
  <c r="L166" i="1813" s="1"/>
  <c r="W498" i="1812"/>
  <c r="K146" i="1811" s="1"/>
  <c r="K166" i="1813" s="1"/>
  <c r="U498" i="1812"/>
  <c r="I146" i="1811" s="1"/>
  <c r="I166" i="1813" s="1"/>
  <c r="T498" i="1812"/>
  <c r="S498" i="1812"/>
  <c r="A498" i="1812"/>
  <c r="BH497" i="1812"/>
  <c r="BF497" i="1812"/>
  <c r="BE497" i="1812"/>
  <c r="BD497" i="1812"/>
  <c r="AS145" i="1811" s="1"/>
  <c r="AS165" i="1813" s="1"/>
  <c r="BC497" i="1812"/>
  <c r="AR145" i="1811" s="1"/>
  <c r="AR165" i="1813" s="1"/>
  <c r="BB497" i="1812"/>
  <c r="AQ145" i="1811" s="1"/>
  <c r="AQ165" i="1813" s="1"/>
  <c r="AJ497" i="1812"/>
  <c r="X145" i="1811" s="1"/>
  <c r="X165" i="1813" s="1"/>
  <c r="AI497" i="1812"/>
  <c r="W145" i="1811" s="1"/>
  <c r="W165" i="1813" s="1"/>
  <c r="AG497" i="1812"/>
  <c r="U145" i="1811" s="1"/>
  <c r="U165" i="1813" s="1"/>
  <c r="AF497" i="1812"/>
  <c r="T145" i="1811" s="1"/>
  <c r="T165" i="1813" s="1"/>
  <c r="AE497" i="1812"/>
  <c r="S145" i="1811" s="1"/>
  <c r="S165" i="1813" s="1"/>
  <c r="AC497" i="1812"/>
  <c r="Q145" i="1811" s="1"/>
  <c r="Q165" i="1813" s="1"/>
  <c r="AB497" i="1812"/>
  <c r="P145" i="1811" s="1"/>
  <c r="P165" i="1813" s="1"/>
  <c r="AA497" i="1812"/>
  <c r="O145" i="1811" s="1"/>
  <c r="O165" i="1813" s="1"/>
  <c r="Y497" i="1812"/>
  <c r="M145" i="1811" s="1"/>
  <c r="M165" i="1813" s="1"/>
  <c r="X497" i="1812"/>
  <c r="L145" i="1811" s="1"/>
  <c r="L165" i="1813" s="1"/>
  <c r="W497" i="1812"/>
  <c r="K145" i="1811" s="1"/>
  <c r="K165" i="1813" s="1"/>
  <c r="U497" i="1812"/>
  <c r="I145" i="1811" s="1"/>
  <c r="I165" i="1813" s="1"/>
  <c r="T497" i="1812"/>
  <c r="S497" i="1812"/>
  <c r="A497" i="1812"/>
  <c r="BH496" i="1812"/>
  <c r="BF496" i="1812"/>
  <c r="BE496" i="1812"/>
  <c r="BD496" i="1812"/>
  <c r="AS144" i="1811" s="1"/>
  <c r="AS164" i="1813" s="1"/>
  <c r="BC496" i="1812"/>
  <c r="AR144" i="1811" s="1"/>
  <c r="AR164" i="1813" s="1"/>
  <c r="BB496" i="1812"/>
  <c r="AQ144" i="1811" s="1"/>
  <c r="AQ164" i="1813" s="1"/>
  <c r="AJ496" i="1812"/>
  <c r="X144" i="1811" s="1"/>
  <c r="X164" i="1813" s="1"/>
  <c r="AI496" i="1812"/>
  <c r="W144" i="1811" s="1"/>
  <c r="W164" i="1813" s="1"/>
  <c r="AG496" i="1812"/>
  <c r="U144" i="1811" s="1"/>
  <c r="U164" i="1813" s="1"/>
  <c r="AF496" i="1812"/>
  <c r="T144" i="1811" s="1"/>
  <c r="T164" i="1813" s="1"/>
  <c r="AE496" i="1812"/>
  <c r="S144" i="1811" s="1"/>
  <c r="S164" i="1813" s="1"/>
  <c r="AC496" i="1812"/>
  <c r="Q144" i="1811" s="1"/>
  <c r="Q164" i="1813" s="1"/>
  <c r="AB496" i="1812"/>
  <c r="P144" i="1811" s="1"/>
  <c r="P164" i="1813" s="1"/>
  <c r="AA496" i="1812"/>
  <c r="O144" i="1811" s="1"/>
  <c r="O164" i="1813" s="1"/>
  <c r="Y496" i="1812"/>
  <c r="M144" i="1811" s="1"/>
  <c r="M164" i="1813" s="1"/>
  <c r="X496" i="1812"/>
  <c r="L144" i="1811" s="1"/>
  <c r="L164" i="1813" s="1"/>
  <c r="W496" i="1812"/>
  <c r="K144" i="1811" s="1"/>
  <c r="K164" i="1813" s="1"/>
  <c r="U496" i="1812"/>
  <c r="I144" i="1811" s="1"/>
  <c r="I164" i="1813" s="1"/>
  <c r="T496" i="1812"/>
  <c r="S496" i="1812"/>
  <c r="A496" i="1812"/>
  <c r="BH495" i="1812"/>
  <c r="BF495" i="1812"/>
  <c r="BE495" i="1812"/>
  <c r="BD495" i="1812"/>
  <c r="AS143" i="1811" s="1"/>
  <c r="AS163" i="1813" s="1"/>
  <c r="BC495" i="1812"/>
  <c r="AR143" i="1811" s="1"/>
  <c r="AR163" i="1813" s="1"/>
  <c r="BB495" i="1812"/>
  <c r="AQ143" i="1811" s="1"/>
  <c r="AQ163" i="1813" s="1"/>
  <c r="AJ495" i="1812"/>
  <c r="AI495" i="1812"/>
  <c r="W143" i="1811" s="1"/>
  <c r="W163" i="1813" s="1"/>
  <c r="AG495" i="1812"/>
  <c r="U143" i="1811" s="1"/>
  <c r="U163" i="1813" s="1"/>
  <c r="AF495" i="1812"/>
  <c r="T143" i="1811" s="1"/>
  <c r="T163" i="1813" s="1"/>
  <c r="AE495" i="1812"/>
  <c r="S143" i="1811" s="1"/>
  <c r="S163" i="1813" s="1"/>
  <c r="AC495" i="1812"/>
  <c r="Q143" i="1811" s="1"/>
  <c r="Q163" i="1813" s="1"/>
  <c r="AB495" i="1812"/>
  <c r="P143" i="1811" s="1"/>
  <c r="P163" i="1813" s="1"/>
  <c r="AA495" i="1812"/>
  <c r="O143" i="1811" s="1"/>
  <c r="O163" i="1813" s="1"/>
  <c r="Y495" i="1812"/>
  <c r="M143" i="1811" s="1"/>
  <c r="M163" i="1813" s="1"/>
  <c r="X495" i="1812"/>
  <c r="L143" i="1811" s="1"/>
  <c r="L163" i="1813" s="1"/>
  <c r="W495" i="1812"/>
  <c r="K143" i="1811" s="1"/>
  <c r="K163" i="1813" s="1"/>
  <c r="U495" i="1812"/>
  <c r="I143" i="1811" s="1"/>
  <c r="I163" i="1813" s="1"/>
  <c r="T495" i="1812"/>
  <c r="S495" i="1812"/>
  <c r="A495" i="1812"/>
  <c r="BK494" i="1812"/>
  <c r="BJ494" i="1812"/>
  <c r="BI494" i="1812"/>
  <c r="BF494" i="1812"/>
  <c r="BE494" i="1812"/>
  <c r="BD494" i="1812"/>
  <c r="AS142" i="1811" s="1"/>
  <c r="AS162" i="1813" s="1"/>
  <c r="BC494" i="1812"/>
  <c r="AR142" i="1811" s="1"/>
  <c r="AR162" i="1813" s="1"/>
  <c r="BB494" i="1812"/>
  <c r="AQ142" i="1811" s="1"/>
  <c r="AQ162" i="1813" s="1"/>
  <c r="AP494" i="1812"/>
  <c r="AO494" i="1812"/>
  <c r="AN494" i="1812"/>
  <c r="AM494" i="1812"/>
  <c r="AL494" i="1812"/>
  <c r="AK494" i="1812"/>
  <c r="AJ494" i="1812"/>
  <c r="X142" i="1811" s="1"/>
  <c r="X162" i="1813" s="1"/>
  <c r="AI494" i="1812"/>
  <c r="AG494" i="1812"/>
  <c r="U142" i="1811" s="1"/>
  <c r="U162" i="1813" s="1"/>
  <c r="AF494" i="1812"/>
  <c r="T142" i="1811" s="1"/>
  <c r="T162" i="1813" s="1"/>
  <c r="AE494" i="1812"/>
  <c r="S142" i="1811" s="1"/>
  <c r="S162" i="1813" s="1"/>
  <c r="AC494" i="1812"/>
  <c r="Q142" i="1811" s="1"/>
  <c r="Q162" i="1813" s="1"/>
  <c r="AB494" i="1812"/>
  <c r="P142" i="1811" s="1"/>
  <c r="P162" i="1813" s="1"/>
  <c r="AA494" i="1812"/>
  <c r="O142" i="1811" s="1"/>
  <c r="O162" i="1813" s="1"/>
  <c r="Y494" i="1812"/>
  <c r="M142" i="1811" s="1"/>
  <c r="M162" i="1813" s="1"/>
  <c r="X494" i="1812"/>
  <c r="L142" i="1811" s="1"/>
  <c r="L162" i="1813" s="1"/>
  <c r="W494" i="1812"/>
  <c r="K142" i="1811" s="1"/>
  <c r="K162" i="1813" s="1"/>
  <c r="U494" i="1812"/>
  <c r="I142" i="1811" s="1"/>
  <c r="I162" i="1813" s="1"/>
  <c r="T494" i="1812"/>
  <c r="S494" i="1812"/>
  <c r="A494" i="1812"/>
  <c r="BF493" i="1812"/>
  <c r="BE493" i="1812"/>
  <c r="BD493" i="1812"/>
  <c r="AS141" i="1811" s="1"/>
  <c r="AS161" i="1813" s="1"/>
  <c r="BC493" i="1812"/>
  <c r="AR141" i="1811" s="1"/>
  <c r="AR161" i="1813" s="1"/>
  <c r="BB493" i="1812"/>
  <c r="AQ141" i="1811" s="1"/>
  <c r="AQ161" i="1813" s="1"/>
  <c r="AJ493" i="1812"/>
  <c r="X141" i="1811" s="1"/>
  <c r="X161" i="1813" s="1"/>
  <c r="AI493" i="1812"/>
  <c r="W141" i="1811" s="1"/>
  <c r="W161" i="1813" s="1"/>
  <c r="AG493" i="1812"/>
  <c r="U141" i="1811" s="1"/>
  <c r="U161" i="1813" s="1"/>
  <c r="AF493" i="1812"/>
  <c r="T141" i="1811" s="1"/>
  <c r="T161" i="1813" s="1"/>
  <c r="AE493" i="1812"/>
  <c r="S141" i="1811" s="1"/>
  <c r="S161" i="1813" s="1"/>
  <c r="AC493" i="1812"/>
  <c r="Q141" i="1811" s="1"/>
  <c r="Q161" i="1813" s="1"/>
  <c r="AB493" i="1812"/>
  <c r="P141" i="1811" s="1"/>
  <c r="P161" i="1813" s="1"/>
  <c r="AA493" i="1812"/>
  <c r="O141" i="1811" s="1"/>
  <c r="O161" i="1813" s="1"/>
  <c r="Y493" i="1812"/>
  <c r="M141" i="1811" s="1"/>
  <c r="M161" i="1813" s="1"/>
  <c r="X493" i="1812"/>
  <c r="L141" i="1811" s="1"/>
  <c r="L161" i="1813" s="1"/>
  <c r="W493" i="1812"/>
  <c r="K141" i="1811" s="1"/>
  <c r="K161" i="1813" s="1"/>
  <c r="U493" i="1812"/>
  <c r="I141" i="1811" s="1"/>
  <c r="I161" i="1813" s="1"/>
  <c r="T493" i="1812"/>
  <c r="S493" i="1812"/>
  <c r="A493" i="1812"/>
  <c r="BF492" i="1812"/>
  <c r="BE492" i="1812"/>
  <c r="BD492" i="1812"/>
  <c r="AS140" i="1811" s="1"/>
  <c r="AS160" i="1813" s="1"/>
  <c r="BC492" i="1812"/>
  <c r="AR140" i="1811" s="1"/>
  <c r="AR160" i="1813" s="1"/>
  <c r="BB492" i="1812"/>
  <c r="AQ140" i="1811" s="1"/>
  <c r="AQ160" i="1813" s="1"/>
  <c r="AJ492" i="1812"/>
  <c r="X140" i="1811" s="1"/>
  <c r="X160" i="1813" s="1"/>
  <c r="AI492" i="1812"/>
  <c r="W140" i="1811" s="1"/>
  <c r="W160" i="1813" s="1"/>
  <c r="AG492" i="1812"/>
  <c r="U140" i="1811" s="1"/>
  <c r="U160" i="1813" s="1"/>
  <c r="AF492" i="1812"/>
  <c r="T140" i="1811" s="1"/>
  <c r="T160" i="1813" s="1"/>
  <c r="AE492" i="1812"/>
  <c r="S140" i="1811" s="1"/>
  <c r="S160" i="1813" s="1"/>
  <c r="AC492" i="1812"/>
  <c r="Q140" i="1811" s="1"/>
  <c r="Q160" i="1813" s="1"/>
  <c r="AB492" i="1812"/>
  <c r="P140" i="1811" s="1"/>
  <c r="P160" i="1813" s="1"/>
  <c r="AA492" i="1812"/>
  <c r="O140" i="1811" s="1"/>
  <c r="O160" i="1813" s="1"/>
  <c r="Y492" i="1812"/>
  <c r="M140" i="1811" s="1"/>
  <c r="M160" i="1813" s="1"/>
  <c r="X492" i="1812"/>
  <c r="L140" i="1811" s="1"/>
  <c r="L160" i="1813" s="1"/>
  <c r="W492" i="1812"/>
  <c r="K140" i="1811" s="1"/>
  <c r="K160" i="1813" s="1"/>
  <c r="U492" i="1812"/>
  <c r="I140" i="1811" s="1"/>
  <c r="I160" i="1813" s="1"/>
  <c r="T492" i="1812"/>
  <c r="S492" i="1812"/>
  <c r="A492" i="1812"/>
  <c r="BH491" i="1812"/>
  <c r="BF491" i="1812"/>
  <c r="BE491" i="1812"/>
  <c r="BD491" i="1812"/>
  <c r="BC491" i="1812"/>
  <c r="BB491" i="1812"/>
  <c r="AJ491" i="1812"/>
  <c r="AI491" i="1812"/>
  <c r="AG491" i="1812"/>
  <c r="AF491" i="1812"/>
  <c r="AE491" i="1812"/>
  <c r="AC491" i="1812"/>
  <c r="AB491" i="1812"/>
  <c r="AA491" i="1812"/>
  <c r="Z491" i="1812"/>
  <c r="Y491" i="1812"/>
  <c r="X491" i="1812"/>
  <c r="W491" i="1812"/>
  <c r="V491" i="1812"/>
  <c r="U491" i="1812"/>
  <c r="T491" i="1812"/>
  <c r="S491" i="1812"/>
  <c r="A491" i="1812"/>
  <c r="BF490" i="1812"/>
  <c r="BE490" i="1812"/>
  <c r="BD490" i="1812"/>
  <c r="BC490" i="1812"/>
  <c r="AR137" i="1811" s="1"/>
  <c r="AR157" i="1813" s="1"/>
  <c r="BB490" i="1812"/>
  <c r="AQ137" i="1811" s="1"/>
  <c r="AQ157" i="1813" s="1"/>
  <c r="AJ490" i="1812"/>
  <c r="X137" i="1811" s="1"/>
  <c r="X157" i="1813" s="1"/>
  <c r="AI490" i="1812"/>
  <c r="W137" i="1811" s="1"/>
  <c r="W157" i="1813" s="1"/>
  <c r="AG490" i="1812"/>
  <c r="U137" i="1811" s="1"/>
  <c r="U157" i="1813" s="1"/>
  <c r="AF490" i="1812"/>
  <c r="AE490" i="1812"/>
  <c r="S137" i="1811" s="1"/>
  <c r="S157" i="1813" s="1"/>
  <c r="AC490" i="1812"/>
  <c r="AB490" i="1812"/>
  <c r="P137" i="1811" s="1"/>
  <c r="P157" i="1813" s="1"/>
  <c r="AA490" i="1812"/>
  <c r="O137" i="1811" s="1"/>
  <c r="O157" i="1813" s="1"/>
  <c r="Y490" i="1812"/>
  <c r="X490" i="1812"/>
  <c r="W490" i="1812"/>
  <c r="U490" i="1812"/>
  <c r="T490" i="1812"/>
  <c r="S490" i="1812"/>
  <c r="A490" i="1812"/>
  <c r="A489" i="1812"/>
  <c r="AH486" i="1812"/>
  <c r="AH553" i="1812" s="1"/>
  <c r="V202" i="1811" s="1"/>
  <c r="V222" i="1813" s="1"/>
  <c r="V112" i="1814" s="1"/>
  <c r="AD486" i="1812"/>
  <c r="AD553" i="1812" s="1"/>
  <c r="R202" i="1811" s="1"/>
  <c r="R222" i="1813" s="1"/>
  <c r="R112" i="1814" s="1"/>
  <c r="Z486" i="1812"/>
  <c r="Z553" i="1812" s="1"/>
  <c r="N202" i="1811" s="1"/>
  <c r="N222" i="1813" s="1"/>
  <c r="N112" i="1814" s="1"/>
  <c r="V486" i="1812"/>
  <c r="V553" i="1812" s="1"/>
  <c r="J202" i="1811" s="1"/>
  <c r="J222" i="1813" s="1"/>
  <c r="J112" i="1814" s="1"/>
  <c r="R486" i="1812"/>
  <c r="AH485" i="1812"/>
  <c r="AH552" i="1812" s="1"/>
  <c r="V201" i="1811" s="1"/>
  <c r="V221" i="1813" s="1"/>
  <c r="AD485" i="1812"/>
  <c r="AD552" i="1812" s="1"/>
  <c r="R201" i="1811" s="1"/>
  <c r="R221" i="1813" s="1"/>
  <c r="Z485" i="1812"/>
  <c r="Z552" i="1812" s="1"/>
  <c r="N201" i="1811" s="1"/>
  <c r="N221" i="1813" s="1"/>
  <c r="V485" i="1812"/>
  <c r="V552" i="1812" s="1"/>
  <c r="J201" i="1811" s="1"/>
  <c r="J221" i="1813" s="1"/>
  <c r="R485" i="1812"/>
  <c r="BB482" i="1812"/>
  <c r="BB549" i="1812" s="1"/>
  <c r="AQ197" i="1811" s="1"/>
  <c r="AQ217" i="1813" s="1"/>
  <c r="AH479" i="1812"/>
  <c r="AH546" i="1812" s="1"/>
  <c r="V193" i="1811" s="1"/>
  <c r="V213" i="1813" s="1"/>
  <c r="AD479" i="1812"/>
  <c r="AD546" i="1812" s="1"/>
  <c r="R193" i="1811" s="1"/>
  <c r="R213" i="1813" s="1"/>
  <c r="Z479" i="1812"/>
  <c r="Z546" i="1812" s="1"/>
  <c r="N193" i="1811" s="1"/>
  <c r="N213" i="1813" s="1"/>
  <c r="V479" i="1812"/>
  <c r="V546" i="1812" s="1"/>
  <c r="J193" i="1811" s="1"/>
  <c r="J213" i="1813" s="1"/>
  <c r="R479" i="1812"/>
  <c r="BF477" i="1812"/>
  <c r="BE477" i="1812"/>
  <c r="BD477" i="1812"/>
  <c r="BC477" i="1812"/>
  <c r="BB477" i="1812"/>
  <c r="AJ477" i="1812"/>
  <c r="AI477" i="1812"/>
  <c r="AG477" i="1812"/>
  <c r="AF477" i="1812"/>
  <c r="AE477" i="1812"/>
  <c r="AC477" i="1812"/>
  <c r="AB477" i="1812"/>
  <c r="AA477" i="1812"/>
  <c r="Y477" i="1812"/>
  <c r="X477" i="1812"/>
  <c r="W477" i="1812"/>
  <c r="U477" i="1812"/>
  <c r="T477" i="1812"/>
  <c r="S477" i="1812"/>
  <c r="AH476" i="1812"/>
  <c r="AH543" i="1812" s="1"/>
  <c r="AH362" i="1812" s="1"/>
  <c r="AD476" i="1812"/>
  <c r="AD543" i="1812" s="1"/>
  <c r="AD362" i="1812" s="1"/>
  <c r="Z476" i="1812"/>
  <c r="Z543" i="1812" s="1"/>
  <c r="Z362" i="1812" s="1"/>
  <c r="V476" i="1812"/>
  <c r="V543" i="1812" s="1"/>
  <c r="V362" i="1812" s="1"/>
  <c r="R476" i="1812"/>
  <c r="AH475" i="1812"/>
  <c r="AH542" i="1812" s="1"/>
  <c r="V190" i="1811" s="1"/>
  <c r="V210" i="1813" s="1"/>
  <c r="AD475" i="1812"/>
  <c r="AD542" i="1812" s="1"/>
  <c r="R190" i="1811" s="1"/>
  <c r="R210" i="1813" s="1"/>
  <c r="Z475" i="1812"/>
  <c r="Z542" i="1812" s="1"/>
  <c r="N190" i="1811" s="1"/>
  <c r="N210" i="1813" s="1"/>
  <c r="V475" i="1812"/>
  <c r="V542" i="1812" s="1"/>
  <c r="J190" i="1811" s="1"/>
  <c r="J210" i="1813" s="1"/>
  <c r="R475" i="1812"/>
  <c r="AH474" i="1812"/>
  <c r="AH541" i="1812" s="1"/>
  <c r="V189" i="1811" s="1"/>
  <c r="V209" i="1813" s="1"/>
  <c r="AD474" i="1812"/>
  <c r="AD541" i="1812" s="1"/>
  <c r="R189" i="1811" s="1"/>
  <c r="R209" i="1813" s="1"/>
  <c r="Z474" i="1812"/>
  <c r="Z541" i="1812" s="1"/>
  <c r="N189" i="1811" s="1"/>
  <c r="N209" i="1813" s="1"/>
  <c r="V474" i="1812"/>
  <c r="V541" i="1812" s="1"/>
  <c r="J189" i="1811" s="1"/>
  <c r="J209" i="1813" s="1"/>
  <c r="R474" i="1812"/>
  <c r="AH473" i="1812"/>
  <c r="AH540" i="1812" s="1"/>
  <c r="V182" i="1811" s="1"/>
  <c r="V202" i="1813" s="1"/>
  <c r="AH472" i="1812"/>
  <c r="AH539" i="1812" s="1"/>
  <c r="V188" i="1811" s="1"/>
  <c r="V208" i="1813" s="1"/>
  <c r="AD472" i="1812"/>
  <c r="AD539" i="1812" s="1"/>
  <c r="R188" i="1811" s="1"/>
  <c r="R208" i="1813" s="1"/>
  <c r="AH471" i="1812"/>
  <c r="AH538" i="1812" s="1"/>
  <c r="V187" i="1811" s="1"/>
  <c r="V207" i="1813" s="1"/>
  <c r="AD471" i="1812"/>
  <c r="AD538" i="1812" s="1"/>
  <c r="R187" i="1811" s="1"/>
  <c r="R207" i="1813" s="1"/>
  <c r="Z471" i="1812"/>
  <c r="Z538" i="1812" s="1"/>
  <c r="V471" i="1812"/>
  <c r="V538" i="1812" s="1"/>
  <c r="J187" i="1811" s="1"/>
  <c r="J207" i="1813" s="1"/>
  <c r="R471" i="1812"/>
  <c r="AH470" i="1812"/>
  <c r="AH537" i="1812" s="1"/>
  <c r="V186" i="1811" s="1"/>
  <c r="V206" i="1813" s="1"/>
  <c r="AD470" i="1812"/>
  <c r="AD537" i="1812" s="1"/>
  <c r="R186" i="1811" s="1"/>
  <c r="R206" i="1813" s="1"/>
  <c r="Z470" i="1812"/>
  <c r="Z537" i="1812" s="1"/>
  <c r="N186" i="1811" s="1"/>
  <c r="N206" i="1813" s="1"/>
  <c r="V470" i="1812"/>
  <c r="V537" i="1812" s="1"/>
  <c r="J186" i="1811" s="1"/>
  <c r="J206" i="1813" s="1"/>
  <c r="R470" i="1812"/>
  <c r="AH469" i="1812"/>
  <c r="AH536" i="1812" s="1"/>
  <c r="V185" i="1811" s="1"/>
  <c r="V205" i="1813" s="1"/>
  <c r="AD469" i="1812"/>
  <c r="AD536" i="1812" s="1"/>
  <c r="R185" i="1811" s="1"/>
  <c r="R205" i="1813" s="1"/>
  <c r="AH468" i="1812"/>
  <c r="AH535" i="1812" s="1"/>
  <c r="AD468" i="1812"/>
  <c r="AD535" i="1812" s="1"/>
  <c r="R184" i="1811" s="1"/>
  <c r="R204" i="1813" s="1"/>
  <c r="Z468" i="1812"/>
  <c r="Z535" i="1812" s="1"/>
  <c r="N184" i="1811" s="1"/>
  <c r="N204" i="1813" s="1"/>
  <c r="V468" i="1812"/>
  <c r="V535" i="1812" s="1"/>
  <c r="J184" i="1811" s="1"/>
  <c r="J204" i="1813" s="1"/>
  <c r="R468" i="1812"/>
  <c r="AH467" i="1812"/>
  <c r="AH534" i="1812" s="1"/>
  <c r="V179" i="1811" s="1"/>
  <c r="V199" i="1813" s="1"/>
  <c r="V114" i="1814" s="1"/>
  <c r="AD467" i="1812"/>
  <c r="AD534" i="1812" s="1"/>
  <c r="R179" i="1811" s="1"/>
  <c r="R199" i="1813" s="1"/>
  <c r="R114" i="1814" s="1"/>
  <c r="Z467" i="1812"/>
  <c r="Z534" i="1812" s="1"/>
  <c r="N179" i="1811" s="1"/>
  <c r="N199" i="1813" s="1"/>
  <c r="N114" i="1814" s="1"/>
  <c r="AH466" i="1812"/>
  <c r="AH533" i="1812" s="1"/>
  <c r="V183" i="1811" s="1"/>
  <c r="V203" i="1813" s="1"/>
  <c r="AD466" i="1812"/>
  <c r="AD533" i="1812" s="1"/>
  <c r="R183" i="1811" s="1"/>
  <c r="R203" i="1813" s="1"/>
  <c r="Z466" i="1812"/>
  <c r="Z533" i="1812" s="1"/>
  <c r="N183" i="1811" s="1"/>
  <c r="N203" i="1813" s="1"/>
  <c r="AH465" i="1812"/>
  <c r="AH532" i="1812" s="1"/>
  <c r="V181" i="1811" s="1"/>
  <c r="V201" i="1813" s="1"/>
  <c r="AD465" i="1812"/>
  <c r="AD532" i="1812" s="1"/>
  <c r="R181" i="1811" s="1"/>
  <c r="R201" i="1813" s="1"/>
  <c r="Z465" i="1812"/>
  <c r="Z532" i="1812" s="1"/>
  <c r="N181" i="1811" s="1"/>
  <c r="N201" i="1813" s="1"/>
  <c r="AH461" i="1812"/>
  <c r="AH528" i="1812" s="1"/>
  <c r="V180" i="1811" s="1"/>
  <c r="V200" i="1813" s="1"/>
  <c r="AD461" i="1812"/>
  <c r="AD528" i="1812" s="1"/>
  <c r="R180" i="1811" s="1"/>
  <c r="R200" i="1813" s="1"/>
  <c r="Z461" i="1812"/>
  <c r="Z528" i="1812" s="1"/>
  <c r="N180" i="1811" s="1"/>
  <c r="N200" i="1813" s="1"/>
  <c r="AH460" i="1812"/>
  <c r="AH527" i="1812" s="1"/>
  <c r="AD460" i="1812"/>
  <c r="AD527" i="1812" s="1"/>
  <c r="R175" i="1811" s="1"/>
  <c r="R195" i="1813" s="1"/>
  <c r="Z460" i="1812"/>
  <c r="Z527" i="1812" s="1"/>
  <c r="N175" i="1811" s="1"/>
  <c r="N195" i="1813" s="1"/>
  <c r="V460" i="1812"/>
  <c r="V527" i="1812" s="1"/>
  <c r="R460" i="1812"/>
  <c r="BF457" i="1812"/>
  <c r="BE457" i="1812"/>
  <c r="BD457" i="1812"/>
  <c r="BC457" i="1812"/>
  <c r="BB457" i="1812"/>
  <c r="AJ457" i="1812"/>
  <c r="AI457" i="1812"/>
  <c r="AG457" i="1812"/>
  <c r="AF457" i="1812"/>
  <c r="AE457" i="1812"/>
  <c r="AC457" i="1812"/>
  <c r="AB457" i="1812"/>
  <c r="AA457" i="1812"/>
  <c r="Y457" i="1812"/>
  <c r="X457" i="1812"/>
  <c r="W457" i="1812"/>
  <c r="U457" i="1812"/>
  <c r="T457" i="1812"/>
  <c r="S457" i="1812"/>
  <c r="AH456" i="1812"/>
  <c r="AH523" i="1812" s="1"/>
  <c r="V170" i="1811" s="1"/>
  <c r="V190" i="1813" s="1"/>
  <c r="AD456" i="1812"/>
  <c r="AD523" i="1812" s="1"/>
  <c r="R170" i="1811" s="1"/>
  <c r="R190" i="1813" s="1"/>
  <c r="Z456" i="1812"/>
  <c r="Z523" i="1812" s="1"/>
  <c r="V456" i="1812"/>
  <c r="V523" i="1812" s="1"/>
  <c r="J170" i="1811" s="1"/>
  <c r="J190" i="1813" s="1"/>
  <c r="R456" i="1812"/>
  <c r="AH455" i="1812"/>
  <c r="AH522" i="1812" s="1"/>
  <c r="V171" i="1811" s="1"/>
  <c r="V191" i="1813" s="1"/>
  <c r="AD455" i="1812"/>
  <c r="AD522" i="1812" s="1"/>
  <c r="R171" i="1811" s="1"/>
  <c r="R191" i="1813" s="1"/>
  <c r="Z455" i="1812"/>
  <c r="Z522" i="1812" s="1"/>
  <c r="N171" i="1811" s="1"/>
  <c r="N191" i="1813" s="1"/>
  <c r="V455" i="1812"/>
  <c r="V522" i="1812" s="1"/>
  <c r="J171" i="1811" s="1"/>
  <c r="J191" i="1813" s="1"/>
  <c r="R455" i="1812"/>
  <c r="AH454" i="1812"/>
  <c r="AH521" i="1812" s="1"/>
  <c r="V169" i="1811" s="1"/>
  <c r="V189" i="1813" s="1"/>
  <c r="AD454" i="1812"/>
  <c r="AD521" i="1812" s="1"/>
  <c r="R169" i="1811" s="1"/>
  <c r="R189" i="1813" s="1"/>
  <c r="Z454" i="1812"/>
  <c r="Z521" i="1812" s="1"/>
  <c r="N169" i="1811" s="1"/>
  <c r="N189" i="1813" s="1"/>
  <c r="V454" i="1812"/>
  <c r="V521" i="1812" s="1"/>
  <c r="J169" i="1811" s="1"/>
  <c r="J189" i="1813" s="1"/>
  <c r="R454" i="1812"/>
  <c r="AH453" i="1812"/>
  <c r="AH520" i="1812" s="1"/>
  <c r="AD453" i="1812"/>
  <c r="AD520" i="1812" s="1"/>
  <c r="Z453" i="1812"/>
  <c r="Z520" i="1812" s="1"/>
  <c r="V453" i="1812"/>
  <c r="R453" i="1812"/>
  <c r="AH452" i="1812"/>
  <c r="AD452" i="1812"/>
  <c r="AD519" i="1812" s="1"/>
  <c r="R167" i="1811" s="1"/>
  <c r="R187" i="1813" s="1"/>
  <c r="Z452" i="1812"/>
  <c r="Z519" i="1812" s="1"/>
  <c r="V452" i="1812"/>
  <c r="V519" i="1812" s="1"/>
  <c r="J167" i="1811" s="1"/>
  <c r="J187" i="1813" s="1"/>
  <c r="R452" i="1812"/>
  <c r="AH448" i="1812"/>
  <c r="AH515" i="1812" s="1"/>
  <c r="V163" i="1811" s="1"/>
  <c r="V183" i="1813" s="1"/>
  <c r="AD448" i="1812"/>
  <c r="AD515" i="1812" s="1"/>
  <c r="R163" i="1811" s="1"/>
  <c r="R183" i="1813" s="1"/>
  <c r="Z448" i="1812"/>
  <c r="Z515" i="1812" s="1"/>
  <c r="N163" i="1811" s="1"/>
  <c r="N183" i="1813" s="1"/>
  <c r="V448" i="1812"/>
  <c r="V515" i="1812" s="1"/>
  <c r="J163" i="1811" s="1"/>
  <c r="J183" i="1813" s="1"/>
  <c r="R448" i="1812"/>
  <c r="AH447" i="1812"/>
  <c r="AH514" i="1812" s="1"/>
  <c r="V162" i="1811" s="1"/>
  <c r="V182" i="1813" s="1"/>
  <c r="AD447" i="1812"/>
  <c r="AD514" i="1812" s="1"/>
  <c r="R162" i="1811" s="1"/>
  <c r="R182" i="1813" s="1"/>
  <c r="Z447" i="1812"/>
  <c r="Z514" i="1812" s="1"/>
  <c r="N162" i="1811" s="1"/>
  <c r="N182" i="1813" s="1"/>
  <c r="V447" i="1812"/>
  <c r="V514" i="1812" s="1"/>
  <c r="J162" i="1811" s="1"/>
  <c r="J182" i="1813" s="1"/>
  <c r="R447" i="1812"/>
  <c r="AH446" i="1812"/>
  <c r="AH513" i="1812" s="1"/>
  <c r="V161" i="1811" s="1"/>
  <c r="V181" i="1813" s="1"/>
  <c r="AD446" i="1812"/>
  <c r="AD513" i="1812" s="1"/>
  <c r="R161" i="1811" s="1"/>
  <c r="R181" i="1813" s="1"/>
  <c r="Z446" i="1812"/>
  <c r="Z513" i="1812" s="1"/>
  <c r="N161" i="1811" s="1"/>
  <c r="N181" i="1813" s="1"/>
  <c r="V446" i="1812"/>
  <c r="V513" i="1812" s="1"/>
  <c r="J161" i="1811" s="1"/>
  <c r="J181" i="1813" s="1"/>
  <c r="R446" i="1812"/>
  <c r="AH445" i="1812"/>
  <c r="AH512" i="1812" s="1"/>
  <c r="V160" i="1811" s="1"/>
  <c r="V180" i="1813" s="1"/>
  <c r="AD445" i="1812"/>
  <c r="AD512" i="1812" s="1"/>
  <c r="R160" i="1811" s="1"/>
  <c r="R180" i="1813" s="1"/>
  <c r="Z445" i="1812"/>
  <c r="Z512" i="1812" s="1"/>
  <c r="N160" i="1811" s="1"/>
  <c r="N180" i="1813" s="1"/>
  <c r="V445" i="1812"/>
  <c r="V512" i="1812" s="1"/>
  <c r="J160" i="1811" s="1"/>
  <c r="J180" i="1813" s="1"/>
  <c r="R445" i="1812"/>
  <c r="AH444" i="1812"/>
  <c r="AH511" i="1812" s="1"/>
  <c r="V159" i="1811" s="1"/>
  <c r="V179" i="1813" s="1"/>
  <c r="AD444" i="1812"/>
  <c r="AD511" i="1812" s="1"/>
  <c r="Z444" i="1812"/>
  <c r="Z511" i="1812" s="1"/>
  <c r="N159" i="1811" s="1"/>
  <c r="N179" i="1813" s="1"/>
  <c r="V444" i="1812"/>
  <c r="V511" i="1812" s="1"/>
  <c r="R444" i="1812"/>
  <c r="AH443" i="1812"/>
  <c r="AH510" i="1812" s="1"/>
  <c r="V158" i="1811" s="1"/>
  <c r="V178" i="1813" s="1"/>
  <c r="AD443" i="1812"/>
  <c r="AD510" i="1812" s="1"/>
  <c r="R158" i="1811" s="1"/>
  <c r="R178" i="1813" s="1"/>
  <c r="Z443" i="1812"/>
  <c r="Z510" i="1812" s="1"/>
  <c r="N158" i="1811" s="1"/>
  <c r="N178" i="1813" s="1"/>
  <c r="V443" i="1812"/>
  <c r="V510" i="1812" s="1"/>
  <c r="J158" i="1811" s="1"/>
  <c r="J178" i="1813" s="1"/>
  <c r="R443" i="1812"/>
  <c r="AH442" i="1812"/>
  <c r="AH509" i="1812" s="1"/>
  <c r="AD442" i="1812"/>
  <c r="AD509" i="1812" s="1"/>
  <c r="R157" i="1811" s="1"/>
  <c r="R177" i="1813" s="1"/>
  <c r="Z442" i="1812"/>
  <c r="Z509" i="1812" s="1"/>
  <c r="V442" i="1812"/>
  <c r="V509" i="1812" s="1"/>
  <c r="J157" i="1811" s="1"/>
  <c r="J177" i="1813" s="1"/>
  <c r="R442" i="1812"/>
  <c r="AH441" i="1812"/>
  <c r="AH508" i="1812" s="1"/>
  <c r="V156" i="1811" s="1"/>
  <c r="V176" i="1813" s="1"/>
  <c r="AD441" i="1812"/>
  <c r="AD508" i="1812" s="1"/>
  <c r="R156" i="1811" s="1"/>
  <c r="R176" i="1813" s="1"/>
  <c r="Z441" i="1812"/>
  <c r="Z508" i="1812" s="1"/>
  <c r="N156" i="1811" s="1"/>
  <c r="N176" i="1813" s="1"/>
  <c r="V441" i="1812"/>
  <c r="V508" i="1812" s="1"/>
  <c r="J156" i="1811" s="1"/>
  <c r="J176" i="1813" s="1"/>
  <c r="R441" i="1812"/>
  <c r="BF440" i="1812"/>
  <c r="BF449" i="1812" s="1"/>
  <c r="BE440" i="1812"/>
  <c r="BE449" i="1812" s="1"/>
  <c r="BD440" i="1812"/>
  <c r="BD449" i="1812" s="1"/>
  <c r="BC440" i="1812"/>
  <c r="BC449" i="1812" s="1"/>
  <c r="BB440" i="1812"/>
  <c r="BB449" i="1812" s="1"/>
  <c r="AJ440" i="1812"/>
  <c r="AJ449" i="1812" s="1"/>
  <c r="AI440" i="1812"/>
  <c r="AI449" i="1812" s="1"/>
  <c r="AG440" i="1812"/>
  <c r="AG449" i="1812" s="1"/>
  <c r="AF440" i="1812"/>
  <c r="AF449" i="1812" s="1"/>
  <c r="AE440" i="1812"/>
  <c r="AE449" i="1812" s="1"/>
  <c r="AC440" i="1812"/>
  <c r="AC449" i="1812" s="1"/>
  <c r="AB440" i="1812"/>
  <c r="AB449" i="1812" s="1"/>
  <c r="AA440" i="1812"/>
  <c r="AA449" i="1812" s="1"/>
  <c r="Y440" i="1812"/>
  <c r="Y449" i="1812" s="1"/>
  <c r="X440" i="1812"/>
  <c r="X449" i="1812" s="1"/>
  <c r="W440" i="1812"/>
  <c r="W449" i="1812" s="1"/>
  <c r="U440" i="1812"/>
  <c r="U449" i="1812" s="1"/>
  <c r="T440" i="1812"/>
  <c r="T449" i="1812" s="1"/>
  <c r="S440" i="1812"/>
  <c r="S449" i="1812" s="1"/>
  <c r="AH439" i="1812"/>
  <c r="AH506" i="1812" s="1"/>
  <c r="AH438" i="1812"/>
  <c r="AH505" i="1812" s="1"/>
  <c r="V153" i="1811" s="1"/>
  <c r="V173" i="1813" s="1"/>
  <c r="AD438" i="1812"/>
  <c r="AD505" i="1812" s="1"/>
  <c r="R153" i="1811" s="1"/>
  <c r="R173" i="1813" s="1"/>
  <c r="Z438" i="1812"/>
  <c r="Z505" i="1812" s="1"/>
  <c r="N153" i="1811" s="1"/>
  <c r="N173" i="1813" s="1"/>
  <c r="V438" i="1812"/>
  <c r="V505" i="1812" s="1"/>
  <c r="J153" i="1811" s="1"/>
  <c r="J173" i="1813" s="1"/>
  <c r="R438" i="1812"/>
  <c r="AH437" i="1812"/>
  <c r="AH504" i="1812" s="1"/>
  <c r="V152" i="1811" s="1"/>
  <c r="V172" i="1813" s="1"/>
  <c r="AH436" i="1812"/>
  <c r="AH503" i="1812" s="1"/>
  <c r="V151" i="1811" s="1"/>
  <c r="V171" i="1813" s="1"/>
  <c r="AD436" i="1812"/>
  <c r="AD503" i="1812" s="1"/>
  <c r="R151" i="1811" s="1"/>
  <c r="R171" i="1813" s="1"/>
  <c r="Z436" i="1812"/>
  <c r="Z503" i="1812" s="1"/>
  <c r="N151" i="1811" s="1"/>
  <c r="N171" i="1813" s="1"/>
  <c r="V436" i="1812"/>
  <c r="V503" i="1812" s="1"/>
  <c r="J151" i="1811" s="1"/>
  <c r="J171" i="1813" s="1"/>
  <c r="R436" i="1812"/>
  <c r="AH435" i="1812"/>
  <c r="AH502" i="1812" s="1"/>
  <c r="V150" i="1811" s="1"/>
  <c r="V170" i="1813" s="1"/>
  <c r="AH434" i="1812"/>
  <c r="AH501" i="1812" s="1"/>
  <c r="V149" i="1811" s="1"/>
  <c r="V169" i="1813" s="1"/>
  <c r="AD434" i="1812"/>
  <c r="AD501" i="1812" s="1"/>
  <c r="R149" i="1811" s="1"/>
  <c r="R169" i="1813" s="1"/>
  <c r="Z434" i="1812"/>
  <c r="Z501" i="1812" s="1"/>
  <c r="N149" i="1811" s="1"/>
  <c r="N169" i="1813" s="1"/>
  <c r="V434" i="1812"/>
  <c r="V501" i="1812" s="1"/>
  <c r="J149" i="1811" s="1"/>
  <c r="J169" i="1813" s="1"/>
  <c r="R434" i="1812"/>
  <c r="AH432" i="1812"/>
  <c r="AH499" i="1812" s="1"/>
  <c r="V147" i="1811" s="1"/>
  <c r="V167" i="1813" s="1"/>
  <c r="AD432" i="1812"/>
  <c r="AD499" i="1812" s="1"/>
  <c r="R147" i="1811" s="1"/>
  <c r="R167" i="1813" s="1"/>
  <c r="Z432" i="1812"/>
  <c r="Z499" i="1812" s="1"/>
  <c r="N147" i="1811" s="1"/>
  <c r="N167" i="1813" s="1"/>
  <c r="V432" i="1812"/>
  <c r="V499" i="1812" s="1"/>
  <c r="J147" i="1811" s="1"/>
  <c r="J167" i="1813" s="1"/>
  <c r="R432" i="1812"/>
  <c r="AH431" i="1812"/>
  <c r="AH498" i="1812" s="1"/>
  <c r="V146" i="1811" s="1"/>
  <c r="V166" i="1813" s="1"/>
  <c r="AD431" i="1812"/>
  <c r="AD498" i="1812" s="1"/>
  <c r="R146" i="1811" s="1"/>
  <c r="R166" i="1813" s="1"/>
  <c r="Z431" i="1812"/>
  <c r="Z498" i="1812" s="1"/>
  <c r="N146" i="1811" s="1"/>
  <c r="N166" i="1813" s="1"/>
  <c r="V431" i="1812"/>
  <c r="V498" i="1812" s="1"/>
  <c r="J146" i="1811" s="1"/>
  <c r="J166" i="1813" s="1"/>
  <c r="R431" i="1812"/>
  <c r="AH430" i="1812"/>
  <c r="AH497" i="1812" s="1"/>
  <c r="V145" i="1811" s="1"/>
  <c r="V165" i="1813" s="1"/>
  <c r="AD430" i="1812"/>
  <c r="AD497" i="1812" s="1"/>
  <c r="R145" i="1811" s="1"/>
  <c r="R165" i="1813" s="1"/>
  <c r="Z430" i="1812"/>
  <c r="Z497" i="1812" s="1"/>
  <c r="N145" i="1811" s="1"/>
  <c r="N165" i="1813" s="1"/>
  <c r="V430" i="1812"/>
  <c r="V497" i="1812" s="1"/>
  <c r="J145" i="1811" s="1"/>
  <c r="J165" i="1813" s="1"/>
  <c r="R430" i="1812"/>
  <c r="AH429" i="1812"/>
  <c r="AH496" i="1812" s="1"/>
  <c r="V144" i="1811" s="1"/>
  <c r="V164" i="1813" s="1"/>
  <c r="AD429" i="1812"/>
  <c r="AD496" i="1812" s="1"/>
  <c r="R144" i="1811" s="1"/>
  <c r="R164" i="1813" s="1"/>
  <c r="Z429" i="1812"/>
  <c r="Z496" i="1812" s="1"/>
  <c r="N144" i="1811" s="1"/>
  <c r="N164" i="1813" s="1"/>
  <c r="V429" i="1812"/>
  <c r="V496" i="1812" s="1"/>
  <c r="J144" i="1811" s="1"/>
  <c r="J164" i="1813" s="1"/>
  <c r="R429" i="1812"/>
  <c r="AH428" i="1812"/>
  <c r="AH495" i="1812" s="1"/>
  <c r="V143" i="1811" s="1"/>
  <c r="V163" i="1813" s="1"/>
  <c r="AD428" i="1812"/>
  <c r="AD495" i="1812" s="1"/>
  <c r="R143" i="1811" s="1"/>
  <c r="R163" i="1813" s="1"/>
  <c r="Z428" i="1812"/>
  <c r="Z495" i="1812" s="1"/>
  <c r="N143" i="1811" s="1"/>
  <c r="N163" i="1813" s="1"/>
  <c r="V428" i="1812"/>
  <c r="V495" i="1812" s="1"/>
  <c r="J143" i="1811" s="1"/>
  <c r="J163" i="1813" s="1"/>
  <c r="R428" i="1812"/>
  <c r="AH427" i="1812"/>
  <c r="AH494" i="1812" s="1"/>
  <c r="V142" i="1811" s="1"/>
  <c r="V162" i="1813" s="1"/>
  <c r="AD427" i="1812"/>
  <c r="AD494" i="1812" s="1"/>
  <c r="R142" i="1811" s="1"/>
  <c r="R162" i="1813" s="1"/>
  <c r="Z427" i="1812"/>
  <c r="Z494" i="1812" s="1"/>
  <c r="N142" i="1811" s="1"/>
  <c r="N162" i="1813" s="1"/>
  <c r="V427" i="1812"/>
  <c r="V494" i="1812" s="1"/>
  <c r="J142" i="1811" s="1"/>
  <c r="J162" i="1813" s="1"/>
  <c r="R427" i="1812"/>
  <c r="AH426" i="1812"/>
  <c r="AH493" i="1812" s="1"/>
  <c r="V141" i="1811" s="1"/>
  <c r="V161" i="1813" s="1"/>
  <c r="AD426" i="1812"/>
  <c r="AD493" i="1812" s="1"/>
  <c r="R141" i="1811" s="1"/>
  <c r="R161" i="1813" s="1"/>
  <c r="Z426" i="1812"/>
  <c r="Z493" i="1812" s="1"/>
  <c r="N141" i="1811" s="1"/>
  <c r="N161" i="1813" s="1"/>
  <c r="V426" i="1812"/>
  <c r="V493" i="1812" s="1"/>
  <c r="J141" i="1811" s="1"/>
  <c r="J161" i="1813" s="1"/>
  <c r="R426" i="1812"/>
  <c r="AH425" i="1812"/>
  <c r="AH492" i="1812" s="1"/>
  <c r="V140" i="1811" s="1"/>
  <c r="V160" i="1813" s="1"/>
  <c r="AD425" i="1812"/>
  <c r="AD492" i="1812" s="1"/>
  <c r="R140" i="1811" s="1"/>
  <c r="R160" i="1813" s="1"/>
  <c r="Z425" i="1812"/>
  <c r="Z492" i="1812" s="1"/>
  <c r="N140" i="1811" s="1"/>
  <c r="N160" i="1813" s="1"/>
  <c r="V425" i="1812"/>
  <c r="V492" i="1812" s="1"/>
  <c r="J140" i="1811" s="1"/>
  <c r="J160" i="1813" s="1"/>
  <c r="R425" i="1812"/>
  <c r="AH424" i="1812"/>
  <c r="AH491" i="1812" s="1"/>
  <c r="AD424" i="1812"/>
  <c r="AD491" i="1812" s="1"/>
  <c r="R159" i="1813" s="1"/>
  <c r="AH423" i="1812"/>
  <c r="AD423" i="1812"/>
  <c r="AD490" i="1812" s="1"/>
  <c r="R137" i="1811" s="1"/>
  <c r="R157" i="1813" s="1"/>
  <c r="Z423" i="1812"/>
  <c r="Z490" i="1812" s="1"/>
  <c r="N137" i="1811" s="1"/>
  <c r="N157" i="1813" s="1"/>
  <c r="V423" i="1812"/>
  <c r="V490" i="1812" s="1"/>
  <c r="J137" i="1811" s="1"/>
  <c r="J157" i="1813" s="1"/>
  <c r="R423" i="1812"/>
  <c r="BF417" i="1812"/>
  <c r="BE417" i="1812"/>
  <c r="BD417" i="1812"/>
  <c r="AJ417" i="1812"/>
  <c r="AI417" i="1812"/>
  <c r="AH417" i="1812"/>
  <c r="AG417" i="1812"/>
  <c r="AF417" i="1812"/>
  <c r="AE417" i="1812"/>
  <c r="AD417" i="1812"/>
  <c r="AC417" i="1812"/>
  <c r="AB417" i="1812"/>
  <c r="AA417" i="1812"/>
  <c r="Z417" i="1812"/>
  <c r="Y417" i="1812"/>
  <c r="A406" i="1812"/>
  <c r="A405" i="1812"/>
  <c r="A404" i="1812"/>
  <c r="A403" i="1812"/>
  <c r="A680" i="1812" s="1"/>
  <c r="A402" i="1812"/>
  <c r="A681" i="1812" s="1"/>
  <c r="A400" i="1812"/>
  <c r="A399" i="1812"/>
  <c r="A398" i="1812"/>
  <c r="BF388" i="1812"/>
  <c r="BE388" i="1812"/>
  <c r="BD388" i="1812"/>
  <c r="BC388" i="1812"/>
  <c r="BB388" i="1812"/>
  <c r="AJ388" i="1812"/>
  <c r="AI388" i="1812"/>
  <c r="AH388" i="1812"/>
  <c r="AG388" i="1812"/>
  <c r="AF388" i="1812"/>
  <c r="AE388" i="1812"/>
  <c r="AD388" i="1812"/>
  <c r="AC388" i="1812"/>
  <c r="AB388" i="1812"/>
  <c r="AA388" i="1812"/>
  <c r="Z388" i="1812"/>
  <c r="Y388" i="1812"/>
  <c r="X388" i="1812"/>
  <c r="W388" i="1812"/>
  <c r="V388" i="1812"/>
  <c r="U388" i="1812"/>
  <c r="T388" i="1812"/>
  <c r="S388" i="1812"/>
  <c r="R388" i="1812"/>
  <c r="Q388" i="1812"/>
  <c r="Q384" i="1812"/>
  <c r="BF383" i="1812"/>
  <c r="BE383" i="1812"/>
  <c r="BD383" i="1812"/>
  <c r="BC383" i="1812"/>
  <c r="BB383" i="1812"/>
  <c r="AJ383" i="1812"/>
  <c r="AI383" i="1812"/>
  <c r="AG383" i="1812"/>
  <c r="AF383" i="1812"/>
  <c r="AE383" i="1812"/>
  <c r="AC383" i="1812"/>
  <c r="AB383" i="1812"/>
  <c r="AA383" i="1812"/>
  <c r="Z383" i="1812"/>
  <c r="Y383" i="1812"/>
  <c r="X383" i="1812"/>
  <c r="W383" i="1812"/>
  <c r="V383" i="1812"/>
  <c r="U383" i="1812"/>
  <c r="T383" i="1812"/>
  <c r="S383" i="1812"/>
  <c r="BF382" i="1812"/>
  <c r="BE382" i="1812"/>
  <c r="BD382" i="1812"/>
  <c r="BC382" i="1812"/>
  <c r="BB382" i="1812"/>
  <c r="AJ382" i="1812"/>
  <c r="AK382" i="1812" s="1"/>
  <c r="AI382" i="1812"/>
  <c r="AG382" i="1812"/>
  <c r="AF382" i="1812"/>
  <c r="AE382" i="1812"/>
  <c r="AC382" i="1812"/>
  <c r="AB382" i="1812"/>
  <c r="AA382" i="1812"/>
  <c r="Y382" i="1812"/>
  <c r="X382" i="1812"/>
  <c r="W382" i="1812"/>
  <c r="U382" i="1812"/>
  <c r="T382" i="1812"/>
  <c r="S382" i="1812"/>
  <c r="BF381" i="1812"/>
  <c r="BE381" i="1812"/>
  <c r="BD381" i="1812"/>
  <c r="BC381" i="1812"/>
  <c r="BB381" i="1812"/>
  <c r="AJ381" i="1812"/>
  <c r="AK381" i="1812" s="1"/>
  <c r="AI381" i="1812"/>
  <c r="AG381" i="1812"/>
  <c r="AF381" i="1812"/>
  <c r="AE381" i="1812"/>
  <c r="AC381" i="1812"/>
  <c r="AB381" i="1812"/>
  <c r="AA381" i="1812"/>
  <c r="Y381" i="1812"/>
  <c r="X381" i="1812"/>
  <c r="W381" i="1812"/>
  <c r="U381" i="1812"/>
  <c r="T381" i="1812"/>
  <c r="S381" i="1812"/>
  <c r="BF380" i="1812"/>
  <c r="BE380" i="1812"/>
  <c r="BD380" i="1812"/>
  <c r="BC380" i="1812"/>
  <c r="BB380" i="1812"/>
  <c r="AJ380" i="1812"/>
  <c r="AI380" i="1812"/>
  <c r="AG380" i="1812"/>
  <c r="AF380" i="1812"/>
  <c r="AE380" i="1812"/>
  <c r="AC380" i="1812"/>
  <c r="AB380" i="1812"/>
  <c r="AA380" i="1812"/>
  <c r="Y380" i="1812"/>
  <c r="X380" i="1812"/>
  <c r="W380" i="1812"/>
  <c r="U380" i="1812"/>
  <c r="T380" i="1812"/>
  <c r="S380" i="1812"/>
  <c r="BF379" i="1812"/>
  <c r="BE379" i="1812"/>
  <c r="BD379" i="1812"/>
  <c r="BC379" i="1812"/>
  <c r="BB379" i="1812"/>
  <c r="AJ379" i="1812"/>
  <c r="AI379" i="1812"/>
  <c r="AG379" i="1812"/>
  <c r="AF379" i="1812"/>
  <c r="AE379" i="1812"/>
  <c r="AC379" i="1812"/>
  <c r="AB379" i="1812"/>
  <c r="AA379" i="1812"/>
  <c r="Y379" i="1812"/>
  <c r="X379" i="1812"/>
  <c r="W379" i="1812"/>
  <c r="U379" i="1812"/>
  <c r="T379" i="1812"/>
  <c r="S379" i="1812"/>
  <c r="BH367" i="1812"/>
  <c r="BG367" i="1812"/>
  <c r="BH363" i="1812"/>
  <c r="BG363" i="1812"/>
  <c r="BF363" i="1812"/>
  <c r="BE363" i="1812"/>
  <c r="BD363" i="1812"/>
  <c r="BC363" i="1812"/>
  <c r="BB363" i="1812"/>
  <c r="A359" i="1812"/>
  <c r="A711" i="1812" s="1"/>
  <c r="AH347" i="1812"/>
  <c r="AD347" i="1812"/>
  <c r="Z347" i="1812"/>
  <c r="AH346" i="1812"/>
  <c r="AD346" i="1812"/>
  <c r="Z346" i="1812"/>
  <c r="BF340" i="1812"/>
  <c r="BE340" i="1812"/>
  <c r="BD340" i="1812"/>
  <c r="AJ340" i="1812"/>
  <c r="AI340" i="1812"/>
  <c r="AG340" i="1812"/>
  <c r="AF340" i="1812"/>
  <c r="AE340" i="1812"/>
  <c r="AC340" i="1812"/>
  <c r="AB340" i="1812"/>
  <c r="AA340" i="1812"/>
  <c r="Y340" i="1812"/>
  <c r="AH339" i="1812"/>
  <c r="AD339" i="1812"/>
  <c r="Z339" i="1812"/>
  <c r="AH338" i="1812"/>
  <c r="AH231" i="1812" s="1"/>
  <c r="AD338" i="1812"/>
  <c r="AD340" i="1812" s="1"/>
  <c r="Z338" i="1812"/>
  <c r="Z231" i="1812" s="1"/>
  <c r="AH334" i="1812"/>
  <c r="AD334" i="1812"/>
  <c r="Z334" i="1812"/>
  <c r="AH333" i="1812"/>
  <c r="AD333" i="1812"/>
  <c r="Z333" i="1812"/>
  <c r="BF330" i="1812"/>
  <c r="BF331" i="1812" s="1"/>
  <c r="BE330" i="1812"/>
  <c r="BE331" i="1812" s="1"/>
  <c r="BD330" i="1812"/>
  <c r="BD331" i="1812" s="1"/>
  <c r="AJ330" i="1812"/>
  <c r="AJ331" i="1812" s="1"/>
  <c r="AI330" i="1812"/>
  <c r="AI331" i="1812" s="1"/>
  <c r="AG330" i="1812"/>
  <c r="AG331" i="1812" s="1"/>
  <c r="AF330" i="1812"/>
  <c r="AF331" i="1812" s="1"/>
  <c r="AE330" i="1812"/>
  <c r="AE331" i="1812" s="1"/>
  <c r="AH324" i="1812"/>
  <c r="AD324" i="1812"/>
  <c r="Z324" i="1812"/>
  <c r="AH323" i="1812"/>
  <c r="AD323" i="1812"/>
  <c r="Z323" i="1812"/>
  <c r="BF321" i="1812"/>
  <c r="AI317" i="1812" s="1"/>
  <c r="BE321" i="1812"/>
  <c r="AE317" i="1812" s="1"/>
  <c r="BD321" i="1812"/>
  <c r="AA317" i="1812" s="1"/>
  <c r="AJ321" i="1812"/>
  <c r="AI321" i="1812"/>
  <c r="AJ317" i="1812" s="1"/>
  <c r="AG321" i="1812"/>
  <c r="AH317" i="1812" s="1"/>
  <c r="AF321" i="1812"/>
  <c r="AG317" i="1812" s="1"/>
  <c r="AE321" i="1812"/>
  <c r="AF317" i="1812" s="1"/>
  <c r="AC321" i="1812"/>
  <c r="AD317" i="1812" s="1"/>
  <c r="AB321" i="1812"/>
  <c r="AC317" i="1812" s="1"/>
  <c r="AA321" i="1812"/>
  <c r="AB317" i="1812" s="1"/>
  <c r="BF320" i="1812"/>
  <c r="BE320" i="1812"/>
  <c r="BD320" i="1812"/>
  <c r="AI320" i="1812"/>
  <c r="AE320" i="1812"/>
  <c r="AA320" i="1812"/>
  <c r="BF319" i="1812"/>
  <c r="BE319" i="1812"/>
  <c r="BD319" i="1812"/>
  <c r="AI319" i="1812"/>
  <c r="AE319" i="1812"/>
  <c r="AA319" i="1812"/>
  <c r="BF318" i="1812"/>
  <c r="BE318" i="1812"/>
  <c r="BD318" i="1812"/>
  <c r="AI318" i="1812"/>
  <c r="AE318" i="1812"/>
  <c r="AA318" i="1812"/>
  <c r="BD317" i="1812"/>
  <c r="AH315" i="1812"/>
  <c r="AH321" i="1812" s="1"/>
  <c r="AD315" i="1812"/>
  <c r="AD321" i="1812" s="1"/>
  <c r="Z315" i="1812"/>
  <c r="Z321" i="1812" s="1"/>
  <c r="AH314" i="1812"/>
  <c r="AD314" i="1812"/>
  <c r="AH312" i="1812"/>
  <c r="AD312" i="1812"/>
  <c r="BF311" i="1812"/>
  <c r="BF317" i="1812" s="1"/>
  <c r="BE311" i="1812"/>
  <c r="BE317" i="1812" s="1"/>
  <c r="AJ311" i="1812"/>
  <c r="AI311" i="1812"/>
  <c r="AH311" i="1812"/>
  <c r="AG311" i="1812"/>
  <c r="AF311" i="1812"/>
  <c r="AE311" i="1812"/>
  <c r="AD311" i="1812"/>
  <c r="AC311" i="1812"/>
  <c r="AB311" i="1812"/>
  <c r="AA311" i="1812"/>
  <c r="BF308" i="1812"/>
  <c r="BE308" i="1812"/>
  <c r="BD308" i="1812"/>
  <c r="AJ308" i="1812"/>
  <c r="AJ320" i="1812" s="1"/>
  <c r="AI308" i="1812"/>
  <c r="AG308" i="1812"/>
  <c r="AG320" i="1812" s="1"/>
  <c r="AF308" i="1812"/>
  <c r="AF320" i="1812" s="1"/>
  <c r="AE308" i="1812"/>
  <c r="AC308" i="1812"/>
  <c r="AC320" i="1812" s="1"/>
  <c r="AB308" i="1812"/>
  <c r="AB320" i="1812" s="1"/>
  <c r="AA308" i="1812"/>
  <c r="BF307" i="1812"/>
  <c r="BE307" i="1812"/>
  <c r="BD307" i="1812"/>
  <c r="AJ307" i="1812"/>
  <c r="AJ319" i="1812" s="1"/>
  <c r="AI307" i="1812"/>
  <c r="AH307" i="1812"/>
  <c r="AH319" i="1812" s="1"/>
  <c r="AG307" i="1812"/>
  <c r="AG319" i="1812" s="1"/>
  <c r="AF307" i="1812"/>
  <c r="AF319" i="1812" s="1"/>
  <c r="AE307" i="1812"/>
  <c r="AD307" i="1812"/>
  <c r="AD319" i="1812" s="1"/>
  <c r="AC307" i="1812"/>
  <c r="AC319" i="1812" s="1"/>
  <c r="AB307" i="1812"/>
  <c r="AB319" i="1812" s="1"/>
  <c r="AA307" i="1812"/>
  <c r="BF306" i="1812"/>
  <c r="BE306" i="1812"/>
  <c r="BD306" i="1812"/>
  <c r="AJ306" i="1812"/>
  <c r="AJ318" i="1812" s="1"/>
  <c r="AI306" i="1812"/>
  <c r="AG306" i="1812"/>
  <c r="AG318" i="1812" s="1"/>
  <c r="AF306" i="1812"/>
  <c r="AF318" i="1812" s="1"/>
  <c r="AE306" i="1812"/>
  <c r="AC306" i="1812"/>
  <c r="AC318" i="1812" s="1"/>
  <c r="AB306" i="1812"/>
  <c r="AB318" i="1812" s="1"/>
  <c r="AA306" i="1812"/>
  <c r="BD305" i="1812"/>
  <c r="BD303" i="1812"/>
  <c r="Z303" i="1812" s="1"/>
  <c r="AH302" i="1812"/>
  <c r="AH308" i="1812" s="1"/>
  <c r="AD302" i="1812"/>
  <c r="AH300" i="1812"/>
  <c r="AH306" i="1812" s="1"/>
  <c r="AD300" i="1812"/>
  <c r="AD306" i="1812" s="1"/>
  <c r="AH297" i="1812"/>
  <c r="AD297" i="1812"/>
  <c r="Z297" i="1812"/>
  <c r="AH296" i="1812"/>
  <c r="AD296" i="1812"/>
  <c r="Z296" i="1812"/>
  <c r="BF294" i="1812"/>
  <c r="AI290" i="1812" s="1"/>
  <c r="BE294" i="1812"/>
  <c r="AE290" i="1812" s="1"/>
  <c r="BD294" i="1812"/>
  <c r="AA290" i="1812" s="1"/>
  <c r="AJ294" i="1812"/>
  <c r="AI294" i="1812"/>
  <c r="AJ290" i="1812" s="1"/>
  <c r="AG294" i="1812"/>
  <c r="AH290" i="1812" s="1"/>
  <c r="AF294" i="1812"/>
  <c r="AG290" i="1812" s="1"/>
  <c r="AE294" i="1812"/>
  <c r="AF290" i="1812" s="1"/>
  <c r="AC294" i="1812"/>
  <c r="AD290" i="1812" s="1"/>
  <c r="AB294" i="1812"/>
  <c r="AC290" i="1812" s="1"/>
  <c r="AA294" i="1812"/>
  <c r="AB290" i="1812" s="1"/>
  <c r="Y294" i="1812"/>
  <c r="Z290" i="1812" s="1"/>
  <c r="BF293" i="1812"/>
  <c r="BE293" i="1812"/>
  <c r="BD293" i="1812"/>
  <c r="AI293" i="1812"/>
  <c r="AE293" i="1812"/>
  <c r="AA293" i="1812"/>
  <c r="BF292" i="1812"/>
  <c r="BE292" i="1812"/>
  <c r="BD292" i="1812"/>
  <c r="AI292" i="1812"/>
  <c r="AE292" i="1812"/>
  <c r="AA292" i="1812"/>
  <c r="BF291" i="1812"/>
  <c r="BE291" i="1812"/>
  <c r="BD291" i="1812"/>
  <c r="AI291" i="1812"/>
  <c r="AE291" i="1812"/>
  <c r="AA291" i="1812"/>
  <c r="AH288" i="1812"/>
  <c r="AH294" i="1812" s="1"/>
  <c r="AD288" i="1812"/>
  <c r="AD294" i="1812" s="1"/>
  <c r="Z288" i="1812"/>
  <c r="Z294" i="1812" s="1"/>
  <c r="Z287" i="1812"/>
  <c r="AH286" i="1812"/>
  <c r="AD286" i="1812"/>
  <c r="BF284" i="1812"/>
  <c r="BF290" i="1812" s="1"/>
  <c r="BE284" i="1812"/>
  <c r="BE290" i="1812" s="1"/>
  <c r="BD284" i="1812"/>
  <c r="BD290" i="1812" s="1"/>
  <c r="AJ284" i="1812"/>
  <c r="AI284" i="1812"/>
  <c r="AH284" i="1812"/>
  <c r="AG284" i="1812"/>
  <c r="AF284" i="1812"/>
  <c r="AE284" i="1812"/>
  <c r="AD284" i="1812"/>
  <c r="AC284" i="1812"/>
  <c r="AB284" i="1812"/>
  <c r="AA284" i="1812"/>
  <c r="BF281" i="1812"/>
  <c r="BE281" i="1812"/>
  <c r="BD281" i="1812"/>
  <c r="AJ281" i="1812"/>
  <c r="AJ293" i="1812" s="1"/>
  <c r="AI281" i="1812"/>
  <c r="AH281" i="1812"/>
  <c r="AH293" i="1812" s="1"/>
  <c r="AG281" i="1812"/>
  <c r="AG293" i="1812" s="1"/>
  <c r="AF281" i="1812"/>
  <c r="AF293" i="1812" s="1"/>
  <c r="AE281" i="1812"/>
  <c r="AD281" i="1812"/>
  <c r="AD293" i="1812" s="1"/>
  <c r="AC281" i="1812"/>
  <c r="AC293" i="1812" s="1"/>
  <c r="AB281" i="1812"/>
  <c r="AB293" i="1812" s="1"/>
  <c r="AA281" i="1812"/>
  <c r="BF280" i="1812"/>
  <c r="BE280" i="1812"/>
  <c r="BD280" i="1812"/>
  <c r="AJ280" i="1812"/>
  <c r="AJ292" i="1812" s="1"/>
  <c r="AI280" i="1812"/>
  <c r="AG280" i="1812"/>
  <c r="AG292" i="1812" s="1"/>
  <c r="AF280" i="1812"/>
  <c r="AF292" i="1812" s="1"/>
  <c r="AE280" i="1812"/>
  <c r="AC280" i="1812"/>
  <c r="AC292" i="1812" s="1"/>
  <c r="AB280" i="1812"/>
  <c r="AB292" i="1812" s="1"/>
  <c r="AA280" i="1812"/>
  <c r="Z280" i="1812"/>
  <c r="Z292" i="1812" s="1"/>
  <c r="BF279" i="1812"/>
  <c r="BE279" i="1812"/>
  <c r="BD279" i="1812"/>
  <c r="AJ279" i="1812"/>
  <c r="AJ291" i="1812" s="1"/>
  <c r="AI279" i="1812"/>
  <c r="AH279" i="1812"/>
  <c r="AH291" i="1812" s="1"/>
  <c r="AG279" i="1812"/>
  <c r="AG291" i="1812" s="1"/>
  <c r="AF279" i="1812"/>
  <c r="AF291" i="1812" s="1"/>
  <c r="AE279" i="1812"/>
  <c r="AD279" i="1812"/>
  <c r="AD291" i="1812" s="1"/>
  <c r="AC279" i="1812"/>
  <c r="AC291" i="1812" s="1"/>
  <c r="AB279" i="1812"/>
  <c r="AB291" i="1812" s="1"/>
  <c r="AA279" i="1812"/>
  <c r="Z279" i="1812"/>
  <c r="Y276" i="1812"/>
  <c r="Y282" i="1812" s="1"/>
  <c r="Z278" i="1812" s="1"/>
  <c r="Z275" i="1812"/>
  <c r="Z281" i="1812" s="1"/>
  <c r="AH274" i="1812"/>
  <c r="AH280" i="1812" s="1"/>
  <c r="AD274" i="1812"/>
  <c r="AD280" i="1812" s="1"/>
  <c r="Z272" i="1812"/>
  <c r="BD272" i="1812" s="1"/>
  <c r="BD276" i="1812" s="1"/>
  <c r="AA272" i="1812" s="1"/>
  <c r="AH270" i="1812"/>
  <c r="AD270" i="1812"/>
  <c r="Z270" i="1812"/>
  <c r="AH269" i="1812"/>
  <c r="AD269" i="1812"/>
  <c r="Z269" i="1812"/>
  <c r="BF267" i="1812"/>
  <c r="AI263" i="1812" s="1"/>
  <c r="BE267" i="1812"/>
  <c r="AE263" i="1812" s="1"/>
  <c r="BD267" i="1812"/>
  <c r="AA263" i="1812" s="1"/>
  <c r="AJ267" i="1812"/>
  <c r="AI267" i="1812"/>
  <c r="AJ263" i="1812" s="1"/>
  <c r="AG267" i="1812"/>
  <c r="AH263" i="1812" s="1"/>
  <c r="AF267" i="1812"/>
  <c r="AG263" i="1812" s="1"/>
  <c r="AE267" i="1812"/>
  <c r="AF263" i="1812" s="1"/>
  <c r="AC267" i="1812"/>
  <c r="AD263" i="1812" s="1"/>
  <c r="AB267" i="1812"/>
  <c r="AC263" i="1812" s="1"/>
  <c r="AA267" i="1812"/>
  <c r="AB263" i="1812" s="1"/>
  <c r="Y267" i="1812"/>
  <c r="Z263" i="1812" s="1"/>
  <c r="BF266" i="1812"/>
  <c r="BE266" i="1812"/>
  <c r="BD266" i="1812"/>
  <c r="AI266" i="1812"/>
  <c r="AE266" i="1812"/>
  <c r="AA266" i="1812"/>
  <c r="BF265" i="1812"/>
  <c r="BE265" i="1812"/>
  <c r="BD265" i="1812"/>
  <c r="AI265" i="1812"/>
  <c r="AE265" i="1812"/>
  <c r="AA265" i="1812"/>
  <c r="BF264" i="1812"/>
  <c r="BE264" i="1812"/>
  <c r="BD264" i="1812"/>
  <c r="AI264" i="1812"/>
  <c r="AE264" i="1812"/>
  <c r="AA264" i="1812"/>
  <c r="BD263" i="1812"/>
  <c r="AH261" i="1812"/>
  <c r="AH267" i="1812" s="1"/>
  <c r="AD261" i="1812"/>
  <c r="AD267" i="1812" s="1"/>
  <c r="Z261" i="1812"/>
  <c r="Z267" i="1812" s="1"/>
  <c r="Z260" i="1812"/>
  <c r="AH259" i="1812"/>
  <c r="AD259" i="1812"/>
  <c r="Z259" i="1812"/>
  <c r="Z258" i="1812"/>
  <c r="BF257" i="1812"/>
  <c r="BF263" i="1812" s="1"/>
  <c r="BE257" i="1812"/>
  <c r="BE263" i="1812" s="1"/>
  <c r="AJ257" i="1812"/>
  <c r="AI257" i="1812"/>
  <c r="AH257" i="1812"/>
  <c r="AG257" i="1812"/>
  <c r="AF257" i="1812"/>
  <c r="AE257" i="1812"/>
  <c r="AD257" i="1812"/>
  <c r="AC257" i="1812"/>
  <c r="AB257" i="1812"/>
  <c r="AA257" i="1812"/>
  <c r="Z257" i="1812"/>
  <c r="BF254" i="1812"/>
  <c r="BE254" i="1812"/>
  <c r="BD254" i="1812"/>
  <c r="AJ254" i="1812"/>
  <c r="AJ266" i="1812" s="1"/>
  <c r="AI254" i="1812"/>
  <c r="AG254" i="1812"/>
  <c r="AG266" i="1812" s="1"/>
  <c r="AF254" i="1812"/>
  <c r="AF266" i="1812" s="1"/>
  <c r="AE254" i="1812"/>
  <c r="AC254" i="1812"/>
  <c r="AC266" i="1812" s="1"/>
  <c r="AB254" i="1812"/>
  <c r="AB266" i="1812" s="1"/>
  <c r="AA254" i="1812"/>
  <c r="BF253" i="1812"/>
  <c r="BE253" i="1812"/>
  <c r="BD253" i="1812"/>
  <c r="AJ253" i="1812"/>
  <c r="AJ265" i="1812" s="1"/>
  <c r="AI253" i="1812"/>
  <c r="AG253" i="1812"/>
  <c r="AG265" i="1812" s="1"/>
  <c r="AF253" i="1812"/>
  <c r="AF265" i="1812" s="1"/>
  <c r="AE253" i="1812"/>
  <c r="AC253" i="1812"/>
  <c r="AC265" i="1812" s="1"/>
  <c r="AB253" i="1812"/>
  <c r="AB265" i="1812" s="1"/>
  <c r="AA253" i="1812"/>
  <c r="BF252" i="1812"/>
  <c r="BE252" i="1812"/>
  <c r="BD252" i="1812"/>
  <c r="AJ252" i="1812"/>
  <c r="AJ264" i="1812" s="1"/>
  <c r="AI252" i="1812"/>
  <c r="AG252" i="1812"/>
  <c r="AG264" i="1812" s="1"/>
  <c r="AF252" i="1812"/>
  <c r="AF264" i="1812" s="1"/>
  <c r="AE252" i="1812"/>
  <c r="AC252" i="1812"/>
  <c r="AC264" i="1812" s="1"/>
  <c r="AB252" i="1812"/>
  <c r="AB264" i="1812" s="1"/>
  <c r="AA252" i="1812"/>
  <c r="BD251" i="1812"/>
  <c r="BD249" i="1812"/>
  <c r="AA245" i="1812" s="1"/>
  <c r="Y249" i="1812"/>
  <c r="Y255" i="1812" s="1"/>
  <c r="Z251" i="1812" s="1"/>
  <c r="AH248" i="1812"/>
  <c r="AD248" i="1812"/>
  <c r="AD254" i="1812" s="1"/>
  <c r="AD266" i="1812" s="1"/>
  <c r="Z248" i="1812"/>
  <c r="Z254" i="1812" s="1"/>
  <c r="AH247" i="1812"/>
  <c r="AH253" i="1812" s="1"/>
  <c r="AD247" i="1812"/>
  <c r="Z247" i="1812"/>
  <c r="Z253" i="1812" s="1"/>
  <c r="AH246" i="1812"/>
  <c r="AH252" i="1812" s="1"/>
  <c r="AD246" i="1812"/>
  <c r="AD252" i="1812" s="1"/>
  <c r="Z246" i="1812"/>
  <c r="Z252" i="1812" s="1"/>
  <c r="Z245" i="1812"/>
  <c r="BF231" i="1812"/>
  <c r="BF232" i="1812" s="1"/>
  <c r="BE231" i="1812"/>
  <c r="BE232" i="1812" s="1"/>
  <c r="BD231" i="1812"/>
  <c r="BD232" i="1812" s="1"/>
  <c r="AJ231" i="1812"/>
  <c r="AK231" i="1812" s="1"/>
  <c r="AL231" i="1812" s="1"/>
  <c r="BG231" i="1812" s="1"/>
  <c r="AM231" i="1812" s="1"/>
  <c r="AN231" i="1812" s="1"/>
  <c r="AO231" i="1812" s="1"/>
  <c r="AP231" i="1812" s="1"/>
  <c r="BH231" i="1812" s="1"/>
  <c r="BI231" i="1812" s="1"/>
  <c r="BJ231" i="1812" s="1"/>
  <c r="BK231" i="1812" s="1"/>
  <c r="AI231" i="1812"/>
  <c r="AI232" i="1812" s="1"/>
  <c r="AG231" i="1812"/>
  <c r="AG232" i="1812" s="1"/>
  <c r="AF231" i="1812"/>
  <c r="AF232" i="1812" s="1"/>
  <c r="AE231" i="1812"/>
  <c r="AE232" i="1812" s="1"/>
  <c r="AC231" i="1812"/>
  <c r="AC232" i="1812" s="1"/>
  <c r="AB231" i="1812"/>
  <c r="AB232" i="1812" s="1"/>
  <c r="AA231" i="1812"/>
  <c r="AA232" i="1812" s="1"/>
  <c r="Y231" i="1812"/>
  <c r="Y232" i="1812" s="1"/>
  <c r="A231" i="1812"/>
  <c r="AH230" i="1812"/>
  <c r="AD230" i="1812"/>
  <c r="Z230" i="1812"/>
  <c r="AG224" i="1812"/>
  <c r="AC224" i="1812"/>
  <c r="Z224" i="1812"/>
  <c r="Y224" i="1812"/>
  <c r="A220" i="1812"/>
  <c r="BH211" i="1812"/>
  <c r="BG211" i="1812"/>
  <c r="BH210" i="1812"/>
  <c r="BH208" i="1812"/>
  <c r="BG208" i="1812"/>
  <c r="BH206" i="1812"/>
  <c r="BG206" i="1812"/>
  <c r="BH205" i="1812"/>
  <c r="BG205" i="1812"/>
  <c r="BH204" i="1812"/>
  <c r="BG204" i="1812"/>
  <c r="BF202" i="1812"/>
  <c r="BE202" i="1812"/>
  <c r="BD202" i="1812"/>
  <c r="BC202" i="1812"/>
  <c r="BB202" i="1812"/>
  <c r="AJ202" i="1812"/>
  <c r="AI202" i="1812"/>
  <c r="BF201" i="1812"/>
  <c r="BE201" i="1812"/>
  <c r="BD201" i="1812"/>
  <c r="BC201" i="1812"/>
  <c r="BB201" i="1812"/>
  <c r="BH198" i="1812"/>
  <c r="BF198" i="1812"/>
  <c r="BE198" i="1812"/>
  <c r="BD198" i="1812"/>
  <c r="BC198" i="1812"/>
  <c r="BB198" i="1812"/>
  <c r="AJ198" i="1812"/>
  <c r="AI198" i="1812"/>
  <c r="AG198" i="1812"/>
  <c r="AF198" i="1812"/>
  <c r="AE198" i="1812"/>
  <c r="AD198" i="1812"/>
  <c r="AC198" i="1812"/>
  <c r="AB198" i="1812"/>
  <c r="AA198" i="1812"/>
  <c r="Z198" i="1812"/>
  <c r="Y198" i="1812"/>
  <c r="W198" i="1812"/>
  <c r="U198" i="1812"/>
  <c r="BH197" i="1812"/>
  <c r="BF197" i="1812"/>
  <c r="BE197" i="1812"/>
  <c r="BD197" i="1812"/>
  <c r="BC197" i="1812"/>
  <c r="BB197" i="1812"/>
  <c r="AJ197" i="1812"/>
  <c r="AI197" i="1812"/>
  <c r="AG197" i="1812"/>
  <c r="AF197" i="1812"/>
  <c r="AE197" i="1812"/>
  <c r="AD197" i="1812"/>
  <c r="AC197" i="1812"/>
  <c r="AB197" i="1812"/>
  <c r="AA197" i="1812"/>
  <c r="Z197" i="1812"/>
  <c r="Y197" i="1812"/>
  <c r="X197" i="1812"/>
  <c r="W197" i="1812"/>
  <c r="U197" i="1812"/>
  <c r="T197" i="1812"/>
  <c r="S197" i="1812"/>
  <c r="R197" i="1812"/>
  <c r="Q197" i="1812"/>
  <c r="BH196" i="1812"/>
  <c r="BG196" i="1812"/>
  <c r="BF194" i="1812"/>
  <c r="BF386" i="1812" s="1"/>
  <c r="BE194" i="1812"/>
  <c r="BE386" i="1812" s="1"/>
  <c r="BD194" i="1812"/>
  <c r="BD386" i="1812" s="1"/>
  <c r="BC194" i="1812"/>
  <c r="BC386" i="1812" s="1"/>
  <c r="BB194" i="1812"/>
  <c r="BB386" i="1812" s="1"/>
  <c r="AJ194" i="1812"/>
  <c r="AJ386" i="1812" s="1"/>
  <c r="AI194" i="1812"/>
  <c r="AI386" i="1812" s="1"/>
  <c r="AG194" i="1812"/>
  <c r="AG386" i="1812" s="1"/>
  <c r="AF194" i="1812"/>
  <c r="AF386" i="1812" s="1"/>
  <c r="AE194" i="1812"/>
  <c r="AE386" i="1812" s="1"/>
  <c r="AD194" i="1812"/>
  <c r="AD386" i="1812" s="1"/>
  <c r="AC194" i="1812"/>
  <c r="AC386" i="1812" s="1"/>
  <c r="AB194" i="1812"/>
  <c r="AB386" i="1812" s="1"/>
  <c r="AA194" i="1812"/>
  <c r="AA386" i="1812" s="1"/>
  <c r="Z194" i="1812"/>
  <c r="Z386" i="1812" s="1"/>
  <c r="Y194" i="1812"/>
  <c r="Y386" i="1812" s="1"/>
  <c r="X194" i="1812"/>
  <c r="X386" i="1812" s="1"/>
  <c r="W194" i="1812"/>
  <c r="W386" i="1812" s="1"/>
  <c r="V194" i="1812"/>
  <c r="V386" i="1812" s="1"/>
  <c r="U194" i="1812"/>
  <c r="U386" i="1812" s="1"/>
  <c r="T194" i="1812"/>
  <c r="T386" i="1812" s="1"/>
  <c r="S194" i="1812"/>
  <c r="S386" i="1812" s="1"/>
  <c r="R194" i="1812"/>
  <c r="R386" i="1812" s="1"/>
  <c r="Q194" i="1812"/>
  <c r="Q386" i="1812" s="1"/>
  <c r="BH191" i="1812"/>
  <c r="BF191" i="1812"/>
  <c r="BF184" i="1812" s="1"/>
  <c r="BE191" i="1812"/>
  <c r="BE184" i="1812" s="1"/>
  <c r="BD191" i="1812"/>
  <c r="BD184" i="1812" s="1"/>
  <c r="BC191" i="1812"/>
  <c r="BC184" i="1812" s="1"/>
  <c r="BB191" i="1812"/>
  <c r="BB184" i="1812" s="1"/>
  <c r="AJ191" i="1812"/>
  <c r="AJ184" i="1812" s="1"/>
  <c r="AI191" i="1812"/>
  <c r="AI184" i="1812" s="1"/>
  <c r="AH191" i="1812"/>
  <c r="AG191" i="1812"/>
  <c r="AG184" i="1812" s="1"/>
  <c r="AF191" i="1812"/>
  <c r="AF184" i="1812" s="1"/>
  <c r="AE191" i="1812"/>
  <c r="AE184" i="1812" s="1"/>
  <c r="AD191" i="1812"/>
  <c r="AD184" i="1812" s="1"/>
  <c r="AC191" i="1812"/>
  <c r="AC184" i="1812" s="1"/>
  <c r="AB191" i="1812"/>
  <c r="AB184" i="1812" s="1"/>
  <c r="AA191" i="1812"/>
  <c r="AA184" i="1812" s="1"/>
  <c r="Z191" i="1812"/>
  <c r="Z184" i="1812" s="1"/>
  <c r="Y191" i="1812"/>
  <c r="Y184" i="1812" s="1"/>
  <c r="X191" i="1812"/>
  <c r="W191" i="1812"/>
  <c r="W184" i="1812" s="1"/>
  <c r="V191" i="1812"/>
  <c r="U191" i="1812"/>
  <c r="U184" i="1812" s="1"/>
  <c r="T191" i="1812"/>
  <c r="S191" i="1812"/>
  <c r="R191" i="1812"/>
  <c r="Q191" i="1812"/>
  <c r="BF189" i="1812"/>
  <c r="BE189" i="1812"/>
  <c r="BD189" i="1812"/>
  <c r="BC189" i="1812"/>
  <c r="BB189" i="1812"/>
  <c r="AJ189" i="1812"/>
  <c r="AI189" i="1812"/>
  <c r="AG189" i="1812"/>
  <c r="AF189" i="1812"/>
  <c r="AE189" i="1812"/>
  <c r="AC189" i="1812"/>
  <c r="AB189" i="1812"/>
  <c r="AA189" i="1812"/>
  <c r="Y189" i="1812"/>
  <c r="X189" i="1812"/>
  <c r="W189" i="1812"/>
  <c r="U189" i="1812"/>
  <c r="T189" i="1812"/>
  <c r="S189" i="1812"/>
  <c r="BF183" i="1812"/>
  <c r="BE183" i="1812"/>
  <c r="BD183" i="1812"/>
  <c r="BC183" i="1812"/>
  <c r="BB183" i="1812"/>
  <c r="AJ183" i="1812"/>
  <c r="AI183" i="1812"/>
  <c r="AG183" i="1812"/>
  <c r="AF183" i="1812"/>
  <c r="AE183" i="1812"/>
  <c r="AD183" i="1812"/>
  <c r="AC183" i="1812"/>
  <c r="AB183" i="1812"/>
  <c r="AA183" i="1812"/>
  <c r="Z183" i="1812"/>
  <c r="Y183" i="1812"/>
  <c r="W183" i="1812"/>
  <c r="U183" i="1812"/>
  <c r="BF180" i="1812"/>
  <c r="BE180" i="1812"/>
  <c r="BD180" i="1812"/>
  <c r="BC180" i="1812"/>
  <c r="BB180" i="1812"/>
  <c r="AJ180" i="1812"/>
  <c r="AI180" i="1812"/>
  <c r="AG180" i="1812"/>
  <c r="AF180" i="1812"/>
  <c r="AE180" i="1812"/>
  <c r="AD180" i="1812"/>
  <c r="AC180" i="1812"/>
  <c r="AB180" i="1812"/>
  <c r="AA180" i="1812"/>
  <c r="Z180" i="1812"/>
  <c r="Y180" i="1812"/>
  <c r="W180" i="1812"/>
  <c r="U180" i="1812"/>
  <c r="A178" i="1812"/>
  <c r="A707" i="1812" s="1"/>
  <c r="BF177" i="1812"/>
  <c r="BE177" i="1812"/>
  <c r="BD177" i="1812"/>
  <c r="BC177" i="1812"/>
  <c r="BB177" i="1812"/>
  <c r="AJ177" i="1812"/>
  <c r="AI177" i="1812"/>
  <c r="AG177" i="1812"/>
  <c r="AF177" i="1812"/>
  <c r="AE177" i="1812"/>
  <c r="AD177" i="1812"/>
  <c r="AC177" i="1812"/>
  <c r="AB177" i="1812"/>
  <c r="AA177" i="1812"/>
  <c r="Z177" i="1812"/>
  <c r="Y177" i="1812"/>
  <c r="X177" i="1812"/>
  <c r="W177" i="1812"/>
  <c r="V177" i="1812"/>
  <c r="U177" i="1812"/>
  <c r="T177" i="1812"/>
  <c r="S177" i="1812"/>
  <c r="R177" i="1812"/>
  <c r="Q177" i="1812"/>
  <c r="BF174" i="1812"/>
  <c r="BF173" i="1812" s="1"/>
  <c r="BF190" i="1812" s="1"/>
  <c r="BF565" i="1812" s="1"/>
  <c r="BE174" i="1812"/>
  <c r="BE173" i="1812" s="1"/>
  <c r="BE190" i="1812" s="1"/>
  <c r="BE565" i="1812" s="1"/>
  <c r="BD174" i="1812"/>
  <c r="BD173" i="1812" s="1"/>
  <c r="BD190" i="1812" s="1"/>
  <c r="BD565" i="1812" s="1"/>
  <c r="BC174" i="1812"/>
  <c r="BC173" i="1812" s="1"/>
  <c r="BC190" i="1812" s="1"/>
  <c r="BC565" i="1812" s="1"/>
  <c r="BB174" i="1812"/>
  <c r="BB173" i="1812" s="1"/>
  <c r="BB190" i="1812" s="1"/>
  <c r="AJ174" i="1812"/>
  <c r="AJ173" i="1812" s="1"/>
  <c r="AJ190" i="1812" s="1"/>
  <c r="AJ565" i="1812" s="1"/>
  <c r="AI174" i="1812"/>
  <c r="AI173" i="1812" s="1"/>
  <c r="AI190" i="1812" s="1"/>
  <c r="AG174" i="1812"/>
  <c r="AG173" i="1812" s="1"/>
  <c r="AG190" i="1812" s="1"/>
  <c r="AG565" i="1812" s="1"/>
  <c r="AF174" i="1812"/>
  <c r="AF173" i="1812" s="1"/>
  <c r="AF190" i="1812" s="1"/>
  <c r="AF565" i="1812" s="1"/>
  <c r="AE174" i="1812"/>
  <c r="AE173" i="1812" s="1"/>
  <c r="AE190" i="1812" s="1"/>
  <c r="AE565" i="1812" s="1"/>
  <c r="AD174" i="1812"/>
  <c r="AC174" i="1812"/>
  <c r="AC173" i="1812" s="1"/>
  <c r="AC190" i="1812" s="1"/>
  <c r="AC565" i="1812" s="1"/>
  <c r="AB174" i="1812"/>
  <c r="AB173" i="1812" s="1"/>
  <c r="AB190" i="1812" s="1"/>
  <c r="AB565" i="1812" s="1"/>
  <c r="AA174" i="1812"/>
  <c r="AA173" i="1812" s="1"/>
  <c r="AA190" i="1812" s="1"/>
  <c r="AA565" i="1812" s="1"/>
  <c r="Z174" i="1812"/>
  <c r="Y174" i="1812"/>
  <c r="Y173" i="1812" s="1"/>
  <c r="Y190" i="1812" s="1"/>
  <c r="Y565" i="1812" s="1"/>
  <c r="W174" i="1812"/>
  <c r="W173" i="1812" s="1"/>
  <c r="W190" i="1812" s="1"/>
  <c r="AH172" i="1812"/>
  <c r="AH189" i="1812" s="1"/>
  <c r="AD172" i="1812"/>
  <c r="AD189" i="1812" s="1"/>
  <c r="Z172" i="1812"/>
  <c r="Z189" i="1812" s="1"/>
  <c r="V172" i="1812"/>
  <c r="V189" i="1812" s="1"/>
  <c r="R172" i="1812"/>
  <c r="R189" i="1812" s="1"/>
  <c r="Q172" i="1812"/>
  <c r="Q189" i="1812" s="1"/>
  <c r="BF170" i="1812"/>
  <c r="BE170" i="1812"/>
  <c r="BD170" i="1812"/>
  <c r="BC170" i="1812"/>
  <c r="BB170" i="1812"/>
  <c r="AJ170" i="1812"/>
  <c r="AJ168" i="1812" s="1"/>
  <c r="AJ201" i="1812" s="1"/>
  <c r="AI170" i="1812"/>
  <c r="AI168" i="1812" s="1"/>
  <c r="AI201" i="1812" s="1"/>
  <c r="AG170" i="1812"/>
  <c r="AF170" i="1812"/>
  <c r="AE170" i="1812"/>
  <c r="AD170" i="1812"/>
  <c r="AC170" i="1812"/>
  <c r="AB170" i="1812"/>
  <c r="AA170" i="1812"/>
  <c r="Z170" i="1812"/>
  <c r="Y170" i="1812"/>
  <c r="X170" i="1812"/>
  <c r="W170" i="1812"/>
  <c r="V170" i="1812"/>
  <c r="U170" i="1812"/>
  <c r="T170" i="1812"/>
  <c r="S170" i="1812"/>
  <c r="R170" i="1812"/>
  <c r="Q170" i="1812"/>
  <c r="AH169" i="1812"/>
  <c r="AH202" i="1812" s="1"/>
  <c r="AG169" i="1812"/>
  <c r="AG202" i="1812" s="1"/>
  <c r="AF169" i="1812"/>
  <c r="AF202" i="1812" s="1"/>
  <c r="AE169" i="1812"/>
  <c r="AE202" i="1812" s="1"/>
  <c r="AD169" i="1812"/>
  <c r="AD202" i="1812" s="1"/>
  <c r="AC169" i="1812"/>
  <c r="AB169" i="1812"/>
  <c r="AB202" i="1812" s="1"/>
  <c r="AA169" i="1812"/>
  <c r="AA202" i="1812" s="1"/>
  <c r="Z168" i="1812"/>
  <c r="Z201" i="1812" s="1"/>
  <c r="Y168" i="1812"/>
  <c r="Y201" i="1812" s="1"/>
  <c r="X168" i="1812"/>
  <c r="X201" i="1812" s="1"/>
  <c r="W168" i="1812"/>
  <c r="W201" i="1812" s="1"/>
  <c r="V168" i="1812"/>
  <c r="V201" i="1812" s="1"/>
  <c r="U168" i="1812"/>
  <c r="U201" i="1812" s="1"/>
  <c r="T168" i="1812"/>
  <c r="T201" i="1812" s="1"/>
  <c r="S168" i="1812"/>
  <c r="S201" i="1812" s="1"/>
  <c r="R168" i="1812"/>
  <c r="R201" i="1812" s="1"/>
  <c r="Q168" i="1812"/>
  <c r="Q201" i="1812" s="1"/>
  <c r="AJ161" i="1812"/>
  <c r="X81" i="1811" s="1"/>
  <c r="X83" i="1813" s="1"/>
  <c r="AI161" i="1812"/>
  <c r="W81" i="1811" s="1"/>
  <c r="W83" i="1813" s="1"/>
  <c r="AG161" i="1812"/>
  <c r="U81" i="1811" s="1"/>
  <c r="U83" i="1813" s="1"/>
  <c r="AF161" i="1812"/>
  <c r="T81" i="1811" s="1"/>
  <c r="T83" i="1813" s="1"/>
  <c r="AE161" i="1812"/>
  <c r="S81" i="1811" s="1"/>
  <c r="S83" i="1813" s="1"/>
  <c r="AB161" i="1812"/>
  <c r="P81" i="1811" s="1"/>
  <c r="P83" i="1813" s="1"/>
  <c r="AA161" i="1812"/>
  <c r="O81" i="1811" s="1"/>
  <c r="O83" i="1813" s="1"/>
  <c r="X161" i="1812"/>
  <c r="L81" i="1811" s="1"/>
  <c r="L83" i="1813" s="1"/>
  <c r="W161" i="1812"/>
  <c r="K81" i="1811" s="1"/>
  <c r="K83" i="1813" s="1"/>
  <c r="BF153" i="1812"/>
  <c r="BF210" i="1812" s="1"/>
  <c r="BE153" i="1812"/>
  <c r="BE210" i="1812" s="1"/>
  <c r="BD153" i="1812"/>
  <c r="AS73" i="1811" s="1"/>
  <c r="AS75" i="1813" s="1"/>
  <c r="BC153" i="1812"/>
  <c r="AR73" i="1811" s="1"/>
  <c r="AR75" i="1813" s="1"/>
  <c r="BB153" i="1812"/>
  <c r="AH153" i="1812"/>
  <c r="AD153" i="1812"/>
  <c r="Z153" i="1812"/>
  <c r="V153" i="1812"/>
  <c r="T153" i="1812"/>
  <c r="V152" i="1812"/>
  <c r="J72" i="1811" s="1"/>
  <c r="J74" i="1813" s="1"/>
  <c r="U152" i="1812"/>
  <c r="I72" i="1811" s="1"/>
  <c r="I74" i="1813" s="1"/>
  <c r="R152" i="1812"/>
  <c r="F72" i="1811" s="1"/>
  <c r="F74" i="1813" s="1"/>
  <c r="BC150" i="1812"/>
  <c r="BF140" i="1812"/>
  <c r="BE140" i="1812"/>
  <c r="BD140" i="1812"/>
  <c r="AS58" i="1811" s="1"/>
  <c r="AS60" i="1813" s="1"/>
  <c r="AJ140" i="1812"/>
  <c r="X58" i="1811" s="1"/>
  <c r="X60" i="1813" s="1"/>
  <c r="AI140" i="1812"/>
  <c r="W58" i="1811" s="1"/>
  <c r="W60" i="1813" s="1"/>
  <c r="AG140" i="1812"/>
  <c r="U58" i="1811" s="1"/>
  <c r="U60" i="1813" s="1"/>
  <c r="AF140" i="1812"/>
  <c r="T58" i="1811" s="1"/>
  <c r="T60" i="1813" s="1"/>
  <c r="AE140" i="1812"/>
  <c r="S58" i="1811" s="1"/>
  <c r="S60" i="1813" s="1"/>
  <c r="AD140" i="1812"/>
  <c r="R58" i="1811" s="1"/>
  <c r="R60" i="1813" s="1"/>
  <c r="AC140" i="1812"/>
  <c r="Q58" i="1811" s="1"/>
  <c r="Q60" i="1813" s="1"/>
  <c r="AB140" i="1812"/>
  <c r="P58" i="1811" s="1"/>
  <c r="P60" i="1813" s="1"/>
  <c r="AA140" i="1812"/>
  <c r="O58" i="1811" s="1"/>
  <c r="O60" i="1813" s="1"/>
  <c r="Z140" i="1812"/>
  <c r="N58" i="1811" s="1"/>
  <c r="N60" i="1813" s="1"/>
  <c r="Y140" i="1812"/>
  <c r="M58" i="1811" s="1"/>
  <c r="M60" i="1813" s="1"/>
  <c r="X140" i="1812"/>
  <c r="L58" i="1811" s="1"/>
  <c r="L60" i="1813" s="1"/>
  <c r="W140" i="1812"/>
  <c r="K58" i="1811" s="1"/>
  <c r="K60" i="1813" s="1"/>
  <c r="V140" i="1812"/>
  <c r="U140" i="1812"/>
  <c r="I58" i="1811" s="1"/>
  <c r="I60" i="1813" s="1"/>
  <c r="T140" i="1812"/>
  <c r="H58" i="1811" s="1"/>
  <c r="H60" i="1813" s="1"/>
  <c r="S140" i="1812"/>
  <c r="G58" i="1811" s="1"/>
  <c r="G60" i="1813" s="1"/>
  <c r="R140" i="1812"/>
  <c r="F58" i="1811" s="1"/>
  <c r="F60" i="1813" s="1"/>
  <c r="Q140" i="1812"/>
  <c r="E58" i="1811" s="1"/>
  <c r="E60" i="1813" s="1"/>
  <c r="AJ139" i="1812"/>
  <c r="AI139" i="1812"/>
  <c r="AG139" i="1812"/>
  <c r="AF139" i="1812"/>
  <c r="AE139" i="1812"/>
  <c r="AC139" i="1812"/>
  <c r="AB139" i="1812"/>
  <c r="P57" i="1811" s="1"/>
  <c r="P59" i="1813" s="1"/>
  <c r="AA139" i="1812"/>
  <c r="Y139" i="1812"/>
  <c r="X139" i="1812"/>
  <c r="W139" i="1812"/>
  <c r="U139" i="1812"/>
  <c r="S139" i="1812"/>
  <c r="R139" i="1812"/>
  <c r="Q139" i="1812"/>
  <c r="BK135" i="1812"/>
  <c r="BJ135" i="1812"/>
  <c r="BI135" i="1812"/>
  <c r="BH135" i="1812"/>
  <c r="BG135" i="1812"/>
  <c r="AP135" i="1812"/>
  <c r="AO135" i="1812"/>
  <c r="AN135" i="1812"/>
  <c r="AM135" i="1812"/>
  <c r="AL135" i="1812"/>
  <c r="AK135" i="1812"/>
  <c r="AH132" i="1812"/>
  <c r="AH130" i="1812"/>
  <c r="V20" i="1811" s="1"/>
  <c r="V23" i="1813" s="1"/>
  <c r="AH129" i="1812"/>
  <c r="V21" i="1811" s="1"/>
  <c r="V24" i="1813" s="1"/>
  <c r="AH128" i="1812"/>
  <c r="V19" i="1811" s="1"/>
  <c r="V22" i="1813" s="1"/>
  <c r="AH127" i="1812"/>
  <c r="V18" i="1811" s="1"/>
  <c r="V21" i="1813" s="1"/>
  <c r="V84" i="1814" s="1"/>
  <c r="AH125" i="1812"/>
  <c r="X125" i="1812"/>
  <c r="AH124" i="1812"/>
  <c r="X124" i="1812"/>
  <c r="AB100" i="1812" s="1"/>
  <c r="U124" i="1812"/>
  <c r="Y100" i="1812" s="1"/>
  <c r="AH123" i="1812"/>
  <c r="X123" i="1812"/>
  <c r="AB82" i="1812" s="1"/>
  <c r="AH122" i="1812"/>
  <c r="X122" i="1812"/>
  <c r="AB73" i="1812" s="1"/>
  <c r="BF121" i="1812"/>
  <c r="BF126" i="1812" s="1"/>
  <c r="BF131" i="1812" s="1"/>
  <c r="BF133" i="1812" s="1"/>
  <c r="BE121" i="1812"/>
  <c r="BE126" i="1812" s="1"/>
  <c r="BE131" i="1812" s="1"/>
  <c r="BE133" i="1812" s="1"/>
  <c r="BD121" i="1812"/>
  <c r="BD126" i="1812" s="1"/>
  <c r="BD131" i="1812" s="1"/>
  <c r="BD133" i="1812" s="1"/>
  <c r="BC121" i="1812"/>
  <c r="BC126" i="1812" s="1"/>
  <c r="BB121" i="1812"/>
  <c r="BB126" i="1812" s="1"/>
  <c r="BB131" i="1812" s="1"/>
  <c r="BB133" i="1812" s="1"/>
  <c r="AJ121" i="1812"/>
  <c r="AJ126" i="1812" s="1"/>
  <c r="AJ131" i="1812" s="1"/>
  <c r="AJ133" i="1812" s="1"/>
  <c r="AI121" i="1812"/>
  <c r="AI126" i="1812" s="1"/>
  <c r="AI131" i="1812" s="1"/>
  <c r="AI133" i="1812" s="1"/>
  <c r="AG121" i="1812"/>
  <c r="AG126" i="1812" s="1"/>
  <c r="AG131" i="1812" s="1"/>
  <c r="AG133" i="1812" s="1"/>
  <c r="AF121" i="1812"/>
  <c r="AF126" i="1812" s="1"/>
  <c r="AF131" i="1812" s="1"/>
  <c r="AF133" i="1812" s="1"/>
  <c r="AE121" i="1812"/>
  <c r="AE126" i="1812" s="1"/>
  <c r="AE131" i="1812" s="1"/>
  <c r="AE133" i="1812" s="1"/>
  <c r="AD121" i="1812"/>
  <c r="AD126" i="1812" s="1"/>
  <c r="AD131" i="1812" s="1"/>
  <c r="AD133" i="1812" s="1"/>
  <c r="AC121" i="1812"/>
  <c r="AC126" i="1812" s="1"/>
  <c r="AC131" i="1812" s="1"/>
  <c r="AC133" i="1812" s="1"/>
  <c r="AB121" i="1812"/>
  <c r="AB126" i="1812" s="1"/>
  <c r="AB131" i="1812" s="1"/>
  <c r="AB133" i="1812" s="1"/>
  <c r="AA121" i="1812"/>
  <c r="AA126" i="1812" s="1"/>
  <c r="AA131" i="1812" s="1"/>
  <c r="AA133" i="1812" s="1"/>
  <c r="Z121" i="1812"/>
  <c r="Z126" i="1812" s="1"/>
  <c r="Z131" i="1812" s="1"/>
  <c r="Z133" i="1812" s="1"/>
  <c r="Y121" i="1812"/>
  <c r="Y126" i="1812" s="1"/>
  <c r="Y131" i="1812" s="1"/>
  <c r="Y133" i="1812" s="1"/>
  <c r="W121" i="1812"/>
  <c r="W126" i="1812" s="1"/>
  <c r="W131" i="1812" s="1"/>
  <c r="W133" i="1812" s="1"/>
  <c r="U121" i="1812"/>
  <c r="AH120" i="1812"/>
  <c r="X120" i="1812"/>
  <c r="AB63" i="1812" s="1"/>
  <c r="E36" i="1814"/>
  <c r="AH119" i="1812"/>
  <c r="BK109" i="1812"/>
  <c r="BJ109" i="1812"/>
  <c r="BI109" i="1812"/>
  <c r="AP109" i="1812"/>
  <c r="AO109" i="1812"/>
  <c r="AN109" i="1812"/>
  <c r="AM109" i="1812"/>
  <c r="AL109" i="1812"/>
  <c r="AK109" i="1812"/>
  <c r="BF105" i="1812"/>
  <c r="BE105" i="1812"/>
  <c r="BD105" i="1812"/>
  <c r="BC105" i="1812"/>
  <c r="AJ105" i="1812"/>
  <c r="AI105" i="1812"/>
  <c r="AG105" i="1812"/>
  <c r="AF105" i="1812"/>
  <c r="AE105" i="1812"/>
  <c r="AC105" i="1812"/>
  <c r="AB105" i="1812"/>
  <c r="AA105" i="1812"/>
  <c r="Y105" i="1812"/>
  <c r="X104" i="1812"/>
  <c r="BC103" i="1812"/>
  <c r="BC101" i="1812"/>
  <c r="BF100" i="1812"/>
  <c r="BE100" i="1812"/>
  <c r="BD100" i="1812"/>
  <c r="BC100" i="1812"/>
  <c r="AJ100" i="1812"/>
  <c r="AI100" i="1812"/>
  <c r="AG100" i="1812"/>
  <c r="AF100" i="1812"/>
  <c r="AE100" i="1812"/>
  <c r="AC100" i="1812"/>
  <c r="AA100" i="1812"/>
  <c r="BF98" i="1812"/>
  <c r="BE98" i="1812"/>
  <c r="BD98" i="1812"/>
  <c r="BC98" i="1812"/>
  <c r="AJ98" i="1812"/>
  <c r="AI98" i="1812"/>
  <c r="AG98" i="1812"/>
  <c r="AF98" i="1812"/>
  <c r="AE98" i="1812"/>
  <c r="AC98" i="1812"/>
  <c r="AB98" i="1812"/>
  <c r="AA98" i="1812"/>
  <c r="Y98" i="1812"/>
  <c r="X97" i="1812"/>
  <c r="BF90" i="1812"/>
  <c r="BF82" i="1812"/>
  <c r="BE82" i="1812"/>
  <c r="BD82" i="1812"/>
  <c r="BC82" i="1812"/>
  <c r="AJ82" i="1812"/>
  <c r="AI82" i="1812"/>
  <c r="AG82" i="1812"/>
  <c r="AF82" i="1812"/>
  <c r="AE82" i="1812"/>
  <c r="AC82" i="1812"/>
  <c r="AA82" i="1812"/>
  <c r="Y82" i="1812"/>
  <c r="BF80" i="1812"/>
  <c r="BE80" i="1812"/>
  <c r="BD80" i="1812"/>
  <c r="BC80" i="1812"/>
  <c r="AJ80" i="1812"/>
  <c r="AI80" i="1812"/>
  <c r="AG80" i="1812"/>
  <c r="AF80" i="1812"/>
  <c r="AE80" i="1812"/>
  <c r="AC80" i="1812"/>
  <c r="AB80" i="1812"/>
  <c r="AA80" i="1812"/>
  <c r="Y80" i="1812"/>
  <c r="BC78" i="1812"/>
  <c r="X78" i="1812"/>
  <c r="X79" i="1812" s="1"/>
  <c r="AF75" i="1812"/>
  <c r="BF74" i="1812"/>
  <c r="AF74" i="1812"/>
  <c r="BF73" i="1812"/>
  <c r="BE73" i="1812"/>
  <c r="BD73" i="1812"/>
  <c r="BC73" i="1812"/>
  <c r="AJ73" i="1812"/>
  <c r="AI73" i="1812"/>
  <c r="AG73" i="1812"/>
  <c r="AF73" i="1812"/>
  <c r="AE73" i="1812"/>
  <c r="AC73" i="1812"/>
  <c r="AA73" i="1812"/>
  <c r="Y73" i="1812"/>
  <c r="BF71" i="1812"/>
  <c r="BE71" i="1812"/>
  <c r="BD71" i="1812"/>
  <c r="BC71" i="1812"/>
  <c r="AJ71" i="1812"/>
  <c r="AI71" i="1812"/>
  <c r="AG71" i="1812"/>
  <c r="AF71" i="1812"/>
  <c r="AE71" i="1812"/>
  <c r="AC71" i="1812"/>
  <c r="AB71" i="1812"/>
  <c r="AA71" i="1812"/>
  <c r="Y71" i="1812"/>
  <c r="X70" i="1812"/>
  <c r="BF63" i="1812"/>
  <c r="BE63" i="1812"/>
  <c r="BD63" i="1812"/>
  <c r="BC63" i="1812"/>
  <c r="AJ63" i="1812"/>
  <c r="AI63" i="1812"/>
  <c r="AG63" i="1812"/>
  <c r="AF63" i="1812"/>
  <c r="AE63" i="1812"/>
  <c r="AC63" i="1812"/>
  <c r="AA63" i="1812"/>
  <c r="Y63" i="1812"/>
  <c r="BF35" i="1812"/>
  <c r="X29" i="1812"/>
  <c r="X32" i="1812" s="1"/>
  <c r="BF28" i="1812"/>
  <c r="BG26" i="1812" s="1"/>
  <c r="BE28" i="1812"/>
  <c r="BF26" i="1812" s="1"/>
  <c r="BD28" i="1812"/>
  <c r="BE26" i="1812" s="1"/>
  <c r="BH27" i="1812"/>
  <c r="AK26" i="1812"/>
  <c r="AK28" i="1812" s="1"/>
  <c r="AJ26" i="1812"/>
  <c r="AJ29" i="1812" s="1"/>
  <c r="AJ32" i="1812" s="1"/>
  <c r="AI26" i="1812"/>
  <c r="AI27" i="1812" s="1"/>
  <c r="AH26" i="1812"/>
  <c r="AH27" i="1812" s="1"/>
  <c r="AG26" i="1812"/>
  <c r="AG27" i="1812" s="1"/>
  <c r="AF26" i="1812"/>
  <c r="AF27" i="1812" s="1"/>
  <c r="AE26" i="1812"/>
  <c r="AE27" i="1812" s="1"/>
  <c r="AD26" i="1812"/>
  <c r="AD29" i="1812" s="1"/>
  <c r="AD32" i="1812" s="1"/>
  <c r="AC26" i="1812"/>
  <c r="AC29" i="1812" s="1"/>
  <c r="AC32" i="1812" s="1"/>
  <c r="AB26" i="1812"/>
  <c r="AB29" i="1812" s="1"/>
  <c r="AB32" i="1812" s="1"/>
  <c r="AA26" i="1812"/>
  <c r="AA27" i="1812" s="1"/>
  <c r="Z26" i="1812"/>
  <c r="Z27" i="1812" s="1"/>
  <c r="Y26" i="1812"/>
  <c r="Y27" i="1812" s="1"/>
  <c r="BF23" i="1812"/>
  <c r="BE23" i="1812"/>
  <c r="BD23" i="1812"/>
  <c r="BC23" i="1812"/>
  <c r="BB23" i="1812"/>
  <c r="AJ23" i="1812"/>
  <c r="AI23" i="1812"/>
  <c r="AG23" i="1812"/>
  <c r="AF23" i="1812"/>
  <c r="AE23" i="1812"/>
  <c r="AC23" i="1812"/>
  <c r="AB23" i="1812"/>
  <c r="AA23" i="1812"/>
  <c r="Y23" i="1812"/>
  <c r="X23" i="1812"/>
  <c r="W23" i="1812"/>
  <c r="U23" i="1812"/>
  <c r="S23" i="1812"/>
  <c r="AH22" i="1812"/>
  <c r="AD22" i="1812"/>
  <c r="Z22" i="1812"/>
  <c r="T22" i="1812"/>
  <c r="AH21" i="1812"/>
  <c r="V39" i="1811" s="1"/>
  <c r="V41" i="1813" s="1"/>
  <c r="AD21" i="1812"/>
  <c r="R39" i="1811" s="1"/>
  <c r="R41" i="1813" s="1"/>
  <c r="Z21" i="1812"/>
  <c r="N39" i="1811" s="1"/>
  <c r="N41" i="1813" s="1"/>
  <c r="T21" i="1812"/>
  <c r="BF18" i="1812"/>
  <c r="BE18" i="1812"/>
  <c r="BD18" i="1812"/>
  <c r="BC18" i="1812"/>
  <c r="BB18" i="1812"/>
  <c r="AJ18" i="1812"/>
  <c r="AI18" i="1812"/>
  <c r="AG18" i="1812"/>
  <c r="AF18" i="1812"/>
  <c r="AE18" i="1812"/>
  <c r="AC18" i="1812"/>
  <c r="AB18" i="1812"/>
  <c r="AA18" i="1812"/>
  <c r="Y18" i="1812"/>
  <c r="X18" i="1812"/>
  <c r="W18" i="1812"/>
  <c r="U18" i="1812"/>
  <c r="T18" i="1812"/>
  <c r="S18" i="1812"/>
  <c r="AH17" i="1812"/>
  <c r="V35" i="1811" s="1"/>
  <c r="V37" i="1813" s="1"/>
  <c r="AD17" i="1812"/>
  <c r="R35" i="1811" s="1"/>
  <c r="R37" i="1813" s="1"/>
  <c r="Z17" i="1812"/>
  <c r="N35" i="1811" s="1"/>
  <c r="N37" i="1813" s="1"/>
  <c r="V17" i="1812"/>
  <c r="J35" i="1811" s="1"/>
  <c r="J37" i="1813" s="1"/>
  <c r="AH16" i="1812"/>
  <c r="AD16" i="1812"/>
  <c r="Z16" i="1812"/>
  <c r="V16" i="1812"/>
  <c r="Y12" i="1812"/>
  <c r="Y11" i="1812"/>
  <c r="BF8" i="1812"/>
  <c r="BE8" i="1812"/>
  <c r="BD8" i="1812"/>
  <c r="BC8" i="1812"/>
  <c r="AJ8" i="1812"/>
  <c r="AI8" i="1812"/>
  <c r="AG8" i="1812"/>
  <c r="AF8" i="1812"/>
  <c r="AE8" i="1812"/>
  <c r="AC8" i="1812"/>
  <c r="AB8" i="1812"/>
  <c r="AA8" i="1812"/>
  <c r="Y8" i="1812"/>
  <c r="BF7" i="1812"/>
  <c r="BE7" i="1812"/>
  <c r="BD7" i="1812"/>
  <c r="BC7" i="1812"/>
  <c r="AJ7" i="1812"/>
  <c r="AI7" i="1812"/>
  <c r="AG7" i="1812"/>
  <c r="AF7" i="1812"/>
  <c r="AE7" i="1812"/>
  <c r="AC7" i="1812"/>
  <c r="AB7" i="1812"/>
  <c r="AA7" i="1812"/>
  <c r="Y7" i="1812"/>
  <c r="AS5" i="1812"/>
  <c r="AT5" i="1812" s="1"/>
  <c r="AU5" i="1812" s="1"/>
  <c r="AV5" i="1812" s="1"/>
  <c r="AW5" i="1812" s="1"/>
  <c r="AX5" i="1812" s="1"/>
  <c r="A5" i="1812"/>
  <c r="AS4" i="1812"/>
  <c r="A4" i="1812"/>
  <c r="AR2" i="1812"/>
  <c r="AR3" i="1812" s="1"/>
  <c r="AR715" i="1812" s="1"/>
  <c r="AU1" i="1811"/>
  <c r="AR734" i="1812"/>
  <c r="AR727" i="1812"/>
  <c r="AR720" i="1812"/>
  <c r="AS729" i="1812"/>
  <c r="Q736" i="1812"/>
  <c r="AD729" i="1812"/>
  <c r="P729" i="1812"/>
  <c r="AO722" i="1812"/>
  <c r="AC729" i="1812"/>
  <c r="AD736" i="1812"/>
  <c r="AW722" i="1812"/>
  <c r="BF722" i="1812"/>
  <c r="R722" i="1812"/>
  <c r="AT736" i="1812"/>
  <c r="U729" i="1812"/>
  <c r="AN722" i="1812"/>
  <c r="M722" i="1812"/>
  <c r="BC736" i="1812"/>
  <c r="J729" i="1812"/>
  <c r="V736" i="1812"/>
  <c r="S729" i="1812"/>
  <c r="BD729" i="1812"/>
  <c r="AR736" i="1812"/>
  <c r="J722" i="1812"/>
  <c r="BE736" i="1812"/>
  <c r="U736" i="1812"/>
  <c r="C729" i="1812"/>
  <c r="AM722" i="1812"/>
  <c r="G722" i="1812"/>
  <c r="N729" i="1812"/>
  <c r="AA722" i="1812"/>
  <c r="AG722" i="1812"/>
  <c r="Z722" i="1812"/>
  <c r="Y722" i="1812"/>
  <c r="AB736" i="1812"/>
  <c r="BK736" i="1812"/>
  <c r="AU729" i="1812"/>
  <c r="U722" i="1812"/>
  <c r="AL729" i="1812"/>
  <c r="W722" i="1812"/>
  <c r="X729" i="1812"/>
  <c r="BA736" i="1812"/>
  <c r="Y736" i="1812"/>
  <c r="Z729" i="1812"/>
  <c r="D722" i="1812"/>
  <c r="X722" i="1812"/>
  <c r="AC722" i="1812"/>
  <c r="AL736" i="1812"/>
  <c r="AT722" i="1812"/>
  <c r="AX722" i="1812"/>
  <c r="AZ736" i="1812"/>
  <c r="BH736" i="1812"/>
  <c r="AB729" i="1812"/>
  <c r="H722" i="1812"/>
  <c r="AM736" i="1812"/>
  <c r="S736" i="1812"/>
  <c r="BE722" i="1812"/>
  <c r="Q722" i="1812"/>
  <c r="AK736" i="1812"/>
  <c r="F729" i="1812"/>
  <c r="BK722" i="1812"/>
  <c r="AV729" i="1812"/>
  <c r="G729" i="1812"/>
  <c r="AX736" i="1812"/>
  <c r="M736" i="1812"/>
  <c r="T722" i="1812"/>
  <c r="AF729" i="1812"/>
  <c r="AE729" i="1812"/>
  <c r="BA722" i="1812"/>
  <c r="N722" i="1812"/>
  <c r="BJ729" i="1812"/>
  <c r="AZ722" i="1812"/>
  <c r="AP729" i="1812"/>
  <c r="W729" i="1812"/>
  <c r="AH722" i="1812"/>
  <c r="I736" i="1812"/>
  <c r="AZ729" i="1812"/>
  <c r="BH729" i="1812"/>
  <c r="L736" i="1812"/>
  <c r="AW729" i="1812"/>
  <c r="AC736" i="1812"/>
  <c r="H736" i="1812"/>
  <c r="AF736" i="1812"/>
  <c r="AN736" i="1812"/>
  <c r="BE729" i="1812"/>
  <c r="C722" i="1812"/>
  <c r="AK729" i="1812"/>
  <c r="BI729" i="1812"/>
  <c r="BB722" i="1812"/>
  <c r="AG736" i="1812"/>
  <c r="V722" i="1812"/>
  <c r="AO729" i="1812"/>
  <c r="O729" i="1812"/>
  <c r="AR729" i="1812"/>
  <c r="R736" i="1812"/>
  <c r="M729" i="1812"/>
  <c r="BI736" i="1812"/>
  <c r="W736" i="1812"/>
  <c r="AD722" i="1812"/>
  <c r="K729" i="1812"/>
  <c r="T729" i="1812"/>
  <c r="E722" i="1812"/>
  <c r="BG722" i="1812"/>
  <c r="T736" i="1812"/>
  <c r="F736" i="1812"/>
  <c r="AK722" i="1812"/>
  <c r="AL722" i="1812"/>
  <c r="D736" i="1812"/>
  <c r="AO736" i="1812"/>
  <c r="BC722" i="1812"/>
  <c r="AV736" i="1812"/>
  <c r="AY729" i="1812"/>
  <c r="R729" i="1812"/>
  <c r="H729" i="1812"/>
  <c r="BA729" i="1812"/>
  <c r="S722" i="1812"/>
  <c r="BI722" i="1812"/>
  <c r="O736" i="1812"/>
  <c r="K722" i="1812"/>
  <c r="O722" i="1812"/>
  <c r="AA736" i="1812"/>
  <c r="G736" i="1812"/>
  <c r="C736" i="1812"/>
  <c r="L722" i="1812"/>
  <c r="AB722" i="1812"/>
  <c r="Q729" i="1812"/>
  <c r="BD722" i="1812"/>
  <c r="AP736" i="1812"/>
  <c r="AJ736" i="1812"/>
  <c r="BD736" i="1812"/>
  <c r="AU722" i="1812"/>
  <c r="AS736" i="1812"/>
  <c r="I729" i="1812"/>
  <c r="AH736" i="1812"/>
  <c r="P736" i="1812"/>
  <c r="AX729" i="1812"/>
  <c r="AJ722" i="1812"/>
  <c r="BK729" i="1812"/>
  <c r="AA729" i="1812"/>
  <c r="P722" i="1812"/>
  <c r="BG736" i="1812"/>
  <c r="AV722" i="1812"/>
  <c r="AS722" i="1812"/>
  <c r="BF729" i="1812"/>
  <c r="J736" i="1812"/>
  <c r="E736" i="1812"/>
  <c r="AF722" i="1812"/>
  <c r="AW736" i="1812"/>
  <c r="BB729" i="1812"/>
  <c r="BC729" i="1812"/>
  <c r="AN729" i="1812"/>
  <c r="K736" i="1812"/>
  <c r="N736" i="1812"/>
  <c r="AP722" i="1812"/>
  <c r="BG729" i="1812"/>
  <c r="AM729" i="1812"/>
  <c r="AY736" i="1812"/>
  <c r="BJ722" i="1812"/>
  <c r="BH722" i="1812"/>
  <c r="L729" i="1812"/>
  <c r="AE736" i="1812"/>
  <c r="AE722" i="1812"/>
  <c r="BF736" i="1812"/>
  <c r="AI722" i="1812"/>
  <c r="AG729" i="1812"/>
  <c r="Y729" i="1812"/>
  <c r="AR722" i="1812"/>
  <c r="I722" i="1812"/>
  <c r="X736" i="1812"/>
  <c r="V729" i="1812"/>
  <c r="F722" i="1812"/>
  <c r="AH729" i="1812"/>
  <c r="BB736" i="1812"/>
  <c r="AJ729" i="1812"/>
  <c r="AT729" i="1812"/>
  <c r="AY722" i="1812"/>
  <c r="D729" i="1812"/>
  <c r="Z736" i="1812"/>
  <c r="AI729" i="1812"/>
  <c r="BJ736" i="1812"/>
  <c r="E729" i="1812"/>
  <c r="AU736" i="1812"/>
  <c r="AI736" i="1812"/>
  <c r="AK136" i="1814" l="1"/>
  <c r="U28" i="1814"/>
  <c r="U30" i="1810" s="1"/>
  <c r="I28" i="1814"/>
  <c r="I30" i="1810" s="1"/>
  <c r="I27" i="1814"/>
  <c r="M28" i="1814"/>
  <c r="M30" i="1810" s="1"/>
  <c r="R106" i="1814"/>
  <c r="AJ106" i="1814" s="1"/>
  <c r="R82" i="1821"/>
  <c r="L28" i="1814"/>
  <c r="L30" i="1810" s="1"/>
  <c r="K27" i="1814"/>
  <c r="T28" i="1814"/>
  <c r="T30" i="1810" s="1"/>
  <c r="X28" i="1814"/>
  <c r="X30" i="1810" s="1"/>
  <c r="P253" i="1814"/>
  <c r="P254" i="1814" s="1"/>
  <c r="P22" i="1814"/>
  <c r="Y10" i="1810"/>
  <c r="Y22" i="1814"/>
  <c r="Q22" i="1814"/>
  <c r="Q28" i="1814" s="1"/>
  <c r="Q30" i="1810" s="1"/>
  <c r="Y124" i="1814"/>
  <c r="Y253" i="1814"/>
  <c r="Y254" i="1814" s="1"/>
  <c r="AB20" i="1814"/>
  <c r="M31" i="1814"/>
  <c r="AL105" i="1814"/>
  <c r="AA105" i="1814"/>
  <c r="AB105" i="1814" s="1"/>
  <c r="AC105" i="1814" s="1"/>
  <c r="AD105" i="1814" s="1"/>
  <c r="AM105" i="1814" s="1"/>
  <c r="Y21" i="1814"/>
  <c r="Y76" i="1814"/>
  <c r="AY413" i="1812"/>
  <c r="BC131" i="1812"/>
  <c r="BC133" i="1812" s="1"/>
  <c r="BC135" i="1812" s="1"/>
  <c r="T52" i="1814"/>
  <c r="T57" i="1814"/>
  <c r="T47" i="1814"/>
  <c r="X47" i="1814"/>
  <c r="T43" i="1814"/>
  <c r="T58" i="1814" s="1"/>
  <c r="P191" i="1814"/>
  <c r="Q411" i="1812"/>
  <c r="Q414" i="1812" s="1"/>
  <c r="Y413" i="1812"/>
  <c r="Y398" i="1812" s="1"/>
  <c r="AM409" i="1812"/>
  <c r="T186" i="1814"/>
  <c r="P411" i="1812"/>
  <c r="P414" i="1812" s="1"/>
  <c r="R413" i="1812"/>
  <c r="S413" i="1812"/>
  <c r="BI408" i="1812"/>
  <c r="T413" i="1812"/>
  <c r="AC411" i="1812"/>
  <c r="AC414" i="1812" s="1"/>
  <c r="AC398" i="1812" s="1"/>
  <c r="BJ408" i="1812"/>
  <c r="T201" i="1814"/>
  <c r="BA413" i="1812"/>
  <c r="U191" i="1814"/>
  <c r="U27" i="1811"/>
  <c r="U29" i="1813" s="1"/>
  <c r="X27" i="1813"/>
  <c r="U196" i="1814"/>
  <c r="T196" i="1814"/>
  <c r="Q191" i="1814"/>
  <c r="Q196" i="1814"/>
  <c r="M132" i="1811"/>
  <c r="AX411" i="1812"/>
  <c r="AX414" i="1812" s="1"/>
  <c r="W151" i="1813"/>
  <c r="W152" i="1813" s="1"/>
  <c r="AQ132" i="1811"/>
  <c r="AW413" i="1812"/>
  <c r="AG360" i="1812"/>
  <c r="R380" i="1812"/>
  <c r="I413" i="1812"/>
  <c r="O27" i="1811"/>
  <c r="O29" i="1813" s="1"/>
  <c r="Y361" i="1812"/>
  <c r="AS27" i="1813"/>
  <c r="AR27" i="1813"/>
  <c r="N27" i="1813"/>
  <c r="U132" i="1811"/>
  <c r="Z379" i="1812"/>
  <c r="BJ410" i="1812"/>
  <c r="C413" i="1812"/>
  <c r="AR413" i="1812"/>
  <c r="E411" i="1812"/>
  <c r="E414" i="1812" s="1"/>
  <c r="AL511" i="1812"/>
  <c r="S626" i="1812"/>
  <c r="S636" i="1812" s="1"/>
  <c r="AZ411" i="1812"/>
  <c r="AZ414" i="1812" s="1"/>
  <c r="K413" i="1812"/>
  <c r="AM511" i="1812"/>
  <c r="V105" i="1814"/>
  <c r="AK105" i="1814" s="1"/>
  <c r="N105" i="1814"/>
  <c r="N107" i="1814" s="1"/>
  <c r="W47" i="1814"/>
  <c r="W57" i="1814"/>
  <c r="AC130" i="1814"/>
  <c r="X52" i="1814"/>
  <c r="AB82" i="1814"/>
  <c r="AC82" i="1814" s="1"/>
  <c r="AD82" i="1814" s="1"/>
  <c r="Y38" i="1814"/>
  <c r="AC38" i="1814" s="1"/>
  <c r="AB84" i="1814"/>
  <c r="AA95" i="1814"/>
  <c r="AK152" i="1814"/>
  <c r="AG75" i="1814"/>
  <c r="AG94" i="1814" s="1"/>
  <c r="I75" i="1814"/>
  <c r="V95" i="1814"/>
  <c r="AK84" i="1814"/>
  <c r="AK95" i="1814" s="1"/>
  <c r="W186" i="1814"/>
  <c r="AH113" i="1814"/>
  <c r="U116" i="1814"/>
  <c r="AK154" i="1814"/>
  <c r="Y236" i="1814"/>
  <c r="Y237" i="1814" s="1"/>
  <c r="L75" i="1814"/>
  <c r="I37" i="1814"/>
  <c r="E38" i="1814"/>
  <c r="Q53" i="1814"/>
  <c r="Q48" i="1814"/>
  <c r="O14" i="1814"/>
  <c r="O34" i="1814"/>
  <c r="O31" i="1814" s="1"/>
  <c r="R53" i="1814"/>
  <c r="U14" i="1814"/>
  <c r="U34" i="1814"/>
  <c r="U31" i="1814" s="1"/>
  <c r="Q58" i="1814"/>
  <c r="AJ43" i="1814"/>
  <c r="O48" i="1814"/>
  <c r="O53" i="1814"/>
  <c r="S48" i="1814"/>
  <c r="W14" i="1814"/>
  <c r="W34" i="1814"/>
  <c r="W31" i="1814" s="1"/>
  <c r="P53" i="1814"/>
  <c r="Q14" i="1814"/>
  <c r="Q34" i="1814"/>
  <c r="Q31" i="1814" s="1"/>
  <c r="S14" i="1814"/>
  <c r="S34" i="1814"/>
  <c r="S31" i="1814" s="1"/>
  <c r="W48" i="1814"/>
  <c r="O145" i="1814"/>
  <c r="AB122" i="1814"/>
  <c r="AB12" i="1814"/>
  <c r="AB141" i="1814"/>
  <c r="AB143" i="1814" s="1"/>
  <c r="AB145" i="1814" s="1"/>
  <c r="AB146" i="1814" s="1"/>
  <c r="T13" i="1814"/>
  <c r="AG116" i="1814"/>
  <c r="R116" i="1814"/>
  <c r="V116" i="1814"/>
  <c r="N113" i="1814"/>
  <c r="AK114" i="1814"/>
  <c r="AA135" i="1814"/>
  <c r="Y141" i="1814"/>
  <c r="AC142" i="1814" s="1"/>
  <c r="AC10" i="1814" s="1"/>
  <c r="AA10" i="1814"/>
  <c r="X116" i="1814"/>
  <c r="T138" i="1814"/>
  <c r="T25" i="1814" s="1"/>
  <c r="AH116" i="1814"/>
  <c r="O113" i="1814"/>
  <c r="P16" i="1814"/>
  <c r="P199" i="1814"/>
  <c r="P58" i="1814"/>
  <c r="P56" i="1814"/>
  <c r="P21" i="1814"/>
  <c r="P38" i="1814"/>
  <c r="P57" i="1814"/>
  <c r="P13" i="1814"/>
  <c r="P200" i="1814"/>
  <c r="P201" i="1814"/>
  <c r="P236" i="1814"/>
  <c r="P237" i="1814" s="1"/>
  <c r="V121" i="1814"/>
  <c r="V9" i="1814"/>
  <c r="AC133" i="1814"/>
  <c r="AC135" i="1814" s="1"/>
  <c r="AC137" i="1814" s="1"/>
  <c r="AC138" i="1814" s="1"/>
  <c r="AC121" i="1814"/>
  <c r="Y127" i="1814"/>
  <c r="L113" i="1814"/>
  <c r="W153" i="1814"/>
  <c r="W155" i="1814" s="1"/>
  <c r="AL152" i="1814"/>
  <c r="S113" i="1814"/>
  <c r="T129" i="1814"/>
  <c r="J116" i="1814"/>
  <c r="X113" i="1814"/>
  <c r="AA127" i="1814"/>
  <c r="AJ114" i="1814"/>
  <c r="AB127" i="1814"/>
  <c r="R113" i="1814"/>
  <c r="I116" i="1814"/>
  <c r="K116" i="1814"/>
  <c r="AI112" i="1814"/>
  <c r="Q16" i="1814"/>
  <c r="L116" i="1814"/>
  <c r="AI114" i="1814"/>
  <c r="M116" i="1814"/>
  <c r="AJ112" i="1814"/>
  <c r="O116" i="1814"/>
  <c r="P116" i="1814"/>
  <c r="T237" i="1814"/>
  <c r="T21" i="1814"/>
  <c r="Q116" i="1814"/>
  <c r="AK112" i="1814"/>
  <c r="N9" i="1814"/>
  <c r="N121" i="1814"/>
  <c r="N133" i="1814" s="1"/>
  <c r="N135" i="1814" s="1"/>
  <c r="N137" i="1814" s="1"/>
  <c r="S116" i="1814"/>
  <c r="R9" i="1814"/>
  <c r="R121" i="1814"/>
  <c r="T116" i="1814"/>
  <c r="M27" i="1811"/>
  <c r="M29" i="1813" s="1"/>
  <c r="T27" i="1813"/>
  <c r="AK511" i="1812"/>
  <c r="AG358" i="1812"/>
  <c r="AG576" i="1812" s="1"/>
  <c r="AP509" i="1812"/>
  <c r="X361" i="1812"/>
  <c r="AP560" i="1812"/>
  <c r="AP511" i="1812"/>
  <c r="R381" i="1812"/>
  <c r="AD379" i="1812"/>
  <c r="BE389" i="1812" s="1"/>
  <c r="AJ626" i="1812"/>
  <c r="AJ636" i="1812" s="1"/>
  <c r="U361" i="1812"/>
  <c r="W361" i="1812"/>
  <c r="Q27" i="1813"/>
  <c r="AJ608" i="1812"/>
  <c r="BC608" i="1812"/>
  <c r="AT413" i="1812"/>
  <c r="AH382" i="1812"/>
  <c r="BF387" i="1812" s="1"/>
  <c r="AS413" i="1812"/>
  <c r="BI409" i="1812"/>
  <c r="V361" i="1812"/>
  <c r="AB361" i="1812"/>
  <c r="AU411" i="1812"/>
  <c r="AU414" i="1812" s="1"/>
  <c r="L413" i="1812"/>
  <c r="M413" i="1812"/>
  <c r="N413" i="1812"/>
  <c r="O413" i="1812"/>
  <c r="Z382" i="1812"/>
  <c r="Q151" i="1813"/>
  <c r="Q152" i="1813" s="1"/>
  <c r="AD382" i="1812"/>
  <c r="BE387" i="1812" s="1"/>
  <c r="T151" i="1813"/>
  <c r="T152" i="1813" s="1"/>
  <c r="T132" i="1811"/>
  <c r="S27" i="1811"/>
  <c r="S29" i="1813" s="1"/>
  <c r="S27" i="1813"/>
  <c r="AL408" i="1812"/>
  <c r="P132" i="1811"/>
  <c r="P151" i="1813"/>
  <c r="P152" i="1813" s="1"/>
  <c r="AD383" i="1812"/>
  <c r="X132" i="1811"/>
  <c r="X151" i="1813"/>
  <c r="X152" i="1813" s="1"/>
  <c r="W27" i="1811"/>
  <c r="W29" i="1813" s="1"/>
  <c r="W27" i="1813"/>
  <c r="S132" i="1811"/>
  <c r="S151" i="1813"/>
  <c r="S152" i="1813" s="1"/>
  <c r="AI358" i="1812"/>
  <c r="AI576" i="1812" s="1"/>
  <c r="O132" i="1811"/>
  <c r="O151" i="1813"/>
  <c r="O152" i="1813" s="1"/>
  <c r="R27" i="1811"/>
  <c r="R29" i="1813" s="1"/>
  <c r="R27" i="1813"/>
  <c r="AT151" i="1813"/>
  <c r="AT152" i="1813" s="1"/>
  <c r="AT132" i="1811"/>
  <c r="K27" i="1811"/>
  <c r="K29" i="1813" s="1"/>
  <c r="K27" i="1813"/>
  <c r="AV411" i="1812"/>
  <c r="AV414" i="1812" s="1"/>
  <c r="L132" i="1811"/>
  <c r="L151" i="1813"/>
  <c r="L152" i="1813" s="1"/>
  <c r="P27" i="1811"/>
  <c r="P29" i="1813" s="1"/>
  <c r="P27" i="1813"/>
  <c r="AO566" i="1812"/>
  <c r="BH566" i="1812" s="1"/>
  <c r="AS132" i="1811"/>
  <c r="AS151" i="1813"/>
  <c r="AS152" i="1813" s="1"/>
  <c r="AQ27" i="1811"/>
  <c r="AQ29" i="1813" s="1"/>
  <c r="AQ27" i="1813"/>
  <c r="BD358" i="1812"/>
  <c r="BD576" i="1812" s="1"/>
  <c r="AR132" i="1811"/>
  <c r="AR151" i="1813"/>
  <c r="AR152" i="1813" s="1"/>
  <c r="AA112" i="1812"/>
  <c r="BF365" i="1812"/>
  <c r="AS3" i="1812"/>
  <c r="AS715" i="1812" s="1"/>
  <c r="AM410" i="1812"/>
  <c r="F411" i="1812"/>
  <c r="F414" i="1812" s="1"/>
  <c r="AB366" i="1812"/>
  <c r="Z413" i="1812"/>
  <c r="Z398" i="1812" s="1"/>
  <c r="V380" i="1812"/>
  <c r="AA413" i="1812"/>
  <c r="AA398" i="1812" s="1"/>
  <c r="BH410" i="1812"/>
  <c r="AH340" i="1812"/>
  <c r="AA365" i="1812"/>
  <c r="AF365" i="1812"/>
  <c r="AB411" i="1812"/>
  <c r="AB414" i="1812" s="1"/>
  <c r="AB398" i="1812" s="1"/>
  <c r="AE411" i="1812"/>
  <c r="AE414" i="1812" s="1"/>
  <c r="AE398" i="1812" s="1"/>
  <c r="AE9" i="1812"/>
  <c r="AH383" i="1812"/>
  <c r="W112" i="1812"/>
  <c r="AI108" i="1812"/>
  <c r="AI109" i="1812" s="1"/>
  <c r="AG626" i="1812"/>
  <c r="AG636" i="1812" s="1"/>
  <c r="AJ9" i="1812"/>
  <c r="Z381" i="1812"/>
  <c r="AO408" i="1812"/>
  <c r="AD411" i="1812"/>
  <c r="AD414" i="1812" s="1"/>
  <c r="AD398" i="1812" s="1"/>
  <c r="BJ509" i="1812"/>
  <c r="AE643" i="1812"/>
  <c r="BF9" i="1812"/>
  <c r="AF360" i="1812"/>
  <c r="U365" i="1812"/>
  <c r="AL409" i="1812"/>
  <c r="AD358" i="1812"/>
  <c r="AD576" i="1812" s="1"/>
  <c r="T358" i="1812"/>
  <c r="T648" i="1812" s="1"/>
  <c r="AG365" i="1812"/>
  <c r="BG409" i="1812"/>
  <c r="V382" i="1812"/>
  <c r="AA97" i="1812"/>
  <c r="AG413" i="1812"/>
  <c r="AG398" i="1812" s="1"/>
  <c r="AN409" i="1812"/>
  <c r="AD168" i="1812"/>
  <c r="AD201" i="1812" s="1"/>
  <c r="AN410" i="1812"/>
  <c r="BB413" i="1812"/>
  <c r="AE358" i="1812"/>
  <c r="AE576" i="1812" s="1"/>
  <c r="T365" i="1812"/>
  <c r="AK409" i="1812"/>
  <c r="AO409" i="1812"/>
  <c r="BF353" i="1812"/>
  <c r="BE366" i="1812"/>
  <c r="AF411" i="1812"/>
  <c r="AF414" i="1812" s="1"/>
  <c r="AF398" i="1812" s="1"/>
  <c r="AB113" i="1812"/>
  <c r="AB649" i="1812" s="1"/>
  <c r="BF411" i="1812"/>
  <c r="BC413" i="1812"/>
  <c r="AA104" i="1812"/>
  <c r="AC361" i="1812"/>
  <c r="V379" i="1812"/>
  <c r="AP410" i="1812"/>
  <c r="BD413" i="1812"/>
  <c r="BD398" i="1812" s="1"/>
  <c r="AJ413" i="1812"/>
  <c r="AJ398" i="1812" s="1"/>
  <c r="AH360" i="1812"/>
  <c r="AB365" i="1812"/>
  <c r="BC97" i="1812"/>
  <c r="AB358" i="1812"/>
  <c r="AB576" i="1812" s="1"/>
  <c r="BD360" i="1812"/>
  <c r="AE361" i="1812"/>
  <c r="R382" i="1812"/>
  <c r="BG410" i="1812"/>
  <c r="D413" i="1812"/>
  <c r="BE413" i="1812"/>
  <c r="BE398" i="1812" s="1"/>
  <c r="AG361" i="1812"/>
  <c r="AH380" i="1812"/>
  <c r="BC361" i="1812"/>
  <c r="U608" i="1812"/>
  <c r="AI360" i="1812"/>
  <c r="AJ360" i="1812"/>
  <c r="G413" i="1812"/>
  <c r="AP409" i="1812"/>
  <c r="U411" i="1812"/>
  <c r="U414" i="1812" s="1"/>
  <c r="H413" i="1812"/>
  <c r="AI564" i="1812"/>
  <c r="V411" i="1812"/>
  <c r="V414" i="1812" s="1"/>
  <c r="AA608" i="1812"/>
  <c r="T361" i="1812"/>
  <c r="BH409" i="1812"/>
  <c r="J413" i="1812"/>
  <c r="BK509" i="1812"/>
  <c r="AK566" i="1812"/>
  <c r="S366" i="1812"/>
  <c r="AI608" i="1812"/>
  <c r="Y366" i="1812"/>
  <c r="AD8" i="1812"/>
  <c r="AG112" i="1812"/>
  <c r="BB626" i="1812"/>
  <c r="BB636" i="1812" s="1"/>
  <c r="AJ643" i="1812"/>
  <c r="AJ361" i="1812"/>
  <c r="AJ112" i="1812"/>
  <c r="T353" i="1812"/>
  <c r="BG383" i="1812"/>
  <c r="Z169" i="1812"/>
  <c r="Z202" i="1812" s="1"/>
  <c r="AC366" i="1812"/>
  <c r="W413" i="1812"/>
  <c r="AA358" i="1812"/>
  <c r="AA576" i="1812" s="1"/>
  <c r="Y108" i="1812"/>
  <c r="Y109" i="1812" s="1"/>
  <c r="Z113" i="1812"/>
  <c r="Z649" i="1812" s="1"/>
  <c r="AE366" i="1812"/>
  <c r="X413" i="1812"/>
  <c r="AI365" i="1812"/>
  <c r="BB390" i="1812"/>
  <c r="AH411" i="1812"/>
  <c r="AH414" i="1812" s="1"/>
  <c r="AH398" i="1812" s="1"/>
  <c r="AI411" i="1812"/>
  <c r="AI414" i="1812" s="1"/>
  <c r="AI398" i="1812" s="1"/>
  <c r="U358" i="1812"/>
  <c r="U648" i="1812" s="1"/>
  <c r="AM513" i="1812"/>
  <c r="AN513" i="1812"/>
  <c r="AD562" i="1812"/>
  <c r="AF104" i="1812"/>
  <c r="U360" i="1812"/>
  <c r="R379" i="1812"/>
  <c r="Z380" i="1812"/>
  <c r="AH381" i="1812"/>
  <c r="AK509" i="1812"/>
  <c r="AO513" i="1812"/>
  <c r="AE168" i="1812"/>
  <c r="AE201" i="1812" s="1"/>
  <c r="AK417" i="1812"/>
  <c r="BD181" i="1812"/>
  <c r="BD185" i="1812" s="1"/>
  <c r="BK410" i="1812"/>
  <c r="BD97" i="1812"/>
  <c r="BC571" i="1812"/>
  <c r="AG366" i="1812"/>
  <c r="BD366" i="1812"/>
  <c r="AK513" i="1812"/>
  <c r="AL513" i="1812"/>
  <c r="AE104" i="1812"/>
  <c r="W360" i="1812"/>
  <c r="AL509" i="1812"/>
  <c r="AP513" i="1812"/>
  <c r="AA360" i="1812"/>
  <c r="AM509" i="1812"/>
  <c r="AA108" i="1812"/>
  <c r="AA109" i="1812" s="1"/>
  <c r="X358" i="1812"/>
  <c r="X576" i="1812" s="1"/>
  <c r="BC366" i="1812"/>
  <c r="BB358" i="1812"/>
  <c r="BB576" i="1812" s="1"/>
  <c r="AN509" i="1812"/>
  <c r="AT4" i="1812"/>
  <c r="AB360" i="1812"/>
  <c r="AC360" i="1812"/>
  <c r="AD380" i="1812"/>
  <c r="BK408" i="1812"/>
  <c r="AO509" i="1812"/>
  <c r="V360" i="1812"/>
  <c r="U390" i="1812"/>
  <c r="Z568" i="1812"/>
  <c r="BE112" i="1812"/>
  <c r="BF112" i="1812"/>
  <c r="BE135" i="1812"/>
  <c r="W353" i="1812"/>
  <c r="AH568" i="1812"/>
  <c r="BD608" i="1812"/>
  <c r="BK560" i="1812"/>
  <c r="AH361" i="1812"/>
  <c r="W9" i="1812"/>
  <c r="AF358" i="1812"/>
  <c r="AF576" i="1812" s="1"/>
  <c r="AJ358" i="1812"/>
  <c r="AJ576" i="1812" s="1"/>
  <c r="BD361" i="1812"/>
  <c r="BE353" i="1812"/>
  <c r="Z340" i="1812"/>
  <c r="BE358" i="1812"/>
  <c r="BE576" i="1812" s="1"/>
  <c r="BB365" i="1812"/>
  <c r="AK383" i="1812"/>
  <c r="AB181" i="1812"/>
  <c r="AB185" i="1812" s="1"/>
  <c r="AB114" i="1812" s="1"/>
  <c r="BF358" i="1812"/>
  <c r="BF576" i="1812" s="1"/>
  <c r="BD365" i="1812"/>
  <c r="AL383" i="1812"/>
  <c r="AK410" i="1812"/>
  <c r="BI513" i="1812"/>
  <c r="AH265" i="1812"/>
  <c r="BE365" i="1812"/>
  <c r="AM383" i="1812"/>
  <c r="BJ513" i="1812"/>
  <c r="S353" i="1812"/>
  <c r="BE70" i="1812"/>
  <c r="BF70" i="1812"/>
  <c r="BF104" i="1812"/>
  <c r="X9" i="1812"/>
  <c r="AB104" i="1812"/>
  <c r="BI509" i="1812"/>
  <c r="BC358" i="1812"/>
  <c r="BC576" i="1812" s="1"/>
  <c r="S608" i="1812"/>
  <c r="AD360" i="1812"/>
  <c r="BE113" i="1812"/>
  <c r="BE649" i="1812" s="1"/>
  <c r="Y353" i="1812"/>
  <c r="AD365" i="1812"/>
  <c r="AG353" i="1812"/>
  <c r="S365" i="1812"/>
  <c r="AL566" i="1812"/>
  <c r="AG643" i="1812"/>
  <c r="BD70" i="1812"/>
  <c r="Y112" i="1812"/>
  <c r="AJ353" i="1812"/>
  <c r="BC365" i="1812"/>
  <c r="AC358" i="1812"/>
  <c r="AC576" i="1812" s="1"/>
  <c r="AF366" i="1812"/>
  <c r="AI366" i="1812"/>
  <c r="Y608" i="1812"/>
  <c r="W626" i="1812"/>
  <c r="W636" i="1812" s="1"/>
  <c r="R169" i="1812"/>
  <c r="R202" i="1812" s="1"/>
  <c r="T390" i="1812"/>
  <c r="Y228" i="1812"/>
  <c r="BC360" i="1812"/>
  <c r="AC608" i="1812"/>
  <c r="Y626" i="1812"/>
  <c r="Y636" i="1812" s="1"/>
  <c r="AD135" i="1812"/>
  <c r="AF9" i="1812"/>
  <c r="AE353" i="1812"/>
  <c r="BF389" i="1812"/>
  <c r="BB360" i="1812"/>
  <c r="AB33" i="1812"/>
  <c r="V390" i="1812"/>
  <c r="W358" i="1812"/>
  <c r="W576" i="1812" s="1"/>
  <c r="T366" i="1812"/>
  <c r="AB626" i="1812"/>
  <c r="AB636" i="1812" s="1"/>
  <c r="AA228" i="1812"/>
  <c r="BE643" i="1812"/>
  <c r="BB108" i="1812"/>
  <c r="BB109" i="1812" s="1"/>
  <c r="AE112" i="1812"/>
  <c r="W366" i="1812"/>
  <c r="AC626" i="1812"/>
  <c r="AC636" i="1812" s="1"/>
  <c r="V22" i="1811"/>
  <c r="V25" i="1813" s="1"/>
  <c r="AG228" i="1812"/>
  <c r="AD292" i="1812"/>
  <c r="BF366" i="1812"/>
  <c r="BH535" i="1812"/>
  <c r="BH365" i="1812" s="1"/>
  <c r="BI560" i="1812"/>
  <c r="AD568" i="1812"/>
  <c r="AE626" i="1812"/>
  <c r="AE636" i="1812" s="1"/>
  <c r="BD228" i="1812"/>
  <c r="AH366" i="1812"/>
  <c r="AJ366" i="1812"/>
  <c r="BD626" i="1812"/>
  <c r="BD636" i="1812" s="1"/>
  <c r="BE626" i="1812"/>
  <c r="BE636" i="1812" s="1"/>
  <c r="AE113" i="1812"/>
  <c r="AE649" i="1812" s="1"/>
  <c r="AF361" i="1812"/>
  <c r="AC97" i="1812"/>
  <c r="AG168" i="1812"/>
  <c r="AG201" i="1812" s="1"/>
  <c r="AE108" i="1812"/>
  <c r="AE109" i="1812" s="1"/>
  <c r="AF97" i="1812"/>
  <c r="BD104" i="1812"/>
  <c r="AF113" i="1812"/>
  <c r="AF649" i="1812" s="1"/>
  <c r="AG79" i="1812"/>
  <c r="BF390" i="1812"/>
  <c r="X360" i="1812"/>
  <c r="W365" i="1812"/>
  <c r="BG506" i="1812"/>
  <c r="AN511" i="1812"/>
  <c r="AJ365" i="1812"/>
  <c r="AG108" i="1812"/>
  <c r="AG109" i="1812" s="1"/>
  <c r="AB70" i="1812"/>
  <c r="AI79" i="1812"/>
  <c r="AJ108" i="1812"/>
  <c r="AJ109" i="1812" s="1"/>
  <c r="Y360" i="1812"/>
  <c r="X365" i="1812"/>
  <c r="AO511" i="1812"/>
  <c r="S358" i="1812"/>
  <c r="S652" i="1812" s="1"/>
  <c r="Y643" i="1812"/>
  <c r="BE97" i="1812"/>
  <c r="BE9" i="1812"/>
  <c r="AA361" i="1812"/>
  <c r="AF70" i="1812"/>
  <c r="AI70" i="1812"/>
  <c r="Z173" i="1812"/>
  <c r="Z190" i="1812" s="1"/>
  <c r="Z565" i="1812" s="1"/>
  <c r="Z112" i="1812"/>
  <c r="BE181" i="1812"/>
  <c r="BE185" i="1812" s="1"/>
  <c r="BD353" i="1812"/>
  <c r="Y358" i="1812"/>
  <c r="Y576" i="1812" s="1"/>
  <c r="BB361" i="1812"/>
  <c r="Y365" i="1812"/>
  <c r="V366" i="1812"/>
  <c r="V607" i="1812"/>
  <c r="BB353" i="1812"/>
  <c r="Z265" i="1812"/>
  <c r="AB353" i="1812"/>
  <c r="AD366" i="1812"/>
  <c r="AH8" i="1812"/>
  <c r="BD643" i="1812"/>
  <c r="V22" i="1812"/>
  <c r="J40" i="1811" s="1"/>
  <c r="J42" i="1813" s="1"/>
  <c r="AE97" i="1812"/>
  <c r="AA9" i="1812"/>
  <c r="W108" i="1812"/>
  <c r="W109" i="1812" s="1"/>
  <c r="AF108" i="1812"/>
  <c r="AF109" i="1812" s="1"/>
  <c r="BF108" i="1812"/>
  <c r="BF109" i="1812" s="1"/>
  <c r="U113" i="1812"/>
  <c r="U649" i="1812" s="1"/>
  <c r="AD231" i="1812"/>
  <c r="AD232" i="1812" s="1"/>
  <c r="BD255" i="1812"/>
  <c r="BE251" i="1812" s="1"/>
  <c r="BE255" i="1812" s="1"/>
  <c r="AH320" i="1812"/>
  <c r="AC353" i="1812"/>
  <c r="T360" i="1812"/>
  <c r="AD361" i="1812"/>
  <c r="U366" i="1812"/>
  <c r="AK630" i="1812"/>
  <c r="AL630" i="1812" s="1"/>
  <c r="BG630" i="1812" s="1"/>
  <c r="AM630" i="1812" s="1"/>
  <c r="AN630" i="1812" s="1"/>
  <c r="AO630" i="1812" s="1"/>
  <c r="AP630" i="1812" s="1"/>
  <c r="BH630" i="1812" s="1"/>
  <c r="BI630" i="1812" s="1"/>
  <c r="BJ630" i="1812" s="1"/>
  <c r="BK630" i="1812" s="1"/>
  <c r="BG523" i="1812"/>
  <c r="BG360" i="1812" s="1"/>
  <c r="BF544" i="1812"/>
  <c r="BF626" i="1812"/>
  <c r="BF636" i="1812" s="1"/>
  <c r="BD108" i="1812"/>
  <c r="BD109" i="1812" s="1"/>
  <c r="Z282" i="1812"/>
  <c r="AF643" i="1812"/>
  <c r="BF643" i="1812"/>
  <c r="U112" i="1812"/>
  <c r="AG9" i="1812"/>
  <c r="BC181" i="1812"/>
  <c r="BC185" i="1812" s="1"/>
  <c r="Z108" i="1812"/>
  <c r="Z109" i="1812" s="1"/>
  <c r="AF112" i="1812"/>
  <c r="W113" i="1812"/>
  <c r="W649" i="1812" s="1"/>
  <c r="BD113" i="1812"/>
  <c r="BD649" i="1812" s="1"/>
  <c r="BC390" i="1812"/>
  <c r="Z228" i="1812"/>
  <c r="AJ232" i="1812"/>
  <c r="AJ238" i="1812" s="1"/>
  <c r="U353" i="1812"/>
  <c r="AF353" i="1812"/>
  <c r="AE360" i="1812"/>
  <c r="AC365" i="1812"/>
  <c r="X366" i="1812"/>
  <c r="L172" i="1811"/>
  <c r="L192" i="1813" s="1"/>
  <c r="BE558" i="1812"/>
  <c r="U626" i="1812"/>
  <c r="U636" i="1812" s="1"/>
  <c r="BG198" i="1812"/>
  <c r="AJ228" i="1812"/>
  <c r="X353" i="1812"/>
  <c r="Z361" i="1812"/>
  <c r="AE365" i="1812"/>
  <c r="AA366" i="1812"/>
  <c r="BE564" i="1812"/>
  <c r="BE571" i="1812" s="1"/>
  <c r="X626" i="1812"/>
  <c r="X636" i="1812" s="1"/>
  <c r="AB108" i="1812"/>
  <c r="AB109" i="1812" s="1"/>
  <c r="BG502" i="1812"/>
  <c r="L191" i="1811"/>
  <c r="L211" i="1813" s="1"/>
  <c r="BG531" i="1812"/>
  <c r="AM560" i="1812"/>
  <c r="BF608" i="1812"/>
  <c r="AF79" i="1812"/>
  <c r="X390" i="1812"/>
  <c r="BF27" i="1812"/>
  <c r="AB112" i="1812"/>
  <c r="BE228" i="1812"/>
  <c r="AB237" i="1812"/>
  <c r="Z330" i="1812"/>
  <c r="Z331" i="1812" s="1"/>
  <c r="AA353" i="1812"/>
  <c r="BC353" i="1812"/>
  <c r="BB366" i="1812"/>
  <c r="S384" i="1812"/>
  <c r="AA384" i="1812"/>
  <c r="AI384" i="1812"/>
  <c r="AN560" i="1812"/>
  <c r="W608" i="1812"/>
  <c r="AG608" i="1812"/>
  <c r="AA626" i="1812"/>
  <c r="AA636" i="1812" s="1"/>
  <c r="J159" i="1811"/>
  <c r="V353" i="1812"/>
  <c r="BG635" i="1812"/>
  <c r="AL417" i="1812"/>
  <c r="R159" i="1811"/>
  <c r="R179" i="1813" s="1"/>
  <c r="AD353" i="1812"/>
  <c r="N167" i="1811"/>
  <c r="N187" i="1813" s="1"/>
  <c r="Z358" i="1812"/>
  <c r="Z576" i="1812" s="1"/>
  <c r="AI643" i="1812"/>
  <c r="AB27" i="1812"/>
  <c r="AH184" i="1812"/>
  <c r="V12" i="1811"/>
  <c r="V13" i="1813" s="1"/>
  <c r="V161" i="1814" s="1"/>
  <c r="AH174" i="1812"/>
  <c r="AH173" i="1812" s="1"/>
  <c r="AH190" i="1812" s="1"/>
  <c r="AH565" i="1812" s="1"/>
  <c r="V13" i="1811"/>
  <c r="V14" i="1813" s="1"/>
  <c r="U153" i="1812"/>
  <c r="U154" i="1812" s="1"/>
  <c r="I57" i="1811"/>
  <c r="AF153" i="1812"/>
  <c r="T57" i="1811"/>
  <c r="T59" i="1813" s="1"/>
  <c r="Z210" i="1812"/>
  <c r="N73" i="1811"/>
  <c r="N75" i="1813" s="1"/>
  <c r="W390" i="1812"/>
  <c r="AH232" i="1812"/>
  <c r="AH292" i="1812"/>
  <c r="AD507" i="1812"/>
  <c r="AD516" i="1812" s="1"/>
  <c r="R139" i="1811"/>
  <c r="AH353" i="1812"/>
  <c r="V157" i="1811"/>
  <c r="V177" i="1813" s="1"/>
  <c r="R457" i="1812"/>
  <c r="AD566" i="1812"/>
  <c r="R168" i="1811"/>
  <c r="AH544" i="1812"/>
  <c r="V175" i="1811"/>
  <c r="V195" i="1813" s="1"/>
  <c r="V113" i="1814" s="1"/>
  <c r="S480" i="1812"/>
  <c r="AC480" i="1812"/>
  <c r="U507" i="1812"/>
  <c r="I137" i="1811"/>
  <c r="AF507" i="1812"/>
  <c r="T137" i="1811"/>
  <c r="BF507" i="1812"/>
  <c r="BG491" i="1812"/>
  <c r="W524" i="1812"/>
  <c r="K167" i="1811"/>
  <c r="Y566" i="1812"/>
  <c r="Y567" i="1812" s="1"/>
  <c r="M168" i="1811"/>
  <c r="AJ566" i="1812"/>
  <c r="AJ567" i="1812" s="1"/>
  <c r="X168" i="1811"/>
  <c r="X188" i="1813" s="1"/>
  <c r="X206" i="1814" s="1"/>
  <c r="AD524" i="1812"/>
  <c r="W544" i="1812"/>
  <c r="K175" i="1811"/>
  <c r="AG544" i="1812"/>
  <c r="U175" i="1811"/>
  <c r="BG529" i="1812"/>
  <c r="W176" i="1811"/>
  <c r="W196" i="1813" s="1"/>
  <c r="BG537" i="1812"/>
  <c r="X186" i="1811"/>
  <c r="X206" i="1813" s="1"/>
  <c r="BF564" i="1812"/>
  <c r="BF567" i="1812" s="1"/>
  <c r="BJ566" i="1812"/>
  <c r="V598" i="1812"/>
  <c r="J97" i="1811"/>
  <c r="V634" i="1812"/>
  <c r="J125" i="1811"/>
  <c r="AH180" i="1812"/>
  <c r="V10" i="1811"/>
  <c r="V11" i="1813" s="1"/>
  <c r="X198" i="1812"/>
  <c r="L14" i="1811"/>
  <c r="L15" i="1813" s="1"/>
  <c r="L163" i="1814" s="1"/>
  <c r="L168" i="1814" s="1"/>
  <c r="W153" i="1812"/>
  <c r="K73" i="1811" s="1"/>
  <c r="K75" i="1813" s="1"/>
  <c r="K57" i="1811"/>
  <c r="K59" i="1813" s="1"/>
  <c r="Z9" i="1812"/>
  <c r="Z291" i="1812"/>
  <c r="T384" i="1812"/>
  <c r="AH566" i="1812"/>
  <c r="V168" i="1811"/>
  <c r="V188" i="1813" s="1"/>
  <c r="V206" i="1814" s="1"/>
  <c r="AH365" i="1812"/>
  <c r="V184" i="1811"/>
  <c r="V204" i="1813" s="1"/>
  <c r="W507" i="1812"/>
  <c r="W352" i="1812" s="1"/>
  <c r="K137" i="1811"/>
  <c r="S164" i="1811"/>
  <c r="S184" i="1813" s="1"/>
  <c r="S111" i="1814" s="1"/>
  <c r="AA566" i="1812"/>
  <c r="AA567" i="1812" s="1"/>
  <c r="O168" i="1811"/>
  <c r="O188" i="1813" s="1"/>
  <c r="O206" i="1814" s="1"/>
  <c r="BG522" i="1812"/>
  <c r="BG361" i="1812" s="1"/>
  <c r="W171" i="1811"/>
  <c r="W191" i="1813" s="1"/>
  <c r="AL524" i="1812"/>
  <c r="BB544" i="1812"/>
  <c r="AQ175" i="1811"/>
  <c r="BG530" i="1812"/>
  <c r="W177" i="1811"/>
  <c r="W197" i="1813" s="1"/>
  <c r="BG532" i="1812"/>
  <c r="W181" i="1811"/>
  <c r="W201" i="1813" s="1"/>
  <c r="Z598" i="1812"/>
  <c r="N97" i="1811"/>
  <c r="R607" i="1812"/>
  <c r="F99" i="1811"/>
  <c r="F119" i="1813" s="1"/>
  <c r="R618" i="1812"/>
  <c r="F109" i="1811"/>
  <c r="AH618" i="1812"/>
  <c r="V114" i="1811"/>
  <c r="Z634" i="1812"/>
  <c r="N125" i="1811"/>
  <c r="Z8" i="1812"/>
  <c r="AH177" i="1812"/>
  <c r="AH9" i="1812" s="1"/>
  <c r="V8" i="1811"/>
  <c r="X183" i="1812"/>
  <c r="X112" i="1812" s="1"/>
  <c r="L11" i="1811"/>
  <c r="L12" i="1813" s="1"/>
  <c r="L160" i="1814" s="1"/>
  <c r="AG153" i="1812"/>
  <c r="U57" i="1811"/>
  <c r="U59" i="1813" s="1"/>
  <c r="AB153" i="1812"/>
  <c r="P73" i="1811" s="1"/>
  <c r="P75" i="1813" s="1"/>
  <c r="AB384" i="1812"/>
  <c r="AA643" i="1812"/>
  <c r="AD27" i="1812"/>
  <c r="Y70" i="1812"/>
  <c r="AJ70" i="1812"/>
  <c r="AG104" i="1812"/>
  <c r="BE108" i="1812"/>
  <c r="BE109" i="1812" s="1"/>
  <c r="U126" i="1812"/>
  <c r="U131" i="1812" s="1"/>
  <c r="U133" i="1812" s="1"/>
  <c r="U135" i="1812" s="1"/>
  <c r="AH183" i="1812"/>
  <c r="V11" i="1811"/>
  <c r="V12" i="1813" s="1"/>
  <c r="V160" i="1814" s="1"/>
  <c r="V179" i="1814" s="1"/>
  <c r="AH198" i="1812"/>
  <c r="V14" i="1811"/>
  <c r="V15" i="1813" s="1"/>
  <c r="V163" i="1814" s="1"/>
  <c r="V168" i="1814" s="1"/>
  <c r="X153" i="1812"/>
  <c r="L57" i="1811"/>
  <c r="L59" i="1813" s="1"/>
  <c r="AI153" i="1812"/>
  <c r="W57" i="1811"/>
  <c r="W59" i="1813" s="1"/>
  <c r="AD210" i="1812"/>
  <c r="R73" i="1811"/>
  <c r="R75" i="1813" s="1"/>
  <c r="AE181" i="1812"/>
  <c r="AE185" i="1812" s="1"/>
  <c r="AE114" i="1812" s="1"/>
  <c r="Q390" i="1812"/>
  <c r="Z293" i="1812"/>
  <c r="BD309" i="1812"/>
  <c r="BE305" i="1812" s="1"/>
  <c r="BE309" i="1812" s="1"/>
  <c r="AE305" i="1812" s="1"/>
  <c r="AE309" i="1812" s="1"/>
  <c r="AF305" i="1812" s="1"/>
  <c r="AF309" i="1812" s="1"/>
  <c r="AG305" i="1812" s="1"/>
  <c r="AG309" i="1812" s="1"/>
  <c r="AH305" i="1812" s="1"/>
  <c r="AH309" i="1812" s="1"/>
  <c r="BB384" i="1812"/>
  <c r="X507" i="1812"/>
  <c r="L137" i="1811"/>
  <c r="AI560" i="1812"/>
  <c r="W167" i="1811"/>
  <c r="W187" i="1813" s="1"/>
  <c r="AQ172" i="1811"/>
  <c r="AQ192" i="1813" s="1"/>
  <c r="AB566" i="1812"/>
  <c r="AB567" i="1812" s="1"/>
  <c r="P168" i="1811"/>
  <c r="P188" i="1813" s="1"/>
  <c r="P206" i="1814" s="1"/>
  <c r="P207" i="1814" s="1"/>
  <c r="P211" i="1814" s="1"/>
  <c r="BC566" i="1812"/>
  <c r="BC567" i="1812" s="1"/>
  <c r="AR168" i="1811"/>
  <c r="AR188" i="1813" s="1"/>
  <c r="BE524" i="1812"/>
  <c r="Y544" i="1812"/>
  <c r="M175" i="1811"/>
  <c r="AR191" i="1811"/>
  <c r="AR211" i="1813" s="1"/>
  <c r="U544" i="1812"/>
  <c r="I176" i="1811"/>
  <c r="AC544" i="1812"/>
  <c r="Q176" i="1811"/>
  <c r="BG535" i="1812"/>
  <c r="W184" i="1811"/>
  <c r="W204" i="1813" s="1"/>
  <c r="V618" i="1812"/>
  <c r="J109" i="1811"/>
  <c r="T626" i="1812"/>
  <c r="T636" i="1812" s="1"/>
  <c r="AD634" i="1812"/>
  <c r="R125" i="1811"/>
  <c r="Q153" i="1812"/>
  <c r="E57" i="1811"/>
  <c r="E59" i="1813" s="1"/>
  <c r="AC27" i="1812"/>
  <c r="AB97" i="1812"/>
  <c r="Q174" i="1812"/>
  <c r="Q173" i="1812" s="1"/>
  <c r="Q190" i="1812" s="1"/>
  <c r="V150" i="1812"/>
  <c r="V186" i="1812" s="1"/>
  <c r="V115" i="1812" s="1"/>
  <c r="J58" i="1811"/>
  <c r="BD571" i="1812"/>
  <c r="AD113" i="1812"/>
  <c r="AD649" i="1812" s="1"/>
  <c r="AB9" i="1812"/>
  <c r="AB643" i="1812"/>
  <c r="AJ27" i="1812"/>
  <c r="BG27" i="1812" s="1"/>
  <c r="BG28" i="1812" s="1"/>
  <c r="AM26" i="1812" s="1"/>
  <c r="AM28" i="1812" s="1"/>
  <c r="AE79" i="1812"/>
  <c r="Y79" i="1812"/>
  <c r="AJ79" i="1812"/>
  <c r="F36" i="1814"/>
  <c r="F38" i="1814" s="1"/>
  <c r="S174" i="1812"/>
  <c r="S173" i="1812" s="1"/>
  <c r="S190" i="1812" s="1"/>
  <c r="Y153" i="1812"/>
  <c r="M57" i="1811"/>
  <c r="M59" i="1813" s="1"/>
  <c r="AJ153" i="1812"/>
  <c r="X73" i="1811" s="1"/>
  <c r="X75" i="1813" s="1"/>
  <c r="X57" i="1811"/>
  <c r="X59" i="1813" s="1"/>
  <c r="AH210" i="1812"/>
  <c r="V73" i="1811"/>
  <c r="V75" i="1813" s="1"/>
  <c r="R390" i="1812"/>
  <c r="Z390" i="1812"/>
  <c r="BC384" i="1812"/>
  <c r="BC480" i="1812"/>
  <c r="Z365" i="1812"/>
  <c r="N187" i="1811"/>
  <c r="Y507" i="1812"/>
  <c r="M137" i="1811"/>
  <c r="BH494" i="1812"/>
  <c r="BE507" i="1812"/>
  <c r="AT150" i="1811"/>
  <c r="BG505" i="1812"/>
  <c r="U164" i="1811"/>
  <c r="U184" i="1813" s="1"/>
  <c r="U111" i="1814" s="1"/>
  <c r="X161" i="1811"/>
  <c r="X181" i="1813" s="1"/>
  <c r="AJ560" i="1812"/>
  <c r="X167" i="1811"/>
  <c r="X187" i="1813" s="1"/>
  <c r="BC560" i="1812"/>
  <c r="AR167" i="1811"/>
  <c r="AR187" i="1813" s="1"/>
  <c r="AC566" i="1812"/>
  <c r="AC577" i="1812" s="1"/>
  <c r="Q168" i="1811"/>
  <c r="Q188" i="1813" s="1"/>
  <c r="Q206" i="1814" s="1"/>
  <c r="Q207" i="1814" s="1"/>
  <c r="BD566" i="1812"/>
  <c r="BD567" i="1812" s="1"/>
  <c r="AS168" i="1811"/>
  <c r="AS188" i="1813" s="1"/>
  <c r="O191" i="1811"/>
  <c r="O211" i="1813" s="1"/>
  <c r="AS191" i="1811"/>
  <c r="AS211" i="1813" s="1"/>
  <c r="BG536" i="1812"/>
  <c r="X185" i="1811"/>
  <c r="X205" i="1813" s="1"/>
  <c r="BG546" i="1812"/>
  <c r="R98" i="1811"/>
  <c r="Z607" i="1812"/>
  <c r="N99" i="1811"/>
  <c r="N119" i="1813" s="1"/>
  <c r="Z618" i="1812"/>
  <c r="N109" i="1811"/>
  <c r="AH634" i="1812"/>
  <c r="V125" i="1811"/>
  <c r="Z7" i="1812"/>
  <c r="N34" i="1811"/>
  <c r="BC104" i="1812"/>
  <c r="AD7" i="1812"/>
  <c r="R34" i="1811"/>
  <c r="AE29" i="1812"/>
  <c r="AE32" i="1812" s="1"/>
  <c r="AH170" i="1812"/>
  <c r="AH168" i="1812" s="1"/>
  <c r="AH201" i="1812" s="1"/>
  <c r="V26" i="1811"/>
  <c r="V28" i="1813" s="1"/>
  <c r="V18" i="1812"/>
  <c r="J34" i="1811"/>
  <c r="AA79" i="1812"/>
  <c r="BC79" i="1812"/>
  <c r="BF97" i="1812"/>
  <c r="AJ104" i="1812"/>
  <c r="Q183" i="1812"/>
  <c r="Q112" i="1812" s="1"/>
  <c r="R184" i="1812"/>
  <c r="R113" i="1812" s="1"/>
  <c r="R649" i="1812" s="1"/>
  <c r="T138" i="1812"/>
  <c r="H56" i="1811" s="1"/>
  <c r="H27" i="1811" s="1"/>
  <c r="H26" i="1811" s="1"/>
  <c r="H28" i="1813" s="1"/>
  <c r="AA153" i="1812"/>
  <c r="O57" i="1811"/>
  <c r="O59" i="1813" s="1"/>
  <c r="BB210" i="1812"/>
  <c r="AQ73" i="1811"/>
  <c r="AQ75" i="1813" s="1"/>
  <c r="U169" i="1812"/>
  <c r="U202" i="1812" s="1"/>
  <c r="S390" i="1812"/>
  <c r="AD253" i="1812"/>
  <c r="AD265" i="1812" s="1"/>
  <c r="Z276" i="1812"/>
  <c r="AD318" i="1812"/>
  <c r="V365" i="1812"/>
  <c r="AG480" i="1812"/>
  <c r="BG495" i="1812"/>
  <c r="X143" i="1811"/>
  <c r="X163" i="1813" s="1"/>
  <c r="BG498" i="1812"/>
  <c r="BG501" i="1812"/>
  <c r="AA560" i="1812"/>
  <c r="O167" i="1811"/>
  <c r="O187" i="1813" s="1"/>
  <c r="BD560" i="1812"/>
  <c r="AS167" i="1811"/>
  <c r="AS187" i="1813" s="1"/>
  <c r="AE566" i="1812"/>
  <c r="AE567" i="1812" s="1"/>
  <c r="S168" i="1811"/>
  <c r="S188" i="1813" s="1"/>
  <c r="S206" i="1814" s="1"/>
  <c r="BE577" i="1812"/>
  <c r="BG521" i="1812"/>
  <c r="W169" i="1811"/>
  <c r="W189" i="1813" s="1"/>
  <c r="W116" i="1814" s="1"/>
  <c r="BH523" i="1812"/>
  <c r="BH360" i="1812" s="1"/>
  <c r="AB544" i="1812"/>
  <c r="P175" i="1811"/>
  <c r="BE544" i="1812"/>
  <c r="BG538" i="1812"/>
  <c r="AH598" i="1812"/>
  <c r="V92" i="1811"/>
  <c r="AB608" i="1812"/>
  <c r="BB608" i="1812"/>
  <c r="BB646" i="1812" s="1"/>
  <c r="AD607" i="1812"/>
  <c r="AI626" i="1812"/>
  <c r="AI636" i="1812" s="1"/>
  <c r="V625" i="1812"/>
  <c r="J117" i="1811"/>
  <c r="J137" i="1813" s="1"/>
  <c r="J105" i="1814" s="1"/>
  <c r="J107" i="1814" s="1"/>
  <c r="AH625" i="1812"/>
  <c r="Z23" i="1812"/>
  <c r="N40" i="1811"/>
  <c r="X384" i="1812"/>
  <c r="AF384" i="1812"/>
  <c r="V544" i="1812"/>
  <c r="J175" i="1811"/>
  <c r="BG494" i="1812"/>
  <c r="W142" i="1811"/>
  <c r="W162" i="1813" s="1"/>
  <c r="AB560" i="1812"/>
  <c r="P167" i="1811"/>
  <c r="P187" i="1813" s="1"/>
  <c r="AF566" i="1812"/>
  <c r="AF567" i="1812" s="1"/>
  <c r="T168" i="1811"/>
  <c r="BG534" i="1812"/>
  <c r="W179" i="1811"/>
  <c r="W199" i="1813" s="1"/>
  <c r="W114" i="1814" s="1"/>
  <c r="BG540" i="1812"/>
  <c r="W182" i="1811"/>
  <c r="W202" i="1813" s="1"/>
  <c r="BD544" i="1812"/>
  <c r="AH607" i="1812"/>
  <c r="V99" i="1811"/>
  <c r="V119" i="1813" s="1"/>
  <c r="Z625" i="1812"/>
  <c r="T180" i="1812"/>
  <c r="T181" i="1812" s="1"/>
  <c r="AG97" i="1812"/>
  <c r="AI112" i="1812"/>
  <c r="AI113" i="1812"/>
  <c r="AI649" i="1812" s="1"/>
  <c r="S183" i="1812"/>
  <c r="S112" i="1812" s="1"/>
  <c r="T184" i="1812"/>
  <c r="T113" i="1812" s="1"/>
  <c r="T649" i="1812" s="1"/>
  <c r="V174" i="1812"/>
  <c r="V173" i="1812" s="1"/>
  <c r="V190" i="1812" s="1"/>
  <c r="R153" i="1812"/>
  <c r="R154" i="1812" s="1"/>
  <c r="F57" i="1811"/>
  <c r="AC153" i="1812"/>
  <c r="Q57" i="1811"/>
  <c r="Q59" i="1813" s="1"/>
  <c r="T210" i="1812"/>
  <c r="H73" i="1811"/>
  <c r="H75" i="1813" s="1"/>
  <c r="AJ181" i="1812"/>
  <c r="AJ185" i="1812" s="1"/>
  <c r="AJ192" i="1812" s="1"/>
  <c r="AJ199" i="1812" s="1"/>
  <c r="AJ203" i="1812" s="1"/>
  <c r="AJ207" i="1812" s="1"/>
  <c r="AC112" i="1812"/>
  <c r="BC112" i="1812"/>
  <c r="BD210" i="1812"/>
  <c r="Z284" i="1812"/>
  <c r="AH318" i="1812"/>
  <c r="Y384" i="1812"/>
  <c r="AG384" i="1812"/>
  <c r="BF384" i="1812"/>
  <c r="Z353" i="1812"/>
  <c r="N157" i="1811"/>
  <c r="Z360" i="1812"/>
  <c r="N170" i="1811"/>
  <c r="N190" i="1813" s="1"/>
  <c r="N116" i="1814" s="1"/>
  <c r="Y480" i="1812"/>
  <c r="AA480" i="1812"/>
  <c r="BB480" i="1812"/>
  <c r="BB483" i="1812" s="1"/>
  <c r="S482" i="1812" s="1"/>
  <c r="T482" i="1812" s="1"/>
  <c r="U482" i="1812" s="1"/>
  <c r="V482" i="1812" s="1"/>
  <c r="BC482" i="1812" s="1"/>
  <c r="S507" i="1812"/>
  <c r="S352" i="1812" s="1"/>
  <c r="AC507" i="1812"/>
  <c r="AC352" i="1812" s="1"/>
  <c r="Q137" i="1811"/>
  <c r="BD507" i="1812"/>
  <c r="BD516" i="1812" s="1"/>
  <c r="AS137" i="1811"/>
  <c r="BG497" i="1812"/>
  <c r="BG499" i="1812"/>
  <c r="X147" i="1811"/>
  <c r="X167" i="1813" s="1"/>
  <c r="BG503" i="1812"/>
  <c r="W151" i="1811"/>
  <c r="W171" i="1813" s="1"/>
  <c r="O164" i="1811"/>
  <c r="O184" i="1813" s="1"/>
  <c r="O111" i="1814" s="1"/>
  <c r="AQ164" i="1811"/>
  <c r="AQ184" i="1813" s="1"/>
  <c r="AG111" i="1814" s="1"/>
  <c r="T524" i="1812"/>
  <c r="AC524" i="1812"/>
  <c r="Q167" i="1811"/>
  <c r="Q187" i="1813" s="1"/>
  <c r="AG566" i="1812"/>
  <c r="AG567" i="1812" s="1"/>
  <c r="U168" i="1811"/>
  <c r="S191" i="1811"/>
  <c r="S211" i="1813" s="1"/>
  <c r="BG539" i="1812"/>
  <c r="X188" i="1811"/>
  <c r="X208" i="1813" s="1"/>
  <c r="BG542" i="1812"/>
  <c r="T608" i="1812"/>
  <c r="AD598" i="1812"/>
  <c r="AD618" i="1812"/>
  <c r="R113" i="1811"/>
  <c r="AD625" i="1812"/>
  <c r="R117" i="1811"/>
  <c r="R137" i="1813" s="1"/>
  <c r="R105" i="1814" s="1"/>
  <c r="R625" i="1812"/>
  <c r="R183" i="1812"/>
  <c r="R112" i="1812" s="1"/>
  <c r="S184" i="1812"/>
  <c r="S113" i="1812" s="1"/>
  <c r="S649" i="1812" s="1"/>
  <c r="U174" i="1812"/>
  <c r="U173" i="1812" s="1"/>
  <c r="U190" i="1812" s="1"/>
  <c r="I13" i="1811"/>
  <c r="I15" i="1811" s="1"/>
  <c r="AI9" i="1812"/>
  <c r="AD23" i="1812"/>
  <c r="R40" i="1811"/>
  <c r="AC70" i="1812"/>
  <c r="AH18" i="1812"/>
  <c r="V34" i="1811"/>
  <c r="T23" i="1812"/>
  <c r="AH23" i="1812"/>
  <c r="V40" i="1811"/>
  <c r="BF29" i="1812"/>
  <c r="AE70" i="1812"/>
  <c r="BF79" i="1812"/>
  <c r="AI97" i="1812"/>
  <c r="AC104" i="1812"/>
  <c r="X180" i="1812"/>
  <c r="X108" i="1812" s="1"/>
  <c r="X109" i="1812" s="1"/>
  <c r="L10" i="1811"/>
  <c r="T183" i="1812"/>
  <c r="T112" i="1812" s="1"/>
  <c r="X184" i="1812"/>
  <c r="X113" i="1812" s="1"/>
  <c r="X649" i="1812" s="1"/>
  <c r="L12" i="1811"/>
  <c r="L13" i="1813" s="1"/>
  <c r="L161" i="1814" s="1"/>
  <c r="X174" i="1812"/>
  <c r="X173" i="1812" s="1"/>
  <c r="X190" i="1812" s="1"/>
  <c r="L13" i="1811"/>
  <c r="L14" i="1813" s="1"/>
  <c r="S153" i="1812"/>
  <c r="G57" i="1811"/>
  <c r="G59" i="1813" s="1"/>
  <c r="AE153" i="1812"/>
  <c r="S57" i="1811"/>
  <c r="S59" i="1813" s="1"/>
  <c r="V210" i="1812"/>
  <c r="J73" i="1811"/>
  <c r="J75" i="1813" s="1"/>
  <c r="AD112" i="1812"/>
  <c r="BD112" i="1812"/>
  <c r="BD390" i="1812"/>
  <c r="Z249" i="1812"/>
  <c r="BE384" i="1812"/>
  <c r="Z566" i="1812"/>
  <c r="N168" i="1811"/>
  <c r="N188" i="1813" s="1"/>
  <c r="R191" i="1811"/>
  <c r="R211" i="1813" s="1"/>
  <c r="P164" i="1811"/>
  <c r="P184" i="1813" s="1"/>
  <c r="P111" i="1814" s="1"/>
  <c r="AR164" i="1811"/>
  <c r="AR184" i="1813" s="1"/>
  <c r="AH111" i="1814" s="1"/>
  <c r="I172" i="1811"/>
  <c r="I192" i="1813" s="1"/>
  <c r="AE560" i="1812"/>
  <c r="S167" i="1811"/>
  <c r="S187" i="1813" s="1"/>
  <c r="BG520" i="1812"/>
  <c r="W168" i="1811"/>
  <c r="W188" i="1813" s="1"/>
  <c r="W206" i="1814" s="1"/>
  <c r="W207" i="1814" s="1"/>
  <c r="W211" i="1814" s="1"/>
  <c r="AF544" i="1812"/>
  <c r="T175" i="1811"/>
  <c r="BG528" i="1812"/>
  <c r="W180" i="1811"/>
  <c r="W200" i="1813" s="1"/>
  <c r="BG533" i="1812"/>
  <c r="W183" i="1811"/>
  <c r="W203" i="1813" s="1"/>
  <c r="R598" i="1812"/>
  <c r="F97" i="1811"/>
  <c r="AE608" i="1812"/>
  <c r="BC626" i="1812"/>
  <c r="BC636" i="1812" s="1"/>
  <c r="R634" i="1812"/>
  <c r="F125" i="1811"/>
  <c r="BF238" i="1812"/>
  <c r="U181" i="1812"/>
  <c r="U185" i="1812" s="1"/>
  <c r="U114" i="1812" s="1"/>
  <c r="V9" i="1812"/>
  <c r="AD9" i="1812"/>
  <c r="BD9" i="1812"/>
  <c r="AB79" i="1812"/>
  <c r="BD79" i="1812"/>
  <c r="BB112" i="1812"/>
  <c r="BC113" i="1812"/>
  <c r="BC649" i="1812" s="1"/>
  <c r="W181" i="1812"/>
  <c r="W185" i="1812" s="1"/>
  <c r="W114" i="1812" s="1"/>
  <c r="AG113" i="1812"/>
  <c r="AG649" i="1812" s="1"/>
  <c r="BF113" i="1812"/>
  <c r="BF649" i="1812" s="1"/>
  <c r="AC181" i="1812"/>
  <c r="AC185" i="1812" s="1"/>
  <c r="AC114" i="1812" s="1"/>
  <c r="AJ113" i="1812"/>
  <c r="AJ649" i="1812" s="1"/>
  <c r="AC9" i="1812"/>
  <c r="BC9" i="1812"/>
  <c r="AC79" i="1812"/>
  <c r="AI104" i="1812"/>
  <c r="U108" i="1812"/>
  <c r="U109" i="1812" s="1"/>
  <c r="AC108" i="1812"/>
  <c r="AC109" i="1812" s="1"/>
  <c r="BC108" i="1812"/>
  <c r="AC113" i="1812"/>
  <c r="AC649" i="1812" s="1"/>
  <c r="BF181" i="1812"/>
  <c r="BF185" i="1812" s="1"/>
  <c r="BF114" i="1812" s="1"/>
  <c r="AD181" i="1812"/>
  <c r="AD185" i="1812" s="1"/>
  <c r="AA113" i="1812"/>
  <c r="AA649" i="1812" s="1"/>
  <c r="U9" i="1812"/>
  <c r="BB113" i="1812"/>
  <c r="BB649" i="1812" s="1"/>
  <c r="Y9" i="1812"/>
  <c r="BB643" i="1812"/>
  <c r="AD108" i="1812"/>
  <c r="AD109" i="1812" s="1"/>
  <c r="Y113" i="1812"/>
  <c r="Y649" i="1812" s="1"/>
  <c r="AH197" i="1812"/>
  <c r="R180" i="1812"/>
  <c r="R108" i="1812" s="1"/>
  <c r="R109" i="1812" s="1"/>
  <c r="BE79" i="1812"/>
  <c r="BC643" i="1812"/>
  <c r="AC643" i="1812"/>
  <c r="AA70" i="1812"/>
  <c r="BC70" i="1812"/>
  <c r="AG70" i="1812"/>
  <c r="Y97" i="1812"/>
  <c r="AJ97" i="1812"/>
  <c r="BE104" i="1812"/>
  <c r="BG197" i="1812"/>
  <c r="S169" i="1812"/>
  <c r="S202" i="1812" s="1"/>
  <c r="AA168" i="1812"/>
  <c r="AA201" i="1812" s="1"/>
  <c r="AF168" i="1812"/>
  <c r="AF201" i="1812" s="1"/>
  <c r="BG191" i="1812"/>
  <c r="Y104" i="1812"/>
  <c r="V169" i="1812"/>
  <c r="V202" i="1812" s="1"/>
  <c r="AD173" i="1812"/>
  <c r="AD190" i="1812" s="1"/>
  <c r="AD565" i="1812" s="1"/>
  <c r="T169" i="1812"/>
  <c r="T202" i="1812" s="1"/>
  <c r="Q184" i="1812"/>
  <c r="Q113" i="1812" s="1"/>
  <c r="Q169" i="1812"/>
  <c r="Q202" i="1812" s="1"/>
  <c r="Y169" i="1812"/>
  <c r="Y202" i="1812" s="1"/>
  <c r="Z138" i="1812"/>
  <c r="N56" i="1811" s="1"/>
  <c r="Z135" i="1812"/>
  <c r="AN32" i="1812"/>
  <c r="AK30" i="1812"/>
  <c r="AL26" i="1812"/>
  <c r="AL28" i="1812" s="1"/>
  <c r="AK29" i="1812"/>
  <c r="C5" i="1812"/>
  <c r="D5" i="1812" s="1"/>
  <c r="E5" i="1812" s="1"/>
  <c r="F5" i="1812" s="1"/>
  <c r="AY5" i="1812"/>
  <c r="AA135" i="1812"/>
  <c r="AA138" i="1812"/>
  <c r="O56" i="1811" s="1"/>
  <c r="O58" i="1813" s="1"/>
  <c r="AJ138" i="1812"/>
  <c r="X56" i="1811" s="1"/>
  <c r="X58" i="1813" s="1"/>
  <c r="AJ135" i="1812"/>
  <c r="AB138" i="1812"/>
  <c r="P56" i="1811" s="1"/>
  <c r="AB135" i="1812"/>
  <c r="BB135" i="1812"/>
  <c r="BB152" i="1812"/>
  <c r="BB138" i="1812"/>
  <c r="AC135" i="1812"/>
  <c r="AC138" i="1812"/>
  <c r="Q56" i="1811" s="1"/>
  <c r="Q58" i="1813" s="1"/>
  <c r="Z18" i="1812"/>
  <c r="Z643" i="1812" s="1"/>
  <c r="BE138" i="1812"/>
  <c r="BE390" i="1812"/>
  <c r="AB272" i="1812"/>
  <c r="AA276" i="1812"/>
  <c r="AS745" i="1812"/>
  <c r="AH7" i="1812"/>
  <c r="BE27" i="1812"/>
  <c r="BF138" i="1812"/>
  <c r="BF135" i="1812"/>
  <c r="AC575" i="1812"/>
  <c r="AC559" i="1812"/>
  <c r="AC561" i="1812" s="1"/>
  <c r="AF237" i="1812"/>
  <c r="AR735" i="1812"/>
  <c r="AR733" i="1812"/>
  <c r="AR731" i="1812" s="1"/>
  <c r="AR726" i="1812"/>
  <c r="AR724" i="1812" s="1"/>
  <c r="AR728" i="1812"/>
  <c r="AR721" i="1812"/>
  <c r="AR719" i="1812"/>
  <c r="AR717" i="1812" s="1"/>
  <c r="AF29" i="1812"/>
  <c r="AF32" i="1812" s="1"/>
  <c r="AF33" i="1812" s="1"/>
  <c r="BD32" i="1812"/>
  <c r="Y138" i="1812"/>
  <c r="M56" i="1811" s="1"/>
  <c r="M58" i="1813" s="1"/>
  <c r="Y135" i="1812"/>
  <c r="BC154" i="1812"/>
  <c r="BC210" i="1812"/>
  <c r="AF238" i="1812"/>
  <c r="AI135" i="1812"/>
  <c r="AI138" i="1812"/>
  <c r="W56" i="1811" s="1"/>
  <c r="W58" i="1813" s="1"/>
  <c r="AD18" i="1812"/>
  <c r="AD643" i="1812" s="1"/>
  <c r="V21" i="1812"/>
  <c r="Y29" i="1812"/>
  <c r="Y32" i="1812" s="1"/>
  <c r="AC33" i="1812" s="1"/>
  <c r="AG29" i="1812"/>
  <c r="AG32" i="1812" s="1"/>
  <c r="BE32" i="1812"/>
  <c r="Q180" i="1812"/>
  <c r="Q108" i="1812" s="1"/>
  <c r="Q109" i="1812" s="1"/>
  <c r="AC168" i="1812"/>
  <c r="AC201" i="1812" s="1"/>
  <c r="AC202" i="1812"/>
  <c r="AI565" i="1812"/>
  <c r="Z583" i="1812"/>
  <c r="Z580" i="1812"/>
  <c r="Z582" i="1812"/>
  <c r="Z581" i="1812"/>
  <c r="Z181" i="1812"/>
  <c r="Z185" i="1812" s="1"/>
  <c r="AH264" i="1812"/>
  <c r="AH194" i="1812"/>
  <c r="AH386" i="1812" s="1"/>
  <c r="AH140" i="1812"/>
  <c r="V58" i="1811" s="1"/>
  <c r="V60" i="1813" s="1"/>
  <c r="BD575" i="1812"/>
  <c r="BD559" i="1812"/>
  <c r="BD570" i="1812" s="1"/>
  <c r="Z29" i="1812"/>
  <c r="Z32" i="1812" s="1"/>
  <c r="AD33" i="1812" s="1"/>
  <c r="AH29" i="1812"/>
  <c r="AH32" i="1812" s="1"/>
  <c r="BF32" i="1812"/>
  <c r="AD138" i="1812"/>
  <c r="R56" i="1811" s="1"/>
  <c r="BD138" i="1812"/>
  <c r="AS56" i="1811" s="1"/>
  <c r="BD135" i="1812"/>
  <c r="AF138" i="1812"/>
  <c r="T56" i="1811" s="1"/>
  <c r="T58" i="1813" s="1"/>
  <c r="AF135" i="1812"/>
  <c r="Z559" i="1812"/>
  <c r="AC390" i="1812"/>
  <c r="AO615" i="1812"/>
  <c r="AN383" i="1812"/>
  <c r="AA29" i="1812"/>
  <c r="AA32" i="1812" s="1"/>
  <c r="AI29" i="1812"/>
  <c r="AI32" i="1812" s="1"/>
  <c r="BE29" i="1812"/>
  <c r="S180" i="1812"/>
  <c r="S108" i="1812" s="1"/>
  <c r="W138" i="1812"/>
  <c r="K56" i="1811" s="1"/>
  <c r="K58" i="1813" s="1"/>
  <c r="W135" i="1812"/>
  <c r="AE138" i="1812"/>
  <c r="S56" i="1811" s="1"/>
  <c r="S58" i="1813" s="1"/>
  <c r="AE135" i="1812"/>
  <c r="AG138" i="1812"/>
  <c r="U56" i="1811" s="1"/>
  <c r="U58" i="1813" s="1"/>
  <c r="AG135" i="1812"/>
  <c r="AD559" i="1812"/>
  <c r="AD390" i="1812"/>
  <c r="AE558" i="1812"/>
  <c r="BF558" i="1812"/>
  <c r="B766" i="1812"/>
  <c r="X121" i="1812"/>
  <c r="X126" i="1812" s="1"/>
  <c r="X131" i="1812" s="1"/>
  <c r="X133" i="1812" s="1"/>
  <c r="V154" i="1812"/>
  <c r="AH559" i="1812"/>
  <c r="AC237" i="1812"/>
  <c r="AC238" i="1812"/>
  <c r="U150" i="1812"/>
  <c r="U186" i="1812" s="1"/>
  <c r="X582" i="1812"/>
  <c r="X583" i="1812"/>
  <c r="X581" i="1812"/>
  <c r="X580" i="1812"/>
  <c r="AF582" i="1812"/>
  <c r="AF583" i="1812"/>
  <c r="AF581" i="1812"/>
  <c r="AF580" i="1812"/>
  <c r="AA575" i="1812"/>
  <c r="AA559" i="1812"/>
  <c r="AI575" i="1812"/>
  <c r="AI559" i="1812"/>
  <c r="BB575" i="1812"/>
  <c r="AB390" i="1812"/>
  <c r="AJ390" i="1812"/>
  <c r="A709" i="1812"/>
  <c r="AI238" i="1812"/>
  <c r="Z255" i="1812"/>
  <c r="AH254" i="1812"/>
  <c r="AH266" i="1812" s="1"/>
  <c r="R174" i="1812"/>
  <c r="R173" i="1812" s="1"/>
  <c r="R190" i="1812" s="1"/>
  <c r="Y582" i="1812"/>
  <c r="Y583" i="1812"/>
  <c r="Y580" i="1812"/>
  <c r="Y581" i="1812"/>
  <c r="AG582" i="1812"/>
  <c r="AG583" i="1812"/>
  <c r="AG580" i="1812"/>
  <c r="AG581" i="1812"/>
  <c r="BC186" i="1812"/>
  <c r="AB575" i="1812"/>
  <c r="AB559" i="1812"/>
  <c r="AJ575" i="1812"/>
  <c r="AJ559" i="1812"/>
  <c r="BC575" i="1812"/>
  <c r="BC559" i="1812"/>
  <c r="BC570" i="1812" s="1"/>
  <c r="AD264" i="1812"/>
  <c r="T174" i="1812"/>
  <c r="T173" i="1812" s="1"/>
  <c r="T190" i="1812" s="1"/>
  <c r="AA583" i="1812"/>
  <c r="AA580" i="1812"/>
  <c r="AA581" i="1812"/>
  <c r="AA582" i="1812"/>
  <c r="BB583" i="1812"/>
  <c r="BB580" i="1812"/>
  <c r="BB581" i="1812"/>
  <c r="BB582" i="1812"/>
  <c r="BE559" i="1812"/>
  <c r="BE575" i="1812"/>
  <c r="AE390" i="1812"/>
  <c r="AH121" i="1812"/>
  <c r="AH126" i="1812" s="1"/>
  <c r="AH131" i="1812" s="1"/>
  <c r="AH133" i="1812" s="1"/>
  <c r="AH138" i="1812" s="1"/>
  <c r="V56" i="1811" s="1"/>
  <c r="V58" i="1813" s="1"/>
  <c r="W169" i="1812"/>
  <c r="W202" i="1812" s="1"/>
  <c r="AB580" i="1812"/>
  <c r="AB581" i="1812"/>
  <c r="AB583" i="1812"/>
  <c r="AB582" i="1812"/>
  <c r="BC580" i="1812"/>
  <c r="BC581" i="1812"/>
  <c r="BC583" i="1812"/>
  <c r="BC582" i="1812"/>
  <c r="AF181" i="1812"/>
  <c r="AF185" i="1812" s="1"/>
  <c r="AE575" i="1812"/>
  <c r="AE559" i="1812"/>
  <c r="BF575" i="1812"/>
  <c r="BF559" i="1812"/>
  <c r="AF390" i="1812"/>
  <c r="AE238" i="1812"/>
  <c r="BE238" i="1812"/>
  <c r="AB245" i="1812"/>
  <c r="AA249" i="1812"/>
  <c r="Z264" i="1812"/>
  <c r="AK621" i="1812"/>
  <c r="AL381" i="1812"/>
  <c r="AL621" i="1812" s="1"/>
  <c r="R150" i="1812"/>
  <c r="R186" i="1812" s="1"/>
  <c r="AB168" i="1812"/>
  <c r="AB201" i="1812" s="1"/>
  <c r="X169" i="1812"/>
  <c r="X202" i="1812" s="1"/>
  <c r="AC580" i="1812"/>
  <c r="AC581" i="1812"/>
  <c r="AC582" i="1812"/>
  <c r="AC583" i="1812"/>
  <c r="BD580" i="1812"/>
  <c r="BD581" i="1812"/>
  <c r="BD582" i="1812"/>
  <c r="BD583" i="1812"/>
  <c r="Y181" i="1812"/>
  <c r="Y185" i="1812" s="1"/>
  <c r="AG181" i="1812"/>
  <c r="AG185" i="1812" s="1"/>
  <c r="AF575" i="1812"/>
  <c r="AF559" i="1812"/>
  <c r="Y390" i="1812"/>
  <c r="AG390" i="1812"/>
  <c r="Z232" i="1812"/>
  <c r="AA237" i="1812" s="1"/>
  <c r="V507" i="1812"/>
  <c r="V581" i="1812"/>
  <c r="V586" i="1812" s="1"/>
  <c r="V582" i="1812"/>
  <c r="V587" i="1812" s="1"/>
  <c r="V583" i="1812"/>
  <c r="V588" i="1812" s="1"/>
  <c r="V580" i="1812"/>
  <c r="V585" i="1812" s="1"/>
  <c r="AD581" i="1812"/>
  <c r="AD582" i="1812"/>
  <c r="AD580" i="1812"/>
  <c r="AD583" i="1812"/>
  <c r="BE581" i="1812"/>
  <c r="BE582" i="1812"/>
  <c r="BE580" i="1812"/>
  <c r="BE583" i="1812"/>
  <c r="Y575" i="1812"/>
  <c r="Y559" i="1812"/>
  <c r="AG575" i="1812"/>
  <c r="AG559" i="1812"/>
  <c r="Z266" i="1812"/>
  <c r="Y326" i="1812"/>
  <c r="Y327" i="1812" s="1"/>
  <c r="AH330" i="1812"/>
  <c r="AH331" i="1812" s="1"/>
  <c r="BD278" i="1812"/>
  <c r="BD282" i="1812" s="1"/>
  <c r="AD330" i="1812"/>
  <c r="AD331" i="1812" s="1"/>
  <c r="AI353" i="1812"/>
  <c r="AE581" i="1812"/>
  <c r="AE582" i="1812"/>
  <c r="AE583" i="1812"/>
  <c r="AE580" i="1812"/>
  <c r="BF581" i="1812"/>
  <c r="BF582" i="1812"/>
  <c r="BF583" i="1812"/>
  <c r="BF580" i="1812"/>
  <c r="AA181" i="1812"/>
  <c r="AA185" i="1812" s="1"/>
  <c r="AI181" i="1812"/>
  <c r="AI185" i="1812" s="1"/>
  <c r="BB181" i="1812"/>
  <c r="BB185" i="1812" s="1"/>
  <c r="AA390" i="1812"/>
  <c r="AI390" i="1812"/>
  <c r="AG237" i="1812"/>
  <c r="AG238" i="1812"/>
  <c r="V520" i="1812"/>
  <c r="V524" i="1812" s="1"/>
  <c r="V457" i="1812"/>
  <c r="Z544" i="1812"/>
  <c r="Z366" i="1812"/>
  <c r="AL382" i="1812"/>
  <c r="AH457" i="1812"/>
  <c r="X480" i="1812"/>
  <c r="AI480" i="1812"/>
  <c r="AA299" i="1812"/>
  <c r="AD308" i="1812"/>
  <c r="AD320" i="1812" s="1"/>
  <c r="U384" i="1812"/>
  <c r="AC384" i="1812"/>
  <c r="AJ384" i="1812"/>
  <c r="AH440" i="1812"/>
  <c r="AH449" i="1812" s="1"/>
  <c r="R477" i="1812"/>
  <c r="AJ480" i="1812"/>
  <c r="AB507" i="1812"/>
  <c r="BC507" i="1812"/>
  <c r="BG496" i="1812"/>
  <c r="W384" i="1812"/>
  <c r="AE384" i="1812"/>
  <c r="AB480" i="1812"/>
  <c r="T507" i="1812"/>
  <c r="AE507" i="1812"/>
  <c r="Z560" i="1812"/>
  <c r="Z524" i="1812"/>
  <c r="AK380" i="1812"/>
  <c r="AK614" i="1812" s="1"/>
  <c r="AK515" i="1812" s="1"/>
  <c r="BD480" i="1812"/>
  <c r="R440" i="1812"/>
  <c r="R449" i="1812" s="1"/>
  <c r="T480" i="1812"/>
  <c r="AE480" i="1812"/>
  <c r="BE480" i="1812"/>
  <c r="AG507" i="1812"/>
  <c r="Z457" i="1812"/>
  <c r="U480" i="1812"/>
  <c r="AF480" i="1812"/>
  <c r="BD384" i="1812"/>
  <c r="Z507" i="1812"/>
  <c r="BF480" i="1812"/>
  <c r="W480" i="1812"/>
  <c r="AJ507" i="1812"/>
  <c r="BG500" i="1812"/>
  <c r="BG504" i="1812"/>
  <c r="V440" i="1812"/>
  <c r="V449" i="1812" s="1"/>
  <c r="AD440" i="1812"/>
  <c r="AD449" i="1812" s="1"/>
  <c r="AD544" i="1812"/>
  <c r="AH490" i="1812"/>
  <c r="T544" i="1812"/>
  <c r="BG541" i="1812"/>
  <c r="AD457" i="1812"/>
  <c r="Z477" i="1812"/>
  <c r="AH477" i="1812"/>
  <c r="AH519" i="1812"/>
  <c r="V167" i="1811" s="1"/>
  <c r="V187" i="1813" s="1"/>
  <c r="AP648" i="1812"/>
  <c r="AP524" i="1812"/>
  <c r="AE544" i="1812"/>
  <c r="X544" i="1812"/>
  <c r="Z440" i="1812"/>
  <c r="Z449" i="1812" s="1"/>
  <c r="V477" i="1812"/>
  <c r="AD477" i="1812"/>
  <c r="AI544" i="1812"/>
  <c r="U524" i="1812"/>
  <c r="AA544" i="1812"/>
  <c r="AJ544" i="1812"/>
  <c r="BC544" i="1812"/>
  <c r="AC564" i="1812"/>
  <c r="AK564" i="1812"/>
  <c r="BI597" i="1812"/>
  <c r="BI511" i="1812" s="1"/>
  <c r="AD560" i="1812"/>
  <c r="AA507" i="1812"/>
  <c r="AI507" i="1812"/>
  <c r="BB507" i="1812"/>
  <c r="BI648" i="1812"/>
  <c r="BI524" i="1812"/>
  <c r="S544" i="1812"/>
  <c r="BG519" i="1812"/>
  <c r="AB524" i="1812"/>
  <c r="AJ524" i="1812"/>
  <c r="BC524" i="1812"/>
  <c r="BK524" i="1812"/>
  <c r="BG527" i="1812"/>
  <c r="BH519" i="1812"/>
  <c r="AK524" i="1812"/>
  <c r="BD524" i="1812"/>
  <c r="BH527" i="1812"/>
  <c r="AI566" i="1812"/>
  <c r="AE524" i="1812"/>
  <c r="AM524" i="1812"/>
  <c r="BF524" i="1812"/>
  <c r="BC573" i="1812"/>
  <c r="BF577" i="1812"/>
  <c r="X524" i="1812"/>
  <c r="AF524" i="1812"/>
  <c r="AN524" i="1812"/>
  <c r="BD573" i="1812"/>
  <c r="Y524" i="1812"/>
  <c r="AG524" i="1812"/>
  <c r="AO524" i="1812"/>
  <c r="AF560" i="1812"/>
  <c r="BG558" i="1812"/>
  <c r="Y560" i="1812"/>
  <c r="AG560" i="1812"/>
  <c r="S524" i="1812"/>
  <c r="AA524" i="1812"/>
  <c r="AI524" i="1812"/>
  <c r="BB524" i="1812"/>
  <c r="BJ524" i="1812"/>
  <c r="AF558" i="1812"/>
  <c r="BE608" i="1812"/>
  <c r="AF636" i="1812"/>
  <c r="X608" i="1812"/>
  <c r="AF608" i="1812"/>
  <c r="BG629" i="1812"/>
  <c r="K9" i="1711"/>
  <c r="L9" i="1711" s="1"/>
  <c r="M9" i="1711" s="1"/>
  <c r="N9" i="1711" s="1"/>
  <c r="O9" i="1711" s="1"/>
  <c r="P9" i="1711" s="1"/>
  <c r="Q9" i="1711" s="1"/>
  <c r="R9" i="1711" s="1"/>
  <c r="S9" i="1711" s="1"/>
  <c r="T9" i="1711" s="1"/>
  <c r="AS734" i="1812"/>
  <c r="AS727" i="1812"/>
  <c r="AS720" i="1812"/>
  <c r="B754" i="1812" l="1"/>
  <c r="B4" i="1812" s="1"/>
  <c r="B3" i="1812" s="1"/>
  <c r="Y25" i="1810"/>
  <c r="Y65" i="1810"/>
  <c r="Y115" i="1810"/>
  <c r="Y11" i="1810"/>
  <c r="Y33" i="1821" s="1"/>
  <c r="Y90" i="1810"/>
  <c r="L162" i="1814"/>
  <c r="L164" i="1814" s="1"/>
  <c r="V162" i="1814"/>
  <c r="V164" i="1814" s="1"/>
  <c r="Y28" i="1814"/>
  <c r="Y30" i="1810" s="1"/>
  <c r="Y60" i="1810"/>
  <c r="P28" i="1814"/>
  <c r="P30" i="1810" s="1"/>
  <c r="Y75" i="1810"/>
  <c r="Y100" i="1810"/>
  <c r="Y15" i="1810"/>
  <c r="AB253" i="1814"/>
  <c r="AB254" i="1814" s="1"/>
  <c r="AA12" i="1814"/>
  <c r="AL114" i="1814"/>
  <c r="AB10" i="1810"/>
  <c r="AB15" i="1810" s="1"/>
  <c r="V126" i="1812"/>
  <c r="V129" i="1812" s="1"/>
  <c r="U53" i="1814"/>
  <c r="T53" i="1814"/>
  <c r="T48" i="1814"/>
  <c r="AC12" i="1814"/>
  <c r="AC20" i="1814"/>
  <c r="Z384" i="1812"/>
  <c r="BG511" i="1812"/>
  <c r="AC228" i="1812"/>
  <c r="AG648" i="1812"/>
  <c r="AM82" i="1814"/>
  <c r="AD384" i="1812"/>
  <c r="L11" i="1813"/>
  <c r="L36" i="1814" s="1"/>
  <c r="L35" i="1810" s="1"/>
  <c r="L15" i="1811"/>
  <c r="AT3" i="1812"/>
  <c r="AT715" i="1812" s="1"/>
  <c r="O75" i="1814"/>
  <c r="O94" i="1814" s="1"/>
  <c r="O103" i="1814" s="1"/>
  <c r="AG76" i="1814"/>
  <c r="AJ105" i="1814"/>
  <c r="R107" i="1814"/>
  <c r="AJ107" i="1814" s="1"/>
  <c r="X75" i="1814"/>
  <c r="X94" i="1814" s="1"/>
  <c r="AB95" i="1814"/>
  <c r="AC84" i="1814"/>
  <c r="AG103" i="1814"/>
  <c r="P75" i="1814"/>
  <c r="AI75" i="1814"/>
  <c r="AI76" i="1814" s="1"/>
  <c r="Q75" i="1814"/>
  <c r="Q94" i="1814" s="1"/>
  <c r="I94" i="1814"/>
  <c r="I76" i="1814"/>
  <c r="S207" i="1814"/>
  <c r="W208" i="1814" s="1"/>
  <c r="Z236" i="1814"/>
  <c r="Z237" i="1814" s="1"/>
  <c r="L94" i="1814"/>
  <c r="L76" i="1814"/>
  <c r="V61" i="1814"/>
  <c r="V100" i="1814" s="1"/>
  <c r="AK100" i="1814" s="1"/>
  <c r="V171" i="1814"/>
  <c r="V180" i="1814" s="1"/>
  <c r="O207" i="1814"/>
  <c r="S75" i="1814"/>
  <c r="N75" i="1814"/>
  <c r="N94" i="1814" s="1"/>
  <c r="Q211" i="1814"/>
  <c r="Q209" i="1814"/>
  <c r="Q210" i="1814"/>
  <c r="W75" i="1814"/>
  <c r="L171" i="1814"/>
  <c r="L181" i="1814" s="1"/>
  <c r="L43" i="1814" s="1"/>
  <c r="AI43" i="1814" s="1"/>
  <c r="L61" i="1814"/>
  <c r="L100" i="1814" s="1"/>
  <c r="AH75" i="1814"/>
  <c r="AH94" i="1814" s="1"/>
  <c r="AH103" i="1814" s="1"/>
  <c r="V75" i="1814"/>
  <c r="V94" i="1814" s="1"/>
  <c r="V41" i="1814"/>
  <c r="V205" i="1814"/>
  <c r="V189" i="1814"/>
  <c r="V194" i="1814"/>
  <c r="W194" i="1814"/>
  <c r="W189" i="1814"/>
  <c r="AK179" i="1814"/>
  <c r="V184" i="1814"/>
  <c r="Y16" i="1814"/>
  <c r="Y13" i="1814"/>
  <c r="Y34" i="1814" s="1"/>
  <c r="Y31" i="1814" s="1"/>
  <c r="P14" i="1814"/>
  <c r="P34" i="1814"/>
  <c r="P31" i="1814" s="1"/>
  <c r="T14" i="1814"/>
  <c r="T34" i="1814"/>
  <c r="T31" i="1814" s="1"/>
  <c r="AA185" i="1814"/>
  <c r="AA42" i="1814"/>
  <c r="AB13" i="1814"/>
  <c r="AB34" i="1814" s="1"/>
  <c r="AB21" i="1814"/>
  <c r="AB36" i="1814"/>
  <c r="AB128" i="1814"/>
  <c r="Y129" i="1814"/>
  <c r="E181" i="1814"/>
  <c r="E43" i="1814" s="1"/>
  <c r="F181" i="1814"/>
  <c r="F43" i="1814" s="1"/>
  <c r="AB124" i="1814"/>
  <c r="AL116" i="1814"/>
  <c r="Y36" i="1814"/>
  <c r="W113" i="1814"/>
  <c r="AL113" i="1814" s="1"/>
  <c r="Y128" i="1814"/>
  <c r="AA20" i="1814"/>
  <c r="AL153" i="1814"/>
  <c r="W136" i="1814"/>
  <c r="W137" i="1814" s="1"/>
  <c r="AA137" i="1814"/>
  <c r="Y143" i="1814"/>
  <c r="Y145" i="1814" s="1"/>
  <c r="Y146" i="1814" s="1"/>
  <c r="Y26" i="1814" s="1"/>
  <c r="AJ116" i="1814"/>
  <c r="AA141" i="1814"/>
  <c r="AA143" i="1814" s="1"/>
  <c r="AA122" i="1814"/>
  <c r="V133" i="1814"/>
  <c r="V135" i="1814" s="1"/>
  <c r="V137" i="1814" s="1"/>
  <c r="V127" i="1814"/>
  <c r="AK121" i="1814"/>
  <c r="R19" i="1814"/>
  <c r="AJ9" i="1814"/>
  <c r="W145" i="1814"/>
  <c r="J10" i="1814"/>
  <c r="J122" i="1814"/>
  <c r="AI116" i="1814"/>
  <c r="AI121" i="1814"/>
  <c r="AK116" i="1814"/>
  <c r="V19" i="1814"/>
  <c r="Z9" i="1814"/>
  <c r="AK9" i="1814"/>
  <c r="R133" i="1814"/>
  <c r="R135" i="1814" s="1"/>
  <c r="R137" i="1814" s="1"/>
  <c r="R138" i="1814" s="1"/>
  <c r="R25" i="1814" s="1"/>
  <c r="R127" i="1814"/>
  <c r="AJ121" i="1814"/>
  <c r="AC127" i="1814"/>
  <c r="AH20" i="1814"/>
  <c r="AI20" i="1814"/>
  <c r="AJ646" i="1812"/>
  <c r="AG652" i="1812"/>
  <c r="BE391" i="1812"/>
  <c r="AI228" i="1812"/>
  <c r="AE646" i="1812"/>
  <c r="BD646" i="1812"/>
  <c r="BF391" i="1812"/>
  <c r="AH384" i="1812"/>
  <c r="AJ638" i="1812"/>
  <c r="R608" i="1812"/>
  <c r="R646" i="1812" s="1"/>
  <c r="AA638" i="1812"/>
  <c r="BC638" i="1812"/>
  <c r="AA646" i="1812"/>
  <c r="AF228" i="1812"/>
  <c r="AI652" i="1812"/>
  <c r="BD648" i="1812"/>
  <c r="W638" i="1812"/>
  <c r="BC394" i="1812"/>
  <c r="Q164" i="1811"/>
  <c r="Q184" i="1813" s="1"/>
  <c r="Q111" i="1814" s="1"/>
  <c r="Q157" i="1813"/>
  <c r="K164" i="1811"/>
  <c r="K184" i="1813" s="1"/>
  <c r="K111" i="1814" s="1"/>
  <c r="K157" i="1813"/>
  <c r="M172" i="1811"/>
  <c r="M192" i="1813" s="1"/>
  <c r="M188" i="1813"/>
  <c r="M75" i="1814" s="1"/>
  <c r="U652" i="1812"/>
  <c r="H68" i="1811"/>
  <c r="H58" i="1813"/>
  <c r="P191" i="1811"/>
  <c r="P211" i="1813" s="1"/>
  <c r="P195" i="1813"/>
  <c r="P113" i="1814" s="1"/>
  <c r="V44" i="1811"/>
  <c r="V47" i="1811" s="1"/>
  <c r="V8" i="1813"/>
  <c r="V49" i="1813" s="1"/>
  <c r="V47" i="1813" s="1"/>
  <c r="BB648" i="1812"/>
  <c r="F130" i="1811"/>
  <c r="F150" i="1813" s="1"/>
  <c r="F145" i="1813"/>
  <c r="T164" i="1811"/>
  <c r="T184" i="1813" s="1"/>
  <c r="T111" i="1814" s="1"/>
  <c r="T157" i="1813"/>
  <c r="AI648" i="1812"/>
  <c r="L164" i="1811"/>
  <c r="L184" i="1813" s="1"/>
  <c r="L111" i="1814" s="1"/>
  <c r="L157" i="1813"/>
  <c r="T652" i="1812"/>
  <c r="R116" i="1811"/>
  <c r="R136" i="1813" s="1"/>
  <c r="R133" i="1813"/>
  <c r="N164" i="1811"/>
  <c r="N184" i="1813" s="1"/>
  <c r="N111" i="1814" s="1"/>
  <c r="N177" i="1813"/>
  <c r="I164" i="1811"/>
  <c r="I184" i="1813" s="1"/>
  <c r="I111" i="1814" s="1"/>
  <c r="I157" i="1813"/>
  <c r="N130" i="1811"/>
  <c r="N150" i="1813" s="1"/>
  <c r="N145" i="1813"/>
  <c r="R36" i="1811"/>
  <c r="R38" i="1813" s="1"/>
  <c r="R36" i="1813"/>
  <c r="J130" i="1811"/>
  <c r="J150" i="1813" s="1"/>
  <c r="J145" i="1813"/>
  <c r="K172" i="1811"/>
  <c r="K192" i="1813" s="1"/>
  <c r="K187" i="1813"/>
  <c r="K75" i="1814" s="1"/>
  <c r="T172" i="1811"/>
  <c r="T192" i="1813" s="1"/>
  <c r="T188" i="1813"/>
  <c r="F98" i="1811"/>
  <c r="F118" i="1813" s="1"/>
  <c r="F117" i="1813"/>
  <c r="M164" i="1811"/>
  <c r="M184" i="1813" s="1"/>
  <c r="M111" i="1814" s="1"/>
  <c r="M157" i="1813"/>
  <c r="N116" i="1811"/>
  <c r="N129" i="1813"/>
  <c r="P68" i="1811"/>
  <c r="P58" i="1813"/>
  <c r="J98" i="1811"/>
  <c r="J117" i="1813"/>
  <c r="AQ191" i="1811"/>
  <c r="AQ211" i="1813" s="1"/>
  <c r="AQ195" i="1813"/>
  <c r="AG113" i="1814" s="1"/>
  <c r="S638" i="1812"/>
  <c r="V98" i="1811"/>
  <c r="V118" i="1813" s="1"/>
  <c r="V112" i="1813"/>
  <c r="R68" i="1811"/>
  <c r="R58" i="1813"/>
  <c r="J68" i="1811"/>
  <c r="J60" i="1813"/>
  <c r="AT745" i="1812"/>
  <c r="J164" i="1811"/>
  <c r="J184" i="1813" s="1"/>
  <c r="J111" i="1814" s="1"/>
  <c r="J179" i="1813"/>
  <c r="T191" i="1811"/>
  <c r="T211" i="1813" s="1"/>
  <c r="T195" i="1813"/>
  <c r="T113" i="1814" s="1"/>
  <c r="N41" i="1811"/>
  <c r="N43" i="1813" s="1"/>
  <c r="N42" i="1813"/>
  <c r="J36" i="1811"/>
  <c r="J38" i="1813" s="1"/>
  <c r="J36" i="1813"/>
  <c r="AT164" i="1811"/>
  <c r="AT184" i="1813" s="1"/>
  <c r="AT170" i="1813"/>
  <c r="N68" i="1811"/>
  <c r="N58" i="1813"/>
  <c r="N191" i="1811"/>
  <c r="N211" i="1813" s="1"/>
  <c r="N207" i="1813"/>
  <c r="V130" i="1811"/>
  <c r="V150" i="1813" s="1"/>
  <c r="V145" i="1813"/>
  <c r="F68" i="1811"/>
  <c r="F59" i="1813"/>
  <c r="AS68" i="1811"/>
  <c r="AS58" i="1813"/>
  <c r="R172" i="1811"/>
  <c r="R192" i="1813" s="1"/>
  <c r="R188" i="1813"/>
  <c r="N98" i="1811"/>
  <c r="N118" i="1813" s="1"/>
  <c r="N117" i="1813"/>
  <c r="Q191" i="1811"/>
  <c r="Q211" i="1813" s="1"/>
  <c r="Q196" i="1813"/>
  <c r="Q113" i="1814" s="1"/>
  <c r="V36" i="1811"/>
  <c r="V38" i="1813" s="1"/>
  <c r="V36" i="1813"/>
  <c r="U191" i="1811"/>
  <c r="U211" i="1813" s="1"/>
  <c r="U195" i="1813"/>
  <c r="U113" i="1814" s="1"/>
  <c r="X652" i="1812"/>
  <c r="R105" i="1811"/>
  <c r="R125" i="1813" s="1"/>
  <c r="R118" i="1813"/>
  <c r="K191" i="1811"/>
  <c r="K211" i="1813" s="1"/>
  <c r="K195" i="1813"/>
  <c r="K113" i="1814" s="1"/>
  <c r="R41" i="1811"/>
  <c r="R43" i="1813" s="1"/>
  <c r="R42" i="1813"/>
  <c r="M191" i="1811"/>
  <c r="M211" i="1813" s="1"/>
  <c r="M195" i="1813"/>
  <c r="M113" i="1814" s="1"/>
  <c r="I68" i="1811"/>
  <c r="I59" i="1813"/>
  <c r="R130" i="1811"/>
  <c r="R150" i="1813" s="1"/>
  <c r="R145" i="1813"/>
  <c r="BF648" i="1812"/>
  <c r="J116" i="1811"/>
  <c r="J136" i="1813" s="1"/>
  <c r="J129" i="1813"/>
  <c r="I191" i="1811"/>
  <c r="I211" i="1813" s="1"/>
  <c r="I196" i="1813"/>
  <c r="I113" i="1814" s="1"/>
  <c r="AS164" i="1811"/>
  <c r="AS184" i="1813" s="1"/>
  <c r="AI111" i="1814" s="1"/>
  <c r="AS157" i="1813"/>
  <c r="V608" i="1812"/>
  <c r="V116" i="1811"/>
  <c r="V134" i="1813"/>
  <c r="F116" i="1811"/>
  <c r="F129" i="1813"/>
  <c r="U172" i="1811"/>
  <c r="U192" i="1813" s="1"/>
  <c r="U188" i="1813"/>
  <c r="N36" i="1811"/>
  <c r="N38" i="1813" s="1"/>
  <c r="N36" i="1813"/>
  <c r="J191" i="1811"/>
  <c r="J211" i="1813" s="1"/>
  <c r="J195" i="1813"/>
  <c r="J113" i="1814" s="1"/>
  <c r="V41" i="1811"/>
  <c r="V43" i="1813" s="1"/>
  <c r="V42" i="1813"/>
  <c r="AD652" i="1812"/>
  <c r="I14" i="1813"/>
  <c r="T68" i="1811"/>
  <c r="X172" i="1811"/>
  <c r="X192" i="1813" s="1"/>
  <c r="O68" i="1811"/>
  <c r="AB638" i="1812"/>
  <c r="R384" i="1812"/>
  <c r="BB652" i="1812"/>
  <c r="AB228" i="1812"/>
  <c r="AD608" i="1812"/>
  <c r="AD648" i="1812"/>
  <c r="AC638" i="1812"/>
  <c r="W354" i="1812"/>
  <c r="W373" i="1812" s="1"/>
  <c r="W374" i="1812" s="1"/>
  <c r="W375" i="1812" s="1"/>
  <c r="W376" i="1812" s="1"/>
  <c r="AE228" i="1812"/>
  <c r="BH509" i="1812"/>
  <c r="AD577" i="1812"/>
  <c r="AH643" i="1812"/>
  <c r="AD228" i="1812"/>
  <c r="AH228" i="1812"/>
  <c r="V384" i="1812"/>
  <c r="AH567" i="1812"/>
  <c r="AI567" i="1812"/>
  <c r="BG513" i="1812"/>
  <c r="AH238" i="1812"/>
  <c r="AE652" i="1812"/>
  <c r="X648" i="1812"/>
  <c r="W652" i="1812"/>
  <c r="AB652" i="1812"/>
  <c r="AC648" i="1812"/>
  <c r="BD652" i="1812"/>
  <c r="AF652" i="1812"/>
  <c r="BG509" i="1812"/>
  <c r="AI646" i="1812"/>
  <c r="U192" i="1812"/>
  <c r="U199" i="1812" s="1"/>
  <c r="U203" i="1812" s="1"/>
  <c r="U642" i="1812" s="1"/>
  <c r="BC648" i="1812"/>
  <c r="AE651" i="1812"/>
  <c r="AC516" i="1812"/>
  <c r="AC547" i="1812" s="1"/>
  <c r="S483" i="1812"/>
  <c r="AS172" i="1811"/>
  <c r="AS192" i="1813" s="1"/>
  <c r="O172" i="1811"/>
  <c r="BH513" i="1812"/>
  <c r="BF414" i="1812"/>
  <c r="BF398" i="1812" s="1"/>
  <c r="BF228" i="1812"/>
  <c r="S516" i="1812"/>
  <c r="S547" i="1812" s="1"/>
  <c r="AI580" i="1812"/>
  <c r="AI585" i="1812" s="1"/>
  <c r="AG646" i="1812"/>
  <c r="AB648" i="1812"/>
  <c r="AJ210" i="1812"/>
  <c r="AI581" i="1812"/>
  <c r="AM581" i="1812" s="1"/>
  <c r="BE648" i="1812"/>
  <c r="BE652" i="1812"/>
  <c r="AE648" i="1812"/>
  <c r="Z577" i="1812"/>
  <c r="BD114" i="1812"/>
  <c r="BD651" i="1812" s="1"/>
  <c r="BD192" i="1812"/>
  <c r="BD199" i="1812" s="1"/>
  <c r="BD215" i="1812" s="1"/>
  <c r="BH560" i="1812"/>
  <c r="AD567" i="1812"/>
  <c r="AC651" i="1812"/>
  <c r="T638" i="1812"/>
  <c r="AJ642" i="1812"/>
  <c r="U638" i="1812"/>
  <c r="AA652" i="1812"/>
  <c r="AD561" i="1812"/>
  <c r="BE567" i="1812"/>
  <c r="BD352" i="1812"/>
  <c r="BD369" i="1812" s="1"/>
  <c r="BD370" i="1812" s="1"/>
  <c r="BD371" i="1812" s="1"/>
  <c r="BD372" i="1812" s="1"/>
  <c r="Y652" i="1812"/>
  <c r="AA648" i="1812"/>
  <c r="Y646" i="1812"/>
  <c r="AU4" i="1812"/>
  <c r="AI638" i="1812"/>
  <c r="AD575" i="1812"/>
  <c r="Y328" i="1812"/>
  <c r="Y342" i="1812" s="1"/>
  <c r="Y344" i="1812" s="1"/>
  <c r="BF652" i="1812"/>
  <c r="S68" i="1811"/>
  <c r="Y648" i="1812"/>
  <c r="K68" i="1811"/>
  <c r="T185" i="1812"/>
  <c r="T192" i="1812" s="1"/>
  <c r="BC114" i="1812"/>
  <c r="BC651" i="1812" s="1"/>
  <c r="BC192" i="1812"/>
  <c r="BC199" i="1812" s="1"/>
  <c r="BC203" i="1812" s="1"/>
  <c r="BC207" i="1812" s="1"/>
  <c r="BC209" i="1812" s="1"/>
  <c r="BC212" i="1812" s="1"/>
  <c r="AA561" i="1812"/>
  <c r="AJ581" i="1812"/>
  <c r="AN581" i="1812" s="1"/>
  <c r="BD326" i="1812"/>
  <c r="BD327" i="1812" s="1"/>
  <c r="BD328" i="1812" s="1"/>
  <c r="BD342" i="1812" s="1"/>
  <c r="BD344" i="1812" s="1"/>
  <c r="AE638" i="1812"/>
  <c r="BF305" i="1812"/>
  <c r="BF309" i="1812" s="1"/>
  <c r="AI305" i="1812" s="1"/>
  <c r="AI309" i="1812" s="1"/>
  <c r="AJ305" i="1812" s="1"/>
  <c r="AJ309" i="1812" s="1"/>
  <c r="AJ215" i="1812"/>
  <c r="AJ580" i="1812"/>
  <c r="AJ585" i="1812" s="1"/>
  <c r="AH112" i="1812"/>
  <c r="AD626" i="1812"/>
  <c r="AD636" i="1812" s="1"/>
  <c r="W651" i="1812"/>
  <c r="AI561" i="1812"/>
  <c r="BE33" i="1812"/>
  <c r="BF638" i="1812"/>
  <c r="AJ237" i="1812"/>
  <c r="AC587" i="1812"/>
  <c r="BH511" i="1812"/>
  <c r="AF648" i="1812"/>
  <c r="BD659" i="1812"/>
  <c r="AJ648" i="1812"/>
  <c r="U68" i="1811"/>
  <c r="V172" i="1811"/>
  <c r="V192" i="1813" s="1"/>
  <c r="BF646" i="1812"/>
  <c r="U651" i="1812"/>
  <c r="AI582" i="1812"/>
  <c r="AM582" i="1812" s="1"/>
  <c r="V393" i="1812"/>
  <c r="AH580" i="1812"/>
  <c r="AL580" i="1812" s="1"/>
  <c r="AJ652" i="1812"/>
  <c r="AH108" i="1812"/>
  <c r="AH109" i="1812" s="1"/>
  <c r="Y577" i="1812"/>
  <c r="Z309" i="1812"/>
  <c r="Z326" i="1812" s="1"/>
  <c r="Z327" i="1812" s="1"/>
  <c r="Z328" i="1812" s="1"/>
  <c r="Z342" i="1812" s="1"/>
  <c r="AA305" i="1812"/>
  <c r="AA309" i="1812" s="1"/>
  <c r="AB305" i="1812" s="1"/>
  <c r="AB309" i="1812" s="1"/>
  <c r="AC305" i="1812" s="1"/>
  <c r="AC309" i="1812" s="1"/>
  <c r="AD305" i="1812" s="1"/>
  <c r="AD309" i="1812" s="1"/>
  <c r="Z652" i="1812"/>
  <c r="T108" i="1812"/>
  <c r="T109" i="1812" s="1"/>
  <c r="R164" i="1811"/>
  <c r="AJ561" i="1812"/>
  <c r="AC646" i="1812"/>
  <c r="W369" i="1812"/>
  <c r="W370" i="1812" s="1"/>
  <c r="W371" i="1812" s="1"/>
  <c r="W372" i="1812" s="1"/>
  <c r="AJ582" i="1812"/>
  <c r="AN582" i="1812" s="1"/>
  <c r="BD638" i="1812"/>
  <c r="AJ577" i="1812"/>
  <c r="W516" i="1812"/>
  <c r="W547" i="1812" s="1"/>
  <c r="AJ583" i="1812"/>
  <c r="AJ588" i="1812" s="1"/>
  <c r="Z567" i="1812"/>
  <c r="BC652" i="1812"/>
  <c r="AD237" i="1812"/>
  <c r="AE237" i="1812"/>
  <c r="BF573" i="1812"/>
  <c r="BD577" i="1812"/>
  <c r="AG577" i="1812"/>
  <c r="BD547" i="1812"/>
  <c r="AI237" i="1812"/>
  <c r="BF571" i="1812"/>
  <c r="BG29" i="1812"/>
  <c r="BD561" i="1812"/>
  <c r="Z575" i="1812"/>
  <c r="BH26" i="1812"/>
  <c r="BH28" i="1812" s="1"/>
  <c r="BI26" i="1812" s="1"/>
  <c r="BI28" i="1812" s="1"/>
  <c r="Y638" i="1812"/>
  <c r="BE573" i="1812"/>
  <c r="T483" i="1812"/>
  <c r="AI583" i="1812"/>
  <c r="AI588" i="1812" s="1"/>
  <c r="R181" i="1812"/>
  <c r="R185" i="1812" s="1"/>
  <c r="R192" i="1812" s="1"/>
  <c r="BG30" i="1812"/>
  <c r="BG365" i="1812"/>
  <c r="AF577" i="1812"/>
  <c r="S648" i="1812"/>
  <c r="AC652" i="1812"/>
  <c r="AG638" i="1812"/>
  <c r="W192" i="1812"/>
  <c r="W199" i="1812" s="1"/>
  <c r="W214" i="1812" s="1"/>
  <c r="BE659" i="1812"/>
  <c r="BB638" i="1812"/>
  <c r="AB577" i="1812"/>
  <c r="AB586" i="1812"/>
  <c r="Q172" i="1811"/>
  <c r="P172" i="1811"/>
  <c r="Z648" i="1812"/>
  <c r="AJ641" i="1812"/>
  <c r="AJ114" i="1812"/>
  <c r="AJ651" i="1812" s="1"/>
  <c r="X181" i="1812"/>
  <c r="X185" i="1812" s="1"/>
  <c r="X114" i="1812" s="1"/>
  <c r="X651" i="1812" s="1"/>
  <c r="AD352" i="1812"/>
  <c r="AD369" i="1812" s="1"/>
  <c r="AD370" i="1812" s="1"/>
  <c r="AD371" i="1812" s="1"/>
  <c r="AD372" i="1812" s="1"/>
  <c r="BE657" i="1812"/>
  <c r="AH237" i="1812"/>
  <c r="AH181" i="1812"/>
  <c r="AH185" i="1812" s="1"/>
  <c r="AH192" i="1812" s="1"/>
  <c r="AH199" i="1812" s="1"/>
  <c r="M68" i="1811"/>
  <c r="BC646" i="1812"/>
  <c r="AH575" i="1812"/>
  <c r="AH581" i="1812"/>
  <c r="AL581" i="1812" s="1"/>
  <c r="AB210" i="1812"/>
  <c r="W648" i="1812"/>
  <c r="BC561" i="1812"/>
  <c r="BE570" i="1812"/>
  <c r="AJ214" i="1812"/>
  <c r="AE33" i="1812"/>
  <c r="AH582" i="1812"/>
  <c r="AH587" i="1812" s="1"/>
  <c r="W210" i="1812"/>
  <c r="AB651" i="1812"/>
  <c r="AB561" i="1812"/>
  <c r="W68" i="1811"/>
  <c r="AB585" i="1812"/>
  <c r="Q68" i="1811"/>
  <c r="S138" i="1812"/>
  <c r="G56" i="1811" s="1"/>
  <c r="G27" i="1811" s="1"/>
  <c r="G26" i="1811" s="1"/>
  <c r="G28" i="1813" s="1"/>
  <c r="AA251" i="1812"/>
  <c r="AA255" i="1812" s="1"/>
  <c r="AB251" i="1812" s="1"/>
  <c r="AB255" i="1812" s="1"/>
  <c r="X164" i="1811"/>
  <c r="X184" i="1813" s="1"/>
  <c r="X111" i="1814" s="1"/>
  <c r="X149" i="1810" s="1"/>
  <c r="BC572" i="1812"/>
  <c r="AH113" i="1812"/>
  <c r="AH649" i="1812" s="1"/>
  <c r="U483" i="1812"/>
  <c r="AH583" i="1812"/>
  <c r="AH588" i="1812" s="1"/>
  <c r="X68" i="1811"/>
  <c r="V183" i="1812"/>
  <c r="V112" i="1812" s="1"/>
  <c r="W191" i="1811"/>
  <c r="W211" i="1813" s="1"/>
  <c r="BG560" i="1812"/>
  <c r="BD657" i="1812"/>
  <c r="BE587" i="1812"/>
  <c r="AE192" i="1812"/>
  <c r="AE199" i="1812" s="1"/>
  <c r="AE215" i="1812" s="1"/>
  <c r="BF651" i="1812"/>
  <c r="W164" i="1811"/>
  <c r="W184" i="1813" s="1"/>
  <c r="W111" i="1814" s="1"/>
  <c r="X191" i="1811"/>
  <c r="X211" i="1813" s="1"/>
  <c r="AR172" i="1811"/>
  <c r="BC588" i="1812"/>
  <c r="AD480" i="1812"/>
  <c r="BE572" i="1812"/>
  <c r="AH480" i="1812"/>
  <c r="V68" i="1811"/>
  <c r="S172" i="1811"/>
  <c r="V184" i="1812"/>
  <c r="V113" i="1812" s="1"/>
  <c r="V649" i="1812" s="1"/>
  <c r="R164" i="1812"/>
  <c r="R166" i="1812" s="1"/>
  <c r="F74" i="1811"/>
  <c r="AE210" i="1812"/>
  <c r="S73" i="1811"/>
  <c r="S75" i="1813" s="1"/>
  <c r="W172" i="1811"/>
  <c r="W192" i="1813" s="1"/>
  <c r="AI210" i="1812"/>
  <c r="W73" i="1811"/>
  <c r="W75" i="1813" s="1"/>
  <c r="V191" i="1811"/>
  <c r="V211" i="1813" s="1"/>
  <c r="N172" i="1811"/>
  <c r="AH507" i="1812"/>
  <c r="AH516" i="1812" s="1"/>
  <c r="V137" i="1811"/>
  <c r="BF588" i="1812"/>
  <c r="BB150" i="1812"/>
  <c r="BB186" i="1812" s="1"/>
  <c r="BB394" i="1812" s="1"/>
  <c r="AQ56" i="1811"/>
  <c r="AC210" i="1812"/>
  <c r="Q73" i="1811"/>
  <c r="Q75" i="1813" s="1"/>
  <c r="AH626" i="1812"/>
  <c r="AH636" i="1812" s="1"/>
  <c r="BF516" i="1812"/>
  <c r="BF547" i="1812" s="1"/>
  <c r="BF352" i="1812"/>
  <c r="AH135" i="1812"/>
  <c r="BB154" i="1812"/>
  <c r="AQ72" i="1811"/>
  <c r="AQ74" i="1813" s="1"/>
  <c r="S210" i="1812"/>
  <c r="G73" i="1811"/>
  <c r="G75" i="1813" s="1"/>
  <c r="V180" i="1812"/>
  <c r="Z626" i="1812"/>
  <c r="Z636" i="1812" s="1"/>
  <c r="X210" i="1812"/>
  <c r="L73" i="1811"/>
  <c r="L75" i="1813" s="1"/>
  <c r="V15" i="1811"/>
  <c r="V358" i="1812"/>
  <c r="J168" i="1811"/>
  <c r="BF586" i="1812"/>
  <c r="AD585" i="1812"/>
  <c r="BE561" i="1812"/>
  <c r="Q198" i="1812"/>
  <c r="R210" i="1812"/>
  <c r="F73" i="1811"/>
  <c r="F75" i="1813" s="1"/>
  <c r="AH608" i="1812"/>
  <c r="V626" i="1812"/>
  <c r="V636" i="1812" s="1"/>
  <c r="R626" i="1812"/>
  <c r="R636" i="1812" s="1"/>
  <c r="AF516" i="1812"/>
  <c r="AF547" i="1812" s="1"/>
  <c r="AF352" i="1812"/>
  <c r="BE516" i="1812"/>
  <c r="BE547" i="1812" s="1"/>
  <c r="BE352" i="1812"/>
  <c r="BC483" i="1812"/>
  <c r="W482" i="1812" s="1"/>
  <c r="X482" i="1812" s="1"/>
  <c r="Y482" i="1812" s="1"/>
  <c r="BC577" i="1812"/>
  <c r="AF210" i="1812"/>
  <c r="T73" i="1811"/>
  <c r="T75" i="1813" s="1"/>
  <c r="AM635" i="1812"/>
  <c r="BG417" i="1812"/>
  <c r="BC164" i="1812"/>
  <c r="BC166" i="1812" s="1"/>
  <c r="AR74" i="1811"/>
  <c r="AA210" i="1812"/>
  <c r="O73" i="1811"/>
  <c r="O75" i="1813" s="1"/>
  <c r="AG210" i="1812"/>
  <c r="U73" i="1811"/>
  <c r="U75" i="1813" s="1"/>
  <c r="U516" i="1812"/>
  <c r="U547" i="1812" s="1"/>
  <c r="U352" i="1812"/>
  <c r="U164" i="1812"/>
  <c r="U166" i="1812" s="1"/>
  <c r="I74" i="1811"/>
  <c r="V23" i="1812"/>
  <c r="J39" i="1811"/>
  <c r="AE577" i="1812"/>
  <c r="Q210" i="1812"/>
  <c r="E73" i="1811"/>
  <c r="E75" i="1813" s="1"/>
  <c r="X516" i="1812"/>
  <c r="X547" i="1812" s="1"/>
  <c r="X352" i="1812"/>
  <c r="AA577" i="1812"/>
  <c r="U210" i="1812"/>
  <c r="I73" i="1811"/>
  <c r="I75" i="1813" s="1"/>
  <c r="BH657" i="1812"/>
  <c r="Z480" i="1812"/>
  <c r="R480" i="1812"/>
  <c r="R483" i="1812" s="1"/>
  <c r="BF570" i="1812"/>
  <c r="BC586" i="1812"/>
  <c r="AF587" i="1812"/>
  <c r="V164" i="1812"/>
  <c r="V166" i="1812" s="1"/>
  <c r="J74" i="1811"/>
  <c r="R198" i="1812"/>
  <c r="T198" i="1812"/>
  <c r="Y516" i="1812"/>
  <c r="Y547" i="1812" s="1"/>
  <c r="Y352" i="1812"/>
  <c r="Y210" i="1812"/>
  <c r="M73" i="1811"/>
  <c r="M75" i="1813" s="1"/>
  <c r="Z608" i="1812"/>
  <c r="BC109" i="1812"/>
  <c r="BC587" i="1812"/>
  <c r="AB587" i="1812"/>
  <c r="AF586" i="1812"/>
  <c r="AE587" i="1812"/>
  <c r="AC586" i="1812"/>
  <c r="AB588" i="1812"/>
  <c r="AD192" i="1812"/>
  <c r="AD199" i="1812" s="1"/>
  <c r="AD203" i="1812" s="1"/>
  <c r="AD642" i="1812" s="1"/>
  <c r="BE585" i="1812"/>
  <c r="AC585" i="1812"/>
  <c r="BF585" i="1812"/>
  <c r="Q181" i="1812"/>
  <c r="Q185" i="1812" s="1"/>
  <c r="Q192" i="1812" s="1"/>
  <c r="BE586" i="1812"/>
  <c r="BF192" i="1812"/>
  <c r="BF199" i="1812" s="1"/>
  <c r="BF203" i="1812" s="1"/>
  <c r="BF642" i="1812" s="1"/>
  <c r="Z587" i="1812"/>
  <c r="AC192" i="1812"/>
  <c r="AC199" i="1812" s="1"/>
  <c r="AC215" i="1812" s="1"/>
  <c r="BF587" i="1812"/>
  <c r="AD588" i="1812"/>
  <c r="AB192" i="1812"/>
  <c r="AB199" i="1812" s="1"/>
  <c r="AB215" i="1812" s="1"/>
  <c r="AG561" i="1812"/>
  <c r="AD114" i="1812"/>
  <c r="AD651" i="1812" s="1"/>
  <c r="BD572" i="1812"/>
  <c r="AB150" i="1812"/>
  <c r="AB186" i="1812" s="1"/>
  <c r="AB152" i="1812"/>
  <c r="Z516" i="1812"/>
  <c r="Z352" i="1812"/>
  <c r="Z561" i="1812"/>
  <c r="Z586" i="1812"/>
  <c r="BE646" i="1812"/>
  <c r="BE638" i="1812"/>
  <c r="BG566" i="1812"/>
  <c r="AI577" i="1812"/>
  <c r="BE655" i="1812"/>
  <c r="AA516" i="1812"/>
  <c r="AA547" i="1812" s="1"/>
  <c r="AA352" i="1812"/>
  <c r="V480" i="1812"/>
  <c r="V483" i="1812" s="1"/>
  <c r="AE561" i="1812"/>
  <c r="AE516" i="1812"/>
  <c r="AE547" i="1812" s="1"/>
  <c r="AE352" i="1812"/>
  <c r="BC516" i="1812"/>
  <c r="BC547" i="1812" s="1"/>
  <c r="BC352" i="1812"/>
  <c r="AI192" i="1812"/>
  <c r="AI199" i="1812" s="1"/>
  <c r="AI114" i="1812"/>
  <c r="AI651" i="1812" s="1"/>
  <c r="AD587" i="1812"/>
  <c r="BD588" i="1812"/>
  <c r="AK580" i="1812"/>
  <c r="AG585" i="1812"/>
  <c r="AE152" i="1812"/>
  <c r="AE150" i="1812"/>
  <c r="AE186" i="1812" s="1"/>
  <c r="Z585" i="1812"/>
  <c r="Q138" i="1812"/>
  <c r="E56" i="1811" s="1"/>
  <c r="E27" i="1811" s="1"/>
  <c r="E26" i="1811" s="1"/>
  <c r="E28" i="1813" s="1"/>
  <c r="BF152" i="1812"/>
  <c r="BF154" i="1812" s="1"/>
  <c r="BF164" i="1812" s="1"/>
  <c r="BF166" i="1812" s="1"/>
  <c r="BF150" i="1812"/>
  <c r="AS728" i="1812"/>
  <c r="AS726" i="1812"/>
  <c r="AS724" i="1812" s="1"/>
  <c r="AS735" i="1812"/>
  <c r="AS733" i="1812"/>
  <c r="AS731" i="1812" s="1"/>
  <c r="AS721" i="1812"/>
  <c r="AS719" i="1812"/>
  <c r="AS717" i="1812" s="1"/>
  <c r="A2" i="1812"/>
  <c r="B756" i="1812" s="1"/>
  <c r="AG152" i="1812"/>
  <c r="AG150" i="1812"/>
  <c r="AG186" i="1812" s="1"/>
  <c r="AK32" i="1812"/>
  <c r="AO32" i="1812" s="1"/>
  <c r="AG33" i="1812"/>
  <c r="AI152" i="1812"/>
  <c r="AI150" i="1812"/>
  <c r="AI186" i="1812" s="1"/>
  <c r="BB516" i="1812"/>
  <c r="BB547" i="1812" s="1"/>
  <c r="BB352" i="1812"/>
  <c r="Y192" i="1812"/>
  <c r="Y199" i="1812" s="1"/>
  <c r="Y114" i="1812"/>
  <c r="Y651" i="1812" s="1"/>
  <c r="AC245" i="1812"/>
  <c r="AB249" i="1812"/>
  <c r="BF572" i="1812"/>
  <c r="AH390" i="1812"/>
  <c r="X638" i="1812"/>
  <c r="X646" i="1812"/>
  <c r="BG524" i="1812"/>
  <c r="BG358" i="1812"/>
  <c r="AE588" i="1812"/>
  <c r="BG621" i="1812"/>
  <c r="AK581" i="1812"/>
  <c r="AG586" i="1812"/>
  <c r="AF561" i="1812"/>
  <c r="AC567" i="1812"/>
  <c r="AH560" i="1812"/>
  <c r="AH577" i="1812" s="1"/>
  <c r="AH524" i="1812"/>
  <c r="BF657" i="1812" s="1"/>
  <c r="AH358" i="1812"/>
  <c r="AH648" i="1812" s="1"/>
  <c r="AJ516" i="1812"/>
  <c r="AJ547" i="1812" s="1"/>
  <c r="AJ352" i="1812"/>
  <c r="BD655" i="1812"/>
  <c r="T516" i="1812"/>
  <c r="T547" i="1812" s="1"/>
  <c r="T352" i="1812"/>
  <c r="AA303" i="1812"/>
  <c r="AB299" i="1812"/>
  <c r="S369" i="1812"/>
  <c r="S370" i="1812" s="1"/>
  <c r="S371" i="1812" s="1"/>
  <c r="S372" i="1812" s="1"/>
  <c r="S354" i="1812"/>
  <c r="S373" i="1812" s="1"/>
  <c r="S374" i="1812" s="1"/>
  <c r="S375" i="1812" s="1"/>
  <c r="S376" i="1812" s="1"/>
  <c r="AA192" i="1812"/>
  <c r="AA199" i="1812" s="1"/>
  <c r="AA114" i="1812"/>
  <c r="AA651" i="1812" s="1"/>
  <c r="AE586" i="1812"/>
  <c r="BE278" i="1812"/>
  <c r="BE282" i="1812" s="1"/>
  <c r="AA278" i="1812"/>
  <c r="AA282" i="1812" s="1"/>
  <c r="AB278" i="1812" s="1"/>
  <c r="AB282" i="1812" s="1"/>
  <c r="AC278" i="1812" s="1"/>
  <c r="AC282" i="1812" s="1"/>
  <c r="AD278" i="1812" s="1"/>
  <c r="AD282" i="1812" s="1"/>
  <c r="AD586" i="1812"/>
  <c r="BD587" i="1812"/>
  <c r="AF192" i="1812"/>
  <c r="AF199" i="1812" s="1"/>
  <c r="AF114" i="1812"/>
  <c r="AF651" i="1812" s="1"/>
  <c r="AH152" i="1812"/>
  <c r="AH150" i="1812"/>
  <c r="AH186" i="1812" s="1"/>
  <c r="AG588" i="1812"/>
  <c r="AK583" i="1812"/>
  <c r="BD150" i="1812"/>
  <c r="BD152" i="1812"/>
  <c r="Z588" i="1812"/>
  <c r="AB276" i="1812"/>
  <c r="AC272" i="1812"/>
  <c r="BE152" i="1812"/>
  <c r="BE154" i="1812" s="1"/>
  <c r="BE164" i="1812" s="1"/>
  <c r="BE166" i="1812" s="1"/>
  <c r="BE150" i="1812"/>
  <c r="AC152" i="1812"/>
  <c r="AC150" i="1812"/>
  <c r="AC186" i="1812" s="1"/>
  <c r="AJ33" i="1812"/>
  <c r="S109" i="1812"/>
  <c r="AF152" i="1812"/>
  <c r="AF150" i="1812"/>
  <c r="AF186" i="1812" s="1"/>
  <c r="Z114" i="1812"/>
  <c r="Z651" i="1812" s="1"/>
  <c r="Z192" i="1812"/>
  <c r="Z199" i="1812" s="1"/>
  <c r="AF638" i="1812"/>
  <c r="AF646" i="1812"/>
  <c r="BJ597" i="1812"/>
  <c r="BJ511" i="1812" s="1"/>
  <c r="AI516" i="1812"/>
  <c r="AI547" i="1812" s="1"/>
  <c r="AI352" i="1812"/>
  <c r="AC369" i="1812"/>
  <c r="AC370" i="1812" s="1"/>
  <c r="AC371" i="1812" s="1"/>
  <c r="AC372" i="1812" s="1"/>
  <c r="AC355" i="1812"/>
  <c r="AC354" i="1812"/>
  <c r="AM32" i="1812"/>
  <c r="AI33" i="1812"/>
  <c r="BH524" i="1812"/>
  <c r="BH358" i="1812"/>
  <c r="BG366" i="1812"/>
  <c r="BF561" i="1812"/>
  <c r="AB516" i="1812"/>
  <c r="AB547" i="1812" s="1"/>
  <c r="AB352" i="1812"/>
  <c r="BE588" i="1812"/>
  <c r="Z237" i="1812"/>
  <c r="BD586" i="1812"/>
  <c r="R393" i="1812"/>
  <c r="R115" i="1812"/>
  <c r="AK582" i="1812"/>
  <c r="AG587" i="1812"/>
  <c r="BE192" i="1812"/>
  <c r="BE199" i="1812" s="1"/>
  <c r="BE114" i="1812"/>
  <c r="BE651" i="1812" s="1"/>
  <c r="BF33" i="1812"/>
  <c r="AJ150" i="1812"/>
  <c r="AJ186" i="1812" s="1"/>
  <c r="AJ152" i="1812"/>
  <c r="BF658" i="1812"/>
  <c r="AZ5" i="1812"/>
  <c r="G5" i="1812"/>
  <c r="H5" i="1812" s="1"/>
  <c r="I5" i="1812" s="1"/>
  <c r="J5" i="1812" s="1"/>
  <c r="AG516" i="1812"/>
  <c r="AG547" i="1812" s="1"/>
  <c r="AG352" i="1812"/>
  <c r="BB192" i="1812"/>
  <c r="BB199" i="1812" s="1"/>
  <c r="BB114" i="1812"/>
  <c r="BB651" i="1812" s="1"/>
  <c r="V516" i="1812"/>
  <c r="V547" i="1812" s="1"/>
  <c r="V352" i="1812"/>
  <c r="BC585" i="1812"/>
  <c r="AD547" i="1812"/>
  <c r="BD658" i="1812"/>
  <c r="BD585" i="1812"/>
  <c r="AD238" i="1812"/>
  <c r="J168" i="1814"/>
  <c r="S198" i="1812"/>
  <c r="W152" i="1812"/>
  <c r="W150" i="1812"/>
  <c r="W186" i="1812" s="1"/>
  <c r="AP615" i="1812"/>
  <c r="AO383" i="1812"/>
  <c r="S181" i="1812"/>
  <c r="S185" i="1812" s="1"/>
  <c r="AD150" i="1812"/>
  <c r="AD186" i="1812" s="1"/>
  <c r="AD152" i="1812"/>
  <c r="AL32" i="1812"/>
  <c r="AP32" i="1812" s="1"/>
  <c r="AH33" i="1812"/>
  <c r="AM30" i="1812"/>
  <c r="AN26" i="1812"/>
  <c r="AN28" i="1812" s="1"/>
  <c r="AM29" i="1812"/>
  <c r="AL30" i="1812"/>
  <c r="AL29" i="1812"/>
  <c r="Z152" i="1812"/>
  <c r="Z150" i="1812"/>
  <c r="Z186" i="1812" s="1"/>
  <c r="BF251" i="1812"/>
  <c r="BF255" i="1812" s="1"/>
  <c r="AE251" i="1812"/>
  <c r="AE255" i="1812" s="1"/>
  <c r="AG192" i="1812"/>
  <c r="AG199" i="1812" s="1"/>
  <c r="AG114" i="1812"/>
  <c r="AG651" i="1812" s="1"/>
  <c r="BE658" i="1812"/>
  <c r="AE585" i="1812"/>
  <c r="BC393" i="1812"/>
  <c r="BC115" i="1812"/>
  <c r="AF588" i="1812"/>
  <c r="Y152" i="1812"/>
  <c r="Y150" i="1812"/>
  <c r="Y186" i="1812" s="1"/>
  <c r="BH366" i="1812"/>
  <c r="AM629" i="1812"/>
  <c r="BG657" i="1812"/>
  <c r="AB646" i="1812"/>
  <c r="Y561" i="1812"/>
  <c r="AL380" i="1812"/>
  <c r="AL614" i="1812" s="1"/>
  <c r="AC588" i="1812"/>
  <c r="AF585" i="1812"/>
  <c r="U393" i="1812"/>
  <c r="U115" i="1812"/>
  <c r="X138" i="1812"/>
  <c r="L56" i="1811" s="1"/>
  <c r="X135" i="1812"/>
  <c r="AJ217" i="1812"/>
  <c r="AJ209" i="1812"/>
  <c r="T150" i="1812"/>
  <c r="T186" i="1812" s="1"/>
  <c r="T152" i="1812"/>
  <c r="AA152" i="1812"/>
  <c r="AA150" i="1812"/>
  <c r="AA186" i="1812" s="1"/>
  <c r="AM138" i="121"/>
  <c r="AM137" i="121"/>
  <c r="AM136" i="121"/>
  <c r="AM135" i="121"/>
  <c r="AM134" i="121"/>
  <c r="AM123" i="121"/>
  <c r="AM122" i="121"/>
  <c r="AM121" i="121"/>
  <c r="AM120" i="121"/>
  <c r="AM105" i="121"/>
  <c r="AM116" i="121" s="1"/>
  <c r="AD226" i="121"/>
  <c r="AC46" i="121"/>
  <c r="AD225" i="121"/>
  <c r="AD251" i="121" s="1"/>
  <c r="AC225" i="121"/>
  <c r="AC45" i="121" s="1"/>
  <c r="AD184" i="121"/>
  <c r="AD185" i="121" s="1"/>
  <c r="AC184" i="121"/>
  <c r="AC185" i="121" s="1"/>
  <c r="AB184" i="121"/>
  <c r="AB185" i="121" s="1"/>
  <c r="AA184" i="121"/>
  <c r="AA116" i="121"/>
  <c r="Z338" i="121"/>
  <c r="Y338" i="121"/>
  <c r="Y345" i="121"/>
  <c r="AD395" i="121"/>
  <c r="AD412" i="121" s="1"/>
  <c r="AC395" i="121"/>
  <c r="AC412" i="121" s="1"/>
  <c r="AB395" i="121"/>
  <c r="AB412" i="121" s="1"/>
  <c r="AA395" i="121"/>
  <c r="AA412" i="121" s="1"/>
  <c r="F67" i="1806"/>
  <c r="E67" i="1806"/>
  <c r="F66" i="1806"/>
  <c r="E66" i="1806"/>
  <c r="C40" i="1806"/>
  <c r="C39" i="1806"/>
  <c r="A40" i="1806"/>
  <c r="A55" i="1806" s="1"/>
  <c r="A67" i="1806" s="1"/>
  <c r="A39" i="1806"/>
  <c r="A54" i="1806" s="1"/>
  <c r="A66" i="1806" s="1"/>
  <c r="I21" i="1806"/>
  <c r="H21" i="1806"/>
  <c r="G21" i="1806"/>
  <c r="I22" i="1806"/>
  <c r="H22" i="1806"/>
  <c r="G22" i="1806"/>
  <c r="AT734" i="1812"/>
  <c r="AT727" i="1812"/>
  <c r="AT720" i="1812"/>
  <c r="AR741" i="1812"/>
  <c r="AS741" i="1812"/>
  <c r="AT741" i="1812"/>
  <c r="Y61" i="1810" l="1"/>
  <c r="Y8" i="1821"/>
  <c r="Y20" i="1821" s="1"/>
  <c r="Y124" i="1810"/>
  <c r="Y91" i="1810"/>
  <c r="Y76" i="1810"/>
  <c r="I162" i="1814"/>
  <c r="I164" i="1814" s="1"/>
  <c r="V106" i="1814"/>
  <c r="V107" i="1814" s="1"/>
  <c r="V158" i="1810" s="1"/>
  <c r="V82" i="1821"/>
  <c r="AC186" i="121"/>
  <c r="AD186" i="121"/>
  <c r="AC253" i="1814"/>
  <c r="AC254" i="1814" s="1"/>
  <c r="AC22" i="1814"/>
  <c r="AA253" i="1814"/>
  <c r="AA254" i="1814" s="1"/>
  <c r="AB22" i="1814"/>
  <c r="AB28" i="1814" s="1"/>
  <c r="AB30" i="1810" s="1"/>
  <c r="AA36" i="1814"/>
  <c r="AA35" i="1810" s="1"/>
  <c r="AA57" i="1814"/>
  <c r="AA21" i="1814"/>
  <c r="AA200" i="1814"/>
  <c r="AA13" i="1814"/>
  <c r="AA34" i="1814" s="1"/>
  <c r="AB16" i="1814"/>
  <c r="AA10" i="1810"/>
  <c r="AB25" i="1810" s="1"/>
  <c r="L45" i="1810"/>
  <c r="P40" i="1810"/>
  <c r="Y43" i="1814"/>
  <c r="Y181" i="1814" s="1"/>
  <c r="Y180" i="1814" s="1"/>
  <c r="Y161" i="1814" s="1"/>
  <c r="Y164" i="1814" s="1"/>
  <c r="Y35" i="1810"/>
  <c r="Y36" i="1821"/>
  <c r="AB75" i="1810"/>
  <c r="AB35" i="1810"/>
  <c r="AB40" i="1810" s="1"/>
  <c r="AC10" i="1810"/>
  <c r="AC25" i="1810" s="1"/>
  <c r="L38" i="1814"/>
  <c r="J21" i="1811"/>
  <c r="V197" i="1812"/>
  <c r="AA185" i="121"/>
  <c r="AM184" i="121"/>
  <c r="AC21" i="1814"/>
  <c r="AC16" i="1814"/>
  <c r="AC13" i="1814"/>
  <c r="AI36" i="1814"/>
  <c r="AI38" i="1814" s="1"/>
  <c r="AT735" i="1812"/>
  <c r="P37" i="1814"/>
  <c r="AT733" i="1812"/>
  <c r="AT731" i="1812" s="1"/>
  <c r="AT719" i="1812"/>
  <c r="AT717" i="1812" s="1"/>
  <c r="N105" i="1811"/>
  <c r="N125" i="1813" s="1"/>
  <c r="AT721" i="1812"/>
  <c r="AI94" i="1814"/>
  <c r="AI103" i="1814" s="1"/>
  <c r="AT726" i="1812"/>
  <c r="AT724" i="1812" s="1"/>
  <c r="AT728" i="1812"/>
  <c r="R638" i="1812"/>
  <c r="I103" i="1814"/>
  <c r="O76" i="1814"/>
  <c r="L103" i="1814"/>
  <c r="X76" i="1814"/>
  <c r="AB76" i="1814" s="1"/>
  <c r="AB75" i="1814" s="1"/>
  <c r="AA236" i="1814"/>
  <c r="AB236" i="1814" s="1"/>
  <c r="AD84" i="1814"/>
  <c r="AD95" i="1814" s="1"/>
  <c r="AC95" i="1814"/>
  <c r="AB37" i="1814"/>
  <c r="Y37" i="1814"/>
  <c r="Q76" i="1814"/>
  <c r="AK180" i="1814"/>
  <c r="AK195" i="1814" s="1"/>
  <c r="V190" i="1814"/>
  <c r="W190" i="1814"/>
  <c r="V195" i="1814"/>
  <c r="V181" i="1814"/>
  <c r="W191" i="1814" s="1"/>
  <c r="V185" i="1814"/>
  <c r="W195" i="1814"/>
  <c r="V42" i="1814"/>
  <c r="V52" i="1814" s="1"/>
  <c r="Q103" i="1814"/>
  <c r="N103" i="1814"/>
  <c r="P94" i="1814"/>
  <c r="P103" i="1814" s="1"/>
  <c r="P76" i="1814"/>
  <c r="M94" i="1814"/>
  <c r="M103" i="1814" s="1"/>
  <c r="M76" i="1814"/>
  <c r="W94" i="1814"/>
  <c r="W103" i="1814" s="1"/>
  <c r="W76" i="1814"/>
  <c r="AA76" i="1814" s="1"/>
  <c r="AA75" i="1814" s="1"/>
  <c r="K94" i="1814"/>
  <c r="K103" i="1814" s="1"/>
  <c r="K76" i="1814"/>
  <c r="S94" i="1814"/>
  <c r="S103" i="1814" s="1"/>
  <c r="S76" i="1814"/>
  <c r="R206" i="1814"/>
  <c r="R75" i="1814"/>
  <c r="X103" i="1814"/>
  <c r="V36" i="1814"/>
  <c r="V35" i="1810" s="1"/>
  <c r="O211" i="1814"/>
  <c r="P210" i="1814"/>
  <c r="P209" i="1814"/>
  <c r="J171" i="1814"/>
  <c r="J61" i="1814"/>
  <c r="J100" i="1814" s="1"/>
  <c r="S208" i="1814"/>
  <c r="S211" i="1814"/>
  <c r="T206" i="1814"/>
  <c r="T75" i="1814"/>
  <c r="U206" i="1814"/>
  <c r="U207" i="1814" s="1"/>
  <c r="U75" i="1814"/>
  <c r="E58" i="1814"/>
  <c r="F58" i="1814"/>
  <c r="AB200" i="1814"/>
  <c r="AK189" i="1814"/>
  <c r="AK194" i="1814"/>
  <c r="AK184" i="1814"/>
  <c r="AA47" i="1814"/>
  <c r="V207" i="1814"/>
  <c r="AK205" i="1814"/>
  <c r="L53" i="1814"/>
  <c r="M53" i="1814"/>
  <c r="L58" i="1814"/>
  <c r="P48" i="1814"/>
  <c r="V51" i="1814"/>
  <c r="V46" i="1814"/>
  <c r="AK41" i="1814"/>
  <c r="W51" i="1814"/>
  <c r="AB190" i="1814"/>
  <c r="AB185" i="1814"/>
  <c r="AB195" i="1814"/>
  <c r="AB42" i="1814"/>
  <c r="AC122" i="1814"/>
  <c r="AC141" i="1814"/>
  <c r="AC143" i="1814" s="1"/>
  <c r="AC145" i="1814" s="1"/>
  <c r="AC146" i="1814" s="1"/>
  <c r="F191" i="1814"/>
  <c r="AK113" i="1814"/>
  <c r="AB129" i="1814"/>
  <c r="AJ127" i="1814"/>
  <c r="AA138" i="1814"/>
  <c r="AL136" i="1814"/>
  <c r="W138" i="1814"/>
  <c r="W25" i="1814" s="1"/>
  <c r="AL25" i="1814" s="1"/>
  <c r="AJ113" i="1814"/>
  <c r="AA124" i="1814"/>
  <c r="AA128" i="1814"/>
  <c r="AA145" i="1814"/>
  <c r="AK19" i="1814"/>
  <c r="W146" i="1814"/>
  <c r="W26" i="1814" s="1"/>
  <c r="N10" i="1814"/>
  <c r="N122" i="1814"/>
  <c r="N141" i="1814" s="1"/>
  <c r="N143" i="1814" s="1"/>
  <c r="N145" i="1814" s="1"/>
  <c r="AJ19" i="1814"/>
  <c r="AK127" i="1814"/>
  <c r="AD9" i="1814"/>
  <c r="Z133" i="1814"/>
  <c r="Z121" i="1814"/>
  <c r="Z19" i="1814"/>
  <c r="AL9" i="1814"/>
  <c r="AI133" i="1814"/>
  <c r="AI127" i="1814"/>
  <c r="AI113" i="1814"/>
  <c r="V130" i="1814"/>
  <c r="R10" i="1814"/>
  <c r="R122" i="1814"/>
  <c r="AK133" i="1814"/>
  <c r="V10" i="1814"/>
  <c r="V122" i="1814"/>
  <c r="M194" i="1811"/>
  <c r="M214" i="1813" s="1"/>
  <c r="J121" i="1811"/>
  <c r="J131" i="1811" s="1"/>
  <c r="AL582" i="1812"/>
  <c r="AP582" i="1812" s="1"/>
  <c r="T114" i="1812"/>
  <c r="T651" i="1812" s="1"/>
  <c r="V646" i="1812"/>
  <c r="K194" i="1811"/>
  <c r="K214" i="1813" s="1"/>
  <c r="L194" i="1811"/>
  <c r="L214" i="1813" s="1"/>
  <c r="AD638" i="1812"/>
  <c r="AQ194" i="1811"/>
  <c r="AQ214" i="1813" s="1"/>
  <c r="Z646" i="1812"/>
  <c r="V105" i="1811"/>
  <c r="V125" i="1813" s="1"/>
  <c r="F105" i="1811"/>
  <c r="F125" i="1813" s="1"/>
  <c r="G68" i="1811"/>
  <c r="G58" i="1813"/>
  <c r="Q69" i="1811"/>
  <c r="Q70" i="1813"/>
  <c r="S194" i="1811"/>
  <c r="S214" i="1813" s="1"/>
  <c r="S192" i="1813"/>
  <c r="V69" i="1811"/>
  <c r="V70" i="1813"/>
  <c r="J172" i="1811"/>
  <c r="J188" i="1813"/>
  <c r="J75" i="1814" s="1"/>
  <c r="J94" i="1814" s="1"/>
  <c r="J103" i="1814" s="1"/>
  <c r="I194" i="1811"/>
  <c r="I214" i="1813" s="1"/>
  <c r="T194" i="1811"/>
  <c r="T214" i="1813" s="1"/>
  <c r="U194" i="1811"/>
  <c r="U214" i="1813" s="1"/>
  <c r="AQ68" i="1811"/>
  <c r="AQ58" i="1813"/>
  <c r="M69" i="1811"/>
  <c r="M70" i="1813"/>
  <c r="R121" i="1811"/>
  <c r="J41" i="1811"/>
  <c r="J43" i="1813" s="1"/>
  <c r="J41" i="1813"/>
  <c r="I84" i="1811"/>
  <c r="I76" i="1813"/>
  <c r="V16" i="1811"/>
  <c r="V16" i="1813"/>
  <c r="N121" i="1811"/>
  <c r="N141" i="1813" s="1"/>
  <c r="N136" i="1813"/>
  <c r="S69" i="1811"/>
  <c r="S70" i="1813"/>
  <c r="I69" i="1811"/>
  <c r="I70" i="1813"/>
  <c r="V638" i="1812"/>
  <c r="X69" i="1811"/>
  <c r="X70" i="1813"/>
  <c r="N69" i="1811"/>
  <c r="N70" i="1813"/>
  <c r="AR194" i="1811"/>
  <c r="AR214" i="1813" s="1"/>
  <c r="AR192" i="1813"/>
  <c r="J105" i="1811"/>
  <c r="J125" i="1813" s="1"/>
  <c r="J118" i="1813"/>
  <c r="P69" i="1811"/>
  <c r="P70" i="1813"/>
  <c r="AH646" i="1812"/>
  <c r="V164" i="1811"/>
  <c r="V184" i="1813" s="1"/>
  <c r="V111" i="1814" s="1"/>
  <c r="V103" i="1814" s="1"/>
  <c r="V157" i="1813"/>
  <c r="U69" i="1811"/>
  <c r="U70" i="1813"/>
  <c r="K69" i="1811"/>
  <c r="K70" i="1813"/>
  <c r="AS194" i="1811"/>
  <c r="AS214" i="1813" s="1"/>
  <c r="L16" i="1811"/>
  <c r="L16" i="1813"/>
  <c r="O194" i="1811"/>
  <c r="O214" i="1813" s="1"/>
  <c r="O192" i="1813"/>
  <c r="H69" i="1811"/>
  <c r="H70" i="1813"/>
  <c r="G16" i="1813"/>
  <c r="O69" i="1811"/>
  <c r="O70" i="1813"/>
  <c r="Q194" i="1811"/>
  <c r="Q214" i="1813" s="1"/>
  <c r="Q192" i="1813"/>
  <c r="W69" i="1811"/>
  <c r="W70" i="1813"/>
  <c r="F121" i="1811"/>
  <c r="F141" i="1813" s="1"/>
  <c r="F136" i="1813"/>
  <c r="L68" i="1811"/>
  <c r="L58" i="1813"/>
  <c r="N194" i="1811"/>
  <c r="N214" i="1813" s="1"/>
  <c r="N192" i="1813"/>
  <c r="V121" i="1811"/>
  <c r="V136" i="1813"/>
  <c r="J84" i="1811"/>
  <c r="J76" i="1813"/>
  <c r="F84" i="1811"/>
  <c r="F76" i="1813"/>
  <c r="J69" i="1811"/>
  <c r="J70" i="1813"/>
  <c r="R69" i="1811"/>
  <c r="R70" i="1813"/>
  <c r="AR84" i="1811"/>
  <c r="AR76" i="1813"/>
  <c r="R194" i="1811"/>
  <c r="R214" i="1813" s="1"/>
  <c r="R184" i="1813"/>
  <c r="R111" i="1814" s="1"/>
  <c r="T69" i="1811"/>
  <c r="T70" i="1813"/>
  <c r="BG577" i="1812"/>
  <c r="P194" i="1811"/>
  <c r="P214" i="1813" s="1"/>
  <c r="P192" i="1813"/>
  <c r="E68" i="1811"/>
  <c r="E58" i="1813"/>
  <c r="AS69" i="1811"/>
  <c r="AS70" i="1813"/>
  <c r="AS71" i="1813" s="1"/>
  <c r="F69" i="1811"/>
  <c r="F70" i="1813"/>
  <c r="I16" i="1811"/>
  <c r="I16" i="1813"/>
  <c r="U214" i="1812"/>
  <c r="AJ587" i="1812"/>
  <c r="BD214" i="1812"/>
  <c r="AN580" i="1812"/>
  <c r="BD203" i="1812"/>
  <c r="BD645" i="1812" s="1"/>
  <c r="U207" i="1812"/>
  <c r="U209" i="1812" s="1"/>
  <c r="U212" i="1812" s="1"/>
  <c r="Y349" i="1812"/>
  <c r="AM580" i="1812"/>
  <c r="AI586" i="1812"/>
  <c r="W644" i="1812"/>
  <c r="BC215" i="1812"/>
  <c r="BG210" i="1812"/>
  <c r="AD214" i="1812"/>
  <c r="AI587" i="1812"/>
  <c r="BD354" i="1812"/>
  <c r="BD395" i="1812" s="1"/>
  <c r="BD355" i="1812"/>
  <c r="AB203" i="1812"/>
  <c r="AB207" i="1812" s="1"/>
  <c r="U215" i="1812"/>
  <c r="BF207" i="1812"/>
  <c r="BF217" i="1812" s="1"/>
  <c r="BC214" i="1812"/>
  <c r="AH585" i="1812"/>
  <c r="AJ586" i="1812"/>
  <c r="AU745" i="1812"/>
  <c r="AU3" i="1812"/>
  <c r="AU715" i="1812" s="1"/>
  <c r="AV4" i="1812"/>
  <c r="BB115" i="1812"/>
  <c r="BE644" i="1812"/>
  <c r="BB393" i="1812"/>
  <c r="AH586" i="1812"/>
  <c r="BF644" i="1812"/>
  <c r="Q114" i="1812"/>
  <c r="X194" i="1811"/>
  <c r="X214" i="1813" s="1"/>
  <c r="W194" i="1811"/>
  <c r="W214" i="1813" s="1"/>
  <c r="AA326" i="1812"/>
  <c r="AA327" i="1812" s="1"/>
  <c r="AA328" i="1812" s="1"/>
  <c r="AA342" i="1812" s="1"/>
  <c r="AA344" i="1812" s="1"/>
  <c r="T199" i="1812"/>
  <c r="T203" i="1812" s="1"/>
  <c r="BD644" i="1812"/>
  <c r="AB214" i="1812"/>
  <c r="BD656" i="1812"/>
  <c r="AN583" i="1812"/>
  <c r="R199" i="1812"/>
  <c r="R203" i="1812" s="1"/>
  <c r="W203" i="1812"/>
  <c r="W207" i="1812" s="1"/>
  <c r="W209" i="1812" s="1"/>
  <c r="W212" i="1812" s="1"/>
  <c r="BF215" i="1812"/>
  <c r="BC641" i="1812"/>
  <c r="BC642" i="1812"/>
  <c r="BF655" i="1812"/>
  <c r="Q199" i="1812"/>
  <c r="Q214" i="1812" s="1"/>
  <c r="AH114" i="1812"/>
  <c r="AH651" i="1812" s="1"/>
  <c r="BF214" i="1812"/>
  <c r="W215" i="1812"/>
  <c r="AH352" i="1812"/>
  <c r="AH354" i="1812" s="1"/>
  <c r="AM583" i="1812"/>
  <c r="BD349" i="1812"/>
  <c r="X192" i="1812"/>
  <c r="X199" i="1812" s="1"/>
  <c r="X215" i="1812" s="1"/>
  <c r="BF641" i="1812"/>
  <c r="AD646" i="1812"/>
  <c r="BH30" i="1812"/>
  <c r="BH29" i="1812"/>
  <c r="R114" i="1812"/>
  <c r="R651" i="1812" s="1"/>
  <c r="AG644" i="1812"/>
  <c r="AL18" i="1812"/>
  <c r="AL177" i="1812" s="1"/>
  <c r="AD355" i="1812"/>
  <c r="AI644" i="1812"/>
  <c r="AD354" i="1812"/>
  <c r="AD373" i="1812" s="1"/>
  <c r="AD374" i="1812" s="1"/>
  <c r="AD375" i="1812" s="1"/>
  <c r="AD376" i="1812" s="1"/>
  <c r="AD215" i="1812"/>
  <c r="AC203" i="1812"/>
  <c r="AC642" i="1812" s="1"/>
  <c r="AL583" i="1812"/>
  <c r="AP583" i="1812" s="1"/>
  <c r="AH547" i="1812"/>
  <c r="AH644" i="1812" s="1"/>
  <c r="AE203" i="1812"/>
  <c r="AE214" i="1812"/>
  <c r="AM18" i="1812"/>
  <c r="AM177" i="1812" s="1"/>
  <c r="AC644" i="1812"/>
  <c r="Y644" i="1812"/>
  <c r="Y154" i="1812"/>
  <c r="M72" i="1811"/>
  <c r="M74" i="1813" s="1"/>
  <c r="AE644" i="1812"/>
  <c r="AN635" i="1812"/>
  <c r="AM417" i="1812"/>
  <c r="W483" i="1812"/>
  <c r="AA154" i="1812"/>
  <c r="O72" i="1811"/>
  <c r="O74" i="1813" s="1"/>
  <c r="Z154" i="1812"/>
  <c r="N72" i="1811"/>
  <c r="N74" i="1813" s="1"/>
  <c r="W154" i="1812"/>
  <c r="K72" i="1811"/>
  <c r="K74" i="1813" s="1"/>
  <c r="AK18" i="1812"/>
  <c r="AK177" i="1812" s="1"/>
  <c r="AK613" i="1812" s="1"/>
  <c r="AK514" i="1812" s="1"/>
  <c r="AI154" i="1812"/>
  <c r="W72" i="1811"/>
  <c r="W74" i="1813" s="1"/>
  <c r="AE154" i="1812"/>
  <c r="S72" i="1811"/>
  <c r="S74" i="1813" s="1"/>
  <c r="X483" i="1812"/>
  <c r="AH638" i="1812"/>
  <c r="BD154" i="1812"/>
  <c r="AS72" i="1811"/>
  <c r="AS74" i="1813" s="1"/>
  <c r="T154" i="1812"/>
  <c r="H72" i="1811"/>
  <c r="H74" i="1813" s="1"/>
  <c r="AJ154" i="1812"/>
  <c r="X72" i="1811"/>
  <c r="X74" i="1813" s="1"/>
  <c r="AF154" i="1812"/>
  <c r="T72" i="1811"/>
  <c r="T74" i="1813" s="1"/>
  <c r="V652" i="1812"/>
  <c r="V648" i="1812"/>
  <c r="AD154" i="1812"/>
  <c r="R72" i="1811"/>
  <c r="R74" i="1813" s="1"/>
  <c r="U354" i="1812"/>
  <c r="U373" i="1812" s="1"/>
  <c r="U374" i="1812" s="1"/>
  <c r="U375" i="1812" s="1"/>
  <c r="U376" i="1812" s="1"/>
  <c r="U369" i="1812"/>
  <c r="U370" i="1812" s="1"/>
  <c r="U371" i="1812" s="1"/>
  <c r="U372" i="1812" s="1"/>
  <c r="AJ644" i="1812"/>
  <c r="Y354" i="1812"/>
  <c r="Y369" i="1812"/>
  <c r="Y370" i="1812" s="1"/>
  <c r="Y371" i="1812" s="1"/>
  <c r="Y372" i="1812" s="1"/>
  <c r="Y355" i="1812"/>
  <c r="AF355" i="1812"/>
  <c r="AF369" i="1812"/>
  <c r="AF370" i="1812" s="1"/>
  <c r="AF371" i="1812" s="1"/>
  <c r="AF372" i="1812" s="1"/>
  <c r="AF354" i="1812"/>
  <c r="Z638" i="1812"/>
  <c r="BB164" i="1812"/>
  <c r="BB166" i="1812" s="1"/>
  <c r="AQ74" i="1811"/>
  <c r="AG154" i="1812"/>
  <c r="U72" i="1811"/>
  <c r="U74" i="1813" s="1"/>
  <c r="Z482" i="1812"/>
  <c r="BD482" i="1812" s="1"/>
  <c r="BD483" i="1812" s="1"/>
  <c r="AA482" i="1812" s="1"/>
  <c r="Y483" i="1812"/>
  <c r="AC154" i="1812"/>
  <c r="Q72" i="1811"/>
  <c r="Q74" i="1813" s="1"/>
  <c r="AH154" i="1812"/>
  <c r="V72" i="1811"/>
  <c r="V74" i="1813" s="1"/>
  <c r="AB154" i="1812"/>
  <c r="P72" i="1811"/>
  <c r="P74" i="1813" s="1"/>
  <c r="BE369" i="1812"/>
  <c r="BE370" i="1812" s="1"/>
  <c r="BE371" i="1812" s="1"/>
  <c r="BE372" i="1812" s="1"/>
  <c r="BE355" i="1812"/>
  <c r="BE354" i="1812"/>
  <c r="X369" i="1812"/>
  <c r="X370" i="1812" s="1"/>
  <c r="X371" i="1812" s="1"/>
  <c r="X372" i="1812" s="1"/>
  <c r="X354" i="1812"/>
  <c r="X373" i="1812" s="1"/>
  <c r="X374" i="1812" s="1"/>
  <c r="X375" i="1812" s="1"/>
  <c r="X376" i="1812" s="1"/>
  <c r="V181" i="1812"/>
  <c r="V185" i="1812" s="1"/>
  <c r="V108" i="1812"/>
  <c r="V109" i="1812" s="1"/>
  <c r="BF355" i="1812"/>
  <c r="BF354" i="1812"/>
  <c r="BF369" i="1812"/>
  <c r="BF370" i="1812" s="1"/>
  <c r="BF371" i="1812" s="1"/>
  <c r="BF372" i="1812" s="1"/>
  <c r="AC214" i="1812"/>
  <c r="AD207" i="1812"/>
  <c r="AD641" i="1812"/>
  <c r="AB644" i="1812"/>
  <c r="AF644" i="1812"/>
  <c r="Z349" i="1812"/>
  <c r="Z344" i="1812"/>
  <c r="BB644" i="1812"/>
  <c r="BB550" i="1812"/>
  <c r="AQ198" i="1811" s="1"/>
  <c r="AQ218" i="1813" s="1"/>
  <c r="AN629" i="1812"/>
  <c r="AD393" i="1812"/>
  <c r="AD115" i="1812"/>
  <c r="AH561" i="1812"/>
  <c r="BE203" i="1812"/>
  <c r="BE214" i="1812"/>
  <c r="BE215" i="1812"/>
  <c r="AI355" i="1812"/>
  <c r="AI369" i="1812"/>
  <c r="AI370" i="1812" s="1"/>
  <c r="AI371" i="1812" s="1"/>
  <c r="AI372" i="1812" s="1"/>
  <c r="AI354" i="1812"/>
  <c r="BI29" i="1812"/>
  <c r="BI30" i="1812"/>
  <c r="BJ26" i="1812"/>
  <c r="BJ28" i="1812" s="1"/>
  <c r="AH576" i="1812"/>
  <c r="BF659" i="1812"/>
  <c r="AH652" i="1812"/>
  <c r="BB369" i="1812"/>
  <c r="BB370" i="1812" s="1"/>
  <c r="BB371" i="1812" s="1"/>
  <c r="BB372" i="1812" s="1"/>
  <c r="BB354" i="1812"/>
  <c r="AB393" i="1812"/>
  <c r="AB115" i="1812"/>
  <c r="AJ218" i="1812"/>
  <c r="AJ212" i="1812"/>
  <c r="AJ219" i="1812" s="1"/>
  <c r="X152" i="1812"/>
  <c r="X150" i="1812"/>
  <c r="X186" i="1812" s="1"/>
  <c r="AO26" i="1812"/>
  <c r="AO28" i="1812" s="1"/>
  <c r="AN29" i="1812"/>
  <c r="AN18" i="1812" s="1"/>
  <c r="AN30" i="1812"/>
  <c r="S192" i="1812"/>
  <c r="S199" i="1812" s="1"/>
  <c r="S114" i="1812"/>
  <c r="S651" i="1812" s="1"/>
  <c r="BB203" i="1812"/>
  <c r="BB214" i="1812"/>
  <c r="BB215" i="1812"/>
  <c r="Z203" i="1812"/>
  <c r="Z214" i="1812"/>
  <c r="Z215" i="1812"/>
  <c r="AB326" i="1812"/>
  <c r="AB327" i="1812" s="1"/>
  <c r="AB328" i="1812" s="1"/>
  <c r="AB342" i="1812" s="1"/>
  <c r="AC251" i="1812"/>
  <c r="AC255" i="1812" s="1"/>
  <c r="AC393" i="1812"/>
  <c r="AC115" i="1812"/>
  <c r="AO583" i="1812"/>
  <c r="BF278" i="1812"/>
  <c r="BF282" i="1812" s="1"/>
  <c r="AI278" i="1812" s="1"/>
  <c r="AI282" i="1812" s="1"/>
  <c r="AJ278" i="1812" s="1"/>
  <c r="AJ282" i="1812" s="1"/>
  <c r="AE278" i="1812"/>
  <c r="AE282" i="1812" s="1"/>
  <c r="AF278" i="1812" s="1"/>
  <c r="AF282" i="1812" s="1"/>
  <c r="AG278" i="1812" s="1"/>
  <c r="AG282" i="1812" s="1"/>
  <c r="AH278" i="1812" s="1"/>
  <c r="AH282" i="1812" s="1"/>
  <c r="T354" i="1812"/>
  <c r="T373" i="1812" s="1"/>
  <c r="T374" i="1812" s="1"/>
  <c r="T375" i="1812" s="1"/>
  <c r="T376" i="1812" s="1"/>
  <c r="T369" i="1812"/>
  <c r="T370" i="1812" s="1"/>
  <c r="T371" i="1812" s="1"/>
  <c r="T372" i="1812" s="1"/>
  <c r="AO580" i="1812"/>
  <c r="AA355" i="1812"/>
  <c r="AA369" i="1812"/>
  <c r="AA370" i="1812" s="1"/>
  <c r="AA371" i="1812" s="1"/>
  <c r="AA372" i="1812" s="1"/>
  <c r="AA354" i="1812"/>
  <c r="Z547" i="1812"/>
  <c r="Z644" i="1812" s="1"/>
  <c r="AG203" i="1812"/>
  <c r="AG214" i="1812"/>
  <c r="AG215" i="1812"/>
  <c r="BH576" i="1812"/>
  <c r="AF203" i="1812"/>
  <c r="AF215" i="1812"/>
  <c r="AF214" i="1812"/>
  <c r="BG576" i="1812"/>
  <c r="AR742" i="1812"/>
  <c r="AR740" i="1812"/>
  <c r="AR738" i="1812" s="1"/>
  <c r="A413" i="1812"/>
  <c r="A411" i="1812"/>
  <c r="A408" i="1812"/>
  <c r="A367" i="1812"/>
  <c r="A414" i="1812"/>
  <c r="A412" i="1812"/>
  <c r="A410" i="1812"/>
  <c r="A409" i="1812"/>
  <c r="A3" i="1812"/>
  <c r="AT742" i="1812"/>
  <c r="AS742" i="1812"/>
  <c r="AS740" i="1812"/>
  <c r="AS738" i="1812" s="1"/>
  <c r="B759" i="1812"/>
  <c r="AT740" i="1812"/>
  <c r="AT738" i="1812" s="1"/>
  <c r="AH203" i="1812"/>
  <c r="AH215" i="1812"/>
  <c r="AH214" i="1812"/>
  <c r="BE656" i="1812"/>
  <c r="AA393" i="1812"/>
  <c r="AA115" i="1812"/>
  <c r="AP580" i="1812"/>
  <c r="BH615" i="1812"/>
  <c r="AP383" i="1812"/>
  <c r="AG369" i="1812"/>
  <c r="AG370" i="1812" s="1"/>
  <c r="AG371" i="1812" s="1"/>
  <c r="AG372" i="1812" s="1"/>
  <c r="AG354" i="1812"/>
  <c r="AG355" i="1812"/>
  <c r="AO582" i="1812"/>
  <c r="AB355" i="1812"/>
  <c r="AB369" i="1812"/>
  <c r="AB370" i="1812" s="1"/>
  <c r="AB371" i="1812" s="1"/>
  <c r="AB372" i="1812" s="1"/>
  <c r="AB354" i="1812"/>
  <c r="AF393" i="1812"/>
  <c r="AF115" i="1812"/>
  <c r="BE186" i="1812"/>
  <c r="AP581" i="1812"/>
  <c r="AI393" i="1812"/>
  <c r="AI115" i="1812"/>
  <c r="BJ414" i="1812"/>
  <c r="AK414" i="1812"/>
  <c r="BG411" i="1812"/>
  <c r="BG228" i="1812" s="1"/>
  <c r="AP411" i="1812"/>
  <c r="AP228" i="1812" s="1"/>
  <c r="BI414" i="1812"/>
  <c r="AO411" i="1812"/>
  <c r="AO228" i="1812" s="1"/>
  <c r="BH414" i="1812"/>
  <c r="AN411" i="1812"/>
  <c r="AN228" i="1812" s="1"/>
  <c r="BG414" i="1812"/>
  <c r="AP414" i="1812"/>
  <c r="AM411" i="1812"/>
  <c r="AM228" i="1812" s="1"/>
  <c r="AO414" i="1812"/>
  <c r="BK411" i="1812"/>
  <c r="BK228" i="1812" s="1"/>
  <c r="AL411" i="1812"/>
  <c r="AL228" i="1812" s="1"/>
  <c r="AM414" i="1812"/>
  <c r="BI411" i="1812"/>
  <c r="BI228" i="1812" s="1"/>
  <c r="BK414" i="1812"/>
  <c r="AL414" i="1812"/>
  <c r="BH411" i="1812"/>
  <c r="BH228" i="1812" s="1"/>
  <c r="BJ411" i="1812"/>
  <c r="BJ228" i="1812" s="1"/>
  <c r="AK411" i="1812"/>
  <c r="AK228" i="1812" s="1"/>
  <c r="AN414" i="1812"/>
  <c r="AE393" i="1812"/>
  <c r="AE115" i="1812"/>
  <c r="AI203" i="1812"/>
  <c r="AI215" i="1812"/>
  <c r="AI214" i="1812"/>
  <c r="BE326" i="1812"/>
  <c r="BE327" i="1812" s="1"/>
  <c r="BE328" i="1812" s="1"/>
  <c r="BE342" i="1812" s="1"/>
  <c r="Z393" i="1812"/>
  <c r="Z115" i="1812"/>
  <c r="W393" i="1812"/>
  <c r="W115" i="1812"/>
  <c r="BH648" i="1812"/>
  <c r="AC373" i="1812"/>
  <c r="AC374" i="1812" s="1"/>
  <c r="AC375" i="1812" s="1"/>
  <c r="AC376" i="1812" s="1"/>
  <c r="AC356" i="1812"/>
  <c r="AA203" i="1812"/>
  <c r="AA215" i="1812"/>
  <c r="AA214" i="1812"/>
  <c r="AJ355" i="1812"/>
  <c r="AJ354" i="1812"/>
  <c r="AJ369" i="1812"/>
  <c r="AJ370" i="1812" s="1"/>
  <c r="AJ371" i="1812" s="1"/>
  <c r="AJ372" i="1812" s="1"/>
  <c r="X644" i="1812"/>
  <c r="BG648" i="1812"/>
  <c r="AD245" i="1812"/>
  <c r="AC249" i="1812"/>
  <c r="BF186" i="1812"/>
  <c r="BC369" i="1812"/>
  <c r="BC370" i="1812" s="1"/>
  <c r="BC371" i="1812" s="1"/>
  <c r="BC372" i="1812" s="1"/>
  <c r="BC354" i="1812"/>
  <c r="BC644" i="1812"/>
  <c r="Y393" i="1812"/>
  <c r="Y115" i="1812"/>
  <c r="AA644" i="1812"/>
  <c r="AF251" i="1812"/>
  <c r="AF255" i="1812" s="1"/>
  <c r="AJ393" i="1812"/>
  <c r="AJ115" i="1812"/>
  <c r="AC276" i="1812"/>
  <c r="AD272" i="1812"/>
  <c r="BD186" i="1812"/>
  <c r="AH393" i="1812"/>
  <c r="AH115" i="1812"/>
  <c r="Z355" i="1812"/>
  <c r="Z369" i="1812"/>
  <c r="Z370" i="1812" s="1"/>
  <c r="Z371" i="1812" s="1"/>
  <c r="Z372" i="1812" s="1"/>
  <c r="Z354" i="1812"/>
  <c r="AI251" i="1812"/>
  <c r="AI255" i="1812" s="1"/>
  <c r="V354" i="1812"/>
  <c r="V373" i="1812" s="1"/>
  <c r="V374" i="1812" s="1"/>
  <c r="V375" i="1812" s="1"/>
  <c r="V376" i="1812" s="1"/>
  <c r="V369" i="1812"/>
  <c r="V370" i="1812" s="1"/>
  <c r="V371" i="1812" s="1"/>
  <c r="V372" i="1812" s="1"/>
  <c r="BA5" i="1812"/>
  <c r="K5" i="1812"/>
  <c r="BK597" i="1812"/>
  <c r="BK511" i="1812" s="1"/>
  <c r="AO581" i="1812"/>
  <c r="Y203" i="1812"/>
  <c r="Y215" i="1812"/>
  <c r="Y214" i="1812"/>
  <c r="AE369" i="1812"/>
  <c r="AE370" i="1812" s="1"/>
  <c r="AE371" i="1812" s="1"/>
  <c r="AE372" i="1812" s="1"/>
  <c r="AE354" i="1812"/>
  <c r="AE355" i="1812"/>
  <c r="T393" i="1812"/>
  <c r="T115" i="1812"/>
  <c r="BG614" i="1812"/>
  <c r="AL515" i="1812"/>
  <c r="BG515" i="1812" s="1"/>
  <c r="V198" i="1812"/>
  <c r="V131" i="1812"/>
  <c r="V133" i="1812" s="1"/>
  <c r="S152" i="1812"/>
  <c r="S150" i="1812"/>
  <c r="AB303" i="1812"/>
  <c r="AC299" i="1812"/>
  <c r="BG381" i="1812"/>
  <c r="AM381" i="1812" s="1"/>
  <c r="AG393" i="1812"/>
  <c r="AG115" i="1812"/>
  <c r="Q152" i="1812"/>
  <c r="Q150" i="1812"/>
  <c r="Q186" i="1812" s="1"/>
  <c r="BF656" i="1812"/>
  <c r="AC227" i="121"/>
  <c r="AC230" i="121"/>
  <c r="AC251" i="121"/>
  <c r="AC231" i="121"/>
  <c r="AD241" i="121"/>
  <c r="AD227" i="121"/>
  <c r="AD230" i="121"/>
  <c r="AD231" i="121"/>
  <c r="AD235" i="121"/>
  <c r="AD45" i="121"/>
  <c r="AD55" i="121" s="1"/>
  <c r="AD236" i="121"/>
  <c r="AD46" i="121"/>
  <c r="AD56" i="121" s="1"/>
  <c r="AD240" i="121"/>
  <c r="AB116" i="121"/>
  <c r="AC116" i="121"/>
  <c r="AD116" i="121"/>
  <c r="AC47" i="121"/>
  <c r="C33" i="1806"/>
  <c r="H33" i="1806"/>
  <c r="I33" i="1806" s="1"/>
  <c r="J33" i="1806" s="1"/>
  <c r="K33" i="1806" s="1"/>
  <c r="L33" i="1806" s="1"/>
  <c r="M33" i="1806" s="1"/>
  <c r="N33" i="1806" s="1"/>
  <c r="O33" i="1806" s="1"/>
  <c r="P33" i="1806" s="1"/>
  <c r="Q33" i="1806" s="1"/>
  <c r="R33" i="1806" s="1"/>
  <c r="Z109" i="121"/>
  <c r="AA109" i="121" s="1"/>
  <c r="X64" i="1554"/>
  <c r="AU741" i="1812"/>
  <c r="AU734" i="1812"/>
  <c r="AU727" i="1812"/>
  <c r="AU720" i="1812"/>
  <c r="Y52" i="1821" l="1"/>
  <c r="Y40" i="1821"/>
  <c r="AK106" i="1814"/>
  <c r="AM185" i="121"/>
  <c r="AB186" i="121"/>
  <c r="AC28" i="1814"/>
  <c r="AC30" i="1810" s="1"/>
  <c r="AA37" i="1814"/>
  <c r="AA45" i="1810"/>
  <c r="AA15" i="1810"/>
  <c r="AA75" i="1810"/>
  <c r="AB120" i="1810"/>
  <c r="Y36" i="1810"/>
  <c r="Y40" i="1810"/>
  <c r="Y45" i="1810"/>
  <c r="V40" i="1810"/>
  <c r="AB45" i="1810"/>
  <c r="AC120" i="1810"/>
  <c r="AC15" i="1810"/>
  <c r="AA40" i="1810"/>
  <c r="AA95" i="1810"/>
  <c r="AA100" i="1810" s="1"/>
  <c r="AB95" i="1810"/>
  <c r="AB100" i="1810" s="1"/>
  <c r="AC75" i="1810"/>
  <c r="AB94" i="1814"/>
  <c r="J24" i="1813"/>
  <c r="J22" i="1811"/>
  <c r="J25" i="1813" s="1"/>
  <c r="AJ37" i="1814"/>
  <c r="AA237" i="1814"/>
  <c r="BD642" i="1812"/>
  <c r="BD641" i="1812"/>
  <c r="AH36" i="1814"/>
  <c r="AH37" i="1814" s="1"/>
  <c r="J141" i="1813"/>
  <c r="AM84" i="1814"/>
  <c r="AM95" i="1814" s="1"/>
  <c r="V191" i="1814"/>
  <c r="V196" i="1814"/>
  <c r="AK107" i="1814"/>
  <c r="V43" i="1814"/>
  <c r="V53" i="1814" s="1"/>
  <c r="AK185" i="1814"/>
  <c r="AK190" i="1814"/>
  <c r="AA94" i="1814"/>
  <c r="AK75" i="1814"/>
  <c r="AK94" i="1814" s="1"/>
  <c r="W52" i="1814"/>
  <c r="AK42" i="1814"/>
  <c r="V47" i="1814"/>
  <c r="V186" i="1814"/>
  <c r="AK181" i="1814"/>
  <c r="AK191" i="1814" s="1"/>
  <c r="W196" i="1814"/>
  <c r="Q71" i="1813"/>
  <c r="Q64" i="1814"/>
  <c r="W71" i="1813"/>
  <c r="W64" i="1814"/>
  <c r="I71" i="1813"/>
  <c r="I64" i="1814"/>
  <c r="T71" i="1813"/>
  <c r="T64" i="1814"/>
  <c r="R71" i="1813"/>
  <c r="R64" i="1814"/>
  <c r="X71" i="1813"/>
  <c r="X64" i="1814"/>
  <c r="X50" i="1810" s="1"/>
  <c r="X65" i="1810" s="1"/>
  <c r="U208" i="1814"/>
  <c r="U211" i="1814"/>
  <c r="V37" i="1814"/>
  <c r="AK36" i="1814"/>
  <c r="AK37" i="1814" s="1"/>
  <c r="S71" i="1813"/>
  <c r="S64" i="1814"/>
  <c r="R94" i="1814"/>
  <c r="R103" i="1814" s="1"/>
  <c r="AJ75" i="1814"/>
  <c r="AJ94" i="1814" s="1"/>
  <c r="O71" i="1813"/>
  <c r="O64" i="1814"/>
  <c r="K71" i="1813"/>
  <c r="K64" i="1814"/>
  <c r="P71" i="1813"/>
  <c r="P64" i="1814"/>
  <c r="V71" i="1813"/>
  <c r="V64" i="1814"/>
  <c r="N71" i="1813"/>
  <c r="N64" i="1814"/>
  <c r="R207" i="1814"/>
  <c r="AJ206" i="1814"/>
  <c r="U71" i="1813"/>
  <c r="U64" i="1814"/>
  <c r="J71" i="1813"/>
  <c r="J64" i="1814"/>
  <c r="J70" i="1814" s="1"/>
  <c r="V142" i="1814"/>
  <c r="AK142" i="1814" s="1"/>
  <c r="V238" i="1814"/>
  <c r="U94" i="1814"/>
  <c r="U103" i="1814" s="1"/>
  <c r="U76" i="1814"/>
  <c r="T94" i="1814"/>
  <c r="T103" i="1814" s="1"/>
  <c r="T76" i="1814"/>
  <c r="M71" i="1813"/>
  <c r="M64" i="1814"/>
  <c r="V15" i="1814"/>
  <c r="T207" i="1814"/>
  <c r="U210" i="1814" s="1"/>
  <c r="AK206" i="1814"/>
  <c r="F71" i="1813"/>
  <c r="F64" i="1814"/>
  <c r="H71" i="1813"/>
  <c r="H64" i="1814"/>
  <c r="H67" i="1814" s="1"/>
  <c r="AB52" i="1814"/>
  <c r="AB47" i="1814"/>
  <c r="AB57" i="1814"/>
  <c r="AK51" i="1814"/>
  <c r="AK46" i="1814"/>
  <c r="AI53" i="1814"/>
  <c r="AI48" i="1814"/>
  <c r="AI58" i="1814"/>
  <c r="AJ48" i="1814"/>
  <c r="AJ53" i="1814"/>
  <c r="W210" i="1814"/>
  <c r="V210" i="1814"/>
  <c r="W209" i="1814"/>
  <c r="V209" i="1814"/>
  <c r="AC36" i="1814"/>
  <c r="AC34" i="1814"/>
  <c r="AC128" i="1814"/>
  <c r="AC124" i="1814"/>
  <c r="AC129" i="1814" s="1"/>
  <c r="AA129" i="1814"/>
  <c r="L191" i="1814"/>
  <c r="L196" i="1814"/>
  <c r="L201" i="1814"/>
  <c r="P186" i="1814"/>
  <c r="M196" i="1814"/>
  <c r="M191" i="1814"/>
  <c r="AA146" i="1814"/>
  <c r="N128" i="1814"/>
  <c r="AI122" i="1814"/>
  <c r="N124" i="1814"/>
  <c r="Z127" i="1814"/>
  <c r="AL121" i="1814"/>
  <c r="AL127" i="1814" s="1"/>
  <c r="R141" i="1814"/>
  <c r="R143" i="1814" s="1"/>
  <c r="R128" i="1814"/>
  <c r="AJ122" i="1814"/>
  <c r="R124" i="1814"/>
  <c r="AJ111" i="1814"/>
  <c r="J121" i="1814"/>
  <c r="J9" i="1814"/>
  <c r="AK111" i="1814"/>
  <c r="AC236" i="1814"/>
  <c r="AB237" i="1814"/>
  <c r="V141" i="1814"/>
  <c r="V128" i="1814"/>
  <c r="AK122" i="1814"/>
  <c r="V124" i="1814"/>
  <c r="N20" i="1814"/>
  <c r="N12" i="1814"/>
  <c r="Z135" i="1814"/>
  <c r="AL133" i="1814"/>
  <c r="AM25" i="1814"/>
  <c r="AL19" i="1814"/>
  <c r="AK135" i="1814"/>
  <c r="AD19" i="1814"/>
  <c r="AD121" i="1814"/>
  <c r="AD133" i="1814"/>
  <c r="AM9" i="1814"/>
  <c r="AM19" i="1814" s="1"/>
  <c r="R20" i="1814"/>
  <c r="AJ10" i="1814"/>
  <c r="R12" i="1814"/>
  <c r="R253" i="1814" s="1"/>
  <c r="R254" i="1814" s="1"/>
  <c r="V20" i="1814"/>
  <c r="AK10" i="1814"/>
  <c r="AL26" i="1814" s="1"/>
  <c r="Z27" i="1814"/>
  <c r="Z20" i="1810" s="1"/>
  <c r="V12" i="1814"/>
  <c r="AI135" i="1814"/>
  <c r="AH19" i="1814"/>
  <c r="AI19" i="1814"/>
  <c r="I16" i="1814"/>
  <c r="L21" i="1814"/>
  <c r="L27" i="1814" s="1"/>
  <c r="H16" i="1814"/>
  <c r="L13" i="1814"/>
  <c r="L34" i="1814" s="1"/>
  <c r="R215" i="1812"/>
  <c r="R214" i="1812"/>
  <c r="BD207" i="1812"/>
  <c r="BD217" i="1812" s="1"/>
  <c r="BD373" i="1812"/>
  <c r="BD374" i="1812" s="1"/>
  <c r="BD375" i="1812" s="1"/>
  <c r="BD376" i="1812" s="1"/>
  <c r="V194" i="1811"/>
  <c r="V214" i="1813" s="1"/>
  <c r="F131" i="1811"/>
  <c r="F151" i="1813" s="1"/>
  <c r="F152" i="1813" s="1"/>
  <c r="BD356" i="1812"/>
  <c r="BD404" i="1812" s="1"/>
  <c r="R131" i="1811"/>
  <c r="R141" i="1813"/>
  <c r="N131" i="1811"/>
  <c r="F86" i="1811"/>
  <c r="F88" i="1813" s="1"/>
  <c r="F86" i="1813"/>
  <c r="I24" i="1811"/>
  <c r="I18" i="1813"/>
  <c r="J86" i="1811"/>
  <c r="J88" i="1813" s="1"/>
  <c r="J86" i="1813"/>
  <c r="J194" i="1811"/>
  <c r="J214" i="1813" s="1"/>
  <c r="J192" i="1813"/>
  <c r="L24" i="1811"/>
  <c r="L18" i="1813"/>
  <c r="V141" i="1813"/>
  <c r="V131" i="1811"/>
  <c r="AR86" i="1811"/>
  <c r="AR88" i="1813" s="1"/>
  <c r="AR86" i="1813"/>
  <c r="AU740" i="1812"/>
  <c r="AU738" i="1812" s="1"/>
  <c r="I86" i="1811"/>
  <c r="I88" i="1813" s="1"/>
  <c r="I86" i="1813"/>
  <c r="E16" i="1813"/>
  <c r="F16" i="1813"/>
  <c r="L69" i="1811"/>
  <c r="L70" i="1813"/>
  <c r="J132" i="1811"/>
  <c r="J151" i="1813"/>
  <c r="J152" i="1813" s="1"/>
  <c r="G18" i="1813"/>
  <c r="V24" i="1811"/>
  <c r="V18" i="1813"/>
  <c r="J16" i="1813"/>
  <c r="H16" i="1813"/>
  <c r="AQ69" i="1811"/>
  <c r="AQ70" i="1813"/>
  <c r="AQ84" i="1811"/>
  <c r="AQ76" i="1813"/>
  <c r="W641" i="1812"/>
  <c r="E69" i="1811"/>
  <c r="E70" i="1813"/>
  <c r="G69" i="1811"/>
  <c r="G70" i="1813"/>
  <c r="AB641" i="1812"/>
  <c r="AB642" i="1812"/>
  <c r="AU742" i="1812"/>
  <c r="X203" i="1812"/>
  <c r="AB645" i="1812" s="1"/>
  <c r="T215" i="1812"/>
  <c r="T214" i="1812"/>
  <c r="AA349" i="1812"/>
  <c r="W642" i="1812"/>
  <c r="BF209" i="1812"/>
  <c r="BF218" i="1812" s="1"/>
  <c r="AC207" i="1812"/>
  <c r="AC217" i="1812" s="1"/>
  <c r="Q203" i="1812"/>
  <c r="R645" i="1812" s="1"/>
  <c r="AC645" i="1812"/>
  <c r="X214" i="1812"/>
  <c r="AV3" i="1812"/>
  <c r="AV715" i="1812" s="1"/>
  <c r="AW4" i="1812"/>
  <c r="AV745" i="1812"/>
  <c r="AU726" i="1812"/>
  <c r="AU724" i="1812" s="1"/>
  <c r="AU719" i="1812"/>
  <c r="AU717" i="1812" s="1"/>
  <c r="AU735" i="1812"/>
  <c r="AU728" i="1812"/>
  <c r="AU733" i="1812"/>
  <c r="AU731" i="1812" s="1"/>
  <c r="AU721" i="1812"/>
  <c r="AH369" i="1812"/>
  <c r="AH370" i="1812" s="1"/>
  <c r="AH371" i="1812" s="1"/>
  <c r="AH372" i="1812" s="1"/>
  <c r="AH355" i="1812"/>
  <c r="Q215" i="1812"/>
  <c r="AD356" i="1812"/>
  <c r="AC641" i="1812"/>
  <c r="AE326" i="1812"/>
  <c r="AE327" i="1812" s="1"/>
  <c r="AE328" i="1812" s="1"/>
  <c r="AE342" i="1812" s="1"/>
  <c r="AE349" i="1812" s="1"/>
  <c r="BG18" i="1812"/>
  <c r="AL613" i="1812"/>
  <c r="BG613" i="1812" s="1"/>
  <c r="AE641" i="1812"/>
  <c r="AE642" i="1812"/>
  <c r="AE207" i="1812"/>
  <c r="AL643" i="1812"/>
  <c r="X154" i="1812"/>
  <c r="L72" i="1811"/>
  <c r="L74" i="1813" s="1"/>
  <c r="AG164" i="1812"/>
  <c r="AG166" i="1812" s="1"/>
  <c r="U74" i="1811"/>
  <c r="BF326" i="1812"/>
  <c r="BF327" i="1812" s="1"/>
  <c r="BF328" i="1812" s="1"/>
  <c r="BF342" i="1812" s="1"/>
  <c r="BF349" i="1812" s="1"/>
  <c r="AD644" i="1812"/>
  <c r="AH164" i="1812"/>
  <c r="AH166" i="1812" s="1"/>
  <c r="V74" i="1811"/>
  <c r="Y373" i="1812"/>
  <c r="Y374" i="1812" s="1"/>
  <c r="Y375" i="1812" s="1"/>
  <c r="Y376" i="1812" s="1"/>
  <c r="Y356" i="1812"/>
  <c r="Z483" i="1812"/>
  <c r="BD164" i="1812"/>
  <c r="BD166" i="1812" s="1"/>
  <c r="AS74" i="1811"/>
  <c r="AM611" i="1812"/>
  <c r="AM595" i="1812"/>
  <c r="BE395" i="1812"/>
  <c r="BE373" i="1812"/>
  <c r="BE374" i="1812" s="1"/>
  <c r="BE375" i="1812" s="1"/>
  <c r="BE376" i="1812" s="1"/>
  <c r="BE356" i="1812"/>
  <c r="BE404" i="1812" s="1"/>
  <c r="W164" i="1812"/>
  <c r="W166" i="1812" s="1"/>
  <c r="K74" i="1811"/>
  <c r="AO635" i="1812"/>
  <c r="AN417" i="1812"/>
  <c r="BF356" i="1812"/>
  <c r="BF404" i="1812" s="1"/>
  <c r="BF373" i="1812"/>
  <c r="BF374" i="1812" s="1"/>
  <c r="BF375" i="1812" s="1"/>
  <c r="BF376" i="1812" s="1"/>
  <c r="BF395" i="1812"/>
  <c r="AC164" i="1812"/>
  <c r="AC166" i="1812" s="1"/>
  <c r="Q74" i="1811"/>
  <c r="AF164" i="1812"/>
  <c r="AF166" i="1812" s="1"/>
  <c r="T74" i="1811"/>
  <c r="AF373" i="1812"/>
  <c r="AF374" i="1812" s="1"/>
  <c r="AF375" i="1812" s="1"/>
  <c r="AF376" i="1812" s="1"/>
  <c r="AF356" i="1812"/>
  <c r="Z164" i="1812"/>
  <c r="Z166" i="1812" s="1"/>
  <c r="N74" i="1811"/>
  <c r="S154" i="1812"/>
  <c r="G72" i="1811"/>
  <c r="G74" i="1813" s="1"/>
  <c r="AJ164" i="1812"/>
  <c r="AJ166" i="1812" s="1"/>
  <c r="X74" i="1811"/>
  <c r="AE164" i="1812"/>
  <c r="AE166" i="1812" s="1"/>
  <c r="S74" i="1811"/>
  <c r="Y164" i="1812"/>
  <c r="Y166" i="1812" s="1"/>
  <c r="M74" i="1811"/>
  <c r="Q154" i="1812"/>
  <c r="E72" i="1811"/>
  <c r="E74" i="1813" s="1"/>
  <c r="V192" i="1812"/>
  <c r="V199" i="1812" s="1"/>
  <c r="V114" i="1812"/>
  <c r="V651" i="1812" s="1"/>
  <c r="AB482" i="1812"/>
  <c r="AA483" i="1812"/>
  <c r="AD164" i="1812"/>
  <c r="AD166" i="1812" s="1"/>
  <c r="R74" i="1811"/>
  <c r="AA164" i="1812"/>
  <c r="AA166" i="1812" s="1"/>
  <c r="O74" i="1811"/>
  <c r="AB164" i="1812"/>
  <c r="AB166" i="1812" s="1"/>
  <c r="P74" i="1811"/>
  <c r="T164" i="1812"/>
  <c r="T166" i="1812" s="1"/>
  <c r="H74" i="1811"/>
  <c r="AI164" i="1812"/>
  <c r="AI166" i="1812" s="1"/>
  <c r="W74" i="1811"/>
  <c r="AM613" i="1812"/>
  <c r="AD217" i="1812"/>
  <c r="AD209" i="1812"/>
  <c r="AK611" i="1812"/>
  <c r="AK512" i="1812" s="1"/>
  <c r="S186" i="1812"/>
  <c r="AB356" i="1812"/>
  <c r="AB373" i="1812"/>
  <c r="AB374" i="1812" s="1"/>
  <c r="AB375" i="1812" s="1"/>
  <c r="AB376" i="1812" s="1"/>
  <c r="AG645" i="1812"/>
  <c r="AG207" i="1812"/>
  <c r="AG642" i="1812"/>
  <c r="AG641" i="1812"/>
  <c r="X393" i="1812"/>
  <c r="X115" i="1812"/>
  <c r="BJ30" i="1812"/>
  <c r="BK26" i="1812"/>
  <c r="BK28" i="1812" s="1"/>
  <c r="BJ29" i="1812"/>
  <c r="AM183" i="1812"/>
  <c r="AM180" i="1812"/>
  <c r="AM181" i="1812" s="1"/>
  <c r="AM184" i="1812"/>
  <c r="AM9" i="1812"/>
  <c r="BB647" i="1812"/>
  <c r="BB555" i="1812"/>
  <c r="BC549" i="1812"/>
  <c r="T549" i="1812"/>
  <c r="Q393" i="1812"/>
  <c r="Q115" i="1812"/>
  <c r="BC373" i="1812"/>
  <c r="BC374" i="1812" s="1"/>
  <c r="BC375" i="1812" s="1"/>
  <c r="BC376" i="1812" s="1"/>
  <c r="BC395" i="1812"/>
  <c r="AG356" i="1812"/>
  <c r="AG373" i="1812"/>
  <c r="AG374" i="1812" s="1"/>
  <c r="AG375" i="1812" s="1"/>
  <c r="AG376" i="1812" s="1"/>
  <c r="AC326" i="1812"/>
  <c r="AC327" i="1812" s="1"/>
  <c r="AC328" i="1812" s="1"/>
  <c r="AC342" i="1812" s="1"/>
  <c r="AD251" i="1812"/>
  <c r="AD255" i="1812" s="1"/>
  <c r="AM643" i="1812"/>
  <c r="AB217" i="1812"/>
  <c r="AB209" i="1812"/>
  <c r="AI326" i="1812"/>
  <c r="AI327" i="1812" s="1"/>
  <c r="AI328" i="1812" s="1"/>
  <c r="AI342" i="1812" s="1"/>
  <c r="AJ251" i="1812"/>
  <c r="AJ255" i="1812" s="1"/>
  <c r="BE349" i="1812"/>
  <c r="BE344" i="1812"/>
  <c r="AB349" i="1812"/>
  <c r="AB344" i="1812"/>
  <c r="BB645" i="1812"/>
  <c r="BB207" i="1812"/>
  <c r="BB209" i="1812" s="1"/>
  <c r="BB212" i="1812" s="1"/>
  <c r="BB642" i="1812"/>
  <c r="BB641" i="1812"/>
  <c r="BC645" i="1812"/>
  <c r="BB373" i="1812"/>
  <c r="BB374" i="1812" s="1"/>
  <c r="BB375" i="1812" s="1"/>
  <c r="BB376" i="1812" s="1"/>
  <c r="BB395" i="1812"/>
  <c r="AH356" i="1812"/>
  <c r="AH373" i="1812"/>
  <c r="AH374" i="1812" s="1"/>
  <c r="AH375" i="1812" s="1"/>
  <c r="AH376" i="1812" s="1"/>
  <c r="L5" i="1812"/>
  <c r="M5" i="1812" s="1"/>
  <c r="N5" i="1812" s="1"/>
  <c r="BF393" i="1812"/>
  <c r="BF394" i="1812"/>
  <c r="BF115" i="1812"/>
  <c r="AL611" i="1812"/>
  <c r="AK595" i="1812"/>
  <c r="BE653" i="1812"/>
  <c r="BE645" i="1812"/>
  <c r="BE207" i="1812"/>
  <c r="BE642" i="1812"/>
  <c r="BE641" i="1812"/>
  <c r="BF645" i="1812"/>
  <c r="BB5" i="1812"/>
  <c r="O5" i="1812"/>
  <c r="P5" i="1812" s="1"/>
  <c r="Q5" i="1812" s="1"/>
  <c r="R5" i="1812" s="1"/>
  <c r="Z356" i="1812"/>
  <c r="Z373" i="1812"/>
  <c r="Z374" i="1812" s="1"/>
  <c r="Z375" i="1812" s="1"/>
  <c r="Z376" i="1812" s="1"/>
  <c r="AD276" i="1812"/>
  <c r="BE272" i="1812"/>
  <c r="BE276" i="1812" s="1"/>
  <c r="AE272" i="1812" s="1"/>
  <c r="AL595" i="1812"/>
  <c r="BG595" i="1812" s="1"/>
  <c r="BE393" i="1812"/>
  <c r="BE115" i="1812"/>
  <c r="BE394" i="1812"/>
  <c r="AA356" i="1812"/>
  <c r="AA373" i="1812"/>
  <c r="AA374" i="1812" s="1"/>
  <c r="AA375" i="1812" s="1"/>
  <c r="AA376" i="1812" s="1"/>
  <c r="S203" i="1812"/>
  <c r="T645" i="1812" s="1"/>
  <c r="S215" i="1812"/>
  <c r="S214" i="1812"/>
  <c r="AM621" i="1812"/>
  <c r="AN381" i="1812"/>
  <c r="AG251" i="1812"/>
  <c r="AG255" i="1812" s="1"/>
  <c r="AF326" i="1812"/>
  <c r="AF327" i="1812" s="1"/>
  <c r="AF328" i="1812" s="1"/>
  <c r="AF342" i="1812" s="1"/>
  <c r="AI645" i="1812"/>
  <c r="AI207" i="1812"/>
  <c r="AI641" i="1812"/>
  <c r="AI642" i="1812"/>
  <c r="BI615" i="1812"/>
  <c r="BH383" i="1812"/>
  <c r="AH207" i="1812"/>
  <c r="AH645" i="1812"/>
  <c r="AH641" i="1812"/>
  <c r="AH642" i="1812"/>
  <c r="AF645" i="1812"/>
  <c r="AF207" i="1812"/>
  <c r="AF642" i="1812"/>
  <c r="AJ645" i="1812"/>
  <c r="AF641" i="1812"/>
  <c r="BF653" i="1812"/>
  <c r="R207" i="1812"/>
  <c r="R209" i="1812" s="1"/>
  <c r="R212" i="1812" s="1"/>
  <c r="R642" i="1812"/>
  <c r="T207" i="1812"/>
  <c r="T209" i="1812" s="1"/>
  <c r="T212" i="1812" s="1"/>
  <c r="T642" i="1812"/>
  <c r="V135" i="1812"/>
  <c r="BD393" i="1812"/>
  <c r="BD115" i="1812"/>
  <c r="BD394" i="1812"/>
  <c r="AD249" i="1812"/>
  <c r="BE245" i="1812"/>
  <c r="BE249" i="1812" s="1"/>
  <c r="AE245" i="1812" s="1"/>
  <c r="AA645" i="1812"/>
  <c r="AA207" i="1812"/>
  <c r="AA641" i="1812"/>
  <c r="AA642" i="1812"/>
  <c r="AE645" i="1812"/>
  <c r="AK183" i="1812"/>
  <c r="AK180" i="1812"/>
  <c r="AK181" i="1812" s="1"/>
  <c r="AK184" i="1812"/>
  <c r="BG177" i="1812"/>
  <c r="AK9" i="1812"/>
  <c r="AL593" i="1812"/>
  <c r="BG593" i="1812" s="1"/>
  <c r="Z207" i="1812"/>
  <c r="Z642" i="1812"/>
  <c r="AD645" i="1812"/>
  <c r="Z641" i="1812"/>
  <c r="AN177" i="1812"/>
  <c r="AI356" i="1812"/>
  <c r="AI373" i="1812"/>
  <c r="AI374" i="1812" s="1"/>
  <c r="AI375" i="1812" s="1"/>
  <c r="AI376" i="1812" s="1"/>
  <c r="AO629" i="1812"/>
  <c r="AJ373" i="1812"/>
  <c r="AJ374" i="1812" s="1"/>
  <c r="AJ375" i="1812" s="1"/>
  <c r="AJ376" i="1812" s="1"/>
  <c r="AJ356" i="1812"/>
  <c r="AD299" i="1812"/>
  <c r="AC303" i="1812"/>
  <c r="BG380" i="1812"/>
  <c r="BG382" i="1812"/>
  <c r="AE373" i="1812"/>
  <c r="AE374" i="1812" s="1"/>
  <c r="AE375" i="1812" s="1"/>
  <c r="AE376" i="1812" s="1"/>
  <c r="AE356" i="1812"/>
  <c r="Y645" i="1812"/>
  <c r="Y207" i="1812"/>
  <c r="Y641" i="1812"/>
  <c r="Y642" i="1812"/>
  <c r="AL183" i="1812"/>
  <c r="AL180" i="1812"/>
  <c r="AL181" i="1812" s="1"/>
  <c r="AL184" i="1812"/>
  <c r="AL9" i="1812"/>
  <c r="AM593" i="1812"/>
  <c r="AK643" i="1812"/>
  <c r="BG413" i="1812"/>
  <c r="BG398" i="1812" s="1"/>
  <c r="AP413" i="1812"/>
  <c r="AP398" i="1812" s="1"/>
  <c r="AO413" i="1812"/>
  <c r="AO398" i="1812" s="1"/>
  <c r="AN413" i="1812"/>
  <c r="AN398" i="1812" s="1"/>
  <c r="AM413" i="1812"/>
  <c r="AM398" i="1812" s="1"/>
  <c r="BK413" i="1812"/>
  <c r="BK398" i="1812" s="1"/>
  <c r="AL413" i="1812"/>
  <c r="AL398" i="1812" s="1"/>
  <c r="BI413" i="1812"/>
  <c r="BI398" i="1812" s="1"/>
  <c r="BH413" i="1812"/>
  <c r="BH398" i="1812" s="1"/>
  <c r="BJ413" i="1812"/>
  <c r="BJ398" i="1812" s="1"/>
  <c r="AK413" i="1812"/>
  <c r="AK398" i="1812" s="1"/>
  <c r="AK593" i="1812"/>
  <c r="AP26" i="1812"/>
  <c r="AP28" i="1812" s="1"/>
  <c r="AO29" i="1812"/>
  <c r="AO18" i="1812" s="1"/>
  <c r="AO30" i="1812"/>
  <c r="AD237" i="121"/>
  <c r="AD242" i="121"/>
  <c r="AB109" i="121"/>
  <c r="AC109" i="121" s="1"/>
  <c r="AD109" i="121" s="1"/>
  <c r="AD47" i="121"/>
  <c r="AD57" i="121" s="1"/>
  <c r="AV741" i="1812"/>
  <c r="AV734" i="1812"/>
  <c r="AV727" i="1812"/>
  <c r="AV720" i="1812"/>
  <c r="R32" i="1814" l="1"/>
  <c r="N22" i="1814"/>
  <c r="O22" i="1814"/>
  <c r="O28" i="1814" s="1"/>
  <c r="O30" i="1810" s="1"/>
  <c r="V253" i="1814"/>
  <c r="V254" i="1814" s="1"/>
  <c r="V22" i="1814"/>
  <c r="W22" i="1814"/>
  <c r="W28" i="1814" s="1"/>
  <c r="W30" i="1810" s="1"/>
  <c r="R22" i="1814"/>
  <c r="R28" i="1814" s="1"/>
  <c r="R30" i="1810" s="1"/>
  <c r="S22" i="1814"/>
  <c r="S28" i="1814" s="1"/>
  <c r="S30" i="1810" s="1"/>
  <c r="N253" i="1814"/>
  <c r="N254" i="1814" s="1"/>
  <c r="X55" i="1810"/>
  <c r="X80" i="1810"/>
  <c r="X60" i="1810"/>
  <c r="Y14" i="1821"/>
  <c r="Y46" i="1810"/>
  <c r="AC35" i="1810"/>
  <c r="AC40" i="1810" s="1"/>
  <c r="H66" i="1814"/>
  <c r="AI37" i="1814"/>
  <c r="X641" i="1812"/>
  <c r="X207" i="1812"/>
  <c r="X209" i="1812" s="1"/>
  <c r="X212" i="1812" s="1"/>
  <c r="X645" i="1812"/>
  <c r="W53" i="1814"/>
  <c r="AK43" i="1814"/>
  <c r="AK53" i="1814" s="1"/>
  <c r="F132" i="1811"/>
  <c r="V48" i="1814"/>
  <c r="BD209" i="1812"/>
  <c r="BD218" i="1812" s="1"/>
  <c r="AK103" i="1814"/>
  <c r="AK47" i="1814"/>
  <c r="AK52" i="1814"/>
  <c r="Z130" i="1814"/>
  <c r="AC37" i="1814"/>
  <c r="AK196" i="1814"/>
  <c r="AK186" i="1814"/>
  <c r="AQ71" i="1813"/>
  <c r="AG64" i="1814"/>
  <c r="T65" i="1814"/>
  <c r="T70" i="1814"/>
  <c r="T66" i="1814"/>
  <c r="T67" i="1814"/>
  <c r="M65" i="1814"/>
  <c r="M70" i="1814"/>
  <c r="M66" i="1814"/>
  <c r="M67" i="1814"/>
  <c r="R210" i="1814"/>
  <c r="R209" i="1814"/>
  <c r="S209" i="1814"/>
  <c r="S210" i="1814"/>
  <c r="AJ207" i="1814"/>
  <c r="T211" i="1814"/>
  <c r="T208" i="1814"/>
  <c r="T210" i="1814"/>
  <c r="T209" i="1814"/>
  <c r="N70" i="1814"/>
  <c r="N65" i="1814"/>
  <c r="I70" i="1814"/>
  <c r="I66" i="1814"/>
  <c r="O70" i="1814"/>
  <c r="O65" i="1814"/>
  <c r="AJ64" i="1814"/>
  <c r="O66" i="1814"/>
  <c r="O67" i="1814"/>
  <c r="S65" i="1814"/>
  <c r="AK64" i="1814"/>
  <c r="S70" i="1814"/>
  <c r="S66" i="1814"/>
  <c r="S67" i="1814"/>
  <c r="U209" i="1814"/>
  <c r="V208" i="1814"/>
  <c r="V70" i="1814"/>
  <c r="V65" i="1814"/>
  <c r="W70" i="1814"/>
  <c r="W65" i="1814"/>
  <c r="W66" i="1814"/>
  <c r="W67" i="1814"/>
  <c r="J93" i="1814"/>
  <c r="J83" i="1814"/>
  <c r="J85" i="1814" s="1"/>
  <c r="J78" i="1814"/>
  <c r="R65" i="1814"/>
  <c r="R70" i="1814"/>
  <c r="R72" i="1814" s="1"/>
  <c r="P70" i="1814"/>
  <c r="P66" i="1814"/>
  <c r="Q70" i="1814"/>
  <c r="Q65" i="1814"/>
  <c r="Q67" i="1814"/>
  <c r="Q66" i="1814"/>
  <c r="L71" i="1813"/>
  <c r="L64" i="1814"/>
  <c r="P65" i="1814" s="1"/>
  <c r="AK207" i="1814"/>
  <c r="K70" i="1814"/>
  <c r="K66" i="1814"/>
  <c r="X70" i="1814"/>
  <c r="X65" i="1814"/>
  <c r="X66" i="1814"/>
  <c r="X67" i="1814"/>
  <c r="AC76" i="1814"/>
  <c r="AC75" i="1814" s="1"/>
  <c r="U65" i="1814"/>
  <c r="U70" i="1814"/>
  <c r="U66" i="1814"/>
  <c r="U67" i="1814"/>
  <c r="G71" i="1813"/>
  <c r="G64" i="1814"/>
  <c r="H70" i="1814"/>
  <c r="E71" i="1813"/>
  <c r="E64" i="1814"/>
  <c r="J65" i="1814"/>
  <c r="F70" i="1814"/>
  <c r="F66" i="1814"/>
  <c r="AJ103" i="1814"/>
  <c r="AI137" i="1814"/>
  <c r="AI138" i="1814" s="1"/>
  <c r="R145" i="1814"/>
  <c r="AJ143" i="1814"/>
  <c r="V143" i="1814"/>
  <c r="Z142" i="1814"/>
  <c r="AK141" i="1814"/>
  <c r="AH186" i="1814"/>
  <c r="AH191" i="1814"/>
  <c r="AH196" i="1814"/>
  <c r="AI191" i="1814"/>
  <c r="AI186" i="1814"/>
  <c r="AI196" i="1814"/>
  <c r="AD135" i="1814"/>
  <c r="AM133" i="1814"/>
  <c r="R129" i="1814"/>
  <c r="AJ124" i="1814"/>
  <c r="AK20" i="1814"/>
  <c r="Z137" i="1814"/>
  <c r="AL135" i="1814"/>
  <c r="R38" i="1814"/>
  <c r="R58" i="1814"/>
  <c r="R66" i="1814"/>
  <c r="R56" i="1814"/>
  <c r="R211" i="1814"/>
  <c r="R76" i="1814"/>
  <c r="R200" i="1814"/>
  <c r="R16" i="1814"/>
  <c r="R57" i="1814"/>
  <c r="R199" i="1814"/>
  <c r="R201" i="1814"/>
  <c r="R13" i="1814"/>
  <c r="R67" i="1814"/>
  <c r="R21" i="1814"/>
  <c r="S16" i="1814"/>
  <c r="AJ20" i="1814"/>
  <c r="AJ12" i="1814"/>
  <c r="V32" i="1814" s="1"/>
  <c r="AI124" i="1814"/>
  <c r="V138" i="1814"/>
  <c r="V25" i="1814" s="1"/>
  <c r="AK137" i="1814"/>
  <c r="AI141" i="1814"/>
  <c r="AI128" i="1814"/>
  <c r="V76" i="1814"/>
  <c r="Z76" i="1814" s="1"/>
  <c r="AD76" i="1814" s="1"/>
  <c r="V21" i="1814"/>
  <c r="V13" i="1814"/>
  <c r="V16" i="1814"/>
  <c r="V66" i="1814"/>
  <c r="V200" i="1814"/>
  <c r="V38" i="1814"/>
  <c r="Z38" i="1814" s="1"/>
  <c r="AD38" i="1814" s="1"/>
  <c r="V57" i="1814"/>
  <c r="V67" i="1814"/>
  <c r="V58" i="1814"/>
  <c r="V56" i="1814"/>
  <c r="V199" i="1814"/>
  <c r="V201" i="1814"/>
  <c r="V211" i="1814"/>
  <c r="W16" i="1814"/>
  <c r="AK12" i="1814"/>
  <c r="N201" i="1814"/>
  <c r="N16" i="1814"/>
  <c r="N66" i="1814"/>
  <c r="N38" i="1814"/>
  <c r="N58" i="1814"/>
  <c r="N76" i="1814"/>
  <c r="O16" i="1814"/>
  <c r="V236" i="1814"/>
  <c r="AK128" i="1814"/>
  <c r="AD236" i="1814"/>
  <c r="AD237" i="1814" s="1"/>
  <c r="AC237" i="1814"/>
  <c r="N236" i="1814"/>
  <c r="N237" i="1814" s="1"/>
  <c r="V129" i="1814"/>
  <c r="AK124" i="1814"/>
  <c r="AJ141" i="1814"/>
  <c r="AJ128" i="1814"/>
  <c r="R236" i="1814"/>
  <c r="R237" i="1814" s="1"/>
  <c r="J12" i="1814"/>
  <c r="N19" i="1814"/>
  <c r="AD127" i="1814"/>
  <c r="AM121" i="1814"/>
  <c r="AM127" i="1814" s="1"/>
  <c r="J124" i="1814"/>
  <c r="J129" i="1814" s="1"/>
  <c r="N127" i="1814"/>
  <c r="AH76" i="1814"/>
  <c r="AH21" i="1814"/>
  <c r="AH34" i="1814" s="1"/>
  <c r="AH13" i="1814"/>
  <c r="AH38" i="1814"/>
  <c r="AI21" i="1814"/>
  <c r="AI34" i="1814" s="1"/>
  <c r="AI31" i="1814" s="1"/>
  <c r="AI16" i="1814"/>
  <c r="AH58" i="1814"/>
  <c r="AH201" i="1814"/>
  <c r="AH236" i="1814"/>
  <c r="AH237" i="1814" s="1"/>
  <c r="Q207" i="1812"/>
  <c r="Q209" i="1812" s="1"/>
  <c r="Q212" i="1812" s="1"/>
  <c r="AC209" i="1812"/>
  <c r="AC212" i="1812" s="1"/>
  <c r="AC219" i="1812" s="1"/>
  <c r="M84" i="1811"/>
  <c r="M76" i="1813"/>
  <c r="V84" i="1811"/>
  <c r="V76" i="1813"/>
  <c r="S84" i="1811"/>
  <c r="S76" i="1813"/>
  <c r="X642" i="1812"/>
  <c r="F18" i="1813"/>
  <c r="V27" i="1811"/>
  <c r="V29" i="1813" s="1"/>
  <c r="V27" i="1813"/>
  <c r="T84" i="1811"/>
  <c r="T76" i="1813"/>
  <c r="V151" i="1813"/>
  <c r="V152" i="1813" s="1"/>
  <c r="V132" i="1811"/>
  <c r="Q84" i="1811"/>
  <c r="Q76" i="1813"/>
  <c r="L27" i="1811"/>
  <c r="L29" i="1813" s="1"/>
  <c r="L27" i="1813"/>
  <c r="W84" i="1811"/>
  <c r="W76" i="1813"/>
  <c r="AS84" i="1811"/>
  <c r="AS76" i="1813"/>
  <c r="P84" i="1811"/>
  <c r="P76" i="1813"/>
  <c r="X84" i="1811"/>
  <c r="X76" i="1813"/>
  <c r="K84" i="1811"/>
  <c r="K76" i="1813"/>
  <c r="AV742" i="1812"/>
  <c r="I27" i="1811"/>
  <c r="I29" i="1813" s="1"/>
  <c r="I27" i="1813"/>
  <c r="AQ86" i="1811"/>
  <c r="AQ88" i="1813" s="1"/>
  <c r="AQ86" i="1813"/>
  <c r="BF212" i="1812"/>
  <c r="BF219" i="1812" s="1"/>
  <c r="BF402" i="1812" s="1"/>
  <c r="O84" i="1811"/>
  <c r="O76" i="1813"/>
  <c r="AV740" i="1812"/>
  <c r="AV738" i="1812" s="1"/>
  <c r="H84" i="1811"/>
  <c r="H76" i="1813"/>
  <c r="H18" i="1813"/>
  <c r="U84" i="1811"/>
  <c r="U76" i="1813"/>
  <c r="G29" i="1813"/>
  <c r="G27" i="1813"/>
  <c r="J24" i="1811"/>
  <c r="J18" i="1813"/>
  <c r="E18" i="1813"/>
  <c r="N84" i="1811"/>
  <c r="N76" i="1813"/>
  <c r="BD653" i="1812"/>
  <c r="R84" i="1811"/>
  <c r="R76" i="1813"/>
  <c r="N151" i="1813"/>
  <c r="N152" i="1813" s="1"/>
  <c r="N132" i="1811"/>
  <c r="R132" i="1811"/>
  <c r="R151" i="1813"/>
  <c r="R152" i="1813" s="1"/>
  <c r="AE344" i="1812"/>
  <c r="AK618" i="1812"/>
  <c r="AL514" i="1812"/>
  <c r="BG514" i="1812" s="1"/>
  <c r="AW745" i="1812"/>
  <c r="AX4" i="1812"/>
  <c r="AW3" i="1812"/>
  <c r="AW715" i="1812" s="1"/>
  <c r="AV733" i="1812"/>
  <c r="AV731" i="1812" s="1"/>
  <c r="AV721" i="1812"/>
  <c r="AV719" i="1812"/>
  <c r="AV717" i="1812" s="1"/>
  <c r="AV735" i="1812"/>
  <c r="AV728" i="1812"/>
  <c r="AV726" i="1812"/>
  <c r="AV724" i="1812" s="1"/>
  <c r="BG643" i="1812"/>
  <c r="BF344" i="1812"/>
  <c r="AE217" i="1812"/>
  <c r="AE209" i="1812"/>
  <c r="V203" i="1812"/>
  <c r="U645" i="1812" s="1"/>
  <c r="V214" i="1812"/>
  <c r="V215" i="1812"/>
  <c r="BC550" i="1812"/>
  <c r="AR198" i="1811" s="1"/>
  <c r="AR218" i="1813" s="1"/>
  <c r="AR197" i="1811"/>
  <c r="AR217" i="1813" s="1"/>
  <c r="AP635" i="1812"/>
  <c r="AO417" i="1812"/>
  <c r="AK185" i="1812"/>
  <c r="AK114" i="1812" s="1"/>
  <c r="AK651" i="1812" s="1"/>
  <c r="BE650" i="1812"/>
  <c r="Q164" i="1812"/>
  <c r="Q166" i="1812" s="1"/>
  <c r="E74" i="1811"/>
  <c r="S164" i="1812"/>
  <c r="S166" i="1812" s="1"/>
  <c r="BC650" i="1812" s="1"/>
  <c r="G74" i="1811"/>
  <c r="X164" i="1812"/>
  <c r="X166" i="1812" s="1"/>
  <c r="BD650" i="1812" s="1"/>
  <c r="L74" i="1811"/>
  <c r="T550" i="1812"/>
  <c r="U549" i="1812" s="1"/>
  <c r="U550" i="1812" s="1"/>
  <c r="V549" i="1812" s="1"/>
  <c r="AC482" i="1812"/>
  <c r="AB483" i="1812"/>
  <c r="BF650" i="1812"/>
  <c r="AD218" i="1812"/>
  <c r="AD212" i="1812"/>
  <c r="AD219" i="1812" s="1"/>
  <c r="AF349" i="1812"/>
  <c r="AF344" i="1812"/>
  <c r="AC349" i="1812"/>
  <c r="AC344" i="1812"/>
  <c r="AP629" i="1812"/>
  <c r="BG184" i="1812"/>
  <c r="BG113" i="1812" s="1"/>
  <c r="BG583" i="1812"/>
  <c r="BG588" i="1812" s="1"/>
  <c r="AG326" i="1812"/>
  <c r="AG327" i="1812" s="1"/>
  <c r="AG328" i="1812" s="1"/>
  <c r="AG342" i="1812" s="1"/>
  <c r="AH251" i="1812"/>
  <c r="AH255" i="1812" s="1"/>
  <c r="BG582" i="1812"/>
  <c r="BG587" i="1812" s="1"/>
  <c r="AM510" i="1812"/>
  <c r="AJ326" i="1812"/>
  <c r="AJ327" i="1812" s="1"/>
  <c r="AJ328" i="1812" s="1"/>
  <c r="AJ342" i="1812" s="1"/>
  <c r="BK30" i="1812"/>
  <c r="BK29" i="1812"/>
  <c r="AL185" i="1812"/>
  <c r="Z209" i="1812"/>
  <c r="Z217" i="1812"/>
  <c r="BG180" i="1812"/>
  <c r="BG108" i="1812" s="1"/>
  <c r="S645" i="1812"/>
  <c r="S207" i="1812"/>
  <c r="S209" i="1812" s="1"/>
  <c r="S212" i="1812" s="1"/>
  <c r="S642" i="1812"/>
  <c r="W645" i="1812"/>
  <c r="AF272" i="1812"/>
  <c r="AE276" i="1812"/>
  <c r="AI349" i="1812"/>
  <c r="AI344" i="1812"/>
  <c r="S393" i="1812"/>
  <c r="S115" i="1812"/>
  <c r="AM382" i="1812"/>
  <c r="BG183" i="1812"/>
  <c r="BG112" i="1812" s="1"/>
  <c r="AH217" i="1812"/>
  <c r="AH209" i="1812"/>
  <c r="BE217" i="1812"/>
  <c r="BE209" i="1812"/>
  <c r="AL508" i="1812"/>
  <c r="AK508" i="1812"/>
  <c r="AA217" i="1812"/>
  <c r="AA209" i="1812"/>
  <c r="AI217" i="1812"/>
  <c r="AI209" i="1812"/>
  <c r="AB240" i="1812"/>
  <c r="AB218" i="1812"/>
  <c r="AB212" i="1812"/>
  <c r="AB219" i="1812" s="1"/>
  <c r="AM185" i="1812"/>
  <c r="AN184" i="1812"/>
  <c r="AN183" i="1812"/>
  <c r="AN180" i="1812"/>
  <c r="AN181" i="1812" s="1"/>
  <c r="AN9" i="1812"/>
  <c r="AN595" i="1812"/>
  <c r="AN611" i="1812"/>
  <c r="AN593" i="1812"/>
  <c r="AN613" i="1812"/>
  <c r="AN514" i="1812" s="1"/>
  <c r="BG580" i="1812"/>
  <c r="BG585" i="1812" s="1"/>
  <c r="AM508" i="1812"/>
  <c r="BJ615" i="1812"/>
  <c r="BI383" i="1812"/>
  <c r="AN621" i="1812"/>
  <c r="AO381" i="1812"/>
  <c r="AG217" i="1812"/>
  <c r="AG209" i="1812"/>
  <c r="AO177" i="1812"/>
  <c r="AD303" i="1812"/>
  <c r="BE299" i="1812"/>
  <c r="BE303" i="1812" s="1"/>
  <c r="AE299" i="1812" s="1"/>
  <c r="AN643" i="1812"/>
  <c r="AE249" i="1812"/>
  <c r="AF245" i="1812"/>
  <c r="AF217" i="1812"/>
  <c r="AF209" i="1812"/>
  <c r="AL510" i="1812"/>
  <c r="AK510" i="1812"/>
  <c r="AP30" i="1812"/>
  <c r="AP29" i="1812"/>
  <c r="AP18" i="1812" s="1"/>
  <c r="Y217" i="1812"/>
  <c r="Y209" i="1812"/>
  <c r="BG32" i="1812"/>
  <c r="BG33" i="1812" s="1"/>
  <c r="BG9" i="1812"/>
  <c r="BC5" i="1812"/>
  <c r="S5" i="1812"/>
  <c r="T5" i="1812" s="1"/>
  <c r="U5" i="1812" s="1"/>
  <c r="V5" i="1812" s="1"/>
  <c r="AL618" i="1812"/>
  <c r="BG611" i="1812"/>
  <c r="AL512" i="1812"/>
  <c r="BG512" i="1812" s="1"/>
  <c r="AD326" i="1812"/>
  <c r="AD327" i="1812" s="1"/>
  <c r="AD328" i="1812" s="1"/>
  <c r="AD342" i="1812" s="1"/>
  <c r="AM514" i="1812"/>
  <c r="AM109" i="121"/>
  <c r="D11" i="1808"/>
  <c r="D13" i="1808"/>
  <c r="X116" i="1554"/>
  <c r="X305" i="121"/>
  <c r="AK199" i="1554"/>
  <c r="X122" i="1554"/>
  <c r="X216" i="121"/>
  <c r="X215" i="121"/>
  <c r="X214" i="121"/>
  <c r="X210" i="121"/>
  <c r="X209" i="121"/>
  <c r="X208" i="121"/>
  <c r="X138" i="121"/>
  <c r="X152" i="1810" s="1"/>
  <c r="X154" i="1810" s="1"/>
  <c r="X77" i="1821" s="1"/>
  <c r="X136" i="121"/>
  <c r="X127" i="121"/>
  <c r="C12" i="1808" s="1"/>
  <c r="X126" i="121"/>
  <c r="C11" i="1808" s="1"/>
  <c r="X105" i="121"/>
  <c r="X127" i="1810" s="1"/>
  <c r="X129" i="1810" s="1"/>
  <c r="X103" i="121"/>
  <c r="X119" i="1810" s="1"/>
  <c r="X121" i="1810" s="1"/>
  <c r="X49" i="1821" s="1"/>
  <c r="X90" i="121"/>
  <c r="X73" i="121"/>
  <c r="X74" i="121" s="1"/>
  <c r="X65" i="121"/>
  <c r="X66" i="1583"/>
  <c r="X11" i="121"/>
  <c r="X10" i="121"/>
  <c r="X9" i="121"/>
  <c r="X174" i="121"/>
  <c r="X172" i="121"/>
  <c r="X166" i="121"/>
  <c r="X164" i="121"/>
  <c r="X165" i="1583"/>
  <c r="X177" i="1583" s="1"/>
  <c r="X147" i="1583"/>
  <c r="X141" i="1583"/>
  <c r="X123" i="1583"/>
  <c r="X112" i="1583"/>
  <c r="X77" i="1583"/>
  <c r="X48" i="1583"/>
  <c r="X183" i="1583"/>
  <c r="X95" i="1810" s="1"/>
  <c r="X100" i="1810" s="1"/>
  <c r="AW741" i="1812"/>
  <c r="AW734" i="1812"/>
  <c r="AW727" i="1812"/>
  <c r="AW720" i="1812"/>
  <c r="V28" i="1814" l="1"/>
  <c r="V30" i="1810" s="1"/>
  <c r="N28" i="1814"/>
  <c r="N30" i="1810" s="1"/>
  <c r="J253" i="1814"/>
  <c r="J254" i="1814" s="1"/>
  <c r="J22" i="1814"/>
  <c r="K22" i="1814"/>
  <c r="K28" i="1814" s="1"/>
  <c r="K30" i="1810" s="1"/>
  <c r="X72" i="121"/>
  <c r="X122" i="121" s="1"/>
  <c r="X69" i="1810"/>
  <c r="X138" i="1810"/>
  <c r="X54" i="1821"/>
  <c r="X63" i="1821" s="1"/>
  <c r="Y16" i="1821"/>
  <c r="X90" i="1810"/>
  <c r="X105" i="1810"/>
  <c r="X85" i="1810"/>
  <c r="AC45" i="1810"/>
  <c r="AC95" i="1810"/>
  <c r="AC100" i="1810" s="1"/>
  <c r="AW742" i="1812"/>
  <c r="AK48" i="1814"/>
  <c r="V72" i="1814"/>
  <c r="BD212" i="1812"/>
  <c r="BD219" i="1812" s="1"/>
  <c r="BD402" i="1812" s="1"/>
  <c r="AI64" i="1814"/>
  <c r="AJ65" i="1814" s="1"/>
  <c r="AC240" i="1812"/>
  <c r="AC243" i="1812" s="1"/>
  <c r="AC399" i="1812" s="1"/>
  <c r="AC400" i="1812" s="1"/>
  <c r="AC218" i="1812"/>
  <c r="AK210" i="1814"/>
  <c r="AC94" i="1814"/>
  <c r="R73" i="1814"/>
  <c r="V73" i="1814"/>
  <c r="K78" i="1814"/>
  <c r="K80" i="1814" s="1"/>
  <c r="K93" i="1814"/>
  <c r="K83" i="1814"/>
  <c r="K85" i="1814" s="1"/>
  <c r="K72" i="1814"/>
  <c r="O93" i="1814"/>
  <c r="O71" i="1814"/>
  <c r="R108" i="1814"/>
  <c r="O83" i="1814"/>
  <c r="O85" i="1814" s="1"/>
  <c r="O78" i="1814"/>
  <c r="O72" i="1814"/>
  <c r="O73" i="1814"/>
  <c r="L65" i="1814"/>
  <c r="M83" i="1814"/>
  <c r="M85" i="1814" s="1"/>
  <c r="M86" i="1814" s="1"/>
  <c r="M78" i="1814"/>
  <c r="M93" i="1814"/>
  <c r="M71" i="1814"/>
  <c r="M73" i="1814"/>
  <c r="M72" i="1814"/>
  <c r="AJ70" i="1814"/>
  <c r="AK209" i="1814"/>
  <c r="W71" i="1814"/>
  <c r="W93" i="1814"/>
  <c r="W78" i="1814"/>
  <c r="W83" i="1814"/>
  <c r="W85" i="1814" s="1"/>
  <c r="W86" i="1814" s="1"/>
  <c r="W72" i="1814"/>
  <c r="W73" i="1814"/>
  <c r="S78" i="1814"/>
  <c r="S80" i="1814" s="1"/>
  <c r="V108" i="1814"/>
  <c r="S71" i="1814"/>
  <c r="S83" i="1814"/>
  <c r="S85" i="1814" s="1"/>
  <c r="S93" i="1814"/>
  <c r="S72" i="1814"/>
  <c r="S73" i="1814"/>
  <c r="P67" i="1814"/>
  <c r="AK208" i="1814"/>
  <c r="N78" i="1814"/>
  <c r="N93" i="1814"/>
  <c r="N71" i="1814"/>
  <c r="N83" i="1814"/>
  <c r="N85" i="1814" s="1"/>
  <c r="Q108" i="1814"/>
  <c r="U108" i="1814"/>
  <c r="R78" i="1814"/>
  <c r="R93" i="1814"/>
  <c r="R71" i="1814"/>
  <c r="R83" i="1814"/>
  <c r="R85" i="1814" s="1"/>
  <c r="J86" i="1814"/>
  <c r="J87" i="1814" s="1"/>
  <c r="N72" i="1814"/>
  <c r="U78" i="1814"/>
  <c r="U93" i="1814"/>
  <c r="X108" i="1814"/>
  <c r="U83" i="1814"/>
  <c r="U85" i="1814" s="1"/>
  <c r="U86" i="1814" s="1"/>
  <c r="U71" i="1814"/>
  <c r="U72" i="1814"/>
  <c r="U73" i="1814"/>
  <c r="V83" i="1814"/>
  <c r="V85" i="1814" s="1"/>
  <c r="V78" i="1814"/>
  <c r="V93" i="1814"/>
  <c r="V71" i="1814"/>
  <c r="T93" i="1814"/>
  <c r="W108" i="1814"/>
  <c r="T78" i="1814"/>
  <c r="T83" i="1814"/>
  <c r="T85" i="1814" s="1"/>
  <c r="T71" i="1814"/>
  <c r="T72" i="1814"/>
  <c r="T73" i="1814"/>
  <c r="AK70" i="1814"/>
  <c r="AK72" i="1814" s="1"/>
  <c r="AK65" i="1814"/>
  <c r="L70" i="1814"/>
  <c r="P71" i="1814" s="1"/>
  <c r="L66" i="1814"/>
  <c r="L67" i="1814"/>
  <c r="Y94" i="1814"/>
  <c r="Y103" i="1814" s="1"/>
  <c r="Y206" i="1814"/>
  <c r="AG66" i="1814"/>
  <c r="I83" i="1814"/>
  <c r="I85" i="1814" s="1"/>
  <c r="I93" i="1814"/>
  <c r="I78" i="1814"/>
  <c r="I80" i="1814" s="1"/>
  <c r="I72" i="1814"/>
  <c r="P78" i="1814"/>
  <c r="P83" i="1814"/>
  <c r="P85" i="1814" s="1"/>
  <c r="P93" i="1814"/>
  <c r="S108" i="1814"/>
  <c r="P72" i="1814"/>
  <c r="X93" i="1814"/>
  <c r="X78" i="1814"/>
  <c r="X71" i="1814"/>
  <c r="X83" i="1814"/>
  <c r="X85" i="1814" s="1"/>
  <c r="X72" i="1814"/>
  <c r="X73" i="1814"/>
  <c r="Q93" i="1814"/>
  <c r="Q78" i="1814"/>
  <c r="T108" i="1814"/>
  <c r="Q71" i="1814"/>
  <c r="Q83" i="1814"/>
  <c r="Q85" i="1814" s="1"/>
  <c r="Q73" i="1814"/>
  <c r="Q72" i="1814"/>
  <c r="F83" i="1814"/>
  <c r="F85" i="1814" s="1"/>
  <c r="J71" i="1814"/>
  <c r="F72" i="1814"/>
  <c r="E70" i="1814"/>
  <c r="I65" i="1814"/>
  <c r="E66" i="1814"/>
  <c r="I67" i="1814"/>
  <c r="H93" i="1814"/>
  <c r="H83" i="1814"/>
  <c r="H85" i="1814" s="1"/>
  <c r="H72" i="1814"/>
  <c r="H73" i="1814"/>
  <c r="AH64" i="1814"/>
  <c r="G70" i="1814"/>
  <c r="K65" i="1814"/>
  <c r="G67" i="1814"/>
  <c r="G66" i="1814"/>
  <c r="K67" i="1814"/>
  <c r="V14" i="1814"/>
  <c r="V34" i="1814"/>
  <c r="V31" i="1814" s="1"/>
  <c r="R14" i="1814"/>
  <c r="R34" i="1814"/>
  <c r="R31" i="1814" s="1"/>
  <c r="R146" i="1814"/>
  <c r="R26" i="1814" s="1"/>
  <c r="AJ145" i="1814"/>
  <c r="AJ146" i="1814" s="1"/>
  <c r="AD137" i="1814"/>
  <c r="AM135" i="1814"/>
  <c r="AL142" i="1814"/>
  <c r="Z10" i="1814"/>
  <c r="AI143" i="1814"/>
  <c r="AK25" i="1814"/>
  <c r="AJ76" i="1814"/>
  <c r="AJ200" i="1814"/>
  <c r="AJ21" i="1814"/>
  <c r="AJ34" i="1814" s="1"/>
  <c r="AJ31" i="1814" s="1"/>
  <c r="AJ211" i="1814"/>
  <c r="AJ38" i="1814"/>
  <c r="AJ58" i="1814"/>
  <c r="AJ57" i="1814"/>
  <c r="AJ16" i="1814"/>
  <c r="AJ199" i="1814"/>
  <c r="AJ66" i="1814"/>
  <c r="AJ201" i="1814"/>
  <c r="AJ13" i="1814"/>
  <c r="AJ14" i="1814" s="1"/>
  <c r="AJ56" i="1814"/>
  <c r="AJ129" i="1814"/>
  <c r="AK238" i="1814"/>
  <c r="V237" i="1814"/>
  <c r="AK236" i="1814"/>
  <c r="AK237" i="1814" s="1"/>
  <c r="AL236" i="1814"/>
  <c r="AL237" i="1814" s="1"/>
  <c r="AJ236" i="1814"/>
  <c r="AJ237" i="1814" s="1"/>
  <c r="J72" i="1814"/>
  <c r="J73" i="1814"/>
  <c r="J13" i="1814"/>
  <c r="J34" i="1814" s="1"/>
  <c r="J66" i="1814"/>
  <c r="J80" i="1814"/>
  <c r="J16" i="1814"/>
  <c r="J67" i="1814"/>
  <c r="J21" i="1814"/>
  <c r="J76" i="1814"/>
  <c r="K16" i="1814"/>
  <c r="J236" i="1814"/>
  <c r="J237" i="1814" s="1"/>
  <c r="N21" i="1814"/>
  <c r="N73" i="1814"/>
  <c r="N13" i="1814"/>
  <c r="N34" i="1814" s="1"/>
  <c r="N129" i="1814"/>
  <c r="AL27" i="1814"/>
  <c r="AL130" i="1814" s="1"/>
  <c r="AK38" i="1814"/>
  <c r="AK21" i="1814"/>
  <c r="AK34" i="1814" s="1"/>
  <c r="AK31" i="1814" s="1"/>
  <c r="AK13" i="1814"/>
  <c r="AK14" i="1814" s="1"/>
  <c r="AK67" i="1814"/>
  <c r="AK200" i="1814"/>
  <c r="AK76" i="1814"/>
  <c r="AK16" i="1814"/>
  <c r="AK66" i="1814"/>
  <c r="AK57" i="1814"/>
  <c r="AK58" i="1814"/>
  <c r="AK56" i="1814"/>
  <c r="AK199" i="1814"/>
  <c r="AK201" i="1814"/>
  <c r="AK211" i="1814"/>
  <c r="AK129" i="1814"/>
  <c r="N67" i="1814"/>
  <c r="AI129" i="1814"/>
  <c r="AJ238" i="1814"/>
  <c r="V145" i="1814"/>
  <c r="AK143" i="1814"/>
  <c r="Z138" i="1814"/>
  <c r="AL137" i="1814"/>
  <c r="AL138" i="1814" s="1"/>
  <c r="V207" i="1812"/>
  <c r="V209" i="1812" s="1"/>
  <c r="V212" i="1812" s="1"/>
  <c r="BC654" i="1812" s="1"/>
  <c r="V645" i="1812"/>
  <c r="BC653" i="1812"/>
  <c r="K86" i="1811"/>
  <c r="K88" i="1813" s="1"/>
  <c r="K86" i="1813"/>
  <c r="L84" i="1811"/>
  <c r="L76" i="1813"/>
  <c r="X86" i="1811"/>
  <c r="X88" i="1813" s="1"/>
  <c r="X86" i="1813"/>
  <c r="G84" i="1811"/>
  <c r="G76" i="1813"/>
  <c r="P86" i="1811"/>
  <c r="P88" i="1813" s="1"/>
  <c r="P86" i="1813"/>
  <c r="W86" i="1811"/>
  <c r="W88" i="1813" s="1"/>
  <c r="W86" i="1813"/>
  <c r="Q86" i="1811"/>
  <c r="Q88" i="1813" s="1"/>
  <c r="Q86" i="1813"/>
  <c r="H86" i="1811"/>
  <c r="H88" i="1813" s="1"/>
  <c r="H86" i="1813"/>
  <c r="E84" i="1811"/>
  <c r="E76" i="1813"/>
  <c r="AS86" i="1811"/>
  <c r="AS88" i="1813" s="1"/>
  <c r="AS86" i="1813"/>
  <c r="S86" i="1811"/>
  <c r="S88" i="1813" s="1"/>
  <c r="S86" i="1813"/>
  <c r="O86" i="1811"/>
  <c r="O88" i="1813" s="1"/>
  <c r="O86" i="1813"/>
  <c r="N86" i="1811"/>
  <c r="N88" i="1813" s="1"/>
  <c r="N86" i="1813"/>
  <c r="E29" i="1813"/>
  <c r="E27" i="1813"/>
  <c r="R86" i="1811"/>
  <c r="R88" i="1813" s="1"/>
  <c r="R86" i="1813"/>
  <c r="J27" i="1811"/>
  <c r="J29" i="1813" s="1"/>
  <c r="J27" i="1813"/>
  <c r="T86" i="1811"/>
  <c r="T88" i="1813" s="1"/>
  <c r="T86" i="1813"/>
  <c r="U86" i="1811"/>
  <c r="U88" i="1813" s="1"/>
  <c r="U86" i="1813"/>
  <c r="H29" i="1813"/>
  <c r="H27" i="1813"/>
  <c r="F29" i="1813"/>
  <c r="F27" i="1813"/>
  <c r="V86" i="1811"/>
  <c r="V88" i="1813" s="1"/>
  <c r="V86" i="1813"/>
  <c r="AW740" i="1812"/>
  <c r="AW738" i="1812" s="1"/>
  <c r="M86" i="1811"/>
  <c r="M88" i="1813" s="1"/>
  <c r="M86" i="1813"/>
  <c r="AW719" i="1812"/>
  <c r="AW717" i="1812" s="1"/>
  <c r="AW735" i="1812"/>
  <c r="AW733" i="1812"/>
  <c r="AW731" i="1812" s="1"/>
  <c r="AW728" i="1812"/>
  <c r="AW726" i="1812"/>
  <c r="AW724" i="1812" s="1"/>
  <c r="AW721" i="1812"/>
  <c r="AX745" i="1812"/>
  <c r="C4" i="1812"/>
  <c r="AX3" i="1812"/>
  <c r="AX715" i="1812" s="1"/>
  <c r="BG181" i="1812"/>
  <c r="BG185" i="1812" s="1"/>
  <c r="BD549" i="1812"/>
  <c r="BD550" i="1812" s="1"/>
  <c r="W549" i="1812"/>
  <c r="W550" i="1812" s="1"/>
  <c r="BC555" i="1812"/>
  <c r="BC647" i="1812"/>
  <c r="AE212" i="1812"/>
  <c r="AE219" i="1812" s="1"/>
  <c r="AE240" i="1812"/>
  <c r="AE218" i="1812"/>
  <c r="AP417" i="1812"/>
  <c r="BH635" i="1812"/>
  <c r="V550" i="1812"/>
  <c r="J197" i="1811"/>
  <c r="J217" i="1813" s="1"/>
  <c r="AK186" i="1812"/>
  <c r="AK115" i="1812" s="1"/>
  <c r="AN185" i="1812"/>
  <c r="AN186" i="1812" s="1"/>
  <c r="AD482" i="1812"/>
  <c r="AC483" i="1812"/>
  <c r="Z645" i="1812"/>
  <c r="V642" i="1812"/>
  <c r="AJ349" i="1812"/>
  <c r="AJ344" i="1812"/>
  <c r="AD349" i="1812"/>
  <c r="AD344" i="1812"/>
  <c r="BG618" i="1812"/>
  <c r="BG581" i="1812"/>
  <c r="BG586" i="1812" s="1"/>
  <c r="AM512" i="1812"/>
  <c r="AF240" i="1812"/>
  <c r="AF212" i="1812"/>
  <c r="AF218" i="1812"/>
  <c r="AO184" i="1812"/>
  <c r="AO183" i="1812"/>
  <c r="AO180" i="1812"/>
  <c r="AO181" i="1812" s="1"/>
  <c r="AO9" i="1812"/>
  <c r="AO593" i="1812"/>
  <c r="AO508" i="1812" s="1"/>
  <c r="AO595" i="1812"/>
  <c r="AO510" i="1812" s="1"/>
  <c r="AO611" i="1812"/>
  <c r="AO613" i="1812"/>
  <c r="AO514" i="1812" s="1"/>
  <c r="AM186" i="1812"/>
  <c r="AM114" i="1812"/>
  <c r="AM651" i="1812" s="1"/>
  <c r="AA218" i="1812"/>
  <c r="AA212" i="1812"/>
  <c r="AA240" i="1812"/>
  <c r="AK353" i="1812"/>
  <c r="BG508" i="1812"/>
  <c r="AH218" i="1812"/>
  <c r="AH212" i="1812"/>
  <c r="AH219" i="1812" s="1"/>
  <c r="AG349" i="1812"/>
  <c r="AG344" i="1812"/>
  <c r="AP177" i="1812"/>
  <c r="BH177" i="1812" s="1"/>
  <c r="BH18" i="1812"/>
  <c r="AO643" i="1812"/>
  <c r="BK615" i="1812"/>
  <c r="BK383" i="1812" s="1"/>
  <c r="BJ383" i="1812"/>
  <c r="AN512" i="1812"/>
  <c r="AL353" i="1812"/>
  <c r="AG245" i="1812"/>
  <c r="AF249" i="1812"/>
  <c r="AG240" i="1812"/>
  <c r="AH240" i="1812" s="1"/>
  <c r="AG218" i="1812"/>
  <c r="AG212" i="1812"/>
  <c r="AG219" i="1812" s="1"/>
  <c r="AN510" i="1812"/>
  <c r="W5" i="1812"/>
  <c r="X5" i="1812" s="1"/>
  <c r="Y5" i="1812" s="1"/>
  <c r="Z5" i="1812" s="1"/>
  <c r="Y694" i="1812" s="1"/>
  <c r="BD5" i="1812"/>
  <c r="AB241" i="1812"/>
  <c r="AB243" i="1812"/>
  <c r="AB399" i="1812" s="1"/>
  <c r="AB400" i="1812" s="1"/>
  <c r="AI218" i="1812"/>
  <c r="AI212" i="1812"/>
  <c r="BG109" i="1812"/>
  <c r="BH629" i="1812"/>
  <c r="BG510" i="1812"/>
  <c r="AE303" i="1812"/>
  <c r="AF299" i="1812"/>
  <c r="AM380" i="1812"/>
  <c r="AM614" i="1812" s="1"/>
  <c r="AN382" i="1812"/>
  <c r="AF276" i="1812"/>
  <c r="AG272" i="1812"/>
  <c r="AO621" i="1812"/>
  <c r="AP381" i="1812"/>
  <c r="AP621" i="1812" s="1"/>
  <c r="Z240" i="1812"/>
  <c r="Z218" i="1812"/>
  <c r="Z212" i="1812"/>
  <c r="Z219" i="1812" s="1"/>
  <c r="BE218" i="1812"/>
  <c r="BE212" i="1812"/>
  <c r="BE219" i="1812" s="1"/>
  <c r="BE402" i="1812" s="1"/>
  <c r="Y240" i="1812"/>
  <c r="Y218" i="1812"/>
  <c r="Y212" i="1812"/>
  <c r="AN508" i="1812"/>
  <c r="AL186" i="1812"/>
  <c r="AL114" i="1812"/>
  <c r="AL651" i="1812" s="1"/>
  <c r="AH326" i="1812"/>
  <c r="AH327" i="1812" s="1"/>
  <c r="AH328" i="1812" s="1"/>
  <c r="AH342" i="1812" s="1"/>
  <c r="AB29" i="121"/>
  <c r="AB19" i="1810" s="1"/>
  <c r="AB9" i="121"/>
  <c r="X152" i="121"/>
  <c r="X195" i="1583"/>
  <c r="X207" i="1583" s="1"/>
  <c r="X189" i="1583"/>
  <c r="X217" i="121"/>
  <c r="X129" i="1583"/>
  <c r="X128" i="121"/>
  <c r="X157" i="1810" s="1"/>
  <c r="X159" i="1810" s="1"/>
  <c r="X99" i="1821" s="1"/>
  <c r="X211" i="121"/>
  <c r="X121" i="121"/>
  <c r="X69" i="121"/>
  <c r="X85" i="121" s="1"/>
  <c r="X160" i="121"/>
  <c r="X12" i="121"/>
  <c r="X361" i="1554"/>
  <c r="X357" i="1554"/>
  <c r="Y357" i="1554" s="1"/>
  <c r="X358" i="1554"/>
  <c r="X351" i="1554"/>
  <c r="Y351" i="1554" s="1"/>
  <c r="X347" i="1554"/>
  <c r="Y347" i="1554" s="1"/>
  <c r="X346" i="1554"/>
  <c r="Y346" i="1554" s="1"/>
  <c r="X344" i="1554"/>
  <c r="Y344" i="1554" s="1"/>
  <c r="X342" i="1554"/>
  <c r="X319" i="1554"/>
  <c r="X318" i="1554"/>
  <c r="X316" i="1554"/>
  <c r="Y316" i="1554" s="1"/>
  <c r="X315" i="1554"/>
  <c r="Y315" i="1554" s="1"/>
  <c r="X314" i="1554"/>
  <c r="Y314" i="1554" s="1"/>
  <c r="X312" i="1554"/>
  <c r="X311" i="1554"/>
  <c r="Y311" i="1554" s="1"/>
  <c r="X310" i="1554"/>
  <c r="Y310" i="1554" s="1"/>
  <c r="X309" i="1554"/>
  <c r="Y309" i="1554" s="1"/>
  <c r="X308" i="1554"/>
  <c r="Y308" i="1554" s="1"/>
  <c r="X307" i="1554"/>
  <c r="Y307" i="1554" s="1"/>
  <c r="X306" i="1554"/>
  <c r="Y306" i="1554" s="1"/>
  <c r="X305" i="1554"/>
  <c r="Y305" i="1554" s="1"/>
  <c r="X304" i="1554"/>
  <c r="Y304" i="1554" s="1"/>
  <c r="X302" i="1554"/>
  <c r="Y302" i="1554" s="1"/>
  <c r="X301" i="1554"/>
  <c r="Y301" i="1554" s="1"/>
  <c r="X83" i="1554"/>
  <c r="X90" i="1554" s="1"/>
  <c r="X92" i="1554" s="1"/>
  <c r="X178" i="1554"/>
  <c r="X179" i="1554" s="1"/>
  <c r="X127" i="1554" s="1"/>
  <c r="X165" i="1554"/>
  <c r="X163" i="1554"/>
  <c r="X156" i="1554"/>
  <c r="X158" i="1554" s="1"/>
  <c r="X160" i="1554" s="1"/>
  <c r="X28" i="121" s="1"/>
  <c r="X150" i="1554"/>
  <c r="X152" i="1554" s="1"/>
  <c r="X144" i="1554"/>
  <c r="X146" i="1554" s="1"/>
  <c r="X148" i="1554" s="1"/>
  <c r="X105" i="1554"/>
  <c r="X104" i="1554"/>
  <c r="X103" i="1554"/>
  <c r="X100" i="1554"/>
  <c r="X77" i="1554"/>
  <c r="X76" i="1554"/>
  <c r="X168" i="1554" s="1"/>
  <c r="X170" i="1554" s="1"/>
  <c r="X55" i="1554"/>
  <c r="X48" i="1554"/>
  <c r="X47" i="1554"/>
  <c r="X41" i="1554"/>
  <c r="X35" i="1554"/>
  <c r="W55" i="1554"/>
  <c r="W48" i="1554"/>
  <c r="W47" i="1554"/>
  <c r="W41" i="1554"/>
  <c r="W40" i="1554"/>
  <c r="W39" i="1554"/>
  <c r="W38" i="1554"/>
  <c r="W35" i="1554"/>
  <c r="X24" i="1554"/>
  <c r="X16" i="1554"/>
  <c r="X18" i="1554" s="1"/>
  <c r="X291" i="1554"/>
  <c r="X290" i="1554"/>
  <c r="X289" i="1554"/>
  <c r="X282" i="1554"/>
  <c r="X281" i="1554"/>
  <c r="X273" i="1554"/>
  <c r="X269" i="1554"/>
  <c r="X267" i="1554"/>
  <c r="X256" i="1554"/>
  <c r="X248" i="1554"/>
  <c r="X237" i="1554"/>
  <c r="X231" i="1554"/>
  <c r="X85" i="1821" s="1"/>
  <c r="X84" i="1821" s="1"/>
  <c r="X326" i="1554"/>
  <c r="Y326" i="1554" s="1"/>
  <c r="X325" i="1554"/>
  <c r="Y325" i="1554" s="1"/>
  <c r="X327" i="1554"/>
  <c r="W45" i="121"/>
  <c r="W64" i="1554"/>
  <c r="W116" i="1554"/>
  <c r="W112" i="1554"/>
  <c r="AX741" i="1812"/>
  <c r="AX734" i="1812"/>
  <c r="AX727" i="1812"/>
  <c r="AX720" i="1812"/>
  <c r="J27" i="1814" l="1"/>
  <c r="J28" i="1814"/>
  <c r="J30" i="1810" s="1"/>
  <c r="X251" i="1554"/>
  <c r="X93" i="1821"/>
  <c r="X9" i="1810"/>
  <c r="X11" i="1810" s="1"/>
  <c r="Y23" i="121"/>
  <c r="X415" i="121"/>
  <c r="X71" i="1810"/>
  <c r="X115" i="1810"/>
  <c r="X110" i="1810"/>
  <c r="P73" i="1814"/>
  <c r="L71" i="1814"/>
  <c r="AI66" i="1814"/>
  <c r="AD240" i="1812"/>
  <c r="AD241" i="1812" s="1"/>
  <c r="AC241" i="1812"/>
  <c r="AI70" i="1814"/>
  <c r="AI93" i="1814" s="1"/>
  <c r="AJ67" i="1814"/>
  <c r="L73" i="1814"/>
  <c r="Y135" i="121"/>
  <c r="Y75" i="1821" s="1"/>
  <c r="Y285" i="1554"/>
  <c r="X274" i="1554"/>
  <c r="Y286" i="1554"/>
  <c r="X134" i="121"/>
  <c r="X74" i="1821" s="1"/>
  <c r="Y358" i="1554"/>
  <c r="X133" i="121"/>
  <c r="X148" i="1810" s="1"/>
  <c r="X150" i="1810" s="1"/>
  <c r="Y319" i="1554"/>
  <c r="Y133" i="121" s="1"/>
  <c r="Y148" i="1810" s="1"/>
  <c r="Y150" i="1810" s="1"/>
  <c r="X137" i="121"/>
  <c r="X76" i="1821" s="1"/>
  <c r="Y342" i="1554"/>
  <c r="X252" i="121"/>
  <c r="Y327" i="1554"/>
  <c r="P80" i="1814"/>
  <c r="I86" i="1814"/>
  <c r="I87" i="1814" s="1"/>
  <c r="N86" i="1814"/>
  <c r="N87" i="1814" s="1"/>
  <c r="N89" i="1814" s="1"/>
  <c r="X79" i="1814"/>
  <c r="X80" i="1814"/>
  <c r="Q86" i="1814"/>
  <c r="Q87" i="1814" s="1"/>
  <c r="Q89" i="1814" s="1"/>
  <c r="L78" i="1814"/>
  <c r="L80" i="1814" s="1"/>
  <c r="L93" i="1814"/>
  <c r="L83" i="1814"/>
  <c r="L85" i="1814" s="1"/>
  <c r="L72" i="1814"/>
  <c r="O86" i="1814"/>
  <c r="V86" i="1814"/>
  <c r="V87" i="1814" s="1"/>
  <c r="V89" i="1814" s="1"/>
  <c r="J96" i="1814"/>
  <c r="J97" i="1814" s="1"/>
  <c r="J99" i="1814"/>
  <c r="N79" i="1814"/>
  <c r="N80" i="1814"/>
  <c r="U87" i="1814"/>
  <c r="U89" i="1814" s="1"/>
  <c r="U96" i="1814"/>
  <c r="U97" i="1814" s="1"/>
  <c r="U99" i="1814"/>
  <c r="AK93" i="1814"/>
  <c r="AK83" i="1814"/>
  <c r="AK85" i="1814" s="1"/>
  <c r="AK78" i="1814"/>
  <c r="AK71" i="1814"/>
  <c r="AK108" i="1814"/>
  <c r="W87" i="1814"/>
  <c r="W89" i="1814" s="1"/>
  <c r="W96" i="1814"/>
  <c r="W97" i="1814" s="1"/>
  <c r="W99" i="1814"/>
  <c r="R86" i="1814"/>
  <c r="R87" i="1814" s="1"/>
  <c r="R89" i="1814" s="1"/>
  <c r="M79" i="1814"/>
  <c r="M80" i="1814"/>
  <c r="W79" i="1814"/>
  <c r="W80" i="1814"/>
  <c r="AJ108" i="1814"/>
  <c r="AJ83" i="1814"/>
  <c r="AJ85" i="1814" s="1"/>
  <c r="AJ93" i="1814"/>
  <c r="AJ78" i="1814"/>
  <c r="AJ72" i="1814"/>
  <c r="V79" i="1814"/>
  <c r="V80" i="1814"/>
  <c r="R79" i="1814"/>
  <c r="R80" i="1814"/>
  <c r="T86" i="1814"/>
  <c r="K86" i="1814"/>
  <c r="K87" i="1814" s="1"/>
  <c r="S79" i="1814"/>
  <c r="O79" i="1814"/>
  <c r="O80" i="1814"/>
  <c r="Q79" i="1814"/>
  <c r="Q80" i="1814"/>
  <c r="AK73" i="1814"/>
  <c r="X86" i="1814"/>
  <c r="X87" i="1814" s="1"/>
  <c r="X89" i="1814" s="1"/>
  <c r="T79" i="1814"/>
  <c r="T80" i="1814"/>
  <c r="S86" i="1814"/>
  <c r="S87" i="1814" s="1"/>
  <c r="S89" i="1814" s="1"/>
  <c r="P86" i="1814"/>
  <c r="P87" i="1814" s="1"/>
  <c r="P89" i="1814" s="1"/>
  <c r="U79" i="1814"/>
  <c r="U80" i="1814"/>
  <c r="M87" i="1814"/>
  <c r="M96" i="1814"/>
  <c r="M97" i="1814" s="1"/>
  <c r="M99" i="1814"/>
  <c r="H86" i="1814"/>
  <c r="H87" i="1814" s="1"/>
  <c r="E83" i="1814"/>
  <c r="E85" i="1814" s="1"/>
  <c r="I71" i="1814"/>
  <c r="E72" i="1814"/>
  <c r="I73" i="1814"/>
  <c r="AH70" i="1814"/>
  <c r="AH65" i="1814"/>
  <c r="AI65" i="1814"/>
  <c r="AI67" i="1814"/>
  <c r="AH67" i="1814"/>
  <c r="AH66" i="1814"/>
  <c r="G83" i="1814"/>
  <c r="G85" i="1814" s="1"/>
  <c r="K71" i="1814"/>
  <c r="G93" i="1814"/>
  <c r="G73" i="1814"/>
  <c r="G72" i="1814"/>
  <c r="K73" i="1814"/>
  <c r="F86" i="1814"/>
  <c r="F87" i="1814" s="1"/>
  <c r="AI145" i="1814"/>
  <c r="AI146" i="1814" s="1"/>
  <c r="AD138" i="1814"/>
  <c r="AM137" i="1814"/>
  <c r="AM138" i="1814" s="1"/>
  <c r="V146" i="1814"/>
  <c r="V26" i="1814" s="1"/>
  <c r="AK145" i="1814"/>
  <c r="AK146" i="1814" s="1"/>
  <c r="Z141" i="1814"/>
  <c r="AD142" i="1814" s="1"/>
  <c r="Z20" i="1814"/>
  <c r="Z122" i="1814"/>
  <c r="AL10" i="1814"/>
  <c r="AL20" i="1814" s="1"/>
  <c r="AD27" i="1814"/>
  <c r="Z12" i="1814"/>
  <c r="AH130" i="1814"/>
  <c r="AB160" i="121"/>
  <c r="E86" i="1811"/>
  <c r="E88" i="1813" s="1"/>
  <c r="E86" i="1813"/>
  <c r="L86" i="1811"/>
  <c r="L88" i="1813" s="1"/>
  <c r="L86" i="1813"/>
  <c r="G86" i="1811"/>
  <c r="G88" i="1813" s="1"/>
  <c r="G86" i="1813"/>
  <c r="I197" i="1811"/>
  <c r="AX735" i="1812"/>
  <c r="AX733" i="1812"/>
  <c r="AX731" i="1812" s="1"/>
  <c r="AX728" i="1812"/>
  <c r="AX742" i="1812"/>
  <c r="AX740" i="1812"/>
  <c r="AX738" i="1812" s="1"/>
  <c r="AX726" i="1812"/>
  <c r="AX724" i="1812" s="1"/>
  <c r="AX719" i="1812"/>
  <c r="AX717" i="1812" s="1"/>
  <c r="AX721" i="1812"/>
  <c r="C745" i="1812"/>
  <c r="D4" i="1812"/>
  <c r="C3" i="1812"/>
  <c r="C715" i="1812" s="1"/>
  <c r="K198" i="1811"/>
  <c r="K218" i="1813" s="1"/>
  <c r="W647" i="1812"/>
  <c r="X549" i="1812"/>
  <c r="L197" i="1811" s="1"/>
  <c r="L217" i="1813" s="1"/>
  <c r="AS198" i="1811"/>
  <c r="AS218" i="1813" s="1"/>
  <c r="BE549" i="1812"/>
  <c r="BE550" i="1812" s="1"/>
  <c r="BF549" i="1812" s="1"/>
  <c r="BF550" i="1812" s="1"/>
  <c r="BD647" i="1812"/>
  <c r="AA549" i="1812"/>
  <c r="O197" i="1811" s="1"/>
  <c r="O217" i="1813" s="1"/>
  <c r="BD555" i="1812"/>
  <c r="K197" i="1811"/>
  <c r="K217" i="1813" s="1"/>
  <c r="AS197" i="1811"/>
  <c r="AS217" i="1813" s="1"/>
  <c r="AN114" i="1812"/>
  <c r="AN651" i="1812" s="1"/>
  <c r="BG353" i="1812"/>
  <c r="AE241" i="1812"/>
  <c r="AE243" i="1812"/>
  <c r="AE399" i="1812" s="1"/>
  <c r="AE400" i="1812" s="1"/>
  <c r="V555" i="1812"/>
  <c r="J198" i="1811"/>
  <c r="J218" i="1813" s="1"/>
  <c r="BI635" i="1812"/>
  <c r="BH417" i="1812"/>
  <c r="AO185" i="1812"/>
  <c r="AO186" i="1812" s="1"/>
  <c r="BE482" i="1812"/>
  <c r="BE483" i="1812" s="1"/>
  <c r="AE482" i="1812" s="1"/>
  <c r="AD483" i="1812"/>
  <c r="AH241" i="1812"/>
  <c r="BF240" i="1812"/>
  <c r="AH243" i="1812"/>
  <c r="AH399" i="1812" s="1"/>
  <c r="AH400" i="1812" s="1"/>
  <c r="AH344" i="1812"/>
  <c r="AH349" i="1812"/>
  <c r="BH621" i="1812"/>
  <c r="AH245" i="1812"/>
  <c r="AG249" i="1812"/>
  <c r="BH643" i="1812"/>
  <c r="BH32" i="1812"/>
  <c r="BH9" i="1812"/>
  <c r="AP184" i="1812"/>
  <c r="BH184" i="1812" s="1"/>
  <c r="BH113" i="1812" s="1"/>
  <c r="AP183" i="1812"/>
  <c r="BH183" i="1812" s="1"/>
  <c r="BH112" i="1812" s="1"/>
  <c r="AP180" i="1812"/>
  <c r="BH180" i="1812" s="1"/>
  <c r="AP9" i="1812"/>
  <c r="AP611" i="1812"/>
  <c r="AP613" i="1812"/>
  <c r="AP593" i="1812"/>
  <c r="BH593" i="1812" s="1"/>
  <c r="AP595" i="1812"/>
  <c r="BH595" i="1812" s="1"/>
  <c r="Y219" i="1812"/>
  <c r="BD654" i="1812"/>
  <c r="AF303" i="1812"/>
  <c r="AG299" i="1812"/>
  <c r="BI629" i="1812"/>
  <c r="AP643" i="1812"/>
  <c r="Y241" i="1812"/>
  <c r="Y243" i="1812"/>
  <c r="Y399" i="1812" s="1"/>
  <c r="Y400" i="1812" s="1"/>
  <c r="AH272" i="1812"/>
  <c r="AG276" i="1812"/>
  <c r="AA241" i="1812"/>
  <c r="AA243" i="1812"/>
  <c r="AA399" i="1812" s="1"/>
  <c r="AA400" i="1812" s="1"/>
  <c r="AO512" i="1812"/>
  <c r="Z241" i="1812"/>
  <c r="BD240" i="1812"/>
  <c r="Z243" i="1812"/>
  <c r="Z399" i="1812" s="1"/>
  <c r="Z400" i="1812" s="1"/>
  <c r="BE654" i="1812"/>
  <c r="AA219" i="1812"/>
  <c r="AF219" i="1812"/>
  <c r="BF654" i="1812"/>
  <c r="AL115" i="1812"/>
  <c r="BG186" i="1812"/>
  <c r="AN380" i="1812"/>
  <c r="AN614" i="1812" s="1"/>
  <c r="AO382" i="1812"/>
  <c r="AI219" i="1812"/>
  <c r="AF241" i="1812"/>
  <c r="AF243" i="1812"/>
  <c r="AF399" i="1812" s="1"/>
  <c r="AF400" i="1812" s="1"/>
  <c r="AN115" i="1812"/>
  <c r="BG114" i="1812"/>
  <c r="BG651" i="1812" s="1"/>
  <c r="AM515" i="1812"/>
  <c r="AM618" i="1812"/>
  <c r="AG241" i="1812"/>
  <c r="AG243" i="1812"/>
  <c r="AG399" i="1812" s="1"/>
  <c r="AG400" i="1812" s="1"/>
  <c r="Y700" i="1812"/>
  <c r="AA5" i="1812"/>
  <c r="BE5" i="1812"/>
  <c r="AM115" i="1812"/>
  <c r="X292" i="1554"/>
  <c r="X135" i="121"/>
  <c r="X75" i="1821" s="1"/>
  <c r="X264" i="121"/>
  <c r="AB163" i="121"/>
  <c r="AB165" i="121" s="1"/>
  <c r="AB167" i="121" s="1"/>
  <c r="AB19" i="121"/>
  <c r="AB150" i="121"/>
  <c r="AB262" i="121" s="1"/>
  <c r="X238" i="1554"/>
  <c r="X26" i="1554"/>
  <c r="X28" i="1554" s="1"/>
  <c r="X31" i="1554" s="1"/>
  <c r="X362" i="1554"/>
  <c r="X317" i="1554"/>
  <c r="X78" i="1554"/>
  <c r="X283" i="1554" s="1"/>
  <c r="X162" i="1554"/>
  <c r="X164" i="1554" s="1"/>
  <c r="X166" i="1554" s="1"/>
  <c r="X49" i="1554"/>
  <c r="X96" i="121"/>
  <c r="X94" i="1810" s="1"/>
  <c r="W42" i="1554"/>
  <c r="W44" i="1554" s="1"/>
  <c r="X349" i="1554"/>
  <c r="X328" i="1554"/>
  <c r="X154" i="1554"/>
  <c r="W49" i="1554"/>
  <c r="X112" i="1554"/>
  <c r="X111" i="1554" s="1"/>
  <c r="X75" i="121"/>
  <c r="X49" i="1810" s="1"/>
  <c r="X31" i="1583"/>
  <c r="X270" i="1554"/>
  <c r="W66" i="1583"/>
  <c r="W306" i="121"/>
  <c r="W70" i="121" s="1"/>
  <c r="W216" i="121"/>
  <c r="W215" i="121"/>
  <c r="W214" i="121"/>
  <c r="W210" i="121"/>
  <c r="W209" i="121"/>
  <c r="W208" i="121"/>
  <c r="W174" i="121"/>
  <c r="W172" i="121"/>
  <c r="W166" i="121"/>
  <c r="W164" i="121"/>
  <c r="W138" i="121"/>
  <c r="W152" i="1810" s="1"/>
  <c r="W137" i="121"/>
  <c r="W76" i="1821" s="1"/>
  <c r="W136" i="121"/>
  <c r="W135" i="121"/>
  <c r="W134" i="121"/>
  <c r="W74" i="1821" s="1"/>
  <c r="W133" i="121"/>
  <c r="W148" i="1810" s="1"/>
  <c r="W150" i="1810" s="1"/>
  <c r="W73" i="1821" s="1"/>
  <c r="W127" i="121"/>
  <c r="W126" i="121"/>
  <c r="W105" i="121"/>
  <c r="W103" i="121"/>
  <c r="W119" i="1810" s="1"/>
  <c r="W96" i="121"/>
  <c r="W94" i="1810" s="1"/>
  <c r="W90" i="121"/>
  <c r="W73" i="121"/>
  <c r="W74" i="121" s="1"/>
  <c r="W65" i="121"/>
  <c r="W11" i="121"/>
  <c r="W10" i="121"/>
  <c r="W9" i="121"/>
  <c r="W117" i="1554"/>
  <c r="W122" i="1554"/>
  <c r="W178" i="1554"/>
  <c r="W179" i="1554" s="1"/>
  <c r="W127" i="1554" s="1"/>
  <c r="W83" i="1554"/>
  <c r="W90" i="1554" s="1"/>
  <c r="W92" i="1554" s="1"/>
  <c r="W77" i="1554"/>
  <c r="W76" i="1554"/>
  <c r="W168" i="1554" s="1"/>
  <c r="W170" i="1554" s="1"/>
  <c r="W165" i="1554"/>
  <c r="W163" i="1554"/>
  <c r="W156" i="1554"/>
  <c r="W158" i="1554" s="1"/>
  <c r="W160" i="1554" s="1"/>
  <c r="W28" i="121" s="1"/>
  <c r="W150" i="1554"/>
  <c r="W152" i="1554" s="1"/>
  <c r="W144" i="1554"/>
  <c r="W146" i="1554" s="1"/>
  <c r="W148" i="1554" s="1"/>
  <c r="W105" i="1554"/>
  <c r="W104" i="1554"/>
  <c r="W103" i="1554"/>
  <c r="W100" i="1554"/>
  <c r="W189" i="1583"/>
  <c r="W165" i="1583"/>
  <c r="W195" i="1583" s="1"/>
  <c r="W147" i="1583"/>
  <c r="W141" i="1583"/>
  <c r="W123" i="1583"/>
  <c r="W129" i="1583" s="1"/>
  <c r="W112" i="1583"/>
  <c r="W77" i="1583"/>
  <c r="W48" i="1583"/>
  <c r="V184" i="1583"/>
  <c r="W184" i="1583"/>
  <c r="W190" i="1583" s="1"/>
  <c r="W166" i="1583"/>
  <c r="W148" i="1583"/>
  <c r="W142" i="1583"/>
  <c r="W124" i="1583"/>
  <c r="W130" i="1583" s="1"/>
  <c r="W49" i="1583"/>
  <c r="W68" i="1583" s="1"/>
  <c r="W291" i="1554"/>
  <c r="W290" i="1554"/>
  <c r="W289" i="1554"/>
  <c r="W282" i="1554"/>
  <c r="W281" i="1554"/>
  <c r="W273" i="1554"/>
  <c r="W274" i="1554" s="1"/>
  <c r="W269" i="1554"/>
  <c r="W267" i="1554"/>
  <c r="W361" i="1554"/>
  <c r="W362" i="1554" s="1"/>
  <c r="W349" i="1554"/>
  <c r="W328" i="1554"/>
  <c r="W317" i="1554"/>
  <c r="W24" i="1554"/>
  <c r="W16" i="1554"/>
  <c r="W18" i="1554" s="1"/>
  <c r="W256" i="1554"/>
  <c r="W237" i="1554"/>
  <c r="W248" i="1554"/>
  <c r="W93" i="1821" s="1"/>
  <c r="W92" i="1821" s="1"/>
  <c r="W231" i="1554"/>
  <c r="W85" i="1821" s="1"/>
  <c r="W84" i="1821" s="1"/>
  <c r="C741" i="1812"/>
  <c r="C734" i="1812"/>
  <c r="C727" i="1812"/>
  <c r="C720" i="1812"/>
  <c r="X92" i="1821" l="1"/>
  <c r="X94" i="1821"/>
  <c r="X254" i="1554"/>
  <c r="X253" i="1554" s="1"/>
  <c r="X88" i="1821"/>
  <c r="X74" i="1810"/>
  <c r="Y24" i="1810"/>
  <c r="AB21" i="1810"/>
  <c r="AB10" i="1821" s="1"/>
  <c r="W75" i="1821"/>
  <c r="Z253" i="1814"/>
  <c r="Z254" i="1814" s="1"/>
  <c r="Z22" i="1814"/>
  <c r="AA22" i="1814"/>
  <c r="AA28" i="1814" s="1"/>
  <c r="AA30" i="1810" s="1"/>
  <c r="W151" i="121"/>
  <c r="X35" i="1821"/>
  <c r="X143" i="1810"/>
  <c r="X76" i="1810"/>
  <c r="W72" i="121"/>
  <c r="W122" i="121" s="1"/>
  <c r="W69" i="1810"/>
  <c r="Y73" i="1821"/>
  <c r="X73" i="1821"/>
  <c r="X8" i="1821"/>
  <c r="Y26" i="1810"/>
  <c r="W96" i="1810"/>
  <c r="W121" i="1810"/>
  <c r="W49" i="1821" s="1"/>
  <c r="X59" i="1810"/>
  <c r="X79" i="1810"/>
  <c r="X51" i="1810"/>
  <c r="X99" i="1810"/>
  <c r="X96" i="1810"/>
  <c r="W116" i="121"/>
  <c r="W127" i="1810"/>
  <c r="W154" i="1810"/>
  <c r="AL152" i="1810"/>
  <c r="Z10" i="1810"/>
  <c r="AA120" i="1810" s="1"/>
  <c r="AD20" i="1810"/>
  <c r="AD243" i="1812"/>
  <c r="AD399" i="1812" s="1"/>
  <c r="AD400" i="1812" s="1"/>
  <c r="BE240" i="1812"/>
  <c r="BE241" i="1812" s="1"/>
  <c r="C740" i="1812"/>
  <c r="A738" i="1812" s="1"/>
  <c r="AI72" i="1814"/>
  <c r="AI78" i="1814"/>
  <c r="AI80" i="1814" s="1"/>
  <c r="AJ73" i="1814"/>
  <c r="AJ71" i="1814"/>
  <c r="AI83" i="1814"/>
  <c r="AI85" i="1814" s="1"/>
  <c r="AI86" i="1814" s="1"/>
  <c r="AI87" i="1814" s="1"/>
  <c r="X276" i="1554"/>
  <c r="Y278" i="1554" s="1"/>
  <c r="Y362" i="1554"/>
  <c r="Y134" i="121"/>
  <c r="Y120" i="121" s="1"/>
  <c r="Y328" i="1554"/>
  <c r="Y252" i="121"/>
  <c r="Y253" i="121" s="1"/>
  <c r="Y349" i="1554"/>
  <c r="Y137" i="121"/>
  <c r="Y76" i="1821" s="1"/>
  <c r="Y96" i="121"/>
  <c r="Y317" i="1554"/>
  <c r="R90" i="1814"/>
  <c r="V90" i="1814"/>
  <c r="M102" i="1814"/>
  <c r="J102" i="1814"/>
  <c r="AJ80" i="1814"/>
  <c r="O96" i="1814"/>
  <c r="O97" i="1814" s="1"/>
  <c r="O99" i="1814"/>
  <c r="T96" i="1814"/>
  <c r="T97" i="1814" s="1"/>
  <c r="T99" i="1814"/>
  <c r="V96" i="1814"/>
  <c r="V97" i="1814" s="1"/>
  <c r="V99" i="1814"/>
  <c r="O87" i="1814"/>
  <c r="O89" i="1814" s="1"/>
  <c r="AJ89" i="1814" s="1"/>
  <c r="X96" i="1814"/>
  <c r="X97" i="1814" s="1"/>
  <c r="X99" i="1814"/>
  <c r="AL99" i="1814" s="1"/>
  <c r="AJ86" i="1814"/>
  <c r="AJ96" i="1814" s="1"/>
  <c r="AJ97" i="1814" s="1"/>
  <c r="W102" i="1814"/>
  <c r="AK79" i="1814"/>
  <c r="AK80" i="1814"/>
  <c r="AK86" i="1814"/>
  <c r="AK96" i="1814" s="1"/>
  <c r="AK97" i="1814" s="1"/>
  <c r="U102" i="1814"/>
  <c r="N96" i="1814"/>
  <c r="N97" i="1814" s="1"/>
  <c r="N99" i="1814"/>
  <c r="L86" i="1814"/>
  <c r="L87" i="1814" s="1"/>
  <c r="W90" i="1814"/>
  <c r="U90" i="1814"/>
  <c r="S96" i="1814"/>
  <c r="S97" i="1814" s="1"/>
  <c r="S99" i="1814"/>
  <c r="I96" i="1814"/>
  <c r="I97" i="1814" s="1"/>
  <c r="I99" i="1814"/>
  <c r="R96" i="1814"/>
  <c r="R97" i="1814" s="1"/>
  <c r="R99" i="1814"/>
  <c r="K96" i="1814"/>
  <c r="K97" i="1814" s="1"/>
  <c r="K99" i="1814"/>
  <c r="P96" i="1814"/>
  <c r="P97" i="1814" s="1"/>
  <c r="P99" i="1814"/>
  <c r="Q96" i="1814"/>
  <c r="Q97" i="1814" s="1"/>
  <c r="Q99" i="1814"/>
  <c r="T87" i="1814"/>
  <c r="T89" i="1814" s="1"/>
  <c r="T90" i="1814" s="1"/>
  <c r="P79" i="1814"/>
  <c r="AH83" i="1814"/>
  <c r="AH85" i="1814" s="1"/>
  <c r="AH86" i="1814" s="1"/>
  <c r="AH93" i="1814"/>
  <c r="AI71" i="1814"/>
  <c r="AH78" i="1814"/>
  <c r="AH72" i="1814"/>
  <c r="AI73" i="1814"/>
  <c r="G86" i="1814"/>
  <c r="E86" i="1814"/>
  <c r="E87" i="1814" s="1"/>
  <c r="H96" i="1814"/>
  <c r="H97" i="1814" s="1"/>
  <c r="Z13" i="1814"/>
  <c r="Z34" i="1814" s="1"/>
  <c r="Z16" i="1814"/>
  <c r="AA16" i="1814"/>
  <c r="AM26" i="1814"/>
  <c r="AK26" i="1814"/>
  <c r="AK130" i="1814"/>
  <c r="Z128" i="1814"/>
  <c r="AL122" i="1814"/>
  <c r="AL128" i="1814" s="1"/>
  <c r="Z124" i="1814"/>
  <c r="Z143" i="1814"/>
  <c r="AM142" i="1814"/>
  <c r="AL141" i="1814"/>
  <c r="Z36" i="1814"/>
  <c r="Z21" i="1814"/>
  <c r="AL12" i="1814"/>
  <c r="AL16" i="1814" s="1"/>
  <c r="Z75" i="1814"/>
  <c r="AD130" i="1814"/>
  <c r="AE549" i="1812"/>
  <c r="AE550" i="1812" s="1"/>
  <c r="S198" i="1811" s="1"/>
  <c r="S218" i="1813" s="1"/>
  <c r="BE555" i="1812"/>
  <c r="AA550" i="1812"/>
  <c r="O198" i="1811" s="1"/>
  <c r="O218" i="1813" s="1"/>
  <c r="I198" i="1811"/>
  <c r="I218" i="1813" s="1"/>
  <c r="I217" i="1813"/>
  <c r="C733" i="1812"/>
  <c r="C721" i="1812"/>
  <c r="C719" i="1812"/>
  <c r="C726" i="1812"/>
  <c r="C728" i="1812"/>
  <c r="C735" i="1812"/>
  <c r="D745" i="1812"/>
  <c r="D3" i="1812"/>
  <c r="D715" i="1812" s="1"/>
  <c r="E4" i="1812"/>
  <c r="C742" i="1812"/>
  <c r="AO114" i="1812"/>
  <c r="AO651" i="1812" s="1"/>
  <c r="X550" i="1812"/>
  <c r="BE647" i="1812"/>
  <c r="AP508" i="1812"/>
  <c r="BH508" i="1812" s="1"/>
  <c r="BJ635" i="1812"/>
  <c r="BI417" i="1812"/>
  <c r="AF482" i="1812"/>
  <c r="AE483" i="1812"/>
  <c r="AP181" i="1812"/>
  <c r="AP185" i="1812" s="1"/>
  <c r="AP186" i="1812" s="1"/>
  <c r="BH108" i="1812"/>
  <c r="BH181" i="1812"/>
  <c r="BH185" i="1812" s="1"/>
  <c r="BH582" i="1812"/>
  <c r="AI549" i="1812"/>
  <c r="BG549" i="1812"/>
  <c r="BF555" i="1812"/>
  <c r="BH580" i="1812"/>
  <c r="BF272" i="1812"/>
  <c r="BF276" i="1812" s="1"/>
  <c r="AI272" i="1812" s="1"/>
  <c r="AH276" i="1812"/>
  <c r="BH613" i="1812"/>
  <c r="BH583" i="1812" s="1"/>
  <c r="AP514" i="1812"/>
  <c r="BH514" i="1812" s="1"/>
  <c r="AO380" i="1812"/>
  <c r="AO614" i="1812" s="1"/>
  <c r="AP382" i="1812"/>
  <c r="AP510" i="1812"/>
  <c r="BH510" i="1812" s="1"/>
  <c r="BH611" i="1812"/>
  <c r="AP512" i="1812"/>
  <c r="BH512" i="1812" s="1"/>
  <c r="BD241" i="1812"/>
  <c r="BD243" i="1812"/>
  <c r="BD399" i="1812" s="1"/>
  <c r="AM353" i="1812"/>
  <c r="AN515" i="1812"/>
  <c r="AN353" i="1812" s="1"/>
  <c r="AN618" i="1812"/>
  <c r="BJ629" i="1812"/>
  <c r="BF245" i="1812"/>
  <c r="BF249" i="1812" s="1"/>
  <c r="AI245" i="1812" s="1"/>
  <c r="AH249" i="1812"/>
  <c r="Z694" i="1812"/>
  <c r="BD694" i="1812"/>
  <c r="AB5" i="1812"/>
  <c r="BF241" i="1812"/>
  <c r="BF243" i="1812"/>
  <c r="BF399" i="1812" s="1"/>
  <c r="AI240" i="1812"/>
  <c r="BD700" i="1812"/>
  <c r="AC700" i="1812"/>
  <c r="AB700" i="1812"/>
  <c r="AA700" i="1812"/>
  <c r="Z700" i="1812"/>
  <c r="Y699" i="1812" s="1"/>
  <c r="BF5" i="1812"/>
  <c r="AE5" i="1812"/>
  <c r="BG115" i="1812"/>
  <c r="AG303" i="1812"/>
  <c r="AH299" i="1812"/>
  <c r="AO115" i="1812"/>
  <c r="BH33" i="1812"/>
  <c r="BI32" i="1812"/>
  <c r="BH381" i="1812"/>
  <c r="BI381" i="1812" s="1"/>
  <c r="W152" i="121"/>
  <c r="W150" i="121"/>
  <c r="AA29" i="121"/>
  <c r="AA19" i="1810" s="1"/>
  <c r="AA9" i="121"/>
  <c r="X352" i="1554"/>
  <c r="X285" i="1554"/>
  <c r="X117" i="1554"/>
  <c r="X306" i="121"/>
  <c r="X286" i="1554"/>
  <c r="X87" i="121"/>
  <c r="X91" i="121"/>
  <c r="X307" i="121"/>
  <c r="X118" i="1554"/>
  <c r="W51" i="1554"/>
  <c r="W154" i="1554"/>
  <c r="X182" i="1583"/>
  <c r="X188" i="1583" s="1"/>
  <c r="X97" i="121"/>
  <c r="W270" i="1554"/>
  <c r="W276" i="1554" s="1"/>
  <c r="W121" i="121"/>
  <c r="W46" i="121"/>
  <c r="W352" i="1554"/>
  <c r="W26" i="1554"/>
  <c r="W128" i="121"/>
  <c r="W157" i="1810" s="1"/>
  <c r="W159" i="1810" s="1"/>
  <c r="W12" i="121"/>
  <c r="W238" i="1554"/>
  <c r="W182" i="1583"/>
  <c r="W115" i="121"/>
  <c r="W124" i="121" s="1"/>
  <c r="W171" i="121"/>
  <c r="W173" i="121" s="1"/>
  <c r="W175" i="121" s="1"/>
  <c r="W162" i="1554"/>
  <c r="W164" i="1554" s="1"/>
  <c r="W166" i="1554" s="1"/>
  <c r="W292" i="1554"/>
  <c r="W211" i="121"/>
  <c r="W152" i="1583"/>
  <c r="W155" i="1583" s="1"/>
  <c r="W207" i="1583"/>
  <c r="W177" i="1583"/>
  <c r="W75" i="121"/>
  <c r="W49" i="1810" s="1"/>
  <c r="W163" i="121"/>
  <c r="W165" i="121" s="1"/>
  <c r="W167" i="121" s="1"/>
  <c r="W178" i="1583"/>
  <c r="W78" i="1554"/>
  <c r="W283" i="1554" s="1"/>
  <c r="W196" i="1583"/>
  <c r="W217" i="121"/>
  <c r="D741" i="1812"/>
  <c r="D734" i="1812"/>
  <c r="D727" i="1812"/>
  <c r="D720" i="1812"/>
  <c r="W254" i="1554" l="1"/>
  <c r="W252" i="1554" s="1"/>
  <c r="W88" i="1821"/>
  <c r="X97" i="1821"/>
  <c r="X96" i="1821" s="1"/>
  <c r="X87" i="1821"/>
  <c r="Z28" i="1814"/>
  <c r="Z30" i="1810" s="1"/>
  <c r="W9" i="1810"/>
  <c r="W99" i="1810" s="1"/>
  <c r="X23" i="121"/>
  <c r="W415" i="121"/>
  <c r="X104" i="1810"/>
  <c r="X89" i="1810"/>
  <c r="AL69" i="1810"/>
  <c r="W71" i="1810"/>
  <c r="AL154" i="1810"/>
  <c r="AL77" i="1821" s="1"/>
  <c r="W77" i="1821"/>
  <c r="X81" i="1810"/>
  <c r="X61" i="1810"/>
  <c r="X18" i="1821"/>
  <c r="X31" i="1821" s="1"/>
  <c r="X38" i="1821" s="1"/>
  <c r="W42" i="1821"/>
  <c r="W137" i="1810"/>
  <c r="W145" i="1810" s="1"/>
  <c r="W99" i="1821"/>
  <c r="Y182" i="1583"/>
  <c r="Y194" i="1583" s="1"/>
  <c r="Y94" i="1810"/>
  <c r="W129" i="1810"/>
  <c r="AL127" i="1810"/>
  <c r="AL129" i="1810" s="1"/>
  <c r="Y11" i="1821"/>
  <c r="W79" i="1810"/>
  <c r="W51" i="1810"/>
  <c r="X42" i="1821"/>
  <c r="X101" i="1810"/>
  <c r="X137" i="1810"/>
  <c r="X145" i="1810" s="1"/>
  <c r="X36" i="1821"/>
  <c r="X68" i="1821"/>
  <c r="AA25" i="1810"/>
  <c r="Z120" i="1810"/>
  <c r="AL10" i="1810"/>
  <c r="AL75" i="1810" s="1"/>
  <c r="Z75" i="1810"/>
  <c r="Z25" i="1810"/>
  <c r="AM20" i="1810"/>
  <c r="Z95" i="1810"/>
  <c r="Z100" i="1810" s="1"/>
  <c r="Z35" i="1810"/>
  <c r="AL35" i="1810" s="1"/>
  <c r="BE243" i="1812"/>
  <c r="BE399" i="1812" s="1"/>
  <c r="BE405" i="1812" s="1"/>
  <c r="AJ79" i="1814"/>
  <c r="X278" i="1554"/>
  <c r="AB549" i="1812"/>
  <c r="AB550" i="1812" s="1"/>
  <c r="P198" i="1811" s="1"/>
  <c r="P218" i="1813" s="1"/>
  <c r="X294" i="1554"/>
  <c r="C738" i="1812"/>
  <c r="X277" i="1554"/>
  <c r="Y352" i="1554"/>
  <c r="Y257" i="121"/>
  <c r="Y97" i="121"/>
  <c r="Y115" i="121"/>
  <c r="Y99" i="121"/>
  <c r="AA555" i="1812"/>
  <c r="AA647" i="1812"/>
  <c r="S197" i="1811"/>
  <c r="S217" i="1813" s="1"/>
  <c r="S90" i="1814"/>
  <c r="AK89" i="1814"/>
  <c r="AK90" i="1814" s="1"/>
  <c r="AK87" i="1814"/>
  <c r="AJ87" i="1814"/>
  <c r="X102" i="1814"/>
  <c r="S102" i="1814"/>
  <c r="N102" i="1814"/>
  <c r="X90" i="1814"/>
  <c r="L96" i="1814"/>
  <c r="L97" i="1814" s="1"/>
  <c r="L99" i="1814"/>
  <c r="AJ99" i="1814"/>
  <c r="AJ102" i="1814" s="1"/>
  <c r="V102" i="1814"/>
  <c r="O102" i="1814"/>
  <c r="Q102" i="1814"/>
  <c r="K102" i="1814"/>
  <c r="R102" i="1814"/>
  <c r="T102" i="1814"/>
  <c r="AI96" i="1814"/>
  <c r="AI97" i="1814" s="1"/>
  <c r="AI99" i="1814"/>
  <c r="P102" i="1814"/>
  <c r="I102" i="1814"/>
  <c r="AK99" i="1814"/>
  <c r="AK102" i="1814" s="1"/>
  <c r="G96" i="1814"/>
  <c r="G97" i="1814" s="1"/>
  <c r="AI79" i="1814"/>
  <c r="AH80" i="1814"/>
  <c r="G87" i="1814"/>
  <c r="AH87" i="1814"/>
  <c r="AH96" i="1814"/>
  <c r="AH97" i="1814" s="1"/>
  <c r="AH99" i="1814"/>
  <c r="AM27" i="1814"/>
  <c r="AM130" i="1814" s="1"/>
  <c r="AL13" i="1814"/>
  <c r="AL69" i="1814"/>
  <c r="Z37" i="1814"/>
  <c r="AL36" i="1814"/>
  <c r="AL21" i="1814"/>
  <c r="AL34" i="1814" s="1"/>
  <c r="AD10" i="1814"/>
  <c r="Z145" i="1814"/>
  <c r="AL143" i="1814"/>
  <c r="Z129" i="1814"/>
  <c r="AL124" i="1814"/>
  <c r="AL129" i="1814" s="1"/>
  <c r="Z94" i="1814"/>
  <c r="AL75" i="1814"/>
  <c r="Z206" i="1814"/>
  <c r="AA160" i="121"/>
  <c r="D721" i="1812"/>
  <c r="D726" i="1812"/>
  <c r="D724" i="1812" s="1"/>
  <c r="D742" i="1812"/>
  <c r="D719" i="1812"/>
  <c r="D717" i="1812" s="1"/>
  <c r="D735" i="1812"/>
  <c r="D733" i="1812"/>
  <c r="D731" i="1812" s="1"/>
  <c r="D740" i="1812"/>
  <c r="D738" i="1812" s="1"/>
  <c r="D728" i="1812"/>
  <c r="AE555" i="1812"/>
  <c r="A724" i="1812"/>
  <c r="C724" i="1812"/>
  <c r="A717" i="1812"/>
  <c r="C717" i="1812"/>
  <c r="AF549" i="1812"/>
  <c r="AF550" i="1812" s="1"/>
  <c r="E745" i="1812"/>
  <c r="E3" i="1812"/>
  <c r="E715" i="1812" s="1"/>
  <c r="F4" i="1812"/>
  <c r="AE647" i="1812"/>
  <c r="A731" i="1812"/>
  <c r="C731" i="1812"/>
  <c r="L198" i="1811"/>
  <c r="L218" i="1813" s="1"/>
  <c r="X647" i="1812"/>
  <c r="Y549" i="1812"/>
  <c r="X555" i="1812"/>
  <c r="AP114" i="1812"/>
  <c r="AP651" i="1812" s="1"/>
  <c r="BK635" i="1812"/>
  <c r="BK417" i="1812" s="1"/>
  <c r="BJ417" i="1812"/>
  <c r="AI550" i="1812"/>
  <c r="W198" i="1811" s="1"/>
  <c r="W218" i="1813" s="1"/>
  <c r="W197" i="1811"/>
  <c r="W217" i="1813" s="1"/>
  <c r="AG482" i="1812"/>
  <c r="AF483" i="1812"/>
  <c r="Z699" i="1812"/>
  <c r="AA694" i="1812"/>
  <c r="AC5" i="1812"/>
  <c r="BH587" i="1812"/>
  <c r="BI582" i="1812"/>
  <c r="BJ582" i="1812" s="1"/>
  <c r="BK582" i="1812" s="1"/>
  <c r="AA699" i="1812"/>
  <c r="BK629" i="1812"/>
  <c r="AJ272" i="1812"/>
  <c r="AJ276" i="1812" s="1"/>
  <c r="AI276" i="1812"/>
  <c r="BI621" i="1812"/>
  <c r="BJ381" i="1812"/>
  <c r="AB699" i="1812"/>
  <c r="BI580" i="1812"/>
  <c r="BJ580" i="1812" s="1"/>
  <c r="BK580" i="1812" s="1"/>
  <c r="BH585" i="1812"/>
  <c r="BJ32" i="1812"/>
  <c r="BI18" i="1812"/>
  <c r="BD699" i="1812"/>
  <c r="BI583" i="1812"/>
  <c r="BJ583" i="1812" s="1"/>
  <c r="BK583" i="1812" s="1"/>
  <c r="BH588" i="1812"/>
  <c r="AI241" i="1812"/>
  <c r="AI243" i="1812"/>
  <c r="AI399" i="1812" s="1"/>
  <c r="AI400" i="1812" s="1"/>
  <c r="AJ240" i="1812"/>
  <c r="BF400" i="1812"/>
  <c r="BF405" i="1812"/>
  <c r="AP380" i="1812"/>
  <c r="AP614" i="1812" s="1"/>
  <c r="BH581" i="1812"/>
  <c r="BE694" i="1812"/>
  <c r="AD694" i="1812"/>
  <c r="AF5" i="1812"/>
  <c r="AE700" i="1812"/>
  <c r="BE700" i="1812"/>
  <c r="AD700" i="1812"/>
  <c r="AG700" i="1812"/>
  <c r="AF700" i="1812"/>
  <c r="AI5" i="1812"/>
  <c r="BG5" i="1812"/>
  <c r="AJ245" i="1812"/>
  <c r="AJ249" i="1812" s="1"/>
  <c r="AI249" i="1812"/>
  <c r="BD400" i="1812"/>
  <c r="BD405" i="1812"/>
  <c r="AO515" i="1812"/>
  <c r="AO353" i="1812" s="1"/>
  <c r="AO618" i="1812"/>
  <c r="AP115" i="1812"/>
  <c r="BH186" i="1812"/>
  <c r="BH114" i="1812"/>
  <c r="BH651" i="1812" s="1"/>
  <c r="AH303" i="1812"/>
  <c r="BF299" i="1812"/>
  <c r="BF303" i="1812" s="1"/>
  <c r="AI299" i="1812" s="1"/>
  <c r="BH109" i="1812"/>
  <c r="W153" i="121"/>
  <c r="W47" i="121"/>
  <c r="AA163" i="121"/>
  <c r="AA19" i="121"/>
  <c r="AA150" i="121"/>
  <c r="X276" i="121"/>
  <c r="X70" i="121"/>
  <c r="X318" i="121"/>
  <c r="W134" i="1583"/>
  <c r="W137" i="1583" s="1"/>
  <c r="W28" i="1554"/>
  <c r="W31" i="1554" s="1"/>
  <c r="W52" i="1554"/>
  <c r="W53" i="1554" s="1"/>
  <c r="W56" i="1554" s="1"/>
  <c r="X304" i="121"/>
  <c r="X115" i="1554"/>
  <c r="X99" i="121"/>
  <c r="X93" i="121"/>
  <c r="X104" i="121"/>
  <c r="X106" i="121" s="1"/>
  <c r="X107" i="121" s="1"/>
  <c r="W31" i="1583"/>
  <c r="W34" i="1583" s="1"/>
  <c r="X16" i="121"/>
  <c r="W294" i="1554"/>
  <c r="W97" i="121"/>
  <c r="W277" i="1554"/>
  <c r="W185" i="1583"/>
  <c r="W87" i="121"/>
  <c r="W91" i="121"/>
  <c r="W307" i="121"/>
  <c r="W118" i="1554"/>
  <c r="W208" i="1583"/>
  <c r="E741" i="1812"/>
  <c r="E734" i="1812"/>
  <c r="E727" i="1812"/>
  <c r="E720" i="1812"/>
  <c r="W97" i="1821" l="1"/>
  <c r="W87" i="1821"/>
  <c r="W251" i="1554"/>
  <c r="W95" i="1821"/>
  <c r="W94" i="1821" s="1"/>
  <c r="X33" i="1821"/>
  <c r="BE400" i="1812"/>
  <c r="BE403" i="1812" s="1"/>
  <c r="W11" i="1810"/>
  <c r="W101" i="1810" s="1"/>
  <c r="Y188" i="1583"/>
  <c r="W74" i="1810"/>
  <c r="W59" i="1810"/>
  <c r="AA21" i="1810"/>
  <c r="AA10" i="1821" s="1"/>
  <c r="X24" i="1810"/>
  <c r="X62" i="1821"/>
  <c r="X70" i="1821" s="1"/>
  <c r="X43" i="1821"/>
  <c r="W62" i="1821"/>
  <c r="W70" i="1821" s="1"/>
  <c r="W81" i="1810"/>
  <c r="W35" i="1821"/>
  <c r="W143" i="1810"/>
  <c r="AL143" i="1810" s="1"/>
  <c r="AL71" i="1810"/>
  <c r="AL35" i="1821" s="1"/>
  <c r="AL54" i="1821"/>
  <c r="AL63" i="1821" s="1"/>
  <c r="AL138" i="1810"/>
  <c r="X20" i="1821"/>
  <c r="W89" i="1810"/>
  <c r="W104" i="1810"/>
  <c r="W138" i="1810"/>
  <c r="W54" i="1821"/>
  <c r="W63" i="1821" s="1"/>
  <c r="Y99" i="1810"/>
  <c r="Y96" i="1810"/>
  <c r="Y104" i="1810"/>
  <c r="W18" i="1821"/>
  <c r="W31" i="1821" s="1"/>
  <c r="X91" i="1810"/>
  <c r="X136" i="1810"/>
  <c r="X106" i="1810"/>
  <c r="X122" i="1810"/>
  <c r="X114" i="1810"/>
  <c r="AL15" i="1810"/>
  <c r="AL120" i="1810"/>
  <c r="AL95" i="1810"/>
  <c r="AL100" i="1810" s="1"/>
  <c r="Z45" i="1810"/>
  <c r="Z40" i="1810"/>
  <c r="AL45" i="1810"/>
  <c r="P197" i="1811"/>
  <c r="P217" i="1813" s="1"/>
  <c r="AC549" i="1812"/>
  <c r="Q197" i="1811" s="1"/>
  <c r="Q217" i="1813" s="1"/>
  <c r="AB647" i="1812"/>
  <c r="AB555" i="1812"/>
  <c r="AA165" i="121"/>
  <c r="Y206" i="1583"/>
  <c r="Y118" i="121"/>
  <c r="Y124" i="121"/>
  <c r="Y101" i="121"/>
  <c r="X300" i="121"/>
  <c r="Y294" i="121"/>
  <c r="Y288" i="121"/>
  <c r="AI102" i="1814"/>
  <c r="L102" i="1814"/>
  <c r="AH102" i="1814"/>
  <c r="AL37" i="1814"/>
  <c r="AL38" i="1814"/>
  <c r="AL76" i="1814"/>
  <c r="AL94" i="1814"/>
  <c r="AL206" i="1814"/>
  <c r="AA206" i="1814"/>
  <c r="AD141" i="1814"/>
  <c r="AD20" i="1814"/>
  <c r="AD122" i="1814"/>
  <c r="AM10" i="1814"/>
  <c r="AM20" i="1814" s="1"/>
  <c r="AD12" i="1814"/>
  <c r="Z146" i="1814"/>
  <c r="AL145" i="1814"/>
  <c r="AL146" i="1814" s="1"/>
  <c r="AJ549" i="1812"/>
  <c r="X197" i="1811" s="1"/>
  <c r="X217" i="1813" s="1"/>
  <c r="AI555" i="1812"/>
  <c r="T198" i="1811"/>
  <c r="T218" i="1813" s="1"/>
  <c r="AF555" i="1812"/>
  <c r="AF647" i="1812"/>
  <c r="AG549" i="1812"/>
  <c r="AG550" i="1812" s="1"/>
  <c r="U198" i="1811" s="1"/>
  <c r="U218" i="1813" s="1"/>
  <c r="E719" i="1812"/>
  <c r="E717" i="1812" s="1"/>
  <c r="E740" i="1812"/>
  <c r="E738" i="1812" s="1"/>
  <c r="E721" i="1812"/>
  <c r="E742" i="1812"/>
  <c r="E728" i="1812"/>
  <c r="E735" i="1812"/>
  <c r="E733" i="1812"/>
  <c r="E731" i="1812" s="1"/>
  <c r="E726" i="1812"/>
  <c r="E724" i="1812" s="1"/>
  <c r="AY4" i="1812"/>
  <c r="F3" i="1812"/>
  <c r="F715" i="1812" s="1"/>
  <c r="F745" i="1812"/>
  <c r="T197" i="1811"/>
  <c r="T217" i="1813" s="1"/>
  <c r="AE699" i="1812"/>
  <c r="Y550" i="1812"/>
  <c r="M197" i="1811"/>
  <c r="M217" i="1813" s="1"/>
  <c r="AH482" i="1812"/>
  <c r="AG483" i="1812"/>
  <c r="BE699" i="1812"/>
  <c r="AJ299" i="1812"/>
  <c r="AJ303" i="1812" s="1"/>
  <c r="AI303" i="1812"/>
  <c r="BH115" i="1812"/>
  <c r="AE694" i="1812"/>
  <c r="AG5" i="1812"/>
  <c r="BJ621" i="1812"/>
  <c r="BK381" i="1812"/>
  <c r="BK621" i="1812" s="1"/>
  <c r="BF700" i="1812"/>
  <c r="BG703" i="1812"/>
  <c r="AJ700" i="1812"/>
  <c r="AJ699" i="1812" s="1"/>
  <c r="AI700" i="1812"/>
  <c r="AH700" i="1812"/>
  <c r="AG699" i="1812" s="1"/>
  <c r="BH5" i="1812"/>
  <c r="AM5" i="1812"/>
  <c r="BF403" i="1812"/>
  <c r="BF406" i="1812"/>
  <c r="AJ241" i="1812"/>
  <c r="AJ243" i="1812"/>
  <c r="AJ399" i="1812" s="1"/>
  <c r="AJ400" i="1812" s="1"/>
  <c r="AH694" i="1812"/>
  <c r="BF694" i="1812"/>
  <c r="AJ5" i="1812"/>
  <c r="BI177" i="1812"/>
  <c r="AF699" i="1812"/>
  <c r="BI581" i="1812"/>
  <c r="BJ581" i="1812" s="1"/>
  <c r="BK581" i="1812" s="1"/>
  <c r="BH586" i="1812"/>
  <c r="BK32" i="1812"/>
  <c r="BK18" i="1812" s="1"/>
  <c r="BJ18" i="1812"/>
  <c r="BD403" i="1812"/>
  <c r="BD406" i="1812"/>
  <c r="BH614" i="1812"/>
  <c r="AP515" i="1812"/>
  <c r="AP353" i="1812" s="1"/>
  <c r="AP618" i="1812"/>
  <c r="AB694" i="1812"/>
  <c r="AD5" i="1812"/>
  <c r="AC694" i="1812" s="1"/>
  <c r="AD699" i="1812"/>
  <c r="AC699" i="1812"/>
  <c r="AA156" i="121"/>
  <c r="AA262" i="121"/>
  <c r="W191" i="1583"/>
  <c r="W164" i="1583"/>
  <c r="W194" i="1583" s="1"/>
  <c r="W146" i="1583"/>
  <c r="X68" i="121"/>
  <c r="X108" i="121"/>
  <c r="X110" i="121" s="1"/>
  <c r="X120" i="121"/>
  <c r="W188" i="1583"/>
  <c r="X101" i="121"/>
  <c r="W149" i="1583"/>
  <c r="W167" i="1583"/>
  <c r="W93" i="121"/>
  <c r="W114" i="121"/>
  <c r="W99" i="121"/>
  <c r="F741" i="1812"/>
  <c r="F734" i="1812"/>
  <c r="F727" i="1812"/>
  <c r="F720" i="1812"/>
  <c r="BG704" i="1812"/>
  <c r="W96" i="1821" l="1"/>
  <c r="W38" i="1821"/>
  <c r="W33" i="1821"/>
  <c r="W61" i="1810"/>
  <c r="W76" i="1810"/>
  <c r="X26" i="1810"/>
  <c r="W8" i="1821"/>
  <c r="W43" i="1821" s="1"/>
  <c r="BE406" i="1812"/>
  <c r="AD253" i="1814"/>
  <c r="AD254" i="1814" s="1"/>
  <c r="AD22" i="1814"/>
  <c r="W136" i="1810"/>
  <c r="W122" i="1810"/>
  <c r="W91" i="1810"/>
  <c r="W106" i="1810"/>
  <c r="X116" i="1810"/>
  <c r="W68" i="1821"/>
  <c r="AL68" i="1821" s="1"/>
  <c r="X124" i="1810"/>
  <c r="X130" i="1810"/>
  <c r="X50" i="1821"/>
  <c r="X45" i="1821"/>
  <c r="X40" i="1821"/>
  <c r="X61" i="1821"/>
  <c r="W114" i="1810"/>
  <c r="Y114" i="1810"/>
  <c r="Y42" i="1821"/>
  <c r="Y137" i="1810"/>
  <c r="Y106" i="1810"/>
  <c r="Y101" i="1810"/>
  <c r="AD10" i="1810"/>
  <c r="AM10" i="1810" s="1"/>
  <c r="AC550" i="1812"/>
  <c r="AC555" i="1812" s="1"/>
  <c r="AJ550" i="1812"/>
  <c r="X198" i="1811" s="1"/>
  <c r="X218" i="1813" s="1"/>
  <c r="U197" i="1811"/>
  <c r="U217" i="1813" s="1"/>
  <c r="AA167" i="121"/>
  <c r="Y123" i="121"/>
  <c r="F740" i="1812"/>
  <c r="F738" i="1812" s="1"/>
  <c r="AD13" i="1814"/>
  <c r="AD34" i="1814" s="1"/>
  <c r="AD16" i="1814"/>
  <c r="AD143" i="1814"/>
  <c r="AM141" i="1814"/>
  <c r="AD128" i="1814"/>
  <c r="AM122" i="1814"/>
  <c r="AM128" i="1814" s="1"/>
  <c r="AD124" i="1814"/>
  <c r="AD21" i="1814"/>
  <c r="AD75" i="1814"/>
  <c r="AD36" i="1814"/>
  <c r="AM12" i="1814"/>
  <c r="AB206" i="1814"/>
  <c r="AG555" i="1812"/>
  <c r="AH549" i="1812"/>
  <c r="V197" i="1811" s="1"/>
  <c r="V217" i="1813" s="1"/>
  <c r="F726" i="1812"/>
  <c r="F724" i="1812" s="1"/>
  <c r="F719" i="1812"/>
  <c r="F717" i="1812" s="1"/>
  <c r="F721" i="1812"/>
  <c r="F733" i="1812"/>
  <c r="F731" i="1812" s="1"/>
  <c r="F735" i="1812"/>
  <c r="F728" i="1812"/>
  <c r="AY745" i="1812"/>
  <c r="G4" i="1812"/>
  <c r="AY3" i="1812"/>
  <c r="AY715" i="1812" s="1"/>
  <c r="AG647" i="1812"/>
  <c r="F742" i="1812"/>
  <c r="M198" i="1811"/>
  <c r="M218" i="1813" s="1"/>
  <c r="Z549" i="1812"/>
  <c r="Y647" i="1812"/>
  <c r="Y555" i="1812"/>
  <c r="BF482" i="1812"/>
  <c r="BF483" i="1812" s="1"/>
  <c r="AH483" i="1812"/>
  <c r="AH699" i="1812"/>
  <c r="AI699" i="1812"/>
  <c r="BI643" i="1812"/>
  <c r="AI694" i="1812"/>
  <c r="AK5" i="1812"/>
  <c r="BK177" i="1812"/>
  <c r="BI613" i="1812"/>
  <c r="BI514" i="1812" s="1"/>
  <c r="BI611" i="1812"/>
  <c r="BI595" i="1812"/>
  <c r="BI593" i="1812"/>
  <c r="BI184" i="1812"/>
  <c r="BI183" i="1812"/>
  <c r="BI180" i="1812"/>
  <c r="BI181" i="1812" s="1"/>
  <c r="BI9" i="1812"/>
  <c r="AF694" i="1812"/>
  <c r="AH5" i="1812"/>
  <c r="AG694" i="1812" s="1"/>
  <c r="BH380" i="1812"/>
  <c r="BH382" i="1812"/>
  <c r="BH618" i="1812"/>
  <c r="AM703" i="1812"/>
  <c r="AN5" i="1812"/>
  <c r="BH703" i="1812"/>
  <c r="BI5" i="1812"/>
  <c r="BF699" i="1812"/>
  <c r="BH515" i="1812"/>
  <c r="BH353" i="1812" s="1"/>
  <c r="BJ177" i="1812"/>
  <c r="BJ643" i="1812" s="1"/>
  <c r="W176" i="1583"/>
  <c r="X84" i="121"/>
  <c r="W206" i="1583"/>
  <c r="W179" i="1583"/>
  <c r="W197" i="1583"/>
  <c r="W209" i="1583" s="1"/>
  <c r="W101" i="121"/>
  <c r="M17" i="1809"/>
  <c r="N17" i="1809" s="1"/>
  <c r="O17" i="1809" s="1"/>
  <c r="P17" i="1809" s="1"/>
  <c r="Q17" i="1809" s="1"/>
  <c r="R17" i="1809" s="1"/>
  <c r="S17" i="1809" s="1"/>
  <c r="T17" i="1809" s="1"/>
  <c r="U17" i="1809" s="1"/>
  <c r="AY741" i="1812"/>
  <c r="AY734" i="1812"/>
  <c r="AY727" i="1812"/>
  <c r="AY720" i="1812"/>
  <c r="AM704" i="1812"/>
  <c r="BH704" i="1812"/>
  <c r="W36" i="1821" l="1"/>
  <c r="X11" i="1821"/>
  <c r="W20" i="1821"/>
  <c r="Q198" i="1811"/>
  <c r="Q218" i="1813" s="1"/>
  <c r="AC647" i="1812"/>
  <c r="AD549" i="1812"/>
  <c r="AD550" i="1812" s="1"/>
  <c r="AD28" i="1814"/>
  <c r="AD30" i="1810" s="1"/>
  <c r="Y116" i="1810"/>
  <c r="Y140" i="1810"/>
  <c r="Y145" i="1810"/>
  <c r="Y62" i="1821"/>
  <c r="Y45" i="1821"/>
  <c r="Y43" i="1821"/>
  <c r="W40" i="1821"/>
  <c r="W45" i="1821"/>
  <c r="W61" i="1821"/>
  <c r="W50" i="1821"/>
  <c r="W116" i="1810"/>
  <c r="X131" i="1810"/>
  <c r="X139" i="1810" s="1"/>
  <c r="X140" i="1810" s="1"/>
  <c r="X47" i="1821"/>
  <c r="W124" i="1810"/>
  <c r="W130" i="1810"/>
  <c r="X52" i="1821"/>
  <c r="X55" i="1821"/>
  <c r="AD120" i="1810"/>
  <c r="AD75" i="1810"/>
  <c r="AD25" i="1810"/>
  <c r="AD15" i="1810"/>
  <c r="AD35" i="1810"/>
  <c r="AD40" i="1810" s="1"/>
  <c r="AD95" i="1810"/>
  <c r="AD100" i="1810" s="1"/>
  <c r="AM15" i="1810"/>
  <c r="AM75" i="1810"/>
  <c r="AK549" i="1812"/>
  <c r="AJ555" i="1812"/>
  <c r="AY742" i="1812"/>
  <c r="AA168" i="121"/>
  <c r="AY740" i="1812"/>
  <c r="AY738" i="1812" s="1"/>
  <c r="AM13" i="1814"/>
  <c r="AM16" i="1814"/>
  <c r="AC206" i="1814"/>
  <c r="AD206" i="1814" s="1"/>
  <c r="AD145" i="1814"/>
  <c r="AM143" i="1814"/>
  <c r="AD94" i="1814"/>
  <c r="AM75" i="1814"/>
  <c r="AM69" i="1814"/>
  <c r="AD129" i="1814"/>
  <c r="AM124" i="1814"/>
  <c r="AM129" i="1814" s="1"/>
  <c r="AM21" i="1814"/>
  <c r="AM34" i="1814" s="1"/>
  <c r="AD37" i="1814"/>
  <c r="AM36" i="1814"/>
  <c r="AH550" i="1812"/>
  <c r="V198" i="1811" s="1"/>
  <c r="V218" i="1813" s="1"/>
  <c r="AY726" i="1812"/>
  <c r="AY724" i="1812" s="1"/>
  <c r="AY721" i="1812"/>
  <c r="AY719" i="1812"/>
  <c r="AY717" i="1812" s="1"/>
  <c r="AY735" i="1812"/>
  <c r="AY733" i="1812"/>
  <c r="AY731" i="1812" s="1"/>
  <c r="AY728" i="1812"/>
  <c r="G745" i="1812"/>
  <c r="G3" i="1812"/>
  <c r="G715" i="1812" s="1"/>
  <c r="H4" i="1812"/>
  <c r="N197" i="1811"/>
  <c r="N217" i="1813" s="1"/>
  <c r="Z550" i="1812"/>
  <c r="AI482" i="1812"/>
  <c r="BF647" i="1812"/>
  <c r="BK613" i="1812"/>
  <c r="BK611" i="1812"/>
  <c r="BK595" i="1812"/>
  <c r="BK593" i="1812"/>
  <c r="BK183" i="1812"/>
  <c r="BK180" i="1812"/>
  <c r="BK181" i="1812" s="1"/>
  <c r="BK184" i="1812"/>
  <c r="BK9" i="1812"/>
  <c r="BJ613" i="1812"/>
  <c r="BJ514" i="1812" s="1"/>
  <c r="BJ611" i="1812"/>
  <c r="BJ595" i="1812"/>
  <c r="BJ593" i="1812"/>
  <c r="BJ184" i="1812"/>
  <c r="BJ183" i="1812"/>
  <c r="BJ180" i="1812"/>
  <c r="BJ181" i="1812" s="1"/>
  <c r="BJ9" i="1812"/>
  <c r="BK643" i="1812"/>
  <c r="BI382" i="1812"/>
  <c r="BI386" i="1812" s="1"/>
  <c r="BI185" i="1812"/>
  <c r="BI508" i="1812"/>
  <c r="AN703" i="1812"/>
  <c r="AO5" i="1812"/>
  <c r="BI510" i="1812"/>
  <c r="AJ694" i="1812"/>
  <c r="AK703" i="1812"/>
  <c r="AL5" i="1812"/>
  <c r="BI703" i="1812"/>
  <c r="BJ5" i="1812"/>
  <c r="BI512" i="1812"/>
  <c r="T45" i="121"/>
  <c r="V65" i="121"/>
  <c r="AK71" i="121"/>
  <c r="AM262" i="1554"/>
  <c r="V327" i="121"/>
  <c r="V73" i="121"/>
  <c r="V74" i="121" s="1"/>
  <c r="V63" i="1554"/>
  <c r="V62" i="1554"/>
  <c r="V61" i="1554"/>
  <c r="AM64" i="1554"/>
  <c r="V111" i="1554"/>
  <c r="V117" i="1554" s="1"/>
  <c r="V110" i="1554"/>
  <c r="V305" i="121" s="1"/>
  <c r="V109" i="1554"/>
  <c r="V304" i="121" s="1"/>
  <c r="AM126" i="1554"/>
  <c r="AM112" i="1554"/>
  <c r="AM196" i="1554"/>
  <c r="K23" i="1807"/>
  <c r="L23" i="1807" s="1"/>
  <c r="M23" i="1807" s="1"/>
  <c r="N23" i="1807" s="1"/>
  <c r="O23" i="1807" s="1"/>
  <c r="P23" i="1807" s="1"/>
  <c r="Q23" i="1807" s="1"/>
  <c r="R23" i="1807" s="1"/>
  <c r="S23" i="1807" s="1"/>
  <c r="T23" i="1807" s="1"/>
  <c r="G741" i="1812"/>
  <c r="G734" i="1812"/>
  <c r="G727" i="1812"/>
  <c r="G720" i="1812"/>
  <c r="BI704" i="1812"/>
  <c r="AN704" i="1812"/>
  <c r="AK704" i="1812"/>
  <c r="R197" i="1811" l="1"/>
  <c r="R217" i="1813" s="1"/>
  <c r="Y47" i="1821"/>
  <c r="Y65" i="1821"/>
  <c r="Y70" i="1821"/>
  <c r="W131" i="1810"/>
  <c r="W139" i="1810" s="1"/>
  <c r="W140" i="1810" s="1"/>
  <c r="Y144" i="1810"/>
  <c r="X56" i="1821"/>
  <c r="X64" i="1821" s="1"/>
  <c r="X65" i="1821" s="1"/>
  <c r="X132" i="1810"/>
  <c r="W52" i="1821"/>
  <c r="W55" i="1821"/>
  <c r="X144" i="1810"/>
  <c r="W47" i="1821"/>
  <c r="AM120" i="1810"/>
  <c r="AM95" i="1810"/>
  <c r="AM100" i="1810" s="1"/>
  <c r="AD45" i="1810"/>
  <c r="AM35" i="1810"/>
  <c r="AM40" i="1810" s="1"/>
  <c r="AH647" i="1812"/>
  <c r="AM206" i="1814"/>
  <c r="G740" i="1812"/>
  <c r="G738" i="1812" s="1"/>
  <c r="AH555" i="1812"/>
  <c r="AD146" i="1814"/>
  <c r="AM145" i="1814"/>
  <c r="AM146" i="1814" s="1"/>
  <c r="AM38" i="1814"/>
  <c r="AM37" i="1814"/>
  <c r="AM94" i="1814"/>
  <c r="AM76" i="1814"/>
  <c r="G742" i="1812"/>
  <c r="BK508" i="1812"/>
  <c r="BK510" i="1812"/>
  <c r="G735" i="1812"/>
  <c r="G733" i="1812"/>
  <c r="G731" i="1812" s="1"/>
  <c r="G719" i="1812"/>
  <c r="G717" i="1812" s="1"/>
  <c r="G721" i="1812"/>
  <c r="G728" i="1812"/>
  <c r="G726" i="1812"/>
  <c r="G724" i="1812" s="1"/>
  <c r="H3" i="1812"/>
  <c r="H715" i="1812" s="1"/>
  <c r="I4" i="1812"/>
  <c r="H745" i="1812"/>
  <c r="BK185" i="1812"/>
  <c r="BK186" i="1812" s="1"/>
  <c r="BJ510" i="1812"/>
  <c r="BJ508" i="1812"/>
  <c r="N198" i="1811"/>
  <c r="N218" i="1813" s="1"/>
  <c r="Z647" i="1812"/>
  <c r="Z555" i="1812"/>
  <c r="R198" i="1811"/>
  <c r="R218" i="1813" s="1"/>
  <c r="AD647" i="1812"/>
  <c r="AD555" i="1812"/>
  <c r="AJ482" i="1812"/>
  <c r="AJ483" i="1812" s="1"/>
  <c r="AJ647" i="1812" s="1"/>
  <c r="AI483" i="1812"/>
  <c r="AI647" i="1812" s="1"/>
  <c r="AK705" i="1812"/>
  <c r="BJ382" i="1812"/>
  <c r="BI380" i="1812"/>
  <c r="BI614" i="1812" s="1"/>
  <c r="BJ512" i="1812"/>
  <c r="BJ703" i="1812"/>
  <c r="BK5" i="1812"/>
  <c r="AO703" i="1812"/>
  <c r="AP5" i="1812"/>
  <c r="BI194" i="1812"/>
  <c r="BK512" i="1812"/>
  <c r="BK514" i="1812"/>
  <c r="AL703" i="1812"/>
  <c r="BI186" i="1812"/>
  <c r="BI114" i="1812"/>
  <c r="BI651" i="1812" s="1"/>
  <c r="BJ185" i="1812"/>
  <c r="V116" i="1554"/>
  <c r="V115" i="1554"/>
  <c r="V358" i="121"/>
  <c r="V306" i="121"/>
  <c r="V70" i="121" s="1"/>
  <c r="V68" i="121"/>
  <c r="V69" i="121"/>
  <c r="T15" i="1809"/>
  <c r="S15" i="1809"/>
  <c r="R15" i="1809"/>
  <c r="Q15" i="1809"/>
  <c r="P15" i="1809"/>
  <c r="O15" i="1809"/>
  <c r="N15" i="1809"/>
  <c r="M15" i="1809"/>
  <c r="L15" i="1809"/>
  <c r="K15" i="1809"/>
  <c r="Q9" i="1809"/>
  <c r="P9" i="1809"/>
  <c r="O9" i="1809"/>
  <c r="N9" i="1809"/>
  <c r="M9" i="1809"/>
  <c r="L9" i="1809"/>
  <c r="K9" i="1809"/>
  <c r="R9" i="155"/>
  <c r="S9" i="155" s="1"/>
  <c r="K23" i="1711"/>
  <c r="L23" i="1711" s="1"/>
  <c r="M23" i="1711" s="1"/>
  <c r="N23" i="1711" s="1"/>
  <c r="O23" i="1711" s="1"/>
  <c r="P23" i="1711" s="1"/>
  <c r="Q23" i="1711" s="1"/>
  <c r="R23" i="1711" s="1"/>
  <c r="S23" i="1711" s="1"/>
  <c r="T23" i="1711" s="1"/>
  <c r="D8" i="1808"/>
  <c r="H741" i="1812"/>
  <c r="H734" i="1812"/>
  <c r="H727" i="1812"/>
  <c r="H720" i="1812"/>
  <c r="BJ704" i="1812"/>
  <c r="AO704" i="1812"/>
  <c r="AL704" i="1812"/>
  <c r="AK706" i="1812" l="1"/>
  <c r="AK110" i="1812" s="1"/>
  <c r="AK711" i="1812"/>
  <c r="AK709" i="1812"/>
  <c r="AK708" i="1812"/>
  <c r="AK707" i="1812"/>
  <c r="AK178" i="1812" s="1"/>
  <c r="AK710" i="1812"/>
  <c r="W132" i="1810"/>
  <c r="W56" i="1821"/>
  <c r="W64" i="1821" s="1"/>
  <c r="W65" i="1821" s="1"/>
  <c r="W69" i="1821" s="1"/>
  <c r="W144" i="1810"/>
  <c r="Y69" i="1821"/>
  <c r="X57" i="1821"/>
  <c r="X69" i="1821"/>
  <c r="AM45" i="1810"/>
  <c r="H719" i="1812"/>
  <c r="H717" i="1812" s="1"/>
  <c r="H740" i="1812"/>
  <c r="H738" i="1812" s="1"/>
  <c r="H735" i="1812"/>
  <c r="H726" i="1812"/>
  <c r="H724" i="1812" s="1"/>
  <c r="H721" i="1812"/>
  <c r="H728" i="1812"/>
  <c r="H733" i="1812"/>
  <c r="H731" i="1812" s="1"/>
  <c r="H742" i="1812"/>
  <c r="J4" i="1812"/>
  <c r="I745" i="1812"/>
  <c r="I3" i="1812"/>
  <c r="I715" i="1812" s="1"/>
  <c r="BK114" i="1812"/>
  <c r="BK651" i="1812" s="1"/>
  <c r="AL705" i="1812"/>
  <c r="AM705" i="1812"/>
  <c r="AN705" i="1812"/>
  <c r="AO705" i="1812"/>
  <c r="AP703" i="1812"/>
  <c r="BI515" i="1812"/>
  <c r="BI353" i="1812" s="1"/>
  <c r="BI618" i="1812"/>
  <c r="BK703" i="1812"/>
  <c r="B761" i="1812"/>
  <c r="BJ380" i="1812"/>
  <c r="BJ614" i="1812" s="1"/>
  <c r="BK382" i="1812"/>
  <c r="BK386" i="1812" s="1"/>
  <c r="BJ386" i="1812"/>
  <c r="BK115" i="1812"/>
  <c r="BI115" i="1812"/>
  <c r="BJ186" i="1812"/>
  <c r="BJ114" i="1812"/>
  <c r="BJ651" i="1812" s="1"/>
  <c r="R9" i="1809"/>
  <c r="T9" i="155"/>
  <c r="T9" i="1809" s="1"/>
  <c r="U9" i="1809" s="1"/>
  <c r="U10" i="1809" s="1"/>
  <c r="S9" i="1809"/>
  <c r="D10" i="1808"/>
  <c r="D19" i="1808" s="1"/>
  <c r="I741" i="1812"/>
  <c r="I734" i="1812"/>
  <c r="I727" i="1812"/>
  <c r="I720" i="1812"/>
  <c r="BK704" i="1812"/>
  <c r="AP704" i="1812"/>
  <c r="AO710" i="1812" l="1"/>
  <c r="AO709" i="1812"/>
  <c r="AO708" i="1812"/>
  <c r="AO711" i="1812"/>
  <c r="AO707" i="1812"/>
  <c r="AO178" i="1812" s="1"/>
  <c r="AO706" i="1812"/>
  <c r="AO110" i="1812" s="1"/>
  <c r="AL710" i="1812"/>
  <c r="AL708" i="1812"/>
  <c r="AL706" i="1812"/>
  <c r="AL110" i="1812" s="1"/>
  <c r="AL711" i="1812"/>
  <c r="AL709" i="1812"/>
  <c r="AL707" i="1812"/>
  <c r="AL178" i="1812" s="1"/>
  <c r="AN708" i="1812"/>
  <c r="AN709" i="1812"/>
  <c r="AN707" i="1812"/>
  <c r="AN178" i="1812" s="1"/>
  <c r="AN706" i="1812"/>
  <c r="AN110" i="1812" s="1"/>
  <c r="AN710" i="1812"/>
  <c r="AN711" i="1812"/>
  <c r="AM708" i="1812"/>
  <c r="AM710" i="1812"/>
  <c r="AM706" i="1812"/>
  <c r="AM110" i="1812" s="1"/>
  <c r="AM711" i="1812"/>
  <c r="AM709" i="1812"/>
  <c r="AM707" i="1812"/>
  <c r="AM178" i="1812" s="1"/>
  <c r="W57" i="1821"/>
  <c r="J745" i="1812"/>
  <c r="J3" i="1812"/>
  <c r="J715" i="1812" s="1"/>
  <c r="AZ4" i="1812"/>
  <c r="I742" i="1812"/>
  <c r="I735" i="1812"/>
  <c r="I728" i="1812"/>
  <c r="I726" i="1812"/>
  <c r="I724" i="1812" s="1"/>
  <c r="I721" i="1812"/>
  <c r="I719" i="1812"/>
  <c r="I717" i="1812" s="1"/>
  <c r="I733" i="1812"/>
  <c r="I731" i="1812" s="1"/>
  <c r="I740" i="1812"/>
  <c r="I738" i="1812" s="1"/>
  <c r="BK705" i="1812"/>
  <c r="AP705" i="1812"/>
  <c r="BI705" i="1812"/>
  <c r="BG705" i="1812"/>
  <c r="BH705" i="1812"/>
  <c r="BJ705" i="1812"/>
  <c r="BK194" i="1812"/>
  <c r="BJ194" i="1812"/>
  <c r="BJ115" i="1812"/>
  <c r="BK380" i="1812"/>
  <c r="BK614" i="1812" s="1"/>
  <c r="A186" i="1812"/>
  <c r="BJ515" i="1812"/>
  <c r="BJ353" i="1812" s="1"/>
  <c r="BJ618" i="1812"/>
  <c r="D31" i="1808"/>
  <c r="J741" i="1812"/>
  <c r="J734" i="1812"/>
  <c r="J727" i="1812"/>
  <c r="J720" i="1812"/>
  <c r="BJ709" i="1812" l="1"/>
  <c r="BJ707" i="1812"/>
  <c r="BJ710" i="1812"/>
  <c r="BJ711" i="1812"/>
  <c r="BJ706" i="1812"/>
  <c r="BJ110" i="1812" s="1"/>
  <c r="BJ708" i="1812"/>
  <c r="BH707" i="1812"/>
  <c r="BH178" i="1812" s="1"/>
  <c r="BH710" i="1812"/>
  <c r="BH709" i="1812"/>
  <c r="BH708" i="1812"/>
  <c r="BH711" i="1812"/>
  <c r="BH706" i="1812"/>
  <c r="BH110" i="1812" s="1"/>
  <c r="BG710" i="1812"/>
  <c r="BG708" i="1812"/>
  <c r="BG706" i="1812"/>
  <c r="BG707" i="1812"/>
  <c r="BG709" i="1812"/>
  <c r="BG711" i="1812"/>
  <c r="BI707" i="1812"/>
  <c r="BI708" i="1812"/>
  <c r="BI709" i="1812"/>
  <c r="BI710" i="1812"/>
  <c r="BI711" i="1812"/>
  <c r="BI706" i="1812"/>
  <c r="BI110" i="1812" s="1"/>
  <c r="AP710" i="1812"/>
  <c r="AP711" i="1812"/>
  <c r="AP709" i="1812"/>
  <c r="AP707" i="1812"/>
  <c r="AP178" i="1812" s="1"/>
  <c r="AP708" i="1812"/>
  <c r="AP706" i="1812"/>
  <c r="AP110" i="1812" s="1"/>
  <c r="BK711" i="1812"/>
  <c r="BK710" i="1812"/>
  <c r="BK707" i="1812"/>
  <c r="BK178" i="1812" s="1"/>
  <c r="BK706" i="1812"/>
  <c r="BK110" i="1812" s="1"/>
  <c r="BK708" i="1812"/>
  <c r="BK709" i="1812"/>
  <c r="BJ178" i="1812"/>
  <c r="BG178" i="1812"/>
  <c r="BG110" i="1812"/>
  <c r="J733" i="1812"/>
  <c r="J731" i="1812" s="1"/>
  <c r="J728" i="1812"/>
  <c r="J726" i="1812"/>
  <c r="J724" i="1812" s="1"/>
  <c r="J721" i="1812"/>
  <c r="J719" i="1812"/>
  <c r="J717" i="1812" s="1"/>
  <c r="J742" i="1812"/>
  <c r="J740" i="1812"/>
  <c r="J738" i="1812" s="1"/>
  <c r="J735" i="1812"/>
  <c r="AZ3" i="1812"/>
  <c r="AZ715" i="1812" s="1"/>
  <c r="K4" i="1812"/>
  <c r="AZ745" i="1812"/>
  <c r="A678" i="1812"/>
  <c r="A187" i="1812"/>
  <c r="BK515" i="1812"/>
  <c r="BK353" i="1812" s="1"/>
  <c r="BK618" i="1812"/>
  <c r="AL8" i="121"/>
  <c r="AL67" i="121"/>
  <c r="AZ741" i="1812"/>
  <c r="AZ734" i="1812"/>
  <c r="AZ727" i="1812"/>
  <c r="AZ720" i="1812"/>
  <c r="L4" i="1812" l="1"/>
  <c r="K745" i="1812"/>
  <c r="K3" i="1812"/>
  <c r="K715" i="1812" s="1"/>
  <c r="AZ728" i="1812"/>
  <c r="AZ721" i="1812"/>
  <c r="AZ719" i="1812"/>
  <c r="AZ717" i="1812" s="1"/>
  <c r="AZ726" i="1812"/>
  <c r="AZ724" i="1812" s="1"/>
  <c r="AZ735" i="1812"/>
  <c r="AZ742" i="1812"/>
  <c r="AZ740" i="1812"/>
  <c r="AZ738" i="1812" s="1"/>
  <c r="AZ733" i="1812"/>
  <c r="AZ731" i="1812" s="1"/>
  <c r="BI178" i="1812"/>
  <c r="A708" i="1812"/>
  <c r="BH220" i="1812" s="1"/>
  <c r="N54" i="1809"/>
  <c r="F8" i="1808"/>
  <c r="E43" i="1809"/>
  <c r="F43" i="1809" s="1"/>
  <c r="G43" i="1809" s="1"/>
  <c r="H43" i="1809" s="1"/>
  <c r="I43" i="1809" s="1"/>
  <c r="I49" i="1809" s="1"/>
  <c r="T10" i="1809"/>
  <c r="S10" i="1809"/>
  <c r="R10" i="1809"/>
  <c r="Q10" i="1809"/>
  <c r="P10" i="1809"/>
  <c r="O10" i="1809"/>
  <c r="N10" i="1809"/>
  <c r="M10" i="1809"/>
  <c r="L10" i="1809"/>
  <c r="K10" i="1809"/>
  <c r="K3" i="1809"/>
  <c r="L3" i="1809" s="1"/>
  <c r="M3" i="1809" s="1"/>
  <c r="N3" i="1809" s="1"/>
  <c r="O3" i="1809" s="1"/>
  <c r="P3" i="1809" s="1"/>
  <c r="Q3" i="1809" s="1"/>
  <c r="R3" i="1809" s="1"/>
  <c r="S3" i="1809" s="1"/>
  <c r="T3" i="1809" s="1"/>
  <c r="U3" i="1809" s="1"/>
  <c r="K741" i="1812"/>
  <c r="K734" i="1812"/>
  <c r="K727" i="1812"/>
  <c r="K720" i="1812"/>
  <c r="D128" i="1808"/>
  <c r="J43" i="1809" l="1"/>
  <c r="J49" i="1809" s="1"/>
  <c r="AP187" i="1812"/>
  <c r="AP116" i="1812" s="1"/>
  <c r="BJ187" i="1812"/>
  <c r="BJ116" i="1812" s="1"/>
  <c r="BK187" i="1812"/>
  <c r="BK116" i="1812" s="1"/>
  <c r="AK187" i="1812"/>
  <c r="AK116" i="1812" s="1"/>
  <c r="BH187" i="1812"/>
  <c r="BH116" i="1812" s="1"/>
  <c r="AM187" i="1812"/>
  <c r="AM116" i="1812" s="1"/>
  <c r="AN187" i="1812"/>
  <c r="AN116" i="1812" s="1"/>
  <c r="K740" i="1812"/>
  <c r="K738" i="1812" s="1"/>
  <c r="K726" i="1812"/>
  <c r="K724" i="1812" s="1"/>
  <c r="K742" i="1812"/>
  <c r="K719" i="1812"/>
  <c r="K717" i="1812" s="1"/>
  <c r="K735" i="1812"/>
  <c r="K733" i="1812"/>
  <c r="K731" i="1812" s="1"/>
  <c r="K721" i="1812"/>
  <c r="K728" i="1812"/>
  <c r="L745" i="1812"/>
  <c r="L3" i="1812"/>
  <c r="L715" i="1812" s="1"/>
  <c r="M4" i="1812"/>
  <c r="BG187" i="1812"/>
  <c r="BG116" i="1812" s="1"/>
  <c r="AO187" i="1812"/>
  <c r="AO116" i="1812" s="1"/>
  <c r="BI187" i="1812"/>
  <c r="BI116" i="1812" s="1"/>
  <c r="AL187" i="1812"/>
  <c r="AL116" i="1812" s="1"/>
  <c r="AK220" i="1812"/>
  <c r="AK359" i="1812"/>
  <c r="AO220" i="1812"/>
  <c r="AK357" i="1812"/>
  <c r="AM359" i="1812"/>
  <c r="AM220" i="1812"/>
  <c r="BH357" i="1812"/>
  <c r="BJ357" i="1812"/>
  <c r="AN357" i="1812"/>
  <c r="AM357" i="1812"/>
  <c r="AO357" i="1812"/>
  <c r="BK359" i="1812"/>
  <c r="AN220" i="1812"/>
  <c r="BG357" i="1812"/>
  <c r="BJ359" i="1812"/>
  <c r="AL357" i="1812"/>
  <c r="AL359" i="1812"/>
  <c r="BG220" i="1812"/>
  <c r="BI220" i="1812"/>
  <c r="AL220" i="1812"/>
  <c r="AN359" i="1812"/>
  <c r="AO359" i="1812"/>
  <c r="BI359" i="1812"/>
  <c r="BJ220" i="1812"/>
  <c r="BK357" i="1812"/>
  <c r="BG359" i="1812"/>
  <c r="AP359" i="1812"/>
  <c r="BI357" i="1812"/>
  <c r="AP220" i="1812"/>
  <c r="AP357" i="1812"/>
  <c r="BK220" i="1812"/>
  <c r="BH359" i="1812"/>
  <c r="D45" i="1808"/>
  <c r="F14" i="1808"/>
  <c r="H14" i="1808" s="1"/>
  <c r="AF183" i="1583"/>
  <c r="AK95" i="1810" s="1"/>
  <c r="V153" i="1583"/>
  <c r="V70" i="1810" s="1"/>
  <c r="AF123" i="1583"/>
  <c r="AK35" i="1810" s="1"/>
  <c r="V32" i="1583"/>
  <c r="V10" i="1810" s="1"/>
  <c r="D75" i="1808"/>
  <c r="H8" i="1808"/>
  <c r="D89" i="1808"/>
  <c r="V122" i="1554"/>
  <c r="AM202" i="1554"/>
  <c r="AM206" i="1554"/>
  <c r="AM205" i="1554"/>
  <c r="AM188" i="1554"/>
  <c r="AM199" i="1554"/>
  <c r="AM200" i="1554"/>
  <c r="AM177" i="1554"/>
  <c r="AM176" i="1554"/>
  <c r="AM175" i="1554"/>
  <c r="AM174" i="1554"/>
  <c r="AM169" i="1554"/>
  <c r="AM159" i="1554"/>
  <c r="AM157" i="1554"/>
  <c r="AM153" i="1554"/>
  <c r="AM151" i="1554"/>
  <c r="AM147" i="1554"/>
  <c r="AM145" i="1554"/>
  <c r="V178" i="1554"/>
  <c r="AM178" i="1554" s="1"/>
  <c r="V165" i="1554"/>
  <c r="V163" i="1554"/>
  <c r="V156" i="1554"/>
  <c r="V158" i="1554" s="1"/>
  <c r="V160" i="1554" s="1"/>
  <c r="V28" i="121" s="1"/>
  <c r="V150" i="1554"/>
  <c r="V152" i="1554" s="1"/>
  <c r="V144" i="1554"/>
  <c r="V174" i="121"/>
  <c r="V166" i="121"/>
  <c r="V164" i="121"/>
  <c r="V216" i="121"/>
  <c r="V215" i="121"/>
  <c r="V214" i="121"/>
  <c r="V210" i="121"/>
  <c r="V209" i="121"/>
  <c r="V208" i="121"/>
  <c r="D57" i="1808"/>
  <c r="D56" i="1808"/>
  <c r="L741" i="1812"/>
  <c r="L734" i="1812"/>
  <c r="L727" i="1812"/>
  <c r="L720" i="1812"/>
  <c r="D125" i="1808"/>
  <c r="D104" i="1808"/>
  <c r="D105" i="1808"/>
  <c r="D118" i="1808"/>
  <c r="V75" i="1810" l="1"/>
  <c r="V25" i="1810"/>
  <c r="V15" i="1810"/>
  <c r="W25" i="1810"/>
  <c r="V45" i="1810"/>
  <c r="AL20" i="1810"/>
  <c r="Z15" i="1810"/>
  <c r="AK45" i="1810"/>
  <c r="AL40" i="1810"/>
  <c r="AK100" i="1810"/>
  <c r="AK105" i="1810"/>
  <c r="K43" i="1809"/>
  <c r="L43" i="1809" s="1"/>
  <c r="M43" i="1809" s="1"/>
  <c r="N43" i="1809" s="1"/>
  <c r="O43" i="1809" s="1"/>
  <c r="P43" i="1809" s="1"/>
  <c r="Q43" i="1809" s="1"/>
  <c r="R43" i="1809" s="1"/>
  <c r="S43" i="1809" s="1"/>
  <c r="T43" i="1809" s="1"/>
  <c r="U43" i="1809" s="1"/>
  <c r="L735" i="1812"/>
  <c r="L721" i="1812"/>
  <c r="L742" i="1812"/>
  <c r="L728" i="1812"/>
  <c r="L733" i="1812"/>
  <c r="L731" i="1812" s="1"/>
  <c r="L719" i="1812"/>
  <c r="L717" i="1812" s="1"/>
  <c r="L726" i="1812"/>
  <c r="L724" i="1812" s="1"/>
  <c r="L740" i="1812"/>
  <c r="L738" i="1812" s="1"/>
  <c r="M745" i="1812"/>
  <c r="N4" i="1812"/>
  <c r="M3" i="1812"/>
  <c r="M715" i="1812" s="1"/>
  <c r="V154" i="1554"/>
  <c r="D15" i="1808"/>
  <c r="D16" i="1808" s="1"/>
  <c r="D20" i="1808" s="1"/>
  <c r="F13" i="1808"/>
  <c r="H13" i="1808" s="1"/>
  <c r="D112" i="1808"/>
  <c r="P82" i="1808"/>
  <c r="D106" i="1808"/>
  <c r="V162" i="1554"/>
  <c r="V164" i="1554" s="1"/>
  <c r="V166" i="1554" s="1"/>
  <c r="D109" i="1808"/>
  <c r="V211" i="121"/>
  <c r="V217" i="121"/>
  <c r="V179" i="1554"/>
  <c r="V127" i="1554" s="1"/>
  <c r="V146" i="1554"/>
  <c r="V148" i="1554" s="1"/>
  <c r="M741" i="1812"/>
  <c r="M734" i="1812"/>
  <c r="M727" i="1812"/>
  <c r="M720" i="1812"/>
  <c r="K49" i="1809" l="1"/>
  <c r="AK115" i="1810"/>
  <c r="M742" i="1812"/>
  <c r="M719" i="1812"/>
  <c r="M717" i="1812" s="1"/>
  <c r="M721" i="1812"/>
  <c r="M733" i="1812"/>
  <c r="M731" i="1812" s="1"/>
  <c r="M726" i="1812"/>
  <c r="M724" i="1812" s="1"/>
  <c r="M728" i="1812"/>
  <c r="M735" i="1812"/>
  <c r="BA4" i="1812"/>
  <c r="N745" i="1812"/>
  <c r="N3" i="1812"/>
  <c r="N715" i="1812" s="1"/>
  <c r="M740" i="1812"/>
  <c r="M738" i="1812" s="1"/>
  <c r="D50" i="1808"/>
  <c r="D35" i="1808"/>
  <c r="D49" i="1808"/>
  <c r="D25" i="1808"/>
  <c r="D39" i="1808"/>
  <c r="D40" i="1808"/>
  <c r="D113" i="1808"/>
  <c r="D114" i="1808" s="1"/>
  <c r="D126" i="1808"/>
  <c r="D110" i="1808"/>
  <c r="D108" i="1808"/>
  <c r="AM127" i="1554"/>
  <c r="N741" i="1812"/>
  <c r="N734" i="1812"/>
  <c r="N727" i="1812"/>
  <c r="N720" i="1812"/>
  <c r="N742" i="1812" l="1"/>
  <c r="N735" i="1812"/>
  <c r="N721" i="1812"/>
  <c r="N728" i="1812"/>
  <c r="N726" i="1812"/>
  <c r="N724" i="1812" s="1"/>
  <c r="N740" i="1812"/>
  <c r="N738" i="1812" s="1"/>
  <c r="N733" i="1812"/>
  <c r="N731" i="1812" s="1"/>
  <c r="N719" i="1812"/>
  <c r="N717" i="1812" s="1"/>
  <c r="BA745" i="1812"/>
  <c r="BA3" i="1812"/>
  <c r="BA715" i="1812" s="1"/>
  <c r="O4" i="1812"/>
  <c r="D127" i="1808"/>
  <c r="D46" i="1808" s="1"/>
  <c r="BA741" i="1812"/>
  <c r="BA734" i="1812"/>
  <c r="BA727" i="1812"/>
  <c r="BA720" i="1812"/>
  <c r="O745" i="1812" l="1"/>
  <c r="O3" i="1812"/>
  <c r="O715" i="1812" s="1"/>
  <c r="P4" i="1812"/>
  <c r="BA726" i="1812"/>
  <c r="BA724" i="1812" s="1"/>
  <c r="BA733" i="1812"/>
  <c r="BA731" i="1812" s="1"/>
  <c r="BA721" i="1812"/>
  <c r="BA719" i="1812"/>
  <c r="BA717" i="1812" s="1"/>
  <c r="BA742" i="1812"/>
  <c r="BA728" i="1812"/>
  <c r="BA735" i="1812"/>
  <c r="BA740" i="1812"/>
  <c r="BA738" i="1812" s="1"/>
  <c r="O741" i="1812"/>
  <c r="O734" i="1812"/>
  <c r="O727" i="1812"/>
  <c r="O720" i="1812"/>
  <c r="P3" i="1812" l="1"/>
  <c r="P715" i="1812" s="1"/>
  <c r="P745" i="1812"/>
  <c r="Q4" i="1812"/>
  <c r="O728" i="1812"/>
  <c r="O735" i="1812"/>
  <c r="O733" i="1812"/>
  <c r="O731" i="1812" s="1"/>
  <c r="O721" i="1812"/>
  <c r="O719" i="1812"/>
  <c r="O717" i="1812" s="1"/>
  <c r="O726" i="1812"/>
  <c r="O724" i="1812" s="1"/>
  <c r="O742" i="1812"/>
  <c r="O740" i="1812"/>
  <c r="O738" i="1812" s="1"/>
  <c r="P741" i="1812"/>
  <c r="P734" i="1812"/>
  <c r="P727" i="1812"/>
  <c r="P720" i="1812"/>
  <c r="Q745" i="1812" l="1"/>
  <c r="Q3" i="1812"/>
  <c r="Q715" i="1812" s="1"/>
  <c r="R4" i="1812"/>
  <c r="P721" i="1812"/>
  <c r="P719" i="1812"/>
  <c r="P717" i="1812" s="1"/>
  <c r="P742" i="1812"/>
  <c r="P728" i="1812"/>
  <c r="P735" i="1812"/>
  <c r="P733" i="1812"/>
  <c r="P731" i="1812" s="1"/>
  <c r="P726" i="1812"/>
  <c r="P724" i="1812" s="1"/>
  <c r="P740" i="1812"/>
  <c r="P738" i="1812" s="1"/>
  <c r="K61" i="1807"/>
  <c r="J59" i="1807"/>
  <c r="K59" i="1807" s="1"/>
  <c r="L59" i="1807" s="1"/>
  <c r="M59" i="1807" s="1"/>
  <c r="N59" i="1807" s="1"/>
  <c r="O59" i="1807" s="1"/>
  <c r="P59" i="1807" s="1"/>
  <c r="Q59" i="1807" s="1"/>
  <c r="R59" i="1807" s="1"/>
  <c r="S59" i="1807" s="1"/>
  <c r="T59" i="1807" s="1"/>
  <c r="H48" i="1807"/>
  <c r="B48" i="1807"/>
  <c r="H47" i="1807"/>
  <c r="G47" i="1807"/>
  <c r="F47" i="1807"/>
  <c r="E47" i="1807"/>
  <c r="B47" i="1807"/>
  <c r="H46" i="1807"/>
  <c r="G46" i="1807"/>
  <c r="F46" i="1807"/>
  <c r="E46" i="1807"/>
  <c r="B46" i="1807"/>
  <c r="H45" i="1807"/>
  <c r="G45" i="1807"/>
  <c r="F45" i="1807"/>
  <c r="E45" i="1807"/>
  <c r="B45" i="1807"/>
  <c r="E39" i="1807"/>
  <c r="F39" i="1807" s="1"/>
  <c r="G39" i="1807" s="1"/>
  <c r="H39" i="1807" s="1"/>
  <c r="I39" i="1807" s="1"/>
  <c r="J39" i="1807" s="1"/>
  <c r="K39" i="1807" s="1"/>
  <c r="L39" i="1807" s="1"/>
  <c r="M39" i="1807" s="1"/>
  <c r="N39" i="1807" s="1"/>
  <c r="O39" i="1807" s="1"/>
  <c r="P39" i="1807" s="1"/>
  <c r="Q39" i="1807" s="1"/>
  <c r="R39" i="1807" s="1"/>
  <c r="S39" i="1807" s="1"/>
  <c r="T39" i="1807" s="1"/>
  <c r="L10" i="1807"/>
  <c r="K10" i="1807"/>
  <c r="M10" i="1807"/>
  <c r="D9" i="1807"/>
  <c r="K3" i="1807"/>
  <c r="L3" i="1807" s="1"/>
  <c r="M3" i="1807" s="1"/>
  <c r="N3" i="1807" s="1"/>
  <c r="O3" i="1807" s="1"/>
  <c r="P3" i="1807" s="1"/>
  <c r="Q3" i="1807" s="1"/>
  <c r="R3" i="1807" s="1"/>
  <c r="S3" i="1807" s="1"/>
  <c r="T3" i="1807" s="1"/>
  <c r="I3" i="1807"/>
  <c r="T1" i="1807"/>
  <c r="V127" i="121"/>
  <c r="F12" i="1808" s="1"/>
  <c r="H12" i="1808" s="1"/>
  <c r="V126" i="121"/>
  <c r="V105" i="121"/>
  <c r="V127" i="1810" s="1"/>
  <c r="V129" i="1810" s="1"/>
  <c r="V103" i="121"/>
  <c r="V119" i="1810" s="1"/>
  <c r="V121" i="1810" s="1"/>
  <c r="V49" i="1821" s="1"/>
  <c r="V90" i="121"/>
  <c r="V69" i="1810" s="1"/>
  <c r="V11" i="121"/>
  <c r="V10" i="121"/>
  <c r="V9" i="121"/>
  <c r="AM99" i="1554"/>
  <c r="AM117" i="1554" s="1"/>
  <c r="AM98" i="1554"/>
  <c r="AM116" i="1554" s="1"/>
  <c r="AM97" i="1554"/>
  <c r="AM115" i="1554" s="1"/>
  <c r="V105" i="1554"/>
  <c r="V104" i="1554"/>
  <c r="V103" i="1554"/>
  <c r="V100" i="1554"/>
  <c r="AM91" i="1554"/>
  <c r="AM89" i="1554"/>
  <c r="AM88" i="1554"/>
  <c r="AM87" i="1554"/>
  <c r="AM86" i="1554"/>
  <c r="AM85" i="1554"/>
  <c r="AM84" i="1554"/>
  <c r="AM82" i="1554"/>
  <c r="AM81" i="1554"/>
  <c r="AM75" i="1554"/>
  <c r="AM74" i="1554"/>
  <c r="AM73" i="1554"/>
  <c r="AM72" i="1554"/>
  <c r="AM71" i="1554"/>
  <c r="AM70" i="1554"/>
  <c r="AM69" i="1554"/>
  <c r="AM68" i="1554"/>
  <c r="AM67" i="1554"/>
  <c r="V83" i="1554"/>
  <c r="V90" i="1554" s="1"/>
  <c r="V92" i="1554" s="1"/>
  <c r="V77" i="1554"/>
  <c r="V76" i="1554"/>
  <c r="V75" i="121" s="1"/>
  <c r="V49" i="1810" s="1"/>
  <c r="AM30" i="1554"/>
  <c r="AM55" i="1554" s="1"/>
  <c r="AM29" i="1554"/>
  <c r="AM27" i="1554"/>
  <c r="AM361" i="1554" s="1"/>
  <c r="AM362" i="1554" s="1"/>
  <c r="AM23" i="1554"/>
  <c r="AM48" i="1554" s="1"/>
  <c r="AM22" i="1554"/>
  <c r="AM21" i="1554"/>
  <c r="AM47" i="1554" s="1"/>
  <c r="AM15" i="1554"/>
  <c r="AM41" i="1554" s="1"/>
  <c r="AM14" i="1554"/>
  <c r="AM13" i="1554"/>
  <c r="AM12" i="1554"/>
  <c r="AM282" i="1554" s="1"/>
  <c r="AM9" i="1554"/>
  <c r="AM35" i="1554" s="1"/>
  <c r="V348" i="1554"/>
  <c r="V342" i="1554"/>
  <c r="V137" i="121" s="1"/>
  <c r="V76" i="1821" s="1"/>
  <c r="V341" i="1554"/>
  <c r="V340" i="1554"/>
  <c r="V339" i="1554"/>
  <c r="V338" i="1554"/>
  <c r="V337" i="1554"/>
  <c r="V336" i="1554"/>
  <c r="V335" i="1554"/>
  <c r="V334" i="1554"/>
  <c r="V333" i="1554"/>
  <c r="V332" i="1554"/>
  <c r="V331" i="1554"/>
  <c r="V324" i="1554"/>
  <c r="V323" i="1554"/>
  <c r="V138" i="121" s="1"/>
  <c r="V152" i="1810" s="1"/>
  <c r="V154" i="1810" s="1"/>
  <c r="V77" i="1821" s="1"/>
  <c r="V322" i="1554"/>
  <c r="V313" i="1554"/>
  <c r="V303" i="1554"/>
  <c r="AM253" i="1554"/>
  <c r="AM251" i="1554"/>
  <c r="AM250" i="1554"/>
  <c r="AM249" i="1554"/>
  <c r="AM247" i="1554"/>
  <c r="AM246" i="1554"/>
  <c r="AM245" i="1554"/>
  <c r="AM244" i="1554"/>
  <c r="AM243" i="1554"/>
  <c r="AM242" i="1554"/>
  <c r="AM241" i="1554"/>
  <c r="AK91" i="1821" s="1"/>
  <c r="AM236" i="1554"/>
  <c r="AM235" i="1554"/>
  <c r="AM234" i="1554"/>
  <c r="AM233" i="1554"/>
  <c r="AM232" i="1554"/>
  <c r="AM289" i="1554" s="1"/>
  <c r="AM230" i="1554"/>
  <c r="AM229" i="1554"/>
  <c r="AM269" i="1554" s="1"/>
  <c r="AM228" i="1554"/>
  <c r="AM227" i="1554"/>
  <c r="AM226" i="1554"/>
  <c r="AM225" i="1554"/>
  <c r="V267" i="1554"/>
  <c r="V291" i="1554"/>
  <c r="V290" i="1554"/>
  <c r="V289" i="1554"/>
  <c r="V282" i="1554"/>
  <c r="V281" i="1554"/>
  <c r="V273" i="1554"/>
  <c r="V269" i="1554"/>
  <c r="AM349" i="1554"/>
  <c r="AM328" i="1554"/>
  <c r="AM319" i="1554"/>
  <c r="V55" i="1554"/>
  <c r="V48" i="1554"/>
  <c r="V47" i="1554"/>
  <c r="V41" i="1554"/>
  <c r="V35" i="1554"/>
  <c r="V24" i="1554"/>
  <c r="V16" i="1554"/>
  <c r="V18" i="1554" s="1"/>
  <c r="V256" i="1554"/>
  <c r="V248" i="1554"/>
  <c r="V237" i="1554"/>
  <c r="AM237" i="1554" s="1"/>
  <c r="V231" i="1554"/>
  <c r="V85" i="1821" s="1"/>
  <c r="V84" i="1821" s="1"/>
  <c r="AM1" i="1554"/>
  <c r="Q741" i="1812"/>
  <c r="Q734" i="1812"/>
  <c r="Q727" i="1812"/>
  <c r="Q720" i="1812"/>
  <c r="AK82" i="1821" l="1"/>
  <c r="V252" i="1554"/>
  <c r="AM252" i="1554" s="1"/>
  <c r="AK95" i="1821" s="1"/>
  <c r="V93" i="1821"/>
  <c r="V92" i="1821" s="1"/>
  <c r="AM267" i="1554"/>
  <c r="AM270" i="1554" s="1"/>
  <c r="AK83" i="1821"/>
  <c r="AM290" i="1554"/>
  <c r="AK86" i="1821"/>
  <c r="V85" i="121"/>
  <c r="V79" i="1810"/>
  <c r="V71" i="1810"/>
  <c r="V138" i="1810"/>
  <c r="V54" i="1821"/>
  <c r="V63" i="1821" s="1"/>
  <c r="R745" i="1812"/>
  <c r="BB4" i="1812"/>
  <c r="R3" i="1812"/>
  <c r="R715" i="1812" s="1"/>
  <c r="Q733" i="1812"/>
  <c r="Q731" i="1812" s="1"/>
  <c r="Q728" i="1812"/>
  <c r="Q721" i="1812"/>
  <c r="Q719" i="1812"/>
  <c r="Q717" i="1812" s="1"/>
  <c r="Q742" i="1812"/>
  <c r="Q740" i="1812"/>
  <c r="Q738" i="1812" s="1"/>
  <c r="Q735" i="1812"/>
  <c r="Q726" i="1812"/>
  <c r="Q724" i="1812" s="1"/>
  <c r="V274" i="1554"/>
  <c r="W286" i="1554"/>
  <c r="W285" i="1554"/>
  <c r="V84" i="121"/>
  <c r="Z9" i="121"/>
  <c r="V72" i="121"/>
  <c r="V122" i="121" s="1"/>
  <c r="V238" i="1554"/>
  <c r="AM49" i="1554"/>
  <c r="AM281" i="1554"/>
  <c r="V366" i="121"/>
  <c r="V368" i="121" s="1"/>
  <c r="V168" i="1554"/>
  <c r="V170" i="1554" s="1"/>
  <c r="V128" i="121"/>
  <c r="V157" i="1810" s="1"/>
  <c r="V159" i="1810" s="1"/>
  <c r="E89" i="1807"/>
  <c r="C9" i="1808"/>
  <c r="F9" i="1808" s="1"/>
  <c r="V49" i="1554"/>
  <c r="AM248" i="1554"/>
  <c r="AK93" i="1821" s="1"/>
  <c r="AK92" i="1821" s="1"/>
  <c r="V26" i="1554"/>
  <c r="V28" i="1554" s="1"/>
  <c r="V31" i="1554" s="1"/>
  <c r="AM352" i="1554"/>
  <c r="AM273" i="1554"/>
  <c r="AM274" i="1554" s="1"/>
  <c r="V12" i="121"/>
  <c r="AM231" i="1554"/>
  <c r="AK85" i="1821" s="1"/>
  <c r="AM256" i="1554"/>
  <c r="V292" i="1554"/>
  <c r="AM291" i="1554"/>
  <c r="V78" i="1554"/>
  <c r="V283" i="1554" s="1"/>
  <c r="V270" i="1554"/>
  <c r="V121" i="121"/>
  <c r="I25" i="1807"/>
  <c r="C121" i="1808" s="1"/>
  <c r="L61" i="1807"/>
  <c r="R741" i="1812"/>
  <c r="R734" i="1812"/>
  <c r="R727" i="1812"/>
  <c r="R720" i="1812"/>
  <c r="AK84" i="1821" l="1"/>
  <c r="AK94" i="1821"/>
  <c r="AM292" i="1554"/>
  <c r="AM238" i="1554"/>
  <c r="AK88" i="1821" s="1"/>
  <c r="V88" i="1821"/>
  <c r="V254" i="1554"/>
  <c r="AM254" i="1554" s="1"/>
  <c r="V95" i="1821"/>
  <c r="V94" i="1821" s="1"/>
  <c r="V415" i="121"/>
  <c r="W23" i="121"/>
  <c r="V99" i="1821"/>
  <c r="V143" i="1810"/>
  <c r="V35" i="1821"/>
  <c r="W16" i="121"/>
  <c r="V9" i="1810"/>
  <c r="V89" i="1810" s="1"/>
  <c r="R740" i="1812"/>
  <c r="R738" i="1812" s="1"/>
  <c r="R735" i="1812"/>
  <c r="R733" i="1812"/>
  <c r="R731" i="1812" s="1"/>
  <c r="R728" i="1812"/>
  <c r="R721" i="1812"/>
  <c r="R719" i="1812"/>
  <c r="R717" i="1812" s="1"/>
  <c r="R742" i="1812"/>
  <c r="R726" i="1812"/>
  <c r="R724" i="1812" s="1"/>
  <c r="BB745" i="1812"/>
  <c r="S4" i="1812"/>
  <c r="BB3" i="1812"/>
  <c r="BB715" i="1812" s="1"/>
  <c r="AD9" i="121"/>
  <c r="V276" i="1554"/>
  <c r="W278" i="1554" s="1"/>
  <c r="V87" i="121"/>
  <c r="F11" i="1808"/>
  <c r="C15" i="1808"/>
  <c r="F10" i="1808"/>
  <c r="H9" i="1808"/>
  <c r="H10" i="1808" s="1"/>
  <c r="D87" i="1807"/>
  <c r="C10" i="1808"/>
  <c r="AM276" i="1554"/>
  <c r="N10" i="1807"/>
  <c r="M61" i="1807"/>
  <c r="I3" i="1711"/>
  <c r="J61" i="1583"/>
  <c r="J59" i="1711"/>
  <c r="AL341" i="121"/>
  <c r="AK341" i="121"/>
  <c r="AL334" i="121"/>
  <c r="Z340" i="121"/>
  <c r="Z342" i="121" s="1"/>
  <c r="Y340" i="121"/>
  <c r="Y342" i="121" s="1"/>
  <c r="X340" i="121"/>
  <c r="X342" i="121" s="1"/>
  <c r="W340" i="121"/>
  <c r="W342" i="121" s="1"/>
  <c r="A313" i="121"/>
  <c r="A319" i="121" s="1"/>
  <c r="A81" i="121"/>
  <c r="A87" i="121" s="1"/>
  <c r="Z46" i="121"/>
  <c r="AC51" i="121"/>
  <c r="Z45" i="121"/>
  <c r="AC50" i="121"/>
  <c r="BB741" i="1812"/>
  <c r="BB734" i="1812"/>
  <c r="BB727" i="1812"/>
  <c r="BB720" i="1812"/>
  <c r="V97" i="1821" l="1"/>
  <c r="V96" i="1821" s="1"/>
  <c r="V87" i="1821"/>
  <c r="AK97" i="1821"/>
  <c r="AK96" i="1821" s="1"/>
  <c r="AK87" i="1821"/>
  <c r="V68" i="1821"/>
  <c r="V11" i="1810"/>
  <c r="W24" i="1810"/>
  <c r="V59" i="1810"/>
  <c r="V74" i="1810"/>
  <c r="BB735" i="1812"/>
  <c r="BB733" i="1812"/>
  <c r="BB731" i="1812" s="1"/>
  <c r="BB719" i="1812"/>
  <c r="BB717" i="1812" s="1"/>
  <c r="BB742" i="1812"/>
  <c r="BB740" i="1812"/>
  <c r="BB738" i="1812" s="1"/>
  <c r="BB728" i="1812"/>
  <c r="BB721" i="1812"/>
  <c r="BB726" i="1812"/>
  <c r="BB724" i="1812" s="1"/>
  <c r="T4" i="1812"/>
  <c r="S745" i="1812"/>
  <c r="S3" i="1812"/>
  <c r="S715" i="1812" s="1"/>
  <c r="AD51" i="121"/>
  <c r="AD50" i="121"/>
  <c r="AD163" i="121"/>
  <c r="AD165" i="121" s="1"/>
  <c r="AD167" i="121" s="1"/>
  <c r="AD19" i="121"/>
  <c r="AD150" i="121"/>
  <c r="AD262" i="121" s="1"/>
  <c r="V294" i="1554"/>
  <c r="V277" i="1554"/>
  <c r="C45" i="1808"/>
  <c r="F15" i="1808"/>
  <c r="H11" i="1808"/>
  <c r="H15" i="1808" s="1"/>
  <c r="H16" i="1808" s="1"/>
  <c r="E87" i="1807"/>
  <c r="C16" i="1808"/>
  <c r="AM294" i="1554"/>
  <c r="AM277" i="1554"/>
  <c r="AC52" i="121"/>
  <c r="O10" i="1807"/>
  <c r="N61" i="1807"/>
  <c r="AL342" i="121"/>
  <c r="AL340" i="121"/>
  <c r="Z47" i="121"/>
  <c r="R24" i="1806"/>
  <c r="R11" i="1806"/>
  <c r="R1" i="1806"/>
  <c r="T1" i="1711"/>
  <c r="AL174" i="121"/>
  <c r="AL164" i="121"/>
  <c r="Z152" i="121"/>
  <c r="W264" i="121"/>
  <c r="AL122" i="121"/>
  <c r="AL121" i="121"/>
  <c r="AL138" i="121"/>
  <c r="AL137" i="121"/>
  <c r="AL136" i="121"/>
  <c r="AL135" i="121"/>
  <c r="AL134" i="121"/>
  <c r="X184" i="121"/>
  <c r="W184" i="121"/>
  <c r="AL11" i="121"/>
  <c r="Z56" i="121"/>
  <c r="AL183" i="121"/>
  <c r="AL182" i="121"/>
  <c r="AL181" i="121"/>
  <c r="AL180" i="121"/>
  <c r="Z184" i="121"/>
  <c r="AL395" i="121"/>
  <c r="S741" i="1812"/>
  <c r="S734" i="1812"/>
  <c r="S727" i="1812"/>
  <c r="S720" i="1812"/>
  <c r="V8" i="1821" l="1"/>
  <c r="W26" i="1810"/>
  <c r="V76" i="1810"/>
  <c r="T745" i="1812"/>
  <c r="T3" i="1812"/>
  <c r="T715" i="1812" s="1"/>
  <c r="U4" i="1812"/>
  <c r="S726" i="1812"/>
  <c r="S724" i="1812" s="1"/>
  <c r="S719" i="1812"/>
  <c r="S717" i="1812" s="1"/>
  <c r="S742" i="1812"/>
  <c r="S735" i="1812"/>
  <c r="S733" i="1812"/>
  <c r="S731" i="1812" s="1"/>
  <c r="S721" i="1812"/>
  <c r="S728" i="1812"/>
  <c r="S740" i="1812"/>
  <c r="S738" i="1812" s="1"/>
  <c r="AM28" i="121"/>
  <c r="I54" i="155"/>
  <c r="I54" i="1807"/>
  <c r="I54" i="1711"/>
  <c r="AD52" i="121"/>
  <c r="Z264" i="121"/>
  <c r="W318" i="121"/>
  <c r="W276" i="121"/>
  <c r="C131" i="1808"/>
  <c r="F16" i="1808"/>
  <c r="O61" i="1807"/>
  <c r="I16" i="1807"/>
  <c r="P10" i="1807"/>
  <c r="AL152" i="121"/>
  <c r="Z236" i="121"/>
  <c r="Z241" i="121"/>
  <c r="Z395" i="121"/>
  <c r="Z412" i="121" s="1"/>
  <c r="Y395" i="121"/>
  <c r="Y412" i="121" s="1"/>
  <c r="X395" i="121"/>
  <c r="X412" i="121" s="1"/>
  <c r="W395" i="121"/>
  <c r="W412" i="121" s="1"/>
  <c r="AQ139" i="121"/>
  <c r="AP136" i="121"/>
  <c r="AO137" i="121"/>
  <c r="AR135" i="121"/>
  <c r="AQ137" i="121"/>
  <c r="U112" i="1583"/>
  <c r="F110" i="155"/>
  <c r="F108" i="155"/>
  <c r="T741" i="1812"/>
  <c r="T734" i="1812"/>
  <c r="T727" i="1812"/>
  <c r="T720" i="1812"/>
  <c r="W11" i="1821" l="1"/>
  <c r="V36" i="1821"/>
  <c r="T740" i="1812"/>
  <c r="T738" i="1812" s="1"/>
  <c r="U745" i="1812"/>
  <c r="U3" i="1812"/>
  <c r="U715" i="1812" s="1"/>
  <c r="V4" i="1812"/>
  <c r="T742" i="1812"/>
  <c r="T728" i="1812"/>
  <c r="T735" i="1812"/>
  <c r="T733" i="1812"/>
  <c r="T731" i="1812" s="1"/>
  <c r="T721" i="1812"/>
  <c r="T726" i="1812"/>
  <c r="T724" i="1812" s="1"/>
  <c r="T719" i="1812"/>
  <c r="T717" i="1812" s="1"/>
  <c r="AL264" i="121"/>
  <c r="X288" i="121"/>
  <c r="X294" i="121"/>
  <c r="W300" i="121"/>
  <c r="E83" i="1809"/>
  <c r="Q10" i="1807"/>
  <c r="P61" i="1807"/>
  <c r="AR136" i="121"/>
  <c r="AR137" i="121" s="1"/>
  <c r="AP137" i="121"/>
  <c r="AG33" i="1583"/>
  <c r="AG32" i="1583"/>
  <c r="U741" i="1812"/>
  <c r="U734" i="1812"/>
  <c r="U727" i="1812"/>
  <c r="U720" i="1812"/>
  <c r="V3" i="1812" l="1"/>
  <c r="V715" i="1812" s="1"/>
  <c r="BC4" i="1812"/>
  <c r="V745" i="1812"/>
  <c r="U742" i="1812"/>
  <c r="U728" i="1812"/>
  <c r="U721" i="1812"/>
  <c r="U740" i="1812"/>
  <c r="U738" i="1812" s="1"/>
  <c r="U733" i="1812"/>
  <c r="U731" i="1812" s="1"/>
  <c r="U719" i="1812"/>
  <c r="U717" i="1812" s="1"/>
  <c r="U726" i="1812"/>
  <c r="U724" i="1812" s="1"/>
  <c r="U735" i="1812"/>
  <c r="Q61" i="1807"/>
  <c r="R10" i="1807"/>
  <c r="T10" i="155"/>
  <c r="A50" i="1806"/>
  <c r="Q24" i="1806"/>
  <c r="P24" i="1806"/>
  <c r="O24" i="1806"/>
  <c r="N24" i="1806"/>
  <c r="M24" i="1806"/>
  <c r="L24" i="1806"/>
  <c r="K24" i="1806"/>
  <c r="J24" i="1806"/>
  <c r="Q11" i="1806"/>
  <c r="P11" i="1806"/>
  <c r="O11" i="1806"/>
  <c r="N11" i="1806"/>
  <c r="M11" i="1806"/>
  <c r="L11" i="1806"/>
  <c r="K11" i="1806"/>
  <c r="J11" i="1806"/>
  <c r="C41" i="1806"/>
  <c r="C38" i="1806"/>
  <c r="C31" i="1806"/>
  <c r="J31" i="1806" s="1"/>
  <c r="C17" i="1806"/>
  <c r="E17" i="1806" s="1"/>
  <c r="I13" i="1806"/>
  <c r="H13" i="1806"/>
  <c r="G13" i="1806"/>
  <c r="F13" i="1806"/>
  <c r="E13" i="1806"/>
  <c r="E23" i="1806"/>
  <c r="E20" i="1806"/>
  <c r="S354" i="121"/>
  <c r="S359" i="121" s="1"/>
  <c r="A38" i="1806"/>
  <c r="A53" i="1806" s="1"/>
  <c r="A65" i="1806" s="1"/>
  <c r="A47" i="1806"/>
  <c r="A32" i="1806"/>
  <c r="A46" i="1806" s="1"/>
  <c r="A41" i="1806"/>
  <c r="A56" i="1806" s="1"/>
  <c r="A68" i="1806" s="1"/>
  <c r="E28" i="1806"/>
  <c r="E41" i="1806" s="1"/>
  <c r="G5" i="1806"/>
  <c r="H5" i="1806" s="1"/>
  <c r="I5" i="1806" s="1"/>
  <c r="J5" i="1806" s="1"/>
  <c r="K5" i="1806" s="1"/>
  <c r="L5" i="1806" s="1"/>
  <c r="M5" i="1806" s="1"/>
  <c r="N5" i="1806" s="1"/>
  <c r="O5" i="1806" s="1"/>
  <c r="P5" i="1806" s="1"/>
  <c r="Q5" i="1806" s="1"/>
  <c r="R5" i="1806" s="1"/>
  <c r="V741" i="1812"/>
  <c r="V734" i="1812"/>
  <c r="V727" i="1812"/>
  <c r="V720" i="1812"/>
  <c r="BC3" i="1812" l="1"/>
  <c r="BC715" i="1812" s="1"/>
  <c r="BC745" i="1812"/>
  <c r="W4" i="1812"/>
  <c r="V735" i="1812"/>
  <c r="V721" i="1812"/>
  <c r="V719" i="1812"/>
  <c r="V717" i="1812" s="1"/>
  <c r="V726" i="1812"/>
  <c r="V724" i="1812" s="1"/>
  <c r="V742" i="1812"/>
  <c r="V740" i="1812"/>
  <c r="V738" i="1812" s="1"/>
  <c r="V728" i="1812"/>
  <c r="V733" i="1812"/>
  <c r="V731" i="1812" s="1"/>
  <c r="R61" i="1807"/>
  <c r="S10" i="1807"/>
  <c r="T10" i="1807"/>
  <c r="R31" i="1806"/>
  <c r="E24" i="1806"/>
  <c r="H23" i="1806"/>
  <c r="C42" i="1806"/>
  <c r="E42" i="1806" s="1"/>
  <c r="F42" i="1806" s="1"/>
  <c r="G42" i="1806" s="1"/>
  <c r="H42" i="1806" s="1"/>
  <c r="I42" i="1806" s="1"/>
  <c r="J42" i="1806" s="1"/>
  <c r="K42" i="1806" s="1"/>
  <c r="L42" i="1806" s="1"/>
  <c r="M42" i="1806" s="1"/>
  <c r="N42" i="1806" s="1"/>
  <c r="O42" i="1806" s="1"/>
  <c r="P42" i="1806" s="1"/>
  <c r="Q42" i="1806" s="1"/>
  <c r="R42" i="1806" s="1"/>
  <c r="C24" i="1806"/>
  <c r="E68" i="1806"/>
  <c r="C32" i="1806"/>
  <c r="E38" i="1806"/>
  <c r="E65" i="1806" s="1"/>
  <c r="G23" i="1806"/>
  <c r="F23" i="1806"/>
  <c r="F20" i="1806"/>
  <c r="G20" i="1806" s="1"/>
  <c r="F28" i="1806"/>
  <c r="G28" i="1806" s="1"/>
  <c r="A31" i="1806"/>
  <c r="A45" i="1806" s="1"/>
  <c r="A60" i="1806" s="1"/>
  <c r="A12" i="1806"/>
  <c r="BC741" i="1812"/>
  <c r="BC734" i="1812"/>
  <c r="BC727" i="1812"/>
  <c r="BC720" i="1812"/>
  <c r="W745" i="1812" l="1"/>
  <c r="W3" i="1812"/>
  <c r="W715" i="1812" s="1"/>
  <c r="X4" i="1812"/>
  <c r="BC719" i="1812"/>
  <c r="BC717" i="1812" s="1"/>
  <c r="BC740" i="1812"/>
  <c r="BC738" i="1812" s="1"/>
  <c r="BC728" i="1812"/>
  <c r="BC726" i="1812"/>
  <c r="BC724" i="1812" s="1"/>
  <c r="BC733" i="1812"/>
  <c r="BC731" i="1812" s="1"/>
  <c r="BC721" i="1812"/>
  <c r="BC735" i="1812"/>
  <c r="BC742" i="1812"/>
  <c r="G39" i="1806"/>
  <c r="G66" i="1806" s="1"/>
  <c r="G40" i="1806"/>
  <c r="G67" i="1806" s="1"/>
  <c r="H24" i="1806"/>
  <c r="I23" i="1806"/>
  <c r="I24" i="1806" s="1"/>
  <c r="H28" i="1806"/>
  <c r="I28" i="1806" s="1"/>
  <c r="J28" i="1806" s="1"/>
  <c r="G38" i="1806"/>
  <c r="G65" i="1806" s="1"/>
  <c r="G41" i="1806"/>
  <c r="G68" i="1806" s="1"/>
  <c r="E33" i="1806"/>
  <c r="E47" i="1806" s="1"/>
  <c r="E62" i="1806" s="1"/>
  <c r="G47" i="1806"/>
  <c r="S61" i="1807"/>
  <c r="F33" i="1806"/>
  <c r="F47" i="1806" s="1"/>
  <c r="F62" i="1806" s="1"/>
  <c r="G24" i="1806"/>
  <c r="F24" i="1806"/>
  <c r="E69" i="1806"/>
  <c r="F38" i="1806"/>
  <c r="F65" i="1806" s="1"/>
  <c r="F41" i="1806"/>
  <c r="F68" i="1806" s="1"/>
  <c r="W741" i="1812"/>
  <c r="W734" i="1812"/>
  <c r="W727" i="1812"/>
  <c r="W720" i="1812"/>
  <c r="X745" i="1812" l="1"/>
  <c r="Y4" i="1812"/>
  <c r="X3" i="1812"/>
  <c r="X715" i="1812" s="1"/>
  <c r="W740" i="1812"/>
  <c r="W738" i="1812" s="1"/>
  <c r="W728" i="1812"/>
  <c r="W735" i="1812"/>
  <c r="W733" i="1812"/>
  <c r="W731" i="1812" s="1"/>
  <c r="W719" i="1812"/>
  <c r="W717" i="1812" s="1"/>
  <c r="W721" i="1812"/>
  <c r="W742" i="1812"/>
  <c r="W726" i="1812"/>
  <c r="W724" i="1812" s="1"/>
  <c r="H40" i="1806"/>
  <c r="H67" i="1806" s="1"/>
  <c r="H39" i="1806"/>
  <c r="H66" i="1806" s="1"/>
  <c r="G69" i="1806"/>
  <c r="H47" i="1806"/>
  <c r="H38" i="1806"/>
  <c r="H65" i="1806" s="1"/>
  <c r="H41" i="1806"/>
  <c r="H68" i="1806" s="1"/>
  <c r="T61" i="1807"/>
  <c r="Z227" i="121"/>
  <c r="Z251" i="121"/>
  <c r="Z57" i="121"/>
  <c r="F69" i="1806"/>
  <c r="X741" i="1812"/>
  <c r="X734" i="1812"/>
  <c r="X727" i="1812"/>
  <c r="X720" i="1812"/>
  <c r="Y745" i="1812" l="1"/>
  <c r="Y227" i="1812"/>
  <c r="Y3" i="1812"/>
  <c r="Y715" i="1812" s="1"/>
  <c r="Z4" i="1812"/>
  <c r="X728" i="1812"/>
  <c r="X726" i="1812"/>
  <c r="X724" i="1812" s="1"/>
  <c r="X735" i="1812"/>
  <c r="X733" i="1812"/>
  <c r="X731" i="1812" s="1"/>
  <c r="X721" i="1812"/>
  <c r="X719" i="1812"/>
  <c r="X717" i="1812" s="1"/>
  <c r="X740" i="1812"/>
  <c r="X738" i="1812" s="1"/>
  <c r="X742" i="1812"/>
  <c r="AD232" i="121"/>
  <c r="I40" i="1806"/>
  <c r="I67" i="1806" s="1"/>
  <c r="I39" i="1806"/>
  <c r="I66" i="1806" s="1"/>
  <c r="H69" i="1806"/>
  <c r="I41" i="1806"/>
  <c r="I68" i="1806" s="1"/>
  <c r="I38" i="1806"/>
  <c r="I65" i="1806" s="1"/>
  <c r="I47" i="1806"/>
  <c r="AC232" i="121"/>
  <c r="Z235" i="121"/>
  <c r="Z240" i="121"/>
  <c r="Z55" i="121"/>
  <c r="Y741" i="1812"/>
  <c r="Y734" i="1812"/>
  <c r="Y727" i="1812"/>
  <c r="Y720" i="1812"/>
  <c r="Z745" i="1812" l="1"/>
  <c r="Z227" i="1812"/>
  <c r="Z3" i="1812"/>
  <c r="BD4" i="1812"/>
  <c r="Y740" i="1812"/>
  <c r="Y738" i="1812" s="1"/>
  <c r="Y412" i="1812" s="1"/>
  <c r="Y726" i="1812"/>
  <c r="Y724" i="1812" s="1"/>
  <c r="Y409" i="1812" s="1"/>
  <c r="Y719" i="1812"/>
  <c r="Y717" i="1812" s="1"/>
  <c r="Y408" i="1812" s="1"/>
  <c r="Y735" i="1812"/>
  <c r="Y733" i="1812"/>
  <c r="Y731" i="1812" s="1"/>
  <c r="Y410" i="1812" s="1"/>
  <c r="Y728" i="1812"/>
  <c r="Y721" i="1812"/>
  <c r="Y742" i="1812"/>
  <c r="J39" i="1806"/>
  <c r="J66" i="1806" s="1"/>
  <c r="J40" i="1806"/>
  <c r="J67" i="1806" s="1"/>
  <c r="I69" i="1806"/>
  <c r="J41" i="1806"/>
  <c r="J68" i="1806" s="1"/>
  <c r="J47" i="1806"/>
  <c r="K28" i="1806"/>
  <c r="J38" i="1806"/>
  <c r="J65" i="1806" s="1"/>
  <c r="Z242" i="121"/>
  <c r="Z237" i="121"/>
  <c r="BD745" i="1812" l="1"/>
  <c r="BD227" i="1812"/>
  <c r="BD3" i="1812"/>
  <c r="Z572" i="1812" s="1"/>
  <c r="AA4" i="1812"/>
  <c r="Z715" i="1812"/>
  <c r="K40" i="1806"/>
  <c r="K67" i="1806" s="1"/>
  <c r="K39" i="1806"/>
  <c r="K66" i="1806" s="1"/>
  <c r="J69" i="1806"/>
  <c r="L28" i="1806"/>
  <c r="K41" i="1806"/>
  <c r="K68" i="1806" s="1"/>
  <c r="K47" i="1806"/>
  <c r="K38" i="1806"/>
  <c r="K65" i="1806" s="1"/>
  <c r="Z741" i="1812"/>
  <c r="Z734" i="1812"/>
  <c r="Z727" i="1812"/>
  <c r="Z720" i="1812"/>
  <c r="Z742" i="1812" l="1"/>
  <c r="Z728" i="1812"/>
  <c r="Z721" i="1812"/>
  <c r="Z719" i="1812"/>
  <c r="Z717" i="1812" s="1"/>
  <c r="Z408" i="1812" s="1"/>
  <c r="Z726" i="1812"/>
  <c r="Z724" i="1812" s="1"/>
  <c r="Z409" i="1812" s="1"/>
  <c r="Z740" i="1812"/>
  <c r="Z738" i="1812" s="1"/>
  <c r="Z412" i="1812" s="1"/>
  <c r="Z735" i="1812"/>
  <c r="Z733" i="1812"/>
  <c r="Z731" i="1812" s="1"/>
  <c r="Z410" i="1812" s="1"/>
  <c r="AA745" i="1812"/>
  <c r="AA227" i="1812"/>
  <c r="AA3" i="1812"/>
  <c r="AA715" i="1812" s="1"/>
  <c r="AB4" i="1812"/>
  <c r="Z391" i="1812"/>
  <c r="Z387" i="1812"/>
  <c r="Z389" i="1812"/>
  <c r="Y571" i="1812"/>
  <c r="Z571" i="1812"/>
  <c r="Y387" i="1812"/>
  <c r="Y389" i="1812"/>
  <c r="Y391" i="1812"/>
  <c r="Y570" i="1812"/>
  <c r="Z570" i="1812"/>
  <c r="Y573" i="1812"/>
  <c r="Y572" i="1812"/>
  <c r="BD715" i="1812"/>
  <c r="Z573" i="1812"/>
  <c r="L40" i="1806"/>
  <c r="L67" i="1806" s="1"/>
  <c r="L39" i="1806"/>
  <c r="L66" i="1806" s="1"/>
  <c r="K69" i="1806"/>
  <c r="L47" i="1806"/>
  <c r="L41" i="1806"/>
  <c r="L68" i="1806" s="1"/>
  <c r="L38" i="1806"/>
  <c r="L65" i="1806" s="1"/>
  <c r="M28" i="1806"/>
  <c r="AA741" i="1812"/>
  <c r="AA734" i="1812"/>
  <c r="AA727" i="1812"/>
  <c r="AA720" i="1812"/>
  <c r="BD741" i="1812"/>
  <c r="BD734" i="1812"/>
  <c r="BD727" i="1812"/>
  <c r="BD720" i="1812"/>
  <c r="BD728" i="1812" l="1"/>
  <c r="BD733" i="1812"/>
  <c r="BD731" i="1812" s="1"/>
  <c r="BD410" i="1812" s="1"/>
  <c r="BD740" i="1812"/>
  <c r="BD738" i="1812" s="1"/>
  <c r="BD412" i="1812" s="1"/>
  <c r="BD735" i="1812"/>
  <c r="BD721" i="1812"/>
  <c r="BD726" i="1812"/>
  <c r="BD724" i="1812" s="1"/>
  <c r="BD409" i="1812" s="1"/>
  <c r="BD742" i="1812"/>
  <c r="BD719" i="1812"/>
  <c r="BD717" i="1812" s="1"/>
  <c r="BD408" i="1812" s="1"/>
  <c r="AB227" i="1812"/>
  <c r="AB3" i="1812"/>
  <c r="AB715" i="1812" s="1"/>
  <c r="AC4" i="1812"/>
  <c r="AB745" i="1812"/>
  <c r="AA740" i="1812"/>
  <c r="AA738" i="1812" s="1"/>
  <c r="AA412" i="1812" s="1"/>
  <c r="AA735" i="1812"/>
  <c r="AA733" i="1812"/>
  <c r="AA731" i="1812" s="1"/>
  <c r="AA410" i="1812" s="1"/>
  <c r="AA726" i="1812"/>
  <c r="AA724" i="1812" s="1"/>
  <c r="AA409" i="1812" s="1"/>
  <c r="AA719" i="1812"/>
  <c r="AA717" i="1812" s="1"/>
  <c r="AA408" i="1812" s="1"/>
  <c r="AA742" i="1812"/>
  <c r="AA728" i="1812"/>
  <c r="AA721" i="1812"/>
  <c r="M40" i="1806"/>
  <c r="M67" i="1806" s="1"/>
  <c r="M39" i="1806"/>
  <c r="M66" i="1806" s="1"/>
  <c r="L69" i="1806"/>
  <c r="M38" i="1806"/>
  <c r="M65" i="1806" s="1"/>
  <c r="M47" i="1806"/>
  <c r="M41" i="1806"/>
  <c r="M68" i="1806" s="1"/>
  <c r="N28" i="1806"/>
  <c r="AB741" i="1812"/>
  <c r="AB734" i="1812"/>
  <c r="AB727" i="1812"/>
  <c r="AB720" i="1812"/>
  <c r="AB742" i="1812" l="1"/>
  <c r="AB735" i="1812"/>
  <c r="AB719" i="1812"/>
  <c r="AB717" i="1812" s="1"/>
  <c r="AB408" i="1812" s="1"/>
  <c r="AB726" i="1812"/>
  <c r="AB724" i="1812" s="1"/>
  <c r="AB409" i="1812" s="1"/>
  <c r="AB728" i="1812"/>
  <c r="AB733" i="1812"/>
  <c r="AB731" i="1812" s="1"/>
  <c r="AB410" i="1812" s="1"/>
  <c r="AB721" i="1812"/>
  <c r="AB740" i="1812"/>
  <c r="AB738" i="1812" s="1"/>
  <c r="AB412" i="1812" s="1"/>
  <c r="AC745" i="1812"/>
  <c r="AC3" i="1812"/>
  <c r="AC715" i="1812" s="1"/>
  <c r="AD4" i="1812"/>
  <c r="AC227" i="1812"/>
  <c r="N40" i="1806"/>
  <c r="N67" i="1806" s="1"/>
  <c r="N39" i="1806"/>
  <c r="N66" i="1806" s="1"/>
  <c r="N41" i="1806"/>
  <c r="N68" i="1806" s="1"/>
  <c r="N47" i="1806"/>
  <c r="N38" i="1806"/>
  <c r="N65" i="1806" s="1"/>
  <c r="O28" i="1806"/>
  <c r="M69" i="1806"/>
  <c r="AC741" i="1812"/>
  <c r="AC734" i="1812"/>
  <c r="AC727" i="1812"/>
  <c r="AC720" i="1812"/>
  <c r="AC740" i="1812" l="1"/>
  <c r="AC738" i="1812" s="1"/>
  <c r="AC412" i="1812" s="1"/>
  <c r="AC742" i="1812"/>
  <c r="AC719" i="1812"/>
  <c r="AC717" i="1812" s="1"/>
  <c r="AC408" i="1812" s="1"/>
  <c r="AC721" i="1812"/>
  <c r="AC733" i="1812"/>
  <c r="AC731" i="1812" s="1"/>
  <c r="AC410" i="1812" s="1"/>
  <c r="AC735" i="1812"/>
  <c r="AC726" i="1812"/>
  <c r="AC724" i="1812" s="1"/>
  <c r="AC409" i="1812" s="1"/>
  <c r="AC728" i="1812"/>
  <c r="AD227" i="1812"/>
  <c r="AD3" i="1812"/>
  <c r="AD715" i="1812" s="1"/>
  <c r="BE4" i="1812"/>
  <c r="AD745" i="1812"/>
  <c r="O39" i="1806"/>
  <c r="O66" i="1806" s="1"/>
  <c r="O40" i="1806"/>
  <c r="O67" i="1806" s="1"/>
  <c r="N69" i="1806"/>
  <c r="O47" i="1806"/>
  <c r="P28" i="1806"/>
  <c r="O41" i="1806"/>
  <c r="O68" i="1806" s="1"/>
  <c r="O38" i="1806"/>
  <c r="O65" i="1806" s="1"/>
  <c r="AD741" i="1812"/>
  <c r="AD734" i="1812"/>
  <c r="AD727" i="1812"/>
  <c r="AD720" i="1812"/>
  <c r="BE227" i="1812" l="1"/>
  <c r="AE4" i="1812"/>
  <c r="BE3" i="1812"/>
  <c r="BE745" i="1812"/>
  <c r="AD721" i="1812"/>
  <c r="AD719" i="1812"/>
  <c r="AD717" i="1812" s="1"/>
  <c r="AD408" i="1812" s="1"/>
  <c r="AD733" i="1812"/>
  <c r="AD731" i="1812" s="1"/>
  <c r="AD410" i="1812" s="1"/>
  <c r="AD742" i="1812"/>
  <c r="AD740" i="1812"/>
  <c r="AD738" i="1812" s="1"/>
  <c r="AD412" i="1812" s="1"/>
  <c r="AD735" i="1812"/>
  <c r="AD726" i="1812"/>
  <c r="AD724" i="1812" s="1"/>
  <c r="AD409" i="1812" s="1"/>
  <c r="AD728" i="1812"/>
  <c r="P40" i="1806"/>
  <c r="P67" i="1806" s="1"/>
  <c r="P39" i="1806"/>
  <c r="P66" i="1806" s="1"/>
  <c r="O69" i="1806"/>
  <c r="Q28" i="1806"/>
  <c r="P38" i="1806"/>
  <c r="P65" i="1806" s="1"/>
  <c r="P47" i="1806"/>
  <c r="P41" i="1806"/>
  <c r="P68" i="1806" s="1"/>
  <c r="V333" i="121"/>
  <c r="U333" i="121"/>
  <c r="T333" i="121"/>
  <c r="S333" i="121"/>
  <c r="V340" i="121"/>
  <c r="U340" i="121"/>
  <c r="T340" i="121"/>
  <c r="S340" i="121"/>
  <c r="AP347" i="121"/>
  <c r="AP348" i="121" s="1"/>
  <c r="A203" i="1583"/>
  <c r="A202" i="1583"/>
  <c r="A201" i="1583"/>
  <c r="A200" i="1583"/>
  <c r="U100" i="1554"/>
  <c r="Y106" i="1554" s="1"/>
  <c r="U64" i="1554"/>
  <c r="AD573" i="1812" l="1"/>
  <c r="AD572" i="1812"/>
  <c r="AD387" i="1812"/>
  <c r="AA387" i="1812"/>
  <c r="AD391" i="1812"/>
  <c r="AC391" i="1812"/>
  <c r="AB572" i="1812"/>
  <c r="BE715" i="1812"/>
  <c r="AA571" i="1812"/>
  <c r="AB387" i="1812"/>
  <c r="AC570" i="1812"/>
  <c r="AB570" i="1812"/>
  <c r="AA573" i="1812"/>
  <c r="AB573" i="1812"/>
  <c r="AC572" i="1812"/>
  <c r="AC389" i="1812"/>
  <c r="AB571" i="1812"/>
  <c r="AD571" i="1812"/>
  <c r="AB389" i="1812"/>
  <c r="AA391" i="1812"/>
  <c r="AD570" i="1812"/>
  <c r="AA570" i="1812"/>
  <c r="AA572" i="1812"/>
  <c r="AA389" i="1812"/>
  <c r="AC387" i="1812"/>
  <c r="AC571" i="1812"/>
  <c r="AB391" i="1812"/>
  <c r="AD389" i="1812"/>
  <c r="AC573" i="1812"/>
  <c r="AE227" i="1812"/>
  <c r="AE3" i="1812"/>
  <c r="AE715" i="1812" s="1"/>
  <c r="AE745" i="1812"/>
  <c r="AF4" i="1812"/>
  <c r="Q40" i="1806"/>
  <c r="Q67" i="1806" s="1"/>
  <c r="Q39" i="1806"/>
  <c r="Q66" i="1806" s="1"/>
  <c r="P69" i="1806"/>
  <c r="R28" i="1806"/>
  <c r="Q38" i="1806"/>
  <c r="Q65" i="1806" s="1"/>
  <c r="Q47" i="1806"/>
  <c r="Q41" i="1806"/>
  <c r="Q68" i="1806" s="1"/>
  <c r="V221" i="121"/>
  <c r="V220" i="121"/>
  <c r="U165" i="1554"/>
  <c r="AM165" i="1554" s="1"/>
  <c r="U358" i="121"/>
  <c r="U174" i="121"/>
  <c r="U172" i="121"/>
  <c r="U166" i="121"/>
  <c r="U164" i="121"/>
  <c r="U163" i="1554"/>
  <c r="U156" i="1554"/>
  <c r="U158" i="1554" s="1"/>
  <c r="U160" i="1554" s="1"/>
  <c r="U28" i="121" s="1"/>
  <c r="U150" i="1554"/>
  <c r="U152" i="1554" s="1"/>
  <c r="U154" i="1554" s="1"/>
  <c r="U144" i="1554"/>
  <c r="U163" i="121" s="1"/>
  <c r="Y168" i="121" s="1"/>
  <c r="Y26" i="121" s="1"/>
  <c r="U115" i="1554"/>
  <c r="U305" i="121"/>
  <c r="Y311" i="121" s="1"/>
  <c r="U73" i="121"/>
  <c r="U74" i="121" s="1"/>
  <c r="U38" i="1554"/>
  <c r="U306" i="121"/>
  <c r="U70" i="121" s="1"/>
  <c r="U304" i="121"/>
  <c r="Y310" i="121" s="1"/>
  <c r="U265" i="121"/>
  <c r="Y271" i="121" s="1"/>
  <c r="U263" i="121"/>
  <c r="Y269" i="121" s="1"/>
  <c r="U262" i="121"/>
  <c r="Y268" i="121" s="1"/>
  <c r="U221" i="121"/>
  <c r="U220" i="121"/>
  <c r="U216" i="121"/>
  <c r="U215" i="121"/>
  <c r="U214" i="121"/>
  <c r="U210" i="121"/>
  <c r="U209" i="121"/>
  <c r="U208" i="121"/>
  <c r="U65" i="121"/>
  <c r="G101" i="155"/>
  <c r="U137" i="121"/>
  <c r="U138" i="121"/>
  <c r="U152" i="1810" s="1"/>
  <c r="U154" i="1810" s="1"/>
  <c r="U77" i="1821" s="1"/>
  <c r="U127" i="121"/>
  <c r="U324" i="121" s="1"/>
  <c r="U126" i="121"/>
  <c r="U105" i="121"/>
  <c r="U127" i="1810" s="1"/>
  <c r="U129" i="1810" s="1"/>
  <c r="U103" i="121"/>
  <c r="U119" i="1810" s="1"/>
  <c r="U121" i="1810" s="1"/>
  <c r="U49" i="1821" s="1"/>
  <c r="U90" i="121"/>
  <c r="U69" i="1810" s="1"/>
  <c r="U10" i="121"/>
  <c r="U105" i="1554"/>
  <c r="U104" i="1554"/>
  <c r="U103" i="1554"/>
  <c r="U122" i="1554"/>
  <c r="M179" i="1554"/>
  <c r="N179" i="1554" s="1"/>
  <c r="O179" i="1554"/>
  <c r="P179" i="1554"/>
  <c r="Q179" i="1554"/>
  <c r="R179" i="1554"/>
  <c r="S179" i="1554"/>
  <c r="T179" i="1554"/>
  <c r="U179" i="1554"/>
  <c r="U83" i="1554"/>
  <c r="U90" i="1554" s="1"/>
  <c r="U92" i="1554" s="1"/>
  <c r="U77" i="1554"/>
  <c r="U76" i="1554"/>
  <c r="U168" i="1554" s="1"/>
  <c r="U170" i="1554" s="1"/>
  <c r="U361" i="1554"/>
  <c r="U291" i="1554"/>
  <c r="U290" i="1554"/>
  <c r="U289" i="1554"/>
  <c r="U282" i="1554"/>
  <c r="U281" i="1554"/>
  <c r="U273" i="1554"/>
  <c r="U269" i="1554"/>
  <c r="U267" i="1554"/>
  <c r="U256" i="1554"/>
  <c r="U251" i="1554"/>
  <c r="U248" i="1554"/>
  <c r="U93" i="1821" s="1"/>
  <c r="U92" i="1821" s="1"/>
  <c r="U231" i="1554"/>
  <c r="H232" i="1554"/>
  <c r="U55" i="1554"/>
  <c r="U48" i="1554"/>
  <c r="U47" i="1554"/>
  <c r="U41" i="1554"/>
  <c r="U40" i="1554"/>
  <c r="U39" i="1554"/>
  <c r="U35" i="1554"/>
  <c r="U28" i="1554"/>
  <c r="U31" i="1554" s="1"/>
  <c r="U24" i="1554"/>
  <c r="U16" i="1554"/>
  <c r="U18" i="1554" s="1"/>
  <c r="BE741" i="1812"/>
  <c r="BE734" i="1812"/>
  <c r="BE727" i="1812"/>
  <c r="BE720" i="1812"/>
  <c r="AE741" i="1812"/>
  <c r="AE734" i="1812"/>
  <c r="AE727" i="1812"/>
  <c r="AE720" i="1812"/>
  <c r="U238" i="1554" l="1"/>
  <c r="U88" i="1821" s="1"/>
  <c r="U85" i="1821"/>
  <c r="U84" i="1821" s="1"/>
  <c r="Y20" i="121"/>
  <c r="U138" i="1810"/>
  <c r="U54" i="1821"/>
  <c r="U63" i="1821" s="1"/>
  <c r="AK137" i="121"/>
  <c r="AK76" i="1821" s="1"/>
  <c r="U76" i="1821"/>
  <c r="U71" i="1810"/>
  <c r="AC9" i="121"/>
  <c r="AM9" i="121" s="1"/>
  <c r="Y19" i="121"/>
  <c r="Y126" i="1554"/>
  <c r="Y132" i="1554" s="1"/>
  <c r="Y36" i="121" s="1"/>
  <c r="Y133" i="1554"/>
  <c r="Y37" i="121" s="1"/>
  <c r="Y123" i="1554"/>
  <c r="Y134" i="1554" s="1"/>
  <c r="Y128" i="1554"/>
  <c r="AE740" i="1812"/>
  <c r="AE738" i="1812" s="1"/>
  <c r="AE412" i="1812" s="1"/>
  <c r="AE728" i="1812"/>
  <c r="AE733" i="1812"/>
  <c r="AE731" i="1812" s="1"/>
  <c r="AE410" i="1812" s="1"/>
  <c r="AE735" i="1812"/>
  <c r="AE719" i="1812"/>
  <c r="AE717" i="1812" s="1"/>
  <c r="AE408" i="1812" s="1"/>
  <c r="AE721" i="1812"/>
  <c r="AE742" i="1812"/>
  <c r="AE726" i="1812"/>
  <c r="AE724" i="1812" s="1"/>
  <c r="AE409" i="1812" s="1"/>
  <c r="BE721" i="1812"/>
  <c r="BE726" i="1812"/>
  <c r="BE724" i="1812" s="1"/>
  <c r="BE409" i="1812" s="1"/>
  <c r="BE735" i="1812"/>
  <c r="BE719" i="1812"/>
  <c r="BE717" i="1812" s="1"/>
  <c r="BE408" i="1812" s="1"/>
  <c r="BE740" i="1812"/>
  <c r="BE738" i="1812" s="1"/>
  <c r="BE412" i="1812" s="1"/>
  <c r="BE728" i="1812"/>
  <c r="BE733" i="1812"/>
  <c r="BE731" i="1812" s="1"/>
  <c r="BE410" i="1812" s="1"/>
  <c r="BE742" i="1812"/>
  <c r="AF745" i="1812"/>
  <c r="AG4" i="1812"/>
  <c r="AF227" i="1812"/>
  <c r="AF3" i="1812"/>
  <c r="AF715" i="1812" s="1"/>
  <c r="R40" i="1806"/>
  <c r="R67" i="1806" s="1"/>
  <c r="R39" i="1806"/>
  <c r="R66" i="1806" s="1"/>
  <c r="Q69" i="1806"/>
  <c r="R38" i="1806"/>
  <c r="R65" i="1806" s="1"/>
  <c r="R45" i="1806"/>
  <c r="R41" i="1806"/>
  <c r="R68" i="1806" s="1"/>
  <c r="R47" i="1806"/>
  <c r="U274" i="121"/>
  <c r="Y280" i="121" s="1"/>
  <c r="U252" i="1554"/>
  <c r="AM179" i="1554"/>
  <c r="V222" i="121"/>
  <c r="U274" i="1554"/>
  <c r="V286" i="1554"/>
  <c r="V39" i="1554"/>
  <c r="AM39" i="1554"/>
  <c r="AM40" i="1554"/>
  <c r="V40" i="1554"/>
  <c r="V56" i="121"/>
  <c r="V285" i="1554"/>
  <c r="V40" i="121"/>
  <c r="V34" i="1810" s="1"/>
  <c r="AM38" i="1554"/>
  <c r="V38" i="1554"/>
  <c r="U68" i="121"/>
  <c r="U69" i="121"/>
  <c r="U151" i="121"/>
  <c r="Y157" i="121" s="1"/>
  <c r="Y160" i="121"/>
  <c r="U72" i="121"/>
  <c r="U122" i="121" s="1"/>
  <c r="AL166" i="121"/>
  <c r="Y184" i="121"/>
  <c r="AL184" i="121" s="1"/>
  <c r="U112" i="1554"/>
  <c r="U75" i="121"/>
  <c r="U316" i="121"/>
  <c r="U128" i="121"/>
  <c r="U157" i="1810" s="1"/>
  <c r="U159" i="1810" s="1"/>
  <c r="U211" i="121"/>
  <c r="U366" i="121"/>
  <c r="U217" i="121"/>
  <c r="U116" i="121"/>
  <c r="U222" i="121"/>
  <c r="U121" i="121"/>
  <c r="U317" i="121"/>
  <c r="U171" i="121"/>
  <c r="Y176" i="121" s="1"/>
  <c r="Y27" i="121" s="1"/>
  <c r="U117" i="1554"/>
  <c r="U11" i="121"/>
  <c r="Y21" i="121" s="1"/>
  <c r="U162" i="1554"/>
  <c r="U164" i="1554" s="1"/>
  <c r="U264" i="121"/>
  <c r="Y270" i="121" s="1"/>
  <c r="U150" i="121"/>
  <c r="Y156" i="121" s="1"/>
  <c r="U116" i="1554"/>
  <c r="U173" i="121"/>
  <c r="U175" i="121" s="1"/>
  <c r="U146" i="1554"/>
  <c r="U275" i="121"/>
  <c r="Y281" i="121" s="1"/>
  <c r="U40" i="121"/>
  <c r="U270" i="1554"/>
  <c r="U292" i="1554"/>
  <c r="U49" i="1554"/>
  <c r="U78" i="1554"/>
  <c r="U283" i="1554" s="1"/>
  <c r="U42" i="1554"/>
  <c r="U44" i="1554" s="1"/>
  <c r="V48" i="1583"/>
  <c r="A44" i="1583"/>
  <c r="A43" i="1583"/>
  <c r="A42" i="1583"/>
  <c r="A41" i="1583"/>
  <c r="U43" i="1583"/>
  <c r="T43" i="1583"/>
  <c r="S43" i="1583"/>
  <c r="R43" i="1583"/>
  <c r="Q43" i="1583"/>
  <c r="P43" i="1583"/>
  <c r="O43" i="1583"/>
  <c r="N43" i="1583"/>
  <c r="M43" i="1583"/>
  <c r="L43" i="1583"/>
  <c r="K43" i="1583"/>
  <c r="J43" i="1583"/>
  <c r="I43" i="1583"/>
  <c r="H43" i="1583"/>
  <c r="G43" i="1583"/>
  <c r="U42" i="1583"/>
  <c r="T42" i="1583"/>
  <c r="S42" i="1583"/>
  <c r="R42" i="1583"/>
  <c r="Q42" i="1583"/>
  <c r="P42" i="1583"/>
  <c r="O42" i="1583"/>
  <c r="N42" i="1583"/>
  <c r="M42" i="1583"/>
  <c r="L42" i="1583"/>
  <c r="K42" i="1583"/>
  <c r="J42" i="1583"/>
  <c r="I42" i="1583"/>
  <c r="H42" i="1583"/>
  <c r="G42" i="1583"/>
  <c r="U165" i="1583"/>
  <c r="U147" i="1583"/>
  <c r="U141" i="1583"/>
  <c r="V135" i="1583"/>
  <c r="V50" i="1810" s="1"/>
  <c r="V65" i="1810" s="1"/>
  <c r="U123" i="1583"/>
  <c r="U77" i="1583"/>
  <c r="U48" i="1583"/>
  <c r="AF154" i="1583"/>
  <c r="V136" i="1583"/>
  <c r="V142" i="1583" s="1"/>
  <c r="V33" i="1583"/>
  <c r="U166" i="1583"/>
  <c r="U178" i="1583" s="1"/>
  <c r="U148" i="1583"/>
  <c r="U142" i="1583"/>
  <c r="U124" i="1583"/>
  <c r="U130" i="1583" s="1"/>
  <c r="U49" i="1583"/>
  <c r="U68" i="1583" s="1"/>
  <c r="U113" i="1583" s="1"/>
  <c r="AF741" i="1812"/>
  <c r="AF734" i="1812"/>
  <c r="AF727" i="1812"/>
  <c r="AF720" i="1812"/>
  <c r="U254" i="1554" l="1"/>
  <c r="U95" i="1821"/>
  <c r="U94" i="1821" s="1"/>
  <c r="U97" i="1821"/>
  <c r="U87" i="1821"/>
  <c r="V60" i="1810"/>
  <c r="V55" i="1810"/>
  <c r="V80" i="1810"/>
  <c r="V51" i="1810"/>
  <c r="Y81" i="121"/>
  <c r="U49" i="1810"/>
  <c r="U143" i="1810"/>
  <c r="U35" i="1821"/>
  <c r="U99" i="1821"/>
  <c r="V44" i="1810"/>
  <c r="V36" i="1810"/>
  <c r="Y41" i="121"/>
  <c r="U34" i="1810"/>
  <c r="AC150" i="121"/>
  <c r="AC156" i="121" s="1"/>
  <c r="AC19" i="121"/>
  <c r="AC163" i="121"/>
  <c r="AM163" i="121" s="1"/>
  <c r="Y125" i="1554"/>
  <c r="U177" i="1583"/>
  <c r="Y171" i="1583"/>
  <c r="U85" i="121"/>
  <c r="Y79" i="121"/>
  <c r="U84" i="121"/>
  <c r="Y78" i="121"/>
  <c r="Y131" i="1554"/>
  <c r="Y35" i="121" s="1"/>
  <c r="AG745" i="1812"/>
  <c r="AG3" i="1812"/>
  <c r="AG715" i="1812" s="1"/>
  <c r="AH4" i="1812"/>
  <c r="AG227" i="1812"/>
  <c r="AF721" i="1812"/>
  <c r="AF719" i="1812"/>
  <c r="AF717" i="1812" s="1"/>
  <c r="AF408" i="1812" s="1"/>
  <c r="AF728" i="1812"/>
  <c r="AF726" i="1812"/>
  <c r="AF724" i="1812" s="1"/>
  <c r="AF409" i="1812" s="1"/>
  <c r="AF735" i="1812"/>
  <c r="AF742" i="1812"/>
  <c r="AF733" i="1812"/>
  <c r="AF731" i="1812" s="1"/>
  <c r="AF410" i="1812" s="1"/>
  <c r="AF740" i="1812"/>
  <c r="AF738" i="1812" s="1"/>
  <c r="AF412" i="1812" s="1"/>
  <c r="V49" i="1583"/>
  <c r="V68" i="1583" s="1"/>
  <c r="V130" i="1583"/>
  <c r="R60" i="1806"/>
  <c r="R61" i="1806" s="1"/>
  <c r="R32" i="1806"/>
  <c r="R46" i="1806"/>
  <c r="R69" i="1806"/>
  <c r="V47" i="121"/>
  <c r="V45" i="121" s="1"/>
  <c r="V60" i="121" s="1"/>
  <c r="U47" i="121"/>
  <c r="U307" i="121"/>
  <c r="U299" i="121"/>
  <c r="U298" i="121"/>
  <c r="U276" i="1554"/>
  <c r="V278" i="1554" s="1"/>
  <c r="U91" i="121"/>
  <c r="Y92" i="121" s="1"/>
  <c r="U129" i="1583"/>
  <c r="V42" i="1554"/>
  <c r="V44" i="1554" s="1"/>
  <c r="V51" i="1554" s="1"/>
  <c r="V52" i="1554" s="1"/>
  <c r="V53" i="1554" s="1"/>
  <c r="V56" i="1554" s="1"/>
  <c r="AM42" i="1554"/>
  <c r="AM44" i="1554" s="1"/>
  <c r="AM51" i="1554" s="1"/>
  <c r="V42" i="121"/>
  <c r="V61" i="121"/>
  <c r="Z51" i="121"/>
  <c r="X348" i="121"/>
  <c r="W348" i="121"/>
  <c r="U318" i="121"/>
  <c r="Z163" i="121"/>
  <c r="Z19" i="121"/>
  <c r="Z150" i="121"/>
  <c r="AD156" i="121" s="1"/>
  <c r="U152" i="121"/>
  <c r="Y158" i="121" s="1"/>
  <c r="U118" i="1554"/>
  <c r="E18" i="1806"/>
  <c r="E15" i="1806" s="1"/>
  <c r="U368" i="121"/>
  <c r="C10" i="1806"/>
  <c r="C11" i="1806" s="1"/>
  <c r="U51" i="1554"/>
  <c r="U52" i="1554" s="1"/>
  <c r="U53" i="1554" s="1"/>
  <c r="U56" i="1554" s="1"/>
  <c r="U12" i="121"/>
  <c r="U276" i="121"/>
  <c r="Y282" i="121" s="1"/>
  <c r="U148" i="1554"/>
  <c r="U167" i="121" s="1"/>
  <c r="U165" i="121"/>
  <c r="U166" i="1554"/>
  <c r="V43" i="1583"/>
  <c r="V42" i="1583"/>
  <c r="V147" i="1583"/>
  <c r="V77" i="1583"/>
  <c r="V165" i="1583"/>
  <c r="V141" i="1583"/>
  <c r="U78" i="1583"/>
  <c r="V166" i="1583"/>
  <c r="V178" i="1583" s="1"/>
  <c r="V148" i="1583"/>
  <c r="L8" i="1541"/>
  <c r="L20" i="1541" s="1"/>
  <c r="L22" i="1541" s="1"/>
  <c r="R8" i="1541"/>
  <c r="R173" i="1541" s="1"/>
  <c r="X8" i="1541"/>
  <c r="X173" i="1541" s="1"/>
  <c r="AB12" i="1541"/>
  <c r="AB11" i="1541" s="1"/>
  <c r="Z168" i="1541"/>
  <c r="AA168" i="1541" s="1"/>
  <c r="AA171" i="1541"/>
  <c r="AA10" i="1541" s="1"/>
  <c r="AB170" i="1541"/>
  <c r="AC170" i="1541" s="1"/>
  <c r="AC12" i="1541"/>
  <c r="AC11" i="1541" s="1"/>
  <c r="Z169" i="1541"/>
  <c r="W169" i="1541" s="1"/>
  <c r="X169" i="1541" s="1"/>
  <c r="AF12" i="1541"/>
  <c r="AF11" i="1541" s="1"/>
  <c r="AF171" i="1541"/>
  <c r="AF10" i="1541" s="1"/>
  <c r="AG11" i="1541"/>
  <c r="AG9" i="1541" s="1"/>
  <c r="AG8" i="1541" s="1"/>
  <c r="AH11" i="1541"/>
  <c r="AH9" i="1541" s="1"/>
  <c r="AI11" i="1541"/>
  <c r="AI9" i="1541" s="1"/>
  <c r="AL11" i="1541"/>
  <c r="AL9" i="1541" s="1"/>
  <c r="AM11" i="1541"/>
  <c r="AM9" i="1541" s="1"/>
  <c r="AN11" i="1541"/>
  <c r="AN9" i="1541" s="1"/>
  <c r="AO11" i="1541"/>
  <c r="AO9" i="1541" s="1"/>
  <c r="F9" i="1541"/>
  <c r="F11" i="1541" s="1"/>
  <c r="N9" i="1541"/>
  <c r="N11" i="1541" s="1"/>
  <c r="O9" i="1541"/>
  <c r="O11" i="1541" s="1"/>
  <c r="P9" i="1541"/>
  <c r="P11" i="1541" s="1"/>
  <c r="Q9" i="1541"/>
  <c r="Q11" i="1541" s="1"/>
  <c r="T9" i="1541"/>
  <c r="T11" i="1541" s="1"/>
  <c r="U9" i="1541"/>
  <c r="V9" i="1541"/>
  <c r="W9" i="1541"/>
  <c r="Z9" i="1541"/>
  <c r="AA9" i="1541"/>
  <c r="U10" i="1541"/>
  <c r="V10" i="1541"/>
  <c r="Z171" i="1541"/>
  <c r="Z10" i="1541" s="1"/>
  <c r="V12" i="1541"/>
  <c r="W12" i="1541"/>
  <c r="Z12" i="1541"/>
  <c r="AA12" i="1541"/>
  <c r="I14" i="1541"/>
  <c r="J14" i="1541"/>
  <c r="K14" i="1541"/>
  <c r="N14" i="1541"/>
  <c r="O14" i="1541"/>
  <c r="P14" i="1541"/>
  <c r="Q14" i="1541"/>
  <c r="T14" i="1541"/>
  <c r="U14" i="1541"/>
  <c r="V14" i="1541"/>
  <c r="W14" i="1541"/>
  <c r="Z14" i="1541"/>
  <c r="AA14" i="1541"/>
  <c r="R16" i="1541"/>
  <c r="X16" i="1541"/>
  <c r="V17" i="1541"/>
  <c r="V18" i="1541" s="1"/>
  <c r="W17" i="1541"/>
  <c r="Z17" i="1541"/>
  <c r="AF17" i="1541" s="1"/>
  <c r="AL17" i="1541" s="1"/>
  <c r="AA17" i="1541"/>
  <c r="AG17" i="1541" s="1"/>
  <c r="T17" i="1541"/>
  <c r="T18" i="1541" s="1"/>
  <c r="U17" i="1541"/>
  <c r="U18" i="1541" s="1"/>
  <c r="N20" i="1541"/>
  <c r="N22" i="1541" s="1"/>
  <c r="O20" i="1541"/>
  <c r="P20" i="1541"/>
  <c r="Q20" i="1541"/>
  <c r="Q22" i="1541" s="1"/>
  <c r="T20" i="1541"/>
  <c r="T22" i="1541" s="1"/>
  <c r="U20" i="1541"/>
  <c r="U22" i="1541" s="1"/>
  <c r="V20" i="1541"/>
  <c r="V22" i="1541" s="1"/>
  <c r="W20" i="1541"/>
  <c r="W22" i="1541" s="1"/>
  <c r="Z20" i="1541"/>
  <c r="Z22" i="1541" s="1"/>
  <c r="AA20" i="1541"/>
  <c r="AA22" i="1541" s="1"/>
  <c r="R25" i="1541"/>
  <c r="X25" i="1541"/>
  <c r="V26" i="1541"/>
  <c r="AB26" i="1541" s="1"/>
  <c r="W26" i="1541"/>
  <c r="W27" i="1541" s="1"/>
  <c r="Z26" i="1541"/>
  <c r="AF26" i="1541" s="1"/>
  <c r="AL26" i="1541" s="1"/>
  <c r="AA26" i="1541"/>
  <c r="AG26" i="1541" s="1"/>
  <c r="T26" i="1541"/>
  <c r="T27" i="1541" s="1"/>
  <c r="U26" i="1541"/>
  <c r="U27" i="1541" s="1"/>
  <c r="R29" i="1541"/>
  <c r="X29" i="1541"/>
  <c r="V30" i="1541"/>
  <c r="AB30" i="1541" s="1"/>
  <c r="W30" i="1541"/>
  <c r="W31" i="1541" s="1"/>
  <c r="Z30" i="1541"/>
  <c r="AA30" i="1541"/>
  <c r="AG30" i="1541" s="1"/>
  <c r="AM30" i="1541" s="1"/>
  <c r="T30" i="1541"/>
  <c r="T31" i="1541" s="1"/>
  <c r="U30" i="1541"/>
  <c r="L33" i="1541"/>
  <c r="L201" i="1541" s="1"/>
  <c r="N33" i="1541"/>
  <c r="N35" i="1541" s="1"/>
  <c r="O33" i="1541"/>
  <c r="O50" i="1541" s="1"/>
  <c r="P33" i="1541"/>
  <c r="P35" i="1541" s="1"/>
  <c r="Q33" i="1541"/>
  <c r="W34" i="1541" s="1"/>
  <c r="T33" i="1541"/>
  <c r="Z34" i="1541" s="1"/>
  <c r="F34" i="1541"/>
  <c r="AA34" i="1541"/>
  <c r="D35" i="1541"/>
  <c r="F35" i="1541"/>
  <c r="U35" i="1541"/>
  <c r="V35" i="1541"/>
  <c r="W35" i="1541"/>
  <c r="Z35" i="1541"/>
  <c r="AA35" i="1541"/>
  <c r="AA37" i="1541"/>
  <c r="L39" i="1541"/>
  <c r="L181" i="1541" s="1"/>
  <c r="R39" i="1541"/>
  <c r="X39" i="1541"/>
  <c r="X181" i="1541" s="1"/>
  <c r="AA182" i="1541"/>
  <c r="AB182" i="1541" s="1"/>
  <c r="AC182" i="1541" s="1"/>
  <c r="U40" i="1541"/>
  <c r="U50" i="1541" s="1"/>
  <c r="U52" i="1541" s="1"/>
  <c r="V40" i="1541"/>
  <c r="W40" i="1541"/>
  <c r="Z40" i="1541"/>
  <c r="AA40" i="1541"/>
  <c r="L43" i="1541"/>
  <c r="R43" i="1541"/>
  <c r="X43" i="1541"/>
  <c r="AD43" i="1541"/>
  <c r="AF43" i="1541"/>
  <c r="AG43" i="1541" s="1"/>
  <c r="L44" i="1541"/>
  <c r="R44" i="1541"/>
  <c r="X44" i="1541"/>
  <c r="AD44" i="1541"/>
  <c r="AJ44" i="1541"/>
  <c r="AP44" i="1541"/>
  <c r="L45" i="1541"/>
  <c r="R45" i="1541"/>
  <c r="X45" i="1541"/>
  <c r="AD45" i="1541"/>
  <c r="AJ45" i="1541"/>
  <c r="AP45" i="1541"/>
  <c r="L46" i="1541"/>
  <c r="R46" i="1541"/>
  <c r="X46" i="1541"/>
  <c r="AB46" i="1541"/>
  <c r="AC46" i="1541" s="1"/>
  <c r="AD46" i="1541" s="1"/>
  <c r="AJ46" i="1541"/>
  <c r="AP46" i="1541"/>
  <c r="L47" i="1541"/>
  <c r="R47" i="1541"/>
  <c r="X47" i="1541"/>
  <c r="AD47" i="1541"/>
  <c r="AF47" i="1541"/>
  <c r="AG47" i="1541" s="1"/>
  <c r="AH47" i="1541" s="1"/>
  <c r="AI47" i="1541" s="1"/>
  <c r="AL47" i="1541" s="1"/>
  <c r="L48" i="1541"/>
  <c r="R48" i="1541"/>
  <c r="X48" i="1541"/>
  <c r="AD48" i="1541"/>
  <c r="AJ48" i="1541"/>
  <c r="AP48" i="1541"/>
  <c r="L49" i="1541"/>
  <c r="R49" i="1541"/>
  <c r="X49" i="1541"/>
  <c r="AD49" i="1541"/>
  <c r="AJ49" i="1541"/>
  <c r="AP49" i="1541"/>
  <c r="H50" i="1541"/>
  <c r="H53" i="1541" s="1"/>
  <c r="I50" i="1541"/>
  <c r="I53" i="1541" s="1"/>
  <c r="J50" i="1541"/>
  <c r="J53" i="1541" s="1"/>
  <c r="K50" i="1541"/>
  <c r="K53" i="1541" s="1"/>
  <c r="V50" i="1541"/>
  <c r="V63" i="1541" s="1"/>
  <c r="W50" i="1541"/>
  <c r="W52" i="1541" s="1"/>
  <c r="Z50" i="1541"/>
  <c r="Z52" i="1541" s="1"/>
  <c r="AA50" i="1541"/>
  <c r="AA53" i="1541" s="1"/>
  <c r="L51" i="1541"/>
  <c r="R51" i="1541"/>
  <c r="X51" i="1541"/>
  <c r="L57" i="1541"/>
  <c r="R57" i="1541"/>
  <c r="X57" i="1541"/>
  <c r="AD57" i="1541"/>
  <c r="AF57" i="1541"/>
  <c r="AG57" i="1541" s="1"/>
  <c r="L58" i="1541"/>
  <c r="L177" i="1541" s="1"/>
  <c r="L179" i="1541" s="1"/>
  <c r="R58" i="1541"/>
  <c r="R177" i="1541" s="1"/>
  <c r="X58" i="1541"/>
  <c r="X177" i="1541" s="1"/>
  <c r="AD58" i="1541"/>
  <c r="AD177" i="1541" s="1"/>
  <c r="AJ58" i="1541"/>
  <c r="AJ177" i="1541" s="1"/>
  <c r="AJ179" i="1541" s="1"/>
  <c r="AJ188" i="1541" s="1"/>
  <c r="AP58" i="1541"/>
  <c r="AP177" i="1541" s="1"/>
  <c r="AP179" i="1541" s="1"/>
  <c r="AP188" i="1541" s="1"/>
  <c r="H59" i="1541"/>
  <c r="I59" i="1541"/>
  <c r="J59" i="1541"/>
  <c r="K59" i="1541"/>
  <c r="R59" i="1541"/>
  <c r="X59" i="1541"/>
  <c r="Z59" i="1541"/>
  <c r="AA59" i="1541"/>
  <c r="AB59" i="1541"/>
  <c r="AC59" i="1541"/>
  <c r="J60" i="1541"/>
  <c r="K60" i="1541"/>
  <c r="R60" i="1541"/>
  <c r="X60" i="1541"/>
  <c r="Z60" i="1541"/>
  <c r="AA60" i="1541"/>
  <c r="AB60" i="1541"/>
  <c r="AC60" i="1541"/>
  <c r="AF60" i="1541"/>
  <c r="AG60" i="1541"/>
  <c r="AH60" i="1541"/>
  <c r="AI60" i="1541"/>
  <c r="AL60" i="1541"/>
  <c r="AM60" i="1541"/>
  <c r="AN60" i="1541"/>
  <c r="AO60" i="1541"/>
  <c r="R61" i="1541"/>
  <c r="X61" i="1541"/>
  <c r="AA61" i="1541"/>
  <c r="AD61" i="1541" s="1"/>
  <c r="AJ61" i="1541"/>
  <c r="AP61" i="1541"/>
  <c r="H62" i="1541"/>
  <c r="I62" i="1541"/>
  <c r="J62" i="1541"/>
  <c r="K62" i="1541"/>
  <c r="R62" i="1541"/>
  <c r="X62" i="1541"/>
  <c r="AD62" i="1541"/>
  <c r="AJ62" i="1541"/>
  <c r="AP62" i="1541"/>
  <c r="L64" i="1541"/>
  <c r="R64" i="1541"/>
  <c r="X64" i="1541"/>
  <c r="H71" i="1541"/>
  <c r="N72" i="1541" s="1"/>
  <c r="I71" i="1541"/>
  <c r="O72" i="1541" s="1"/>
  <c r="J71" i="1541"/>
  <c r="P72" i="1541" s="1"/>
  <c r="K71" i="1541"/>
  <c r="Q72" i="1541" s="1"/>
  <c r="X71" i="1541"/>
  <c r="X72" i="1541" s="1"/>
  <c r="AB71" i="1541"/>
  <c r="AB72" i="1541" s="1"/>
  <c r="T72" i="1541"/>
  <c r="U72" i="1541"/>
  <c r="V72" i="1541"/>
  <c r="W72" i="1541"/>
  <c r="Z72" i="1541"/>
  <c r="AA72" i="1541"/>
  <c r="H74" i="1541"/>
  <c r="H75" i="1541" s="1"/>
  <c r="I74" i="1541"/>
  <c r="I75" i="1541" s="1"/>
  <c r="J74" i="1541"/>
  <c r="J75" i="1541" s="1"/>
  <c r="K74" i="1541"/>
  <c r="K75" i="1541" s="1"/>
  <c r="U74" i="1541"/>
  <c r="U75" i="1541" s="1"/>
  <c r="V74" i="1541"/>
  <c r="V75" i="1541" s="1"/>
  <c r="W74" i="1541"/>
  <c r="W75" i="1541" s="1"/>
  <c r="Z74" i="1541"/>
  <c r="Z75" i="1541" s="1"/>
  <c r="AA74" i="1541"/>
  <c r="AA75" i="1541" s="1"/>
  <c r="R80" i="1541"/>
  <c r="R199" i="1541" s="1"/>
  <c r="X80" i="1541"/>
  <c r="X199" i="1541" s="1"/>
  <c r="AA149" i="1541"/>
  <c r="AB149" i="1541" s="1"/>
  <c r="AB83" i="1541"/>
  <c r="AB141" i="1541" s="1"/>
  <c r="AA142" i="1541"/>
  <c r="P326" i="1554" s="1"/>
  <c r="AA143" i="1541"/>
  <c r="AA174" i="1541" s="1"/>
  <c r="AB174" i="1541" s="1"/>
  <c r="AA192" i="1541"/>
  <c r="AB192" i="1541" s="1"/>
  <c r="AC192" i="1541" s="1"/>
  <c r="AF192" i="1541" s="1"/>
  <c r="AG192" i="1541" s="1"/>
  <c r="AH192" i="1541" s="1"/>
  <c r="AI192" i="1541" s="1"/>
  <c r="AL192" i="1541" s="1"/>
  <c r="AM192" i="1541" s="1"/>
  <c r="AN192" i="1541" s="1"/>
  <c r="AO192" i="1541" s="1"/>
  <c r="V194" i="1541"/>
  <c r="AB194" i="1541" s="1"/>
  <c r="AH194" i="1541" s="1"/>
  <c r="AN194" i="1541" s="1"/>
  <c r="AA195" i="1541"/>
  <c r="AB195" i="1541" s="1"/>
  <c r="AC195" i="1541" s="1"/>
  <c r="AA196" i="1541"/>
  <c r="AB196" i="1541" s="1"/>
  <c r="AC196" i="1541" s="1"/>
  <c r="AF196" i="1541" s="1"/>
  <c r="AG196" i="1541" s="1"/>
  <c r="AA193" i="1541"/>
  <c r="AB193" i="1541" s="1"/>
  <c r="AC193" i="1541" s="1"/>
  <c r="AF193" i="1541" s="1"/>
  <c r="AG193" i="1541" s="1"/>
  <c r="AB103" i="1541"/>
  <c r="AA123" i="1541"/>
  <c r="AB123" i="1541" s="1"/>
  <c r="AC123" i="1541" s="1"/>
  <c r="AB111" i="1541"/>
  <c r="AB92" i="1541"/>
  <c r="AC92" i="1541" s="1"/>
  <c r="AD92" i="1541" s="1"/>
  <c r="AB126" i="1541"/>
  <c r="AT153" i="1541"/>
  <c r="Z155" i="1541"/>
  <c r="Z156" i="1541" s="1"/>
  <c r="AA141" i="1541"/>
  <c r="P322" i="1554" s="1"/>
  <c r="AA144" i="1541"/>
  <c r="AD144" i="1541" s="1"/>
  <c r="AA131" i="1541"/>
  <c r="P311" i="1554" s="1"/>
  <c r="AA132" i="1541"/>
  <c r="P312" i="1554" s="1"/>
  <c r="AA134" i="1541"/>
  <c r="P315" i="1554" s="1"/>
  <c r="AA135" i="1541"/>
  <c r="P314" i="1554" s="1"/>
  <c r="AA136" i="1541"/>
  <c r="P316" i="1554" s="1"/>
  <c r="AT137" i="1541"/>
  <c r="AT139" i="1541" s="1"/>
  <c r="Z137" i="1541"/>
  <c r="Z139" i="1541" s="1"/>
  <c r="AA138" i="1541"/>
  <c r="AD138" i="1541" s="1"/>
  <c r="AA121" i="1541"/>
  <c r="P302" i="1554" s="1"/>
  <c r="AA122" i="1541"/>
  <c r="AD122" i="1541" s="1"/>
  <c r="AA124" i="1541"/>
  <c r="AD124" i="1541" s="1"/>
  <c r="AA125" i="1541"/>
  <c r="P306" i="1554" s="1"/>
  <c r="AA126" i="1541"/>
  <c r="P307" i="1554" s="1"/>
  <c r="AA127" i="1541"/>
  <c r="P308" i="1554" s="1"/>
  <c r="AA128" i="1541"/>
  <c r="AD128" i="1541" s="1"/>
  <c r="AA129" i="1541"/>
  <c r="AD129" i="1541" s="1"/>
  <c r="AA120" i="1541"/>
  <c r="P301" i="1554" s="1"/>
  <c r="AA158" i="1541"/>
  <c r="AD158" i="1541" s="1"/>
  <c r="Z145" i="1541"/>
  <c r="U147" i="1541"/>
  <c r="V147" i="1541" s="1"/>
  <c r="W147" i="1541" s="1"/>
  <c r="X148" i="1541"/>
  <c r="AR148" i="1541"/>
  <c r="U148" i="1541" s="1"/>
  <c r="AS148" i="1541"/>
  <c r="U149" i="1541"/>
  <c r="V149" i="1541" s="1"/>
  <c r="W149" i="1541" s="1"/>
  <c r="U150" i="1541"/>
  <c r="V150" i="1541" s="1"/>
  <c r="U151" i="1541"/>
  <c r="V151" i="1541" s="1"/>
  <c r="U152" i="1541"/>
  <c r="V152" i="1541" s="1"/>
  <c r="U153" i="1541"/>
  <c r="V153" i="1541" s="1"/>
  <c r="W153" i="1541" s="1"/>
  <c r="X155" i="1541"/>
  <c r="AR155" i="1541"/>
  <c r="U155" i="1541" s="1"/>
  <c r="AS155" i="1541"/>
  <c r="U141" i="1541"/>
  <c r="V141" i="1541" s="1"/>
  <c r="U142" i="1541"/>
  <c r="L326" i="1554" s="1"/>
  <c r="U143" i="1541"/>
  <c r="V143" i="1541" s="1"/>
  <c r="W143" i="1541" s="1"/>
  <c r="W174" i="1541" s="1"/>
  <c r="U144" i="1541"/>
  <c r="V144" i="1541" s="1"/>
  <c r="M323" i="1554" s="1"/>
  <c r="M138" i="121" s="1"/>
  <c r="M152" i="1810" s="1"/>
  <c r="M154" i="1810" s="1"/>
  <c r="M77" i="1821" s="1"/>
  <c r="U131" i="1541"/>
  <c r="V131" i="1541" s="1"/>
  <c r="M311" i="1554" s="1"/>
  <c r="U132" i="1541"/>
  <c r="V132" i="1541" s="1"/>
  <c r="U133" i="1541"/>
  <c r="V133" i="1541" s="1"/>
  <c r="M313" i="1554" s="1"/>
  <c r="U134" i="1541"/>
  <c r="V134" i="1541" s="1"/>
  <c r="U135" i="1541"/>
  <c r="V135" i="1541" s="1"/>
  <c r="M314" i="1554" s="1"/>
  <c r="U136" i="1541"/>
  <c r="L316" i="1554" s="1"/>
  <c r="U137" i="1541"/>
  <c r="U138" i="1541"/>
  <c r="V138" i="1541" s="1"/>
  <c r="M318" i="1554" s="1"/>
  <c r="U121" i="1541"/>
  <c r="V121" i="1541" s="1"/>
  <c r="W121" i="1541" s="1"/>
  <c r="N302" i="1554" s="1"/>
  <c r="U122" i="1541"/>
  <c r="V122" i="1541" s="1"/>
  <c r="M303" i="1554" s="1"/>
  <c r="U123" i="1541"/>
  <c r="V123" i="1541" s="1"/>
  <c r="W123" i="1541" s="1"/>
  <c r="N304" i="1554" s="1"/>
  <c r="U124" i="1541"/>
  <c r="V124" i="1541" s="1"/>
  <c r="W124" i="1541" s="1"/>
  <c r="N305" i="1554" s="1"/>
  <c r="U125" i="1541"/>
  <c r="V125" i="1541" s="1"/>
  <c r="M306" i="1554" s="1"/>
  <c r="U126" i="1541"/>
  <c r="L307" i="1554" s="1"/>
  <c r="U127" i="1541"/>
  <c r="V127" i="1541" s="1"/>
  <c r="U128" i="1541"/>
  <c r="V128" i="1541" s="1"/>
  <c r="M309" i="1554" s="1"/>
  <c r="U129" i="1541"/>
  <c r="V129" i="1541" s="1"/>
  <c r="M310" i="1554" s="1"/>
  <c r="U120" i="1541"/>
  <c r="V120" i="1541" s="1"/>
  <c r="U158" i="1541"/>
  <c r="L351" i="1554" s="1"/>
  <c r="Q161" i="1541"/>
  <c r="R161" i="1541" s="1"/>
  <c r="T159" i="1541" s="1"/>
  <c r="AB81" i="1541"/>
  <c r="AC81" i="1541" s="1"/>
  <c r="AD81" i="1541" s="1"/>
  <c r="AF81" i="1541" s="1"/>
  <c r="AG81" i="1541" s="1"/>
  <c r="AH81" i="1541" s="1"/>
  <c r="AI81" i="1541" s="1"/>
  <c r="AJ81" i="1541" s="1"/>
  <c r="AL81" i="1541" s="1"/>
  <c r="AM81" i="1541" s="1"/>
  <c r="AN81" i="1541" s="1"/>
  <c r="AO81" i="1541" s="1"/>
  <c r="AP81" i="1541" s="1"/>
  <c r="W194" i="1541"/>
  <c r="AC194" i="1541" s="1"/>
  <c r="AI194" i="1541" s="1"/>
  <c r="AO194" i="1541" s="1"/>
  <c r="AC126" i="1541"/>
  <c r="Z194" i="1541"/>
  <c r="AF194" i="1541" s="1"/>
  <c r="AL194" i="1541" s="1"/>
  <c r="AG173" i="1541"/>
  <c r="AH173" i="1541" s="1"/>
  <c r="AI173" i="1541" s="1"/>
  <c r="AG174" i="1541"/>
  <c r="AH174" i="1541" s="1"/>
  <c r="AA194" i="1541"/>
  <c r="AG194" i="1541" s="1"/>
  <c r="AM194" i="1541" s="1"/>
  <c r="AM173" i="1541"/>
  <c r="AN173" i="1541" s="1"/>
  <c r="R81" i="1541"/>
  <c r="X81" i="1541"/>
  <c r="R82" i="1541"/>
  <c r="X82" i="1541"/>
  <c r="R83" i="1541"/>
  <c r="X83" i="1541"/>
  <c r="R84" i="1541"/>
  <c r="X84" i="1541"/>
  <c r="AB84" i="1541"/>
  <c r="AC84" i="1541" s="1"/>
  <c r="AD84" i="1541" s="1"/>
  <c r="AF84" i="1541" s="1"/>
  <c r="AG84" i="1541" s="1"/>
  <c r="AH84" i="1541" s="1"/>
  <c r="AI84" i="1541" s="1"/>
  <c r="AJ84" i="1541" s="1"/>
  <c r="AL84" i="1541" s="1"/>
  <c r="AM84" i="1541" s="1"/>
  <c r="AN84" i="1541" s="1"/>
  <c r="AO84" i="1541" s="1"/>
  <c r="AP84" i="1541" s="1"/>
  <c r="R85" i="1541"/>
  <c r="X85" i="1541"/>
  <c r="N86" i="1541"/>
  <c r="N94" i="1541" s="1"/>
  <c r="O86" i="1541"/>
  <c r="O94" i="1541" s="1"/>
  <c r="P86" i="1541"/>
  <c r="P94" i="1541" s="1"/>
  <c r="Q86" i="1541"/>
  <c r="R86" i="1541" s="1"/>
  <c r="T86" i="1541"/>
  <c r="T94" i="1541" s="1"/>
  <c r="U86" i="1541"/>
  <c r="U94" i="1541" s="1"/>
  <c r="V86" i="1541"/>
  <c r="V94" i="1541" s="1"/>
  <c r="W86" i="1541"/>
  <c r="W94" i="1541" s="1"/>
  <c r="X94" i="1541" s="1"/>
  <c r="Z86" i="1541"/>
  <c r="Z94" i="1541" s="1"/>
  <c r="AA86" i="1541"/>
  <c r="AA94" i="1541" s="1"/>
  <c r="R88" i="1541"/>
  <c r="X185" i="1541" s="1"/>
  <c r="X88" i="1541"/>
  <c r="X189" i="1541" s="1"/>
  <c r="AA189" i="1541"/>
  <c r="AA190" i="1541" s="1"/>
  <c r="AB177" i="1541"/>
  <c r="Z178" i="1541"/>
  <c r="AA178" i="1541" s="1"/>
  <c r="AB178" i="1541" s="1"/>
  <c r="AC177" i="1541"/>
  <c r="Z186" i="1541"/>
  <c r="Z181" i="1541"/>
  <c r="Z177" i="1541"/>
  <c r="AA181" i="1541"/>
  <c r="AA177" i="1541"/>
  <c r="AF177" i="1541"/>
  <c r="AF178" i="1541"/>
  <c r="AG178" i="1541" s="1"/>
  <c r="AH178" i="1541" s="1"/>
  <c r="AG177" i="1541"/>
  <c r="AH177" i="1541"/>
  <c r="AI177" i="1541"/>
  <c r="AL177" i="1541"/>
  <c r="AL178" i="1541"/>
  <c r="AM178" i="1541" s="1"/>
  <c r="AM177" i="1541"/>
  <c r="AN177" i="1541"/>
  <c r="AO177" i="1541"/>
  <c r="R89" i="1541"/>
  <c r="X89" i="1541"/>
  <c r="AB89" i="1541"/>
  <c r="AC89" i="1541" s="1"/>
  <c r="AD89" i="1541" s="1"/>
  <c r="AF89" i="1541" s="1"/>
  <c r="AG89" i="1541" s="1"/>
  <c r="AH89" i="1541" s="1"/>
  <c r="AI89" i="1541" s="1"/>
  <c r="AJ89" i="1541" s="1"/>
  <c r="AL89" i="1541" s="1"/>
  <c r="AM89" i="1541" s="1"/>
  <c r="AN89" i="1541" s="1"/>
  <c r="AO89" i="1541" s="1"/>
  <c r="AP89" i="1541" s="1"/>
  <c r="R90" i="1541"/>
  <c r="X90" i="1541"/>
  <c r="R91" i="1541"/>
  <c r="X91" i="1541"/>
  <c r="R92" i="1541"/>
  <c r="X92" i="1541"/>
  <c r="R93" i="1541"/>
  <c r="X93" i="1541"/>
  <c r="AB93" i="1541"/>
  <c r="AC93" i="1541" s="1"/>
  <c r="AD93" i="1541" s="1"/>
  <c r="AF93" i="1541" s="1"/>
  <c r="AG93" i="1541" s="1"/>
  <c r="AH93" i="1541" s="1"/>
  <c r="AI93" i="1541" s="1"/>
  <c r="AJ93" i="1541" s="1"/>
  <c r="AL93" i="1541" s="1"/>
  <c r="AM93" i="1541" s="1"/>
  <c r="AN93" i="1541" s="1"/>
  <c r="AO93" i="1541" s="1"/>
  <c r="AP93" i="1541" s="1"/>
  <c r="L94" i="1541"/>
  <c r="M94" i="1541"/>
  <c r="R96" i="1541"/>
  <c r="X96" i="1541"/>
  <c r="R97" i="1541"/>
  <c r="X97" i="1541"/>
  <c r="R98" i="1541"/>
  <c r="X98" i="1541"/>
  <c r="R99" i="1541"/>
  <c r="X99" i="1541"/>
  <c r="R100" i="1541"/>
  <c r="X100" i="1541"/>
  <c r="R101" i="1541"/>
  <c r="X101" i="1541"/>
  <c r="X102" i="1541"/>
  <c r="R103" i="1541"/>
  <c r="X103" i="1541"/>
  <c r="R104" i="1541"/>
  <c r="X104" i="1541"/>
  <c r="Z104" i="1541"/>
  <c r="Z106" i="1541" s="1"/>
  <c r="AA104" i="1541"/>
  <c r="AB104" i="1541" s="1"/>
  <c r="AC104" i="1541" s="1"/>
  <c r="AD104" i="1541" s="1"/>
  <c r="AF104" i="1541" s="1"/>
  <c r="AG104" i="1541" s="1"/>
  <c r="AH104" i="1541" s="1"/>
  <c r="AI104" i="1541" s="1"/>
  <c r="AJ104" i="1541" s="1"/>
  <c r="AL104" i="1541" s="1"/>
  <c r="AM104" i="1541" s="1"/>
  <c r="AN104" i="1541" s="1"/>
  <c r="AO104" i="1541" s="1"/>
  <c r="AP104" i="1541" s="1"/>
  <c r="R105" i="1541"/>
  <c r="V105" i="1541"/>
  <c r="V106" i="1541" s="1"/>
  <c r="V113" i="1541" s="1"/>
  <c r="V116" i="1541" s="1"/>
  <c r="M254" i="1554" s="1"/>
  <c r="X105" i="1541"/>
  <c r="AA105" i="1541"/>
  <c r="AA198" i="1541" s="1"/>
  <c r="L106" i="1541"/>
  <c r="L113" i="1541" s="1"/>
  <c r="L116" i="1541" s="1"/>
  <c r="F254" i="1554" s="1"/>
  <c r="AI254" i="1554" s="1"/>
  <c r="M106" i="1541"/>
  <c r="M113" i="1541" s="1"/>
  <c r="M116" i="1541" s="1"/>
  <c r="N106" i="1541"/>
  <c r="N113" i="1541" s="1"/>
  <c r="N116" i="1541" s="1"/>
  <c r="G254" i="1554" s="1"/>
  <c r="O106" i="1541"/>
  <c r="O113" i="1541" s="1"/>
  <c r="O116" i="1541" s="1"/>
  <c r="P106" i="1541"/>
  <c r="P113" i="1541" s="1"/>
  <c r="P116" i="1541" s="1"/>
  <c r="I254" i="1554" s="1"/>
  <c r="Q106" i="1541"/>
  <c r="Q113" i="1541" s="1"/>
  <c r="Q116" i="1541" s="1"/>
  <c r="J254" i="1554" s="1"/>
  <c r="AJ254" i="1554" s="1"/>
  <c r="T106" i="1541"/>
  <c r="T113" i="1541" s="1"/>
  <c r="T116" i="1541" s="1"/>
  <c r="U106" i="1541"/>
  <c r="U113" i="1541" s="1"/>
  <c r="U116" i="1541" s="1"/>
  <c r="L254" i="1554" s="1"/>
  <c r="W106" i="1541"/>
  <c r="W113" i="1541" s="1"/>
  <c r="W116" i="1541" s="1"/>
  <c r="N254" i="1554" s="1"/>
  <c r="AK254" i="1554" s="1"/>
  <c r="R108" i="1541"/>
  <c r="V108" i="1541"/>
  <c r="W108" i="1541"/>
  <c r="X108" i="1541" s="1"/>
  <c r="AD108" i="1541"/>
  <c r="R109" i="1541"/>
  <c r="X109" i="1541"/>
  <c r="AB110" i="1541"/>
  <c r="AC110" i="1541" s="1"/>
  <c r="AD110" i="1541" s="1"/>
  <c r="R111" i="1541"/>
  <c r="X111" i="1541"/>
  <c r="R112" i="1541"/>
  <c r="X112" i="1541"/>
  <c r="Z112" i="1541"/>
  <c r="O251" i="1554" s="1"/>
  <c r="AA112" i="1541"/>
  <c r="AB112" i="1541" s="1"/>
  <c r="AC112" i="1541" s="1"/>
  <c r="AD112" i="1541" s="1"/>
  <c r="AF112" i="1541" s="1"/>
  <c r="AG112" i="1541" s="1"/>
  <c r="AH112" i="1541" s="1"/>
  <c r="AI112" i="1541" s="1"/>
  <c r="AJ112" i="1541" s="1"/>
  <c r="AL112" i="1541" s="1"/>
  <c r="AM112" i="1541" s="1"/>
  <c r="AN112" i="1541" s="1"/>
  <c r="AO112" i="1541" s="1"/>
  <c r="AP112" i="1541" s="1"/>
  <c r="R115" i="1541"/>
  <c r="X115" i="1541"/>
  <c r="AJ122" i="1541"/>
  <c r="AP122" i="1541"/>
  <c r="AJ124" i="1541"/>
  <c r="AP124" i="1541"/>
  <c r="AJ127" i="1541"/>
  <c r="AP127" i="1541"/>
  <c r="AJ128" i="1541"/>
  <c r="AP128" i="1541"/>
  <c r="AJ129" i="1541"/>
  <c r="AP129" i="1541"/>
  <c r="AD133" i="1541"/>
  <c r="AJ133" i="1541"/>
  <c r="AP133" i="1541"/>
  <c r="AJ137" i="1541"/>
  <c r="AP137" i="1541"/>
  <c r="AJ138" i="1541"/>
  <c r="AP138" i="1541"/>
  <c r="L139" i="1541"/>
  <c r="L162" i="1541" s="1"/>
  <c r="M139" i="1541"/>
  <c r="N139" i="1541"/>
  <c r="O139" i="1541"/>
  <c r="P139" i="1541"/>
  <c r="Q139" i="1541"/>
  <c r="R139" i="1541"/>
  <c r="S139" i="1541"/>
  <c r="T139" i="1541"/>
  <c r="X139" i="1541"/>
  <c r="AR139" i="1541"/>
  <c r="AS139" i="1541"/>
  <c r="AJ144" i="1541"/>
  <c r="AP144" i="1541"/>
  <c r="L145" i="1541"/>
  <c r="M145" i="1541"/>
  <c r="N145" i="1541"/>
  <c r="O145" i="1541"/>
  <c r="P145" i="1541"/>
  <c r="Q145" i="1541"/>
  <c r="R145" i="1541"/>
  <c r="T145" i="1541"/>
  <c r="X145" i="1541"/>
  <c r="AR145" i="1541"/>
  <c r="AS145" i="1541"/>
  <c r="AT145" i="1541"/>
  <c r="AD147" i="1541"/>
  <c r="AJ147" i="1541"/>
  <c r="AP147" i="1541"/>
  <c r="AD148" i="1541"/>
  <c r="AJ148" i="1541"/>
  <c r="AP148" i="1541"/>
  <c r="AD150" i="1541"/>
  <c r="AJ150" i="1541"/>
  <c r="AP150" i="1541"/>
  <c r="AD151" i="1541"/>
  <c r="AJ151" i="1541"/>
  <c r="AP151" i="1541"/>
  <c r="AD152" i="1541"/>
  <c r="AJ152" i="1541"/>
  <c r="AP152" i="1541"/>
  <c r="AJ153" i="1541"/>
  <c r="AP153" i="1541"/>
  <c r="AJ155" i="1541"/>
  <c r="AP155" i="1541"/>
  <c r="L156" i="1541"/>
  <c r="AI349" i="1554" s="1"/>
  <c r="M156" i="1541"/>
  <c r="N156" i="1541"/>
  <c r="G349" i="1554" s="1"/>
  <c r="O156" i="1541"/>
  <c r="H349" i="1554" s="1"/>
  <c r="P156" i="1541"/>
  <c r="I349" i="1554" s="1"/>
  <c r="Q156" i="1541"/>
  <c r="J349" i="1554" s="1"/>
  <c r="R156" i="1541"/>
  <c r="T156" i="1541"/>
  <c r="Y156" i="1541"/>
  <c r="AE156" i="1541"/>
  <c r="AK156" i="1541"/>
  <c r="R158" i="1541"/>
  <c r="AJ158" i="1541"/>
  <c r="AP158" i="1541"/>
  <c r="AT158" i="1541"/>
  <c r="R159" i="1541"/>
  <c r="R160" i="1541"/>
  <c r="L161" i="1541"/>
  <c r="N161" i="1541"/>
  <c r="O161" i="1541"/>
  <c r="P161" i="1541"/>
  <c r="R162" i="1541"/>
  <c r="T163" i="1541"/>
  <c r="AJ167" i="1541"/>
  <c r="X170" i="1541"/>
  <c r="AJ170" i="1541"/>
  <c r="U171" i="1541"/>
  <c r="V171" i="1541"/>
  <c r="AG171" i="1541"/>
  <c r="AH171" i="1541"/>
  <c r="AI171" i="1541"/>
  <c r="N173" i="1541"/>
  <c r="O173" i="1541"/>
  <c r="P173" i="1541"/>
  <c r="Q173" i="1541"/>
  <c r="T173" i="1541"/>
  <c r="Z173" i="1541"/>
  <c r="N174" i="1541"/>
  <c r="O174" i="1541"/>
  <c r="P174" i="1541"/>
  <c r="Q174" i="1541"/>
  <c r="T174" i="1541"/>
  <c r="Z174" i="1541"/>
  <c r="N175" i="1541"/>
  <c r="O175" i="1541"/>
  <c r="P175" i="1541"/>
  <c r="Q175" i="1541"/>
  <c r="T175" i="1541"/>
  <c r="Z175" i="1541"/>
  <c r="N177" i="1541"/>
  <c r="O177" i="1541"/>
  <c r="P177" i="1541"/>
  <c r="Q177" i="1541"/>
  <c r="T177" i="1541"/>
  <c r="U177" i="1541"/>
  <c r="V177" i="1541"/>
  <c r="W177" i="1541"/>
  <c r="R178" i="1541"/>
  <c r="N178" i="1541" s="1"/>
  <c r="O178" i="1541" s="1"/>
  <c r="T178" i="1541"/>
  <c r="U178" i="1541"/>
  <c r="V178" i="1541"/>
  <c r="W178" i="1541"/>
  <c r="N181" i="1541"/>
  <c r="O181" i="1541"/>
  <c r="P181" i="1541"/>
  <c r="Q181" i="1541"/>
  <c r="T181" i="1541"/>
  <c r="U181" i="1541"/>
  <c r="V181" i="1541"/>
  <c r="W181" i="1541"/>
  <c r="N182" i="1541"/>
  <c r="O182" i="1541"/>
  <c r="P182" i="1541"/>
  <c r="Q182" i="1541"/>
  <c r="T182" i="1541"/>
  <c r="U182" i="1541"/>
  <c r="V182" i="1541"/>
  <c r="W182" i="1541" s="1"/>
  <c r="Z182" i="1541"/>
  <c r="W185" i="1541"/>
  <c r="Z189" i="1541"/>
  <c r="AA185" i="1541" s="1"/>
  <c r="X186" i="1541"/>
  <c r="W189" i="1541"/>
  <c r="W190" i="1541" s="1"/>
  <c r="N192" i="1541"/>
  <c r="O192" i="1541"/>
  <c r="P192" i="1541"/>
  <c r="Q192" i="1541"/>
  <c r="T192" i="1541"/>
  <c r="U192" i="1541"/>
  <c r="V192" i="1541"/>
  <c r="W192" i="1541"/>
  <c r="Z192" i="1541"/>
  <c r="N193" i="1541"/>
  <c r="O193" i="1541"/>
  <c r="P193" i="1541"/>
  <c r="Q193" i="1541"/>
  <c r="T193" i="1541"/>
  <c r="U193" i="1541"/>
  <c r="V193" i="1541"/>
  <c r="W193" i="1541"/>
  <c r="Z193" i="1541"/>
  <c r="N194" i="1541"/>
  <c r="O194" i="1541"/>
  <c r="P194" i="1541"/>
  <c r="Q194" i="1541"/>
  <c r="T194" i="1541"/>
  <c r="U194" i="1541"/>
  <c r="N195" i="1541"/>
  <c r="O195" i="1541"/>
  <c r="P195" i="1541"/>
  <c r="Q195" i="1541"/>
  <c r="T195" i="1541"/>
  <c r="U195" i="1541"/>
  <c r="V195" i="1541"/>
  <c r="W195" i="1541"/>
  <c r="Z195" i="1541"/>
  <c r="N196" i="1541"/>
  <c r="O196" i="1541"/>
  <c r="P196" i="1541"/>
  <c r="Q196" i="1541"/>
  <c r="T196" i="1541"/>
  <c r="U196" i="1541"/>
  <c r="V196" i="1541"/>
  <c r="W196" i="1541"/>
  <c r="Z196" i="1541"/>
  <c r="L198" i="1541"/>
  <c r="N198" i="1541"/>
  <c r="N204" i="1541" s="1"/>
  <c r="O198" i="1541"/>
  <c r="O204" i="1541" s="1"/>
  <c r="P198" i="1541"/>
  <c r="P204" i="1541" s="1"/>
  <c r="Q198" i="1541"/>
  <c r="Q204" i="1541" s="1"/>
  <c r="T198" i="1541"/>
  <c r="U198" i="1541"/>
  <c r="W198" i="1541"/>
  <c r="W204" i="1541" s="1"/>
  <c r="Z198" i="1541"/>
  <c r="Z204" i="1541" s="1"/>
  <c r="L199" i="1541"/>
  <c r="N199" i="1541"/>
  <c r="O199" i="1541"/>
  <c r="P199" i="1541"/>
  <c r="Q199" i="1541"/>
  <c r="T199" i="1541"/>
  <c r="U199" i="1541"/>
  <c r="V199" i="1541"/>
  <c r="W199" i="1541"/>
  <c r="Z199" i="1541"/>
  <c r="AA199" i="1541"/>
  <c r="Z201" i="1541"/>
  <c r="AA201" i="1541"/>
  <c r="L203" i="1541"/>
  <c r="N203" i="1541"/>
  <c r="O203" i="1541"/>
  <c r="P203" i="1541"/>
  <c r="Q203" i="1541"/>
  <c r="R203" i="1541"/>
  <c r="T203" i="1541"/>
  <c r="Z203" i="1541"/>
  <c r="AA203" i="1541"/>
  <c r="AB203" i="1541"/>
  <c r="AC203" i="1541"/>
  <c r="AF203" i="1541"/>
  <c r="AG203" i="1541"/>
  <c r="AH203" i="1541"/>
  <c r="AI203" i="1541"/>
  <c r="AL203" i="1541"/>
  <c r="AM203" i="1541"/>
  <c r="AN203" i="1541"/>
  <c r="AO203" i="1541"/>
  <c r="K46" i="1555"/>
  <c r="O51" i="1555"/>
  <c r="P51" i="1555"/>
  <c r="N54" i="1555"/>
  <c r="N125" i="1554" s="1"/>
  <c r="N56" i="1555"/>
  <c r="O64" i="1555"/>
  <c r="P64" i="1555"/>
  <c r="K67" i="1555"/>
  <c r="K109" i="1554" s="1"/>
  <c r="K68" i="1555"/>
  <c r="K110" i="1554" s="1"/>
  <c r="K305" i="121" s="1"/>
  <c r="K69" i="121" s="1"/>
  <c r="L69" i="1555"/>
  <c r="O69" i="1555"/>
  <c r="P69" i="1555"/>
  <c r="N75" i="1555"/>
  <c r="N98" i="1554" s="1"/>
  <c r="N150" i="1554" s="1"/>
  <c r="N171" i="121" s="1"/>
  <c r="N76" i="1555"/>
  <c r="N99" i="1554" s="1"/>
  <c r="N156" i="1554" s="1"/>
  <c r="H77" i="1555"/>
  <c r="I77" i="1555"/>
  <c r="K77" i="1555"/>
  <c r="L77" i="1555"/>
  <c r="M77" i="1555"/>
  <c r="T77" i="1555"/>
  <c r="O77" i="1555"/>
  <c r="P77" i="1555"/>
  <c r="R77" i="1555"/>
  <c r="S77" i="1555"/>
  <c r="G83" i="1555"/>
  <c r="F88" i="1555"/>
  <c r="J88" i="1555"/>
  <c r="N88" i="1555"/>
  <c r="O88" i="1555"/>
  <c r="P88" i="1555"/>
  <c r="G97" i="1555"/>
  <c r="G99" i="1555" s="1"/>
  <c r="H97" i="1555"/>
  <c r="H99" i="1555" s="1"/>
  <c r="I97" i="1555"/>
  <c r="I99" i="1555" s="1"/>
  <c r="J97" i="1555"/>
  <c r="J99" i="1555" s="1"/>
  <c r="K97" i="1555"/>
  <c r="K99" i="1555" s="1"/>
  <c r="L97" i="1555"/>
  <c r="L99" i="1555" s="1"/>
  <c r="M97" i="1555"/>
  <c r="M99" i="1555" s="1"/>
  <c r="N97" i="1555"/>
  <c r="N99" i="1555" s="1"/>
  <c r="O97" i="1555"/>
  <c r="O99" i="1555" s="1"/>
  <c r="P97" i="1555"/>
  <c r="P99" i="1555" s="1"/>
  <c r="R97" i="1555"/>
  <c r="R99" i="1555" s="1"/>
  <c r="S97" i="1555"/>
  <c r="S99" i="1555" s="1"/>
  <c r="T97" i="1555"/>
  <c r="T99" i="1555" s="1"/>
  <c r="C99" i="1555"/>
  <c r="C109" i="1555" s="1"/>
  <c r="C112" i="1555" s="1"/>
  <c r="D99" i="1555"/>
  <c r="D109" i="1555" s="1"/>
  <c r="D112" i="1555" s="1"/>
  <c r="E99" i="1555"/>
  <c r="E109" i="1555" s="1"/>
  <c r="E112" i="1555" s="1"/>
  <c r="F99" i="1555"/>
  <c r="F109" i="1555" s="1"/>
  <c r="F112" i="1555" s="1"/>
  <c r="G107" i="1555"/>
  <c r="H107" i="1555"/>
  <c r="I107" i="1555"/>
  <c r="J107" i="1555"/>
  <c r="K107" i="1555"/>
  <c r="L107" i="1555"/>
  <c r="M107" i="1555"/>
  <c r="N107" i="1555"/>
  <c r="O107" i="1555"/>
  <c r="P107" i="1555"/>
  <c r="R107" i="1555"/>
  <c r="S107" i="1555"/>
  <c r="T107" i="1555"/>
  <c r="G130" i="1555"/>
  <c r="G132" i="1555" s="1"/>
  <c r="G139" i="1555"/>
  <c r="F165" i="1555"/>
  <c r="F173" i="1555" s="1"/>
  <c r="J165" i="1555"/>
  <c r="J173" i="1555" s="1"/>
  <c r="K165" i="1555"/>
  <c r="K173" i="1555" s="1"/>
  <c r="L165" i="1555"/>
  <c r="L173" i="1555" s="1"/>
  <c r="M165" i="1555"/>
  <c r="M173" i="1555" s="1"/>
  <c r="N165" i="1555"/>
  <c r="N173" i="1555" s="1"/>
  <c r="O165" i="1555"/>
  <c r="O173" i="1555" s="1"/>
  <c r="P165" i="1555"/>
  <c r="P173" i="1555" s="1"/>
  <c r="F185" i="1555"/>
  <c r="F191" i="1555" s="1"/>
  <c r="J185" i="1555"/>
  <c r="J191" i="1555" s="1"/>
  <c r="K185" i="1555"/>
  <c r="K191" i="1555" s="1"/>
  <c r="L185" i="1555"/>
  <c r="L191" i="1555" s="1"/>
  <c r="M185" i="1555"/>
  <c r="M191" i="1555" s="1"/>
  <c r="N185" i="1555"/>
  <c r="N191" i="1555" s="1"/>
  <c r="O185" i="1555"/>
  <c r="O191" i="1555" s="1"/>
  <c r="P185" i="1555"/>
  <c r="P191" i="1555" s="1"/>
  <c r="F201" i="1555"/>
  <c r="J201" i="1555"/>
  <c r="K201" i="1555"/>
  <c r="L201" i="1555"/>
  <c r="M201" i="1555"/>
  <c r="N201" i="1555"/>
  <c r="O201" i="1555"/>
  <c r="P201" i="1555"/>
  <c r="G228" i="1555"/>
  <c r="H228" i="1555"/>
  <c r="I228" i="1555"/>
  <c r="J228" i="1555"/>
  <c r="K228" i="1555"/>
  <c r="L228" i="1555"/>
  <c r="M228" i="1555"/>
  <c r="N228" i="1555"/>
  <c r="O228" i="1555"/>
  <c r="P228" i="1555"/>
  <c r="R228" i="1555"/>
  <c r="S228" i="1555"/>
  <c r="T228" i="1555"/>
  <c r="F236" i="1555"/>
  <c r="G236" i="1555"/>
  <c r="H236" i="1555"/>
  <c r="I236" i="1555"/>
  <c r="J236" i="1555"/>
  <c r="K236" i="1555"/>
  <c r="L236" i="1555"/>
  <c r="M236" i="1555"/>
  <c r="N236" i="1555"/>
  <c r="O236" i="1555"/>
  <c r="P236" i="1555"/>
  <c r="R236" i="1555"/>
  <c r="S236" i="1555"/>
  <c r="T236" i="1555"/>
  <c r="F255" i="1555"/>
  <c r="G255" i="1555"/>
  <c r="H255" i="1555"/>
  <c r="I255" i="1555"/>
  <c r="J255" i="1555"/>
  <c r="K255" i="1555"/>
  <c r="L255" i="1555"/>
  <c r="M255" i="1555"/>
  <c r="N255" i="1555"/>
  <c r="O255" i="1555"/>
  <c r="P255" i="1555"/>
  <c r="R255" i="1555"/>
  <c r="S255" i="1555"/>
  <c r="T255" i="1555"/>
  <c r="G293" i="1555"/>
  <c r="G299" i="1555"/>
  <c r="G306" i="1555"/>
  <c r="C333" i="1555"/>
  <c r="D333" i="1555"/>
  <c r="E333" i="1555"/>
  <c r="F333" i="1555"/>
  <c r="G333" i="1555"/>
  <c r="H333" i="1555"/>
  <c r="I333" i="1555"/>
  <c r="J333" i="1555"/>
  <c r="K333" i="1555"/>
  <c r="L333" i="1555"/>
  <c r="M333" i="1555"/>
  <c r="N333" i="1555"/>
  <c r="O333" i="1555"/>
  <c r="P333" i="1555"/>
  <c r="R333" i="1555"/>
  <c r="S333" i="1555"/>
  <c r="T333" i="1555"/>
  <c r="G349" i="1555"/>
  <c r="C360" i="1555"/>
  <c r="C368" i="1555" s="1"/>
  <c r="C371" i="1555" s="1"/>
  <c r="C92" i="1554" s="1"/>
  <c r="D360" i="1555"/>
  <c r="D83" i="1554" s="1"/>
  <c r="E360" i="1555"/>
  <c r="E83" i="1554" s="1"/>
  <c r="F360" i="1555"/>
  <c r="F83" i="1554" s="1"/>
  <c r="G360" i="1555"/>
  <c r="G368" i="1555" s="1"/>
  <c r="G371" i="1555" s="1"/>
  <c r="H360" i="1555"/>
  <c r="H368" i="1555" s="1"/>
  <c r="H371" i="1555" s="1"/>
  <c r="H92" i="1554" s="1"/>
  <c r="I360" i="1555"/>
  <c r="I368" i="1555" s="1"/>
  <c r="J360" i="1555"/>
  <c r="J368" i="1555" s="1"/>
  <c r="K360" i="1555"/>
  <c r="K368" i="1555" s="1"/>
  <c r="L360" i="1555"/>
  <c r="L368" i="1555" s="1"/>
  <c r="L371" i="1555" s="1"/>
  <c r="L92" i="1554" s="1"/>
  <c r="M360" i="1555"/>
  <c r="M368" i="1555" s="1"/>
  <c r="M371" i="1555" s="1"/>
  <c r="M92" i="1554" s="1"/>
  <c r="N360" i="1555"/>
  <c r="N368" i="1555" s="1"/>
  <c r="N371" i="1555" s="1"/>
  <c r="N92" i="1554" s="1"/>
  <c r="O360" i="1555"/>
  <c r="O368" i="1555" s="1"/>
  <c r="O371" i="1555" s="1"/>
  <c r="O92" i="1554" s="1"/>
  <c r="P360" i="1555"/>
  <c r="P368" i="1555" s="1"/>
  <c r="P371" i="1555" s="1"/>
  <c r="P92" i="1554" s="1"/>
  <c r="R360" i="1555"/>
  <c r="R368" i="1555" s="1"/>
  <c r="R371" i="1555" s="1"/>
  <c r="S360" i="1555"/>
  <c r="S368" i="1555" s="1"/>
  <c r="S371" i="1555" s="1"/>
  <c r="T360" i="1555"/>
  <c r="T368" i="1555" s="1"/>
  <c r="T371" i="1555" s="1"/>
  <c r="G377" i="1555"/>
  <c r="G385" i="1555" s="1"/>
  <c r="G388" i="1555" s="1"/>
  <c r="G391" i="1555"/>
  <c r="G393" i="1555"/>
  <c r="G394" i="1555"/>
  <c r="G395" i="1555"/>
  <c r="G396" i="1555"/>
  <c r="G397" i="1555"/>
  <c r="G398" i="1555"/>
  <c r="N398" i="1555"/>
  <c r="G399" i="1555"/>
  <c r="G400" i="1555"/>
  <c r="G401" i="1555"/>
  <c r="L401" i="1555"/>
  <c r="P401" i="1555"/>
  <c r="F431" i="1555"/>
  <c r="F434" i="1555" s="1"/>
  <c r="J431" i="1555"/>
  <c r="J434" i="1555" s="1"/>
  <c r="K431" i="1555"/>
  <c r="K434" i="1555" s="1"/>
  <c r="L431" i="1555"/>
  <c r="L434" i="1555" s="1"/>
  <c r="M431" i="1555"/>
  <c r="M434" i="1555" s="1"/>
  <c r="N431" i="1555"/>
  <c r="N434" i="1555" s="1"/>
  <c r="O431" i="1555"/>
  <c r="O434" i="1555" s="1"/>
  <c r="P431" i="1555"/>
  <c r="P434" i="1555" s="1"/>
  <c r="J441" i="1555"/>
  <c r="N441" i="1555"/>
  <c r="J443" i="1555"/>
  <c r="N443" i="1555"/>
  <c r="N447" i="1555"/>
  <c r="N448" i="1555"/>
  <c r="N449" i="1555"/>
  <c r="H450" i="1555"/>
  <c r="I450" i="1555"/>
  <c r="K450" i="1555"/>
  <c r="L450" i="1555"/>
  <c r="M450" i="1555"/>
  <c r="T450" i="1555"/>
  <c r="O450" i="1555"/>
  <c r="P450" i="1555"/>
  <c r="R450" i="1555"/>
  <c r="S450" i="1555"/>
  <c r="G455" i="1555"/>
  <c r="F471" i="1555"/>
  <c r="J471" i="1555"/>
  <c r="N471" i="1555"/>
  <c r="F478" i="1555"/>
  <c r="J478" i="1555"/>
  <c r="N478" i="1555"/>
  <c r="F486" i="1555"/>
  <c r="J486" i="1555"/>
  <c r="N486" i="1555"/>
  <c r="R491" i="1555"/>
  <c r="S491" i="1555"/>
  <c r="T491" i="1555"/>
  <c r="G496" i="1555"/>
  <c r="R503" i="1555"/>
  <c r="S503" i="1555"/>
  <c r="T503" i="1555"/>
  <c r="R509" i="1555"/>
  <c r="S509" i="1555"/>
  <c r="T509" i="1555"/>
  <c r="G518" i="1555"/>
  <c r="G524" i="1555"/>
  <c r="T540" i="1555"/>
  <c r="O560" i="1555"/>
  <c r="O565" i="1555"/>
  <c r="P565" i="1555"/>
  <c r="P567" i="1555" s="1"/>
  <c r="J575" i="1555"/>
  <c r="J578" i="1555" s="1"/>
  <c r="J581" i="1555" s="1"/>
  <c r="N575" i="1555"/>
  <c r="N578" i="1555" s="1"/>
  <c r="N581" i="1555" s="1"/>
  <c r="O575" i="1555"/>
  <c r="O578" i="1555" s="1"/>
  <c r="P575" i="1555"/>
  <c r="P578" i="1555" s="1"/>
  <c r="J592" i="1555"/>
  <c r="N592" i="1555"/>
  <c r="O592" i="1555"/>
  <c r="O595" i="1555" s="1"/>
  <c r="P592" i="1555"/>
  <c r="P595" i="1555" s="1"/>
  <c r="O604" i="1555"/>
  <c r="P604" i="1555"/>
  <c r="F610" i="1555"/>
  <c r="J610" i="1555"/>
  <c r="K610" i="1555"/>
  <c r="L610" i="1555"/>
  <c r="M610" i="1555"/>
  <c r="N610" i="1555"/>
  <c r="O610" i="1555"/>
  <c r="P610" i="1555"/>
  <c r="F615" i="1555"/>
  <c r="J615" i="1555"/>
  <c r="K615" i="1555"/>
  <c r="L615" i="1555"/>
  <c r="M615" i="1555"/>
  <c r="N615" i="1555"/>
  <c r="O615" i="1555"/>
  <c r="P615" i="1555"/>
  <c r="F620" i="1555"/>
  <c r="J620" i="1555"/>
  <c r="K620" i="1555"/>
  <c r="L620" i="1555"/>
  <c r="M620" i="1555"/>
  <c r="N620" i="1555"/>
  <c r="O620" i="1555"/>
  <c r="P620" i="1555"/>
  <c r="F625" i="1555"/>
  <c r="F628" i="1555" s="1"/>
  <c r="J625" i="1555"/>
  <c r="J628" i="1555" s="1"/>
  <c r="K625" i="1555"/>
  <c r="K628" i="1555" s="1"/>
  <c r="L625" i="1555"/>
  <c r="L628" i="1555" s="1"/>
  <c r="M625" i="1555"/>
  <c r="M628" i="1555" s="1"/>
  <c r="N625" i="1555"/>
  <c r="N628" i="1555" s="1"/>
  <c r="F631" i="1555"/>
  <c r="J631" i="1555"/>
  <c r="K631" i="1555"/>
  <c r="L631" i="1555"/>
  <c r="M631" i="1555"/>
  <c r="N631" i="1555"/>
  <c r="O631" i="1555"/>
  <c r="P631" i="1555"/>
  <c r="N635" i="1555"/>
  <c r="N649" i="1555"/>
  <c r="B1" i="1518"/>
  <c r="X1" i="1518"/>
  <c r="B3" i="1518"/>
  <c r="U9" i="1518"/>
  <c r="V9" i="1518"/>
  <c r="W9" i="1518"/>
  <c r="G13" i="1518"/>
  <c r="G16" i="1518" s="1"/>
  <c r="H13" i="1518"/>
  <c r="O13" i="1518"/>
  <c r="O16" i="1518" s="1"/>
  <c r="R13" i="1518"/>
  <c r="S13" i="1518" s="1"/>
  <c r="I14" i="1518"/>
  <c r="I15" i="1518" s="1"/>
  <c r="I42" i="1518" s="1"/>
  <c r="J14" i="1518"/>
  <c r="J15" i="1518" s="1"/>
  <c r="J42" i="1518" s="1"/>
  <c r="M14" i="1518"/>
  <c r="N14" i="1518"/>
  <c r="P14" i="1518"/>
  <c r="Q14" i="1518"/>
  <c r="V14" i="1518"/>
  <c r="V15" i="1518" s="1"/>
  <c r="W14" i="1518"/>
  <c r="E16" i="1518"/>
  <c r="F16" i="1518"/>
  <c r="J16" i="1518"/>
  <c r="M16" i="1518"/>
  <c r="N16" i="1518"/>
  <c r="Q16" i="1518"/>
  <c r="V16" i="1518"/>
  <c r="W16" i="1518"/>
  <c r="H36" i="1518"/>
  <c r="I36" i="1518"/>
  <c r="J36" i="1518"/>
  <c r="K36" i="1518"/>
  <c r="L36" i="1518"/>
  <c r="M36" i="1518"/>
  <c r="N36" i="1518"/>
  <c r="O36" i="1518"/>
  <c r="P36" i="1518"/>
  <c r="Q36" i="1518"/>
  <c r="M42" i="1518"/>
  <c r="N42" i="1518"/>
  <c r="O42" i="1518"/>
  <c r="P42" i="1518"/>
  <c r="Q42" i="1518"/>
  <c r="B31" i="1528"/>
  <c r="D9" i="1518" s="1"/>
  <c r="C31" i="1528"/>
  <c r="E9" i="1518" s="1"/>
  <c r="D31" i="1528"/>
  <c r="F9" i="1518" s="1"/>
  <c r="E31" i="1528"/>
  <c r="G9" i="1518" s="1"/>
  <c r="B32" i="1528"/>
  <c r="H9" i="1518" s="1"/>
  <c r="C32" i="1528"/>
  <c r="I9" i="1518" s="1"/>
  <c r="D32" i="1528"/>
  <c r="J9" i="1518" s="1"/>
  <c r="E32" i="1528"/>
  <c r="K9" i="1518" s="1"/>
  <c r="B33" i="1528"/>
  <c r="L9" i="1518" s="1"/>
  <c r="C33" i="1528"/>
  <c r="M9" i="1518" s="1"/>
  <c r="D33" i="1528"/>
  <c r="N9" i="1518" s="1"/>
  <c r="E33" i="1528"/>
  <c r="O9" i="1518" s="1"/>
  <c r="B34" i="1528"/>
  <c r="P9" i="1518" s="1"/>
  <c r="C34" i="1528"/>
  <c r="Q9" i="1518" s="1"/>
  <c r="B1" i="1425"/>
  <c r="E1" i="1425"/>
  <c r="B3" i="1425"/>
  <c r="E6" i="1425"/>
  <c r="E7" i="1425" s="1"/>
  <c r="D7" i="1425"/>
  <c r="E14" i="1425"/>
  <c r="E13" i="1425"/>
  <c r="D19" i="1425"/>
  <c r="E19" i="1425" s="1"/>
  <c r="E9" i="1425" s="1"/>
  <c r="A1" i="1619"/>
  <c r="A3" i="1619"/>
  <c r="G8" i="1619"/>
  <c r="H8" i="1619"/>
  <c r="I8" i="1619"/>
  <c r="J8" i="1619"/>
  <c r="K8" i="1619"/>
  <c r="L8" i="1619"/>
  <c r="M8" i="1619"/>
  <c r="N8" i="1619"/>
  <c r="O8" i="1619"/>
  <c r="P8" i="1619"/>
  <c r="Q8" i="1619"/>
  <c r="C13" i="1619"/>
  <c r="D13" i="1619"/>
  <c r="D14" i="1619" s="1"/>
  <c r="E13" i="1619"/>
  <c r="E14" i="1619" s="1"/>
  <c r="F13" i="1619"/>
  <c r="F14" i="1619" s="1"/>
  <c r="G13" i="1619"/>
  <c r="G14" i="1619" s="1"/>
  <c r="H13" i="1619"/>
  <c r="H14" i="1619" s="1"/>
  <c r="I13" i="1619"/>
  <c r="J13" i="1619"/>
  <c r="J14" i="1619" s="1"/>
  <c r="K13" i="1619"/>
  <c r="K14" i="1619" s="1"/>
  <c r="L13" i="1619"/>
  <c r="L14" i="1619" s="1"/>
  <c r="M13" i="1619"/>
  <c r="M14" i="1619" s="1"/>
  <c r="N13" i="1619"/>
  <c r="N14" i="1619" s="1"/>
  <c r="O13" i="1619"/>
  <c r="O14" i="1619" s="1"/>
  <c r="P13" i="1619"/>
  <c r="P14" i="1619" s="1"/>
  <c r="Q13" i="1619"/>
  <c r="Q14" i="1619" s="1"/>
  <c r="C16" i="1619"/>
  <c r="D16" i="1619"/>
  <c r="E16" i="1619"/>
  <c r="H16" i="1619"/>
  <c r="I16" i="1619"/>
  <c r="K16" i="1619"/>
  <c r="L16" i="1619"/>
  <c r="M16" i="1619"/>
  <c r="O16" i="1619"/>
  <c r="P16" i="1619"/>
  <c r="A19" i="1619"/>
  <c r="G19" i="1619"/>
  <c r="H19" i="1619"/>
  <c r="I19" i="1619"/>
  <c r="J19" i="1619"/>
  <c r="K19" i="1619"/>
  <c r="L19" i="1619"/>
  <c r="M19" i="1619"/>
  <c r="N19" i="1619"/>
  <c r="O19" i="1619"/>
  <c r="P19" i="1619"/>
  <c r="Q19" i="1619"/>
  <c r="A20" i="1619"/>
  <c r="G20" i="1619"/>
  <c r="H20" i="1619"/>
  <c r="I20" i="1619"/>
  <c r="J20" i="1619"/>
  <c r="K20" i="1619"/>
  <c r="L20" i="1619"/>
  <c r="M20" i="1619"/>
  <c r="N20" i="1619"/>
  <c r="O20" i="1619"/>
  <c r="P20" i="1619"/>
  <c r="Q20" i="1619"/>
  <c r="A21" i="1619"/>
  <c r="A22" i="1619"/>
  <c r="A23" i="1619"/>
  <c r="A24" i="1619"/>
  <c r="A1" i="1545"/>
  <c r="T1" i="1545"/>
  <c r="A3" i="1545"/>
  <c r="P9" i="1545"/>
  <c r="Q9" i="1545"/>
  <c r="S9" i="1545"/>
  <c r="T9" i="1545"/>
  <c r="P10" i="1545"/>
  <c r="P19" i="1545" s="1"/>
  <c r="Q10" i="1545"/>
  <c r="S10" i="1545"/>
  <c r="T10" i="1545"/>
  <c r="P11" i="1545"/>
  <c r="Q11" i="1545"/>
  <c r="S11" i="1545"/>
  <c r="T11" i="1545"/>
  <c r="P12" i="1545"/>
  <c r="P21" i="1545" s="1"/>
  <c r="Q12" i="1545"/>
  <c r="S12" i="1545"/>
  <c r="T12" i="1545"/>
  <c r="P13" i="1545"/>
  <c r="P22" i="1545" s="1"/>
  <c r="Q13" i="1545"/>
  <c r="S13" i="1545"/>
  <c r="T13" i="1545"/>
  <c r="P14" i="1545"/>
  <c r="P23" i="1545" s="1"/>
  <c r="Q14" i="1545"/>
  <c r="S14" i="1545"/>
  <c r="T14" i="1545"/>
  <c r="C15" i="1545"/>
  <c r="D15" i="1545"/>
  <c r="E15" i="1545"/>
  <c r="F15" i="1545"/>
  <c r="G15" i="1545"/>
  <c r="H15" i="1545"/>
  <c r="I15" i="1545"/>
  <c r="J15" i="1545"/>
  <c r="K15" i="1545"/>
  <c r="L15" i="1545"/>
  <c r="M15" i="1545"/>
  <c r="O15" i="1545"/>
  <c r="A18" i="1545"/>
  <c r="G18" i="1545"/>
  <c r="H18" i="1545"/>
  <c r="I18" i="1545"/>
  <c r="J18" i="1545"/>
  <c r="K18" i="1545"/>
  <c r="L18" i="1545"/>
  <c r="M18" i="1545"/>
  <c r="A19" i="1545"/>
  <c r="G19" i="1545"/>
  <c r="H19" i="1545"/>
  <c r="I19" i="1545"/>
  <c r="J19" i="1545"/>
  <c r="K19" i="1545"/>
  <c r="L19" i="1545"/>
  <c r="M19" i="1545"/>
  <c r="A20" i="1545"/>
  <c r="G20" i="1545"/>
  <c r="H20" i="1545"/>
  <c r="I20" i="1545"/>
  <c r="J20" i="1545"/>
  <c r="K20" i="1545"/>
  <c r="L20" i="1545"/>
  <c r="M20" i="1545"/>
  <c r="A21" i="1545"/>
  <c r="G21" i="1545"/>
  <c r="H21" i="1545"/>
  <c r="I21" i="1545"/>
  <c r="J21" i="1545"/>
  <c r="K21" i="1545"/>
  <c r="L21" i="1545"/>
  <c r="M21" i="1545"/>
  <c r="A22" i="1545"/>
  <c r="G22" i="1545"/>
  <c r="H22" i="1545"/>
  <c r="I22" i="1545"/>
  <c r="J22" i="1545"/>
  <c r="K22" i="1545"/>
  <c r="L22" i="1545"/>
  <c r="M22" i="1545"/>
  <c r="A23" i="1545"/>
  <c r="G23" i="1545"/>
  <c r="H23" i="1545"/>
  <c r="I23" i="1545"/>
  <c r="J23" i="1545"/>
  <c r="K23" i="1545"/>
  <c r="L23" i="1545"/>
  <c r="M23" i="1545"/>
  <c r="A24" i="1545"/>
  <c r="C27" i="1545"/>
  <c r="C45" i="1545" s="1"/>
  <c r="D27" i="1545"/>
  <c r="D45" i="1545" s="1"/>
  <c r="E27" i="1545"/>
  <c r="E45" i="1545" s="1"/>
  <c r="F27" i="1545"/>
  <c r="G27" i="1545"/>
  <c r="H27" i="1545"/>
  <c r="H45" i="1545" s="1"/>
  <c r="I27" i="1545"/>
  <c r="J27" i="1545"/>
  <c r="K27" i="1545"/>
  <c r="L27" i="1545"/>
  <c r="M27" i="1545"/>
  <c r="M45" i="1545" s="1"/>
  <c r="O27" i="1545"/>
  <c r="C28" i="1545"/>
  <c r="C46" i="1545" s="1"/>
  <c r="D28" i="1545"/>
  <c r="D46" i="1545" s="1"/>
  <c r="E28" i="1545"/>
  <c r="E46" i="1545" s="1"/>
  <c r="F28" i="1545"/>
  <c r="G28" i="1545"/>
  <c r="G46" i="1545" s="1"/>
  <c r="H28" i="1545"/>
  <c r="H46" i="1545" s="1"/>
  <c r="I28" i="1545"/>
  <c r="I46" i="1545" s="1"/>
  <c r="J28" i="1545"/>
  <c r="K28" i="1545"/>
  <c r="L28" i="1545"/>
  <c r="L46" i="1545" s="1"/>
  <c r="M28" i="1545"/>
  <c r="O28" i="1545"/>
  <c r="C29" i="1545"/>
  <c r="C47" i="1545" s="1"/>
  <c r="D29" i="1545"/>
  <c r="D47" i="1545" s="1"/>
  <c r="E29" i="1545"/>
  <c r="E47" i="1545" s="1"/>
  <c r="F29" i="1545"/>
  <c r="G29" i="1545"/>
  <c r="H29" i="1545"/>
  <c r="I29" i="1545"/>
  <c r="J29" i="1545"/>
  <c r="K29" i="1545"/>
  <c r="K47" i="1545" s="1"/>
  <c r="L29" i="1545"/>
  <c r="M29" i="1545"/>
  <c r="O29" i="1545"/>
  <c r="C30" i="1545"/>
  <c r="C48" i="1545" s="1"/>
  <c r="D30" i="1545"/>
  <c r="D48" i="1545" s="1"/>
  <c r="E30" i="1545"/>
  <c r="E48" i="1545" s="1"/>
  <c r="F30" i="1545"/>
  <c r="G30" i="1545"/>
  <c r="G48" i="1545" s="1"/>
  <c r="H30" i="1545"/>
  <c r="H48" i="1545" s="1"/>
  <c r="I30" i="1545"/>
  <c r="I48" i="1545" s="1"/>
  <c r="J30" i="1545"/>
  <c r="J48" i="1545" s="1"/>
  <c r="K30" i="1545"/>
  <c r="L30" i="1545"/>
  <c r="M30" i="1545"/>
  <c r="M48" i="1545" s="1"/>
  <c r="O30" i="1545"/>
  <c r="C31" i="1545"/>
  <c r="C49" i="1545" s="1"/>
  <c r="D31" i="1545"/>
  <c r="D49" i="1545" s="1"/>
  <c r="E31" i="1545"/>
  <c r="E49" i="1545" s="1"/>
  <c r="F31" i="1545"/>
  <c r="G31" i="1545"/>
  <c r="G49" i="1545" s="1"/>
  <c r="H31" i="1545"/>
  <c r="I31" i="1545"/>
  <c r="I49" i="1545" s="1"/>
  <c r="J31" i="1545"/>
  <c r="J49" i="1545" s="1"/>
  <c r="K31" i="1545"/>
  <c r="L31" i="1545"/>
  <c r="M31" i="1545"/>
  <c r="M49" i="1545" s="1"/>
  <c r="O31" i="1545"/>
  <c r="C32" i="1545"/>
  <c r="D32" i="1545"/>
  <c r="D50" i="1545" s="1"/>
  <c r="E32" i="1545"/>
  <c r="E50" i="1545" s="1"/>
  <c r="F32" i="1545"/>
  <c r="G32" i="1545"/>
  <c r="G50" i="1545" s="1"/>
  <c r="H32" i="1545"/>
  <c r="H50" i="1545" s="1"/>
  <c r="I32" i="1545"/>
  <c r="J32" i="1545"/>
  <c r="K32" i="1545"/>
  <c r="L32" i="1545"/>
  <c r="L50" i="1545" s="1"/>
  <c r="M32" i="1545"/>
  <c r="O32" i="1545"/>
  <c r="A36" i="1545"/>
  <c r="A45" i="1545" s="1"/>
  <c r="A37" i="1545"/>
  <c r="A46" i="1545" s="1"/>
  <c r="A38" i="1545"/>
  <c r="A47" i="1545" s="1"/>
  <c r="A39" i="1545"/>
  <c r="A48" i="1545" s="1"/>
  <c r="A40" i="1545"/>
  <c r="A49" i="1545" s="1"/>
  <c r="A41" i="1545"/>
  <c r="A50" i="1545" s="1"/>
  <c r="A42" i="1545"/>
  <c r="A51" i="1545" s="1"/>
  <c r="C75" i="1545"/>
  <c r="D75" i="1545"/>
  <c r="E75" i="1545"/>
  <c r="F75" i="1545"/>
  <c r="G75" i="1545"/>
  <c r="H75" i="1545"/>
  <c r="I75" i="1545"/>
  <c r="J75" i="1545"/>
  <c r="K75" i="1545"/>
  <c r="L75" i="1545"/>
  <c r="M75" i="1545"/>
  <c r="O75" i="1545"/>
  <c r="P75" i="1545"/>
  <c r="Q75" i="1545"/>
  <c r="C84" i="1545"/>
  <c r="D84" i="1545"/>
  <c r="E84" i="1545"/>
  <c r="F84" i="1545"/>
  <c r="G84" i="1545"/>
  <c r="H84" i="1545"/>
  <c r="I84" i="1545"/>
  <c r="J84" i="1545"/>
  <c r="K84" i="1545"/>
  <c r="L84" i="1545"/>
  <c r="M84" i="1545"/>
  <c r="O84" i="1545"/>
  <c r="P84" i="1545"/>
  <c r="Q84" i="1545"/>
  <c r="D1" i="1579"/>
  <c r="C8" i="1579"/>
  <c r="C17" i="1579"/>
  <c r="C19" i="1579"/>
  <c r="C20" i="1579"/>
  <c r="A25" i="1579"/>
  <c r="C25" i="1579"/>
  <c r="C27" i="1579" s="1"/>
  <c r="R1" i="1538"/>
  <c r="G3" i="1538"/>
  <c r="I3" i="1538"/>
  <c r="J3" i="1538" s="1"/>
  <c r="K3" i="1538" s="1"/>
  <c r="L3" i="1538" s="1"/>
  <c r="M3" i="1538" s="1"/>
  <c r="N3" i="1538" s="1"/>
  <c r="O3" i="1538" s="1"/>
  <c r="P3" i="1538" s="1"/>
  <c r="Q3" i="1538" s="1"/>
  <c r="R3" i="1538" s="1"/>
  <c r="G8" i="1538"/>
  <c r="H8" i="1538"/>
  <c r="N10" i="1538"/>
  <c r="D10" i="1538"/>
  <c r="D12" i="1538"/>
  <c r="F12" i="1538"/>
  <c r="H12" i="1538"/>
  <c r="I12" i="1538"/>
  <c r="J12" i="1538"/>
  <c r="K12" i="1538"/>
  <c r="L12" i="1538"/>
  <c r="M12" i="1538"/>
  <c r="E33" i="1538"/>
  <c r="F33" i="1538" s="1"/>
  <c r="G33" i="1538" s="1"/>
  <c r="H33" i="1538" s="1"/>
  <c r="I33" i="1538" s="1"/>
  <c r="J33" i="1538" s="1"/>
  <c r="K33" i="1538" s="1"/>
  <c r="L33" i="1538" s="1"/>
  <c r="M33" i="1538" s="1"/>
  <c r="N33" i="1538" s="1"/>
  <c r="O33" i="1538" s="1"/>
  <c r="P33" i="1538" s="1"/>
  <c r="Q33" i="1538" s="1"/>
  <c r="R33" i="1538" s="1"/>
  <c r="B39" i="1538"/>
  <c r="E39" i="1538"/>
  <c r="F39" i="1538"/>
  <c r="B40" i="1538"/>
  <c r="E40" i="1538"/>
  <c r="F40" i="1538"/>
  <c r="B41" i="1538"/>
  <c r="E41" i="1538"/>
  <c r="F41" i="1538"/>
  <c r="B42" i="1538"/>
  <c r="G63" i="1538"/>
  <c r="R1" i="1535"/>
  <c r="G3" i="1535"/>
  <c r="I3" i="1535"/>
  <c r="J3" i="1535" s="1"/>
  <c r="K3" i="1535" s="1"/>
  <c r="L3" i="1535" s="1"/>
  <c r="M3" i="1535" s="1"/>
  <c r="N3" i="1535" s="1"/>
  <c r="O3" i="1535" s="1"/>
  <c r="P3" i="1535" s="1"/>
  <c r="Q3" i="1535" s="1"/>
  <c r="R3" i="1535" s="1"/>
  <c r="G8" i="1535"/>
  <c r="H8" i="1535"/>
  <c r="M10" i="1535"/>
  <c r="N10" i="1535" s="1"/>
  <c r="D10" i="1535"/>
  <c r="D12" i="1535"/>
  <c r="F12" i="1535"/>
  <c r="H12" i="1535"/>
  <c r="I12" i="1535"/>
  <c r="J12" i="1535"/>
  <c r="K12" i="1535"/>
  <c r="L12" i="1535"/>
  <c r="E33" i="1535"/>
  <c r="F33" i="1535" s="1"/>
  <c r="G33" i="1535" s="1"/>
  <c r="H33" i="1535" s="1"/>
  <c r="I33" i="1535" s="1"/>
  <c r="J33" i="1535" s="1"/>
  <c r="K33" i="1535" s="1"/>
  <c r="L33" i="1535" s="1"/>
  <c r="M33" i="1535" s="1"/>
  <c r="N33" i="1535" s="1"/>
  <c r="O33" i="1535" s="1"/>
  <c r="P33" i="1535" s="1"/>
  <c r="Q33" i="1535" s="1"/>
  <c r="R33" i="1535" s="1"/>
  <c r="B39" i="1535"/>
  <c r="E39" i="1535"/>
  <c r="F39" i="1535"/>
  <c r="B40" i="1535"/>
  <c r="E40" i="1535"/>
  <c r="F40" i="1535"/>
  <c r="B41" i="1535"/>
  <c r="E41" i="1535"/>
  <c r="F41" i="1535"/>
  <c r="B42" i="1535"/>
  <c r="G63" i="1535"/>
  <c r="S1" i="1712"/>
  <c r="H3" i="1712"/>
  <c r="J3" i="1712"/>
  <c r="K3" i="1712" s="1"/>
  <c r="L3" i="1712" s="1"/>
  <c r="M3" i="1712" s="1"/>
  <c r="N3" i="1712" s="1"/>
  <c r="O3" i="1712" s="1"/>
  <c r="P3" i="1712" s="1"/>
  <c r="Q3" i="1712" s="1"/>
  <c r="R3" i="1712" s="1"/>
  <c r="S3" i="1712" s="1"/>
  <c r="H6" i="1712"/>
  <c r="H7" i="1712"/>
  <c r="N9" i="1712"/>
  <c r="O9" i="1712" s="1"/>
  <c r="D9" i="1712"/>
  <c r="I10" i="1712"/>
  <c r="I12" i="1712" s="1"/>
  <c r="J10" i="1712"/>
  <c r="J12" i="1712" s="1"/>
  <c r="K10" i="1712"/>
  <c r="K12" i="1712" s="1"/>
  <c r="L10" i="1712"/>
  <c r="L12" i="1712" s="1"/>
  <c r="M10" i="1712"/>
  <c r="M12" i="1712" s="1"/>
  <c r="D11" i="1712"/>
  <c r="F11" i="1712"/>
  <c r="I11" i="1712"/>
  <c r="J11" i="1712"/>
  <c r="K11" i="1712"/>
  <c r="L11" i="1712"/>
  <c r="M11" i="1712"/>
  <c r="H14" i="1712"/>
  <c r="H15" i="1712"/>
  <c r="E36" i="1712"/>
  <c r="F36" i="1712" s="1"/>
  <c r="G36" i="1712" s="1"/>
  <c r="H36" i="1712" s="1"/>
  <c r="I36" i="1712" s="1"/>
  <c r="J36" i="1712" s="1"/>
  <c r="K36" i="1712" s="1"/>
  <c r="L36" i="1712" s="1"/>
  <c r="M36" i="1712" s="1"/>
  <c r="N36" i="1712" s="1"/>
  <c r="O36" i="1712" s="1"/>
  <c r="P36" i="1712" s="1"/>
  <c r="Q36" i="1712" s="1"/>
  <c r="R36" i="1712" s="1"/>
  <c r="S36" i="1712" s="1"/>
  <c r="J58" i="1712"/>
  <c r="K58" i="1712" s="1"/>
  <c r="L58" i="1712" s="1"/>
  <c r="B42" i="1712"/>
  <c r="E42" i="1712"/>
  <c r="F42" i="1712"/>
  <c r="G42" i="1712"/>
  <c r="B43" i="1712"/>
  <c r="E43" i="1712"/>
  <c r="F43" i="1712"/>
  <c r="G43" i="1712"/>
  <c r="B44" i="1712"/>
  <c r="E44" i="1712"/>
  <c r="F44" i="1712"/>
  <c r="G44" i="1712"/>
  <c r="B45" i="1712"/>
  <c r="F84" i="1712"/>
  <c r="A3" i="1583"/>
  <c r="AC9" i="1583"/>
  <c r="AD9" i="1583"/>
  <c r="AE9" i="1583"/>
  <c r="AE10" i="1583"/>
  <c r="J16" i="1583"/>
  <c r="L19" i="1583"/>
  <c r="M19" i="1583"/>
  <c r="N19" i="1583"/>
  <c r="AD19" i="1583" s="1"/>
  <c r="O19" i="1583"/>
  <c r="P19" i="1583"/>
  <c r="AD20" i="1583"/>
  <c r="J24" i="1583"/>
  <c r="AC24" i="1583" s="1"/>
  <c r="K24" i="1583"/>
  <c r="L24" i="1583"/>
  <c r="M24" i="1583"/>
  <c r="N24" i="1583"/>
  <c r="AD24" i="1583" s="1"/>
  <c r="R24" i="1583"/>
  <c r="AE24" i="1583" s="1"/>
  <c r="AD25" i="1583"/>
  <c r="AE25" i="1583"/>
  <c r="AD26" i="1583"/>
  <c r="AE26" i="1583"/>
  <c r="C31" i="1583"/>
  <c r="C34" i="1583" s="1"/>
  <c r="D31" i="1583"/>
  <c r="D34" i="1583" s="1"/>
  <c r="E31" i="1583"/>
  <c r="H31" i="1583"/>
  <c r="I31" i="1583"/>
  <c r="K31" i="1583"/>
  <c r="L31" i="1583"/>
  <c r="M31" i="1583"/>
  <c r="O31" i="1583"/>
  <c r="P31" i="1583"/>
  <c r="AE32" i="1583"/>
  <c r="AJ10" i="1810" s="1"/>
  <c r="AB33" i="1583"/>
  <c r="AB190" i="1583" s="1"/>
  <c r="AC33" i="1583"/>
  <c r="AC234" i="1583" s="1"/>
  <c r="AD33" i="1583"/>
  <c r="AE33" i="1583"/>
  <c r="AF49" i="1583" s="1"/>
  <c r="AF68" i="1583" s="1"/>
  <c r="AB36" i="1583"/>
  <c r="AC36" i="1583"/>
  <c r="AD36" i="1583"/>
  <c r="AE36" i="1583"/>
  <c r="AB37" i="1583"/>
  <c r="AC37" i="1583"/>
  <c r="AD37" i="1583"/>
  <c r="AE37" i="1583"/>
  <c r="S38" i="1583"/>
  <c r="S54" i="1583" s="1"/>
  <c r="T38" i="1583"/>
  <c r="T54" i="1583" s="1"/>
  <c r="U38" i="1583"/>
  <c r="U54" i="1583" s="1"/>
  <c r="AB38" i="1583"/>
  <c r="AC38" i="1583"/>
  <c r="AD38" i="1583"/>
  <c r="AE38" i="1583"/>
  <c r="A47" i="1583"/>
  <c r="A57" i="1583" s="1"/>
  <c r="A48" i="1583"/>
  <c r="A58" i="1583" s="1"/>
  <c r="G48" i="1583"/>
  <c r="H48" i="1583"/>
  <c r="I48" i="1583"/>
  <c r="J48" i="1583"/>
  <c r="K48" i="1583"/>
  <c r="L48" i="1583"/>
  <c r="M48" i="1583"/>
  <c r="N48" i="1583"/>
  <c r="O48" i="1583"/>
  <c r="P48" i="1583"/>
  <c r="Q48" i="1583"/>
  <c r="R48" i="1583"/>
  <c r="S48" i="1583"/>
  <c r="T48" i="1583"/>
  <c r="AC48" i="1583"/>
  <c r="AD48" i="1583"/>
  <c r="A49" i="1583"/>
  <c r="A59" i="1583" s="1"/>
  <c r="G49" i="1583"/>
  <c r="H49" i="1583"/>
  <c r="I49" i="1583"/>
  <c r="J49" i="1583"/>
  <c r="K49" i="1583"/>
  <c r="L49" i="1583"/>
  <c r="M49" i="1583"/>
  <c r="N49" i="1583"/>
  <c r="O49" i="1583"/>
  <c r="P49" i="1583"/>
  <c r="Q49" i="1583"/>
  <c r="R49" i="1583"/>
  <c r="R68" i="1583" s="1"/>
  <c r="R113" i="1583" s="1"/>
  <c r="S49" i="1583"/>
  <c r="S68" i="1583" s="1"/>
  <c r="T49" i="1583"/>
  <c r="T68" i="1583" s="1"/>
  <c r="A50" i="1583"/>
  <c r="A63" i="1583" s="1"/>
  <c r="A52" i="1583"/>
  <c r="A71" i="1583" s="1"/>
  <c r="A81" i="1583" s="1"/>
  <c r="G52" i="1583"/>
  <c r="H52" i="1583"/>
  <c r="I52" i="1583"/>
  <c r="J52" i="1583"/>
  <c r="K52" i="1583"/>
  <c r="L52" i="1583"/>
  <c r="M52" i="1583"/>
  <c r="N52" i="1583"/>
  <c r="O52" i="1583"/>
  <c r="P52" i="1583"/>
  <c r="Q52" i="1583"/>
  <c r="R52" i="1583"/>
  <c r="S52" i="1583"/>
  <c r="T52" i="1583"/>
  <c r="U52" i="1583"/>
  <c r="A53" i="1583"/>
  <c r="A61" i="1583" s="1"/>
  <c r="G53" i="1583"/>
  <c r="H53" i="1583"/>
  <c r="I53" i="1583"/>
  <c r="J53" i="1583"/>
  <c r="K53" i="1583"/>
  <c r="L53" i="1583"/>
  <c r="M53" i="1583"/>
  <c r="N53" i="1583"/>
  <c r="O53" i="1583"/>
  <c r="P53" i="1583"/>
  <c r="Q53" i="1583"/>
  <c r="R53" i="1583"/>
  <c r="S53" i="1583"/>
  <c r="T53" i="1583"/>
  <c r="U53" i="1583"/>
  <c r="A54" i="1583"/>
  <c r="A62" i="1583" s="1"/>
  <c r="G54" i="1583"/>
  <c r="H54" i="1583"/>
  <c r="I54" i="1583"/>
  <c r="J54" i="1583"/>
  <c r="K54" i="1583"/>
  <c r="L54" i="1583"/>
  <c r="M54" i="1583"/>
  <c r="N54" i="1583"/>
  <c r="O54" i="1583"/>
  <c r="P54" i="1583"/>
  <c r="Q54" i="1583"/>
  <c r="R54" i="1583"/>
  <c r="G58" i="1583"/>
  <c r="H58" i="1583"/>
  <c r="I58" i="1583"/>
  <c r="J58" i="1583"/>
  <c r="K58" i="1583"/>
  <c r="L58" i="1583"/>
  <c r="M58" i="1583"/>
  <c r="N58" i="1583"/>
  <c r="O58" i="1583"/>
  <c r="P58" i="1583"/>
  <c r="Q58" i="1583"/>
  <c r="R58" i="1583"/>
  <c r="G59" i="1583"/>
  <c r="H59" i="1583"/>
  <c r="I59" i="1583"/>
  <c r="J59" i="1583"/>
  <c r="K59" i="1583"/>
  <c r="L59" i="1583"/>
  <c r="M59" i="1583"/>
  <c r="N59" i="1583"/>
  <c r="O59" i="1583"/>
  <c r="P59" i="1583"/>
  <c r="Q59" i="1583"/>
  <c r="R59" i="1583"/>
  <c r="G60" i="1583"/>
  <c r="H60" i="1583"/>
  <c r="I60" i="1583"/>
  <c r="J60" i="1583"/>
  <c r="K60" i="1583"/>
  <c r="L60" i="1583"/>
  <c r="M60" i="1583"/>
  <c r="N60" i="1583"/>
  <c r="O60" i="1583"/>
  <c r="P60" i="1583"/>
  <c r="Q60" i="1583"/>
  <c r="R60" i="1583"/>
  <c r="G61" i="1583"/>
  <c r="H61" i="1583"/>
  <c r="I61" i="1583"/>
  <c r="K61" i="1583"/>
  <c r="L61" i="1583"/>
  <c r="M61" i="1583"/>
  <c r="N61" i="1583"/>
  <c r="O61" i="1583"/>
  <c r="P61" i="1583"/>
  <c r="Q61" i="1583"/>
  <c r="R61" i="1583"/>
  <c r="G62" i="1583"/>
  <c r="H62" i="1583"/>
  <c r="I62" i="1583"/>
  <c r="J62" i="1583"/>
  <c r="K62" i="1583"/>
  <c r="L62" i="1583"/>
  <c r="M62" i="1583"/>
  <c r="N62" i="1583"/>
  <c r="O62" i="1583"/>
  <c r="P62" i="1583"/>
  <c r="Q62" i="1583"/>
  <c r="R62" i="1583"/>
  <c r="K66" i="1583"/>
  <c r="AE67" i="1583"/>
  <c r="AJ20" i="1810" s="1"/>
  <c r="AE71" i="1583" a="1"/>
  <c r="AE71" i="1583" s="1"/>
  <c r="AE72" i="1583" a="1"/>
  <c r="AE72" i="1583" s="1"/>
  <c r="AE73" i="1583" a="1"/>
  <c r="AE73" i="1583" s="1"/>
  <c r="K77" i="1583"/>
  <c r="L77" i="1583"/>
  <c r="M77" i="1583"/>
  <c r="N77" i="1583"/>
  <c r="O77" i="1583"/>
  <c r="P77" i="1583"/>
  <c r="Q77" i="1583"/>
  <c r="R77" i="1583"/>
  <c r="S77" i="1583"/>
  <c r="T77" i="1583"/>
  <c r="AD77" i="1583"/>
  <c r="K78" i="1583"/>
  <c r="L78" i="1583"/>
  <c r="M78" i="1583"/>
  <c r="N78" i="1583"/>
  <c r="O78" i="1583"/>
  <c r="P78" i="1583"/>
  <c r="Q78" i="1583"/>
  <c r="AD78" i="1583"/>
  <c r="R81" i="1583"/>
  <c r="S81" i="1583"/>
  <c r="T81" i="1583"/>
  <c r="U81" i="1583"/>
  <c r="R82" i="1583"/>
  <c r="S82" i="1583"/>
  <c r="T82" i="1583"/>
  <c r="U82" i="1583"/>
  <c r="R83" i="1583"/>
  <c r="S83" i="1583"/>
  <c r="T83" i="1583"/>
  <c r="U83" i="1583"/>
  <c r="O112" i="1583"/>
  <c r="P112" i="1583"/>
  <c r="Q112" i="1583"/>
  <c r="R112" i="1583"/>
  <c r="S112" i="1583"/>
  <c r="T112" i="1583"/>
  <c r="AD112" i="1583"/>
  <c r="O113" i="1583"/>
  <c r="P113" i="1583"/>
  <c r="Q113" i="1583"/>
  <c r="Q123" i="1583"/>
  <c r="R123" i="1583"/>
  <c r="S123" i="1583"/>
  <c r="T123" i="1583"/>
  <c r="AC123" i="1583"/>
  <c r="AH35" i="1810" s="1"/>
  <c r="AD123" i="1583"/>
  <c r="AI35" i="1810" s="1"/>
  <c r="T124" i="1583"/>
  <c r="AC124" i="1583"/>
  <c r="AD124" i="1583"/>
  <c r="AE124" i="1583"/>
  <c r="A128" i="1583"/>
  <c r="A129" i="1583"/>
  <c r="G129" i="1583"/>
  <c r="H129" i="1583"/>
  <c r="I129" i="1583"/>
  <c r="J129" i="1583"/>
  <c r="K129" i="1583"/>
  <c r="L129" i="1583"/>
  <c r="M129" i="1583"/>
  <c r="N129" i="1583"/>
  <c r="O129" i="1583"/>
  <c r="P129" i="1583"/>
  <c r="AB129" i="1583"/>
  <c r="A130" i="1583"/>
  <c r="G130" i="1583"/>
  <c r="H130" i="1583"/>
  <c r="I130" i="1583"/>
  <c r="J130" i="1583"/>
  <c r="K130" i="1583"/>
  <c r="L130" i="1583"/>
  <c r="M130" i="1583"/>
  <c r="N130" i="1583"/>
  <c r="O130" i="1583"/>
  <c r="P130" i="1583"/>
  <c r="Q130" i="1583"/>
  <c r="R130" i="1583"/>
  <c r="S130" i="1583"/>
  <c r="A131" i="1583"/>
  <c r="AB135" i="1583"/>
  <c r="AC135" i="1583"/>
  <c r="AH50" i="1810" s="1"/>
  <c r="AD135" i="1583"/>
  <c r="AI50" i="1810" s="1"/>
  <c r="AE135" i="1583"/>
  <c r="AJ50" i="1810" s="1"/>
  <c r="AB136" i="1583"/>
  <c r="AC136" i="1583"/>
  <c r="AD136" i="1583"/>
  <c r="AE136" i="1583"/>
  <c r="A140" i="1583"/>
  <c r="A141" i="1583"/>
  <c r="G141" i="1583"/>
  <c r="H141" i="1583"/>
  <c r="I141" i="1583"/>
  <c r="J141" i="1583"/>
  <c r="K141" i="1583"/>
  <c r="L141" i="1583"/>
  <c r="M141" i="1583"/>
  <c r="N141" i="1583"/>
  <c r="O141" i="1583"/>
  <c r="P141" i="1583"/>
  <c r="Q141" i="1583"/>
  <c r="R141" i="1583"/>
  <c r="S141" i="1583"/>
  <c r="T141" i="1583"/>
  <c r="A142" i="1583"/>
  <c r="G142" i="1583"/>
  <c r="H142" i="1583"/>
  <c r="I142" i="1583"/>
  <c r="J142" i="1583"/>
  <c r="K142" i="1583"/>
  <c r="L142" i="1583"/>
  <c r="M142" i="1583"/>
  <c r="N142" i="1583"/>
  <c r="O142" i="1583"/>
  <c r="P142" i="1583"/>
  <c r="Q142" i="1583"/>
  <c r="R142" i="1583"/>
  <c r="S142" i="1583"/>
  <c r="T142" i="1583"/>
  <c r="A143" i="1583"/>
  <c r="A146" i="1583"/>
  <c r="A147" i="1583"/>
  <c r="C147" i="1583"/>
  <c r="D147" i="1583"/>
  <c r="E147" i="1583"/>
  <c r="F147" i="1583"/>
  <c r="G147" i="1583"/>
  <c r="H147" i="1583"/>
  <c r="I147" i="1583"/>
  <c r="J147" i="1583"/>
  <c r="K147" i="1583"/>
  <c r="L147" i="1583"/>
  <c r="M147" i="1583"/>
  <c r="N147" i="1583"/>
  <c r="O147" i="1583"/>
  <c r="P147" i="1583"/>
  <c r="Q147" i="1583"/>
  <c r="R147" i="1583"/>
  <c r="S147" i="1583"/>
  <c r="T147" i="1583"/>
  <c r="AF147" i="1583"/>
  <c r="A148" i="1583"/>
  <c r="C148" i="1583"/>
  <c r="D148" i="1583"/>
  <c r="E148" i="1583"/>
  <c r="F148" i="1583"/>
  <c r="G148" i="1583"/>
  <c r="H148" i="1583"/>
  <c r="I148" i="1583"/>
  <c r="J148" i="1583"/>
  <c r="K148" i="1583"/>
  <c r="L148" i="1583"/>
  <c r="M148" i="1583"/>
  <c r="N148" i="1583"/>
  <c r="O148" i="1583"/>
  <c r="P148" i="1583"/>
  <c r="Q148" i="1583"/>
  <c r="R148" i="1583"/>
  <c r="S148" i="1583"/>
  <c r="T148" i="1583"/>
  <c r="AF148" i="1583"/>
  <c r="A149" i="1583"/>
  <c r="M153" i="1583"/>
  <c r="M70" i="1810" s="1"/>
  <c r="Q153" i="1583"/>
  <c r="Q70" i="1810" s="1"/>
  <c r="AB153" i="1583"/>
  <c r="AG70" i="1810" s="1"/>
  <c r="AG75" i="1810" s="1"/>
  <c r="AC153" i="1583"/>
  <c r="AH70" i="1810" s="1"/>
  <c r="AH75" i="1810" s="1"/>
  <c r="AB154" i="1583"/>
  <c r="AC154" i="1583"/>
  <c r="AD154" i="1583"/>
  <c r="AE154" i="1583"/>
  <c r="A158" i="1583"/>
  <c r="A159" i="1583"/>
  <c r="C159" i="1583"/>
  <c r="D159" i="1583"/>
  <c r="E159" i="1583"/>
  <c r="F159" i="1583"/>
  <c r="G159" i="1583"/>
  <c r="H159" i="1583"/>
  <c r="I159" i="1583"/>
  <c r="J159" i="1583"/>
  <c r="K159" i="1583"/>
  <c r="L159" i="1583"/>
  <c r="N159" i="1583"/>
  <c r="O159" i="1583"/>
  <c r="P159" i="1583"/>
  <c r="R159" i="1583"/>
  <c r="A160" i="1583"/>
  <c r="C160" i="1583"/>
  <c r="D160" i="1583"/>
  <c r="E160" i="1583"/>
  <c r="F160" i="1583"/>
  <c r="G160" i="1583"/>
  <c r="H160" i="1583"/>
  <c r="I160" i="1583"/>
  <c r="J160" i="1583"/>
  <c r="K160" i="1583"/>
  <c r="L160" i="1583"/>
  <c r="M160" i="1583"/>
  <c r="N160" i="1583"/>
  <c r="O160" i="1583"/>
  <c r="P160" i="1583"/>
  <c r="Q160" i="1583" s="1"/>
  <c r="R160" i="1583" s="1"/>
  <c r="A161" i="1583"/>
  <c r="C165" i="1583"/>
  <c r="C177" i="1583" s="1"/>
  <c r="D165" i="1583"/>
  <c r="D177" i="1583" s="1"/>
  <c r="E165" i="1583"/>
  <c r="E177" i="1583" s="1"/>
  <c r="F165" i="1583"/>
  <c r="F177" i="1583" s="1"/>
  <c r="G165" i="1583"/>
  <c r="H165" i="1583"/>
  <c r="H195" i="1583" s="1"/>
  <c r="H207" i="1583" s="1"/>
  <c r="I165" i="1583"/>
  <c r="J165" i="1583"/>
  <c r="J177" i="1583" s="1"/>
  <c r="K165" i="1583"/>
  <c r="K195" i="1583" s="1"/>
  <c r="L165" i="1583"/>
  <c r="N165" i="1583"/>
  <c r="O165" i="1583"/>
  <c r="P165" i="1583"/>
  <c r="P195" i="1583" s="1"/>
  <c r="R165" i="1583"/>
  <c r="R177" i="1583" s="1"/>
  <c r="S165" i="1583"/>
  <c r="T165" i="1583"/>
  <c r="X171" i="1583" s="1"/>
  <c r="C166" i="1583"/>
  <c r="C178" i="1583" s="1"/>
  <c r="D166" i="1583"/>
  <c r="D178" i="1583" s="1"/>
  <c r="E166" i="1583"/>
  <c r="E178" i="1583" s="1"/>
  <c r="F166" i="1583"/>
  <c r="F178" i="1583" s="1"/>
  <c r="G166" i="1583"/>
  <c r="H166" i="1583"/>
  <c r="I166" i="1583"/>
  <c r="I178" i="1583" s="1"/>
  <c r="J166" i="1583"/>
  <c r="J178" i="1583" s="1"/>
  <c r="K166" i="1583"/>
  <c r="L166" i="1583"/>
  <c r="L178" i="1583" s="1"/>
  <c r="M166" i="1583"/>
  <c r="M178" i="1583" s="1"/>
  <c r="N166" i="1583"/>
  <c r="N178" i="1583" s="1"/>
  <c r="O166" i="1583"/>
  <c r="O196" i="1583" s="1"/>
  <c r="P166" i="1583"/>
  <c r="P178" i="1583" s="1"/>
  <c r="Q166" i="1583"/>
  <c r="Q196" i="1583" s="1"/>
  <c r="R166" i="1583"/>
  <c r="R178" i="1583" s="1"/>
  <c r="S166" i="1583"/>
  <c r="T166" i="1583"/>
  <c r="A170" i="1583"/>
  <c r="A171" i="1583"/>
  <c r="A172" i="1583"/>
  <c r="A173" i="1583"/>
  <c r="A176" i="1583"/>
  <c r="A177" i="1583"/>
  <c r="A178" i="1583"/>
  <c r="A179" i="1583"/>
  <c r="Q183" i="1583"/>
  <c r="Q95" i="1810" s="1"/>
  <c r="Q100" i="1810" s="1"/>
  <c r="AE183" i="1583"/>
  <c r="AJ95" i="1810" s="1"/>
  <c r="S183" i="1583"/>
  <c r="S95" i="1810" s="1"/>
  <c r="AC183" i="1583"/>
  <c r="AH95" i="1810" s="1"/>
  <c r="AH100" i="1810" s="1"/>
  <c r="AD183" i="1583"/>
  <c r="AI95" i="1810" s="1"/>
  <c r="AI100" i="1810" s="1"/>
  <c r="T184" i="1583"/>
  <c r="AC184" i="1583"/>
  <c r="AD184" i="1583"/>
  <c r="AE184" i="1583"/>
  <c r="AB185" i="1583"/>
  <c r="A188" i="1583"/>
  <c r="A189" i="1583"/>
  <c r="G189" i="1583"/>
  <c r="H189" i="1583"/>
  <c r="I189" i="1583"/>
  <c r="J189" i="1583"/>
  <c r="K189" i="1583"/>
  <c r="L189" i="1583"/>
  <c r="M189" i="1583"/>
  <c r="N189" i="1583"/>
  <c r="O189" i="1583"/>
  <c r="P189" i="1583"/>
  <c r="T189" i="1583"/>
  <c r="AB189" i="1583"/>
  <c r="A190" i="1583"/>
  <c r="G190" i="1583"/>
  <c r="H190" i="1583"/>
  <c r="I190" i="1583"/>
  <c r="J190" i="1583"/>
  <c r="K190" i="1583"/>
  <c r="L190" i="1583"/>
  <c r="M190" i="1583"/>
  <c r="N190" i="1583"/>
  <c r="O190" i="1583"/>
  <c r="P190" i="1583"/>
  <c r="Q190" i="1583"/>
  <c r="R190" i="1583"/>
  <c r="S190" i="1583"/>
  <c r="A191" i="1583"/>
  <c r="A206" i="1583"/>
  <c r="A207" i="1583"/>
  <c r="A208" i="1583"/>
  <c r="A209" i="1583"/>
  <c r="AC215" i="1583"/>
  <c r="AC221" i="1583" s="1"/>
  <c r="AD215" i="1583"/>
  <c r="AD221" i="1583" s="1"/>
  <c r="AE215" i="1583"/>
  <c r="AC216" i="1583"/>
  <c r="AD216" i="1583"/>
  <c r="AE216" i="1583"/>
  <c r="A220" i="1583"/>
  <c r="A221" i="1583"/>
  <c r="G221" i="1583"/>
  <c r="H221" i="1583"/>
  <c r="I221" i="1583"/>
  <c r="J221" i="1583"/>
  <c r="K221" i="1583"/>
  <c r="L221" i="1583"/>
  <c r="M221" i="1583"/>
  <c r="N221" i="1583"/>
  <c r="O221" i="1583"/>
  <c r="P221" i="1583"/>
  <c r="Q221" i="1583"/>
  <c r="R221" i="1583"/>
  <c r="S221" i="1583"/>
  <c r="T221" i="1583"/>
  <c r="AB221" i="1583"/>
  <c r="A222" i="1583"/>
  <c r="A223" i="1583"/>
  <c r="AC227" i="1583"/>
  <c r="AC233" i="1583" s="1"/>
  <c r="AD227" i="1583"/>
  <c r="AD233" i="1583" s="1"/>
  <c r="AE227" i="1583"/>
  <c r="A232" i="1583"/>
  <c r="A233" i="1583"/>
  <c r="G233" i="1583"/>
  <c r="H233" i="1583"/>
  <c r="I233" i="1583"/>
  <c r="J233" i="1583"/>
  <c r="K233" i="1583"/>
  <c r="L233" i="1583"/>
  <c r="M233" i="1583"/>
  <c r="N233" i="1583"/>
  <c r="O233" i="1583"/>
  <c r="P233" i="1583"/>
  <c r="Q233" i="1583"/>
  <c r="R233" i="1583"/>
  <c r="S233" i="1583"/>
  <c r="T233" i="1583"/>
  <c r="AB233" i="1583"/>
  <c r="A234" i="1583"/>
  <c r="A235" i="1583"/>
  <c r="G238" i="1583"/>
  <c r="G244" i="1583" s="1"/>
  <c r="H238" i="1583"/>
  <c r="H244" i="1583" s="1"/>
  <c r="I238" i="1583"/>
  <c r="I244" i="1583" s="1"/>
  <c r="J238" i="1583"/>
  <c r="J244" i="1583" s="1"/>
  <c r="K238" i="1583"/>
  <c r="K244" i="1583" s="1"/>
  <c r="L238" i="1583"/>
  <c r="L244" i="1583" s="1"/>
  <c r="M238" i="1583"/>
  <c r="M244" i="1583" s="1"/>
  <c r="N238" i="1583"/>
  <c r="N244" i="1583" s="1"/>
  <c r="O238" i="1583"/>
  <c r="O244" i="1583" s="1"/>
  <c r="P238" i="1583"/>
  <c r="P244" i="1583" s="1"/>
  <c r="AB238" i="1583"/>
  <c r="AB244" i="1583" s="1"/>
  <c r="AC250" i="1583"/>
  <c r="AD250" i="1583"/>
  <c r="G239" i="1583"/>
  <c r="G245" i="1583" s="1"/>
  <c r="H239" i="1583"/>
  <c r="H245" i="1583" s="1"/>
  <c r="I239" i="1583"/>
  <c r="I245" i="1583" s="1"/>
  <c r="J239" i="1583"/>
  <c r="J245" i="1583" s="1"/>
  <c r="K239" i="1583"/>
  <c r="K245" i="1583" s="1"/>
  <c r="L239" i="1583"/>
  <c r="L245" i="1583" s="1"/>
  <c r="M239" i="1583"/>
  <c r="M245" i="1583" s="1"/>
  <c r="N239" i="1583"/>
  <c r="N245" i="1583" s="1"/>
  <c r="O239" i="1583"/>
  <c r="O245" i="1583" s="1"/>
  <c r="P239" i="1583"/>
  <c r="P245" i="1583" s="1"/>
  <c r="AB239" i="1583"/>
  <c r="AC251" i="1583"/>
  <c r="AD251" i="1583"/>
  <c r="A243" i="1583"/>
  <c r="A244" i="1583"/>
  <c r="A245" i="1583"/>
  <c r="A246" i="1583"/>
  <c r="A1" i="1554"/>
  <c r="A3" i="1554"/>
  <c r="A3" i="1806" s="1"/>
  <c r="A9" i="1554"/>
  <c r="C9" i="1554"/>
  <c r="C122" i="1554" s="1"/>
  <c r="D9" i="1554"/>
  <c r="D35" i="1554" s="1"/>
  <c r="E9" i="1554"/>
  <c r="E35" i="1554" s="1"/>
  <c r="F9" i="1554"/>
  <c r="F122" i="1554" s="1"/>
  <c r="G9" i="1554"/>
  <c r="G100" i="1554" s="1"/>
  <c r="H9" i="1554"/>
  <c r="I9" i="1554"/>
  <c r="I35" i="1554" s="1"/>
  <c r="J9" i="1554"/>
  <c r="J100" i="1554" s="1"/>
  <c r="J265" i="121" s="1"/>
  <c r="K9" i="1554"/>
  <c r="K122" i="1554" s="1"/>
  <c r="L9" i="1554"/>
  <c r="L100" i="1554" s="1"/>
  <c r="L265" i="121" s="1"/>
  <c r="M9" i="1554"/>
  <c r="M281" i="1554" s="1"/>
  <c r="N9" i="1554"/>
  <c r="N35" i="1554" s="1"/>
  <c r="O9" i="1554"/>
  <c r="P9" i="1554"/>
  <c r="P35" i="1554" s="1"/>
  <c r="A11" i="1554"/>
  <c r="A12" i="1554"/>
  <c r="AJ12" i="1554"/>
  <c r="AJ282" i="1554" s="1"/>
  <c r="H12" i="1554"/>
  <c r="H38" i="1554" s="1"/>
  <c r="I12" i="1554"/>
  <c r="I282" i="1554" s="1"/>
  <c r="J12" i="1554"/>
  <c r="J282" i="1554" s="1"/>
  <c r="K12" i="1554"/>
  <c r="K282" i="1554" s="1"/>
  <c r="L12" i="1554"/>
  <c r="L38" i="1554" s="1"/>
  <c r="M12" i="1554"/>
  <c r="M38" i="1554" s="1"/>
  <c r="N12" i="1554"/>
  <c r="N282" i="1554" s="1"/>
  <c r="O12" i="1554"/>
  <c r="O282" i="1554" s="1"/>
  <c r="P12" i="1554"/>
  <c r="P282" i="1554" s="1"/>
  <c r="AI12" i="1554"/>
  <c r="AI38" i="1554" s="1"/>
  <c r="A13" i="1554"/>
  <c r="AJ13" i="1554"/>
  <c r="AJ39" i="1554" s="1"/>
  <c r="H13" i="1554"/>
  <c r="I13" i="1554"/>
  <c r="I208" i="121" s="1"/>
  <c r="J13" i="1554"/>
  <c r="J208" i="121" s="1"/>
  <c r="K13" i="1554"/>
  <c r="K45" i="121" s="1"/>
  <c r="K226" i="1583" s="1"/>
  <c r="L13" i="1554"/>
  <c r="L208" i="121" s="1"/>
  <c r="M13" i="1554"/>
  <c r="M39" i="1554" s="1"/>
  <c r="N13" i="1554"/>
  <c r="O13" i="1554"/>
  <c r="P13" i="1554"/>
  <c r="P208" i="121" s="1"/>
  <c r="AI13" i="1554"/>
  <c r="AI39" i="1554" s="1"/>
  <c r="A14" i="1554"/>
  <c r="AJ14" i="1554"/>
  <c r="H14" i="1554"/>
  <c r="H209" i="121" s="1"/>
  <c r="I14" i="1554"/>
  <c r="I209" i="121" s="1"/>
  <c r="J14" i="1554"/>
  <c r="J209" i="121" s="1"/>
  <c r="K14" i="1554"/>
  <c r="K209" i="121" s="1"/>
  <c r="L14" i="1554"/>
  <c r="L209" i="121" s="1"/>
  <c r="M14" i="1554"/>
  <c r="M209" i="121" s="1"/>
  <c r="N14" i="1554"/>
  <c r="N209" i="121" s="1"/>
  <c r="O14" i="1554"/>
  <c r="O209" i="121" s="1"/>
  <c r="P14" i="1554"/>
  <c r="P209" i="121" s="1"/>
  <c r="AI14" i="1554"/>
  <c r="AG209" i="121" s="1"/>
  <c r="A15" i="1554"/>
  <c r="H15" i="1554"/>
  <c r="I15" i="1554"/>
  <c r="I41" i="1554" s="1"/>
  <c r="J15" i="1554"/>
  <c r="J41" i="1554" s="1"/>
  <c r="K15" i="1554"/>
  <c r="K41" i="1554" s="1"/>
  <c r="L15" i="1554"/>
  <c r="L41" i="1554" s="1"/>
  <c r="M15" i="1554"/>
  <c r="M210" i="121" s="1"/>
  <c r="N15" i="1554"/>
  <c r="N210" i="121" s="1"/>
  <c r="O15" i="1554"/>
  <c r="O210" i="121" s="1"/>
  <c r="P15" i="1554"/>
  <c r="AI15" i="1554"/>
  <c r="AI41" i="1554" s="1"/>
  <c r="A16" i="1554"/>
  <c r="Q16" i="1554"/>
  <c r="Q18" i="1554" s="1"/>
  <c r="R16" i="1554"/>
  <c r="R18" i="1554" s="1"/>
  <c r="S16" i="1554"/>
  <c r="T16" i="1554"/>
  <c r="T18" i="1554" s="1"/>
  <c r="A18" i="1554"/>
  <c r="A18" i="1813" s="1"/>
  <c r="A20" i="1554"/>
  <c r="A21" i="1554"/>
  <c r="AJ21" i="1554"/>
  <c r="H21" i="1554"/>
  <c r="H24" i="1554" s="1"/>
  <c r="I21" i="1554"/>
  <c r="I24" i="1554" s="1"/>
  <c r="J21" i="1554"/>
  <c r="M21" i="1554"/>
  <c r="M24" i="1554" s="1"/>
  <c r="AK21" i="1554"/>
  <c r="AK47" i="1554" s="1"/>
  <c r="AI21" i="1554"/>
  <c r="AI47" i="1554" s="1"/>
  <c r="AL21" i="1554"/>
  <c r="AL47" i="1554" s="1"/>
  <c r="A22" i="1554"/>
  <c r="AJ22" i="1554"/>
  <c r="G22" i="1554" s="1"/>
  <c r="N22" i="1554"/>
  <c r="AL22" i="1554"/>
  <c r="A23" i="1554"/>
  <c r="G23" i="1554"/>
  <c r="G48" i="1554" s="1"/>
  <c r="N23" i="1554"/>
  <c r="N48" i="1554" s="1"/>
  <c r="AL23" i="1554"/>
  <c r="AL48" i="1554" s="1"/>
  <c r="A24" i="1554"/>
  <c r="C24" i="1554"/>
  <c r="C49" i="1554" s="1"/>
  <c r="D24" i="1554"/>
  <c r="D49" i="1554" s="1"/>
  <c r="E24" i="1554"/>
  <c r="E49" i="1554" s="1"/>
  <c r="F24" i="1554"/>
  <c r="K24" i="1554"/>
  <c r="L24" i="1554"/>
  <c r="O24" i="1554"/>
  <c r="P24" i="1554"/>
  <c r="Q24" i="1554"/>
  <c r="R24" i="1554"/>
  <c r="S24" i="1554"/>
  <c r="T24" i="1554"/>
  <c r="A26" i="1554"/>
  <c r="A27" i="1554"/>
  <c r="A361" i="1554" s="1"/>
  <c r="C27" i="1554"/>
  <c r="D27" i="1554"/>
  <c r="E27" i="1554"/>
  <c r="F27" i="1554"/>
  <c r="AJ27" i="1554"/>
  <c r="G27" i="1554" s="1"/>
  <c r="G361" i="1554" s="1"/>
  <c r="N27" i="1554"/>
  <c r="N361" i="1554" s="1"/>
  <c r="AI27" i="1554"/>
  <c r="AI361" i="1554" s="1"/>
  <c r="AI362" i="1554" s="1"/>
  <c r="AL27" i="1554"/>
  <c r="AL361" i="1554" s="1"/>
  <c r="AL362" i="1554" s="1"/>
  <c r="A28" i="1554"/>
  <c r="A30" i="1554"/>
  <c r="AJ30" i="1554"/>
  <c r="G30" i="1554" s="1"/>
  <c r="G55" i="1554" s="1"/>
  <c r="N30" i="1554"/>
  <c r="N55" i="1554" s="1"/>
  <c r="Q30" i="1554"/>
  <c r="Q55" i="1554" s="1"/>
  <c r="AI30" i="1554"/>
  <c r="A31" i="1554"/>
  <c r="Q35" i="1554"/>
  <c r="R35" i="1554"/>
  <c r="S35" i="1554"/>
  <c r="T35" i="1554"/>
  <c r="G61" i="1554"/>
  <c r="J61" i="1554" s="1"/>
  <c r="N61" i="1554"/>
  <c r="Q38" i="1554"/>
  <c r="R61" i="1554"/>
  <c r="R38" i="1554" s="1"/>
  <c r="S38" i="1554"/>
  <c r="T38" i="1554"/>
  <c r="G62" i="1554"/>
  <c r="N62" i="1554"/>
  <c r="N220" i="121" s="1"/>
  <c r="Q39" i="1554"/>
  <c r="R62" i="1554"/>
  <c r="R39" i="1554" s="1"/>
  <c r="S39" i="1554"/>
  <c r="T39" i="1554"/>
  <c r="G63" i="1554"/>
  <c r="J63" i="1554" s="1"/>
  <c r="J221" i="121" s="1"/>
  <c r="G73" i="1554"/>
  <c r="G75" i="1554"/>
  <c r="G216" i="121" s="1"/>
  <c r="H73" i="1554"/>
  <c r="H214" i="121" s="1"/>
  <c r="H74" i="1554"/>
  <c r="H215" i="121" s="1"/>
  <c r="H75" i="1554"/>
  <c r="H216" i="121" s="1"/>
  <c r="I73" i="1554"/>
  <c r="I214" i="121" s="1"/>
  <c r="I74" i="1554"/>
  <c r="I75" i="1554"/>
  <c r="I216" i="121" s="1"/>
  <c r="J73" i="1554"/>
  <c r="J74" i="1554"/>
  <c r="J215" i="121" s="1"/>
  <c r="J75" i="1554"/>
  <c r="J216" i="121" s="1"/>
  <c r="K73" i="1554"/>
  <c r="K214" i="121" s="1"/>
  <c r="K74" i="1554"/>
  <c r="K215" i="121" s="1"/>
  <c r="K75" i="1554"/>
  <c r="K216" i="121" s="1"/>
  <c r="L73" i="1554"/>
  <c r="L214" i="121" s="1"/>
  <c r="L74" i="1554"/>
  <c r="L215" i="121" s="1"/>
  <c r="L75" i="1554"/>
  <c r="L216" i="121" s="1"/>
  <c r="M73" i="1554"/>
  <c r="M74" i="1554"/>
  <c r="M215" i="121" s="1"/>
  <c r="M75" i="1554"/>
  <c r="M216" i="121" s="1"/>
  <c r="N63" i="1554"/>
  <c r="N221" i="121" s="1"/>
  <c r="N73" i="1554"/>
  <c r="N214" i="121" s="1"/>
  <c r="N74" i="1554"/>
  <c r="N75" i="1554"/>
  <c r="N216" i="121" s="1"/>
  <c r="O73" i="1554"/>
  <c r="O73" i="121" s="1"/>
  <c r="O74" i="1554"/>
  <c r="O215" i="121" s="1"/>
  <c r="O75" i="1554"/>
  <c r="O216" i="121" s="1"/>
  <c r="P73" i="1554"/>
  <c r="P214" i="121" s="1"/>
  <c r="P74" i="1554"/>
  <c r="P215" i="121" s="1"/>
  <c r="P75" i="1554"/>
  <c r="P216" i="121" s="1"/>
  <c r="Q40" i="1554"/>
  <c r="R63" i="1554"/>
  <c r="R40" i="1554" s="1"/>
  <c r="S40" i="1554"/>
  <c r="T40" i="1554"/>
  <c r="C73" i="1554"/>
  <c r="D73" i="1554"/>
  <c r="E73" i="1554"/>
  <c r="F73" i="1554"/>
  <c r="C74" i="1554"/>
  <c r="D74" i="1554"/>
  <c r="E74" i="1554"/>
  <c r="F74" i="1554"/>
  <c r="C75" i="1554"/>
  <c r="D75" i="1554"/>
  <c r="E75" i="1554"/>
  <c r="F75" i="1554"/>
  <c r="Q41" i="1554"/>
  <c r="R41" i="1554"/>
  <c r="S41" i="1554"/>
  <c r="T41" i="1554"/>
  <c r="AJ41" i="1554"/>
  <c r="C72" i="1554"/>
  <c r="C77" i="1554" s="1"/>
  <c r="D72" i="1554"/>
  <c r="D90" i="121" s="1"/>
  <c r="D69" i="1810" s="1"/>
  <c r="E72" i="1554"/>
  <c r="E64" i="1554" s="1"/>
  <c r="F72" i="1554"/>
  <c r="F64" i="1554" s="1"/>
  <c r="K47" i="1554"/>
  <c r="L47" i="1554"/>
  <c r="O47" i="1554"/>
  <c r="P47" i="1554"/>
  <c r="Q47" i="1554"/>
  <c r="R47" i="1554"/>
  <c r="S47" i="1554"/>
  <c r="T47" i="1554"/>
  <c r="H48" i="1554"/>
  <c r="I48" i="1554"/>
  <c r="J48" i="1554"/>
  <c r="K48" i="1554"/>
  <c r="L48" i="1554"/>
  <c r="M48" i="1554"/>
  <c r="O48" i="1554"/>
  <c r="P48" i="1554"/>
  <c r="Q48" i="1554"/>
  <c r="R48" i="1554"/>
  <c r="S48" i="1554"/>
  <c r="T48" i="1554"/>
  <c r="AI48" i="1554"/>
  <c r="AJ48" i="1554"/>
  <c r="AK48" i="1554"/>
  <c r="C55" i="1554"/>
  <c r="D55" i="1554"/>
  <c r="E55" i="1554"/>
  <c r="F55" i="1554"/>
  <c r="H55" i="1554"/>
  <c r="I55" i="1554"/>
  <c r="J55" i="1554"/>
  <c r="K55" i="1554"/>
  <c r="L55" i="1554"/>
  <c r="M55" i="1554"/>
  <c r="O55" i="1554"/>
  <c r="P55" i="1554"/>
  <c r="R55" i="1554"/>
  <c r="S55" i="1554"/>
  <c r="T55" i="1554"/>
  <c r="AK55" i="1554"/>
  <c r="H64" i="1554"/>
  <c r="I64" i="1554"/>
  <c r="K64" i="1554"/>
  <c r="L64" i="1554"/>
  <c r="M64" i="1554"/>
  <c r="O64" i="1554"/>
  <c r="P64" i="1554"/>
  <c r="Q64" i="1554"/>
  <c r="S64" i="1554"/>
  <c r="T64" i="1554"/>
  <c r="AI64" i="1554"/>
  <c r="AJ64" i="1554"/>
  <c r="AK64" i="1554"/>
  <c r="AL64" i="1554"/>
  <c r="C67" i="1554"/>
  <c r="D67" i="1554"/>
  <c r="E67" i="1554"/>
  <c r="F67" i="1554"/>
  <c r="G67" i="1554"/>
  <c r="H67" i="1554"/>
  <c r="I67" i="1554"/>
  <c r="J67" i="1554"/>
  <c r="K67" i="1554"/>
  <c r="L67" i="1554"/>
  <c r="M67" i="1554"/>
  <c r="N67" i="1554"/>
  <c r="O67" i="1554"/>
  <c r="P67" i="1554"/>
  <c r="C68" i="1554"/>
  <c r="D68" i="1554"/>
  <c r="E68" i="1554"/>
  <c r="F68" i="1554"/>
  <c r="G68" i="1554"/>
  <c r="H68" i="1554"/>
  <c r="I68" i="1554"/>
  <c r="J68" i="1554"/>
  <c r="K68" i="1554"/>
  <c r="L68" i="1554"/>
  <c r="M68" i="1554"/>
  <c r="N68" i="1554"/>
  <c r="O68" i="1554"/>
  <c r="P68" i="1554"/>
  <c r="C69" i="1554"/>
  <c r="D69" i="1554"/>
  <c r="E69" i="1554"/>
  <c r="F69" i="1554"/>
  <c r="G69" i="1554"/>
  <c r="H69" i="1554"/>
  <c r="I69" i="1554"/>
  <c r="J69" i="1554"/>
  <c r="K69" i="1554"/>
  <c r="L69" i="1554"/>
  <c r="M69" i="1554"/>
  <c r="N69" i="1554"/>
  <c r="O69" i="1554"/>
  <c r="P69" i="1554"/>
  <c r="C70" i="1554"/>
  <c r="D70" i="1554"/>
  <c r="E70" i="1554"/>
  <c r="F70" i="1554"/>
  <c r="G70" i="1554"/>
  <c r="H70" i="1554"/>
  <c r="I70" i="1554"/>
  <c r="J70" i="1554"/>
  <c r="K70" i="1554"/>
  <c r="L70" i="1554"/>
  <c r="M70" i="1554"/>
  <c r="N70" i="1554"/>
  <c r="O70" i="1554"/>
  <c r="P70" i="1554"/>
  <c r="C71" i="1554"/>
  <c r="D71" i="1554"/>
  <c r="E71" i="1554"/>
  <c r="F71" i="1554"/>
  <c r="H71" i="1554"/>
  <c r="I71" i="1554"/>
  <c r="J71" i="1554"/>
  <c r="K71" i="1554"/>
  <c r="L71" i="1554"/>
  <c r="M71" i="1554"/>
  <c r="N71" i="1554"/>
  <c r="O71" i="1554"/>
  <c r="P71" i="1554"/>
  <c r="G72" i="1554"/>
  <c r="G90" i="121" s="1"/>
  <c r="G69" i="1810" s="1"/>
  <c r="H72" i="1554"/>
  <c r="H77" i="1554" s="1"/>
  <c r="I72" i="1554"/>
  <c r="I77" i="1554" s="1"/>
  <c r="J72" i="1554"/>
  <c r="J77" i="1554" s="1"/>
  <c r="K72" i="1554"/>
  <c r="K77" i="1554" s="1"/>
  <c r="L72" i="1554"/>
  <c r="L77" i="1554" s="1"/>
  <c r="M72" i="1554"/>
  <c r="M77" i="1554" s="1"/>
  <c r="N72" i="1554"/>
  <c r="N90" i="121" s="1"/>
  <c r="N69" i="1810" s="1"/>
  <c r="O72" i="1554"/>
  <c r="O90" i="121" s="1"/>
  <c r="O69" i="1810" s="1"/>
  <c r="P72" i="1554"/>
  <c r="P77" i="1554" s="1"/>
  <c r="O307" i="1554"/>
  <c r="R76" i="1554"/>
  <c r="R168" i="1554" s="1"/>
  <c r="R170" i="1554" s="1"/>
  <c r="S76" i="1554"/>
  <c r="T76" i="1554"/>
  <c r="T168" i="1554" s="1"/>
  <c r="T170" i="1554" s="1"/>
  <c r="A77" i="1554"/>
  <c r="R77" i="1554"/>
  <c r="S77" i="1554"/>
  <c r="T77" i="1554"/>
  <c r="A81" i="1554"/>
  <c r="C81" i="1554"/>
  <c r="D81" i="1554"/>
  <c r="E81" i="1554"/>
  <c r="F81" i="1554"/>
  <c r="G81" i="1554"/>
  <c r="H81" i="1554"/>
  <c r="I81" i="1554"/>
  <c r="J81" i="1554"/>
  <c r="K81" i="1554"/>
  <c r="L81" i="1554"/>
  <c r="M81" i="1554"/>
  <c r="N81" i="1554"/>
  <c r="O81" i="1554"/>
  <c r="P81" i="1554"/>
  <c r="A82" i="1554"/>
  <c r="C82" i="1554"/>
  <c r="D82" i="1554"/>
  <c r="E82" i="1554"/>
  <c r="F82" i="1554"/>
  <c r="G82" i="1554"/>
  <c r="H82" i="1554"/>
  <c r="I82" i="1554"/>
  <c r="J82" i="1554"/>
  <c r="K82" i="1554"/>
  <c r="L82" i="1554"/>
  <c r="M82" i="1554"/>
  <c r="N82" i="1554"/>
  <c r="O82" i="1554"/>
  <c r="P82" i="1554"/>
  <c r="A83" i="1554"/>
  <c r="Q83" i="1554"/>
  <c r="Q90" i="1554" s="1"/>
  <c r="R83" i="1554"/>
  <c r="R90" i="1554" s="1"/>
  <c r="R92" i="1554" s="1"/>
  <c r="S83" i="1554"/>
  <c r="T83" i="1554"/>
  <c r="T90" i="1554" s="1"/>
  <c r="T92" i="1554" s="1"/>
  <c r="A84" i="1554"/>
  <c r="C84" i="1554"/>
  <c r="D84" i="1554"/>
  <c r="E84" i="1554"/>
  <c r="F84" i="1554"/>
  <c r="G84" i="1554"/>
  <c r="H84" i="1554"/>
  <c r="I84" i="1554"/>
  <c r="J84" i="1554"/>
  <c r="K84" i="1554"/>
  <c r="L84" i="1554"/>
  <c r="M84" i="1554"/>
  <c r="N84" i="1554"/>
  <c r="O84" i="1554"/>
  <c r="P84" i="1554"/>
  <c r="A85" i="1554"/>
  <c r="C85" i="1554"/>
  <c r="D85" i="1554"/>
  <c r="E85" i="1554"/>
  <c r="F85" i="1554"/>
  <c r="G85" i="1554"/>
  <c r="H85" i="1554"/>
  <c r="I85" i="1554"/>
  <c r="J85" i="1554"/>
  <c r="K85" i="1554"/>
  <c r="L85" i="1554"/>
  <c r="M85" i="1554"/>
  <c r="N85" i="1554"/>
  <c r="O85" i="1554"/>
  <c r="P85" i="1554"/>
  <c r="A86" i="1554"/>
  <c r="C86" i="1554"/>
  <c r="D86" i="1554"/>
  <c r="E86" i="1554"/>
  <c r="F86" i="1554"/>
  <c r="G86" i="1554"/>
  <c r="H86" i="1554"/>
  <c r="I86" i="1554"/>
  <c r="J86" i="1554"/>
  <c r="K86" i="1554"/>
  <c r="L86" i="1554"/>
  <c r="M86" i="1554"/>
  <c r="N86" i="1554"/>
  <c r="O86" i="1554"/>
  <c r="P86" i="1554"/>
  <c r="A87" i="1554"/>
  <c r="A214" i="121" s="1"/>
  <c r="C87" i="1554"/>
  <c r="D87" i="1554"/>
  <c r="E87" i="1554"/>
  <c r="F87" i="1554"/>
  <c r="G87" i="1554"/>
  <c r="H87" i="1554"/>
  <c r="I87" i="1554"/>
  <c r="J87" i="1554"/>
  <c r="K87" i="1554"/>
  <c r="L87" i="1554"/>
  <c r="M87" i="1554"/>
  <c r="N87" i="1554"/>
  <c r="O87" i="1554"/>
  <c r="P87" i="1554"/>
  <c r="A88" i="1554"/>
  <c r="A215" i="121" s="1"/>
  <c r="C88" i="1554"/>
  <c r="D88" i="1554"/>
  <c r="E88" i="1554"/>
  <c r="F88" i="1554"/>
  <c r="G88" i="1554"/>
  <c r="H88" i="1554"/>
  <c r="I88" i="1554"/>
  <c r="J88" i="1554"/>
  <c r="K88" i="1554"/>
  <c r="L88" i="1554"/>
  <c r="M88" i="1554"/>
  <c r="N88" i="1554"/>
  <c r="O88" i="1554"/>
  <c r="P88" i="1554"/>
  <c r="A89" i="1554"/>
  <c r="A216" i="121" s="1"/>
  <c r="C89" i="1554"/>
  <c r="D89" i="1554"/>
  <c r="E89" i="1554"/>
  <c r="F89" i="1554"/>
  <c r="G89" i="1554"/>
  <c r="H89" i="1554"/>
  <c r="I89" i="1554"/>
  <c r="J89" i="1554"/>
  <c r="K89" i="1554"/>
  <c r="L89" i="1554"/>
  <c r="M89" i="1554"/>
  <c r="N89" i="1554"/>
  <c r="O89" i="1554"/>
  <c r="P89" i="1554"/>
  <c r="A90" i="1554"/>
  <c r="A91" i="1554"/>
  <c r="C91" i="1554"/>
  <c r="D91" i="1554"/>
  <c r="E91" i="1554"/>
  <c r="F91" i="1554"/>
  <c r="G91" i="1554"/>
  <c r="H91" i="1554"/>
  <c r="I91" i="1554"/>
  <c r="J91" i="1554"/>
  <c r="K91" i="1554"/>
  <c r="L91" i="1554"/>
  <c r="M91" i="1554"/>
  <c r="N91" i="1554"/>
  <c r="O91" i="1554"/>
  <c r="P91" i="1554"/>
  <c r="A92" i="1554"/>
  <c r="H98" i="1554"/>
  <c r="H151" i="121" s="1"/>
  <c r="H171" i="121" s="1"/>
  <c r="H99" i="1554"/>
  <c r="H152" i="121" s="1"/>
  <c r="I98" i="1554"/>
  <c r="I151" i="121" s="1"/>
  <c r="I171" i="121" s="1"/>
  <c r="I99" i="1554"/>
  <c r="I264" i="121" s="1"/>
  <c r="AJ97" i="1554"/>
  <c r="AJ103" i="1554" s="1"/>
  <c r="K98" i="1554"/>
  <c r="K10" i="121" s="1"/>
  <c r="K99" i="1554"/>
  <c r="K264" i="121" s="1"/>
  <c r="L98" i="1554"/>
  <c r="L150" i="1554" s="1"/>
  <c r="L171" i="121" s="1"/>
  <c r="L99" i="1554"/>
  <c r="L11" i="121" s="1"/>
  <c r="M98" i="1554"/>
  <c r="M10" i="121" s="1"/>
  <c r="M99" i="1554"/>
  <c r="M152" i="121" s="1"/>
  <c r="O98" i="1554"/>
  <c r="O263" i="121" s="1"/>
  <c r="O99" i="1554"/>
  <c r="O156" i="1554" s="1"/>
  <c r="P98" i="1554"/>
  <c r="P10" i="121" s="1"/>
  <c r="P415" i="121" s="1"/>
  <c r="P99" i="1554"/>
  <c r="P117" i="1554" s="1"/>
  <c r="AJ98" i="1554"/>
  <c r="AJ104" i="1554" s="1"/>
  <c r="AJ99" i="1554"/>
  <c r="AJ117" i="1554" s="1"/>
  <c r="Q100" i="1554"/>
  <c r="R100" i="1554"/>
  <c r="S100" i="1554"/>
  <c r="W106" i="1554" s="1"/>
  <c r="T100" i="1554"/>
  <c r="AI100" i="1554"/>
  <c r="L109" i="1554"/>
  <c r="L304" i="121" s="1"/>
  <c r="L68" i="121" s="1"/>
  <c r="O109" i="1554"/>
  <c r="O304" i="121" s="1"/>
  <c r="P109" i="1554"/>
  <c r="P304" i="121" s="1"/>
  <c r="AJ109" i="1554"/>
  <c r="AH304" i="121" s="1"/>
  <c r="AH68" i="121" s="1"/>
  <c r="L110" i="1554"/>
  <c r="L305" i="121" s="1"/>
  <c r="L69" i="121" s="1"/>
  <c r="O110" i="1554"/>
  <c r="O305" i="121" s="1"/>
  <c r="P110" i="1554"/>
  <c r="P305" i="121" s="1"/>
  <c r="AJ110" i="1554"/>
  <c r="AH305" i="121" s="1"/>
  <c r="AH69" i="121" s="1"/>
  <c r="N111" i="1554"/>
  <c r="N306" i="121" s="1"/>
  <c r="N70" i="121" s="1"/>
  <c r="R111" i="1554"/>
  <c r="R117" i="1554" s="1"/>
  <c r="M112" i="1554"/>
  <c r="M307" i="121" s="1"/>
  <c r="Q112" i="1554"/>
  <c r="AL112" i="1554"/>
  <c r="AJ307" i="121" s="1"/>
  <c r="S112" i="1554"/>
  <c r="T112" i="1554"/>
  <c r="T307" i="121" s="1"/>
  <c r="X313" i="121" s="1"/>
  <c r="AK112" i="1554"/>
  <c r="AI307" i="121" s="1"/>
  <c r="Q115" i="1554"/>
  <c r="S115" i="1554"/>
  <c r="T115" i="1554"/>
  <c r="Q116" i="1554"/>
  <c r="S116" i="1554"/>
  <c r="T116" i="1554"/>
  <c r="Q117" i="1554"/>
  <c r="S117" i="1554"/>
  <c r="T117" i="1554"/>
  <c r="Q122" i="1554"/>
  <c r="U128" i="1554" s="1"/>
  <c r="U125" i="1554" s="1"/>
  <c r="R122" i="1554"/>
  <c r="S122" i="1554"/>
  <c r="T122" i="1554"/>
  <c r="K125" i="1554"/>
  <c r="L125" i="1554"/>
  <c r="M125" i="1554"/>
  <c r="O125" i="1554"/>
  <c r="P125" i="1554"/>
  <c r="K174" i="1554"/>
  <c r="K175" i="1554"/>
  <c r="K176" i="1554"/>
  <c r="K177" i="1554"/>
  <c r="A131" i="1554"/>
  <c r="A31" i="1814" s="1"/>
  <c r="A132" i="1554"/>
  <c r="A32" i="1814" s="1"/>
  <c r="A133" i="1554"/>
  <c r="A33" i="1814" s="1"/>
  <c r="A134" i="1554"/>
  <c r="AK135" i="1554"/>
  <c r="Q144" i="1554"/>
  <c r="Q146" i="1554" s="1"/>
  <c r="Q165" i="121" s="1"/>
  <c r="R144" i="1554"/>
  <c r="R146" i="1554" s="1"/>
  <c r="R148" i="1554" s="1"/>
  <c r="R167" i="121" s="1"/>
  <c r="S144" i="1554"/>
  <c r="T144" i="1554"/>
  <c r="T146" i="1554" s="1"/>
  <c r="T148" i="1554" s="1"/>
  <c r="T167" i="121" s="1"/>
  <c r="Q150" i="1554"/>
  <c r="Q152" i="1554" s="1"/>
  <c r="R150" i="1554"/>
  <c r="R152" i="1554" s="1"/>
  <c r="S150" i="1554"/>
  <c r="T150" i="1554"/>
  <c r="T171" i="121" s="1"/>
  <c r="Q156" i="1554"/>
  <c r="Q158" i="1554" s="1"/>
  <c r="Q160" i="1554" s="1"/>
  <c r="R156" i="1554"/>
  <c r="R158" i="1554" s="1"/>
  <c r="R160" i="1554" s="1"/>
  <c r="S156" i="1554"/>
  <c r="T156" i="1554"/>
  <c r="Q163" i="1554"/>
  <c r="R163" i="1554"/>
  <c r="S163" i="1554"/>
  <c r="T163" i="1554"/>
  <c r="AL163" i="1554"/>
  <c r="R165" i="1554"/>
  <c r="AL165" i="1554"/>
  <c r="Q168" i="1554"/>
  <c r="Q170" i="1554" s="1"/>
  <c r="P174" i="1554"/>
  <c r="P180" i="121" s="1"/>
  <c r="Q174" i="1554"/>
  <c r="Q180" i="121" s="1"/>
  <c r="R174" i="1554"/>
  <c r="R180" i="121" s="1"/>
  <c r="L175" i="1554"/>
  <c r="L181" i="121" s="1"/>
  <c r="M175" i="1554"/>
  <c r="M181" i="121" s="1"/>
  <c r="O177" i="1554"/>
  <c r="O183" i="121" s="1"/>
  <c r="L176" i="1554"/>
  <c r="L182" i="121" s="1"/>
  <c r="M176" i="1554"/>
  <c r="M182" i="121" s="1"/>
  <c r="L177" i="1554"/>
  <c r="L183" i="121" s="1"/>
  <c r="M177" i="1554"/>
  <c r="M183" i="121" s="1"/>
  <c r="N177" i="1554"/>
  <c r="N183" i="121" s="1"/>
  <c r="S185" i="121"/>
  <c r="T185" i="121"/>
  <c r="AL185" i="1554"/>
  <c r="L186" i="1554"/>
  <c r="M186" i="1554"/>
  <c r="AL186" i="1554"/>
  <c r="AL187" i="1554"/>
  <c r="AL188" i="1554"/>
  <c r="J189" i="1554"/>
  <c r="N189" i="1554"/>
  <c r="Q189" i="1554"/>
  <c r="P189" i="1554" s="1"/>
  <c r="S189" i="1554"/>
  <c r="T189" i="1554" s="1"/>
  <c r="U189" i="1554" s="1"/>
  <c r="AK190" i="1554"/>
  <c r="AL190" i="1554"/>
  <c r="AL196" i="1554"/>
  <c r="AL199" i="1554"/>
  <c r="AK201" i="1554"/>
  <c r="AL201" i="1554"/>
  <c r="AK202" i="1554"/>
  <c r="AL202" i="1554"/>
  <c r="AK205" i="1554"/>
  <c r="AL205" i="1554"/>
  <c r="AK206" i="1554"/>
  <c r="AL206" i="1554"/>
  <c r="AL213" i="1554"/>
  <c r="AJ217" i="1554"/>
  <c r="F225" i="1554"/>
  <c r="G225" i="1554"/>
  <c r="H225" i="1554"/>
  <c r="I225" i="1554"/>
  <c r="J225" i="1554"/>
  <c r="K225" i="1554"/>
  <c r="L225" i="1554"/>
  <c r="M225" i="1554"/>
  <c r="N225" i="1554"/>
  <c r="O225" i="1554"/>
  <c r="P225" i="1554"/>
  <c r="AL225" i="1554"/>
  <c r="F226" i="1554"/>
  <c r="AI226" i="1554" s="1"/>
  <c r="G226" i="1554"/>
  <c r="H226" i="1554"/>
  <c r="I226" i="1554"/>
  <c r="J226" i="1554"/>
  <c r="AJ226" i="1554" s="1"/>
  <c r="K226" i="1554"/>
  <c r="L226" i="1554"/>
  <c r="M226" i="1554"/>
  <c r="N226" i="1554"/>
  <c r="AK226" i="1554" s="1"/>
  <c r="O226" i="1554"/>
  <c r="P226" i="1554"/>
  <c r="AL226" i="1554"/>
  <c r="F227" i="1554"/>
  <c r="AI227" i="1554" s="1"/>
  <c r="G227" i="1554"/>
  <c r="H227" i="1554"/>
  <c r="I227" i="1554"/>
  <c r="J227" i="1554"/>
  <c r="AJ227" i="1554" s="1"/>
  <c r="K227" i="1554"/>
  <c r="L227" i="1554"/>
  <c r="M227" i="1554"/>
  <c r="N227" i="1554"/>
  <c r="AK227" i="1554" s="1"/>
  <c r="O227" i="1554"/>
  <c r="P227" i="1554"/>
  <c r="AL227" i="1554"/>
  <c r="F228" i="1554"/>
  <c r="F267" i="1554" s="1"/>
  <c r="G228" i="1554"/>
  <c r="H228" i="1554"/>
  <c r="I228" i="1554"/>
  <c r="J228" i="1554"/>
  <c r="K228" i="1554"/>
  <c r="L228" i="1554"/>
  <c r="M228" i="1554"/>
  <c r="N228" i="1554"/>
  <c r="O228" i="1554"/>
  <c r="P228" i="1554"/>
  <c r="AL228" i="1554"/>
  <c r="F229" i="1554"/>
  <c r="G229" i="1554"/>
  <c r="G269" i="1554" s="1"/>
  <c r="H229" i="1554"/>
  <c r="H269" i="1554" s="1"/>
  <c r="I229" i="1554"/>
  <c r="I269" i="1554" s="1"/>
  <c r="J229" i="1554"/>
  <c r="J269" i="1554" s="1"/>
  <c r="K229" i="1554"/>
  <c r="K269" i="1554" s="1"/>
  <c r="L229" i="1554"/>
  <c r="L269" i="1554" s="1"/>
  <c r="M229" i="1554"/>
  <c r="M269" i="1554" s="1"/>
  <c r="N229" i="1554"/>
  <c r="O229" i="1554"/>
  <c r="O269" i="1554" s="1"/>
  <c r="P229" i="1554"/>
  <c r="P269" i="1554" s="1"/>
  <c r="AL229" i="1554"/>
  <c r="AL269" i="1554" s="1"/>
  <c r="F230" i="1554"/>
  <c r="AI230" i="1554" s="1"/>
  <c r="G230" i="1554"/>
  <c r="H230" i="1554"/>
  <c r="I230" i="1554"/>
  <c r="J230" i="1554"/>
  <c r="AJ230" i="1554" s="1"/>
  <c r="K230" i="1554"/>
  <c r="L230" i="1554"/>
  <c r="M230" i="1554"/>
  <c r="N230" i="1554"/>
  <c r="AK230" i="1554" s="1"/>
  <c r="O230" i="1554"/>
  <c r="P230" i="1554"/>
  <c r="AL230" i="1554"/>
  <c r="Q231" i="1554"/>
  <c r="R231" i="1554"/>
  <c r="S231" i="1554"/>
  <c r="T231" i="1554"/>
  <c r="F232" i="1554"/>
  <c r="AI232" i="1554" s="1"/>
  <c r="AI289" i="1554" s="1"/>
  <c r="G232" i="1554"/>
  <c r="G289" i="1554" s="1"/>
  <c r="H289" i="1554"/>
  <c r="I232" i="1554"/>
  <c r="I289" i="1554" s="1"/>
  <c r="J232" i="1554"/>
  <c r="AJ232" i="1554" s="1"/>
  <c r="AJ289" i="1554" s="1"/>
  <c r="K232" i="1554"/>
  <c r="K289" i="1554" s="1"/>
  <c r="L232" i="1554"/>
  <c r="L289" i="1554" s="1"/>
  <c r="M232" i="1554"/>
  <c r="M289" i="1554" s="1"/>
  <c r="N232" i="1554"/>
  <c r="AK232" i="1554" s="1"/>
  <c r="AK289" i="1554" s="1"/>
  <c r="O232" i="1554"/>
  <c r="O289" i="1554" s="1"/>
  <c r="P232" i="1554"/>
  <c r="P289" i="1554" s="1"/>
  <c r="AL232" i="1554"/>
  <c r="AL289" i="1554" s="1"/>
  <c r="F233" i="1554"/>
  <c r="AI233" i="1554" s="1"/>
  <c r="G233" i="1554"/>
  <c r="G86" i="1821" s="1"/>
  <c r="H233" i="1554"/>
  <c r="I233" i="1554"/>
  <c r="J233" i="1554"/>
  <c r="K233" i="1554"/>
  <c r="L233" i="1554"/>
  <c r="M233" i="1554"/>
  <c r="N233" i="1554"/>
  <c r="N86" i="1821" s="1"/>
  <c r="O233" i="1554"/>
  <c r="P233" i="1554"/>
  <c r="AL233" i="1554"/>
  <c r="F234" i="1554"/>
  <c r="AI234" i="1554" s="1"/>
  <c r="G234" i="1554"/>
  <c r="H234" i="1554"/>
  <c r="I234" i="1554"/>
  <c r="J234" i="1554"/>
  <c r="AJ234" i="1554" s="1"/>
  <c r="K234" i="1554"/>
  <c r="L234" i="1554"/>
  <c r="M234" i="1554"/>
  <c r="N234" i="1554"/>
  <c r="O234" i="1554"/>
  <c r="P234" i="1554"/>
  <c r="AL234" i="1554"/>
  <c r="F235" i="1554"/>
  <c r="AI235" i="1554" s="1"/>
  <c r="G235" i="1554"/>
  <c r="H235" i="1554"/>
  <c r="I235" i="1554"/>
  <c r="J235" i="1554"/>
  <c r="K235" i="1554"/>
  <c r="L235" i="1554"/>
  <c r="M235" i="1554"/>
  <c r="N235" i="1554"/>
  <c r="AK235" i="1554" s="1"/>
  <c r="O235" i="1554"/>
  <c r="P235" i="1554"/>
  <c r="AL235" i="1554"/>
  <c r="F236" i="1554"/>
  <c r="AI236" i="1554" s="1"/>
  <c r="G236" i="1554"/>
  <c r="H236" i="1554"/>
  <c r="I236" i="1554"/>
  <c r="J236" i="1554"/>
  <c r="AJ236" i="1554" s="1"/>
  <c r="K236" i="1554"/>
  <c r="L236" i="1554"/>
  <c r="M236" i="1554"/>
  <c r="N236" i="1554"/>
  <c r="AK236" i="1554" s="1"/>
  <c r="O236" i="1554"/>
  <c r="P236" i="1554"/>
  <c r="AL236" i="1554"/>
  <c r="F237" i="1554"/>
  <c r="AI237" i="1554" s="1"/>
  <c r="G237" i="1554"/>
  <c r="H237" i="1554"/>
  <c r="I237" i="1554"/>
  <c r="J237" i="1554"/>
  <c r="AJ237" i="1554" s="1"/>
  <c r="K237" i="1554"/>
  <c r="L237" i="1554"/>
  <c r="M237" i="1554"/>
  <c r="N237" i="1554"/>
  <c r="AK237" i="1554" s="1"/>
  <c r="O237" i="1554"/>
  <c r="P237" i="1554"/>
  <c r="AL237" i="1554"/>
  <c r="F241" i="1554"/>
  <c r="AI241" i="1554" s="1"/>
  <c r="AG91" i="1821" s="1"/>
  <c r="G241" i="1554"/>
  <c r="G91" i="1821" s="1"/>
  <c r="H241" i="1554"/>
  <c r="H91" i="1821" s="1"/>
  <c r="I241" i="1554"/>
  <c r="I91" i="1821" s="1"/>
  <c r="J241" i="1554"/>
  <c r="K241" i="1554"/>
  <c r="K91" i="1821" s="1"/>
  <c r="L241" i="1554"/>
  <c r="L91" i="1821" s="1"/>
  <c r="M241" i="1554"/>
  <c r="M91" i="1821" s="1"/>
  <c r="N241" i="1554"/>
  <c r="N91" i="1821" s="1"/>
  <c r="O241" i="1554"/>
  <c r="O91" i="1821" s="1"/>
  <c r="P241" i="1554"/>
  <c r="P91" i="1821" s="1"/>
  <c r="AL241" i="1554"/>
  <c r="AJ91" i="1821" s="1"/>
  <c r="F242" i="1554"/>
  <c r="AI242" i="1554" s="1"/>
  <c r="G242" i="1554"/>
  <c r="H242" i="1554"/>
  <c r="I242" i="1554"/>
  <c r="J242" i="1554"/>
  <c r="AJ242" i="1554" s="1"/>
  <c r="K242" i="1554"/>
  <c r="L242" i="1554"/>
  <c r="M242" i="1554"/>
  <c r="N242" i="1554"/>
  <c r="AK242" i="1554" s="1"/>
  <c r="O242" i="1554"/>
  <c r="P242" i="1554"/>
  <c r="AL242" i="1554"/>
  <c r="F243" i="1554"/>
  <c r="G243" i="1554"/>
  <c r="H243" i="1554"/>
  <c r="I243" i="1554"/>
  <c r="J243" i="1554"/>
  <c r="AJ243" i="1554" s="1"/>
  <c r="K243" i="1554"/>
  <c r="L243" i="1554"/>
  <c r="M243" i="1554"/>
  <c r="N243" i="1554"/>
  <c r="AK243" i="1554" s="1"/>
  <c r="O243" i="1554"/>
  <c r="P243" i="1554"/>
  <c r="AL243" i="1554"/>
  <c r="F244" i="1554"/>
  <c r="G244" i="1554"/>
  <c r="H244" i="1554"/>
  <c r="I244" i="1554"/>
  <c r="J244" i="1554"/>
  <c r="K244" i="1554"/>
  <c r="AK244" i="1554"/>
  <c r="AL244" i="1554"/>
  <c r="F245" i="1554"/>
  <c r="AI245" i="1554" s="1"/>
  <c r="G245" i="1554"/>
  <c r="H245" i="1554"/>
  <c r="I245" i="1554"/>
  <c r="J245" i="1554"/>
  <c r="AJ245" i="1554" s="1"/>
  <c r="K245" i="1554"/>
  <c r="L245" i="1554"/>
  <c r="M245" i="1554"/>
  <c r="N245" i="1554"/>
  <c r="AK245" i="1554" s="1"/>
  <c r="AL245" i="1554"/>
  <c r="AL246" i="1554"/>
  <c r="F247" i="1554"/>
  <c r="AI247" i="1554" s="1"/>
  <c r="G247" i="1554"/>
  <c r="H247" i="1554"/>
  <c r="I247" i="1554"/>
  <c r="J247" i="1554"/>
  <c r="AJ247" i="1554" s="1"/>
  <c r="K247" i="1554"/>
  <c r="L247" i="1554"/>
  <c r="M247" i="1554"/>
  <c r="N247" i="1554"/>
  <c r="AK247" i="1554" s="1"/>
  <c r="O247" i="1554"/>
  <c r="P247" i="1554"/>
  <c r="AL247" i="1554"/>
  <c r="Q248" i="1554"/>
  <c r="R248" i="1554"/>
  <c r="S248" i="1554"/>
  <c r="S93" i="1821" s="1"/>
  <c r="S92" i="1821" s="1"/>
  <c r="T248" i="1554"/>
  <c r="T93" i="1821" s="1"/>
  <c r="T92" i="1821" s="1"/>
  <c r="F249" i="1554"/>
  <c r="G249" i="1554"/>
  <c r="H249" i="1554"/>
  <c r="I249" i="1554"/>
  <c r="J249" i="1554"/>
  <c r="AJ249" i="1554" s="1"/>
  <c r="K249" i="1554"/>
  <c r="L249" i="1554"/>
  <c r="M249" i="1554"/>
  <c r="N249" i="1554"/>
  <c r="O249" i="1554"/>
  <c r="P249" i="1554"/>
  <c r="AL249" i="1554"/>
  <c r="F250" i="1554"/>
  <c r="AI250" i="1554" s="1"/>
  <c r="G250" i="1554"/>
  <c r="H250" i="1554"/>
  <c r="I250" i="1554"/>
  <c r="J250" i="1554"/>
  <c r="AJ250" i="1554" s="1"/>
  <c r="K250" i="1554"/>
  <c r="L250" i="1554"/>
  <c r="M250" i="1554"/>
  <c r="N250" i="1554"/>
  <c r="AK250" i="1554" s="1"/>
  <c r="O250" i="1554"/>
  <c r="P250" i="1554"/>
  <c r="AL250" i="1554"/>
  <c r="F251" i="1554"/>
  <c r="AI251" i="1554" s="1"/>
  <c r="G251" i="1554"/>
  <c r="H251" i="1554"/>
  <c r="I251" i="1554"/>
  <c r="J251" i="1554"/>
  <c r="AJ251" i="1554" s="1"/>
  <c r="K251" i="1554"/>
  <c r="L251" i="1554"/>
  <c r="M251" i="1554"/>
  <c r="N251" i="1554"/>
  <c r="AK251" i="1554" s="1"/>
  <c r="R251" i="1554"/>
  <c r="S251" i="1554"/>
  <c r="T251" i="1554"/>
  <c r="Q253" i="1554"/>
  <c r="AL253" i="1554"/>
  <c r="Q256" i="1554"/>
  <c r="R256" i="1554"/>
  <c r="S256" i="1554"/>
  <c r="T256" i="1554"/>
  <c r="AJ262" i="1554"/>
  <c r="AK262" i="1554"/>
  <c r="AL262" i="1554"/>
  <c r="Q267" i="1554"/>
  <c r="R267" i="1554"/>
  <c r="S267" i="1554"/>
  <c r="T267" i="1554"/>
  <c r="Q269" i="1554"/>
  <c r="R269" i="1554"/>
  <c r="S269" i="1554"/>
  <c r="T269" i="1554"/>
  <c r="Q273" i="1554"/>
  <c r="R273" i="1554"/>
  <c r="S273" i="1554"/>
  <c r="T273" i="1554"/>
  <c r="Q281" i="1554"/>
  <c r="R281" i="1554"/>
  <c r="S281" i="1554"/>
  <c r="T281" i="1554"/>
  <c r="Q282" i="1554"/>
  <c r="R282" i="1554"/>
  <c r="S282" i="1554"/>
  <c r="T282" i="1554"/>
  <c r="Q289" i="1554"/>
  <c r="R289" i="1554"/>
  <c r="S289" i="1554"/>
  <c r="T289" i="1554"/>
  <c r="Q290" i="1554"/>
  <c r="R290" i="1554"/>
  <c r="S290" i="1554"/>
  <c r="T290" i="1554"/>
  <c r="Q291" i="1554"/>
  <c r="R291" i="1554"/>
  <c r="S291" i="1554"/>
  <c r="T291" i="1554"/>
  <c r="G301" i="1554"/>
  <c r="H301" i="1554"/>
  <c r="I301" i="1554"/>
  <c r="J301" i="1554"/>
  <c r="K301" i="1554"/>
  <c r="O301" i="1554"/>
  <c r="T301" i="1554"/>
  <c r="AI301" i="1554"/>
  <c r="G302" i="1554"/>
  <c r="H302" i="1554"/>
  <c r="I302" i="1554"/>
  <c r="J302" i="1554"/>
  <c r="K302" i="1554"/>
  <c r="O302" i="1554"/>
  <c r="T302" i="1554"/>
  <c r="AI302" i="1554"/>
  <c r="G303" i="1554"/>
  <c r="H303" i="1554"/>
  <c r="I303" i="1554"/>
  <c r="J303" i="1554"/>
  <c r="K303" i="1554"/>
  <c r="O303" i="1554"/>
  <c r="AI303" i="1554"/>
  <c r="G304" i="1554"/>
  <c r="H304" i="1554"/>
  <c r="I304" i="1554"/>
  <c r="J304" i="1554"/>
  <c r="K304" i="1554"/>
  <c r="O304" i="1554"/>
  <c r="T304" i="1554"/>
  <c r="AI304" i="1554"/>
  <c r="G305" i="1554"/>
  <c r="H305" i="1554"/>
  <c r="I305" i="1554"/>
  <c r="J305" i="1554"/>
  <c r="K305" i="1554"/>
  <c r="O305" i="1554"/>
  <c r="T305" i="1554"/>
  <c r="AI305" i="1554"/>
  <c r="G306" i="1554"/>
  <c r="H306" i="1554"/>
  <c r="I306" i="1554"/>
  <c r="J306" i="1554"/>
  <c r="K306" i="1554"/>
  <c r="O306" i="1554"/>
  <c r="T306" i="1554"/>
  <c r="AI306" i="1554"/>
  <c r="G307" i="1554"/>
  <c r="H307" i="1554"/>
  <c r="I307" i="1554"/>
  <c r="J307" i="1554"/>
  <c r="K307" i="1554"/>
  <c r="T307" i="1554"/>
  <c r="AI307" i="1554"/>
  <c r="G308" i="1554"/>
  <c r="H308" i="1554"/>
  <c r="I308" i="1554"/>
  <c r="J308" i="1554"/>
  <c r="K308" i="1554"/>
  <c r="O308" i="1554"/>
  <c r="T308" i="1554"/>
  <c r="AI308" i="1554"/>
  <c r="G309" i="1554"/>
  <c r="H309" i="1554"/>
  <c r="I309" i="1554"/>
  <c r="J309" i="1554"/>
  <c r="K309" i="1554"/>
  <c r="O309" i="1554"/>
  <c r="T309" i="1554"/>
  <c r="AI309" i="1554"/>
  <c r="G310" i="1554"/>
  <c r="H310" i="1554"/>
  <c r="I310" i="1554"/>
  <c r="J310" i="1554"/>
  <c r="K310" i="1554"/>
  <c r="O310" i="1554"/>
  <c r="T310" i="1554"/>
  <c r="AI310" i="1554"/>
  <c r="G311" i="1554"/>
  <c r="H311" i="1554"/>
  <c r="I311" i="1554"/>
  <c r="J311" i="1554"/>
  <c r="K311" i="1554"/>
  <c r="O311" i="1554"/>
  <c r="T311" i="1554"/>
  <c r="AI311" i="1554"/>
  <c r="G312" i="1554"/>
  <c r="H312" i="1554"/>
  <c r="I312" i="1554"/>
  <c r="J312" i="1554"/>
  <c r="K312" i="1554"/>
  <c r="O312" i="1554"/>
  <c r="T312" i="1554"/>
  <c r="AI312" i="1554"/>
  <c r="G313" i="1554"/>
  <c r="H313" i="1554"/>
  <c r="I313" i="1554"/>
  <c r="J313" i="1554"/>
  <c r="K313" i="1554"/>
  <c r="O313" i="1554"/>
  <c r="P313" i="1554"/>
  <c r="AI313" i="1554"/>
  <c r="G314" i="1554"/>
  <c r="H314" i="1554"/>
  <c r="I314" i="1554"/>
  <c r="J314" i="1554"/>
  <c r="K314" i="1554"/>
  <c r="O314" i="1554"/>
  <c r="T314" i="1554"/>
  <c r="AI314" i="1554"/>
  <c r="G315" i="1554"/>
  <c r="H315" i="1554"/>
  <c r="I315" i="1554"/>
  <c r="J315" i="1554"/>
  <c r="K315" i="1554"/>
  <c r="O315" i="1554"/>
  <c r="T315" i="1554"/>
  <c r="AI315" i="1554"/>
  <c r="G316" i="1554"/>
  <c r="H316" i="1554"/>
  <c r="I316" i="1554"/>
  <c r="J316" i="1554"/>
  <c r="K316" i="1554"/>
  <c r="O316" i="1554"/>
  <c r="T316" i="1554"/>
  <c r="AI316" i="1554"/>
  <c r="G317" i="1554"/>
  <c r="H317" i="1554"/>
  <c r="I317" i="1554"/>
  <c r="J317" i="1554"/>
  <c r="K317" i="1554"/>
  <c r="T317" i="1554"/>
  <c r="AI317" i="1554"/>
  <c r="G318" i="1554"/>
  <c r="H318" i="1554"/>
  <c r="I318" i="1554"/>
  <c r="J318" i="1554"/>
  <c r="K318" i="1554"/>
  <c r="O318" i="1554"/>
  <c r="S318" i="1554"/>
  <c r="T319" i="1554"/>
  <c r="AI318" i="1554"/>
  <c r="C319" i="1554"/>
  <c r="D319" i="1554"/>
  <c r="E319" i="1554"/>
  <c r="F319" i="1554"/>
  <c r="AL319" i="1554"/>
  <c r="G322" i="1554"/>
  <c r="H322" i="1554"/>
  <c r="I322" i="1554"/>
  <c r="J322" i="1554"/>
  <c r="K322" i="1554"/>
  <c r="O322" i="1554"/>
  <c r="AI322" i="1554"/>
  <c r="G323" i="1554"/>
  <c r="G138" i="121" s="1"/>
  <c r="G152" i="1810" s="1"/>
  <c r="G154" i="1810" s="1"/>
  <c r="G77" i="1821" s="1"/>
  <c r="H323" i="1554"/>
  <c r="H138" i="121" s="1"/>
  <c r="H152" i="1810" s="1"/>
  <c r="H154" i="1810" s="1"/>
  <c r="H77" i="1821" s="1"/>
  <c r="I323" i="1554"/>
  <c r="J323" i="1554"/>
  <c r="J138" i="121" s="1"/>
  <c r="J152" i="1810" s="1"/>
  <c r="J154" i="1810" s="1"/>
  <c r="J77" i="1821" s="1"/>
  <c r="K323" i="1554"/>
  <c r="K138" i="121" s="1"/>
  <c r="K152" i="1810" s="1"/>
  <c r="K154" i="1810" s="1"/>
  <c r="K77" i="1821" s="1"/>
  <c r="O323" i="1554"/>
  <c r="O138" i="121" s="1"/>
  <c r="O152" i="1810" s="1"/>
  <c r="O154" i="1810" s="1"/>
  <c r="O77" i="1821" s="1"/>
  <c r="AI323" i="1554"/>
  <c r="AG138" i="121" s="1"/>
  <c r="AG152" i="1810" s="1"/>
  <c r="AG154" i="1810" s="1"/>
  <c r="AG77" i="1821" s="1"/>
  <c r="P324" i="1554"/>
  <c r="Q324" i="1554" s="1"/>
  <c r="R324" i="1554" s="1"/>
  <c r="AI324" i="1554"/>
  <c r="AJ324" i="1554"/>
  <c r="AK324" i="1554"/>
  <c r="T325" i="1554"/>
  <c r="G326" i="1554"/>
  <c r="H326" i="1554"/>
  <c r="I326" i="1554"/>
  <c r="J326" i="1554"/>
  <c r="K326" i="1554"/>
  <c r="O326" i="1554"/>
  <c r="T326" i="1554"/>
  <c r="AI326" i="1554"/>
  <c r="G327" i="1554"/>
  <c r="G252" i="121" s="1"/>
  <c r="H327" i="1554"/>
  <c r="H252" i="121" s="1"/>
  <c r="I327" i="1554"/>
  <c r="I252" i="121" s="1"/>
  <c r="J327" i="1554"/>
  <c r="J252" i="121" s="1"/>
  <c r="K327" i="1554"/>
  <c r="K252" i="121" s="1"/>
  <c r="O327" i="1554"/>
  <c r="O252" i="121" s="1"/>
  <c r="T327" i="1554"/>
  <c r="AI327" i="1554"/>
  <c r="AG252" i="121" s="1"/>
  <c r="S328" i="1554"/>
  <c r="AL328" i="1554"/>
  <c r="J331" i="1554"/>
  <c r="K331" i="1554"/>
  <c r="L331" i="1554"/>
  <c r="M331" i="1554"/>
  <c r="N331" i="1554"/>
  <c r="O331" i="1554"/>
  <c r="P331" i="1554"/>
  <c r="J332" i="1554"/>
  <c r="K332" i="1554"/>
  <c r="L332" i="1554"/>
  <c r="M332" i="1554"/>
  <c r="N332" i="1554"/>
  <c r="O332" i="1554"/>
  <c r="P332" i="1554"/>
  <c r="J333" i="1554"/>
  <c r="K333" i="1554"/>
  <c r="L333" i="1554"/>
  <c r="M333" i="1554"/>
  <c r="N333" i="1554"/>
  <c r="O333" i="1554"/>
  <c r="P333" i="1554"/>
  <c r="G334" i="1554"/>
  <c r="AJ334" i="1554" s="1"/>
  <c r="J334" i="1554" s="1"/>
  <c r="K334" i="1554"/>
  <c r="L334" i="1554"/>
  <c r="M334" i="1554"/>
  <c r="N334" i="1554"/>
  <c r="O334" i="1554"/>
  <c r="P334" i="1554"/>
  <c r="J335" i="1554"/>
  <c r="K335" i="1554"/>
  <c r="L335" i="1554"/>
  <c r="M335" i="1554"/>
  <c r="N335" i="1554"/>
  <c r="O335" i="1554"/>
  <c r="P335" i="1554"/>
  <c r="AJ336" i="1554"/>
  <c r="J336" i="1554" s="1"/>
  <c r="K336" i="1554"/>
  <c r="L336" i="1554"/>
  <c r="M336" i="1554"/>
  <c r="N336" i="1554"/>
  <c r="O336" i="1554"/>
  <c r="P336" i="1554"/>
  <c r="J337" i="1554"/>
  <c r="K337" i="1554"/>
  <c r="L337" i="1554"/>
  <c r="M337" i="1554"/>
  <c r="N337" i="1554"/>
  <c r="O337" i="1554"/>
  <c r="P337" i="1554"/>
  <c r="G338" i="1554"/>
  <c r="H338" i="1554" s="1"/>
  <c r="AJ338" i="1554"/>
  <c r="K338" i="1554"/>
  <c r="L338" i="1554"/>
  <c r="M338" i="1554"/>
  <c r="N338" i="1554"/>
  <c r="O338" i="1554"/>
  <c r="P338" i="1554"/>
  <c r="J339" i="1554"/>
  <c r="K339" i="1554"/>
  <c r="L339" i="1554"/>
  <c r="M339" i="1554"/>
  <c r="N339" i="1554"/>
  <c r="O339" i="1554"/>
  <c r="P339" i="1554"/>
  <c r="J340" i="1554"/>
  <c r="K340" i="1554"/>
  <c r="L340" i="1554"/>
  <c r="M340" i="1554"/>
  <c r="N340" i="1554"/>
  <c r="O340" i="1554"/>
  <c r="P340" i="1554"/>
  <c r="AJ341" i="1554"/>
  <c r="J341" i="1554" s="1"/>
  <c r="K341" i="1554"/>
  <c r="L341" i="1554"/>
  <c r="M341" i="1554"/>
  <c r="N341" i="1554"/>
  <c r="O341" i="1554"/>
  <c r="P341" i="1554"/>
  <c r="G343" i="1554"/>
  <c r="H343" i="1554" s="1"/>
  <c r="I343" i="1554" s="1"/>
  <c r="AJ343" i="1554"/>
  <c r="K343" i="1554"/>
  <c r="L343" i="1554"/>
  <c r="M343" i="1554"/>
  <c r="N343" i="1554"/>
  <c r="O343" i="1554"/>
  <c r="P343" i="1554"/>
  <c r="T343" i="1554"/>
  <c r="AI343" i="1554"/>
  <c r="J344" i="1554"/>
  <c r="K344" i="1554"/>
  <c r="L344" i="1554"/>
  <c r="M344" i="1554"/>
  <c r="N344" i="1554"/>
  <c r="O344" i="1554"/>
  <c r="P344" i="1554"/>
  <c r="T344" i="1554"/>
  <c r="R345" i="1554"/>
  <c r="R136" i="121" s="1"/>
  <c r="T345" i="1554"/>
  <c r="J346" i="1554"/>
  <c r="K346" i="1554"/>
  <c r="L346" i="1554"/>
  <c r="M346" i="1554"/>
  <c r="N346" i="1554"/>
  <c r="O346" i="1554"/>
  <c r="P346" i="1554"/>
  <c r="T346" i="1554"/>
  <c r="J347" i="1554"/>
  <c r="K347" i="1554"/>
  <c r="L347" i="1554"/>
  <c r="M347" i="1554"/>
  <c r="N347" i="1554"/>
  <c r="O347" i="1554"/>
  <c r="P347" i="1554"/>
  <c r="T347" i="1554"/>
  <c r="J348" i="1554"/>
  <c r="K348" i="1554"/>
  <c r="L348" i="1554"/>
  <c r="M348" i="1554"/>
  <c r="N348" i="1554"/>
  <c r="O348" i="1554"/>
  <c r="P348" i="1554"/>
  <c r="S349" i="1554"/>
  <c r="AL349" i="1554"/>
  <c r="G351" i="1554"/>
  <c r="H351" i="1554"/>
  <c r="I351" i="1554"/>
  <c r="J351" i="1554"/>
  <c r="K351" i="1554"/>
  <c r="O351" i="1554"/>
  <c r="T351" i="1554"/>
  <c r="AI351" i="1554"/>
  <c r="G353" i="1554"/>
  <c r="AI354" i="1554" s="1"/>
  <c r="AJ353" i="1554" s="1"/>
  <c r="G357" i="1554"/>
  <c r="AJ357" i="1554"/>
  <c r="K357" i="1554"/>
  <c r="L357" i="1554"/>
  <c r="M357" i="1554"/>
  <c r="N357" i="1554"/>
  <c r="O357" i="1554"/>
  <c r="O354" i="121" s="1"/>
  <c r="P357" i="1554"/>
  <c r="P354" i="121" s="1"/>
  <c r="T357" i="1554"/>
  <c r="G358" i="1554"/>
  <c r="H358" i="1554" s="1"/>
  <c r="H134" i="121" s="1"/>
  <c r="H74" i="1821" s="1"/>
  <c r="AJ358" i="1554"/>
  <c r="K358" i="1554"/>
  <c r="L358" i="1554"/>
  <c r="L134" i="121" s="1"/>
  <c r="L74" i="1821" s="1"/>
  <c r="M358" i="1554"/>
  <c r="M134" i="121" s="1"/>
  <c r="M74" i="1821" s="1"/>
  <c r="N358" i="1554"/>
  <c r="N134" i="121" s="1"/>
  <c r="N74" i="1821" s="1"/>
  <c r="O358" i="1554"/>
  <c r="O134" i="121" s="1"/>
  <c r="O74" i="1821" s="1"/>
  <c r="P358" i="1554"/>
  <c r="P134" i="121" s="1"/>
  <c r="P74" i="1821" s="1"/>
  <c r="T358" i="1554"/>
  <c r="H361" i="1554"/>
  <c r="I361" i="1554"/>
  <c r="J361" i="1554"/>
  <c r="K361" i="1554"/>
  <c r="L361" i="1554"/>
  <c r="M361" i="1554"/>
  <c r="O361" i="1554"/>
  <c r="P361" i="1554"/>
  <c r="Q361" i="1554"/>
  <c r="R361" i="1554"/>
  <c r="S361" i="1554"/>
  <c r="T361" i="1554"/>
  <c r="AA361" i="1554"/>
  <c r="AA362" i="1554" s="1"/>
  <c r="AB361" i="1554"/>
  <c r="AB362" i="1554" s="1"/>
  <c r="AC361" i="1554"/>
  <c r="AC362" i="1554" s="1"/>
  <c r="AD361" i="1554"/>
  <c r="AD362" i="1554" s="1"/>
  <c r="AE361" i="1554"/>
  <c r="AE362" i="1554" s="1"/>
  <c r="AF361" i="1554"/>
  <c r="AF362" i="1554" s="1"/>
  <c r="AG361" i="1554"/>
  <c r="AG362" i="1554" s="1"/>
  <c r="AH361" i="1554"/>
  <c r="AH362" i="1554" s="1"/>
  <c r="AK361" i="1554"/>
  <c r="A3" i="121"/>
  <c r="Q9" i="121"/>
  <c r="R9" i="121"/>
  <c r="S9" i="121"/>
  <c r="W19" i="121" s="1"/>
  <c r="T9" i="121"/>
  <c r="X19" i="121" s="1"/>
  <c r="Q10" i="121"/>
  <c r="R10" i="121"/>
  <c r="S10" i="121"/>
  <c r="T10" i="121"/>
  <c r="V31" i="1583"/>
  <c r="Q11" i="121"/>
  <c r="R11" i="121"/>
  <c r="S11" i="121"/>
  <c r="W21" i="121" s="1"/>
  <c r="T11" i="121"/>
  <c r="X21" i="121" s="1"/>
  <c r="AG12" i="121"/>
  <c r="AG9" i="1810" s="1"/>
  <c r="G12" i="121"/>
  <c r="H13" i="121"/>
  <c r="I13" i="121"/>
  <c r="L13" i="121"/>
  <c r="M13" i="121"/>
  <c r="O13" i="121"/>
  <c r="P13" i="121"/>
  <c r="G14" i="121"/>
  <c r="H14" i="121"/>
  <c r="I14" i="121"/>
  <c r="J14" i="121"/>
  <c r="K14" i="121"/>
  <c r="L14" i="121"/>
  <c r="M14" i="121"/>
  <c r="N14" i="121"/>
  <c r="O14" i="121"/>
  <c r="P14" i="121"/>
  <c r="D16" i="121"/>
  <c r="E16" i="121"/>
  <c r="I16" i="121"/>
  <c r="L16" i="121"/>
  <c r="M16" i="121"/>
  <c r="P16" i="121"/>
  <c r="H22" i="121"/>
  <c r="H38" i="121" s="1"/>
  <c r="I22" i="121"/>
  <c r="I38" i="121" s="1"/>
  <c r="L22" i="121"/>
  <c r="M22" i="121"/>
  <c r="O22" i="121"/>
  <c r="P22" i="121"/>
  <c r="AG22" i="121"/>
  <c r="V184" i="121"/>
  <c r="L172" i="121"/>
  <c r="M172" i="121"/>
  <c r="N172" i="121"/>
  <c r="O174" i="121"/>
  <c r="P172" i="121"/>
  <c r="Q174" i="121"/>
  <c r="R174" i="121"/>
  <c r="S174" i="121"/>
  <c r="T174" i="121"/>
  <c r="Q40" i="121"/>
  <c r="Q34" i="1810" s="1"/>
  <c r="S40" i="121"/>
  <c r="S34" i="1810" s="1"/>
  <c r="T40" i="121"/>
  <c r="T34" i="1810" s="1"/>
  <c r="Q45" i="121"/>
  <c r="S45" i="121"/>
  <c r="Q65" i="121"/>
  <c r="Q46" i="121" s="1"/>
  <c r="R65" i="121"/>
  <c r="S65" i="121"/>
  <c r="T65" i="121"/>
  <c r="T46" i="121" s="1"/>
  <c r="A50" i="121"/>
  <c r="A55" i="121" s="1"/>
  <c r="A51" i="121"/>
  <c r="A56" i="121" s="1"/>
  <c r="A52" i="121"/>
  <c r="A57" i="121" s="1"/>
  <c r="A62" i="121" s="1"/>
  <c r="AP59" i="121"/>
  <c r="AQ59" i="121"/>
  <c r="AQ60" i="121"/>
  <c r="AP71" i="121"/>
  <c r="AQ71" i="121"/>
  <c r="J72" i="121"/>
  <c r="J122" i="121" s="1"/>
  <c r="N72" i="121"/>
  <c r="N122" i="121" s="1"/>
  <c r="R90" i="121"/>
  <c r="R69" i="1810" s="1"/>
  <c r="S90" i="121"/>
  <c r="S69" i="1810" s="1"/>
  <c r="T90" i="121"/>
  <c r="T69" i="1810" s="1"/>
  <c r="AQ72" i="121"/>
  <c r="G73" i="121"/>
  <c r="AH73" i="121"/>
  <c r="N73" i="121"/>
  <c r="Q73" i="121"/>
  <c r="Q74" i="121" s="1"/>
  <c r="R73" i="121"/>
  <c r="R74" i="121" s="1"/>
  <c r="S73" i="121"/>
  <c r="T73" i="121"/>
  <c r="T74" i="121" s="1"/>
  <c r="G74" i="121"/>
  <c r="H74" i="121"/>
  <c r="I74" i="121"/>
  <c r="AH74" i="121"/>
  <c r="M74" i="121"/>
  <c r="AI74" i="121"/>
  <c r="Q75" i="121"/>
  <c r="Q49" i="1810" s="1"/>
  <c r="AQ75" i="121"/>
  <c r="A90" i="121"/>
  <c r="S96" i="121"/>
  <c r="S94" i="1810" s="1"/>
  <c r="Q103" i="121"/>
  <c r="Q119" i="1810" s="1"/>
  <c r="Q121" i="1810" s="1"/>
  <c r="Q49" i="1821" s="1"/>
  <c r="R103" i="121"/>
  <c r="R119" i="1810" s="1"/>
  <c r="R121" i="1810" s="1"/>
  <c r="R49" i="1821" s="1"/>
  <c r="S103" i="121"/>
  <c r="S119" i="1810" s="1"/>
  <c r="T103" i="121"/>
  <c r="T119" i="1810" s="1"/>
  <c r="T121" i="1810" s="1"/>
  <c r="T49" i="1821" s="1"/>
  <c r="K105" i="121"/>
  <c r="K127" i="1810" s="1"/>
  <c r="L105" i="121"/>
  <c r="L127" i="1810" s="1"/>
  <c r="L129" i="1810" s="1"/>
  <c r="O105" i="121"/>
  <c r="O127" i="1810" s="1"/>
  <c r="P105" i="121"/>
  <c r="P127" i="1810" s="1"/>
  <c r="P129" i="1810" s="1"/>
  <c r="Q105" i="121"/>
  <c r="Q127" i="1810" s="1"/>
  <c r="Q129" i="1810" s="1"/>
  <c r="R105" i="121"/>
  <c r="R127" i="1810" s="1"/>
  <c r="R129" i="1810" s="1"/>
  <c r="S105" i="121"/>
  <c r="S127" i="1810" s="1"/>
  <c r="T105" i="121"/>
  <c r="T127" i="1810" s="1"/>
  <c r="T129" i="1810" s="1"/>
  <c r="M109" i="121"/>
  <c r="L109" i="121" s="1"/>
  <c r="K109" i="121" s="1"/>
  <c r="J109" i="121" s="1"/>
  <c r="I109" i="121" s="1"/>
  <c r="H109" i="121" s="1"/>
  <c r="G109" i="121" s="1"/>
  <c r="N109" i="121"/>
  <c r="O109" i="121"/>
  <c r="P109" i="121"/>
  <c r="S134" i="121"/>
  <c r="S74" i="1821" s="1"/>
  <c r="AG134" i="121"/>
  <c r="AG74" i="1821" s="1"/>
  <c r="A121" i="121"/>
  <c r="G122" i="121"/>
  <c r="H122" i="121"/>
  <c r="I122" i="121"/>
  <c r="K122" i="121"/>
  <c r="L122" i="121"/>
  <c r="M122" i="121"/>
  <c r="AG122" i="121"/>
  <c r="AH122" i="121"/>
  <c r="AI122" i="121"/>
  <c r="S133" i="121"/>
  <c r="S148" i="1810" s="1"/>
  <c r="S150" i="1810" s="1"/>
  <c r="Q126" i="121"/>
  <c r="Q366" i="121" s="1"/>
  <c r="Q368" i="121" s="1"/>
  <c r="R126" i="121"/>
  <c r="S126" i="121"/>
  <c r="T126" i="121"/>
  <c r="U348" i="121" s="1"/>
  <c r="T127" i="121"/>
  <c r="T324" i="121" s="1"/>
  <c r="U325" i="121" s="1"/>
  <c r="U326" i="121" s="1"/>
  <c r="Q127" i="121"/>
  <c r="Q324" i="121" s="1"/>
  <c r="R127" i="121"/>
  <c r="S127" i="121"/>
  <c r="S324" i="121" s="1"/>
  <c r="G132" i="121"/>
  <c r="H132" i="121"/>
  <c r="I132" i="121"/>
  <c r="AH132" i="121"/>
  <c r="J132" i="121" s="1"/>
  <c r="N132" i="121"/>
  <c r="G135" i="121"/>
  <c r="G75" i="1821" s="1"/>
  <c r="H135" i="121"/>
  <c r="H75" i="1821" s="1"/>
  <c r="I135" i="121"/>
  <c r="I75" i="1821" s="1"/>
  <c r="S135" i="121"/>
  <c r="AG135" i="121"/>
  <c r="AG75" i="1821" s="1"/>
  <c r="AH135" i="121"/>
  <c r="Q136" i="121"/>
  <c r="S136" i="121"/>
  <c r="AH136" i="121"/>
  <c r="AI136" i="121"/>
  <c r="Q138" i="121"/>
  <c r="Q152" i="1810" s="1"/>
  <c r="Q154" i="1810" s="1"/>
  <c r="Q77" i="1821" s="1"/>
  <c r="S138" i="121"/>
  <c r="S152" i="1810" s="1"/>
  <c r="S154" i="1810" s="1"/>
  <c r="S77" i="1821" s="1"/>
  <c r="T138" i="121"/>
  <c r="T152" i="1810" s="1"/>
  <c r="T154" i="1810" s="1"/>
  <c r="T77" i="1821" s="1"/>
  <c r="Q150" i="121"/>
  <c r="U156" i="121" s="1"/>
  <c r="R150" i="121"/>
  <c r="S150" i="121"/>
  <c r="W156" i="121" s="1"/>
  <c r="AG150" i="121"/>
  <c r="Q151" i="121"/>
  <c r="U157" i="121" s="1"/>
  <c r="R151" i="121"/>
  <c r="S151" i="121"/>
  <c r="W157" i="121" s="1"/>
  <c r="AG151" i="121"/>
  <c r="AG171" i="121" s="1"/>
  <c r="Q152" i="121"/>
  <c r="R152" i="121"/>
  <c r="S152" i="121"/>
  <c r="W158" i="121" s="1"/>
  <c r="AG152" i="121"/>
  <c r="K160" i="121"/>
  <c r="A163" i="121"/>
  <c r="A164" i="121"/>
  <c r="Q164" i="121"/>
  <c r="R164" i="121"/>
  <c r="S164" i="121"/>
  <c r="T164" i="121"/>
  <c r="AI164" i="121"/>
  <c r="AJ164" i="121"/>
  <c r="A165" i="121"/>
  <c r="A166" i="121"/>
  <c r="R166" i="121"/>
  <c r="S166" i="121"/>
  <c r="T166" i="121"/>
  <c r="AJ166" i="121"/>
  <c r="A167" i="121"/>
  <c r="A171" i="121"/>
  <c r="A172" i="121"/>
  <c r="Q172" i="121"/>
  <c r="R172" i="121"/>
  <c r="S172" i="121"/>
  <c r="T172" i="121"/>
  <c r="AJ172" i="121"/>
  <c r="A173" i="121"/>
  <c r="A174" i="121"/>
  <c r="AJ174" i="121"/>
  <c r="A175" i="121"/>
  <c r="O180" i="121"/>
  <c r="S180" i="121"/>
  <c r="T180" i="121"/>
  <c r="O181" i="121"/>
  <c r="S181" i="121"/>
  <c r="T181" i="121"/>
  <c r="P182" i="121"/>
  <c r="Q182" i="121"/>
  <c r="R182" i="121"/>
  <c r="S182" i="121"/>
  <c r="T182" i="121"/>
  <c r="Q183" i="121"/>
  <c r="R183" i="121"/>
  <c r="S183" i="121"/>
  <c r="T183" i="121"/>
  <c r="W185" i="121"/>
  <c r="X185" i="121"/>
  <c r="Y185" i="121"/>
  <c r="Z185" i="121"/>
  <c r="AA186" i="121" s="1"/>
  <c r="A208" i="121"/>
  <c r="A225" i="121" s="1"/>
  <c r="A230" i="121" s="1"/>
  <c r="A235" i="121" s="1"/>
  <c r="A240" i="121" s="1"/>
  <c r="Q208" i="121"/>
  <c r="R208" i="121"/>
  <c r="S208" i="121"/>
  <c r="T208" i="121"/>
  <c r="A209" i="121"/>
  <c r="A221" i="121" s="1"/>
  <c r="Q209" i="121"/>
  <c r="R209" i="121"/>
  <c r="S209" i="121"/>
  <c r="T209" i="121"/>
  <c r="Q210" i="121"/>
  <c r="R210" i="121"/>
  <c r="S210" i="121"/>
  <c r="T210" i="121"/>
  <c r="Q214" i="121"/>
  <c r="R214" i="121"/>
  <c r="S214" i="121"/>
  <c r="T214" i="121"/>
  <c r="G215" i="121"/>
  <c r="Q215" i="121"/>
  <c r="R215" i="121"/>
  <c r="S215" i="121"/>
  <c r="T215" i="121"/>
  <c r="Q216" i="121"/>
  <c r="R216" i="121"/>
  <c r="S216" i="121"/>
  <c r="T216" i="121"/>
  <c r="H220" i="121"/>
  <c r="I220" i="121"/>
  <c r="K220" i="121"/>
  <c r="L220" i="121"/>
  <c r="M220" i="121"/>
  <c r="O220" i="121"/>
  <c r="P220" i="121"/>
  <c r="Q220" i="121"/>
  <c r="S220" i="121"/>
  <c r="T220" i="121"/>
  <c r="AG220" i="121"/>
  <c r="AI220" i="121"/>
  <c r="AJ220" i="121"/>
  <c r="H221" i="121"/>
  <c r="I221" i="121"/>
  <c r="K221" i="121"/>
  <c r="L221" i="121"/>
  <c r="M221" i="121"/>
  <c r="O221" i="121"/>
  <c r="P221" i="121"/>
  <c r="Q221" i="121"/>
  <c r="S221" i="121"/>
  <c r="T221" i="121"/>
  <c r="AG221" i="121"/>
  <c r="AI221" i="121"/>
  <c r="AJ221" i="121"/>
  <c r="U226" i="121"/>
  <c r="Y231" i="121" s="1"/>
  <c r="V226" i="121"/>
  <c r="AP229" i="121"/>
  <c r="AQ229" i="121"/>
  <c r="AQ230" i="121"/>
  <c r="A232" i="121"/>
  <c r="A237" i="121" s="1"/>
  <c r="AP234" i="121"/>
  <c r="AQ234" i="121"/>
  <c r="AQ235" i="121"/>
  <c r="AP239" i="121"/>
  <c r="AQ239" i="121"/>
  <c r="AQ240" i="121"/>
  <c r="AP244" i="121"/>
  <c r="AQ244" i="121"/>
  <c r="AQ245" i="121"/>
  <c r="A252" i="121"/>
  <c r="S252" i="121"/>
  <c r="AJ252" i="121"/>
  <c r="Q262" i="121"/>
  <c r="U268" i="121" s="1"/>
  <c r="R262" i="121"/>
  <c r="S262" i="121"/>
  <c r="T262" i="121"/>
  <c r="AF262" i="121"/>
  <c r="AG262" i="121"/>
  <c r="Q263" i="121"/>
  <c r="U269" i="121" s="1"/>
  <c r="R263" i="121"/>
  <c r="S263" i="121"/>
  <c r="T263" i="121"/>
  <c r="AF263" i="121"/>
  <c r="AG263" i="121"/>
  <c r="Q264" i="121"/>
  <c r="U270" i="121" s="1"/>
  <c r="R264" i="121"/>
  <c r="S264" i="121"/>
  <c r="W270" i="121" s="1"/>
  <c r="T264" i="121"/>
  <c r="X270" i="121" s="1"/>
  <c r="AF264" i="121"/>
  <c r="AG264" i="121"/>
  <c r="M304" i="121"/>
  <c r="M68" i="121" s="1"/>
  <c r="Q304" i="121"/>
  <c r="S304" i="121"/>
  <c r="T304" i="121"/>
  <c r="X310" i="121" s="1"/>
  <c r="AI304" i="121"/>
  <c r="AJ304" i="121"/>
  <c r="M305" i="121"/>
  <c r="M69" i="121" s="1"/>
  <c r="Q305" i="121"/>
  <c r="S305" i="121"/>
  <c r="T305" i="121"/>
  <c r="X311" i="121" s="1"/>
  <c r="AI305" i="121"/>
  <c r="AJ305" i="121"/>
  <c r="K306" i="121"/>
  <c r="K70" i="121" s="1"/>
  <c r="L306" i="121"/>
  <c r="L70" i="121" s="1"/>
  <c r="M306" i="121"/>
  <c r="M70" i="121" s="1"/>
  <c r="O306" i="121"/>
  <c r="O70" i="121" s="1"/>
  <c r="P306" i="121"/>
  <c r="P70" i="121" s="1"/>
  <c r="Q306" i="121"/>
  <c r="Q70" i="121" s="1"/>
  <c r="S306" i="121"/>
  <c r="T306" i="121"/>
  <c r="T70" i="121" s="1"/>
  <c r="AH306" i="121"/>
  <c r="AH70" i="121" s="1"/>
  <c r="AI306" i="121"/>
  <c r="AI70" i="121" s="1"/>
  <c r="AJ306" i="121"/>
  <c r="AJ70" i="121" s="1"/>
  <c r="A283" i="121"/>
  <c r="A289" i="121" s="1"/>
  <c r="A295" i="121" s="1"/>
  <c r="A301" i="121" s="1"/>
  <c r="R327" i="121"/>
  <c r="R358" i="121" s="1"/>
  <c r="S335" i="121"/>
  <c r="T335" i="121"/>
  <c r="U335" i="121"/>
  <c r="V335" i="121"/>
  <c r="AK334" i="121"/>
  <c r="S342" i="121"/>
  <c r="T342" i="121"/>
  <c r="U342" i="121"/>
  <c r="V342" i="121"/>
  <c r="AK340" i="121"/>
  <c r="V345" i="121"/>
  <c r="W345" i="121" s="1"/>
  <c r="T347" i="121"/>
  <c r="U347" i="121"/>
  <c r="A358" i="121"/>
  <c r="O358" i="121"/>
  <c r="P358" i="121"/>
  <c r="Q358" i="121"/>
  <c r="S358" i="121"/>
  <c r="T358" i="121"/>
  <c r="A359" i="121"/>
  <c r="U362" i="121"/>
  <c r="AI367" i="121"/>
  <c r="AJ367" i="121"/>
  <c r="P377" i="121"/>
  <c r="Q377" i="121"/>
  <c r="R377" i="121"/>
  <c r="S377" i="121"/>
  <c r="AF378" i="121"/>
  <c r="A380" i="121"/>
  <c r="A386" i="121" s="1"/>
  <c r="A403" i="121" s="1"/>
  <c r="A381" i="121"/>
  <c r="A387" i="121" s="1"/>
  <c r="A404" i="121" s="1"/>
  <c r="A382" i="121"/>
  <c r="A388" i="121" s="1"/>
  <c r="A405" i="121" s="1"/>
  <c r="A383" i="121"/>
  <c r="A389" i="121" s="1"/>
  <c r="A406" i="121" s="1"/>
  <c r="G395" i="121"/>
  <c r="G412" i="121" s="1"/>
  <c r="H395" i="121"/>
  <c r="H412" i="121" s="1"/>
  <c r="I395" i="121"/>
  <c r="I412" i="121" s="1"/>
  <c r="J395" i="121"/>
  <c r="J412" i="121" s="1"/>
  <c r="K395" i="121"/>
  <c r="K412" i="121" s="1"/>
  <c r="L395" i="121"/>
  <c r="L412" i="121" s="1"/>
  <c r="M395" i="121"/>
  <c r="M412" i="121" s="1"/>
  <c r="N395" i="121"/>
  <c r="N412" i="121" s="1"/>
  <c r="O395" i="121"/>
  <c r="O412" i="121" s="1"/>
  <c r="P395" i="121"/>
  <c r="P412" i="121" s="1"/>
  <c r="Q395" i="121"/>
  <c r="Q412" i="121" s="1"/>
  <c r="R395" i="121"/>
  <c r="R412" i="121" s="1"/>
  <c r="S395" i="121"/>
  <c r="S412" i="121" s="1"/>
  <c r="T395" i="121"/>
  <c r="T412" i="121" s="1"/>
  <c r="U395" i="121"/>
  <c r="U412" i="121" s="1"/>
  <c r="V395" i="121"/>
  <c r="V412" i="121" s="1"/>
  <c r="AG395" i="121"/>
  <c r="AH395" i="121"/>
  <c r="AI395" i="121"/>
  <c r="AJ395" i="121"/>
  <c r="AK395" i="121"/>
  <c r="K3" i="1711"/>
  <c r="L3" i="1711" s="1"/>
  <c r="M3" i="1711" s="1"/>
  <c r="N3" i="1711" s="1"/>
  <c r="O3" i="1711" s="1"/>
  <c r="P3" i="1711" s="1"/>
  <c r="Q3" i="1711" s="1"/>
  <c r="R3" i="1711" s="1"/>
  <c r="S3" i="1711" s="1"/>
  <c r="T3" i="1711" s="1"/>
  <c r="N10" i="1711"/>
  <c r="D9" i="1711"/>
  <c r="K10" i="1711"/>
  <c r="L10" i="1711"/>
  <c r="K61" i="1711"/>
  <c r="E39" i="1711"/>
  <c r="F39" i="1711" s="1"/>
  <c r="G39" i="1711" s="1"/>
  <c r="H39" i="1711" s="1"/>
  <c r="I39" i="1711" s="1"/>
  <c r="J39" i="1711" s="1"/>
  <c r="K39" i="1711" s="1"/>
  <c r="L39" i="1711" s="1"/>
  <c r="M39" i="1711" s="1"/>
  <c r="N39" i="1711" s="1"/>
  <c r="O39" i="1711" s="1"/>
  <c r="P39" i="1711" s="1"/>
  <c r="Q39" i="1711" s="1"/>
  <c r="R39" i="1711" s="1"/>
  <c r="S39" i="1711" s="1"/>
  <c r="T39" i="1711" s="1"/>
  <c r="B45" i="1711"/>
  <c r="E45" i="1711"/>
  <c r="F45" i="1711"/>
  <c r="G45" i="1711"/>
  <c r="H45" i="1711"/>
  <c r="B46" i="1711"/>
  <c r="E46" i="1711"/>
  <c r="F46" i="1711"/>
  <c r="G46" i="1711"/>
  <c r="H46" i="1711"/>
  <c r="B47" i="1711"/>
  <c r="E47" i="1711"/>
  <c r="F47" i="1711"/>
  <c r="G47" i="1711"/>
  <c r="H47" i="1711"/>
  <c r="B48" i="1711"/>
  <c r="H48" i="1711"/>
  <c r="K3" i="155"/>
  <c r="L3" i="155" s="1"/>
  <c r="M3" i="155" s="1"/>
  <c r="N3" i="155" s="1"/>
  <c r="O3" i="155" s="1"/>
  <c r="P3" i="155" s="1"/>
  <c r="Q3" i="155" s="1"/>
  <c r="R3" i="155" s="1"/>
  <c r="S3" i="155" s="1"/>
  <c r="T3" i="155" s="1"/>
  <c r="K10" i="155"/>
  <c r="D9" i="155"/>
  <c r="E39" i="155"/>
  <c r="F39" i="155" s="1"/>
  <c r="G39" i="155" s="1"/>
  <c r="H39" i="155" s="1"/>
  <c r="B45" i="155"/>
  <c r="E45" i="155"/>
  <c r="F45" i="155"/>
  <c r="G45" i="155"/>
  <c r="B46" i="155"/>
  <c r="E46" i="155"/>
  <c r="F46" i="155"/>
  <c r="G46" i="155"/>
  <c r="B47" i="155"/>
  <c r="E47" i="155"/>
  <c r="F47" i="155"/>
  <c r="G47" i="155"/>
  <c r="B48" i="155"/>
  <c r="F105" i="155"/>
  <c r="F109" i="155" s="1"/>
  <c r="E15" i="1425"/>
  <c r="D15" i="1425"/>
  <c r="R383" i="121"/>
  <c r="R382" i="121"/>
  <c r="R381" i="121"/>
  <c r="R380" i="121"/>
  <c r="P383" i="121"/>
  <c r="P382" i="121"/>
  <c r="P381" i="121"/>
  <c r="P380" i="121"/>
  <c r="AF383" i="121"/>
  <c r="AF382" i="121"/>
  <c r="AF381" i="121"/>
  <c r="AF380" i="121"/>
  <c r="AG741" i="1812"/>
  <c r="AG734" i="1812"/>
  <c r="AG727" i="1812"/>
  <c r="AG720" i="1812"/>
  <c r="AI65" i="1810" l="1"/>
  <c r="AJ65" i="1810"/>
  <c r="AK65" i="1810"/>
  <c r="J82" i="1821"/>
  <c r="K82" i="1821"/>
  <c r="I82" i="1821"/>
  <c r="H82" i="1821"/>
  <c r="G82" i="1821"/>
  <c r="U96" i="1821"/>
  <c r="M290" i="1554"/>
  <c r="M86" i="1821"/>
  <c r="L290" i="1554"/>
  <c r="L86" i="1821"/>
  <c r="P290" i="1554"/>
  <c r="P86" i="1821"/>
  <c r="O290" i="1554"/>
  <c r="O86" i="1821"/>
  <c r="K290" i="1554"/>
  <c r="K86" i="1821"/>
  <c r="AL290" i="1554"/>
  <c r="AJ86" i="1821"/>
  <c r="AJ233" i="1554"/>
  <c r="J86" i="1821"/>
  <c r="Q251" i="1554"/>
  <c r="Q93" i="1821"/>
  <c r="AL267" i="1554"/>
  <c r="AL270" i="1554" s="1"/>
  <c r="AJ83" i="1821"/>
  <c r="AK228" i="1554"/>
  <c r="N83" i="1821"/>
  <c r="T238" i="1554"/>
  <c r="T88" i="1821" s="1"/>
  <c r="T85" i="1821"/>
  <c r="T84" i="1821" s="1"/>
  <c r="M267" i="1554"/>
  <c r="M270" i="1554" s="1"/>
  <c r="M83" i="1821"/>
  <c r="AJ82" i="1821"/>
  <c r="S238" i="1554"/>
  <c r="S88" i="1821" s="1"/>
  <c r="S85" i="1821"/>
  <c r="S84" i="1821" s="1"/>
  <c r="L267" i="1554"/>
  <c r="L270" i="1554" s="1"/>
  <c r="L83" i="1821"/>
  <c r="P82" i="1821"/>
  <c r="AL231" i="1554"/>
  <c r="AJ85" i="1821" s="1"/>
  <c r="R85" i="1821"/>
  <c r="R84" i="1821" s="1"/>
  <c r="K267" i="1554"/>
  <c r="K83" i="1821"/>
  <c r="O82" i="1821"/>
  <c r="I290" i="1554"/>
  <c r="I86" i="1821"/>
  <c r="H290" i="1554"/>
  <c r="H86" i="1821"/>
  <c r="AL248" i="1554"/>
  <c r="AJ93" i="1821" s="1"/>
  <c r="R93" i="1821"/>
  <c r="R92" i="1821" s="1"/>
  <c r="AJ241" i="1554"/>
  <c r="AH91" i="1821" s="1"/>
  <c r="J91" i="1821"/>
  <c r="AI290" i="1554"/>
  <c r="AG86" i="1821"/>
  <c r="Q238" i="1554"/>
  <c r="Q88" i="1821" s="1"/>
  <c r="Q85" i="1821"/>
  <c r="Q84" i="1821" s="1"/>
  <c r="AJ228" i="1554"/>
  <c r="J83" i="1821"/>
  <c r="N82" i="1821"/>
  <c r="G267" i="1554"/>
  <c r="G270" i="1554" s="1"/>
  <c r="G83" i="1821"/>
  <c r="P267" i="1554"/>
  <c r="P270" i="1554" s="1"/>
  <c r="P83" i="1821"/>
  <c r="I267" i="1554"/>
  <c r="I270" i="1554" s="1"/>
  <c r="I83" i="1821"/>
  <c r="M82" i="1821"/>
  <c r="T186" i="121"/>
  <c r="O267" i="1554"/>
  <c r="O270" i="1554" s="1"/>
  <c r="O83" i="1821"/>
  <c r="H267" i="1554"/>
  <c r="H270" i="1554" s="1"/>
  <c r="H83" i="1821"/>
  <c r="L82" i="1821"/>
  <c r="K183" i="121"/>
  <c r="AI183" i="121" s="1"/>
  <c r="AK177" i="1554"/>
  <c r="K182" i="121"/>
  <c r="K181" i="121"/>
  <c r="K180" i="121"/>
  <c r="AH75" i="1821"/>
  <c r="AJ15" i="1810"/>
  <c r="AK15" i="1810"/>
  <c r="AI40" i="1810"/>
  <c r="AI45" i="1810"/>
  <c r="S100" i="1810"/>
  <c r="S105" i="1810"/>
  <c r="AH45" i="1810"/>
  <c r="AH40" i="1810"/>
  <c r="AJ100" i="1810"/>
  <c r="AG50" i="1810"/>
  <c r="AH65" i="1810" s="1"/>
  <c r="V185" i="121"/>
  <c r="V81" i="1810"/>
  <c r="V18" i="1821"/>
  <c r="V31" i="1821" s="1"/>
  <c r="V38" i="1821" s="1"/>
  <c r="V61" i="1810"/>
  <c r="S75" i="1821"/>
  <c r="Q75" i="1810"/>
  <c r="Q80" i="1810"/>
  <c r="AJ55" i="1810"/>
  <c r="AK55" i="1810"/>
  <c r="AJ60" i="1810"/>
  <c r="V90" i="1810"/>
  <c r="V85" i="1810"/>
  <c r="M75" i="1810"/>
  <c r="M80" i="1810"/>
  <c r="AI55" i="1810"/>
  <c r="AI60" i="1810"/>
  <c r="N82" i="1808" s="1"/>
  <c r="S96" i="1810"/>
  <c r="S137" i="1810" s="1"/>
  <c r="S145" i="1810" s="1"/>
  <c r="AH80" i="1810"/>
  <c r="AH60" i="1810"/>
  <c r="M82" i="1808" s="1"/>
  <c r="M84" i="1808" s="1"/>
  <c r="G9" i="1810"/>
  <c r="G11" i="1810" s="1"/>
  <c r="H23" i="121"/>
  <c r="AC165" i="121"/>
  <c r="AC167" i="121" s="1"/>
  <c r="AM167" i="121" s="1"/>
  <c r="U415" i="121"/>
  <c r="V23" i="121"/>
  <c r="V32" i="121"/>
  <c r="U32" i="121"/>
  <c r="K398" i="121"/>
  <c r="K415" i="121"/>
  <c r="M398" i="121"/>
  <c r="M415" i="121"/>
  <c r="S71" i="1810"/>
  <c r="P138" i="1810"/>
  <c r="P54" i="1821"/>
  <c r="P63" i="1821" s="1"/>
  <c r="Q51" i="1810"/>
  <c r="O129" i="1810"/>
  <c r="AJ127" i="1810"/>
  <c r="AJ129" i="1810" s="1"/>
  <c r="AG11" i="1810"/>
  <c r="D8" i="1809" s="1"/>
  <c r="D71" i="1810"/>
  <c r="D74" i="1810"/>
  <c r="L54" i="1821"/>
  <c r="L63" i="1821" s="1"/>
  <c r="L138" i="1810"/>
  <c r="T71" i="1810"/>
  <c r="K129" i="1810"/>
  <c r="T138" i="1810"/>
  <c r="T54" i="1821"/>
  <c r="T63" i="1821" s="1"/>
  <c r="R71" i="1810"/>
  <c r="O71" i="1810"/>
  <c r="O74" i="1810"/>
  <c r="G71" i="1810"/>
  <c r="U68" i="1821"/>
  <c r="S73" i="1821"/>
  <c r="AK127" i="1810"/>
  <c r="AK129" i="1810" s="1"/>
  <c r="S129" i="1810"/>
  <c r="S121" i="1810"/>
  <c r="AK119" i="1810"/>
  <c r="T36" i="1810"/>
  <c r="N71" i="1810"/>
  <c r="Y22" i="121"/>
  <c r="Y38" i="121" s="1"/>
  <c r="U9" i="1810"/>
  <c r="U39" i="1810"/>
  <c r="Y39" i="1810"/>
  <c r="U36" i="1810"/>
  <c r="R138" i="1810"/>
  <c r="R54" i="1821"/>
  <c r="R63" i="1821" s="1"/>
  <c r="S36" i="1810"/>
  <c r="U79" i="1810"/>
  <c r="U51" i="1810"/>
  <c r="U54" i="1810"/>
  <c r="Y54" i="1810"/>
  <c r="Q138" i="1810"/>
  <c r="Q54" i="1821"/>
  <c r="Q63" i="1821" s="1"/>
  <c r="Q36" i="1810"/>
  <c r="V46" i="1810"/>
  <c r="V14" i="1821"/>
  <c r="AM150" i="121"/>
  <c r="AC262" i="121"/>
  <c r="AM262" i="121" s="1"/>
  <c r="U277" i="121"/>
  <c r="Y313" i="121"/>
  <c r="U45" i="121"/>
  <c r="Y50" i="121" s="1"/>
  <c r="Y52" i="121"/>
  <c r="P126" i="121"/>
  <c r="P366" i="121" s="1"/>
  <c r="P368" i="121" s="1"/>
  <c r="P108" i="1814"/>
  <c r="AK225" i="1554"/>
  <c r="AI82" i="1821" s="1"/>
  <c r="AI106" i="1814"/>
  <c r="O126" i="121"/>
  <c r="O366" i="121" s="1"/>
  <c r="O368" i="121" s="1"/>
  <c r="O108" i="1814"/>
  <c r="AH106" i="1814"/>
  <c r="L126" i="121"/>
  <c r="L366" i="121" s="1"/>
  <c r="L368" i="121" s="1"/>
  <c r="L108" i="1814"/>
  <c r="AI225" i="1554"/>
  <c r="AG82" i="1821" s="1"/>
  <c r="F106" i="1814"/>
  <c r="AG106" i="1814" s="1"/>
  <c r="M126" i="121"/>
  <c r="M366" i="121" s="1"/>
  <c r="M368" i="121" s="1"/>
  <c r="M108" i="1814"/>
  <c r="AH105" i="1814"/>
  <c r="J108" i="1814"/>
  <c r="AK249" i="1554"/>
  <c r="F105" i="1814"/>
  <c r="AH745" i="1812"/>
  <c r="AH227" i="1812"/>
  <c r="AH3" i="1812"/>
  <c r="BF4" i="1812"/>
  <c r="AG740" i="1812"/>
  <c r="AG738" i="1812" s="1"/>
  <c r="AG412" i="1812" s="1"/>
  <c r="AG735" i="1812"/>
  <c r="AG728" i="1812"/>
  <c r="AG733" i="1812"/>
  <c r="AG731" i="1812" s="1"/>
  <c r="AG410" i="1812" s="1"/>
  <c r="AG726" i="1812"/>
  <c r="AG724" i="1812" s="1"/>
  <c r="AG409" i="1812" s="1"/>
  <c r="AG721" i="1812"/>
  <c r="AG719" i="1812"/>
  <c r="AG717" i="1812" s="1"/>
  <c r="AG408" i="1812" s="1"/>
  <c r="AG742" i="1812"/>
  <c r="Z165" i="121"/>
  <c r="Z167" i="121" s="1"/>
  <c r="AD168" i="121"/>
  <c r="X20" i="121"/>
  <c r="X32" i="121"/>
  <c r="X40" i="121"/>
  <c r="X34" i="1810" s="1"/>
  <c r="W20" i="121"/>
  <c r="W32" i="121"/>
  <c r="X126" i="1554"/>
  <c r="X132" i="1554" s="1"/>
  <c r="X36" i="121" s="1"/>
  <c r="X123" i="1554"/>
  <c r="X134" i="1554" s="1"/>
  <c r="X128" i="1554"/>
  <c r="X133" i="1554"/>
  <c r="X37" i="121" s="1"/>
  <c r="T265" i="121"/>
  <c r="T319" i="121" s="1"/>
  <c r="X106" i="1554"/>
  <c r="U114" i="121"/>
  <c r="X163" i="121"/>
  <c r="X150" i="121"/>
  <c r="S196" i="1583"/>
  <c r="W202" i="1583" s="1"/>
  <c r="W172" i="1583"/>
  <c r="W78" i="1583"/>
  <c r="W113" i="1583"/>
  <c r="W305" i="121"/>
  <c r="S177" i="1583"/>
  <c r="W171" i="1583"/>
  <c r="W126" i="1554"/>
  <c r="W132" i="1554" s="1"/>
  <c r="W36" i="121" s="1"/>
  <c r="W123" i="1554"/>
  <c r="W134" i="1554" s="1"/>
  <c r="W133" i="1554"/>
  <c r="W37" i="121" s="1"/>
  <c r="W128" i="1554"/>
  <c r="U319" i="121"/>
  <c r="S121" i="121"/>
  <c r="AK65" i="121"/>
  <c r="T47" i="121"/>
  <c r="V62" i="121"/>
  <c r="V64" i="1554"/>
  <c r="AK305" i="121"/>
  <c r="S70" i="121"/>
  <c r="AK70" i="121" s="1"/>
  <c r="AK306" i="121"/>
  <c r="U294" i="1554"/>
  <c r="U277" i="1554"/>
  <c r="AK304" i="121"/>
  <c r="V132" i="1554"/>
  <c r="V36" i="121" s="1"/>
  <c r="V128" i="1554"/>
  <c r="V125" i="1554" s="1"/>
  <c r="V112" i="1554"/>
  <c r="S74" i="121"/>
  <c r="AK74" i="121" s="1"/>
  <c r="AK73" i="121"/>
  <c r="U300" i="121"/>
  <c r="M85" i="121"/>
  <c r="U104" i="121"/>
  <c r="U106" i="121" s="1"/>
  <c r="U107" i="121" s="1"/>
  <c r="U117" i="121" s="1"/>
  <c r="AM163" i="1554"/>
  <c r="T361" i="121"/>
  <c r="S362" i="121"/>
  <c r="R116" i="121"/>
  <c r="Q116" i="121"/>
  <c r="P353" i="121"/>
  <c r="O116" i="121"/>
  <c r="L116" i="121"/>
  <c r="K116" i="121"/>
  <c r="U81" i="121"/>
  <c r="R152" i="1583"/>
  <c r="R155" i="1583" s="1"/>
  <c r="T122" i="1583"/>
  <c r="T125" i="1583" s="1"/>
  <c r="S122" i="1583"/>
  <c r="S125" i="1583" s="1"/>
  <c r="Q122" i="1583"/>
  <c r="Q125" i="1583" s="1"/>
  <c r="H16" i="121"/>
  <c r="O152" i="1583"/>
  <c r="O155" i="1583" s="1"/>
  <c r="N152" i="1583"/>
  <c r="N155" i="1583" s="1"/>
  <c r="G152" i="1583"/>
  <c r="G155" i="1583" s="1"/>
  <c r="D152" i="1583"/>
  <c r="D158" i="1583" s="1"/>
  <c r="Q189" i="1583"/>
  <c r="AC159" i="1583"/>
  <c r="T129" i="1583"/>
  <c r="D58" i="1808"/>
  <c r="V123" i="1583"/>
  <c r="AC129" i="1583"/>
  <c r="AB159" i="1583"/>
  <c r="S129" i="1583"/>
  <c r="Q165" i="1583"/>
  <c r="U171" i="1583" s="1"/>
  <c r="AF141" i="1583"/>
  <c r="M165" i="1583"/>
  <c r="M171" i="1583" s="1"/>
  <c r="Q129" i="1583"/>
  <c r="AD189" i="1583"/>
  <c r="AC189" i="1583"/>
  <c r="AD129" i="1583"/>
  <c r="AM122" i="1554"/>
  <c r="V123" i="1554"/>
  <c r="V134" i="1554" s="1"/>
  <c r="V133" i="1554"/>
  <c r="V37" i="121" s="1"/>
  <c r="S152" i="1554"/>
  <c r="S154" i="1554" s="1"/>
  <c r="AM150" i="1554"/>
  <c r="S158" i="1554"/>
  <c r="AM156" i="1554"/>
  <c r="S163" i="121"/>
  <c r="W168" i="121" s="1"/>
  <c r="AM144" i="1554"/>
  <c r="AK138" i="121"/>
  <c r="AK152" i="1810" s="1"/>
  <c r="AK154" i="1810" s="1"/>
  <c r="AK77" i="1821" s="1"/>
  <c r="V57" i="121"/>
  <c r="U343" i="1554"/>
  <c r="V343" i="1554" s="1"/>
  <c r="U302" i="1554"/>
  <c r="V302" i="1554" s="1"/>
  <c r="U305" i="1554"/>
  <c r="V305" i="1554" s="1"/>
  <c r="U319" i="1554"/>
  <c r="U133" i="121" s="1"/>
  <c r="U148" i="1810" s="1"/>
  <c r="U150" i="1810" s="1"/>
  <c r="U73" i="1821" s="1"/>
  <c r="U312" i="1554"/>
  <c r="V312" i="1554" s="1"/>
  <c r="Y312" i="1554" s="1"/>
  <c r="Y318" i="1554" s="1"/>
  <c r="U309" i="1554"/>
  <c r="V309" i="1554" s="1"/>
  <c r="U317" i="1554"/>
  <c r="V317" i="1554" s="1"/>
  <c r="D54" i="155"/>
  <c r="D54" i="1807"/>
  <c r="F48" i="1711"/>
  <c r="F48" i="1807"/>
  <c r="U357" i="1554"/>
  <c r="U361" i="121" s="1"/>
  <c r="U326" i="1554"/>
  <c r="V326" i="1554" s="1"/>
  <c r="U308" i="1554"/>
  <c r="V308" i="1554" s="1"/>
  <c r="F12" i="121"/>
  <c r="G23" i="121" s="1"/>
  <c r="D8" i="1807"/>
  <c r="E48" i="1711"/>
  <c r="E48" i="1807"/>
  <c r="U315" i="1554"/>
  <c r="V315" i="1554" s="1"/>
  <c r="U310" i="1554"/>
  <c r="V310" i="1554" s="1"/>
  <c r="U351" i="1554"/>
  <c r="V351" i="1554" s="1"/>
  <c r="U347" i="1554"/>
  <c r="V347" i="1554" s="1"/>
  <c r="U346" i="1554"/>
  <c r="V346" i="1554" s="1"/>
  <c r="S75" i="121"/>
  <c r="S49" i="1810" s="1"/>
  <c r="AM76" i="1554"/>
  <c r="U301" i="1554"/>
  <c r="V301" i="1554" s="1"/>
  <c r="U325" i="1554"/>
  <c r="V325" i="1554" s="1"/>
  <c r="U306" i="1554"/>
  <c r="V306" i="1554" s="1"/>
  <c r="AM77" i="1554"/>
  <c r="U316" i="1554"/>
  <c r="V316" i="1554" s="1"/>
  <c r="U311" i="1554"/>
  <c r="V311" i="1554" s="1"/>
  <c r="U307" i="1554"/>
  <c r="V307" i="1554" s="1"/>
  <c r="F54" i="1711"/>
  <c r="F54" i="1807"/>
  <c r="S362" i="1554"/>
  <c r="V361" i="1554"/>
  <c r="S265" i="121"/>
  <c r="AM100" i="1554"/>
  <c r="AM118" i="1554" s="1"/>
  <c r="S90" i="1554"/>
  <c r="AM83" i="1554"/>
  <c r="AM24" i="1554"/>
  <c r="S18" i="1554"/>
  <c r="AM18" i="1554" s="1"/>
  <c r="AM16" i="1554"/>
  <c r="U304" i="1554"/>
  <c r="V304" i="1554" s="1"/>
  <c r="U314" i="1554"/>
  <c r="V314" i="1554" s="1"/>
  <c r="E54" i="1711"/>
  <c r="E54" i="1807"/>
  <c r="U344" i="1554"/>
  <c r="V344" i="1554" s="1"/>
  <c r="G45" i="1712"/>
  <c r="G48" i="1807"/>
  <c r="R265" i="121"/>
  <c r="V106" i="1554"/>
  <c r="AG38" i="121"/>
  <c r="J62" i="1554"/>
  <c r="J220" i="121" s="1"/>
  <c r="AJ313" i="121"/>
  <c r="S69" i="121"/>
  <c r="S311" i="121"/>
  <c r="O69" i="121"/>
  <c r="O79" i="121" s="1"/>
  <c r="O311" i="121"/>
  <c r="T69" i="121"/>
  <c r="T311" i="121"/>
  <c r="AJ68" i="121"/>
  <c r="AJ310" i="121"/>
  <c r="P68" i="121"/>
  <c r="P78" i="121" s="1"/>
  <c r="P310" i="121"/>
  <c r="AI68" i="121"/>
  <c r="AI78" i="121" s="1"/>
  <c r="AI310" i="121"/>
  <c r="O68" i="121"/>
  <c r="X345" i="121"/>
  <c r="W333" i="121"/>
  <c r="W335" i="121" s="1"/>
  <c r="W347" i="121"/>
  <c r="W349" i="121" s="1"/>
  <c r="T68" i="121"/>
  <c r="X78" i="121" s="1"/>
  <c r="T310" i="121"/>
  <c r="Q68" i="121"/>
  <c r="Q78" i="121" s="1"/>
  <c r="Q310" i="121"/>
  <c r="U310" i="121"/>
  <c r="AJ69" i="121"/>
  <c r="AJ311" i="121"/>
  <c r="Q69" i="121"/>
  <c r="Q79" i="121" s="1"/>
  <c r="Q311" i="121"/>
  <c r="U311" i="121"/>
  <c r="S68" i="121"/>
  <c r="S310" i="121"/>
  <c r="AI69" i="121"/>
  <c r="AI79" i="121" s="1"/>
  <c r="AI311" i="121"/>
  <c r="P69" i="121"/>
  <c r="P85" i="121" s="1"/>
  <c r="P311" i="121"/>
  <c r="Y348" i="121"/>
  <c r="K85" i="121"/>
  <c r="U93" i="121"/>
  <c r="U153" i="121"/>
  <c r="Z231" i="121"/>
  <c r="Z262" i="121"/>
  <c r="AD268" i="121" s="1"/>
  <c r="T151" i="121"/>
  <c r="U158" i="121"/>
  <c r="T150" i="121"/>
  <c r="V347" i="121"/>
  <c r="T152" i="121"/>
  <c r="X158" i="121" s="1"/>
  <c r="P398" i="121"/>
  <c r="I39" i="155"/>
  <c r="J39" i="155" s="1"/>
  <c r="K39" i="155" s="1"/>
  <c r="L39" i="155" s="1"/>
  <c r="M39" i="155" s="1"/>
  <c r="N39" i="155" s="1"/>
  <c r="O39" i="155" s="1"/>
  <c r="P39" i="155" s="1"/>
  <c r="Q39" i="155" s="1"/>
  <c r="R39" i="155" s="1"/>
  <c r="S39" i="155" s="1"/>
  <c r="T39" i="155" s="1"/>
  <c r="AL185" i="121"/>
  <c r="U56" i="121"/>
  <c r="G109" i="155"/>
  <c r="F111" i="155"/>
  <c r="L314" i="1554"/>
  <c r="F18" i="1554"/>
  <c r="F26" i="1554" s="1"/>
  <c r="F28" i="1554" s="1"/>
  <c r="F31" i="1554" s="1"/>
  <c r="L305" i="1554"/>
  <c r="L301" i="1554"/>
  <c r="U61" i="121"/>
  <c r="C15" i="1806"/>
  <c r="C18" i="1806" s="1"/>
  <c r="G10" i="1806"/>
  <c r="G11" i="1806" s="1"/>
  <c r="E10" i="1806"/>
  <c r="E11" i="1806" s="1"/>
  <c r="I10" i="1806"/>
  <c r="F10" i="1806"/>
  <c r="F11" i="1806" s="1"/>
  <c r="H10" i="1806"/>
  <c r="H11" i="1806" s="1"/>
  <c r="S378" i="121"/>
  <c r="O378" i="121"/>
  <c r="O377" i="121" s="1"/>
  <c r="U42" i="121"/>
  <c r="L310" i="1554"/>
  <c r="L302" i="1554"/>
  <c r="O208" i="1583"/>
  <c r="K207" i="1583"/>
  <c r="Q208" i="1583"/>
  <c r="P207" i="1583"/>
  <c r="Q265" i="121"/>
  <c r="U271" i="121" s="1"/>
  <c r="U106" i="1554"/>
  <c r="U29" i="121"/>
  <c r="U19" i="1810" s="1"/>
  <c r="U41" i="121"/>
  <c r="S366" i="121"/>
  <c r="S368" i="121" s="1"/>
  <c r="T348" i="121"/>
  <c r="AJ126" i="121"/>
  <c r="S348" i="121"/>
  <c r="U87" i="121"/>
  <c r="V112" i="1583"/>
  <c r="Q214" i="1583"/>
  <c r="U51" i="121"/>
  <c r="A35" i="121"/>
  <c r="A37" i="121"/>
  <c r="A36" i="121"/>
  <c r="T136" i="121"/>
  <c r="U345" i="1554"/>
  <c r="V345" i="1554" s="1"/>
  <c r="V136" i="121" s="1"/>
  <c r="K174" i="121"/>
  <c r="K179" i="1554"/>
  <c r="T134" i="121"/>
  <c r="T74" i="1821" s="1"/>
  <c r="U358" i="1554"/>
  <c r="V358" i="1554" s="1"/>
  <c r="V134" i="121" s="1"/>
  <c r="V74" i="1821" s="1"/>
  <c r="U132" i="1554"/>
  <c r="U36" i="121" s="1"/>
  <c r="U133" i="1554"/>
  <c r="U37" i="121" s="1"/>
  <c r="U123" i="1554"/>
  <c r="U134" i="1554" s="1"/>
  <c r="T133" i="121"/>
  <c r="T148" i="1810" s="1"/>
  <c r="T150" i="1810" s="1"/>
  <c r="T73" i="1821" s="1"/>
  <c r="T274" i="1554"/>
  <c r="U286" i="1554"/>
  <c r="U285" i="1554"/>
  <c r="T252" i="121"/>
  <c r="U327" i="1554"/>
  <c r="U252" i="121" s="1"/>
  <c r="L311" i="1554"/>
  <c r="H83" i="1554"/>
  <c r="C83" i="1554"/>
  <c r="AI83" i="1554" s="1"/>
  <c r="L41" i="1583"/>
  <c r="L322" i="1554"/>
  <c r="AI282" i="1554"/>
  <c r="L313" i="1554"/>
  <c r="L312" i="1554"/>
  <c r="F368" i="1555"/>
  <c r="F371" i="1555" s="1"/>
  <c r="F92" i="1554" s="1"/>
  <c r="E368" i="1555"/>
  <c r="E371" i="1555" s="1"/>
  <c r="E92" i="1554" s="1"/>
  <c r="D368" i="1555"/>
  <c r="D371" i="1555" s="1"/>
  <c r="D92" i="1554" s="1"/>
  <c r="I41" i="1583"/>
  <c r="F127" i="121"/>
  <c r="AG127" i="121" s="1"/>
  <c r="AK24" i="1554"/>
  <c r="R366" i="121"/>
  <c r="AJ366" i="121" s="1"/>
  <c r="V34" i="1583"/>
  <c r="M122" i="1554"/>
  <c r="Q123" i="1554" s="1"/>
  <c r="H90" i="1554"/>
  <c r="P83" i="1554"/>
  <c r="AF67" i="1583"/>
  <c r="AK20" i="1810" s="1"/>
  <c r="O34" i="1583"/>
  <c r="M34" i="1583"/>
  <c r="M41" i="1583"/>
  <c r="J90" i="121"/>
  <c r="J69" i="1810" s="1"/>
  <c r="N200" i="1541"/>
  <c r="T66" i="1583"/>
  <c r="P41" i="1583"/>
  <c r="L306" i="1554"/>
  <c r="AH263" i="121"/>
  <c r="AH275" i="121" s="1"/>
  <c r="AH299" i="121" s="1"/>
  <c r="I127" i="121"/>
  <c r="I324" i="121" s="1"/>
  <c r="AC130" i="1583"/>
  <c r="N74" i="1541"/>
  <c r="N75" i="1541" s="1"/>
  <c r="M302" i="1554"/>
  <c r="AF165" i="1583"/>
  <c r="M196" i="1583"/>
  <c r="U183" i="1583"/>
  <c r="U95" i="1810" s="1"/>
  <c r="V177" i="1583"/>
  <c r="V171" i="1583"/>
  <c r="H264" i="121"/>
  <c r="O214" i="121"/>
  <c r="O217" i="121" s="1"/>
  <c r="O226" i="121" s="1"/>
  <c r="O246" i="121" s="1"/>
  <c r="H10" i="121"/>
  <c r="AB166" i="1583"/>
  <c r="AB178" i="1583" s="1"/>
  <c r="L308" i="1554"/>
  <c r="P305" i="1554"/>
  <c r="Q305" i="1554" s="1"/>
  <c r="R305" i="1554" s="1"/>
  <c r="AC142" i="1583"/>
  <c r="T22" i="1545"/>
  <c r="O83" i="1554"/>
  <c r="P310" i="1554"/>
  <c r="Q310" i="1554" s="1"/>
  <c r="R310" i="1554" s="1"/>
  <c r="T180" i="1541"/>
  <c r="P151" i="121"/>
  <c r="P245" i="1554"/>
  <c r="P248" i="1554" s="1"/>
  <c r="P93" i="1821" s="1"/>
  <c r="P92" i="1821" s="1"/>
  <c r="P156" i="1554"/>
  <c r="D8" i="1711"/>
  <c r="P263" i="121"/>
  <c r="P275" i="121" s="1"/>
  <c r="P299" i="121" s="1"/>
  <c r="I96" i="121"/>
  <c r="I94" i="1810" s="1"/>
  <c r="P318" i="1554"/>
  <c r="O245" i="1554"/>
  <c r="O248" i="1554" s="1"/>
  <c r="T20" i="1545"/>
  <c r="T18" i="1545"/>
  <c r="P323" i="1554"/>
  <c r="P138" i="121" s="1"/>
  <c r="P152" i="1810" s="1"/>
  <c r="P154" i="1810" s="1"/>
  <c r="P77" i="1821" s="1"/>
  <c r="G214" i="121"/>
  <c r="G217" i="121" s="1"/>
  <c r="T165" i="121"/>
  <c r="P281" i="1554"/>
  <c r="Q159" i="1583"/>
  <c r="M105" i="121"/>
  <c r="M127" i="1810" s="1"/>
  <c r="M129" i="1810" s="1"/>
  <c r="K177" i="1583"/>
  <c r="AG210" i="121"/>
  <c r="P73" i="121"/>
  <c r="AJ73" i="121" s="1"/>
  <c r="M151" i="121"/>
  <c r="Q157" i="121" s="1"/>
  <c r="I90" i="121"/>
  <c r="I69" i="1810" s="1"/>
  <c r="C90" i="1554"/>
  <c r="I37" i="1545"/>
  <c r="P15" i="1619"/>
  <c r="AA200" i="1541"/>
  <c r="AA202" i="1541" s="1"/>
  <c r="K152" i="121"/>
  <c r="R163" i="121"/>
  <c r="E48" i="155"/>
  <c r="T316" i="121"/>
  <c r="T163" i="121"/>
  <c r="AH151" i="121"/>
  <c r="AH157" i="121" s="1"/>
  <c r="P45" i="121"/>
  <c r="P60" i="121" s="1"/>
  <c r="J291" i="1554"/>
  <c r="M100" i="1554"/>
  <c r="M265" i="121" s="1"/>
  <c r="M277" i="121" s="1"/>
  <c r="M301" i="121" s="1"/>
  <c r="L103" i="121"/>
  <c r="L119" i="1810" s="1"/>
  <c r="L121" i="1810" s="1"/>
  <c r="L49" i="1821" s="1"/>
  <c r="D103" i="121"/>
  <c r="D119" i="1810" s="1"/>
  <c r="D121" i="1810" s="1"/>
  <c r="D49" i="1821" s="1"/>
  <c r="I83" i="1554"/>
  <c r="P39" i="1554"/>
  <c r="H90" i="121"/>
  <c r="H69" i="1810" s="1"/>
  <c r="AJ361" i="1554"/>
  <c r="AJ362" i="1554" s="1"/>
  <c r="L318" i="1554"/>
  <c r="H291" i="1554"/>
  <c r="I210" i="121"/>
  <c r="I211" i="121" s="1"/>
  <c r="L309" i="1554"/>
  <c r="J267" i="1554"/>
  <c r="J270" i="1554" s="1"/>
  <c r="D18" i="1554"/>
  <c r="D26" i="1554" s="1"/>
  <c r="D28" i="1554" s="1"/>
  <c r="D31" i="1554" s="1"/>
  <c r="K151" i="121"/>
  <c r="K171" i="121" s="1"/>
  <c r="R361" i="121"/>
  <c r="R306" i="121"/>
  <c r="L65" i="121"/>
  <c r="L121" i="121" s="1"/>
  <c r="P40" i="121"/>
  <c r="P34" i="1810" s="1"/>
  <c r="S352" i="1554"/>
  <c r="L304" i="1554"/>
  <c r="L303" i="1554"/>
  <c r="I126" i="121"/>
  <c r="O90" i="1554"/>
  <c r="R174" i="1541"/>
  <c r="AD127" i="1541"/>
  <c r="L182" i="1541"/>
  <c r="O317" i="1554"/>
  <c r="O319" i="1554" s="1"/>
  <c r="O133" i="121" s="1"/>
  <c r="O148" i="1810" s="1"/>
  <c r="O150" i="1810" s="1"/>
  <c r="O73" i="1821" s="1"/>
  <c r="V198" i="1541"/>
  <c r="V200" i="1541" s="1"/>
  <c r="R175" i="1541"/>
  <c r="V31" i="1541"/>
  <c r="M222" i="121"/>
  <c r="K263" i="121"/>
  <c r="K317" i="121" s="1"/>
  <c r="P90" i="1554"/>
  <c r="T23" i="1545"/>
  <c r="R221" i="121"/>
  <c r="G90" i="1554"/>
  <c r="F103" i="121"/>
  <c r="F119" i="1810" s="1"/>
  <c r="F121" i="1810" s="1"/>
  <c r="F49" i="1821" s="1"/>
  <c r="L196" i="1541"/>
  <c r="X195" i="1541"/>
  <c r="X194" i="1541"/>
  <c r="R192" i="1541"/>
  <c r="R30" i="1541"/>
  <c r="R31" i="1541" s="1"/>
  <c r="R26" i="1541"/>
  <c r="R27" i="1541" s="1"/>
  <c r="F203" i="1555"/>
  <c r="N151" i="121"/>
  <c r="R157" i="121" s="1"/>
  <c r="T75" i="121"/>
  <c r="T49" i="1810" s="1"/>
  <c r="L315" i="1554"/>
  <c r="F126" i="121"/>
  <c r="AG126" i="121" s="1"/>
  <c r="K291" i="1554"/>
  <c r="O127" i="121"/>
  <c r="O324" i="121" s="1"/>
  <c r="Q118" i="1554"/>
  <c r="AL85" i="1554"/>
  <c r="AL71" i="1554"/>
  <c r="M103" i="121"/>
  <c r="M119" i="1810" s="1"/>
  <c r="M121" i="1810" s="1"/>
  <c r="M49" i="1821" s="1"/>
  <c r="E103" i="121"/>
  <c r="E119" i="1810" s="1"/>
  <c r="E121" i="1810" s="1"/>
  <c r="E49" i="1821" s="1"/>
  <c r="L194" i="1541"/>
  <c r="R194" i="1541"/>
  <c r="D100" i="1554"/>
  <c r="D265" i="121" s="1"/>
  <c r="M304" i="1554"/>
  <c r="G221" i="121"/>
  <c r="AH221" i="121" s="1"/>
  <c r="I152" i="121"/>
  <c r="M158" i="121" s="1"/>
  <c r="L90" i="121"/>
  <c r="L69" i="1810" s="1"/>
  <c r="R75" i="121"/>
  <c r="P309" i="1554"/>
  <c r="Q309" i="1554" s="1"/>
  <c r="R309" i="1554" s="1"/>
  <c r="M305" i="1554"/>
  <c r="H282" i="1554"/>
  <c r="P251" i="1554"/>
  <c r="AD54" i="1583"/>
  <c r="L195" i="1541"/>
  <c r="P180" i="1541"/>
  <c r="R17" i="1541"/>
  <c r="R18" i="1541" s="1"/>
  <c r="X12" i="1541"/>
  <c r="L9" i="1541"/>
  <c r="L11" i="1541" s="1"/>
  <c r="AG398" i="121"/>
  <c r="P90" i="121"/>
  <c r="P69" i="1810" s="1"/>
  <c r="L135" i="121"/>
  <c r="L75" i="1821" s="1"/>
  <c r="V136" i="1541"/>
  <c r="W136" i="1541" s="1"/>
  <c r="N316" i="1554" s="1"/>
  <c r="Q307" i="121"/>
  <c r="R165" i="121"/>
  <c r="AG105" i="121"/>
  <c r="AG127" i="1810" s="1"/>
  <c r="AG129" i="1810" s="1"/>
  <c r="AG45" i="121"/>
  <c r="AB226" i="1583" s="1"/>
  <c r="H103" i="121"/>
  <c r="H119" i="1810" s="1"/>
  <c r="H121" i="1810" s="1"/>
  <c r="H49" i="1821" s="1"/>
  <c r="AF166" i="1583"/>
  <c r="AF178" i="1583" s="1"/>
  <c r="J127" i="121"/>
  <c r="AH127" i="121" s="1"/>
  <c r="Q316" i="121"/>
  <c r="L40" i="121"/>
  <c r="L34" i="1810" s="1"/>
  <c r="M166" i="121"/>
  <c r="F281" i="1554"/>
  <c r="E122" i="1554"/>
  <c r="P38" i="1554"/>
  <c r="AC222" i="1583"/>
  <c r="T130" i="1583"/>
  <c r="AF124" i="1583"/>
  <c r="AF130" i="1583" s="1"/>
  <c r="X30" i="1541"/>
  <c r="A220" i="121"/>
  <c r="K273" i="1554"/>
  <c r="K274" i="1554" s="1"/>
  <c r="D122" i="1554"/>
  <c r="M35" i="1554"/>
  <c r="N196" i="1583"/>
  <c r="AC160" i="1583"/>
  <c r="AE54" i="1583"/>
  <c r="AD49" i="1583"/>
  <c r="H16" i="1518"/>
  <c r="D8" i="155"/>
  <c r="D54" i="1711"/>
  <c r="R72" i="121"/>
  <c r="R122" i="121" s="1"/>
  <c r="L45" i="121"/>
  <c r="L60" i="121" s="1"/>
  <c r="O11" i="121"/>
  <c r="AI88" i="1554"/>
  <c r="W201" i="1541"/>
  <c r="W205" i="1541" s="1"/>
  <c r="AA41" i="1541"/>
  <c r="V78" i="1583"/>
  <c r="R211" i="121"/>
  <c r="Q353" i="121"/>
  <c r="H11" i="121"/>
  <c r="L21" i="121" s="1"/>
  <c r="J103" i="121"/>
  <c r="J119" i="1810" s="1"/>
  <c r="J121" i="1810" s="1"/>
  <c r="J49" i="1821" s="1"/>
  <c r="AE52" i="1583"/>
  <c r="L24" i="1545"/>
  <c r="G92" i="1554"/>
  <c r="V172" i="1583"/>
  <c r="V113" i="1583"/>
  <c r="AC54" i="1583"/>
  <c r="AE166" i="1583"/>
  <c r="AE196" i="1583" s="1"/>
  <c r="AD160" i="1583"/>
  <c r="R171" i="121"/>
  <c r="AL89" i="1554"/>
  <c r="G48" i="155"/>
  <c r="N263" i="121"/>
  <c r="R269" i="121" s="1"/>
  <c r="L210" i="121"/>
  <c r="L211" i="121" s="1"/>
  <c r="AH150" i="121"/>
  <c r="AH163" i="121" s="1"/>
  <c r="R322" i="1554"/>
  <c r="H126" i="121"/>
  <c r="M291" i="1554"/>
  <c r="M292" i="1554" s="1"/>
  <c r="M117" i="1554"/>
  <c r="AK49" i="1554"/>
  <c r="I41" i="1545"/>
  <c r="M38" i="1545"/>
  <c r="R511" i="1555"/>
  <c r="L204" i="1541"/>
  <c r="P15" i="121"/>
  <c r="P400" i="121" s="1"/>
  <c r="F48" i="155"/>
  <c r="AI222" i="121"/>
  <c r="K210" i="121"/>
  <c r="K208" i="121"/>
  <c r="K225" i="121" s="1"/>
  <c r="AH152" i="121"/>
  <c r="AH158" i="121" s="1"/>
  <c r="R335" i="1554"/>
  <c r="AJ301" i="1554"/>
  <c r="J122" i="1554"/>
  <c r="AL68" i="1554"/>
  <c r="L40" i="1545"/>
  <c r="L36" i="1545"/>
  <c r="K22" i="1619"/>
  <c r="M65" i="121"/>
  <c r="M121" i="121" s="1"/>
  <c r="AH262" i="121"/>
  <c r="AH268" i="121" s="1"/>
  <c r="M90" i="121"/>
  <c r="M69" i="1810" s="1"/>
  <c r="P304" i="1554"/>
  <c r="Q304" i="1554" s="1"/>
  <c r="R304" i="1554" s="1"/>
  <c r="O200" i="1541"/>
  <c r="Q74" i="1541"/>
  <c r="Q75" i="1541" s="1"/>
  <c r="P327" i="1554"/>
  <c r="Q327" i="1554" s="1"/>
  <c r="Q252" i="121" s="1"/>
  <c r="T318" i="121"/>
  <c r="N10" i="121"/>
  <c r="N267" i="1554"/>
  <c r="I103" i="121"/>
  <c r="I119" i="1810" s="1"/>
  <c r="I121" i="1810" s="1"/>
  <c r="I49" i="1821" s="1"/>
  <c r="N45" i="121"/>
  <c r="N226" i="1583" s="1"/>
  <c r="T258" i="1555"/>
  <c r="Q50" i="1541"/>
  <c r="W37" i="1541"/>
  <c r="Q163" i="121"/>
  <c r="U168" i="121" s="1"/>
  <c r="U26" i="121" s="1"/>
  <c r="P351" i="1554"/>
  <c r="Q351" i="1554" s="1"/>
  <c r="R351" i="1554" s="1"/>
  <c r="K281" i="1554"/>
  <c r="G65" i="121"/>
  <c r="G121" i="121" s="1"/>
  <c r="T190" i="1583"/>
  <c r="U184" i="1583"/>
  <c r="Q23" i="1545"/>
  <c r="J480" i="1555"/>
  <c r="X182" i="1541"/>
  <c r="U172" i="1583"/>
  <c r="AA11" i="1541"/>
  <c r="AA13" i="1541" s="1"/>
  <c r="C18" i="1554"/>
  <c r="C16" i="1554" s="1"/>
  <c r="M214" i="121"/>
  <c r="M217" i="121" s="1"/>
  <c r="M226" i="121" s="1"/>
  <c r="K40" i="121"/>
  <c r="K34" i="1810" s="1"/>
  <c r="P303" i="1554"/>
  <c r="R303" i="1554" s="1"/>
  <c r="J281" i="1554"/>
  <c r="AL70" i="1554"/>
  <c r="S172" i="1583"/>
  <c r="AE123" i="1583"/>
  <c r="AJ35" i="1810" s="1"/>
  <c r="Q40" i="1541"/>
  <c r="W41" i="1541" s="1"/>
  <c r="S182" i="1583"/>
  <c r="S185" i="1583" s="1"/>
  <c r="S115" i="121"/>
  <c r="S124" i="121" s="1"/>
  <c r="C90" i="121"/>
  <c r="C69" i="1810" s="1"/>
  <c r="S12" i="121"/>
  <c r="L323" i="1554"/>
  <c r="L138" i="121" s="1"/>
  <c r="L152" i="1810" s="1"/>
  <c r="L154" i="1810" s="1"/>
  <c r="L77" i="1821" s="1"/>
  <c r="R182" i="1541"/>
  <c r="R181" i="1541"/>
  <c r="R180" i="1541" s="1"/>
  <c r="L127" i="121"/>
  <c r="K127" i="121"/>
  <c r="K324" i="121" s="1"/>
  <c r="K103" i="121"/>
  <c r="K119" i="1810" s="1"/>
  <c r="J24" i="1554"/>
  <c r="J105" i="121"/>
  <c r="J127" i="1810" s="1"/>
  <c r="J129" i="1810" s="1"/>
  <c r="P41" i="1554"/>
  <c r="P210" i="121"/>
  <c r="P211" i="121" s="1"/>
  <c r="H41" i="1554"/>
  <c r="H210" i="121"/>
  <c r="O45" i="121"/>
  <c r="O226" i="1583" s="1"/>
  <c r="O232" i="1583" s="1"/>
  <c r="O39" i="1554"/>
  <c r="O208" i="121"/>
  <c r="O225" i="121" s="1"/>
  <c r="O35" i="1554"/>
  <c r="O40" i="121"/>
  <c r="O34" i="1810" s="1"/>
  <c r="S39" i="1810" s="1"/>
  <c r="O281" i="1554"/>
  <c r="V137" i="1541"/>
  <c r="W137" i="1541" s="1"/>
  <c r="N317" i="1554" s="1"/>
  <c r="L317" i="1554"/>
  <c r="R12" i="121"/>
  <c r="M248" i="1554"/>
  <c r="O117" i="1554"/>
  <c r="O152" i="121"/>
  <c r="S158" i="121" s="1"/>
  <c r="O264" i="121"/>
  <c r="S270" i="121" s="1"/>
  <c r="S105" i="1554"/>
  <c r="L10" i="121"/>
  <c r="L151" i="121"/>
  <c r="L157" i="121" s="1"/>
  <c r="L263" i="121"/>
  <c r="L317" i="121" s="1"/>
  <c r="O10" i="1538"/>
  <c r="O12" i="1538" s="1"/>
  <c r="N12" i="1538"/>
  <c r="AT156" i="1541"/>
  <c r="AT160" i="1541" s="1"/>
  <c r="AA153" i="1541"/>
  <c r="AD153" i="1541" s="1"/>
  <c r="R220" i="121"/>
  <c r="G96" i="121"/>
  <c r="G94" i="1810" s="1"/>
  <c r="R40" i="121"/>
  <c r="R34" i="1810" s="1"/>
  <c r="Q28" i="121"/>
  <c r="M11" i="121"/>
  <c r="J135" i="121"/>
  <c r="J75" i="1821" s="1"/>
  <c r="R333" i="1554"/>
  <c r="R313" i="1554"/>
  <c r="G126" i="121"/>
  <c r="M156" i="1554"/>
  <c r="S118" i="1554"/>
  <c r="R129" i="1583"/>
  <c r="I50" i="1545"/>
  <c r="E15" i="1619"/>
  <c r="S361" i="121"/>
  <c r="S360" i="121" s="1"/>
  <c r="P222" i="121"/>
  <c r="G220" i="121"/>
  <c r="T217" i="121"/>
  <c r="T226" i="121" s="1"/>
  <c r="R46" i="121"/>
  <c r="V51" i="121" s="1"/>
  <c r="K11" i="121"/>
  <c r="T135" i="121"/>
  <c r="R334" i="1554"/>
  <c r="AJ323" i="1554"/>
  <c r="AH138" i="121" s="1"/>
  <c r="AH152" i="1810" s="1"/>
  <c r="AH154" i="1810" s="1"/>
  <c r="AH77" i="1821" s="1"/>
  <c r="Q292" i="1554"/>
  <c r="R285" i="1554"/>
  <c r="P256" i="1554"/>
  <c r="G291" i="1554"/>
  <c r="Q105" i="1554"/>
  <c r="AL84" i="1554"/>
  <c r="AL75" i="1554"/>
  <c r="AJ216" i="121" s="1"/>
  <c r="O171" i="1583"/>
  <c r="Q18" i="1545"/>
  <c r="L205" i="1541"/>
  <c r="X171" i="1541"/>
  <c r="N37" i="1541"/>
  <c r="N109" i="1554"/>
  <c r="N304" i="121" s="1"/>
  <c r="N68" i="121" s="1"/>
  <c r="N208" i="121"/>
  <c r="N225" i="121" s="1"/>
  <c r="K135" i="121"/>
  <c r="K75" i="1821" s="1"/>
  <c r="N327" i="1554"/>
  <c r="N252" i="121" s="1"/>
  <c r="H96" i="121"/>
  <c r="H94" i="1810" s="1"/>
  <c r="Q270" i="1554"/>
  <c r="P127" i="121"/>
  <c r="P324" i="121" s="1"/>
  <c r="Q325" i="121" s="1"/>
  <c r="Q326" i="121" s="1"/>
  <c r="H127" i="121"/>
  <c r="H324" i="121" s="1"/>
  <c r="L166" i="121"/>
  <c r="G103" i="121"/>
  <c r="G119" i="1810" s="1"/>
  <c r="C103" i="121"/>
  <c r="C119" i="1810" s="1"/>
  <c r="P49" i="1554"/>
  <c r="G48" i="1711"/>
  <c r="H50" i="1711" s="1"/>
  <c r="Q361" i="121"/>
  <c r="S355" i="121"/>
  <c r="AH264" i="121"/>
  <c r="AH270" i="121" s="1"/>
  <c r="M264" i="121"/>
  <c r="Q270" i="121" s="1"/>
  <c r="AK183" i="121"/>
  <c r="Q158" i="121"/>
  <c r="M327" i="1554"/>
  <c r="M252" i="121" s="1"/>
  <c r="AJ311" i="1554"/>
  <c r="G127" i="121"/>
  <c r="G324" i="121" s="1"/>
  <c r="AJ86" i="1554"/>
  <c r="J38" i="1554"/>
  <c r="P177" i="1583"/>
  <c r="T172" i="1583"/>
  <c r="M24" i="1619"/>
  <c r="I21" i="1619"/>
  <c r="P200" i="1541"/>
  <c r="AC71" i="1541"/>
  <c r="AD71" i="1541" s="1"/>
  <c r="AD72" i="1541" s="1"/>
  <c r="V11" i="1541"/>
  <c r="V13" i="1541" s="1"/>
  <c r="M47" i="1545"/>
  <c r="H40" i="1545"/>
  <c r="L200" i="1541"/>
  <c r="L202" i="1541" s="1"/>
  <c r="Z113" i="1541"/>
  <c r="Z116" i="1541" s="1"/>
  <c r="O254" i="1554" s="1"/>
  <c r="X86" i="1541"/>
  <c r="L62" i="1541"/>
  <c r="H63" i="1541"/>
  <c r="H66" i="1541" s="1"/>
  <c r="H68" i="1541" s="1"/>
  <c r="Z18" i="1541"/>
  <c r="P65" i="121"/>
  <c r="P121" i="121" s="1"/>
  <c r="N40" i="121"/>
  <c r="N34" i="1810" s="1"/>
  <c r="L327" i="1554"/>
  <c r="L252" i="121" s="1"/>
  <c r="K126" i="121"/>
  <c r="I291" i="1554"/>
  <c r="T211" i="121"/>
  <c r="R153" i="121"/>
  <c r="V400" i="121" s="1"/>
  <c r="Q344" i="1554"/>
  <c r="R344" i="1554" s="1"/>
  <c r="R339" i="1554"/>
  <c r="S252" i="1554"/>
  <c r="G273" i="1554"/>
  <c r="G274" i="1554" s="1"/>
  <c r="AL88" i="1554"/>
  <c r="AI49" i="1554"/>
  <c r="L49" i="1554"/>
  <c r="G64" i="1554"/>
  <c r="AD239" i="1583"/>
  <c r="AD245" i="1583" s="1"/>
  <c r="P196" i="1583"/>
  <c r="T171" i="1583"/>
  <c r="G41" i="1545"/>
  <c r="G36" i="1545"/>
  <c r="Q19" i="1545"/>
  <c r="K15" i="1619"/>
  <c r="N480" i="1555"/>
  <c r="S109" i="1555"/>
  <c r="S112" i="1555" s="1"/>
  <c r="S115" i="1555" s="1"/>
  <c r="Q307" i="1554"/>
  <c r="R307" i="1554" s="1"/>
  <c r="W134" i="1541"/>
  <c r="N315" i="1554" s="1"/>
  <c r="M315" i="1554"/>
  <c r="W132" i="1541"/>
  <c r="N312" i="1554" s="1"/>
  <c r="M312" i="1554"/>
  <c r="F54" i="155"/>
  <c r="S318" i="121"/>
  <c r="O275" i="121"/>
  <c r="I263" i="121"/>
  <c r="M208" i="121"/>
  <c r="M211" i="121" s="1"/>
  <c r="O151" i="121"/>
  <c r="K90" i="121"/>
  <c r="K69" i="1810" s="1"/>
  <c r="I40" i="121"/>
  <c r="I34" i="1810" s="1"/>
  <c r="N281" i="1554"/>
  <c r="I248" i="1554"/>
  <c r="N122" i="1554"/>
  <c r="G35" i="1554"/>
  <c r="AC190" i="1583"/>
  <c r="G40" i="1545"/>
  <c r="S511" i="1555"/>
  <c r="W117" i="1541"/>
  <c r="P74" i="1541"/>
  <c r="P75" i="1541" s="1"/>
  <c r="P40" i="1541"/>
  <c r="V41" i="1541" s="1"/>
  <c r="P361" i="121"/>
  <c r="H263" i="121"/>
  <c r="R28" i="121"/>
  <c r="F100" i="1554"/>
  <c r="F265" i="121" s="1"/>
  <c r="J271" i="121" s="1"/>
  <c r="L104" i="1554"/>
  <c r="F35" i="1554"/>
  <c r="O40" i="1541"/>
  <c r="U41" i="1541" s="1"/>
  <c r="S353" i="121"/>
  <c r="O361" i="121"/>
  <c r="AK181" i="121"/>
  <c r="P152" i="121"/>
  <c r="M45" i="121"/>
  <c r="Q50" i="121" s="1"/>
  <c r="N11" i="121"/>
  <c r="R21" i="121" s="1"/>
  <c r="I10" i="121"/>
  <c r="L281" i="1554"/>
  <c r="E100" i="1554"/>
  <c r="E265" i="121" s="1"/>
  <c r="O105" i="1554"/>
  <c r="Q91" i="1554"/>
  <c r="AL91" i="1554" s="1"/>
  <c r="AJ75" i="1554"/>
  <c r="AH216" i="121" s="1"/>
  <c r="AD234" i="1583"/>
  <c r="A60" i="1583"/>
  <c r="H39" i="1545"/>
  <c r="I38" i="1545"/>
  <c r="D15" i="1619"/>
  <c r="P201" i="1541"/>
  <c r="L74" i="1541"/>
  <c r="L75" i="1541" s="1"/>
  <c r="N40" i="1541"/>
  <c r="L34" i="1541"/>
  <c r="L33" i="1545"/>
  <c r="H38" i="1545"/>
  <c r="N201" i="1541"/>
  <c r="N205" i="1541" s="1"/>
  <c r="O180" i="1541"/>
  <c r="Z167" i="1541"/>
  <c r="AD167" i="1541" s="1"/>
  <c r="X106" i="1541"/>
  <c r="U11" i="1541"/>
  <c r="I122" i="1554"/>
  <c r="N152" i="121"/>
  <c r="R158" i="121" s="1"/>
  <c r="F90" i="121"/>
  <c r="F69" i="1810" s="1"/>
  <c r="V19" i="121"/>
  <c r="Q302" i="1554"/>
  <c r="R302" i="1554" s="1"/>
  <c r="M282" i="1554"/>
  <c r="T270" i="1554"/>
  <c r="M127" i="121"/>
  <c r="M324" i="121" s="1"/>
  <c r="G122" i="1554"/>
  <c r="R109" i="1554"/>
  <c r="Q49" i="1554"/>
  <c r="N38" i="1554"/>
  <c r="AL30" i="1554"/>
  <c r="AL55" i="1554" s="1"/>
  <c r="J171" i="1583"/>
  <c r="AE130" i="1583"/>
  <c r="I47" i="1545"/>
  <c r="G33" i="1545"/>
  <c r="L59" i="1541"/>
  <c r="AG153" i="121"/>
  <c r="E90" i="121"/>
  <c r="E69" i="1810" s="1"/>
  <c r="AK174" i="121"/>
  <c r="AL352" i="1554"/>
  <c r="L282" i="1554"/>
  <c r="I281" i="1554"/>
  <c r="S285" i="1554"/>
  <c r="N90" i="1554"/>
  <c r="AJ88" i="1554"/>
  <c r="AI87" i="1554"/>
  <c r="AI84" i="1554"/>
  <c r="AD130" i="1583"/>
  <c r="K203" i="1555"/>
  <c r="X20" i="1541"/>
  <c r="X22" i="1541" s="1"/>
  <c r="AD12" i="1541"/>
  <c r="AJ310" i="1554"/>
  <c r="AJ307" i="1554"/>
  <c r="S292" i="1554"/>
  <c r="I100" i="1554"/>
  <c r="I265" i="121" s="1"/>
  <c r="I38" i="1554"/>
  <c r="M36" i="1545"/>
  <c r="N77" i="1555"/>
  <c r="L217" i="121"/>
  <c r="L226" i="121" s="1"/>
  <c r="L246" i="121" s="1"/>
  <c r="S316" i="121"/>
  <c r="J210" i="121"/>
  <c r="J211" i="121" s="1"/>
  <c r="AG208" i="121"/>
  <c r="O74" i="121"/>
  <c r="K65" i="121"/>
  <c r="K46" i="121" s="1"/>
  <c r="K214" i="1583" s="1"/>
  <c r="K220" i="1583" s="1"/>
  <c r="P11" i="121"/>
  <c r="P362" i="1554"/>
  <c r="K328" i="1554"/>
  <c r="AL291" i="1554"/>
  <c r="AL82" i="1554"/>
  <c r="AL69" i="1554"/>
  <c r="L45" i="1545"/>
  <c r="H109" i="1555"/>
  <c r="H112" i="1555" s="1"/>
  <c r="H115" i="1555" s="1"/>
  <c r="T152" i="1554"/>
  <c r="T32" i="121" s="1"/>
  <c r="T118" i="1554"/>
  <c r="P103" i="121"/>
  <c r="P119" i="1810" s="1"/>
  <c r="P121" i="1810" s="1"/>
  <c r="P49" i="1821" s="1"/>
  <c r="H328" i="1554"/>
  <c r="AL86" i="1554"/>
  <c r="E77" i="1554"/>
  <c r="J40" i="1554"/>
  <c r="N222" i="121"/>
  <c r="E18" i="1554"/>
  <c r="E16" i="1554" s="1"/>
  <c r="E42" i="1554" s="1"/>
  <c r="E44" i="1554" s="1"/>
  <c r="E51" i="1554" s="1"/>
  <c r="AD203" i="1541"/>
  <c r="AA180" i="1541"/>
  <c r="AA187" i="1541" s="1"/>
  <c r="AS156" i="1541"/>
  <c r="AS160" i="1541" s="1"/>
  <c r="AK344" i="1554"/>
  <c r="O222" i="121"/>
  <c r="T121" i="121"/>
  <c r="AJ235" i="1554"/>
  <c r="AJ291" i="1554" s="1"/>
  <c r="N100" i="1554"/>
  <c r="N265" i="121" s="1"/>
  <c r="N271" i="121" s="1"/>
  <c r="AL14" i="1554"/>
  <c r="J196" i="1583"/>
  <c r="J208" i="1583" s="1"/>
  <c r="A67" i="1583"/>
  <c r="A77" i="1583" s="1"/>
  <c r="A112" i="1583" s="1"/>
  <c r="W63" i="1541"/>
  <c r="W66" i="1541" s="1"/>
  <c r="W69" i="1541" s="1"/>
  <c r="N50" i="1541"/>
  <c r="N63" i="1541" s="1"/>
  <c r="N66" i="1541" s="1"/>
  <c r="AA31" i="1541"/>
  <c r="X9" i="1541"/>
  <c r="O96" i="121"/>
  <c r="O94" i="1810" s="1"/>
  <c r="J73" i="121"/>
  <c r="P264" i="121"/>
  <c r="P318" i="121" s="1"/>
  <c r="S171" i="121"/>
  <c r="W176" i="121" s="1"/>
  <c r="AK164" i="121"/>
  <c r="R121" i="121"/>
  <c r="R45" i="121"/>
  <c r="M40" i="121"/>
  <c r="M34" i="1810" s="1"/>
  <c r="Q39" i="1810" s="1"/>
  <c r="K362" i="1554"/>
  <c r="N135" i="121"/>
  <c r="N75" i="1821" s="1"/>
  <c r="R338" i="1554"/>
  <c r="N83" i="1554"/>
  <c r="AI74" i="1554"/>
  <c r="AG215" i="121" s="1"/>
  <c r="N65" i="121"/>
  <c r="N46" i="121" s="1"/>
  <c r="N214" i="1583" s="1"/>
  <c r="J195" i="1583"/>
  <c r="J207" i="1583" s="1"/>
  <c r="H177" i="1583"/>
  <c r="AD148" i="1583"/>
  <c r="L15" i="1619"/>
  <c r="T109" i="1555"/>
  <c r="T112" i="1555" s="1"/>
  <c r="T115" i="1555" s="1"/>
  <c r="U180" i="1541"/>
  <c r="V179" i="1541"/>
  <c r="AJ203" i="1541"/>
  <c r="I63" i="1541"/>
  <c r="I65" i="1541" s="1"/>
  <c r="R9" i="1541"/>
  <c r="R11" i="1541" s="1"/>
  <c r="M135" i="121"/>
  <c r="M75" i="1821" s="1"/>
  <c r="Q343" i="1554"/>
  <c r="R343" i="1554" s="1"/>
  <c r="N173" i="121"/>
  <c r="K83" i="1554"/>
  <c r="H49" i="1545"/>
  <c r="J24" i="1545"/>
  <c r="F480" i="1555"/>
  <c r="N264" i="121"/>
  <c r="R270" i="121" s="1"/>
  <c r="J83" i="1554"/>
  <c r="H65" i="121"/>
  <c r="H121" i="121" s="1"/>
  <c r="AD222" i="1583"/>
  <c r="AD190" i="1583"/>
  <c r="R195" i="1541"/>
  <c r="K90" i="1554"/>
  <c r="K371" i="1555"/>
  <c r="K92" i="1554" s="1"/>
  <c r="AK92" i="1554" s="1"/>
  <c r="I371" i="1555"/>
  <c r="I92" i="1554" s="1"/>
  <c r="I90" i="1554"/>
  <c r="R154" i="1554"/>
  <c r="R173" i="121"/>
  <c r="R175" i="121" s="1"/>
  <c r="R176" i="121" s="1"/>
  <c r="R27" i="121" s="1"/>
  <c r="M203" i="1555"/>
  <c r="G265" i="121"/>
  <c r="S274" i="121"/>
  <c r="S298" i="121" s="1"/>
  <c r="R217" i="121"/>
  <c r="I105" i="121"/>
  <c r="I127" i="1810" s="1"/>
  <c r="I129" i="1810" s="1"/>
  <c r="I40" i="1554"/>
  <c r="H37" i="1545"/>
  <c r="L60" i="1541"/>
  <c r="G13" i="1554"/>
  <c r="G208" i="121" s="1"/>
  <c r="H105" i="121"/>
  <c r="H127" i="1810" s="1"/>
  <c r="H129" i="1810" s="1"/>
  <c r="M15" i="121"/>
  <c r="M400" i="121" s="1"/>
  <c r="Q301" i="1554"/>
  <c r="R301" i="1554" s="1"/>
  <c r="M273" i="1554"/>
  <c r="M274" i="1554" s="1"/>
  <c r="C100" i="1554"/>
  <c r="G106" i="1554" s="1"/>
  <c r="AJ81" i="1554"/>
  <c r="I39" i="1554"/>
  <c r="R183" i="1583"/>
  <c r="R95" i="1810" s="1"/>
  <c r="AE53" i="1583"/>
  <c r="H47" i="1545"/>
  <c r="AB185" i="1541"/>
  <c r="AD126" i="1541"/>
  <c r="AA186" i="1541"/>
  <c r="AF59" i="1541"/>
  <c r="AC26" i="1541"/>
  <c r="AI26" i="1541" s="1"/>
  <c r="AO26" i="1541" s="1"/>
  <c r="W23" i="1541"/>
  <c r="T274" i="121"/>
  <c r="G83" i="1554"/>
  <c r="AJ82" i="1554"/>
  <c r="AK70" i="1554"/>
  <c r="AI73" i="1554"/>
  <c r="AG214" i="121" s="1"/>
  <c r="C50" i="1545"/>
  <c r="G47" i="1545"/>
  <c r="P258" i="1555"/>
  <c r="V21" i="1541"/>
  <c r="Q225" i="121"/>
  <c r="N215" i="121"/>
  <c r="N217" i="121" s="1"/>
  <c r="N226" i="121" s="1"/>
  <c r="P225" i="121"/>
  <c r="P245" i="121" s="1"/>
  <c r="L152" i="121"/>
  <c r="G134" i="121"/>
  <c r="G74" i="1821" s="1"/>
  <c r="Q357" i="1554"/>
  <c r="Q354" i="121" s="1"/>
  <c r="P349" i="1554"/>
  <c r="K112" i="1554"/>
  <c r="K307" i="121" s="1"/>
  <c r="AJ38" i="1554"/>
  <c r="X174" i="1541"/>
  <c r="AR156" i="1541"/>
  <c r="AR160" i="1541" s="1"/>
  <c r="L117" i="1541"/>
  <c r="AB125" i="1541"/>
  <c r="V34" i="1541"/>
  <c r="AJ309" i="1554"/>
  <c r="AK342" i="121"/>
  <c r="S317" i="121"/>
  <c r="AG163" i="121"/>
  <c r="V150" i="121"/>
  <c r="Z156" i="121" s="1"/>
  <c r="Q121" i="121"/>
  <c r="I45" i="121"/>
  <c r="I60" i="121" s="1"/>
  <c r="T20" i="121"/>
  <c r="G328" i="1554"/>
  <c r="N289" i="1554"/>
  <c r="H273" i="1554"/>
  <c r="H274" i="1554" s="1"/>
  <c r="P122" i="1554"/>
  <c r="T123" i="1554" s="1"/>
  <c r="T134" i="1554" s="1"/>
  <c r="AI91" i="1554"/>
  <c r="T178" i="1583"/>
  <c r="N171" i="1583"/>
  <c r="AE153" i="1583"/>
  <c r="AJ70" i="1810" s="1"/>
  <c r="AJ75" i="1810" s="1"/>
  <c r="A72" i="1583"/>
  <c r="A82" i="1583" s="1"/>
  <c r="M47" i="1583"/>
  <c r="L49" i="1545"/>
  <c r="G38" i="1545"/>
  <c r="K33" i="1545"/>
  <c r="K51" i="1545" s="1"/>
  <c r="W200" i="1541"/>
  <c r="AP203" i="1541"/>
  <c r="AA106" i="1541"/>
  <c r="AA113" i="1541" s="1"/>
  <c r="AA116" i="1541" s="1"/>
  <c r="AF126" i="1541"/>
  <c r="U34" i="1541"/>
  <c r="Q317" i="121"/>
  <c r="J65" i="121"/>
  <c r="H45" i="121"/>
  <c r="J40" i="121"/>
  <c r="J34" i="1810" s="1"/>
  <c r="P174" i="121"/>
  <c r="AJ351" i="1554"/>
  <c r="R270" i="1554"/>
  <c r="L273" i="1554"/>
  <c r="L274" i="1554" s="1"/>
  <c r="P291" i="1554"/>
  <c r="P292" i="1554" s="1"/>
  <c r="AI228" i="1554"/>
  <c r="O122" i="1554"/>
  <c r="O128" i="1554" s="1"/>
  <c r="N117" i="1554"/>
  <c r="AK71" i="1554"/>
  <c r="L40" i="1554"/>
  <c r="T26" i="1554"/>
  <c r="T28" i="1554" s="1"/>
  <c r="T31" i="1554" s="1"/>
  <c r="S178" i="1583"/>
  <c r="L171" i="1583"/>
  <c r="AE148" i="1583"/>
  <c r="L47" i="1583"/>
  <c r="K24" i="1545"/>
  <c r="L109" i="1555"/>
  <c r="L112" i="1555" s="1"/>
  <c r="L115" i="1555" s="1"/>
  <c r="V174" i="1541"/>
  <c r="AJ171" i="1541"/>
  <c r="AJ60" i="1541"/>
  <c r="AD59" i="1541"/>
  <c r="AC30" i="1541"/>
  <c r="AI30" i="1541" s="1"/>
  <c r="AO30" i="1541" s="1"/>
  <c r="K134" i="121"/>
  <c r="Q318" i="121"/>
  <c r="M263" i="121"/>
  <c r="A245" i="121"/>
  <c r="AK182" i="121"/>
  <c r="AG96" i="121"/>
  <c r="AG94" i="1810" s="1"/>
  <c r="I65" i="121"/>
  <c r="V163" i="121"/>
  <c r="V165" i="121" s="1"/>
  <c r="V167" i="121" s="1"/>
  <c r="J328" i="1554"/>
  <c r="L291" i="1554"/>
  <c r="L117" i="1554"/>
  <c r="AJ116" i="1554"/>
  <c r="P100" i="1554"/>
  <c r="P265" i="121" s="1"/>
  <c r="P271" i="121" s="1"/>
  <c r="AL87" i="1554"/>
  <c r="AI82" i="1554"/>
  <c r="O172" i="1583"/>
  <c r="M41" i="1545"/>
  <c r="I40" i="1545"/>
  <c r="M37" i="1545"/>
  <c r="I33" i="1545"/>
  <c r="I51" i="1545" s="1"/>
  <c r="L258" i="1555"/>
  <c r="K109" i="1555"/>
  <c r="K112" i="1555" s="1"/>
  <c r="K115" i="1555" s="1"/>
  <c r="U174" i="1541"/>
  <c r="X110" i="1541"/>
  <c r="X198" i="1541" s="1"/>
  <c r="X204" i="1541" s="1"/>
  <c r="P50" i="1541"/>
  <c r="P63" i="1541" s="1"/>
  <c r="R128" i="121"/>
  <c r="R157" i="1810" s="1"/>
  <c r="R159" i="1810" s="1"/>
  <c r="O103" i="121"/>
  <c r="O119" i="1810" s="1"/>
  <c r="T96" i="121"/>
  <c r="T94" i="1810" s="1"/>
  <c r="N74" i="121"/>
  <c r="V16" i="121"/>
  <c r="AK357" i="1554"/>
  <c r="J338" i="1554"/>
  <c r="J319" i="1554"/>
  <c r="J133" i="121" s="1"/>
  <c r="J148" i="1810" s="1"/>
  <c r="J150" i="1810" s="1"/>
  <c r="J73" i="1821" s="1"/>
  <c r="AJ304" i="1554"/>
  <c r="J289" i="1554"/>
  <c r="G281" i="1554"/>
  <c r="K166" i="121"/>
  <c r="T78" i="1554"/>
  <c r="T283" i="1554" s="1"/>
  <c r="N76" i="1554"/>
  <c r="N75" i="121" s="1"/>
  <c r="N49" i="1810" s="1"/>
  <c r="R26" i="1554"/>
  <c r="R28" i="1554" s="1"/>
  <c r="R31" i="1554" s="1"/>
  <c r="T21" i="1545"/>
  <c r="K258" i="1555"/>
  <c r="I258" i="1555"/>
  <c r="J109" i="1555"/>
  <c r="J112" i="1555" s="1"/>
  <c r="J115" i="1555" s="1"/>
  <c r="R102" i="1541"/>
  <c r="R106" i="1541" s="1"/>
  <c r="U37" i="1541"/>
  <c r="K304" i="121"/>
  <c r="K68" i="121" s="1"/>
  <c r="L264" i="121"/>
  <c r="L276" i="121" s="1"/>
  <c r="I215" i="121"/>
  <c r="I217" i="121" s="1"/>
  <c r="I226" i="121" s="1"/>
  <c r="I138" i="121"/>
  <c r="I152" i="1810" s="1"/>
  <c r="I154" i="1810" s="1"/>
  <c r="I77" i="1821" s="1"/>
  <c r="T362" i="1554"/>
  <c r="AJ317" i="1554"/>
  <c r="R238" i="1554"/>
  <c r="AK86" i="1554"/>
  <c r="N103" i="121"/>
  <c r="N119" i="1810" s="1"/>
  <c r="N121" i="1810" s="1"/>
  <c r="N49" i="1821" s="1"/>
  <c r="AJ71" i="1554"/>
  <c r="I47" i="1554"/>
  <c r="I49" i="1554" s="1"/>
  <c r="AL24" i="1554"/>
  <c r="Q26" i="1554"/>
  <c r="AL13" i="1554"/>
  <c r="K171" i="1583"/>
  <c r="H47" i="1583"/>
  <c r="N11" i="1712"/>
  <c r="G39" i="1545"/>
  <c r="Q21" i="1545"/>
  <c r="J258" i="1555"/>
  <c r="H258" i="1555"/>
  <c r="X193" i="1541"/>
  <c r="X192" i="1541"/>
  <c r="AC111" i="1541"/>
  <c r="AC125" i="1541" s="1"/>
  <c r="Z53" i="1541"/>
  <c r="P37" i="1541"/>
  <c r="R353" i="121"/>
  <c r="Q276" i="121"/>
  <c r="Q300" i="121" s="1"/>
  <c r="J214" i="121"/>
  <c r="J217" i="121" s="1"/>
  <c r="J226" i="121" s="1"/>
  <c r="K60" i="121"/>
  <c r="S46" i="121"/>
  <c r="AK333" i="1554"/>
  <c r="AJ308" i="1554"/>
  <c r="P231" i="1554"/>
  <c r="L156" i="1554"/>
  <c r="AK125" i="1554"/>
  <c r="L116" i="1554"/>
  <c r="O100" i="1554"/>
  <c r="O265" i="121" s="1"/>
  <c r="AK87" i="1554"/>
  <c r="R78" i="1554"/>
  <c r="R283" i="1554" s="1"/>
  <c r="AL67" i="1554"/>
  <c r="AJ55" i="1554"/>
  <c r="H47" i="1554"/>
  <c r="H49" i="1554" s="1"/>
  <c r="T42" i="1554"/>
  <c r="T44" i="1554" s="1"/>
  <c r="I16" i="1554"/>
  <c r="I18" i="1554" s="1"/>
  <c r="I26" i="1554" s="1"/>
  <c r="I28" i="1554" s="1"/>
  <c r="I31" i="1554" s="1"/>
  <c r="P34" i="1583"/>
  <c r="M39" i="1545"/>
  <c r="O33" i="1545"/>
  <c r="S14" i="1518"/>
  <c r="S15" i="1518" s="1"/>
  <c r="N450" i="1555"/>
  <c r="Q201" i="1541"/>
  <c r="Q205" i="1541" s="1"/>
  <c r="K63" i="1541"/>
  <c r="K65" i="1541" s="1"/>
  <c r="W53" i="1541"/>
  <c r="O37" i="1541"/>
  <c r="O15" i="121"/>
  <c r="O400" i="121" s="1"/>
  <c r="E89" i="1711"/>
  <c r="K96" i="121"/>
  <c r="K94" i="1810" s="1"/>
  <c r="G12" i="1554"/>
  <c r="G40" i="121" s="1"/>
  <c r="G34" i="1810" s="1"/>
  <c r="AD238" i="1583"/>
  <c r="AD244" i="1583" s="1"/>
  <c r="AE190" i="1583"/>
  <c r="Z205" i="1541"/>
  <c r="X196" i="1541"/>
  <c r="N117" i="1541"/>
  <c r="Q171" i="121"/>
  <c r="U176" i="121" s="1"/>
  <c r="U27" i="121" s="1"/>
  <c r="H208" i="121"/>
  <c r="H225" i="121" s="1"/>
  <c r="N127" i="121"/>
  <c r="R341" i="1554"/>
  <c r="I328" i="1554"/>
  <c r="F248" i="1554"/>
  <c r="AI248" i="1554" s="1"/>
  <c r="AG93" i="1821" s="1"/>
  <c r="AJ115" i="1554"/>
  <c r="AK91" i="1554"/>
  <c r="M90" i="1554"/>
  <c r="AK89" i="1554"/>
  <c r="N77" i="1554"/>
  <c r="AK77" i="1554" s="1"/>
  <c r="AK73" i="1554"/>
  <c r="AI214" i="121" s="1"/>
  <c r="AC238" i="1583"/>
  <c r="AC244" i="1583" s="1"/>
  <c r="AC148" i="1583"/>
  <c r="H33" i="1545"/>
  <c r="H51" i="1545" s="1"/>
  <c r="I24" i="1545"/>
  <c r="O567" i="1555"/>
  <c r="O201" i="1541"/>
  <c r="O205" i="1541" s="1"/>
  <c r="U179" i="1541"/>
  <c r="X175" i="1541"/>
  <c r="Z179" i="1541"/>
  <c r="Z188" i="1541" s="1"/>
  <c r="N126" i="121"/>
  <c r="Q316" i="1554"/>
  <c r="R316" i="1554" s="1"/>
  <c r="T285" i="1554"/>
  <c r="AL273" i="1554"/>
  <c r="AL174" i="1554"/>
  <c r="P112" i="1554"/>
  <c r="L90" i="1554"/>
  <c r="M83" i="1554"/>
  <c r="AK82" i="1554"/>
  <c r="M76" i="1554"/>
  <c r="M75" i="121" s="1"/>
  <c r="M49" i="1810" s="1"/>
  <c r="Q42" i="1554"/>
  <c r="Q44" i="1554" s="1"/>
  <c r="AI9" i="1554"/>
  <c r="AG40" i="121" s="1"/>
  <c r="AG34" i="1810" s="1"/>
  <c r="AC166" i="1583"/>
  <c r="AC178" i="1583" s="1"/>
  <c r="C33" i="1545"/>
  <c r="C51" i="1545" s="1"/>
  <c r="P11" i="1518"/>
  <c r="O203" i="1555"/>
  <c r="W180" i="1541"/>
  <c r="W187" i="1541" s="1"/>
  <c r="T179" i="1541"/>
  <c r="AD170" i="1541"/>
  <c r="Z63" i="1541"/>
  <c r="Z65" i="1541" s="1"/>
  <c r="L40" i="1541"/>
  <c r="Z11" i="1541"/>
  <c r="S222" i="121"/>
  <c r="L83" i="1554"/>
  <c r="AK81" i="1554"/>
  <c r="AL73" i="1554"/>
  <c r="AJ214" i="121" s="1"/>
  <c r="C35" i="1554"/>
  <c r="H16" i="1554"/>
  <c r="H18" i="1554" s="1"/>
  <c r="H26" i="1554" s="1"/>
  <c r="Q21" i="1619"/>
  <c r="O10" i="1518"/>
  <c r="O41" i="1518" s="1"/>
  <c r="P109" i="1555"/>
  <c r="P112" i="1555" s="1"/>
  <c r="P115" i="1555" s="1"/>
  <c r="R193" i="1541"/>
  <c r="V180" i="1541"/>
  <c r="AA145" i="1541"/>
  <c r="Z27" i="1541"/>
  <c r="F106" i="155"/>
  <c r="S307" i="121"/>
  <c r="W313" i="121" s="1"/>
  <c r="T19" i="1545"/>
  <c r="V10" i="1518"/>
  <c r="G526" i="1555"/>
  <c r="A242" i="121"/>
  <c r="A247" i="121"/>
  <c r="O317" i="121"/>
  <c r="S269" i="121"/>
  <c r="S217" i="121"/>
  <c r="S226" i="121" s="1"/>
  <c r="AL251" i="1554"/>
  <c r="R252" i="1554"/>
  <c r="AI229" i="1554"/>
  <c r="AI269" i="1554" s="1"/>
  <c r="F269" i="1554"/>
  <c r="F270" i="1554" s="1"/>
  <c r="T161" i="1541"/>
  <c r="U159" i="1541" s="1"/>
  <c r="X159" i="1541"/>
  <c r="AG25" i="1541"/>
  <c r="AM26" i="1541"/>
  <c r="T117" i="1541"/>
  <c r="K254" i="1554"/>
  <c r="E54" i="155"/>
  <c r="M10" i="1711"/>
  <c r="O353" i="121"/>
  <c r="A226" i="121"/>
  <c r="A231" i="121" s="1"/>
  <c r="A236" i="121" s="1"/>
  <c r="A246" i="121" s="1"/>
  <c r="Q217" i="121"/>
  <c r="Q226" i="121" s="1"/>
  <c r="P135" i="121"/>
  <c r="P75" i="1821" s="1"/>
  <c r="G21" i="1554"/>
  <c r="G24" i="1554" s="1"/>
  <c r="AJ47" i="1554"/>
  <c r="AJ49" i="1554" s="1"/>
  <c r="O117" i="1541"/>
  <c r="H254" i="1554"/>
  <c r="Q128" i="121"/>
  <c r="Q157" i="1810" s="1"/>
  <c r="Q159" i="1810" s="1"/>
  <c r="O135" i="121"/>
  <c r="O75" i="1821" s="1"/>
  <c r="R347" i="1554"/>
  <c r="J371" i="1555"/>
  <c r="J92" i="1554" s="1"/>
  <c r="J90" i="1554"/>
  <c r="M301" i="1554"/>
  <c r="W120" i="1541"/>
  <c r="N301" i="1554" s="1"/>
  <c r="AG222" i="121"/>
  <c r="Q306" i="1554"/>
  <c r="R306" i="1554" s="1"/>
  <c r="I11" i="121"/>
  <c r="M105" i="1554"/>
  <c r="H40" i="1554"/>
  <c r="AH43" i="1541"/>
  <c r="AH59" i="1541" s="1"/>
  <c r="AG126" i="1541"/>
  <c r="AG59" i="1541"/>
  <c r="Q274" i="121"/>
  <c r="V246" i="121"/>
  <c r="G290" i="1554"/>
  <c r="AB156" i="1541"/>
  <c r="AC149" i="1541"/>
  <c r="AC156" i="1541" s="1"/>
  <c r="Q378" i="121"/>
  <c r="AJ358" i="121"/>
  <c r="S276" i="121"/>
  <c r="T275" i="121"/>
  <c r="Q222" i="121"/>
  <c r="H217" i="121"/>
  <c r="H226" i="121" s="1"/>
  <c r="J126" i="121"/>
  <c r="L97" i="1554"/>
  <c r="L144" i="1554" s="1"/>
  <c r="M308" i="1554"/>
  <c r="W127" i="1541"/>
  <c r="N308" i="1554" s="1"/>
  <c r="AF123" i="1541"/>
  <c r="AD123" i="1541"/>
  <c r="AJ127" i="121"/>
  <c r="O104" i="1554"/>
  <c r="O150" i="1554"/>
  <c r="AL98" i="1554"/>
  <c r="AM104" i="1554" s="1"/>
  <c r="S104" i="1554"/>
  <c r="O10" i="121"/>
  <c r="O415" i="121" s="1"/>
  <c r="V148" i="1541"/>
  <c r="W148" i="1541" s="1"/>
  <c r="U203" i="1541"/>
  <c r="T325" i="121"/>
  <c r="T326" i="121" s="1"/>
  <c r="K217" i="121"/>
  <c r="K226" i="121" s="1"/>
  <c r="O72" i="121"/>
  <c r="O122" i="121" s="1"/>
  <c r="R324" i="121"/>
  <c r="Q134" i="1583"/>
  <c r="N22" i="1619"/>
  <c r="J22" i="1619"/>
  <c r="H281" i="1554"/>
  <c r="H100" i="1554"/>
  <c r="L106" i="1554" s="1"/>
  <c r="H35" i="1554"/>
  <c r="H122" i="1554"/>
  <c r="H40" i="121"/>
  <c r="H34" i="1810" s="1"/>
  <c r="H44" i="1810" s="1"/>
  <c r="I177" i="1583"/>
  <c r="I195" i="1583"/>
  <c r="I207" i="1583" s="1"/>
  <c r="I171" i="1583"/>
  <c r="AG377" i="121"/>
  <c r="H172" i="1583"/>
  <c r="H178" i="1583"/>
  <c r="H196" i="1583"/>
  <c r="H208" i="1583" s="1"/>
  <c r="S113" i="1583"/>
  <c r="S78" i="1583"/>
  <c r="O24" i="1619"/>
  <c r="O15" i="1619"/>
  <c r="AK9" i="121"/>
  <c r="Q173" i="121"/>
  <c r="Q175" i="121" s="1"/>
  <c r="Q32" i="121"/>
  <c r="Q154" i="1554"/>
  <c r="AG102" i="1541"/>
  <c r="AH196" i="1541"/>
  <c r="AI196" i="1541" s="1"/>
  <c r="AL196" i="1541" s="1"/>
  <c r="AM196" i="1541" s="1"/>
  <c r="AN196" i="1541" s="1"/>
  <c r="AO196" i="1541" s="1"/>
  <c r="T317" i="121"/>
  <c r="L222" i="121"/>
  <c r="AJ136" i="121"/>
  <c r="S128" i="121"/>
  <c r="S157" i="1810" s="1"/>
  <c r="S159" i="1810" s="1"/>
  <c r="T55" i="121"/>
  <c r="G77" i="1554"/>
  <c r="AJ77" i="1554" s="1"/>
  <c r="AJ72" i="1554"/>
  <c r="M322" i="1554"/>
  <c r="W141" i="1541"/>
  <c r="N322" i="1554" s="1"/>
  <c r="K222" i="121"/>
  <c r="AK338" i="1554"/>
  <c r="T349" i="1554"/>
  <c r="Q326" i="1554"/>
  <c r="Q314" i="1554"/>
  <c r="R314" i="1554" s="1"/>
  <c r="AJ302" i="1554"/>
  <c r="R292" i="1554"/>
  <c r="T252" i="1554"/>
  <c r="M256" i="1554"/>
  <c r="K117" i="1554"/>
  <c r="K100" i="1554"/>
  <c r="S49" i="1554"/>
  <c r="G15" i="1554"/>
  <c r="L196" i="1583"/>
  <c r="A73" i="1583"/>
  <c r="A83" i="1583" s="1"/>
  <c r="AE49" i="1583"/>
  <c r="M40" i="1545"/>
  <c r="G37" i="1545"/>
  <c r="L41" i="1545"/>
  <c r="L37" i="1545"/>
  <c r="P24" i="1619"/>
  <c r="N203" i="1555"/>
  <c r="N109" i="1555"/>
  <c r="N112" i="1555" s="1"/>
  <c r="N115" i="1555" s="1"/>
  <c r="V201" i="1541"/>
  <c r="P117" i="1541"/>
  <c r="AA173" i="1541"/>
  <c r="AB173" i="1541" s="1"/>
  <c r="AC173" i="1541" s="1"/>
  <c r="AP60" i="1541"/>
  <c r="AA52" i="1541"/>
  <c r="L50" i="1541"/>
  <c r="AK340" i="1554"/>
  <c r="AJ313" i="1554"/>
  <c r="K256" i="1554"/>
  <c r="AL99" i="1554"/>
  <c r="AM105" i="1554" s="1"/>
  <c r="AI71" i="1554"/>
  <c r="N39" i="1554"/>
  <c r="K196" i="1583"/>
  <c r="K178" i="1583"/>
  <c r="M172" i="1583"/>
  <c r="AC52" i="1583"/>
  <c r="I45" i="1545"/>
  <c r="M11" i="1518"/>
  <c r="U201" i="1541"/>
  <c r="U205" i="1541" s="1"/>
  <c r="AG143" i="1541"/>
  <c r="M109" i="1555"/>
  <c r="M112" i="1555" s="1"/>
  <c r="M115" i="1555" s="1"/>
  <c r="T201" i="1541"/>
  <c r="T205" i="1541" s="1"/>
  <c r="AJ47" i="1541"/>
  <c r="AA27" i="1541"/>
  <c r="AA21" i="1541"/>
  <c r="T12" i="121"/>
  <c r="U23" i="121" s="1"/>
  <c r="G362" i="1554"/>
  <c r="AK343" i="1554"/>
  <c r="AJ303" i="1554"/>
  <c r="AI243" i="1554"/>
  <c r="AI273" i="1554" s="1"/>
  <c r="AI274" i="1554" s="1"/>
  <c r="T105" i="1554"/>
  <c r="AJ91" i="1554"/>
  <c r="L76" i="1554"/>
  <c r="L75" i="121" s="1"/>
  <c r="L49" i="1810" s="1"/>
  <c r="J16" i="1554"/>
  <c r="J18" i="1554" s="1"/>
  <c r="AD166" i="1583"/>
  <c r="I57" i="1583"/>
  <c r="G45" i="1545"/>
  <c r="I36" i="1545"/>
  <c r="M15" i="1619"/>
  <c r="D9" i="1425"/>
  <c r="K11" i="1518"/>
  <c r="V11" i="1518"/>
  <c r="S258" i="1555"/>
  <c r="Q180" i="1541"/>
  <c r="X180" i="1541"/>
  <c r="X187" i="1541" s="1"/>
  <c r="AB105" i="1541"/>
  <c r="AA137" i="1541"/>
  <c r="AA139" i="1541" s="1"/>
  <c r="AA162" i="1541" s="1"/>
  <c r="V52" i="1541"/>
  <c r="O35" i="1541"/>
  <c r="U36" i="1541" s="1"/>
  <c r="J74" i="121"/>
  <c r="L362" i="1554"/>
  <c r="AJ322" i="1554"/>
  <c r="Q315" i="1554"/>
  <c r="R315" i="1554" s="1"/>
  <c r="S270" i="1554"/>
  <c r="AJ89" i="1554"/>
  <c r="AK84" i="1554"/>
  <c r="AK72" i="1554"/>
  <c r="AK67" i="1554"/>
  <c r="O49" i="1554"/>
  <c r="T195" i="1583"/>
  <c r="X201" i="1583" s="1"/>
  <c r="G171" i="1583"/>
  <c r="L38" i="1545"/>
  <c r="J10" i="1518"/>
  <c r="J41" i="1518" s="1"/>
  <c r="R258" i="1555"/>
  <c r="M258" i="1555"/>
  <c r="W179" i="1541"/>
  <c r="W188" i="1541" s="1"/>
  <c r="L53" i="1541"/>
  <c r="Z37" i="1541"/>
  <c r="Q153" i="121"/>
  <c r="U400" i="121" s="1"/>
  <c r="J290" i="1554"/>
  <c r="G256" i="1554"/>
  <c r="K248" i="1554"/>
  <c r="AI291" i="1554"/>
  <c r="O256" i="1554"/>
  <c r="H231" i="1554"/>
  <c r="AK85" i="1554"/>
  <c r="M47" i="1554"/>
  <c r="M49" i="1554" s="1"/>
  <c r="H39" i="1554"/>
  <c r="AF142" i="1583"/>
  <c r="A69" i="1583"/>
  <c r="A79" i="1583" s="1"/>
  <c r="A114" i="1583" s="1"/>
  <c r="I39" i="1545"/>
  <c r="Q22" i="1545"/>
  <c r="N258" i="1555"/>
  <c r="AC83" i="1541"/>
  <c r="T74" i="1541"/>
  <c r="L71" i="1541"/>
  <c r="R72" i="1541" s="1"/>
  <c r="U63" i="1541"/>
  <c r="L35" i="1541"/>
  <c r="W21" i="1541"/>
  <c r="W168" i="1541"/>
  <c r="Q12" i="121"/>
  <c r="Q415" i="121" s="1"/>
  <c r="N362" i="1554"/>
  <c r="R337" i="1554"/>
  <c r="H248" i="1554"/>
  <c r="L248" i="1554"/>
  <c r="AJ229" i="1554"/>
  <c r="AJ269" i="1554" s="1"/>
  <c r="Q162" i="1554"/>
  <c r="Q164" i="1554" s="1"/>
  <c r="Q166" i="1554" s="1"/>
  <c r="R162" i="1554"/>
  <c r="R164" i="1554" s="1"/>
  <c r="R166" i="1554" s="1"/>
  <c r="K116" i="1554"/>
  <c r="P116" i="1554"/>
  <c r="AJ87" i="1554"/>
  <c r="AK68" i="1554"/>
  <c r="I76" i="1554"/>
  <c r="N64" i="1554"/>
  <c r="AI75" i="1554"/>
  <c r="AG216" i="121" s="1"/>
  <c r="P40" i="1554"/>
  <c r="AJ73" i="1554"/>
  <c r="AH214" i="121" s="1"/>
  <c r="O195" i="1583"/>
  <c r="T196" i="1583"/>
  <c r="AE142" i="1583"/>
  <c r="H34" i="1583"/>
  <c r="M33" i="1545"/>
  <c r="R110" i="1541"/>
  <c r="R198" i="1541" s="1"/>
  <c r="R204" i="1541" s="1"/>
  <c r="Q94" i="1541"/>
  <c r="Q117" i="1541" s="1"/>
  <c r="V155" i="1541"/>
  <c r="AD60" i="1541"/>
  <c r="AA63" i="1541"/>
  <c r="AA66" i="1541" s="1"/>
  <c r="V37" i="1541"/>
  <c r="Q312" i="1554"/>
  <c r="R312" i="1554" s="1"/>
  <c r="I273" i="1554"/>
  <c r="I274" i="1554" s="1"/>
  <c r="G231" i="1554"/>
  <c r="F231" i="1554"/>
  <c r="F238" i="1554" s="1"/>
  <c r="AI238" i="1554" s="1"/>
  <c r="AG88" i="1821" s="1"/>
  <c r="O116" i="1554"/>
  <c r="G98" i="1554"/>
  <c r="F49" i="1554"/>
  <c r="AK74" i="1554"/>
  <c r="AI215" i="121" s="1"/>
  <c r="AE222" i="1583"/>
  <c r="N195" i="1583"/>
  <c r="N172" i="1583"/>
  <c r="AD142" i="1583"/>
  <c r="A68" i="1583"/>
  <c r="A78" i="1583" s="1"/>
  <c r="A113" i="1583" s="1"/>
  <c r="M46" i="1545"/>
  <c r="G11" i="1518"/>
  <c r="O109" i="1555"/>
  <c r="O112" i="1555" s="1"/>
  <c r="O115" i="1555" s="1"/>
  <c r="G109" i="1555"/>
  <c r="G112" i="1555" s="1"/>
  <c r="G115" i="1555" s="1"/>
  <c r="O131" i="1554"/>
  <c r="O35" i="121" s="1"/>
  <c r="J47" i="1554"/>
  <c r="J49" i="1554" s="1"/>
  <c r="L172" i="1583"/>
  <c r="P22" i="1619"/>
  <c r="R14" i="1518"/>
  <c r="R15" i="1518" s="1"/>
  <c r="Q200" i="1541"/>
  <c r="N180" i="1541"/>
  <c r="AF179" i="1541"/>
  <c r="AF188" i="1541" s="1"/>
  <c r="W125" i="1541"/>
  <c r="N306" i="1554" s="1"/>
  <c r="O74" i="1541"/>
  <c r="Q37" i="1541"/>
  <c r="U31" i="1541"/>
  <c r="V27" i="1541"/>
  <c r="X26" i="1541"/>
  <c r="T21" i="1541"/>
  <c r="AB17" i="1541"/>
  <c r="AH17" i="1541" s="1"/>
  <c r="AN17" i="1541" s="1"/>
  <c r="Q346" i="1554"/>
  <c r="R346" i="1554" s="1"/>
  <c r="Q308" i="1554"/>
  <c r="R308" i="1554" s="1"/>
  <c r="AJ305" i="1554"/>
  <c r="J273" i="1554"/>
  <c r="J274" i="1554" s="1"/>
  <c r="AL256" i="1554"/>
  <c r="N110" i="1554"/>
  <c r="T104" i="1554"/>
  <c r="AJ85" i="1554"/>
  <c r="J76" i="1554"/>
  <c r="AJ16" i="1554"/>
  <c r="J172" i="1583"/>
  <c r="Q172" i="1583"/>
  <c r="M50" i="1545"/>
  <c r="K38" i="1545"/>
  <c r="I15" i="1619"/>
  <c r="R20" i="1541"/>
  <c r="AK337" i="1554"/>
  <c r="AJ306" i="1554"/>
  <c r="N231" i="1554"/>
  <c r="AI89" i="1554"/>
  <c r="AE234" i="1583"/>
  <c r="N177" i="1583"/>
  <c r="P172" i="1583"/>
  <c r="R171" i="1583"/>
  <c r="AE160" i="1583"/>
  <c r="L24" i="1619"/>
  <c r="N21" i="1619"/>
  <c r="V117" i="1541"/>
  <c r="W151" i="1541"/>
  <c r="J63" i="1541"/>
  <c r="AK348" i="1554"/>
  <c r="AK341" i="1554"/>
  <c r="O231" i="1554"/>
  <c r="P104" i="1554"/>
  <c r="AK99" i="1554"/>
  <c r="AJ69" i="1554"/>
  <c r="AI67" i="1554"/>
  <c r="AJ74" i="1554"/>
  <c r="AH215" i="121" s="1"/>
  <c r="AL49" i="1554"/>
  <c r="G14" i="1554"/>
  <c r="R196" i="1583"/>
  <c r="G195" i="1583"/>
  <c r="G207" i="1583" s="1"/>
  <c r="E33" i="1545"/>
  <c r="H24" i="1545"/>
  <c r="U117" i="1541"/>
  <c r="T34" i="1541"/>
  <c r="T318" i="1554"/>
  <c r="T292" i="1554"/>
  <c r="F273" i="1554"/>
  <c r="F274" i="1554" s="1"/>
  <c r="L122" i="1554"/>
  <c r="R172" i="1583"/>
  <c r="A66" i="1583"/>
  <c r="A76" i="1583" s="1"/>
  <c r="A111" i="1583" s="1"/>
  <c r="AD53" i="1583"/>
  <c r="AE189" i="1583"/>
  <c r="D33" i="1545"/>
  <c r="D51" i="1545" s="1"/>
  <c r="P18" i="1545"/>
  <c r="T511" i="1555"/>
  <c r="U21" i="1541"/>
  <c r="AK346" i="1554"/>
  <c r="R336" i="1554"/>
  <c r="AK334" i="1554"/>
  <c r="AJ312" i="1554"/>
  <c r="J248" i="1554"/>
  <c r="P150" i="1554"/>
  <c r="AI86" i="1554"/>
  <c r="AI85" i="1554"/>
  <c r="AJ70" i="1554"/>
  <c r="P57" i="1583"/>
  <c r="H41" i="1545"/>
  <c r="H24" i="1619"/>
  <c r="G141" i="1555"/>
  <c r="G144" i="1555" s="1"/>
  <c r="G147" i="1555" s="1"/>
  <c r="I109" i="1555"/>
  <c r="I112" i="1555" s="1"/>
  <c r="I115" i="1555" s="1"/>
  <c r="AA204" i="1541"/>
  <c r="Z180" i="1541"/>
  <c r="Z187" i="1541" s="1"/>
  <c r="V53" i="1541"/>
  <c r="AA36" i="1541"/>
  <c r="R340" i="1554"/>
  <c r="F77" i="1554"/>
  <c r="E76" i="1554"/>
  <c r="P16" i="1554"/>
  <c r="P18" i="1554" s="1"/>
  <c r="P26" i="1554" s="1"/>
  <c r="P28" i="1554" s="1"/>
  <c r="P31" i="1554" s="1"/>
  <c r="AI16" i="1554"/>
  <c r="AC239" i="1583"/>
  <c r="AC245" i="1583" s="1"/>
  <c r="J21" i="1619"/>
  <c r="G258" i="1555"/>
  <c r="P203" i="1555"/>
  <c r="Z200" i="1541"/>
  <c r="Z202" i="1541" s="1"/>
  <c r="AA175" i="1541"/>
  <c r="AL179" i="1541"/>
  <c r="AL188" i="1541" s="1"/>
  <c r="W122" i="1541"/>
  <c r="N303" i="1554" s="1"/>
  <c r="U53" i="1541"/>
  <c r="AA54" i="1541" s="1"/>
  <c r="X33" i="1541"/>
  <c r="X74" i="1541" s="1"/>
  <c r="X75" i="1541" s="1"/>
  <c r="T23" i="1541"/>
  <c r="D16" i="1425"/>
  <c r="D8" i="1425" s="1"/>
  <c r="E16" i="1425"/>
  <c r="E8" i="1425" s="1"/>
  <c r="E10" i="1425" s="1"/>
  <c r="L61" i="1711"/>
  <c r="AK335" i="121"/>
  <c r="AK333" i="121" s="1"/>
  <c r="E82" i="1538"/>
  <c r="E82" i="1535"/>
  <c r="E86" i="1712"/>
  <c r="H145" i="121"/>
  <c r="T366" i="121"/>
  <c r="T368" i="121" s="1"/>
  <c r="T128" i="121"/>
  <c r="T157" i="1810" s="1"/>
  <c r="T159" i="1810" s="1"/>
  <c r="S349" i="121"/>
  <c r="AG265" i="121"/>
  <c r="P359" i="121"/>
  <c r="T276" i="121"/>
  <c r="X282" i="121" s="1"/>
  <c r="I222" i="121"/>
  <c r="I225" i="121"/>
  <c r="Q275" i="121"/>
  <c r="U281" i="121" s="1"/>
  <c r="T222" i="121"/>
  <c r="T225" i="121"/>
  <c r="T116" i="121"/>
  <c r="T362" i="121"/>
  <c r="K276" i="121"/>
  <c r="K300" i="121" s="1"/>
  <c r="Q211" i="121"/>
  <c r="S211" i="121"/>
  <c r="S225" i="121"/>
  <c r="K318" i="121"/>
  <c r="U246" i="121"/>
  <c r="V236" i="121"/>
  <c r="H357" i="1554"/>
  <c r="I357" i="1554" s="1"/>
  <c r="J357" i="1554" s="1"/>
  <c r="AJ180" i="121"/>
  <c r="S153" i="121"/>
  <c r="S116" i="121"/>
  <c r="S226" i="1583"/>
  <c r="O359" i="121"/>
  <c r="L225" i="121"/>
  <c r="Q226" i="1583"/>
  <c r="Q47" i="121"/>
  <c r="U52" i="121" s="1"/>
  <c r="S275" i="121"/>
  <c r="V241" i="121"/>
  <c r="AJ222" i="121"/>
  <c r="H222" i="121"/>
  <c r="P217" i="121"/>
  <c r="P226" i="121" s="1"/>
  <c r="AK180" i="121"/>
  <c r="AI328" i="1554"/>
  <c r="O40" i="1554"/>
  <c r="AL74" i="1554"/>
  <c r="AJ215" i="121" s="1"/>
  <c r="O65" i="121"/>
  <c r="L173" i="121"/>
  <c r="AK339" i="1554"/>
  <c r="AJ225" i="1554"/>
  <c r="AH82" i="1821" s="1"/>
  <c r="J231" i="1554"/>
  <c r="J85" i="1821" s="1"/>
  <c r="AJ105" i="121"/>
  <c r="G35" i="1807" s="1"/>
  <c r="AI249" i="1554"/>
  <c r="H362" i="1554"/>
  <c r="I358" i="1554"/>
  <c r="K270" i="1554"/>
  <c r="T152" i="1583"/>
  <c r="T155" i="1583" s="1"/>
  <c r="T72" i="121"/>
  <c r="T122" i="121" s="1"/>
  <c r="K349" i="1554"/>
  <c r="F48" i="1535"/>
  <c r="F48" i="1538"/>
  <c r="F51" i="1712"/>
  <c r="S152" i="1583"/>
  <c r="S72" i="121"/>
  <c r="T162" i="1554"/>
  <c r="T164" i="1554" s="1"/>
  <c r="T166" i="1554" s="1"/>
  <c r="T158" i="1554"/>
  <c r="T160" i="1554" s="1"/>
  <c r="T28" i="121" s="1"/>
  <c r="D48" i="1535"/>
  <c r="D48" i="1538"/>
  <c r="D51" i="1712"/>
  <c r="R331" i="1554"/>
  <c r="O349" i="1554"/>
  <c r="G16" i="1619"/>
  <c r="G31" i="1583"/>
  <c r="G22" i="121"/>
  <c r="G38" i="121" s="1"/>
  <c r="K22" i="121"/>
  <c r="G13" i="121"/>
  <c r="K13" i="121"/>
  <c r="N349" i="1554"/>
  <c r="K319" i="1554"/>
  <c r="U31" i="1583"/>
  <c r="Y47" i="1583" s="1"/>
  <c r="U134" i="1583"/>
  <c r="U122" i="1583"/>
  <c r="F76" i="1554"/>
  <c r="P116" i="121"/>
  <c r="AK335" i="1554"/>
  <c r="Q32" i="1545"/>
  <c r="T32" i="1545"/>
  <c r="J41" i="1545"/>
  <c r="J50" i="1545"/>
  <c r="P31" i="1545"/>
  <c r="S31" i="1545"/>
  <c r="S49" i="1545" s="1"/>
  <c r="F49" i="1545"/>
  <c r="T28" i="1545"/>
  <c r="J37" i="1545"/>
  <c r="J46" i="1545"/>
  <c r="J33" i="1545"/>
  <c r="P27" i="1545"/>
  <c r="S27" i="1545"/>
  <c r="S45" i="1545" s="1"/>
  <c r="F45" i="1545"/>
  <c r="F33" i="1545"/>
  <c r="L11" i="1518"/>
  <c r="L10" i="1518"/>
  <c r="L41" i="1518" s="1"/>
  <c r="U19" i="121"/>
  <c r="O362" i="1554"/>
  <c r="AK347" i="1554"/>
  <c r="AJ318" i="1554"/>
  <c r="AI319" i="1554"/>
  <c r="AG133" i="121" s="1"/>
  <c r="AG148" i="1810" s="1"/>
  <c r="AG150" i="1810" s="1"/>
  <c r="AG73" i="1821" s="1"/>
  <c r="I256" i="1554"/>
  <c r="I231" i="1554"/>
  <c r="AI68" i="1554"/>
  <c r="D9" i="1538"/>
  <c r="D9" i="1535"/>
  <c r="AB31" i="1583"/>
  <c r="D8" i="1712"/>
  <c r="M349" i="1554"/>
  <c r="L349" i="1554"/>
  <c r="K231" i="1554"/>
  <c r="D76" i="1554"/>
  <c r="AI69" i="1554"/>
  <c r="AK358" i="1554"/>
  <c r="AK362" i="1554" s="1"/>
  <c r="AK331" i="1554"/>
  <c r="H319" i="1554"/>
  <c r="H133" i="121" s="1"/>
  <c r="H148" i="1810" s="1"/>
  <c r="H150" i="1810" s="1"/>
  <c r="H73" i="1821" s="1"/>
  <c r="AK88" i="1554"/>
  <c r="AI81" i="1554"/>
  <c r="AL15" i="1554"/>
  <c r="O41" i="1554"/>
  <c r="Q348" i="1554"/>
  <c r="R348" i="1554" s="1"/>
  <c r="G319" i="1554"/>
  <c r="AJ314" i="1554"/>
  <c r="G248" i="1554"/>
  <c r="S78" i="1554"/>
  <c r="S168" i="1554"/>
  <c r="AI70" i="1554"/>
  <c r="C76" i="1554"/>
  <c r="C78" i="1554" s="1"/>
  <c r="N16" i="1554"/>
  <c r="N18" i="1554" s="1"/>
  <c r="N41" i="1554"/>
  <c r="Q20" i="121"/>
  <c r="L231" i="1554"/>
  <c r="D64" i="1554"/>
  <c r="D77" i="1554"/>
  <c r="AK15" i="1554"/>
  <c r="M41" i="1554"/>
  <c r="K232" i="1583"/>
  <c r="Q358" i="1554"/>
  <c r="R358" i="1554" s="1"/>
  <c r="AJ349" i="1554"/>
  <c r="J343" i="1554"/>
  <c r="J96" i="121" s="1"/>
  <c r="J94" i="1810" s="1"/>
  <c r="J96" i="1810" s="1"/>
  <c r="AK332" i="1554"/>
  <c r="N290" i="1554"/>
  <c r="AK233" i="1554"/>
  <c r="L105" i="1554"/>
  <c r="G99" i="1554"/>
  <c r="J99" i="1554" s="1"/>
  <c r="C64" i="1554"/>
  <c r="S274" i="1554"/>
  <c r="S286" i="1554"/>
  <c r="T286" i="1554"/>
  <c r="J256" i="1554"/>
  <c r="O291" i="1554"/>
  <c r="AK229" i="1554"/>
  <c r="AK269" i="1554" s="1"/>
  <c r="N269" i="1554"/>
  <c r="AF12" i="121"/>
  <c r="AF9" i="1810" s="1"/>
  <c r="R332" i="1554"/>
  <c r="AJ315" i="1554"/>
  <c r="R274" i="1554"/>
  <c r="R286" i="1554"/>
  <c r="AK234" i="1554"/>
  <c r="AK291" i="1554" s="1"/>
  <c r="N291" i="1554"/>
  <c r="AK98" i="1554"/>
  <c r="M150" i="1554"/>
  <c r="M116" i="1554"/>
  <c r="M104" i="1554"/>
  <c r="Q104" i="1554"/>
  <c r="AI72" i="1554"/>
  <c r="M362" i="1554"/>
  <c r="AK336" i="1554"/>
  <c r="O328" i="1554"/>
  <c r="I319" i="1554"/>
  <c r="I133" i="121" s="1"/>
  <c r="I148" i="1810" s="1"/>
  <c r="I150" i="1810" s="1"/>
  <c r="I73" i="1821" s="1"/>
  <c r="Q274" i="1554"/>
  <c r="L256" i="1554"/>
  <c r="H256" i="1554"/>
  <c r="K49" i="1554"/>
  <c r="AJ326" i="1554"/>
  <c r="AJ84" i="1554"/>
  <c r="AJ67" i="1554"/>
  <c r="H76" i="1554"/>
  <c r="E48" i="1535"/>
  <c r="E48" i="1538"/>
  <c r="E51" i="1712"/>
  <c r="T328" i="1554"/>
  <c r="AJ316" i="1554"/>
  <c r="F256" i="1554"/>
  <c r="P273" i="1554"/>
  <c r="O273" i="1554"/>
  <c r="S162" i="1554"/>
  <c r="AJ327" i="1554"/>
  <c r="AH252" i="121" s="1"/>
  <c r="AK241" i="1554"/>
  <c r="N248" i="1554"/>
  <c r="N93" i="1821" s="1"/>
  <c r="N92" i="1821" s="1"/>
  <c r="N273" i="1554"/>
  <c r="G76" i="1554"/>
  <c r="AJ68" i="1554"/>
  <c r="M231" i="1554"/>
  <c r="O112" i="1554"/>
  <c r="R110" i="1554"/>
  <c r="AJ105" i="1554"/>
  <c r="R104" i="1554"/>
  <c r="P76" i="1554"/>
  <c r="P78" i="1554" s="1"/>
  <c r="P283" i="1554" s="1"/>
  <c r="N256" i="1554"/>
  <c r="P177" i="1554"/>
  <c r="AL177" i="1554" s="1"/>
  <c r="O76" i="1554"/>
  <c r="O16" i="1554"/>
  <c r="AE112" i="1583"/>
  <c r="AE77" i="1583"/>
  <c r="Q311" i="1554"/>
  <c r="R311" i="1554" s="1"/>
  <c r="N40" i="1554"/>
  <c r="K172" i="1583"/>
  <c r="AJ244" i="1554"/>
  <c r="L112" i="1554"/>
  <c r="R105" i="1554"/>
  <c r="AL81" i="1554"/>
  <c r="R64" i="1554"/>
  <c r="R42" i="1554"/>
  <c r="R44" i="1554" s="1"/>
  <c r="AK9" i="1554"/>
  <c r="K35" i="1554"/>
  <c r="L177" i="1583"/>
  <c r="P171" i="1583"/>
  <c r="L195" i="1583"/>
  <c r="P201" i="1583" s="1"/>
  <c r="AI244" i="1554"/>
  <c r="K76" i="1554"/>
  <c r="T49" i="1554"/>
  <c r="J35" i="1554"/>
  <c r="F42" i="1535"/>
  <c r="F42" i="1538"/>
  <c r="F45" i="1712"/>
  <c r="S146" i="1554"/>
  <c r="AM146" i="1554" s="1"/>
  <c r="P105" i="1554"/>
  <c r="S42" i="1554"/>
  <c r="S44" i="1554" s="1"/>
  <c r="K38" i="1554"/>
  <c r="K16" i="1554"/>
  <c r="K18" i="1554" s="1"/>
  <c r="K26" i="1554" s="1"/>
  <c r="AK12" i="1554"/>
  <c r="S195" i="1583"/>
  <c r="W201" i="1583" s="1"/>
  <c r="S189" i="1583"/>
  <c r="E42" i="1538"/>
  <c r="E42" i="1535"/>
  <c r="E45" i="1712"/>
  <c r="R49" i="1554"/>
  <c r="I172" i="1583"/>
  <c r="G178" i="1583"/>
  <c r="G196" i="1583"/>
  <c r="G208" i="1583" s="1"/>
  <c r="G172" i="1583"/>
  <c r="AE141" i="1583"/>
  <c r="AD141" i="1583"/>
  <c r="AD147" i="1583"/>
  <c r="AJ100" i="1554"/>
  <c r="AJ106" i="1554" s="1"/>
  <c r="L35" i="1554"/>
  <c r="L16" i="1554"/>
  <c r="L18" i="1554" s="1"/>
  <c r="L26" i="1554" s="1"/>
  <c r="L39" i="1554"/>
  <c r="AE233" i="1583"/>
  <c r="AC147" i="1583"/>
  <c r="AC165" i="1583"/>
  <c r="AC141" i="1583"/>
  <c r="AJ112" i="1554"/>
  <c r="AK69" i="1554"/>
  <c r="AK13" i="1554"/>
  <c r="K39" i="1554"/>
  <c r="AB165" i="1583"/>
  <c r="AB147" i="1583"/>
  <c r="AB148" i="1583"/>
  <c r="AB245" i="1583"/>
  <c r="AC49" i="1583"/>
  <c r="AB130" i="1583"/>
  <c r="AB160" i="1583"/>
  <c r="AE48" i="1583"/>
  <c r="AF48" i="1583"/>
  <c r="AE221" i="1583"/>
  <c r="AE147" i="1583"/>
  <c r="AK75" i="1554"/>
  <c r="AI216" i="121" s="1"/>
  <c r="M40" i="1554"/>
  <c r="M16" i="1554"/>
  <c r="M18" i="1554" s="1"/>
  <c r="M26" i="1554" s="1"/>
  <c r="AD153" i="1583"/>
  <c r="AI70" i="1810" s="1"/>
  <c r="AI75" i="1810" s="1"/>
  <c r="M159" i="1583"/>
  <c r="O77" i="1554"/>
  <c r="AK14" i="1554"/>
  <c r="K40" i="1554"/>
  <c r="Q178" i="1583"/>
  <c r="AJ24" i="1554"/>
  <c r="N21" i="1554"/>
  <c r="G177" i="1583"/>
  <c r="H171" i="1583"/>
  <c r="M58" i="1712"/>
  <c r="AI24" i="1554"/>
  <c r="I196" i="1583"/>
  <c r="I208" i="1583" s="1"/>
  <c r="O178" i="1583"/>
  <c r="T177" i="1583"/>
  <c r="AL12" i="1554"/>
  <c r="AL9" i="1554"/>
  <c r="P47" i="1583"/>
  <c r="L57" i="1583"/>
  <c r="M57" i="1583"/>
  <c r="L34" i="1583"/>
  <c r="S171" i="1583"/>
  <c r="O47" i="1583"/>
  <c r="K34" i="1583"/>
  <c r="AI55" i="1554"/>
  <c r="O38" i="1554"/>
  <c r="AJ9" i="1554"/>
  <c r="O177" i="1583"/>
  <c r="T113" i="1583"/>
  <c r="T78" i="1583"/>
  <c r="E34" i="1583"/>
  <c r="I47" i="1583"/>
  <c r="AE68" i="1583"/>
  <c r="AF78" i="1583" s="1"/>
  <c r="R78" i="1583"/>
  <c r="AC53" i="1583"/>
  <c r="P9" i="1712"/>
  <c r="O11" i="1712"/>
  <c r="O10" i="1712"/>
  <c r="O12" i="1712" s="1"/>
  <c r="C14" i="1619"/>
  <c r="G22" i="1619" s="1"/>
  <c r="G21" i="1619"/>
  <c r="C15" i="1619"/>
  <c r="I34" i="1583"/>
  <c r="N10" i="1712"/>
  <c r="N12" i="1712" s="1"/>
  <c r="AD52" i="1583"/>
  <c r="O10" i="1535"/>
  <c r="N12" i="1535"/>
  <c r="P32" i="1545"/>
  <c r="S32" i="1545"/>
  <c r="S50" i="1545" s="1"/>
  <c r="F50" i="1545"/>
  <c r="J38" i="1545"/>
  <c r="Q29" i="1545"/>
  <c r="T29" i="1545"/>
  <c r="J47" i="1545"/>
  <c r="P28" i="1545"/>
  <c r="S28" i="1545"/>
  <c r="S46" i="1545" s="1"/>
  <c r="F46" i="1545"/>
  <c r="H11" i="1518"/>
  <c r="H10" i="1518"/>
  <c r="H41" i="1518" s="1"/>
  <c r="K13" i="1518"/>
  <c r="I16" i="1518"/>
  <c r="H14" i="1518"/>
  <c r="H15" i="1518" s="1"/>
  <c r="H42" i="1518" s="1"/>
  <c r="L14" i="1518"/>
  <c r="L15" i="1518" s="1"/>
  <c r="L42" i="1518" s="1"/>
  <c r="AH57" i="1541"/>
  <c r="AI57" i="1541" s="1"/>
  <c r="AL57" i="1541" s="1"/>
  <c r="K39" i="1545"/>
  <c r="K48" i="1545"/>
  <c r="Q30" i="1545"/>
  <c r="T30" i="1545"/>
  <c r="J39" i="1545"/>
  <c r="P29" i="1545"/>
  <c r="S29" i="1545"/>
  <c r="S47" i="1545" s="1"/>
  <c r="F47" i="1545"/>
  <c r="T15" i="1545"/>
  <c r="O22" i="1619"/>
  <c r="V14" i="1619"/>
  <c r="M12" i="1535"/>
  <c r="M24" i="1545"/>
  <c r="P10" i="1518"/>
  <c r="P41" i="1518" s="1"/>
  <c r="L39" i="1545"/>
  <c r="K40" i="1545"/>
  <c r="K49" i="1545"/>
  <c r="K36" i="1545"/>
  <c r="K45" i="1545"/>
  <c r="Q15" i="1545"/>
  <c r="S15" i="1545"/>
  <c r="G24" i="1545"/>
  <c r="H21" i="1619"/>
  <c r="H15" i="1619"/>
  <c r="L21" i="1619"/>
  <c r="Q10" i="1518"/>
  <c r="Q41" i="1518" s="1"/>
  <c r="Q11" i="1518"/>
  <c r="L47" i="1545"/>
  <c r="Q31" i="1545"/>
  <c r="T31" i="1545"/>
  <c r="J40" i="1545"/>
  <c r="P30" i="1545"/>
  <c r="S30" i="1545"/>
  <c r="S48" i="1545" s="1"/>
  <c r="F48" i="1545"/>
  <c r="T27" i="1545"/>
  <c r="J36" i="1545"/>
  <c r="J45" i="1545"/>
  <c r="L22" i="1619"/>
  <c r="Q27" i="1545"/>
  <c r="I14" i="1619"/>
  <c r="I22" i="1619" s="1"/>
  <c r="N11" i="1518"/>
  <c r="N10" i="1518"/>
  <c r="N41" i="1518" s="1"/>
  <c r="O11" i="1518"/>
  <c r="K41" i="1545"/>
  <c r="K50" i="1545"/>
  <c r="K37" i="1545"/>
  <c r="K46" i="1545"/>
  <c r="P20" i="1545"/>
  <c r="Q20" i="1545"/>
  <c r="H22" i="1619"/>
  <c r="M10" i="1518"/>
  <c r="M41" i="1518" s="1"/>
  <c r="E11" i="1518"/>
  <c r="U145" i="1541"/>
  <c r="V142" i="1541"/>
  <c r="W142" i="1541" s="1"/>
  <c r="U173" i="1541"/>
  <c r="U175" i="1541"/>
  <c r="L48" i="1545"/>
  <c r="X203" i="1541"/>
  <c r="X156" i="1541"/>
  <c r="Z162" i="1541"/>
  <c r="Q28" i="1545"/>
  <c r="Q22" i="1619"/>
  <c r="AF110" i="1541"/>
  <c r="Z185" i="1541"/>
  <c r="X190" i="1541"/>
  <c r="AD185" i="1541"/>
  <c r="I10" i="1518"/>
  <c r="I41" i="1518" s="1"/>
  <c r="I11" i="1518"/>
  <c r="X116" i="1541"/>
  <c r="X117" i="1541" s="1"/>
  <c r="AF9" i="1541"/>
  <c r="AF8" i="1541" s="1"/>
  <c r="AF25" i="1541" s="1"/>
  <c r="L203" i="1555"/>
  <c r="AF30" i="1541"/>
  <c r="Z31" i="1541"/>
  <c r="W11" i="1518"/>
  <c r="J203" i="1555"/>
  <c r="H36" i="1545"/>
  <c r="P21" i="1619"/>
  <c r="N179" i="1541"/>
  <c r="AI178" i="1541"/>
  <c r="AI179" i="1541" s="1"/>
  <c r="AI188" i="1541" s="1"/>
  <c r="AH179" i="1541"/>
  <c r="AH188" i="1541" s="1"/>
  <c r="V65" i="1541"/>
  <c r="V66" i="1541"/>
  <c r="O21" i="1619"/>
  <c r="P16" i="1518"/>
  <c r="O258" i="1555"/>
  <c r="R109" i="1555"/>
  <c r="R112" i="1555" s="1"/>
  <c r="R115" i="1555" s="1"/>
  <c r="AF195" i="1541"/>
  <c r="P15" i="1545"/>
  <c r="P24" i="1545" s="1"/>
  <c r="I24" i="1619"/>
  <c r="M21" i="1619"/>
  <c r="K69" i="1555"/>
  <c r="AG179" i="1541"/>
  <c r="AG188" i="1541" s="1"/>
  <c r="X13" i="1518"/>
  <c r="U200" i="1541"/>
  <c r="U204" i="1541"/>
  <c r="P178" i="1541"/>
  <c r="O179" i="1541"/>
  <c r="AN178" i="1541"/>
  <c r="AO178" i="1541" s="1"/>
  <c r="AO179" i="1541" s="1"/>
  <c r="AO188" i="1541" s="1"/>
  <c r="AM179" i="1541"/>
  <c r="AM188" i="1541" s="1"/>
  <c r="R94" i="1541"/>
  <c r="K21" i="1619"/>
  <c r="F11" i="1518"/>
  <c r="T200" i="1541"/>
  <c r="T204" i="1541"/>
  <c r="AB91" i="1541"/>
  <c r="AC178" i="1541"/>
  <c r="AD178" i="1541" s="1"/>
  <c r="AB90" i="1541"/>
  <c r="AB179" i="1541"/>
  <c r="AB188" i="1541" s="1"/>
  <c r="K10" i="1518"/>
  <c r="K41" i="1518" s="1"/>
  <c r="W10" i="1518"/>
  <c r="G309" i="1555"/>
  <c r="J11" i="1518"/>
  <c r="V126" i="1541"/>
  <c r="M307" i="1554" s="1"/>
  <c r="AC174" i="1541"/>
  <c r="AA179" i="1541"/>
  <c r="AF92" i="1541"/>
  <c r="AG92" i="1541" s="1"/>
  <c r="AH92" i="1541" s="1"/>
  <c r="AI92" i="1541" s="1"/>
  <c r="AJ92" i="1541" s="1"/>
  <c r="AL92" i="1541" s="1"/>
  <c r="AM92" i="1541" s="1"/>
  <c r="AN92" i="1541" s="1"/>
  <c r="AO92" i="1541" s="1"/>
  <c r="AP92" i="1541" s="1"/>
  <c r="U156" i="1541"/>
  <c r="AH30" i="1541"/>
  <c r="Z23" i="1541"/>
  <c r="AA205" i="1541"/>
  <c r="AO173" i="1541"/>
  <c r="AB136" i="1541"/>
  <c r="AC103" i="1541"/>
  <c r="O63" i="1541"/>
  <c r="O53" i="1541"/>
  <c r="V36" i="1541"/>
  <c r="L180" i="1541"/>
  <c r="W133" i="1541"/>
  <c r="N313" i="1554" s="1"/>
  <c r="AA23" i="1541"/>
  <c r="AH193" i="1541"/>
  <c r="V158" i="1541"/>
  <c r="W152" i="1541"/>
  <c r="AM47" i="1541"/>
  <c r="AM17" i="1541"/>
  <c r="AG16" i="1541"/>
  <c r="AG97" i="1541" s="1"/>
  <c r="U139" i="1541"/>
  <c r="U162" i="1541" s="1"/>
  <c r="AB168" i="1541"/>
  <c r="AA169" i="1541"/>
  <c r="W138" i="1541"/>
  <c r="N318" i="1554" s="1"/>
  <c r="AH26" i="1541"/>
  <c r="AC17" i="1541"/>
  <c r="W18" i="1541"/>
  <c r="AA155" i="1541"/>
  <c r="AG82" i="1541"/>
  <c r="AM8" i="1541"/>
  <c r="AG29" i="1541"/>
  <c r="AG85" i="1541"/>
  <c r="AG39" i="1541"/>
  <c r="AG142" i="1541"/>
  <c r="Z160" i="1541"/>
  <c r="AI174" i="1541"/>
  <c r="P22" i="1541"/>
  <c r="V23" i="1541" s="1"/>
  <c r="W129" i="1541"/>
  <c r="N310" i="1554" s="1"/>
  <c r="W131" i="1541"/>
  <c r="W150" i="1541"/>
  <c r="R33" i="1541"/>
  <c r="O22" i="1541"/>
  <c r="U23" i="1541" s="1"/>
  <c r="X17" i="1541"/>
  <c r="T35" i="1541"/>
  <c r="T36" i="1541" s="1"/>
  <c r="Z21" i="1541"/>
  <c r="W128" i="1541"/>
  <c r="N309" i="1554" s="1"/>
  <c r="T37" i="1541"/>
  <c r="Q35" i="1541"/>
  <c r="W36" i="1541" s="1"/>
  <c r="W135" i="1541"/>
  <c r="N314" i="1554" s="1"/>
  <c r="W144" i="1541"/>
  <c r="N323" i="1554" s="1"/>
  <c r="AA18" i="1541"/>
  <c r="T40" i="1541"/>
  <c r="T50" i="1541"/>
  <c r="Q380" i="121"/>
  <c r="Q381" i="121"/>
  <c r="Q382" i="121"/>
  <c r="Q383" i="121"/>
  <c r="S380" i="121"/>
  <c r="S381" i="121"/>
  <c r="S382" i="121"/>
  <c r="S383" i="121"/>
  <c r="O383" i="121"/>
  <c r="O382" i="121"/>
  <c r="O381" i="121"/>
  <c r="O380" i="121"/>
  <c r="O292" i="1554" l="1"/>
  <c r="I285" i="1554"/>
  <c r="K292" i="1554"/>
  <c r="Q54" i="1810"/>
  <c r="Y64" i="1810"/>
  <c r="AL292" i="1554"/>
  <c r="AJ273" i="1554"/>
  <c r="P285" i="1554"/>
  <c r="G285" i="1554"/>
  <c r="I292" i="1554"/>
  <c r="H292" i="1554"/>
  <c r="L292" i="1554"/>
  <c r="N285" i="1554"/>
  <c r="AI292" i="1554"/>
  <c r="J84" i="1821"/>
  <c r="S97" i="1821"/>
  <c r="S87" i="1821"/>
  <c r="S254" i="1554"/>
  <c r="S95" i="1821"/>
  <c r="S94" i="1821" s="1"/>
  <c r="M252" i="1554"/>
  <c r="M93" i="1821"/>
  <c r="M92" i="1821" s="1"/>
  <c r="AJ84" i="1821"/>
  <c r="T254" i="1554"/>
  <c r="T95" i="1821"/>
  <c r="T94" i="1821" s="1"/>
  <c r="I252" i="1554"/>
  <c r="I93" i="1821"/>
  <c r="I92" i="1821" s="1"/>
  <c r="O238" i="1554"/>
  <c r="O88" i="1821" s="1"/>
  <c r="O85" i="1821"/>
  <c r="O84" i="1821" s="1"/>
  <c r="T97" i="1821"/>
  <c r="T87" i="1821"/>
  <c r="AL238" i="1554"/>
  <c r="AJ88" i="1821" s="1"/>
  <c r="R88" i="1821"/>
  <c r="AK267" i="1554"/>
  <c r="AK270" i="1554" s="1"/>
  <c r="AI83" i="1821"/>
  <c r="Q285" i="1554"/>
  <c r="AJ267" i="1554"/>
  <c r="AJ270" i="1554" s="1"/>
  <c r="AH83" i="1821"/>
  <c r="Q92" i="1821"/>
  <c r="Q94" i="1821"/>
  <c r="P238" i="1554"/>
  <c r="P88" i="1821" s="1"/>
  <c r="P85" i="1821"/>
  <c r="P84" i="1821" s="1"/>
  <c r="K238" i="1554"/>
  <c r="K88" i="1821" s="1"/>
  <c r="K85" i="1821"/>
  <c r="K84" i="1821" s="1"/>
  <c r="AK231" i="1554"/>
  <c r="AI85" i="1821" s="1"/>
  <c r="N85" i="1821"/>
  <c r="N84" i="1821" s="1"/>
  <c r="AL252" i="1554"/>
  <c r="AJ95" i="1821" s="1"/>
  <c r="AJ94" i="1821" s="1"/>
  <c r="R95" i="1821"/>
  <c r="R94" i="1821" s="1"/>
  <c r="K252" i="1554"/>
  <c r="K95" i="1821" s="1"/>
  <c r="K93" i="1821"/>
  <c r="K92" i="1821" s="1"/>
  <c r="AI267" i="1554"/>
  <c r="AI270" i="1554" s="1"/>
  <c r="AI276" i="1554" s="1"/>
  <c r="AG83" i="1821"/>
  <c r="L285" i="1554"/>
  <c r="Q97" i="1821"/>
  <c r="Q96" i="1821" s="1"/>
  <c r="Q87" i="1821"/>
  <c r="M285" i="1554"/>
  <c r="AJ290" i="1554"/>
  <c r="AJ292" i="1554" s="1"/>
  <c r="AH86" i="1821"/>
  <c r="O252" i="1554"/>
  <c r="O95" i="1821" s="1"/>
  <c r="O93" i="1821"/>
  <c r="O92" i="1821" s="1"/>
  <c r="L238" i="1554"/>
  <c r="L88" i="1821" s="1"/>
  <c r="L85" i="1821"/>
  <c r="L84" i="1821" s="1"/>
  <c r="AG92" i="1821"/>
  <c r="AK290" i="1554"/>
  <c r="AK292" i="1554" s="1"/>
  <c r="AI86" i="1821"/>
  <c r="AJ92" i="1821"/>
  <c r="L252" i="1554"/>
  <c r="L93" i="1821"/>
  <c r="L92" i="1821" s="1"/>
  <c r="H252" i="1554"/>
  <c r="H95" i="1821" s="1"/>
  <c r="H93" i="1821"/>
  <c r="H92" i="1821" s="1"/>
  <c r="H285" i="1554"/>
  <c r="G252" i="1554"/>
  <c r="G93" i="1821"/>
  <c r="G92" i="1821" s="1"/>
  <c r="J252" i="1554"/>
  <c r="J95" i="1821" s="1"/>
  <c r="J93" i="1821"/>
  <c r="J92" i="1821" s="1"/>
  <c r="H238" i="1554"/>
  <c r="H88" i="1821" s="1"/>
  <c r="H85" i="1821"/>
  <c r="H84" i="1821" s="1"/>
  <c r="AK273" i="1554"/>
  <c r="AK274" i="1554" s="1"/>
  <c r="AI91" i="1821"/>
  <c r="AG97" i="1821"/>
  <c r="M238" i="1554"/>
  <c r="M88" i="1821" s="1"/>
  <c r="M85" i="1821"/>
  <c r="M84" i="1821" s="1"/>
  <c r="I238" i="1554"/>
  <c r="I88" i="1821" s="1"/>
  <c r="I85" i="1821"/>
  <c r="I84" i="1821" s="1"/>
  <c r="G238" i="1554"/>
  <c r="G88" i="1821" s="1"/>
  <c r="G85" i="1821"/>
  <c r="G84" i="1821" s="1"/>
  <c r="V33" i="1821"/>
  <c r="K127" i="1554"/>
  <c r="K133" i="1554" s="1"/>
  <c r="AK179" i="1554"/>
  <c r="K185" i="121"/>
  <c r="K21" i="1810"/>
  <c r="K10" i="1821" s="1"/>
  <c r="K14" i="1810"/>
  <c r="G44" i="1810"/>
  <c r="H24" i="1810"/>
  <c r="G14" i="1810"/>
  <c r="G74" i="1810"/>
  <c r="S42" i="1821"/>
  <c r="S62" i="1821" s="1"/>
  <c r="S70" i="1821" s="1"/>
  <c r="AJ80" i="1810"/>
  <c r="AJ90" i="1810" s="1"/>
  <c r="AI80" i="1810"/>
  <c r="AI85" i="1810" s="1"/>
  <c r="AM165" i="121"/>
  <c r="V20" i="1821"/>
  <c r="V136" i="1810"/>
  <c r="Y160" i="1810"/>
  <c r="V122" i="1810"/>
  <c r="V91" i="1810"/>
  <c r="S110" i="1810"/>
  <c r="W110" i="1810"/>
  <c r="S115" i="1810"/>
  <c r="AJ45" i="1810"/>
  <c r="AJ40" i="1810"/>
  <c r="AK40" i="1810"/>
  <c r="U100" i="1810"/>
  <c r="U105" i="1810"/>
  <c r="M90" i="1810"/>
  <c r="M105" i="1810"/>
  <c r="M85" i="1810"/>
  <c r="U85" i="1810"/>
  <c r="Q105" i="1810"/>
  <c r="Q85" i="1810"/>
  <c r="Q90" i="1810"/>
  <c r="AH90" i="1810"/>
  <c r="AH105" i="1810"/>
  <c r="AG60" i="1810"/>
  <c r="L82" i="1808" s="1"/>
  <c r="L85" i="1808" s="1"/>
  <c r="AG80" i="1810"/>
  <c r="AH85" i="1810" s="1"/>
  <c r="R100" i="1810"/>
  <c r="R105" i="1810"/>
  <c r="AH55" i="1810"/>
  <c r="R9" i="1810"/>
  <c r="V14" i="1810" s="1"/>
  <c r="R23" i="121"/>
  <c r="T9" i="1810"/>
  <c r="T59" i="1810" s="1"/>
  <c r="T23" i="121"/>
  <c r="S9" i="1810"/>
  <c r="S74" i="1810" s="1"/>
  <c r="S23" i="121"/>
  <c r="Q9" i="1810"/>
  <c r="Q24" i="1810" s="1"/>
  <c r="Q23" i="121"/>
  <c r="Q406" i="121"/>
  <c r="R406" i="121"/>
  <c r="Q405" i="121"/>
  <c r="R405" i="121"/>
  <c r="Q404" i="121"/>
  <c r="R404" i="121"/>
  <c r="Q403" i="121"/>
  <c r="R403" i="121"/>
  <c r="P403" i="121"/>
  <c r="P404" i="121"/>
  <c r="P405" i="121"/>
  <c r="P406" i="121"/>
  <c r="S406" i="121"/>
  <c r="S405" i="121"/>
  <c r="S404" i="121"/>
  <c r="S403" i="121"/>
  <c r="L398" i="121"/>
  <c r="L415" i="121"/>
  <c r="R32" i="121"/>
  <c r="R415" i="121"/>
  <c r="I415" i="121"/>
  <c r="I398" i="121"/>
  <c r="H398" i="121"/>
  <c r="H415" i="121"/>
  <c r="S415" i="121"/>
  <c r="T415" i="121"/>
  <c r="J137" i="1810"/>
  <c r="J145" i="1810" s="1"/>
  <c r="J42" i="1821"/>
  <c r="O121" i="1810"/>
  <c r="AJ119" i="1810"/>
  <c r="AH119" i="1810"/>
  <c r="G121" i="1810"/>
  <c r="C74" i="1810"/>
  <c r="C71" i="1810"/>
  <c r="L44" i="1810"/>
  <c r="L39" i="1810"/>
  <c r="L36" i="1810"/>
  <c r="L71" i="1810"/>
  <c r="L74" i="1810"/>
  <c r="T51" i="1810"/>
  <c r="T79" i="1810"/>
  <c r="X54" i="1810"/>
  <c r="H71" i="1810"/>
  <c r="H74" i="1810"/>
  <c r="J71" i="1810"/>
  <c r="V16" i="1821"/>
  <c r="U11" i="1810"/>
  <c r="U61" i="1810" s="1"/>
  <c r="Y21" i="1810"/>
  <c r="Y10" i="1821" s="1"/>
  <c r="Y14" i="1810"/>
  <c r="V24" i="1810"/>
  <c r="U74" i="1810"/>
  <c r="S49" i="1821"/>
  <c r="AK121" i="1810"/>
  <c r="G35" i="1821"/>
  <c r="G143" i="1810"/>
  <c r="G76" i="1810"/>
  <c r="K138" i="1810"/>
  <c r="K54" i="1821"/>
  <c r="K63" i="1821" s="1"/>
  <c r="R99" i="1821"/>
  <c r="N36" i="1810"/>
  <c r="K121" i="1810"/>
  <c r="AI119" i="1810"/>
  <c r="I99" i="1810"/>
  <c r="I96" i="1810"/>
  <c r="S138" i="1810"/>
  <c r="S54" i="1821"/>
  <c r="S63" i="1821" s="1"/>
  <c r="D76" i="1810"/>
  <c r="D35" i="1821"/>
  <c r="D36" i="1821" s="1"/>
  <c r="N39" i="1810"/>
  <c r="K44" i="1810"/>
  <c r="K39" i="1810"/>
  <c r="K36" i="1810"/>
  <c r="L51" i="1810"/>
  <c r="L59" i="1810"/>
  <c r="L79" i="1810"/>
  <c r="AI134" i="121"/>
  <c r="AI74" i="1821" s="1"/>
  <c r="K74" i="1821"/>
  <c r="O99" i="1810"/>
  <c r="O96" i="1810"/>
  <c r="I71" i="1810"/>
  <c r="I74" i="1810"/>
  <c r="S79" i="1810"/>
  <c r="S51" i="1810"/>
  <c r="W54" i="1810"/>
  <c r="Q14" i="1821"/>
  <c r="AK138" i="1810"/>
  <c r="AK54" i="1821"/>
  <c r="AK63" i="1821" s="1"/>
  <c r="O35" i="1821"/>
  <c r="O76" i="1810"/>
  <c r="O143" i="1810"/>
  <c r="AG8" i="1821"/>
  <c r="Q18" i="1821"/>
  <c r="Q31" i="1821" s="1"/>
  <c r="V39" i="1810"/>
  <c r="R39" i="1810"/>
  <c r="R36" i="1810"/>
  <c r="M71" i="1810"/>
  <c r="M74" i="1810"/>
  <c r="P71" i="1810"/>
  <c r="P74" i="1810"/>
  <c r="F16" i="1619"/>
  <c r="F15" i="1619" s="1"/>
  <c r="F9" i="1810"/>
  <c r="F74" i="1810" s="1"/>
  <c r="N143" i="1810"/>
  <c r="N35" i="1821"/>
  <c r="K96" i="1810"/>
  <c r="K99" i="1810"/>
  <c r="N79" i="1810"/>
  <c r="N51" i="1810"/>
  <c r="G96" i="1810"/>
  <c r="G99" i="1810"/>
  <c r="P44" i="1810"/>
  <c r="P39" i="1810"/>
  <c r="P36" i="1810"/>
  <c r="T41" i="1810" s="1"/>
  <c r="U59" i="1810"/>
  <c r="U14" i="1821"/>
  <c r="U41" i="1810"/>
  <c r="Y41" i="1810"/>
  <c r="T14" i="1821"/>
  <c r="R35" i="1821"/>
  <c r="R143" i="1810"/>
  <c r="AJ138" i="1810"/>
  <c r="AJ54" i="1821"/>
  <c r="AJ63" i="1821" s="1"/>
  <c r="AG44" i="1810"/>
  <c r="AG36" i="1810"/>
  <c r="AG96" i="1810"/>
  <c r="D29" i="1809" s="1"/>
  <c r="D30" i="1809" s="1"/>
  <c r="AG99" i="1810"/>
  <c r="E71" i="1810"/>
  <c r="E74" i="1810"/>
  <c r="H99" i="1810"/>
  <c r="H96" i="1810"/>
  <c r="X39" i="1810"/>
  <c r="X44" i="1810"/>
  <c r="X36" i="1810"/>
  <c r="U18" i="1821"/>
  <c r="U31" i="1821" s="1"/>
  <c r="U38" i="1821" s="1"/>
  <c r="U81" i="1810"/>
  <c r="U56" i="1810"/>
  <c r="Y56" i="1810"/>
  <c r="T39" i="1810"/>
  <c r="T35" i="1821"/>
  <c r="T143" i="1810"/>
  <c r="O138" i="1810"/>
  <c r="O54" i="1821"/>
  <c r="O63" i="1821" s="1"/>
  <c r="AG14" i="1810"/>
  <c r="AF11" i="1810"/>
  <c r="AF33" i="1821" s="1"/>
  <c r="I138" i="1810"/>
  <c r="I54" i="1821"/>
  <c r="I63" i="1821" s="1"/>
  <c r="T99" i="1821"/>
  <c r="H138" i="1810"/>
  <c r="H54" i="1821"/>
  <c r="H63" i="1821" s="1"/>
  <c r="F71" i="1810"/>
  <c r="I44" i="1810"/>
  <c r="I36" i="1810"/>
  <c r="O44" i="1810"/>
  <c r="O39" i="1810"/>
  <c r="O36" i="1810"/>
  <c r="S41" i="1810" s="1"/>
  <c r="AG138" i="1810"/>
  <c r="AG54" i="1821"/>
  <c r="AG63" i="1821" s="1"/>
  <c r="T75" i="1821"/>
  <c r="U89" i="1810"/>
  <c r="Y84" i="1810"/>
  <c r="M44" i="1810"/>
  <c r="M39" i="1810"/>
  <c r="M36" i="1810"/>
  <c r="S99" i="1821"/>
  <c r="Q99" i="1821"/>
  <c r="M51" i="1810"/>
  <c r="M59" i="1810"/>
  <c r="M79" i="1810"/>
  <c r="T96" i="1810"/>
  <c r="K74" i="1810"/>
  <c r="K71" i="1810"/>
  <c r="AG119" i="1810"/>
  <c r="C121" i="1810"/>
  <c r="J138" i="1810"/>
  <c r="J54" i="1821"/>
  <c r="J63" i="1821" s="1"/>
  <c r="V81" i="121"/>
  <c r="R49" i="1810"/>
  <c r="M54" i="1821"/>
  <c r="M63" i="1821" s="1"/>
  <c r="M138" i="1810"/>
  <c r="S14" i="1821"/>
  <c r="U44" i="1810"/>
  <c r="G8" i="1821"/>
  <c r="H26" i="1810"/>
  <c r="G16" i="1810"/>
  <c r="K16" i="1810"/>
  <c r="S35" i="1821"/>
  <c r="S143" i="1810"/>
  <c r="AC168" i="121"/>
  <c r="AK256" i="1554"/>
  <c r="U50" i="121"/>
  <c r="V55" i="121"/>
  <c r="U55" i="121"/>
  <c r="U137" i="1583"/>
  <c r="Y140" i="1583"/>
  <c r="Y159" i="121"/>
  <c r="Y400" i="121"/>
  <c r="P355" i="121"/>
  <c r="U301" i="121"/>
  <c r="Y283" i="121"/>
  <c r="L128" i="121"/>
  <c r="L157" i="1810" s="1"/>
  <c r="L159" i="1810" s="1"/>
  <c r="AH107" i="1814"/>
  <c r="AH108" i="1814" s="1"/>
  <c r="AG90" i="121"/>
  <c r="AG69" i="1814"/>
  <c r="AG105" i="1814"/>
  <c r="AG107" i="1814" s="1"/>
  <c r="F107" i="1814"/>
  <c r="AI105" i="1814"/>
  <c r="AI107" i="1814" s="1"/>
  <c r="AI108" i="1814" s="1"/>
  <c r="N108" i="1814"/>
  <c r="BF745" i="1812"/>
  <c r="BF227" i="1812"/>
  <c r="AI4" i="1812"/>
  <c r="BF3" i="1812"/>
  <c r="AH572" i="1812" s="1"/>
  <c r="AH715" i="1812"/>
  <c r="T277" i="121"/>
  <c r="U295" i="121" s="1"/>
  <c r="AC268" i="121"/>
  <c r="X262" i="121"/>
  <c r="AB268" i="121" s="1"/>
  <c r="AB156" i="121"/>
  <c r="X165" i="121"/>
  <c r="X167" i="121" s="1"/>
  <c r="X168" i="121" s="1"/>
  <c r="X26" i="121" s="1"/>
  <c r="AB168" i="121"/>
  <c r="X125" i="1554"/>
  <c r="I11" i="1806"/>
  <c r="W159" i="121"/>
  <c r="W400" i="121"/>
  <c r="X42" i="121"/>
  <c r="X41" i="121"/>
  <c r="X76" i="1583"/>
  <c r="W81" i="121"/>
  <c r="W88" i="121"/>
  <c r="X39" i="1554"/>
  <c r="X220" i="121"/>
  <c r="X45" i="121"/>
  <c r="Y55" i="121" s="1"/>
  <c r="T85" i="121"/>
  <c r="X79" i="121"/>
  <c r="X221" i="121"/>
  <c r="X46" i="121"/>
  <c r="Y56" i="121" s="1"/>
  <c r="X40" i="1554"/>
  <c r="X13" i="121"/>
  <c r="X14" i="121" s="1"/>
  <c r="X22" i="121"/>
  <c r="X38" i="121" s="1"/>
  <c r="X88" i="121"/>
  <c r="X81" i="121"/>
  <c r="X131" i="1554"/>
  <c r="X35" i="121" s="1"/>
  <c r="X156" i="121"/>
  <c r="S202" i="1583"/>
  <c r="S208" i="1583"/>
  <c r="AF112" i="1583"/>
  <c r="AG112" i="1583"/>
  <c r="AG113" i="1583"/>
  <c r="AF113" i="1583"/>
  <c r="W125" i="1554"/>
  <c r="W69" i="121"/>
  <c r="W311" i="121"/>
  <c r="W13" i="121"/>
  <c r="W14" i="121" s="1"/>
  <c r="W22" i="121"/>
  <c r="W38" i="121" s="1"/>
  <c r="W131" i="1554"/>
  <c r="W35" i="121" s="1"/>
  <c r="W221" i="121"/>
  <c r="W40" i="121"/>
  <c r="S300" i="121"/>
  <c r="W282" i="121"/>
  <c r="W115" i="1554"/>
  <c r="W304" i="121"/>
  <c r="AK121" i="121"/>
  <c r="J45" i="121"/>
  <c r="J55" i="121" s="1"/>
  <c r="S173" i="121"/>
  <c r="S175" i="121" s="1"/>
  <c r="J64" i="1554"/>
  <c r="S32" i="121"/>
  <c r="O158" i="1583"/>
  <c r="M195" i="1583"/>
  <c r="M201" i="1583" s="1"/>
  <c r="D155" i="1583"/>
  <c r="D161" i="1583" s="1"/>
  <c r="M177" i="1583"/>
  <c r="S85" i="121"/>
  <c r="AK69" i="121"/>
  <c r="S84" i="121"/>
  <c r="AK68" i="121"/>
  <c r="V118" i="1554"/>
  <c r="V307" i="121"/>
  <c r="S128" i="1554"/>
  <c r="S125" i="1554" s="1"/>
  <c r="T128" i="1554"/>
  <c r="T125" i="1554" s="1"/>
  <c r="AK310" i="121"/>
  <c r="S122" i="121"/>
  <c r="AK122" i="121" s="1"/>
  <c r="AK72" i="121"/>
  <c r="AJ209" i="121"/>
  <c r="AM215" i="1554"/>
  <c r="AM214" i="1554" s="1"/>
  <c r="AK311" i="121"/>
  <c r="U108" i="121"/>
  <c r="U110" i="121" s="1"/>
  <c r="Y111" i="121" s="1"/>
  <c r="T78" i="121"/>
  <c r="J39" i="1554"/>
  <c r="J42" i="1554" s="1"/>
  <c r="J44" i="1554" s="1"/>
  <c r="J51" i="1554" s="1"/>
  <c r="V131" i="1554"/>
  <c r="Q171" i="1583"/>
  <c r="Q195" i="1583"/>
  <c r="Q207" i="1583" s="1"/>
  <c r="Q177" i="1583"/>
  <c r="D39" i="1809"/>
  <c r="F16" i="1554"/>
  <c r="F42" i="1554" s="1"/>
  <c r="F44" i="1554" s="1"/>
  <c r="F51" i="1554" s="1"/>
  <c r="F52" i="1554" s="1"/>
  <c r="F53" i="1554" s="1"/>
  <c r="F56" i="1554" s="1"/>
  <c r="Q60" i="121"/>
  <c r="U16" i="121"/>
  <c r="AB122" i="1583"/>
  <c r="AB128" i="1583" s="1"/>
  <c r="G122" i="1583"/>
  <c r="G125" i="1583" s="1"/>
  <c r="K97" i="121"/>
  <c r="N91" i="121"/>
  <c r="N104" i="121" s="1"/>
  <c r="J249" i="1583"/>
  <c r="J252" i="1583" s="1"/>
  <c r="T115" i="121"/>
  <c r="T124" i="121" s="1"/>
  <c r="AJ128" i="121"/>
  <c r="J122" i="1583"/>
  <c r="J125" i="1583" s="1"/>
  <c r="R195" i="1583"/>
  <c r="R201" i="1583" s="1"/>
  <c r="H116" i="121"/>
  <c r="I116" i="121"/>
  <c r="M122" i="1583"/>
  <c r="M125" i="1583" s="1"/>
  <c r="M131" i="1583" s="1"/>
  <c r="O182" i="1583"/>
  <c r="O188" i="1583" s="1"/>
  <c r="E152" i="1583"/>
  <c r="E155" i="1583" s="1"/>
  <c r="E161" i="1583" s="1"/>
  <c r="F152" i="1583"/>
  <c r="F155" i="1583" s="1"/>
  <c r="I122" i="1583"/>
  <c r="I128" i="1583" s="1"/>
  <c r="K152" i="1583"/>
  <c r="K155" i="1583" s="1"/>
  <c r="K161" i="1583" s="1"/>
  <c r="N122" i="1583"/>
  <c r="N125" i="1583" s="1"/>
  <c r="H182" i="1583"/>
  <c r="H185" i="1583" s="1"/>
  <c r="H191" i="1583" s="1"/>
  <c r="G182" i="1583"/>
  <c r="G185" i="1583" s="1"/>
  <c r="Z21" i="121"/>
  <c r="J116" i="121"/>
  <c r="S31" i="1583"/>
  <c r="C152" i="1583"/>
  <c r="C158" i="1583" s="1"/>
  <c r="K122" i="1583"/>
  <c r="K128" i="1583" s="1"/>
  <c r="M152" i="1583"/>
  <c r="M155" i="1583" s="1"/>
  <c r="L122" i="1583"/>
  <c r="L128" i="1583" s="1"/>
  <c r="P152" i="1583"/>
  <c r="P155" i="1583" s="1"/>
  <c r="P161" i="1583" s="1"/>
  <c r="R134" i="1583"/>
  <c r="R164" i="1583" s="1"/>
  <c r="L152" i="1583"/>
  <c r="L155" i="1583" s="1"/>
  <c r="L161" i="1583" s="1"/>
  <c r="T134" i="1583"/>
  <c r="T137" i="1583" s="1"/>
  <c r="T167" i="1583" s="1"/>
  <c r="P122" i="1583"/>
  <c r="P128" i="1583" s="1"/>
  <c r="H152" i="1583"/>
  <c r="H158" i="1583" s="1"/>
  <c r="I152" i="1583"/>
  <c r="I155" i="1583" s="1"/>
  <c r="I161" i="1583" s="1"/>
  <c r="M116" i="121"/>
  <c r="I115" i="121"/>
  <c r="I124" i="121" s="1"/>
  <c r="J152" i="1583"/>
  <c r="J155" i="1583" s="1"/>
  <c r="S134" i="1583"/>
  <c r="F31" i="1583"/>
  <c r="F34" i="1583" s="1"/>
  <c r="AD159" i="1583"/>
  <c r="AE165" i="1583"/>
  <c r="AE177" i="1583" s="1"/>
  <c r="O82" i="1808"/>
  <c r="AE129" i="1583"/>
  <c r="V183" i="1583"/>
  <c r="V95" i="1810" s="1"/>
  <c r="D59" i="1808"/>
  <c r="D65" i="1808" s="1"/>
  <c r="L80" i="1808" s="1"/>
  <c r="M80" i="1808" s="1"/>
  <c r="N80" i="1808" s="1"/>
  <c r="O80" i="1808" s="1"/>
  <c r="P80" i="1808" s="1"/>
  <c r="V129" i="1583"/>
  <c r="AF129" i="1583"/>
  <c r="D76" i="1808"/>
  <c r="AF177" i="1583"/>
  <c r="D80" i="1808"/>
  <c r="D36" i="1808" s="1"/>
  <c r="S170" i="1554"/>
  <c r="AM170" i="1554" s="1"/>
  <c r="AM168" i="1554"/>
  <c r="S160" i="1554"/>
  <c r="AM158" i="1554"/>
  <c r="S164" i="1554"/>
  <c r="AM162" i="1554"/>
  <c r="AM152" i="1554"/>
  <c r="U135" i="121"/>
  <c r="S271" i="121"/>
  <c r="U159" i="121"/>
  <c r="F50" i="1711"/>
  <c r="V135" i="121"/>
  <c r="V75" i="1821" s="1"/>
  <c r="P79" i="121"/>
  <c r="AK314" i="1554"/>
  <c r="S91" i="121"/>
  <c r="S26" i="1554"/>
  <c r="S28" i="1554" s="1"/>
  <c r="U318" i="1554"/>
  <c r="V318" i="1554" s="1"/>
  <c r="F50" i="1807"/>
  <c r="S79" i="121"/>
  <c r="AG116" i="121"/>
  <c r="D35" i="1807"/>
  <c r="D58" i="155"/>
  <c r="D58" i="1807"/>
  <c r="S55" i="121"/>
  <c r="V50" i="121"/>
  <c r="S92" i="1554"/>
  <c r="AM92" i="1554" s="1"/>
  <c r="C99" i="1808" s="1"/>
  <c r="C31" i="1808" s="1"/>
  <c r="AM90" i="1554"/>
  <c r="G53" i="1538"/>
  <c r="G59" i="1807"/>
  <c r="G16" i="121"/>
  <c r="R122" i="1583"/>
  <c r="R125" i="1583" s="1"/>
  <c r="V41" i="121"/>
  <c r="F16" i="121"/>
  <c r="E53" i="1535"/>
  <c r="E59" i="1807"/>
  <c r="G50" i="1807"/>
  <c r="H50" i="1807"/>
  <c r="V327" i="1554"/>
  <c r="S283" i="1554"/>
  <c r="AM78" i="1554"/>
  <c r="AM283" i="1554" s="1"/>
  <c r="AL274" i="1554"/>
  <c r="AL276" i="1554" s="1"/>
  <c r="AM286" i="1554"/>
  <c r="S354" i="1554"/>
  <c r="T353" i="1554" s="1"/>
  <c r="G58" i="155"/>
  <c r="G58" i="1807"/>
  <c r="D59" i="1711"/>
  <c r="D59" i="1807"/>
  <c r="AG97" i="121"/>
  <c r="D25" i="1807"/>
  <c r="D26" i="1807" s="1"/>
  <c r="V357" i="1554"/>
  <c r="V361" i="121" s="1"/>
  <c r="V319" i="1554"/>
  <c r="V133" i="121" s="1"/>
  <c r="V148" i="1810" s="1"/>
  <c r="V150" i="1810" s="1"/>
  <c r="V73" i="1821" s="1"/>
  <c r="AK305" i="1554"/>
  <c r="T79" i="121"/>
  <c r="AJ78" i="121"/>
  <c r="AJ79" i="121"/>
  <c r="O310" i="121"/>
  <c r="O360" i="121"/>
  <c r="P360" i="121"/>
  <c r="O85" i="121"/>
  <c r="O78" i="121"/>
  <c r="J222" i="121"/>
  <c r="J225" i="121"/>
  <c r="J251" i="121" s="1"/>
  <c r="J253" i="121" s="1"/>
  <c r="U79" i="121"/>
  <c r="Q85" i="121"/>
  <c r="U78" i="121"/>
  <c r="S277" i="121"/>
  <c r="Q313" i="121"/>
  <c r="U313" i="121"/>
  <c r="T84" i="121"/>
  <c r="Q84" i="121"/>
  <c r="W354" i="121"/>
  <c r="Z126" i="121"/>
  <c r="X333" i="121"/>
  <c r="X335" i="121" s="1"/>
  <c r="X347" i="121"/>
  <c r="X349" i="121" s="1"/>
  <c r="Z168" i="121"/>
  <c r="S78" i="121"/>
  <c r="L85" i="121"/>
  <c r="T153" i="121"/>
  <c r="X400" i="121" s="1"/>
  <c r="R318" i="121"/>
  <c r="R70" i="121"/>
  <c r="U236" i="121"/>
  <c r="AL9" i="121"/>
  <c r="AM19" i="121" s="1"/>
  <c r="T158" i="121"/>
  <c r="T157" i="121"/>
  <c r="T56" i="121"/>
  <c r="U57" i="121"/>
  <c r="V134" i="1583"/>
  <c r="V137" i="1583" s="1"/>
  <c r="V149" i="1583" s="1"/>
  <c r="V122" i="1583"/>
  <c r="V128" i="1583" s="1"/>
  <c r="AF118" i="1583"/>
  <c r="AF119" i="1583"/>
  <c r="I97" i="121"/>
  <c r="R368" i="121"/>
  <c r="AJ368" i="121" s="1"/>
  <c r="N378" i="121"/>
  <c r="N377" i="121" s="1"/>
  <c r="O123" i="1554"/>
  <c r="S132" i="1554"/>
  <c r="S36" i="121" s="1"/>
  <c r="Q319" i="121"/>
  <c r="G50" i="1711"/>
  <c r="F90" i="1554"/>
  <c r="AK302" i="1554"/>
  <c r="Q132" i="1554"/>
  <c r="Q36" i="121" s="1"/>
  <c r="Q133" i="1554"/>
  <c r="Q37" i="121" s="1"/>
  <c r="C26" i="1554"/>
  <c r="C28" i="1554" s="1"/>
  <c r="C31" i="1554" s="1"/>
  <c r="AK309" i="1554"/>
  <c r="AK313" i="1554"/>
  <c r="O157" i="121"/>
  <c r="X27" i="1541"/>
  <c r="V204" i="1541"/>
  <c r="Q128" i="1554"/>
  <c r="Q125" i="1554" s="1"/>
  <c r="I44" i="1583"/>
  <c r="G58" i="1711"/>
  <c r="D52" i="1538"/>
  <c r="W202" i="1541"/>
  <c r="M157" i="121"/>
  <c r="T276" i="1554"/>
  <c r="T277" i="1554" s="1"/>
  <c r="S133" i="1554"/>
  <c r="S37" i="121" s="1"/>
  <c r="S123" i="1554"/>
  <c r="S134" i="1554" s="1"/>
  <c r="X18" i="1541"/>
  <c r="AF77" i="1583"/>
  <c r="Q271" i="121"/>
  <c r="AK310" i="1554"/>
  <c r="I97" i="1554"/>
  <c r="I150" i="121" s="1"/>
  <c r="Q72" i="1554"/>
  <c r="AL72" i="1554" s="1"/>
  <c r="D90" i="1554"/>
  <c r="AD111" i="1541"/>
  <c r="AF111" i="1541" s="1"/>
  <c r="AG111" i="1541" s="1"/>
  <c r="AH111" i="1541" s="1"/>
  <c r="AH125" i="1541" s="1"/>
  <c r="J12" i="1806"/>
  <c r="T91" i="121"/>
  <c r="X92" i="121" s="1"/>
  <c r="L91" i="121"/>
  <c r="L104" i="121" s="1"/>
  <c r="L106" i="121" s="1"/>
  <c r="L107" i="121" s="1"/>
  <c r="L108" i="121" s="1"/>
  <c r="L110" i="121" s="1"/>
  <c r="S389" i="121"/>
  <c r="S388" i="121"/>
  <c r="S387" i="121"/>
  <c r="S386" i="121"/>
  <c r="T377" i="121"/>
  <c r="G52" i="1535"/>
  <c r="D32" i="1712"/>
  <c r="Z117" i="1541"/>
  <c r="G52" i="1538"/>
  <c r="D56" i="1712"/>
  <c r="D53" i="1538"/>
  <c r="R276" i="121"/>
  <c r="R294" i="121" s="1"/>
  <c r="D55" i="1712"/>
  <c r="G55" i="1712"/>
  <c r="D52" i="1535"/>
  <c r="T208" i="1583"/>
  <c r="T202" i="1583"/>
  <c r="P208" i="1583"/>
  <c r="P202" i="1583"/>
  <c r="AE208" i="1583"/>
  <c r="N208" i="1583"/>
  <c r="N202" i="1583"/>
  <c r="K201" i="1583"/>
  <c r="S207" i="1583"/>
  <c r="S201" i="1583"/>
  <c r="O207" i="1583"/>
  <c r="O201" i="1583"/>
  <c r="L208" i="1583"/>
  <c r="L202" i="1583"/>
  <c r="U362" i="1554"/>
  <c r="V362" i="1554" s="1"/>
  <c r="U134" i="121"/>
  <c r="U74" i="1821" s="1"/>
  <c r="R208" i="1583"/>
  <c r="R202" i="1583"/>
  <c r="T207" i="1583"/>
  <c r="T201" i="1583"/>
  <c r="N207" i="1583"/>
  <c r="N201" i="1583"/>
  <c r="K208" i="1583"/>
  <c r="K202" i="1583"/>
  <c r="M208" i="1583"/>
  <c r="M202" i="1583"/>
  <c r="O202" i="1583"/>
  <c r="L207" i="1583"/>
  <c r="L201" i="1583"/>
  <c r="U349" i="1554"/>
  <c r="V349" i="1554" s="1"/>
  <c r="U136" i="121"/>
  <c r="Q202" i="1583"/>
  <c r="U96" i="121"/>
  <c r="U94" i="1810" s="1"/>
  <c r="U104" i="1810" s="1"/>
  <c r="Q298" i="121"/>
  <c r="U280" i="121"/>
  <c r="U282" i="121"/>
  <c r="U13" i="121"/>
  <c r="U15" i="121" s="1"/>
  <c r="U294" i="121"/>
  <c r="U288" i="121"/>
  <c r="T299" i="121"/>
  <c r="U287" i="121"/>
  <c r="U293" i="121"/>
  <c r="U292" i="121"/>
  <c r="U286" i="121"/>
  <c r="R214" i="1583"/>
  <c r="L131" i="1554"/>
  <c r="L35" i="121" s="1"/>
  <c r="R123" i="1554"/>
  <c r="AG115" i="121"/>
  <c r="AG124" i="121" s="1"/>
  <c r="D56" i="1807" s="1"/>
  <c r="G128" i="1554"/>
  <c r="G134" i="1554" s="1"/>
  <c r="P252" i="1554"/>
  <c r="P95" i="1821" s="1"/>
  <c r="P94" i="1821" s="1"/>
  <c r="AG128" i="121"/>
  <c r="N131" i="1554"/>
  <c r="N35" i="121" s="1"/>
  <c r="D59" i="155"/>
  <c r="O60" i="121"/>
  <c r="AH171" i="121"/>
  <c r="D53" i="1535"/>
  <c r="U131" i="1554"/>
  <c r="E78" i="1554"/>
  <c r="Q135" i="1554"/>
  <c r="J128" i="1554"/>
  <c r="J134" i="1554" s="1"/>
  <c r="U328" i="1554"/>
  <c r="V328" i="1554" s="1"/>
  <c r="AL83" i="1554"/>
  <c r="M91" i="121"/>
  <c r="M104" i="121" s="1"/>
  <c r="AI92" i="1554"/>
  <c r="L32" i="121"/>
  <c r="S20" i="121"/>
  <c r="N53" i="1541"/>
  <c r="C18" i="1579"/>
  <c r="C28" i="1579" s="1"/>
  <c r="C29" i="1579" s="1"/>
  <c r="C30" i="1579" s="1"/>
  <c r="R226" i="121"/>
  <c r="V231" i="121" s="1"/>
  <c r="M128" i="1554"/>
  <c r="M134" i="1554" s="1"/>
  <c r="P226" i="1583"/>
  <c r="P232" i="1583" s="1"/>
  <c r="R200" i="1541"/>
  <c r="T50" i="121"/>
  <c r="E90" i="1554"/>
  <c r="Q55" i="121"/>
  <c r="Q51" i="1554"/>
  <c r="Q52" i="1554" s="1"/>
  <c r="Q53" i="1554" s="1"/>
  <c r="Q56" i="1554" s="1"/>
  <c r="I128" i="121"/>
  <c r="I157" i="1810" s="1"/>
  <c r="I159" i="1810" s="1"/>
  <c r="D58" i="1711"/>
  <c r="G158" i="1583"/>
  <c r="H41" i="1583"/>
  <c r="U34" i="1583"/>
  <c r="N164" i="1541"/>
  <c r="O285" i="1554"/>
  <c r="AH274" i="121"/>
  <c r="AH298" i="121" s="1"/>
  <c r="E53" i="1538"/>
  <c r="N270" i="1554"/>
  <c r="O50" i="1583"/>
  <c r="M44" i="1583"/>
  <c r="W68" i="1541"/>
  <c r="AH269" i="121"/>
  <c r="M63" i="1583"/>
  <c r="L44" i="1583"/>
  <c r="H50" i="1583"/>
  <c r="AH317" i="121"/>
  <c r="AK306" i="1554"/>
  <c r="AK318" i="1554"/>
  <c r="H46" i="121"/>
  <c r="H214" i="1583" s="1"/>
  <c r="AK12" i="121"/>
  <c r="AK9" i="1810" s="1"/>
  <c r="T182" i="1583"/>
  <c r="T185" i="1583" s="1"/>
  <c r="L42" i="121"/>
  <c r="O23" i="1619"/>
  <c r="O269" i="121"/>
  <c r="N128" i="1554"/>
  <c r="N134" i="1554" s="1"/>
  <c r="L96" i="121"/>
  <c r="L94" i="1810" s="1"/>
  <c r="AH316" i="121"/>
  <c r="V41" i="1583"/>
  <c r="AH318" i="121"/>
  <c r="J123" i="1554"/>
  <c r="P63" i="1583"/>
  <c r="P44" i="1583"/>
  <c r="N65" i="1541"/>
  <c r="N76" i="1541" s="1"/>
  <c r="I182" i="1583"/>
  <c r="I188" i="1583" s="1"/>
  <c r="AB196" i="1583"/>
  <c r="AB208" i="1583" s="1"/>
  <c r="AF184" i="1583"/>
  <c r="AF190" i="1583" s="1"/>
  <c r="U190" i="1583"/>
  <c r="U196" i="1583"/>
  <c r="U202" i="1583" s="1"/>
  <c r="U125" i="1583"/>
  <c r="U189" i="1583"/>
  <c r="U195" i="1583"/>
  <c r="P74" i="121"/>
  <c r="AJ74" i="121" s="1"/>
  <c r="AF71" i="1541"/>
  <c r="AG71" i="1541" s="1"/>
  <c r="AH71" i="1541" s="1"/>
  <c r="AH72" i="1541" s="1"/>
  <c r="K42" i="121"/>
  <c r="K276" i="1554"/>
  <c r="K277" i="1554" s="1"/>
  <c r="Q106" i="1554"/>
  <c r="Q92" i="1554"/>
  <c r="AL92" i="1554" s="1"/>
  <c r="M319" i="121"/>
  <c r="P317" i="121"/>
  <c r="K128" i="121"/>
  <c r="K157" i="1810" s="1"/>
  <c r="K159" i="1810" s="1"/>
  <c r="AB232" i="1583"/>
  <c r="L46" i="121"/>
  <c r="L47" i="121" s="1"/>
  <c r="I276" i="1554"/>
  <c r="I294" i="1554" s="1"/>
  <c r="R323" i="1554"/>
  <c r="R138" i="121" s="1"/>
  <c r="R152" i="1810" s="1"/>
  <c r="R154" i="1810" s="1"/>
  <c r="R77" i="1821" s="1"/>
  <c r="T269" i="121"/>
  <c r="Q276" i="1554"/>
  <c r="Q294" i="1554" s="1"/>
  <c r="T41" i="121"/>
  <c r="Q29" i="121"/>
  <c r="Q19" i="1810" s="1"/>
  <c r="Q21" i="1810" s="1"/>
  <c r="Q10" i="1821" s="1"/>
  <c r="T21" i="121"/>
  <c r="S50" i="121"/>
  <c r="O270" i="121"/>
  <c r="A241" i="121"/>
  <c r="K285" i="1554"/>
  <c r="T31" i="1583"/>
  <c r="X47" i="1583" s="1"/>
  <c r="P28" i="121"/>
  <c r="L50" i="121"/>
  <c r="AK303" i="1554"/>
  <c r="N121" i="121"/>
  <c r="D16" i="1554"/>
  <c r="D42" i="1554" s="1"/>
  <c r="D44" i="1554" s="1"/>
  <c r="D51" i="1554" s="1"/>
  <c r="AE172" i="1583"/>
  <c r="K61" i="121"/>
  <c r="T133" i="1554"/>
  <c r="P164" i="1541"/>
  <c r="AK304" i="1554"/>
  <c r="AJ90" i="1554"/>
  <c r="W65" i="1541"/>
  <c r="W76" i="1541" s="1"/>
  <c r="W77" i="1541" s="1"/>
  <c r="F50" i="155"/>
  <c r="AH90" i="121"/>
  <c r="AG103" i="121"/>
  <c r="G222" i="121"/>
  <c r="R222" i="121"/>
  <c r="I23" i="1619"/>
  <c r="J285" i="1554"/>
  <c r="I128" i="1554"/>
  <c r="I134" i="1554" s="1"/>
  <c r="V205" i="1541"/>
  <c r="H128" i="121"/>
  <c r="H157" i="1810" s="1"/>
  <c r="H159" i="1810" s="1"/>
  <c r="AF172" i="1583"/>
  <c r="O158" i="121"/>
  <c r="AI103" i="121"/>
  <c r="O28" i="121"/>
  <c r="AL90" i="1554"/>
  <c r="L328" i="1554"/>
  <c r="AJ83" i="1554"/>
  <c r="V21" i="121"/>
  <c r="P325" i="121"/>
  <c r="AH265" i="121"/>
  <c r="AH271" i="121" s="1"/>
  <c r="I226" i="1583"/>
  <c r="I232" i="1583" s="1"/>
  <c r="P158" i="121"/>
  <c r="R91" i="121"/>
  <c r="R104" i="121" s="1"/>
  <c r="R106" i="121" s="1"/>
  <c r="R107" i="121" s="1"/>
  <c r="R108" i="121" s="1"/>
  <c r="R110" i="121" s="1"/>
  <c r="AJ11" i="121"/>
  <c r="AK315" i="1554"/>
  <c r="D35" i="1711"/>
  <c r="N47" i="121"/>
  <c r="T281" i="121"/>
  <c r="F128" i="121"/>
  <c r="F157" i="1810" s="1"/>
  <c r="F159" i="1810" s="1"/>
  <c r="M46" i="121"/>
  <c r="Q51" i="121" s="1"/>
  <c r="M316" i="1554"/>
  <c r="AK316" i="1554" s="1"/>
  <c r="AC72" i="1541"/>
  <c r="J324" i="121"/>
  <c r="P293" i="121"/>
  <c r="H69" i="1541"/>
  <c r="AH276" i="121"/>
  <c r="AH300" i="121" s="1"/>
  <c r="Q277" i="121"/>
  <c r="O276" i="121"/>
  <c r="O282" i="121" s="1"/>
  <c r="AI43" i="1541"/>
  <c r="AJ43" i="1541" s="1"/>
  <c r="R106" i="1554"/>
  <c r="M106" i="1554"/>
  <c r="O50" i="121"/>
  <c r="S21" i="121"/>
  <c r="M97" i="1554"/>
  <c r="Q103" i="1554" s="1"/>
  <c r="O55" i="121"/>
  <c r="D29" i="1535"/>
  <c r="O21" i="121"/>
  <c r="O318" i="121"/>
  <c r="K275" i="121"/>
  <c r="O281" i="121" s="1"/>
  <c r="N112" i="1554"/>
  <c r="N118" i="1554" s="1"/>
  <c r="H65" i="1541"/>
  <c r="H76" i="1541" s="1"/>
  <c r="H77" i="1541" s="1"/>
  <c r="AD125" i="1541"/>
  <c r="M118" i="1554"/>
  <c r="P128" i="121"/>
  <c r="P157" i="1810" s="1"/>
  <c r="P159" i="1810" s="1"/>
  <c r="R55" i="121"/>
  <c r="I42" i="1545"/>
  <c r="AE178" i="1583"/>
  <c r="N123" i="1554"/>
  <c r="AG60" i="121"/>
  <c r="D29" i="1538"/>
  <c r="P21" i="121"/>
  <c r="T132" i="1554"/>
  <c r="T36" i="121" s="1"/>
  <c r="P55" i="121"/>
  <c r="AD11" i="1541"/>
  <c r="P23" i="1619"/>
  <c r="AG211" i="121"/>
  <c r="M271" i="121"/>
  <c r="D35" i="155"/>
  <c r="D153" i="121"/>
  <c r="P42" i="121"/>
  <c r="Q202" i="1541"/>
  <c r="P251" i="121"/>
  <c r="V168" i="121"/>
  <c r="V26" i="121" s="1"/>
  <c r="V145" i="1541"/>
  <c r="X31" i="1541"/>
  <c r="N55" i="121"/>
  <c r="T293" i="121"/>
  <c r="P41" i="121"/>
  <c r="R50" i="121"/>
  <c r="O128" i="121"/>
  <c r="O157" i="1810" s="1"/>
  <c r="O159" i="1810" s="1"/>
  <c r="P202" i="1541"/>
  <c r="P240" i="121"/>
  <c r="G50" i="155"/>
  <c r="AH103" i="121"/>
  <c r="G128" i="121"/>
  <c r="G157" i="1810" s="1"/>
  <c r="G159" i="1810" s="1"/>
  <c r="P72" i="121"/>
  <c r="P122" i="121" s="1"/>
  <c r="P20" i="121"/>
  <c r="I42" i="1554"/>
  <c r="I44" i="1554" s="1"/>
  <c r="I51" i="1554" s="1"/>
  <c r="I52" i="1554" s="1"/>
  <c r="I53" i="1554" s="1"/>
  <c r="I56" i="1554" s="1"/>
  <c r="K42" i="1545"/>
  <c r="S157" i="121"/>
  <c r="I286" i="1554"/>
  <c r="E26" i="1554"/>
  <c r="E28" i="1554" s="1"/>
  <c r="E31" i="1554" s="1"/>
  <c r="H276" i="1554"/>
  <c r="M23" i="1619"/>
  <c r="AL105" i="1554"/>
  <c r="K211" i="121"/>
  <c r="X34" i="1541"/>
  <c r="N41" i="121"/>
  <c r="D19" i="1535"/>
  <c r="D20" i="1535" s="1"/>
  <c r="G56" i="1712"/>
  <c r="M42" i="121"/>
  <c r="L226" i="1583"/>
  <c r="L232" i="1583" s="1"/>
  <c r="G123" i="1554"/>
  <c r="T286" i="121"/>
  <c r="L28" i="121"/>
  <c r="L42" i="1545"/>
  <c r="Q164" i="1541"/>
  <c r="Z66" i="1541"/>
  <c r="Z68" i="1541" s="1"/>
  <c r="D19" i="1538"/>
  <c r="D20" i="1538" s="1"/>
  <c r="G53" i="1535"/>
  <c r="K123" i="1554"/>
  <c r="M317" i="1554"/>
  <c r="AK317" i="1554" s="1"/>
  <c r="D22" i="1712"/>
  <c r="D23" i="1712" s="1"/>
  <c r="T106" i="1554"/>
  <c r="M269" i="121"/>
  <c r="L55" i="121"/>
  <c r="P50" i="121"/>
  <c r="AA65" i="1541"/>
  <c r="AA76" i="1541" s="1"/>
  <c r="AA77" i="1541" s="1"/>
  <c r="U128" i="1583"/>
  <c r="R225" i="121"/>
  <c r="S235" i="121" s="1"/>
  <c r="N128" i="121"/>
  <c r="N157" i="1810" s="1"/>
  <c r="N159" i="1810" s="1"/>
  <c r="J352" i="1554"/>
  <c r="E59" i="155"/>
  <c r="AI11" i="121"/>
  <c r="AC172" i="1583"/>
  <c r="E56" i="1712"/>
  <c r="M318" i="121"/>
  <c r="L20" i="121"/>
  <c r="E59" i="1711"/>
  <c r="AJ40" i="121"/>
  <c r="AJ34" i="1810" s="1"/>
  <c r="G51" i="1545"/>
  <c r="AC196" i="1583"/>
  <c r="S155" i="1583"/>
  <c r="V152" i="1583"/>
  <c r="U152" i="1583"/>
  <c r="AK312" i="1554"/>
  <c r="U146" i="1583"/>
  <c r="Q137" i="1583"/>
  <c r="U140" i="1583"/>
  <c r="K47" i="121"/>
  <c r="K62" i="121" s="1"/>
  <c r="AH156" i="121"/>
  <c r="K66" i="1541"/>
  <c r="K68" i="1541" s="1"/>
  <c r="V203" i="1541"/>
  <c r="O42" i="121"/>
  <c r="F252" i="1554"/>
  <c r="F253" i="1554" s="1"/>
  <c r="AI253" i="1554" s="1"/>
  <c r="R47" i="121"/>
  <c r="V52" i="121" s="1"/>
  <c r="AJ45" i="121"/>
  <c r="T298" i="121"/>
  <c r="H42" i="1554"/>
  <c r="H44" i="1554" s="1"/>
  <c r="H51" i="1554" s="1"/>
  <c r="H52" i="1554" s="1"/>
  <c r="H53" i="1554" s="1"/>
  <c r="H56" i="1554" s="1"/>
  <c r="AK46" i="121"/>
  <c r="S319" i="121"/>
  <c r="G39" i="1554"/>
  <c r="H97" i="121"/>
  <c r="R20" i="121"/>
  <c r="J106" i="1554"/>
  <c r="Q81" i="121"/>
  <c r="AI40" i="121"/>
  <c r="AI34" i="1810" s="1"/>
  <c r="N106" i="1554"/>
  <c r="S47" i="121"/>
  <c r="K128" i="1554"/>
  <c r="G45" i="121"/>
  <c r="G226" i="1583" s="1"/>
  <c r="G232" i="1583" s="1"/>
  <c r="I66" i="1541"/>
  <c r="H23" i="1619"/>
  <c r="G78" i="1554"/>
  <c r="G283" i="1554" s="1"/>
  <c r="AI65" i="121"/>
  <c r="AI121" i="121" s="1"/>
  <c r="AI90" i="121"/>
  <c r="AI69" i="1810" s="1"/>
  <c r="S41" i="121"/>
  <c r="R226" i="1583"/>
  <c r="M270" i="121"/>
  <c r="T292" i="121"/>
  <c r="P328" i="1554"/>
  <c r="O115" i="121"/>
  <c r="O124" i="121" s="1"/>
  <c r="P205" i="1541"/>
  <c r="R56" i="121"/>
  <c r="O211" i="121"/>
  <c r="L231" i="121"/>
  <c r="L319" i="1554"/>
  <c r="L133" i="121" s="1"/>
  <c r="L148" i="1810" s="1"/>
  <c r="L150" i="1810" s="1"/>
  <c r="L73" i="1821" s="1"/>
  <c r="N97" i="1554"/>
  <c r="N150" i="121" s="1"/>
  <c r="P252" i="121"/>
  <c r="K121" i="121"/>
  <c r="Q240" i="121"/>
  <c r="L324" i="121"/>
  <c r="H115" i="121"/>
  <c r="H124" i="121" s="1"/>
  <c r="P96" i="121"/>
  <c r="P94" i="1810" s="1"/>
  <c r="AJ328" i="1554"/>
  <c r="T241" i="121"/>
  <c r="Q41" i="121"/>
  <c r="V156" i="1541"/>
  <c r="F153" i="121"/>
  <c r="V13" i="121"/>
  <c r="V14" i="121" s="1"/>
  <c r="AK100" i="1554"/>
  <c r="AK118" i="1554" s="1"/>
  <c r="Q63" i="1541"/>
  <c r="R63" i="1541" s="1"/>
  <c r="R65" i="1541" s="1"/>
  <c r="Q53" i="1541"/>
  <c r="H286" i="1554"/>
  <c r="M78" i="1554"/>
  <c r="M283" i="1554" s="1"/>
  <c r="G276" i="1554"/>
  <c r="G277" i="1554" s="1"/>
  <c r="T97" i="121"/>
  <c r="M276" i="121"/>
  <c r="Q282" i="121" s="1"/>
  <c r="D10" i="1425"/>
  <c r="X21" i="1541"/>
  <c r="J292" i="1554"/>
  <c r="X200" i="1541"/>
  <c r="P46" i="121"/>
  <c r="T22" i="121"/>
  <c r="T38" i="121" s="1"/>
  <c r="R271" i="121"/>
  <c r="S56" i="121"/>
  <c r="AH153" i="121"/>
  <c r="AH159" i="121" s="1"/>
  <c r="R51" i="121"/>
  <c r="AH126" i="1541"/>
  <c r="AH96" i="121"/>
  <c r="AI10" i="121"/>
  <c r="AI85" i="121" s="1"/>
  <c r="S16" i="121"/>
  <c r="R29" i="121"/>
  <c r="R19" i="1810" s="1"/>
  <c r="J26" i="1554"/>
  <c r="J28" i="1554" s="1"/>
  <c r="J31" i="1554" s="1"/>
  <c r="G38" i="1554"/>
  <c r="G292" i="1554"/>
  <c r="M225" i="121"/>
  <c r="M240" i="121" s="1"/>
  <c r="AH65" i="121"/>
  <c r="AH121" i="121" s="1"/>
  <c r="R50" i="1541"/>
  <c r="L51" i="1545"/>
  <c r="S87" i="121"/>
  <c r="O202" i="1541"/>
  <c r="M128" i="121"/>
  <c r="M157" i="1810" s="1"/>
  <c r="M159" i="1810" s="1"/>
  <c r="T352" i="1554"/>
  <c r="Q21" i="121"/>
  <c r="G352" i="1554"/>
  <c r="G354" i="1554" s="1"/>
  <c r="H353" i="1554" s="1"/>
  <c r="O122" i="1583"/>
  <c r="O125" i="1583" s="1"/>
  <c r="O131" i="1583" s="1"/>
  <c r="K182" i="1583"/>
  <c r="K185" i="1583" s="1"/>
  <c r="K191" i="1583" s="1"/>
  <c r="L270" i="121"/>
  <c r="T270" i="121"/>
  <c r="Z13" i="1541"/>
  <c r="AD13" i="1541" s="1"/>
  <c r="P42" i="1554"/>
  <c r="P44" i="1554" s="1"/>
  <c r="P51" i="1554" s="1"/>
  <c r="P52" i="1554" s="1"/>
  <c r="P53" i="1554" s="1"/>
  <c r="P56" i="1554" s="1"/>
  <c r="R61" i="121"/>
  <c r="AK301" i="1554"/>
  <c r="P269" i="121"/>
  <c r="AK83" i="1554"/>
  <c r="S97" i="121"/>
  <c r="G97" i="121"/>
  <c r="G115" i="121"/>
  <c r="R189" i="1583"/>
  <c r="S13" i="121"/>
  <c r="S14" i="121" s="1"/>
  <c r="U241" i="121"/>
  <c r="R31" i="1583"/>
  <c r="R398" i="121"/>
  <c r="P53" i="1541"/>
  <c r="AE159" i="1583"/>
  <c r="O97" i="1554"/>
  <c r="S103" i="1554" s="1"/>
  <c r="R41" i="121"/>
  <c r="AI77" i="1554"/>
  <c r="M286" i="1554"/>
  <c r="P287" i="121"/>
  <c r="Q227" i="121"/>
  <c r="Q247" i="121" s="1"/>
  <c r="N211" i="121"/>
  <c r="M20" i="121"/>
  <c r="L275" i="121"/>
  <c r="L299" i="121" s="1"/>
  <c r="P157" i="121"/>
  <c r="AI217" i="121"/>
  <c r="S60" i="121"/>
  <c r="S61" i="121"/>
  <c r="M28" i="121"/>
  <c r="O41" i="121"/>
  <c r="T202" i="1541"/>
  <c r="L42" i="1554"/>
  <c r="L44" i="1554" s="1"/>
  <c r="L51" i="1554" s="1"/>
  <c r="L52" i="1554" s="1"/>
  <c r="R132" i="1554"/>
  <c r="Q28" i="1554"/>
  <c r="Q31" i="1554" s="1"/>
  <c r="C42" i="1554"/>
  <c r="C44" i="1554" s="1"/>
  <c r="C51" i="1554" s="1"/>
  <c r="AI231" i="1554"/>
  <c r="AG85" i="1821" s="1"/>
  <c r="R327" i="1554"/>
  <c r="R252" i="121" s="1"/>
  <c r="O299" i="121"/>
  <c r="Q235" i="121"/>
  <c r="P10" i="1538"/>
  <c r="Q10" i="1538" s="1"/>
  <c r="Q12" i="1538" s="1"/>
  <c r="S42" i="121"/>
  <c r="M60" i="121"/>
  <c r="AJ92" i="1554"/>
  <c r="P276" i="121"/>
  <c r="Q288" i="121" s="1"/>
  <c r="R87" i="121"/>
  <c r="AJ103" i="121"/>
  <c r="G32" i="1807" s="1"/>
  <c r="V22" i="121"/>
  <c r="V38" i="121" s="1"/>
  <c r="T231" i="121"/>
  <c r="R42" i="121"/>
  <c r="R133" i="1554"/>
  <c r="AI45" i="121"/>
  <c r="R357" i="1554"/>
  <c r="R354" i="121" s="1"/>
  <c r="R359" i="121" s="1"/>
  <c r="R360" i="121" s="1"/>
  <c r="R60" i="121"/>
  <c r="Q251" i="121"/>
  <c r="Q253" i="121" s="1"/>
  <c r="Q257" i="121" s="1"/>
  <c r="AH220" i="121"/>
  <c r="AH222" i="121" s="1"/>
  <c r="I123" i="1554"/>
  <c r="G282" i="1554"/>
  <c r="G286" i="1554" s="1"/>
  <c r="L269" i="121"/>
  <c r="O97" i="121"/>
  <c r="I271" i="121"/>
  <c r="M131" i="1554"/>
  <c r="M35" i="121" s="1"/>
  <c r="S398" i="121"/>
  <c r="T398" i="121" s="1"/>
  <c r="W155" i="1541"/>
  <c r="W156" i="1541" s="1"/>
  <c r="M42" i="1554"/>
  <c r="M44" i="1554" s="1"/>
  <c r="M51" i="1554" s="1"/>
  <c r="M52" i="1554" s="1"/>
  <c r="M53" i="1554" s="1"/>
  <c r="M56" i="1554" s="1"/>
  <c r="AD172" i="1583"/>
  <c r="O106" i="1554"/>
  <c r="R128" i="1554"/>
  <c r="R125" i="1554" s="1"/>
  <c r="R131" i="1554" s="1"/>
  <c r="R35" i="121" s="1"/>
  <c r="M123" i="1554"/>
  <c r="AJ217" i="121"/>
  <c r="S22" i="121"/>
  <c r="S38" i="121" s="1"/>
  <c r="AK327" i="1554"/>
  <c r="AI252" i="121" s="1"/>
  <c r="L164" i="1541"/>
  <c r="V202" i="1541"/>
  <c r="N42" i="1554"/>
  <c r="N44" i="1554" s="1"/>
  <c r="AK75" i="121"/>
  <c r="AK49" i="1810" s="1"/>
  <c r="K115" i="121"/>
  <c r="AG217" i="121"/>
  <c r="AG226" i="121" s="1"/>
  <c r="I241" i="121"/>
  <c r="L87" i="121"/>
  <c r="H246" i="121"/>
  <c r="O355" i="121"/>
  <c r="T154" i="1554"/>
  <c r="AM154" i="1554" s="1"/>
  <c r="T173" i="121"/>
  <c r="T175" i="121" s="1"/>
  <c r="M226" i="1583"/>
  <c r="M55" i="121"/>
  <c r="V139" i="1541"/>
  <c r="V162" i="1541" s="1"/>
  <c r="V164" i="1541" s="1"/>
  <c r="I42" i="121"/>
  <c r="N202" i="1541"/>
  <c r="M41" i="121"/>
  <c r="E51" i="1545"/>
  <c r="N318" i="121"/>
  <c r="N276" i="121"/>
  <c r="AL40" i="1554"/>
  <c r="G16" i="1554"/>
  <c r="G18" i="1554" s="1"/>
  <c r="G26" i="1554" s="1"/>
  <c r="G28" i="1554" s="1"/>
  <c r="G31" i="1554" s="1"/>
  <c r="R276" i="1554"/>
  <c r="AK308" i="1554"/>
  <c r="G42" i="1545"/>
  <c r="I55" i="121"/>
  <c r="K131" i="1554"/>
  <c r="K35" i="121" s="1"/>
  <c r="R196" i="1541"/>
  <c r="X113" i="1541"/>
  <c r="P270" i="121"/>
  <c r="E153" i="121"/>
  <c r="AG225" i="121"/>
  <c r="AG251" i="121" s="1"/>
  <c r="AG253" i="121" s="1"/>
  <c r="AG257" i="121" s="1"/>
  <c r="R115" i="1554"/>
  <c r="R304" i="121"/>
  <c r="V310" i="121" s="1"/>
  <c r="I106" i="1554"/>
  <c r="H251" i="121"/>
  <c r="H253" i="121" s="1"/>
  <c r="H257" i="121" s="1"/>
  <c r="H227" i="121"/>
  <c r="H247" i="121" s="1"/>
  <c r="H245" i="121"/>
  <c r="Z36" i="1541"/>
  <c r="O42" i="1554"/>
  <c r="O44" i="1554" s="1"/>
  <c r="O51" i="1554" s="1"/>
  <c r="AJ40" i="1554"/>
  <c r="AJ42" i="1554" s="1"/>
  <c r="Q87" i="121"/>
  <c r="N134" i="1583"/>
  <c r="P106" i="1554"/>
  <c r="M134" i="1583"/>
  <c r="M87" i="121"/>
  <c r="M317" i="121"/>
  <c r="M275" i="121"/>
  <c r="M299" i="121" s="1"/>
  <c r="AH208" i="121"/>
  <c r="G225" i="121"/>
  <c r="H235" i="121" s="1"/>
  <c r="V262" i="121"/>
  <c r="V156" i="121"/>
  <c r="L115" i="1554"/>
  <c r="K41" i="121"/>
  <c r="I246" i="121"/>
  <c r="R51" i="1554"/>
  <c r="R52" i="1554" s="1"/>
  <c r="R53" i="1554" s="1"/>
  <c r="R56" i="1554" s="1"/>
  <c r="N78" i="1554"/>
  <c r="N283" i="1554" s="1"/>
  <c r="Q42" i="121"/>
  <c r="T42" i="121"/>
  <c r="S214" i="1583"/>
  <c r="AK90" i="1554"/>
  <c r="K106" i="1554"/>
  <c r="Q269" i="121"/>
  <c r="T69" i="1583"/>
  <c r="AH40" i="121"/>
  <c r="AH34" i="1810" s="1"/>
  <c r="P118" i="1554"/>
  <c r="P307" i="121"/>
  <c r="AJ265" i="121"/>
  <c r="C265" i="121"/>
  <c r="G271" i="121" s="1"/>
  <c r="C153" i="121"/>
  <c r="AG20" i="1541"/>
  <c r="AG21" i="1541" s="1"/>
  <c r="R254" i="1554"/>
  <c r="AL254" i="1554" s="1"/>
  <c r="T87" i="121"/>
  <c r="Q22" i="121"/>
  <c r="AI352" i="1554"/>
  <c r="AI353" i="1554" s="1"/>
  <c r="T271" i="121"/>
  <c r="H211" i="121"/>
  <c r="S106" i="1554"/>
  <c r="H226" i="1583"/>
  <c r="H232" i="1583" s="1"/>
  <c r="H60" i="121"/>
  <c r="AG14" i="1541"/>
  <c r="K286" i="1554"/>
  <c r="S276" i="1554"/>
  <c r="N292" i="1554"/>
  <c r="R16" i="121"/>
  <c r="T29" i="121"/>
  <c r="T19" i="1810" s="1"/>
  <c r="T21" i="1810" s="1"/>
  <c r="T10" i="1821" s="1"/>
  <c r="Q16" i="121"/>
  <c r="AK322" i="1554"/>
  <c r="K118" i="1554"/>
  <c r="L318" i="121"/>
  <c r="J121" i="121"/>
  <c r="J46" i="121"/>
  <c r="T51" i="1554"/>
  <c r="T52" i="1554" s="1"/>
  <c r="T53" i="1554" s="1"/>
  <c r="T56" i="1554" s="1"/>
  <c r="AL16" i="1554"/>
  <c r="AL18" i="1554" s="1"/>
  <c r="J286" i="1554"/>
  <c r="I46" i="121"/>
  <c r="I121" i="121"/>
  <c r="M50" i="121"/>
  <c r="AD149" i="1541"/>
  <c r="Z190" i="1541"/>
  <c r="Q13" i="121"/>
  <c r="Q400" i="121" s="1"/>
  <c r="Q96" i="121"/>
  <c r="Q94" i="1810" s="1"/>
  <c r="AI281" i="1554"/>
  <c r="D25" i="155"/>
  <c r="D26" i="155" s="1"/>
  <c r="D25" i="1711"/>
  <c r="D26" i="1711" s="1"/>
  <c r="Q355" i="121"/>
  <c r="Q359" i="121"/>
  <c r="Q360" i="121" s="1"/>
  <c r="AF149" i="1541"/>
  <c r="AF156" i="1541" s="1"/>
  <c r="L276" i="1554"/>
  <c r="Q31" i="1583"/>
  <c r="AI122" i="1554"/>
  <c r="AG65" i="121"/>
  <c r="AG46" i="121" s="1"/>
  <c r="AG61" i="121" s="1"/>
  <c r="AL39" i="1554"/>
  <c r="AJ208" i="121"/>
  <c r="AJ225" i="121" s="1"/>
  <c r="AJ251" i="121" s="1"/>
  <c r="AJ253" i="121" s="1"/>
  <c r="P97" i="1554"/>
  <c r="AF16" i="1541"/>
  <c r="AF97" i="1541" s="1"/>
  <c r="AG135" i="1541" s="1"/>
  <c r="G42" i="121"/>
  <c r="Q16" i="1619"/>
  <c r="Q15" i="1619" s="1"/>
  <c r="Q23" i="1619" s="1"/>
  <c r="I236" i="121"/>
  <c r="AI18" i="1554"/>
  <c r="AI26" i="1554" s="1"/>
  <c r="AI28" i="1554" s="1"/>
  <c r="AI31" i="1554" s="1"/>
  <c r="L286" i="1554"/>
  <c r="AG42" i="121"/>
  <c r="N366" i="121"/>
  <c r="AI126" i="121"/>
  <c r="F58" i="1807" s="1"/>
  <c r="N324" i="121"/>
  <c r="O325" i="121" s="1"/>
  <c r="AI127" i="121"/>
  <c r="F59" i="1807" s="1"/>
  <c r="L158" i="121"/>
  <c r="S51" i="1554"/>
  <c r="J276" i="1554"/>
  <c r="M21" i="121"/>
  <c r="AK150" i="121"/>
  <c r="AK262" i="121" s="1"/>
  <c r="AK274" i="121" s="1"/>
  <c r="AL100" i="1554"/>
  <c r="AL118" i="1554" s="1"/>
  <c r="AI35" i="1554"/>
  <c r="X179" i="1541"/>
  <c r="X188" i="1541" s="1"/>
  <c r="Q61" i="121"/>
  <c r="U202" i="1541"/>
  <c r="R81" i="121"/>
  <c r="AH217" i="121"/>
  <c r="F276" i="1554"/>
  <c r="F278" i="1554" s="1"/>
  <c r="M351" i="1554"/>
  <c r="W158" i="1541"/>
  <c r="N351" i="1554" s="1"/>
  <c r="L236" i="121"/>
  <c r="L241" i="121"/>
  <c r="J65" i="1541"/>
  <c r="J66" i="1541"/>
  <c r="J112" i="1554"/>
  <c r="J75" i="121"/>
  <c r="J49" i="1810" s="1"/>
  <c r="U66" i="1541"/>
  <c r="U65" i="1541"/>
  <c r="AL150" i="1554"/>
  <c r="AL116" i="1554"/>
  <c r="AJ151" i="121"/>
  <c r="AJ263" i="121"/>
  <c r="N238" i="1554"/>
  <c r="L134" i="1583"/>
  <c r="T61" i="121"/>
  <c r="T16" i="121"/>
  <c r="U231" i="121"/>
  <c r="P128" i="1554"/>
  <c r="P123" i="1554"/>
  <c r="P131" i="1554"/>
  <c r="P35" i="121" s="1"/>
  <c r="L123" i="1554"/>
  <c r="L128" i="1554"/>
  <c r="J98" i="1554"/>
  <c r="G10" i="121"/>
  <c r="G415" i="121" s="1"/>
  <c r="G263" i="121"/>
  <c r="K269" i="121" s="1"/>
  <c r="G151" i="121"/>
  <c r="M42" i="1545"/>
  <c r="M51" i="1545"/>
  <c r="O32" i="121"/>
  <c r="O171" i="121"/>
  <c r="O173" i="121" s="1"/>
  <c r="O175" i="121" s="1"/>
  <c r="O176" i="121" s="1"/>
  <c r="O27" i="121" s="1"/>
  <c r="T13" i="121"/>
  <c r="T14" i="121" s="1"/>
  <c r="T75" i="1541"/>
  <c r="T164" i="1541"/>
  <c r="AC90" i="1541"/>
  <c r="AF90" i="1541" s="1"/>
  <c r="AG90" i="1541" s="1"/>
  <c r="AH90" i="1541" s="1"/>
  <c r="AI90" i="1541" s="1"/>
  <c r="N116" i="1554"/>
  <c r="N305" i="121"/>
  <c r="N69" i="121" s="1"/>
  <c r="N85" i="121" s="1"/>
  <c r="AC141" i="1541"/>
  <c r="AD141" i="1541" s="1"/>
  <c r="AD83" i="1541"/>
  <c r="P317" i="1554"/>
  <c r="AD137" i="1541"/>
  <c r="AG378" i="121"/>
  <c r="G59" i="155"/>
  <c r="G59" i="1711"/>
  <c r="AJ248" i="1554"/>
  <c r="AH93" i="1821" s="1"/>
  <c r="AC105" i="1541"/>
  <c r="AB198" i="1541"/>
  <c r="AB204" i="1541" s="1"/>
  <c r="L23" i="1619"/>
  <c r="AD196" i="1583"/>
  <c r="AJ256" i="1554"/>
  <c r="AI135" i="121"/>
  <c r="AI75" i="1821" s="1"/>
  <c r="Q328" i="1554"/>
  <c r="O227" i="121"/>
  <c r="O247" i="121" s="1"/>
  <c r="O245" i="121"/>
  <c r="O251" i="121"/>
  <c r="O253" i="121" s="1"/>
  <c r="AG123" i="1541"/>
  <c r="AH123" i="1541" s="1"/>
  <c r="AI123" i="1541" s="1"/>
  <c r="AL123" i="1541" s="1"/>
  <c r="AM123" i="1541" s="1"/>
  <c r="AN123" i="1541" s="1"/>
  <c r="AO123" i="1541" s="1"/>
  <c r="AP123" i="1541" s="1"/>
  <c r="AG33" i="1541"/>
  <c r="AG37" i="1541" s="1"/>
  <c r="AD178" i="1583"/>
  <c r="T246" i="121"/>
  <c r="G41" i="1554"/>
  <c r="G210" i="121"/>
  <c r="AH210" i="121" s="1"/>
  <c r="P235" i="121"/>
  <c r="AK117" i="1554"/>
  <c r="AI152" i="121"/>
  <c r="AI158" i="121" s="1"/>
  <c r="AI264" i="121"/>
  <c r="AK105" i="1554"/>
  <c r="R21" i="1541"/>
  <c r="R22" i="1541"/>
  <c r="R23" i="1541" s="1"/>
  <c r="H122" i="1583"/>
  <c r="H42" i="121"/>
  <c r="L41" i="121"/>
  <c r="AJ324" i="121"/>
  <c r="S325" i="121"/>
  <c r="S326" i="121" s="1"/>
  <c r="H352" i="1554"/>
  <c r="O75" i="1541"/>
  <c r="O164" i="1541"/>
  <c r="K97" i="1554"/>
  <c r="K265" i="121"/>
  <c r="K104" i="1554"/>
  <c r="H128" i="1554"/>
  <c r="H134" i="1554" s="1"/>
  <c r="H123" i="1554"/>
  <c r="R325" i="121"/>
  <c r="R326" i="121" s="1"/>
  <c r="E112" i="1554"/>
  <c r="E75" i="121"/>
  <c r="E49" i="1810" s="1"/>
  <c r="E64" i="1810" s="1"/>
  <c r="AA117" i="1541"/>
  <c r="P254" i="1554"/>
  <c r="AK163" i="121"/>
  <c r="AK103" i="121"/>
  <c r="U22" i="121"/>
  <c r="U38" i="121" s="1"/>
  <c r="Q398" i="121"/>
  <c r="Q88" i="121"/>
  <c r="H42" i="1545"/>
  <c r="H106" i="1554"/>
  <c r="H97" i="1554"/>
  <c r="H265" i="121"/>
  <c r="L9" i="121"/>
  <c r="L84" i="121" s="1"/>
  <c r="L262" i="121"/>
  <c r="L150" i="121"/>
  <c r="F47" i="1712"/>
  <c r="AI40" i="1554"/>
  <c r="AI42" i="1554" s="1"/>
  <c r="I112" i="1554"/>
  <c r="I78" i="1554"/>
  <c r="I283" i="1554" s="1"/>
  <c r="I75" i="121"/>
  <c r="I49" i="1810" s="1"/>
  <c r="T60" i="121"/>
  <c r="X37" i="1541"/>
  <c r="Q135" i="121"/>
  <c r="Q75" i="1821" s="1"/>
  <c r="X201" i="1541"/>
  <c r="X35" i="1541"/>
  <c r="V88" i="121"/>
  <c r="L78" i="1554"/>
  <c r="L283" i="1554" s="1"/>
  <c r="W167" i="1541"/>
  <c r="X168" i="1541"/>
  <c r="J78" i="1554"/>
  <c r="J283" i="1554" s="1"/>
  <c r="L63" i="1541"/>
  <c r="L65" i="1541" s="1"/>
  <c r="Q245" i="121"/>
  <c r="D78" i="1554"/>
  <c r="R113" i="1541"/>
  <c r="R116" i="1541" s="1"/>
  <c r="R117" i="1541" s="1"/>
  <c r="R326" i="1554"/>
  <c r="AJ10" i="121"/>
  <c r="AJ85" i="121" s="1"/>
  <c r="O20" i="121"/>
  <c r="O398" i="121"/>
  <c r="P171" i="121"/>
  <c r="P173" i="121" s="1"/>
  <c r="P175" i="121" s="1"/>
  <c r="P176" i="121" s="1"/>
  <c r="P27" i="121" s="1"/>
  <c r="P32" i="121"/>
  <c r="G40" i="1554"/>
  <c r="G46" i="121"/>
  <c r="G209" i="121"/>
  <c r="G226" i="121" s="1"/>
  <c r="AL117" i="1554"/>
  <c r="AL156" i="1554"/>
  <c r="AL158" i="1554" s="1"/>
  <c r="AL160" i="1554" s="1"/>
  <c r="AJ28" i="121" s="1"/>
  <c r="AJ152" i="121"/>
  <c r="AJ264" i="121"/>
  <c r="J128" i="121"/>
  <c r="J157" i="1810" s="1"/>
  <c r="J159" i="1810" s="1"/>
  <c r="AH126" i="121"/>
  <c r="E58" i="1807" s="1"/>
  <c r="G47" i="1554"/>
  <c r="G49" i="1554" s="1"/>
  <c r="G105" i="121"/>
  <c r="G127" i="1810" s="1"/>
  <c r="K28" i="1554"/>
  <c r="K31" i="1554" s="1"/>
  <c r="L28" i="1554"/>
  <c r="L31" i="1554" s="1"/>
  <c r="T47" i="1545"/>
  <c r="T38" i="1545"/>
  <c r="X40" i="1541"/>
  <c r="T41" i="1541"/>
  <c r="Z41" i="1541"/>
  <c r="P10" i="1535"/>
  <c r="O12" i="1535"/>
  <c r="AJ35" i="1554"/>
  <c r="AJ122" i="1554"/>
  <c r="AJ18" i="1554"/>
  <c r="AJ26" i="1554" s="1"/>
  <c r="AJ281" i="1554"/>
  <c r="AK16" i="1554"/>
  <c r="AK18" i="1554" s="1"/>
  <c r="AK26" i="1554" s="1"/>
  <c r="AK282" i="1554"/>
  <c r="AK38" i="1554"/>
  <c r="H112" i="1554"/>
  <c r="H78" i="1554"/>
  <c r="H283" i="1554" s="1"/>
  <c r="H75" i="121"/>
  <c r="H49" i="1810" s="1"/>
  <c r="Q41" i="1545"/>
  <c r="Q50" i="1545"/>
  <c r="AI17" i="1541"/>
  <c r="AI193" i="1541"/>
  <c r="O66" i="1541"/>
  <c r="O65" i="1541"/>
  <c r="AA68" i="1541"/>
  <c r="AA69" i="1541"/>
  <c r="K14" i="1518"/>
  <c r="K15" i="1518" s="1"/>
  <c r="K42" i="1518" s="1"/>
  <c r="K16" i="1518"/>
  <c r="L16" i="1518"/>
  <c r="N24" i="1554"/>
  <c r="N26" i="1554" s="1"/>
  <c r="N47" i="1554"/>
  <c r="N49" i="1554" s="1"/>
  <c r="N105" i="121"/>
  <c r="N127" i="1810" s="1"/>
  <c r="I249" i="1583"/>
  <c r="I362" i="1554"/>
  <c r="I134" i="121"/>
  <c r="I74" i="1821" s="1"/>
  <c r="T62" i="121"/>
  <c r="R134" i="121"/>
  <c r="R74" i="1821" s="1"/>
  <c r="R362" i="1554"/>
  <c r="J236" i="121"/>
  <c r="J241" i="121"/>
  <c r="S230" i="121"/>
  <c r="S245" i="121"/>
  <c r="S251" i="121"/>
  <c r="S227" i="121"/>
  <c r="AK323" i="1554"/>
  <c r="AI138" i="121" s="1"/>
  <c r="AI152" i="1810" s="1"/>
  <c r="AI154" i="1810" s="1"/>
  <c r="AI77" i="1821" s="1"/>
  <c r="N138" i="121"/>
  <c r="N152" i="1810" s="1"/>
  <c r="N154" i="1810" s="1"/>
  <c r="N77" i="1821" s="1"/>
  <c r="AM82" i="1541"/>
  <c r="AM85" i="1541"/>
  <c r="AM39" i="1541"/>
  <c r="AM29" i="1541"/>
  <c r="AM142" i="1541"/>
  <c r="AM143" i="1541"/>
  <c r="U160" i="1541"/>
  <c r="AC91" i="1541"/>
  <c r="AG195" i="1541"/>
  <c r="AF96" i="1541"/>
  <c r="O14" i="1518"/>
  <c r="Q46" i="1545"/>
  <c r="Q37" i="1545"/>
  <c r="K42" i="1554"/>
  <c r="K44" i="1554" s="1"/>
  <c r="K51" i="1554" s="1"/>
  <c r="AK76" i="1554"/>
  <c r="K75" i="121"/>
  <c r="K49" i="1810" s="1"/>
  <c r="P168" i="1554"/>
  <c r="P170" i="1554" s="1"/>
  <c r="P75" i="121"/>
  <c r="P49" i="1810" s="1"/>
  <c r="P64" i="1810" s="1"/>
  <c r="S33" i="1545"/>
  <c r="S51" i="1545" s="1"/>
  <c r="F51" i="1545"/>
  <c r="U21" i="121"/>
  <c r="Q349" i="1554"/>
  <c r="L10" i="155"/>
  <c r="T287" i="121"/>
  <c r="AN26" i="1541"/>
  <c r="Q178" i="1541"/>
  <c r="Q179" i="1541" s="1"/>
  <c r="P179" i="1541"/>
  <c r="AC179" i="1541"/>
  <c r="AC188" i="1541" s="1"/>
  <c r="Z163" i="1541"/>
  <c r="Z164" i="1541"/>
  <c r="Q9" i="1712"/>
  <c r="P11" i="1712"/>
  <c r="P10" i="1712"/>
  <c r="P12" i="1712" s="1"/>
  <c r="O18" i="1554"/>
  <c r="O26" i="1554" s="1"/>
  <c r="AI208" i="121"/>
  <c r="AK39" i="1554"/>
  <c r="AI256" i="1554"/>
  <c r="O249" i="1583"/>
  <c r="I352" i="1554"/>
  <c r="L251" i="121"/>
  <c r="L253" i="121" s="1"/>
  <c r="L235" i="121"/>
  <c r="L227" i="121"/>
  <c r="L230" i="121"/>
  <c r="L240" i="121"/>
  <c r="L245" i="121"/>
  <c r="Q231" i="121"/>
  <c r="Q236" i="121"/>
  <c r="Q246" i="121"/>
  <c r="Q241" i="121"/>
  <c r="AM16" i="1541"/>
  <c r="AM20" i="1541" s="1"/>
  <c r="AD103" i="1541"/>
  <c r="AF103" i="1541" s="1"/>
  <c r="AC136" i="1541"/>
  <c r="AD136" i="1541" s="1"/>
  <c r="W126" i="1541"/>
  <c r="N307" i="1554" s="1"/>
  <c r="AK307" i="1554" s="1"/>
  <c r="AF82" i="1541"/>
  <c r="AG131" i="1541" s="1"/>
  <c r="AF39" i="1541"/>
  <c r="AF85" i="1541"/>
  <c r="AG132" i="1541" s="1"/>
  <c r="AF142" i="1541"/>
  <c r="AF102" i="1541"/>
  <c r="AF143" i="1541"/>
  <c r="AL8" i="1541"/>
  <c r="T36" i="1545"/>
  <c r="T45" i="1545"/>
  <c r="G47" i="1712"/>
  <c r="L162" i="1554"/>
  <c r="L164" i="1554" s="1"/>
  <c r="L163" i="121"/>
  <c r="L165" i="121" s="1"/>
  <c r="L167" i="121" s="1"/>
  <c r="AI76" i="1554"/>
  <c r="C112" i="1554"/>
  <c r="C75" i="121"/>
  <c r="C49" i="1810" s="1"/>
  <c r="C64" i="1810" s="1"/>
  <c r="AL41" i="1554"/>
  <c r="AJ210" i="121"/>
  <c r="P230" i="121"/>
  <c r="Q287" i="121"/>
  <c r="Q299" i="121"/>
  <c r="Q293" i="121"/>
  <c r="N251" i="121"/>
  <c r="N253" i="121" s="1"/>
  <c r="O235" i="121"/>
  <c r="O240" i="121"/>
  <c r="N227" i="121"/>
  <c r="S347" i="121"/>
  <c r="T49" i="1545"/>
  <c r="T40" i="1545"/>
  <c r="N68" i="1541"/>
  <c r="N67" i="1541"/>
  <c r="N69" i="1541"/>
  <c r="AJ57" i="1541"/>
  <c r="L118" i="1554"/>
  <c r="L307" i="121"/>
  <c r="R116" i="1554"/>
  <c r="R305" i="121"/>
  <c r="V311" i="121" s="1"/>
  <c r="N286" i="1554"/>
  <c r="N274" i="1554"/>
  <c r="O286" i="1554"/>
  <c r="O274" i="1554"/>
  <c r="O276" i="1554" s="1"/>
  <c r="O294" i="1554" s="1"/>
  <c r="K105" i="1554"/>
  <c r="G11" i="121"/>
  <c r="G152" i="121"/>
  <c r="K158" i="121" s="1"/>
  <c r="G264" i="121"/>
  <c r="K270" i="121" s="1"/>
  <c r="AJ319" i="1554"/>
  <c r="G133" i="121"/>
  <c r="G148" i="1810" s="1"/>
  <c r="G150" i="1810" s="1"/>
  <c r="G73" i="1821" s="1"/>
  <c r="P33" i="1545"/>
  <c r="P45" i="1545"/>
  <c r="P36" i="1545"/>
  <c r="AM57" i="1541"/>
  <c r="AN57" i="1541" s="1"/>
  <c r="AO57" i="1541" s="1"/>
  <c r="AE113" i="1583"/>
  <c r="AE78" i="1583"/>
  <c r="AK40" i="1554"/>
  <c r="AK215" i="1554"/>
  <c r="AK214" i="1554" s="1"/>
  <c r="AL215" i="1554"/>
  <c r="AL214" i="1554" s="1"/>
  <c r="AI209" i="121"/>
  <c r="O118" i="1554"/>
  <c r="O307" i="121"/>
  <c r="O313" i="121" s="1"/>
  <c r="N252" i="1554"/>
  <c r="N95" i="1821" s="1"/>
  <c r="AK248" i="1554"/>
  <c r="AI93" i="1821" s="1"/>
  <c r="K78" i="1554"/>
  <c r="Q33" i="1545"/>
  <c r="T33" i="1545"/>
  <c r="J42" i="1545"/>
  <c r="J51" i="1545"/>
  <c r="I251" i="121"/>
  <c r="I253" i="121" s="1"/>
  <c r="I245" i="121"/>
  <c r="I235" i="121"/>
  <c r="I227" i="121"/>
  <c r="I240" i="121"/>
  <c r="T349" i="121"/>
  <c r="T354" i="121" s="1"/>
  <c r="AN47" i="1541"/>
  <c r="AA188" i="1541"/>
  <c r="X14" i="1518"/>
  <c r="X15" i="1518" s="1"/>
  <c r="X16" i="1518"/>
  <c r="W203" i="1541"/>
  <c r="P48" i="1545"/>
  <c r="P39" i="1545"/>
  <c r="Q24" i="1545"/>
  <c r="P37" i="1545"/>
  <c r="P46" i="1545"/>
  <c r="L63" i="1583"/>
  <c r="L50" i="1583"/>
  <c r="P50" i="1583"/>
  <c r="O78" i="1554"/>
  <c r="J182" i="1583"/>
  <c r="J115" i="121"/>
  <c r="AJ231" i="1554"/>
  <c r="AH85" i="1821" s="1"/>
  <c r="J238" i="1554"/>
  <c r="W145" i="1541"/>
  <c r="T24" i="1545"/>
  <c r="AJ118" i="1554"/>
  <c r="AH307" i="121"/>
  <c r="M32" i="121"/>
  <c r="M171" i="121"/>
  <c r="AB34" i="1583"/>
  <c r="AB191" i="1583" s="1"/>
  <c r="AB188" i="1583"/>
  <c r="AK40" i="121"/>
  <c r="AK34" i="1810" s="1"/>
  <c r="G34" i="1583"/>
  <c r="G47" i="1583"/>
  <c r="H57" i="1583"/>
  <c r="K47" i="1583"/>
  <c r="O10" i="1711"/>
  <c r="T10" i="1711"/>
  <c r="S148" i="1554"/>
  <c r="S165" i="121"/>
  <c r="AK165" i="121" s="1"/>
  <c r="AK104" i="1554"/>
  <c r="AL104" i="1554"/>
  <c r="AK116" i="1554"/>
  <c r="AI151" i="121"/>
  <c r="AI263" i="121"/>
  <c r="T46" i="1545"/>
  <c r="T37" i="1545"/>
  <c r="G15" i="1619"/>
  <c r="G24" i="1619"/>
  <c r="K24" i="1619"/>
  <c r="T294" i="121"/>
  <c r="T288" i="121"/>
  <c r="T300" i="121"/>
  <c r="AB169" i="1541"/>
  <c r="AC169" i="1541" s="1"/>
  <c r="AC168" i="1541"/>
  <c r="AD168" i="1541" s="1"/>
  <c r="AM25" i="1541"/>
  <c r="Q49" i="1545"/>
  <c r="Q40" i="1545"/>
  <c r="Q47" i="1545"/>
  <c r="Q38" i="1545"/>
  <c r="N58" i="1712"/>
  <c r="AC195" i="1583"/>
  <c r="AC171" i="1583"/>
  <c r="AC177" i="1583"/>
  <c r="AD165" i="1583"/>
  <c r="AL76" i="1554"/>
  <c r="AL168" i="1554" s="1"/>
  <c r="AL170" i="1554" s="1"/>
  <c r="O75" i="121"/>
  <c r="O49" i="1810" s="1"/>
  <c r="J358" i="1554"/>
  <c r="J11" i="121"/>
  <c r="J152" i="121"/>
  <c r="N158" i="121" s="1"/>
  <c r="J264" i="121"/>
  <c r="N270" i="121" s="1"/>
  <c r="R112" i="1554"/>
  <c r="Q362" i="1554"/>
  <c r="Q134" i="121"/>
  <c r="Q74" i="1821" s="1"/>
  <c r="N105" i="1554"/>
  <c r="D112" i="1554"/>
  <c r="D75" i="121"/>
  <c r="D49" i="1810" s="1"/>
  <c r="D64" i="1810" s="1"/>
  <c r="U88" i="121"/>
  <c r="K352" i="1554"/>
  <c r="AK349" i="1554"/>
  <c r="K245" i="121"/>
  <c r="K227" i="121"/>
  <c r="O230" i="121"/>
  <c r="K251" i="121"/>
  <c r="K253" i="121" s="1"/>
  <c r="M241" i="121"/>
  <c r="M231" i="121"/>
  <c r="M236" i="121"/>
  <c r="M246" i="121"/>
  <c r="T63" i="1541"/>
  <c r="X50" i="1541"/>
  <c r="X52" i="1541" s="1"/>
  <c r="T52" i="1541"/>
  <c r="T53" i="1541"/>
  <c r="X53" i="1541" s="1"/>
  <c r="R40" i="1541"/>
  <c r="R37" i="1541"/>
  <c r="R35" i="1541"/>
  <c r="R34" i="1541"/>
  <c r="R74" i="1541"/>
  <c r="R201" i="1541"/>
  <c r="R205" i="1541" s="1"/>
  <c r="AM102" i="1541"/>
  <c r="P38" i="1545"/>
  <c r="P47" i="1545"/>
  <c r="F44" i="1538"/>
  <c r="G42" i="1538" s="1"/>
  <c r="U20" i="121"/>
  <c r="H60" i="1712"/>
  <c r="M61" i="1711"/>
  <c r="AG175" i="1541"/>
  <c r="AG186" i="1541"/>
  <c r="AA156" i="1541"/>
  <c r="AA160" i="1541" s="1"/>
  <c r="AD155" i="1541"/>
  <c r="AN30" i="1541"/>
  <c r="AF29" i="1541"/>
  <c r="AL30" i="1541"/>
  <c r="V175" i="1541"/>
  <c r="V173" i="1541"/>
  <c r="M326" i="1554"/>
  <c r="M22" i="1619"/>
  <c r="I63" i="1583"/>
  <c r="I50" i="1583"/>
  <c r="M50" i="1583"/>
  <c r="F44" i="1535"/>
  <c r="G42" i="1535" s="1"/>
  <c r="P183" i="121"/>
  <c r="AJ183" i="121" s="1"/>
  <c r="AJ76" i="1554"/>
  <c r="G112" i="1554"/>
  <c r="G75" i="121"/>
  <c r="G49" i="1810" s="1"/>
  <c r="M276" i="1554"/>
  <c r="M294" i="1554" s="1"/>
  <c r="AK41" i="1554"/>
  <c r="AI210" i="121"/>
  <c r="AJ274" i="1554"/>
  <c r="AJ286" i="1554"/>
  <c r="P40" i="1545"/>
  <c r="P49" i="1545"/>
  <c r="O352" i="1554"/>
  <c r="P241" i="121"/>
  <c r="P246" i="121"/>
  <c r="P231" i="121"/>
  <c r="P227" i="121"/>
  <c r="P236" i="121"/>
  <c r="S231" i="121"/>
  <c r="AK226" i="121"/>
  <c r="S246" i="121"/>
  <c r="T236" i="121"/>
  <c r="L294" i="121"/>
  <c r="L300" i="121"/>
  <c r="L288" i="121"/>
  <c r="T227" i="121"/>
  <c r="T235" i="121"/>
  <c r="T245" i="121"/>
  <c r="T251" i="121"/>
  <c r="T253" i="121" s="1"/>
  <c r="T240" i="121"/>
  <c r="T230" i="121"/>
  <c r="N311" i="1554"/>
  <c r="U164" i="1541"/>
  <c r="U163" i="1541"/>
  <c r="AA163" i="1541"/>
  <c r="AA164" i="1541"/>
  <c r="Q45" i="1545"/>
  <c r="Q36" i="1545"/>
  <c r="T48" i="1545"/>
  <c r="T39" i="1545"/>
  <c r="AK35" i="1554"/>
  <c r="AK122" i="1554"/>
  <c r="AK281" i="1554"/>
  <c r="AB249" i="1583"/>
  <c r="F112" i="1554"/>
  <c r="F78" i="1554"/>
  <c r="F75" i="121"/>
  <c r="F49" i="1810" s="1"/>
  <c r="F64" i="1810" s="1"/>
  <c r="K133" i="121"/>
  <c r="K148" i="1810" s="1"/>
  <c r="K150" i="1810" s="1"/>
  <c r="R349" i="1554"/>
  <c r="R135" i="121"/>
  <c r="R75" i="1821" s="1"/>
  <c r="O46" i="121"/>
  <c r="AJ65" i="121"/>
  <c r="AJ121" i="121" s="1"/>
  <c r="O121" i="121"/>
  <c r="O161" i="1583"/>
  <c r="Q62" i="121"/>
  <c r="N231" i="121"/>
  <c r="N241" i="121"/>
  <c r="O236" i="121"/>
  <c r="N236" i="121"/>
  <c r="O241" i="121"/>
  <c r="V69" i="1541"/>
  <c r="V76" i="1541"/>
  <c r="V77" i="1541" s="1"/>
  <c r="V68" i="1541"/>
  <c r="W175" i="1541"/>
  <c r="W173" i="1541"/>
  <c r="W186" i="1541"/>
  <c r="N326" i="1554"/>
  <c r="N96" i="121" s="1"/>
  <c r="N94" i="1810" s="1"/>
  <c r="Q39" i="1545"/>
  <c r="Q48" i="1545"/>
  <c r="P41" i="1545"/>
  <c r="P50" i="1545"/>
  <c r="AL35" i="1554"/>
  <c r="AL122" i="1554"/>
  <c r="AL281" i="1554"/>
  <c r="AM285" i="1554" s="1"/>
  <c r="M28" i="1554"/>
  <c r="M31" i="1554" s="1"/>
  <c r="P286" i="1554"/>
  <c r="P274" i="1554"/>
  <c r="P276" i="1554" s="1"/>
  <c r="H249" i="1583"/>
  <c r="G29" i="1538"/>
  <c r="G29" i="1535"/>
  <c r="G32" i="1712"/>
  <c r="AJ116" i="121"/>
  <c r="G35" i="155"/>
  <c r="G35" i="1711"/>
  <c r="AG121" i="1541"/>
  <c r="AG181" i="1541"/>
  <c r="AG180" i="1541" s="1"/>
  <c r="AG187" i="1541" s="1"/>
  <c r="P66" i="1541"/>
  <c r="V67" i="1541" s="1"/>
  <c r="P65" i="1541"/>
  <c r="AN179" i="1541"/>
  <c r="AN188" i="1541" s="1"/>
  <c r="AG110" i="1541"/>
  <c r="AL282" i="1554"/>
  <c r="AL38" i="1554"/>
  <c r="AB195" i="1583"/>
  <c r="AB207" i="1583" s="1"/>
  <c r="AB177" i="1583"/>
  <c r="H28" i="1554"/>
  <c r="H31" i="1554" s="1"/>
  <c r="O134" i="1554"/>
  <c r="Q286" i="1554"/>
  <c r="T50" i="1545"/>
  <c r="T41" i="1545"/>
  <c r="S299" i="121"/>
  <c r="S281" i="121"/>
  <c r="K236" i="121"/>
  <c r="K246" i="121"/>
  <c r="O231" i="121"/>
  <c r="K241" i="121"/>
  <c r="N383" i="121"/>
  <c r="N382" i="121"/>
  <c r="N381" i="121"/>
  <c r="N380" i="121"/>
  <c r="AG380" i="121"/>
  <c r="AG381" i="121"/>
  <c r="AG382" i="121"/>
  <c r="AG383" i="121"/>
  <c r="AH741" i="1812"/>
  <c r="AH734" i="1812"/>
  <c r="AH727" i="1812"/>
  <c r="AH720" i="1812"/>
  <c r="H294" i="1554" l="1"/>
  <c r="AG84" i="1821"/>
  <c r="AL285" i="1554"/>
  <c r="I64" i="1810"/>
  <c r="G64" i="1810"/>
  <c r="X64" i="1810"/>
  <c r="V64" i="1810"/>
  <c r="L54" i="1810"/>
  <c r="H64" i="1810"/>
  <c r="S54" i="1810"/>
  <c r="O64" i="1810"/>
  <c r="N54" i="1810"/>
  <c r="K64" i="1810"/>
  <c r="Q64" i="1810"/>
  <c r="M64" i="1810"/>
  <c r="L64" i="1810"/>
  <c r="W64" i="1810"/>
  <c r="S64" i="1810"/>
  <c r="Y66" i="1810"/>
  <c r="T64" i="1810"/>
  <c r="U64" i="1810"/>
  <c r="AL286" i="1554"/>
  <c r="AJ285" i="1554"/>
  <c r="AJ252" i="1554"/>
  <c r="AH95" i="1821" s="1"/>
  <c r="AH94" i="1821" s="1"/>
  <c r="K253" i="1554"/>
  <c r="AK286" i="1554"/>
  <c r="AK285" i="1554"/>
  <c r="AI84" i="1821"/>
  <c r="J253" i="1554"/>
  <c r="AJ253" i="1554" s="1"/>
  <c r="K94" i="1821"/>
  <c r="H94" i="1821"/>
  <c r="J94" i="1821"/>
  <c r="AH84" i="1821"/>
  <c r="G253" i="1554"/>
  <c r="G95" i="1821"/>
  <c r="G94" i="1821" s="1"/>
  <c r="K97" i="1821"/>
  <c r="K96" i="1821" s="1"/>
  <c r="K87" i="1821"/>
  <c r="P97" i="1821"/>
  <c r="P96" i="1821" s="1"/>
  <c r="P87" i="1821"/>
  <c r="L253" i="1554"/>
  <c r="L95" i="1821"/>
  <c r="L94" i="1821" s="1"/>
  <c r="AJ276" i="1554"/>
  <c r="AJ278" i="1554" s="1"/>
  <c r="AH92" i="1821"/>
  <c r="AK238" i="1554"/>
  <c r="AI88" i="1821" s="1"/>
  <c r="N88" i="1821"/>
  <c r="R97" i="1821"/>
  <c r="R96" i="1821" s="1"/>
  <c r="R87" i="1821"/>
  <c r="L97" i="1821"/>
  <c r="L87" i="1821"/>
  <c r="AJ97" i="1821"/>
  <c r="AJ96" i="1821" s="1"/>
  <c r="AJ87" i="1821"/>
  <c r="G97" i="1821"/>
  <c r="G87" i="1821"/>
  <c r="O94" i="1821"/>
  <c r="T96" i="1821"/>
  <c r="I97" i="1821"/>
  <c r="I87" i="1821"/>
  <c r="O87" i="1821"/>
  <c r="O97" i="1821"/>
  <c r="O96" i="1821" s="1"/>
  <c r="M97" i="1821"/>
  <c r="M87" i="1821"/>
  <c r="I253" i="1554"/>
  <c r="I95" i="1821"/>
  <c r="I94" i="1821" s="1"/>
  <c r="AJ238" i="1554"/>
  <c r="AH88" i="1821" s="1"/>
  <c r="J88" i="1821"/>
  <c r="AI92" i="1821"/>
  <c r="N94" i="1821"/>
  <c r="AG87" i="1821"/>
  <c r="H253" i="1554"/>
  <c r="M253" i="1554"/>
  <c r="M95" i="1821"/>
  <c r="M94" i="1821" s="1"/>
  <c r="H97" i="1821"/>
  <c r="H96" i="1821" s="1"/>
  <c r="H87" i="1821"/>
  <c r="AK276" i="1554"/>
  <c r="AK294" i="1554" s="1"/>
  <c r="O253" i="1554"/>
  <c r="S96" i="1821"/>
  <c r="Y32" i="1821"/>
  <c r="U32" i="1821"/>
  <c r="U33" i="1821"/>
  <c r="AF8" i="1821"/>
  <c r="AG9" i="1821" s="1"/>
  <c r="U21" i="1810"/>
  <c r="U10" i="1821" s="1"/>
  <c r="Q14" i="1810"/>
  <c r="U143" i="1583"/>
  <c r="Q59" i="1810"/>
  <c r="AI90" i="1810"/>
  <c r="AI105" i="1810"/>
  <c r="AI115" i="1810" s="1"/>
  <c r="S14" i="1810"/>
  <c r="R11" i="1810"/>
  <c r="R76" i="1810" s="1"/>
  <c r="T99" i="1810"/>
  <c r="T44" i="1810"/>
  <c r="U24" i="1810"/>
  <c r="T74" i="1810"/>
  <c r="X14" i="1810"/>
  <c r="T14" i="1810"/>
  <c r="AK85" i="1810"/>
  <c r="AJ105" i="1810"/>
  <c r="AJ115" i="1810" s="1"/>
  <c r="AJ85" i="1810"/>
  <c r="T11" i="1810"/>
  <c r="T76" i="1810" s="1"/>
  <c r="X21" i="1810"/>
  <c r="X10" i="1821" s="1"/>
  <c r="U14" i="1810"/>
  <c r="AH115" i="1810"/>
  <c r="M110" i="1810"/>
  <c r="M115" i="1810"/>
  <c r="R24" i="1810"/>
  <c r="V100" i="1810"/>
  <c r="V105" i="1810"/>
  <c r="U115" i="1810"/>
  <c r="U110" i="1810"/>
  <c r="Y110" i="1810"/>
  <c r="V50" i="1821"/>
  <c r="Y100" i="1821"/>
  <c r="V61" i="1821"/>
  <c r="V40" i="1821"/>
  <c r="R110" i="1810"/>
  <c r="R115" i="1810"/>
  <c r="Q110" i="1810"/>
  <c r="Q115" i="1810"/>
  <c r="R74" i="1810"/>
  <c r="AG105" i="1810"/>
  <c r="AG115" i="1810" s="1"/>
  <c r="AG90" i="1810"/>
  <c r="V130" i="1810"/>
  <c r="V124" i="1810"/>
  <c r="S24" i="1810"/>
  <c r="T24" i="1810"/>
  <c r="S99" i="1810"/>
  <c r="Q44" i="1810"/>
  <c r="S44" i="1810"/>
  <c r="R44" i="1810"/>
  <c r="S59" i="1810"/>
  <c r="Q11" i="1810"/>
  <c r="Q33" i="1821" s="1"/>
  <c r="S414" i="121"/>
  <c r="S416" i="121" s="1"/>
  <c r="S30" i="121" s="1"/>
  <c r="S29" i="1810" s="1"/>
  <c r="R414" i="121"/>
  <c r="R416" i="121" s="1"/>
  <c r="R30" i="121" s="1"/>
  <c r="R29" i="1810" s="1"/>
  <c r="W14" i="1810"/>
  <c r="Q414" i="121"/>
  <c r="Q416" i="121" s="1"/>
  <c r="Q30" i="121" s="1"/>
  <c r="Q29" i="1810" s="1"/>
  <c r="Q31" i="1810" s="1"/>
  <c r="Q12" i="1821" s="1"/>
  <c r="W21" i="1810"/>
  <c r="W10" i="1821" s="1"/>
  <c r="S11" i="1810"/>
  <c r="S46" i="1810" s="1"/>
  <c r="O403" i="121"/>
  <c r="O404" i="121"/>
  <c r="O405" i="121"/>
  <c r="O406" i="121"/>
  <c r="U46" i="1810"/>
  <c r="P414" i="121"/>
  <c r="P416" i="121" s="1"/>
  <c r="P30" i="121" s="1"/>
  <c r="P29" i="1810" s="1"/>
  <c r="P31" i="1810" s="1"/>
  <c r="P12" i="1821" s="1"/>
  <c r="U114" i="1810"/>
  <c r="Y109" i="1810"/>
  <c r="P51" i="1810"/>
  <c r="P66" i="1810" s="1"/>
  <c r="P59" i="1810"/>
  <c r="P54" i="1810"/>
  <c r="P79" i="1810"/>
  <c r="T84" i="1810" s="1"/>
  <c r="AK51" i="1810"/>
  <c r="AK59" i="1810"/>
  <c r="AH94" i="1810"/>
  <c r="O49" i="1821"/>
  <c r="AJ121" i="1810"/>
  <c r="K99" i="1821"/>
  <c r="K35" i="1821"/>
  <c r="K143" i="1810"/>
  <c r="K76" i="1810"/>
  <c r="N104" i="1810"/>
  <c r="M143" i="1810"/>
  <c r="M35" i="1821"/>
  <c r="M76" i="1810"/>
  <c r="O68" i="1821"/>
  <c r="O36" i="1821"/>
  <c r="AI121" i="1810"/>
  <c r="K49" i="1821"/>
  <c r="L14" i="1821"/>
  <c r="L16" i="1821" s="1"/>
  <c r="L46" i="1810"/>
  <c r="L99" i="1810"/>
  <c r="L96" i="1810"/>
  <c r="M18" i="1821"/>
  <c r="M81" i="1810"/>
  <c r="M61" i="1810"/>
  <c r="O14" i="1821"/>
  <c r="S15" i="1821" s="1"/>
  <c r="O46" i="1810"/>
  <c r="O41" i="1810"/>
  <c r="F51" i="1810"/>
  <c r="F59" i="1810"/>
  <c r="F79" i="1810"/>
  <c r="F89" i="1810" s="1"/>
  <c r="K54" i="1810"/>
  <c r="K59" i="1810"/>
  <c r="K51" i="1810"/>
  <c r="K79" i="1810"/>
  <c r="AH39" i="1810"/>
  <c r="AH36" i="1810"/>
  <c r="G99" i="1821"/>
  <c r="F99" i="1821"/>
  <c r="AK136" i="121"/>
  <c r="U75" i="1821"/>
  <c r="H42" i="1821"/>
  <c r="H101" i="1810"/>
  <c r="H137" i="1810"/>
  <c r="H145" i="1810" s="1"/>
  <c r="R14" i="1821"/>
  <c r="R41" i="1810"/>
  <c r="V41" i="1810"/>
  <c r="Q56" i="1810"/>
  <c r="S18" i="1821"/>
  <c r="S31" i="1821" s="1"/>
  <c r="S38" i="1821" s="1"/>
  <c r="S81" i="1810"/>
  <c r="W56" i="1810"/>
  <c r="N14" i="1821"/>
  <c r="T104" i="1810"/>
  <c r="T89" i="1810"/>
  <c r="X84" i="1810"/>
  <c r="AK44" i="1810"/>
  <c r="AK36" i="1810"/>
  <c r="AK39" i="1810"/>
  <c r="P14" i="1821"/>
  <c r="T15" i="1821" s="1"/>
  <c r="P46" i="1810"/>
  <c r="P41" i="1810"/>
  <c r="AK49" i="1821"/>
  <c r="H36" i="1809"/>
  <c r="K73" i="1821"/>
  <c r="E51" i="1810"/>
  <c r="E59" i="1810"/>
  <c r="E79" i="1810"/>
  <c r="E89" i="1810" s="1"/>
  <c r="M99" i="1821"/>
  <c r="P99" i="1810"/>
  <c r="P96" i="1810"/>
  <c r="AJ39" i="1810"/>
  <c r="AJ36" i="1810"/>
  <c r="AJ157" i="1810"/>
  <c r="AJ159" i="1810" s="1"/>
  <c r="T42" i="1821"/>
  <c r="T137" i="1810"/>
  <c r="T145" i="1810" s="1"/>
  <c r="U136" i="1810"/>
  <c r="U91" i="1810"/>
  <c r="U122" i="1810"/>
  <c r="Y86" i="1810"/>
  <c r="X160" i="1810"/>
  <c r="K137" i="1810"/>
  <c r="K145" i="1810" s="1"/>
  <c r="K42" i="1821"/>
  <c r="K101" i="1810"/>
  <c r="F11" i="1810"/>
  <c r="F76" i="1810" s="1"/>
  <c r="F24" i="1810"/>
  <c r="G24" i="1810"/>
  <c r="T18" i="1821"/>
  <c r="T31" i="1821" s="1"/>
  <c r="T38" i="1821" s="1"/>
  <c r="T81" i="1810"/>
  <c r="X56" i="1810"/>
  <c r="C76" i="1810"/>
  <c r="C35" i="1821"/>
  <c r="C36" i="1821" s="1"/>
  <c r="C51" i="1810"/>
  <c r="C59" i="1810"/>
  <c r="C79" i="1810"/>
  <c r="C89" i="1810" s="1"/>
  <c r="J99" i="1821"/>
  <c r="N99" i="1821"/>
  <c r="I99" i="1821"/>
  <c r="D19" i="1807"/>
  <c r="AG69" i="1810"/>
  <c r="K9" i="1821"/>
  <c r="G9" i="1821"/>
  <c r="H11" i="1821"/>
  <c r="R51" i="1810"/>
  <c r="R59" i="1810"/>
  <c r="R54" i="1810"/>
  <c r="R79" i="1810"/>
  <c r="V54" i="1810"/>
  <c r="I14" i="1821"/>
  <c r="I16" i="1821" s="1"/>
  <c r="I46" i="1810"/>
  <c r="T68" i="1821"/>
  <c r="U19" i="1821"/>
  <c r="Y19" i="1821"/>
  <c r="G42" i="1821"/>
  <c r="G137" i="1810"/>
  <c r="G145" i="1810" s="1"/>
  <c r="G101" i="1810"/>
  <c r="S104" i="1810"/>
  <c r="S89" i="1810"/>
  <c r="W84" i="1810"/>
  <c r="O42" i="1821"/>
  <c r="O137" i="1810"/>
  <c r="O145" i="1810" s="1"/>
  <c r="O101" i="1810"/>
  <c r="L18" i="1821"/>
  <c r="L31" i="1821" s="1"/>
  <c r="L81" i="1810"/>
  <c r="L61" i="1810"/>
  <c r="J35" i="1821"/>
  <c r="J143" i="1810"/>
  <c r="T54" i="1810"/>
  <c r="L104" i="1810"/>
  <c r="L89" i="1810"/>
  <c r="G79" i="1810"/>
  <c r="G59" i="1810"/>
  <c r="G54" i="1810"/>
  <c r="G51" i="1810"/>
  <c r="O79" i="1810"/>
  <c r="O51" i="1810"/>
  <c r="O59" i="1810"/>
  <c r="O54" i="1810"/>
  <c r="Q99" i="1810"/>
  <c r="Q96" i="1810"/>
  <c r="AI71" i="1810"/>
  <c r="H99" i="1821"/>
  <c r="AH69" i="1810"/>
  <c r="W122" i="1583"/>
  <c r="W128" i="1583" s="1"/>
  <c r="W34" i="1810"/>
  <c r="S68" i="1821"/>
  <c r="M89" i="1810"/>
  <c r="X46" i="1810"/>
  <c r="X14" i="1821"/>
  <c r="X41" i="1810"/>
  <c r="E76" i="1810"/>
  <c r="E35" i="1821"/>
  <c r="E36" i="1821" s="1"/>
  <c r="K46" i="1810"/>
  <c r="K14" i="1821"/>
  <c r="K16" i="1821" s="1"/>
  <c r="AH121" i="1810"/>
  <c r="G49" i="1821"/>
  <c r="J62" i="1821"/>
  <c r="J70" i="1821" s="1"/>
  <c r="I79" i="1810"/>
  <c r="M84" i="1810" s="1"/>
  <c r="I54" i="1810"/>
  <c r="I51" i="1810"/>
  <c r="M66" i="1810" s="1"/>
  <c r="I59" i="1810"/>
  <c r="AG46" i="1810"/>
  <c r="AG14" i="1821"/>
  <c r="AG16" i="1821" s="1"/>
  <c r="P99" i="1821"/>
  <c r="D59" i="1810"/>
  <c r="D51" i="1810"/>
  <c r="D79" i="1810"/>
  <c r="D89" i="1810" s="1"/>
  <c r="N96" i="1810"/>
  <c r="H51" i="1810"/>
  <c r="H54" i="1810"/>
  <c r="H79" i="1810"/>
  <c r="L84" i="1810" s="1"/>
  <c r="H59" i="1810"/>
  <c r="AG157" i="1810"/>
  <c r="AG159" i="1810" s="1"/>
  <c r="D53" i="1809" s="1"/>
  <c r="L99" i="1821"/>
  <c r="M14" i="1821"/>
  <c r="M41" i="1810"/>
  <c r="M46" i="1810"/>
  <c r="U15" i="1821"/>
  <c r="Y15" i="1821"/>
  <c r="AG16" i="1810"/>
  <c r="Q41" i="1810"/>
  <c r="I42" i="1821"/>
  <c r="I137" i="1810"/>
  <c r="I145" i="1810" s="1"/>
  <c r="I101" i="1810"/>
  <c r="U8" i="1821"/>
  <c r="U16" i="1821" s="1"/>
  <c r="Y16" i="1810"/>
  <c r="V26" i="1810"/>
  <c r="U76" i="1810"/>
  <c r="H35" i="1821"/>
  <c r="H76" i="1810"/>
  <c r="H143" i="1810"/>
  <c r="N129" i="1810"/>
  <c r="AI127" i="1810"/>
  <c r="AI129" i="1810" s="1"/>
  <c r="J54" i="1810"/>
  <c r="J79" i="1810"/>
  <c r="J51" i="1810"/>
  <c r="U96" i="1810"/>
  <c r="U99" i="1810"/>
  <c r="N68" i="1821"/>
  <c r="G129" i="1810"/>
  <c r="AH127" i="1810"/>
  <c r="AH129" i="1810" s="1"/>
  <c r="AI36" i="1810"/>
  <c r="AI39" i="1810"/>
  <c r="O99" i="1821"/>
  <c r="AK11" i="1810"/>
  <c r="AG121" i="1810"/>
  <c r="C49" i="1821"/>
  <c r="M54" i="1810"/>
  <c r="F35" i="1821"/>
  <c r="AG42" i="1821"/>
  <c r="AG137" i="1810"/>
  <c r="AG145" i="1810" s="1"/>
  <c r="D51" i="1809" s="1"/>
  <c r="AG101" i="1810"/>
  <c r="R68" i="1821"/>
  <c r="N18" i="1821"/>
  <c r="N31" i="1821" s="1"/>
  <c r="N38" i="1821" s="1"/>
  <c r="N81" i="1810"/>
  <c r="P35" i="1821"/>
  <c r="P143" i="1810"/>
  <c r="P76" i="1810"/>
  <c r="I35" i="1821"/>
  <c r="I143" i="1810"/>
  <c r="I76" i="1810"/>
  <c r="G68" i="1821"/>
  <c r="G36" i="1821"/>
  <c r="L35" i="1821"/>
  <c r="L143" i="1810"/>
  <c r="L76" i="1810"/>
  <c r="AC42" i="121"/>
  <c r="AB42" i="121"/>
  <c r="AA42" i="121"/>
  <c r="U149" i="1583"/>
  <c r="D19" i="155"/>
  <c r="D17" i="1712"/>
  <c r="D19" i="1711"/>
  <c r="AG101" i="1814"/>
  <c r="AG70" i="1814"/>
  <c r="V96" i="121"/>
  <c r="V252" i="121"/>
  <c r="T301" i="121"/>
  <c r="U289" i="121"/>
  <c r="AH721" i="1812"/>
  <c r="AH726" i="1812"/>
  <c r="AH724" i="1812" s="1"/>
  <c r="AH409" i="1812" s="1"/>
  <c r="AH735" i="1812"/>
  <c r="AH733" i="1812"/>
  <c r="AH731" i="1812" s="1"/>
  <c r="AH410" i="1812" s="1"/>
  <c r="AH728" i="1812"/>
  <c r="AH719" i="1812"/>
  <c r="AH717" i="1812" s="1"/>
  <c r="AH408" i="1812" s="1"/>
  <c r="AH740" i="1812"/>
  <c r="AH738" i="1812" s="1"/>
  <c r="AH412" i="1812" s="1"/>
  <c r="AH742" i="1812"/>
  <c r="AE572" i="1812"/>
  <c r="AE573" i="1812"/>
  <c r="AF573" i="1812"/>
  <c r="AF572" i="1812"/>
  <c r="AG572" i="1812"/>
  <c r="AG573" i="1812"/>
  <c r="BF715" i="1812"/>
  <c r="AH573" i="1812"/>
  <c r="AF389" i="1812"/>
  <c r="AE389" i="1812"/>
  <c r="AH389" i="1812"/>
  <c r="AH571" i="1812"/>
  <c r="AF387" i="1812"/>
  <c r="AF571" i="1812"/>
  <c r="AE387" i="1812"/>
  <c r="AG387" i="1812"/>
  <c r="AE571" i="1812"/>
  <c r="AG571" i="1812"/>
  <c r="AG389" i="1812"/>
  <c r="AH387" i="1812"/>
  <c r="AF570" i="1812"/>
  <c r="AG391" i="1812"/>
  <c r="AE570" i="1812"/>
  <c r="AF391" i="1812"/>
  <c r="AG570" i="1812"/>
  <c r="AH570" i="1812"/>
  <c r="AE391" i="1812"/>
  <c r="AH391" i="1812"/>
  <c r="AI745" i="1812"/>
  <c r="AI227" i="1812"/>
  <c r="AI3" i="1812"/>
  <c r="AI715" i="1812" s="1"/>
  <c r="AJ4" i="1812"/>
  <c r="T295" i="121"/>
  <c r="X274" i="121"/>
  <c r="X268" i="121"/>
  <c r="X316" i="121"/>
  <c r="AL19" i="121"/>
  <c r="AM26" i="121"/>
  <c r="AL126" i="121"/>
  <c r="AA126" i="121"/>
  <c r="X222" i="121"/>
  <c r="X61" i="121"/>
  <c r="X226" i="121"/>
  <c r="X56" i="121"/>
  <c r="X51" i="121"/>
  <c r="X50" i="121"/>
  <c r="X225" i="121"/>
  <c r="X60" i="121"/>
  <c r="X47" i="121"/>
  <c r="Y57" i="121" s="1"/>
  <c r="X55" i="121"/>
  <c r="W47" i="1583"/>
  <c r="AF31" i="1583"/>
  <c r="C75" i="1808" s="1"/>
  <c r="F75" i="1808" s="1"/>
  <c r="H75" i="1808" s="1"/>
  <c r="S137" i="1583"/>
  <c r="W143" i="1583" s="1"/>
  <c r="W140" i="1583"/>
  <c r="W310" i="121"/>
  <c r="W68" i="121"/>
  <c r="T114" i="121"/>
  <c r="W42" i="121"/>
  <c r="W52" i="121"/>
  <c r="W41" i="121"/>
  <c r="S34" i="1583"/>
  <c r="S191" i="1583" s="1"/>
  <c r="W79" i="121"/>
  <c r="W85" i="121"/>
  <c r="S104" i="121"/>
  <c r="S106" i="121" s="1"/>
  <c r="W92" i="121"/>
  <c r="W220" i="121"/>
  <c r="W222" i="121" s="1"/>
  <c r="N50" i="121"/>
  <c r="K55" i="121"/>
  <c r="J226" i="1583"/>
  <c r="AC226" i="1583" s="1"/>
  <c r="AC229" i="1583" s="1"/>
  <c r="AJ226" i="121"/>
  <c r="AK231" i="121" s="1"/>
  <c r="AB125" i="1583"/>
  <c r="AB131" i="1583" s="1"/>
  <c r="M207" i="1583"/>
  <c r="R207" i="1583"/>
  <c r="AK298" i="121"/>
  <c r="AK87" i="121"/>
  <c r="L164" i="1583"/>
  <c r="L176" i="1583" s="1"/>
  <c r="AK316" i="121"/>
  <c r="AM125" i="1554"/>
  <c r="AM131" i="1554" s="1"/>
  <c r="AK35" i="121" s="1"/>
  <c r="I125" i="1583"/>
  <c r="I131" i="1583" s="1"/>
  <c r="V268" i="121"/>
  <c r="V274" i="121"/>
  <c r="V316" i="121"/>
  <c r="AK84" i="121"/>
  <c r="AK78" i="121"/>
  <c r="AK79" i="121"/>
  <c r="AM133" i="1554"/>
  <c r="AK37" i="121" s="1"/>
  <c r="AM132" i="1554"/>
  <c r="AK36" i="121" s="1"/>
  <c r="K158" i="1583"/>
  <c r="Q201" i="1583"/>
  <c r="M128" i="1583"/>
  <c r="P158" i="1583"/>
  <c r="I158" i="1583"/>
  <c r="C155" i="1583"/>
  <c r="C161" i="1583" s="1"/>
  <c r="H155" i="1583"/>
  <c r="H161" i="1583" s="1"/>
  <c r="R140" i="1583"/>
  <c r="E158" i="1583"/>
  <c r="R137" i="1583"/>
  <c r="V143" i="1583" s="1"/>
  <c r="N114" i="121"/>
  <c r="G188" i="1583"/>
  <c r="AC122" i="1583"/>
  <c r="AC125" i="1583" s="1"/>
  <c r="O185" i="1583"/>
  <c r="O191" i="1583" s="1"/>
  <c r="M158" i="1583"/>
  <c r="K125" i="1583"/>
  <c r="K131" i="1583" s="1"/>
  <c r="S164" i="1583"/>
  <c r="P125" i="1583"/>
  <c r="P131" i="1583" s="1"/>
  <c r="G128" i="1583"/>
  <c r="D88" i="1808"/>
  <c r="T164" i="1583"/>
  <c r="T194" i="1583" s="1"/>
  <c r="V35" i="121"/>
  <c r="F161" i="1583"/>
  <c r="AD152" i="1583"/>
  <c r="AD155" i="1583" s="1"/>
  <c r="M164" i="1583"/>
  <c r="M176" i="1583" s="1"/>
  <c r="L158" i="1583"/>
  <c r="S146" i="1583"/>
  <c r="AC152" i="1583"/>
  <c r="AC155" i="1583" s="1"/>
  <c r="J240" i="121"/>
  <c r="D84" i="1808"/>
  <c r="D85" i="1808" s="1"/>
  <c r="D26" i="1808"/>
  <c r="G57" i="1583"/>
  <c r="F158" i="1583"/>
  <c r="T289" i="121"/>
  <c r="G54" i="1538"/>
  <c r="S301" i="121"/>
  <c r="S47" i="1583"/>
  <c r="G60" i="1711"/>
  <c r="S188" i="1583"/>
  <c r="S41" i="1583"/>
  <c r="H188" i="1583"/>
  <c r="S128" i="1583"/>
  <c r="AD122" i="1583"/>
  <c r="AD125" i="1583" s="1"/>
  <c r="S232" i="1583"/>
  <c r="AB152" i="1583"/>
  <c r="AB158" i="1583" s="1"/>
  <c r="G54" i="1535"/>
  <c r="G41" i="1583"/>
  <c r="G60" i="1807"/>
  <c r="S220" i="1583"/>
  <c r="G57" i="1712"/>
  <c r="G60" i="155"/>
  <c r="G36" i="155" s="1"/>
  <c r="L125" i="1583"/>
  <c r="L131" i="1583" s="1"/>
  <c r="D63" i="1808"/>
  <c r="N78" i="1808" s="1"/>
  <c r="G39" i="1809"/>
  <c r="AF171" i="1583"/>
  <c r="AE195" i="1583"/>
  <c r="AE207" i="1583" s="1"/>
  <c r="H39" i="1809"/>
  <c r="Q182" i="1583"/>
  <c r="Q185" i="1583" s="1"/>
  <c r="T160" i="121"/>
  <c r="AH41" i="121"/>
  <c r="AF134" i="1583"/>
  <c r="AF137" i="1583" s="1"/>
  <c r="R160" i="121"/>
  <c r="L249" i="1583"/>
  <c r="L252" i="1583" s="1"/>
  <c r="Q160" i="121"/>
  <c r="AJ138" i="121"/>
  <c r="AJ152" i="1810" s="1"/>
  <c r="AJ154" i="1810" s="1"/>
  <c r="AJ77" i="1821" s="1"/>
  <c r="L115" i="121"/>
  <c r="L124" i="121" s="1"/>
  <c r="D64" i="1808"/>
  <c r="M79" i="1808" s="1"/>
  <c r="D81" i="1808"/>
  <c r="T354" i="1554"/>
  <c r="U353" i="1554" s="1"/>
  <c r="AM123" i="1554"/>
  <c r="D77" i="1808"/>
  <c r="D79" i="1808"/>
  <c r="AK135" i="121"/>
  <c r="S167" i="121"/>
  <c r="AM148" i="1554"/>
  <c r="S166" i="1554"/>
  <c r="AM164" i="1554"/>
  <c r="AM160" i="1554"/>
  <c r="S28" i="121"/>
  <c r="AK28" i="121" s="1"/>
  <c r="S52" i="1554"/>
  <c r="S53" i="1554" s="1"/>
  <c r="S56" i="1554" s="1"/>
  <c r="N230" i="121"/>
  <c r="J227" i="121"/>
  <c r="K237" i="121" s="1"/>
  <c r="K240" i="121"/>
  <c r="S99" i="121"/>
  <c r="S114" i="121"/>
  <c r="S93" i="121"/>
  <c r="AM26" i="1554"/>
  <c r="AM52" i="1554" s="1"/>
  <c r="AM53" i="1554" s="1"/>
  <c r="AM56" i="1554" s="1"/>
  <c r="E17" i="1712"/>
  <c r="E19" i="1807"/>
  <c r="U120" i="121"/>
  <c r="AK134" i="121"/>
  <c r="AK74" i="1821" s="1"/>
  <c r="H32" i="155"/>
  <c r="H32" i="1807"/>
  <c r="C83" i="1808" s="1"/>
  <c r="F83" i="1808" s="1"/>
  <c r="H83" i="1808" s="1"/>
  <c r="F19" i="1711"/>
  <c r="F19" i="1807"/>
  <c r="H8" i="1711"/>
  <c r="H8" i="1807"/>
  <c r="S31" i="1554"/>
  <c r="AM31" i="1554" s="1"/>
  <c r="AM28" i="1554"/>
  <c r="H54" i="1711"/>
  <c r="H54" i="1807"/>
  <c r="F32" i="1711"/>
  <c r="F32" i="1807"/>
  <c r="J235" i="121"/>
  <c r="K235" i="121"/>
  <c r="J256" i="121"/>
  <c r="E22" i="1712"/>
  <c r="E25" i="1807"/>
  <c r="AM106" i="1554"/>
  <c r="E32" i="155"/>
  <c r="E32" i="1807"/>
  <c r="D32" i="155"/>
  <c r="D33" i="155" s="1"/>
  <c r="D32" i="1807"/>
  <c r="D33" i="1807" s="1"/>
  <c r="D60" i="155"/>
  <c r="D60" i="1807"/>
  <c r="AL294" i="1554"/>
  <c r="AM278" i="1554"/>
  <c r="M378" i="121"/>
  <c r="M377" i="121" s="1"/>
  <c r="Z348" i="121"/>
  <c r="AL348" i="121" s="1"/>
  <c r="P313" i="121"/>
  <c r="T313" i="121"/>
  <c r="R68" i="121"/>
  <c r="R310" i="121"/>
  <c r="W355" i="121"/>
  <c r="W359" i="121"/>
  <c r="Z345" i="121"/>
  <c r="Y347" i="121"/>
  <c r="Y349" i="121" s="1"/>
  <c r="Y354" i="121" s="1"/>
  <c r="R69" i="121"/>
  <c r="R311" i="121"/>
  <c r="S313" i="121"/>
  <c r="AI313" i="121"/>
  <c r="X354" i="121"/>
  <c r="X359" i="121" s="1"/>
  <c r="AF122" i="1583"/>
  <c r="C76" i="1808" s="1"/>
  <c r="F76" i="1808" s="1"/>
  <c r="V146" i="1583"/>
  <c r="V125" i="1583"/>
  <c r="V131" i="1583" s="1"/>
  <c r="Z52" i="121"/>
  <c r="W57" i="121"/>
  <c r="V140" i="1583"/>
  <c r="U398" i="121"/>
  <c r="V398" i="121" s="1"/>
  <c r="W398" i="121" s="1"/>
  <c r="X398" i="121" s="1"/>
  <c r="Y398" i="121" s="1"/>
  <c r="Z398" i="121" s="1"/>
  <c r="AA398" i="121" s="1"/>
  <c r="AB398" i="121" s="1"/>
  <c r="AC398" i="121" s="1"/>
  <c r="AD398" i="121" s="1"/>
  <c r="AL163" i="121"/>
  <c r="AM168" i="121" s="1"/>
  <c r="W262" i="121"/>
  <c r="AL150" i="121"/>
  <c r="Z268" i="121"/>
  <c r="S62" i="121"/>
  <c r="R386" i="121"/>
  <c r="R387" i="121"/>
  <c r="R388" i="121"/>
  <c r="R389" i="121"/>
  <c r="C52" i="1554"/>
  <c r="C53" i="1554" s="1"/>
  <c r="C56" i="1554" s="1"/>
  <c r="S397" i="121"/>
  <c r="S399" i="121" s="1"/>
  <c r="R300" i="121"/>
  <c r="D57" i="1712"/>
  <c r="S288" i="121"/>
  <c r="R288" i="121"/>
  <c r="D60" i="1711"/>
  <c r="D54" i="1535"/>
  <c r="AF125" i="1541"/>
  <c r="AG125" i="1541"/>
  <c r="I277" i="1554"/>
  <c r="AI90" i="1554"/>
  <c r="Q134" i="1554"/>
  <c r="R278" i="1554"/>
  <c r="Q90" i="121"/>
  <c r="Q69" i="1810" s="1"/>
  <c r="K294" i="1554"/>
  <c r="L114" i="121"/>
  <c r="L93" i="121"/>
  <c r="P253" i="1554"/>
  <c r="D54" i="1538"/>
  <c r="N276" i="1554"/>
  <c r="N277" i="1554" s="1"/>
  <c r="S131" i="1554"/>
  <c r="AM128" i="1554"/>
  <c r="AM134" i="1554" s="1"/>
  <c r="T294" i="1554"/>
  <c r="U278" i="1554"/>
  <c r="U352" i="1554"/>
  <c r="Q77" i="1554"/>
  <c r="Q78" i="1554" s="1"/>
  <c r="Q283" i="1554" s="1"/>
  <c r="F32" i="155"/>
  <c r="I262" i="121"/>
  <c r="F29" i="1712"/>
  <c r="I9" i="121"/>
  <c r="S294" i="121"/>
  <c r="F26" i="1535"/>
  <c r="AI111" i="1541"/>
  <c r="AI125" i="1541" s="1"/>
  <c r="T93" i="121"/>
  <c r="T104" i="121"/>
  <c r="T106" i="121" s="1"/>
  <c r="R251" i="121"/>
  <c r="R253" i="121" s="1"/>
  <c r="T99" i="121"/>
  <c r="C21" i="1579"/>
  <c r="L278" i="1554"/>
  <c r="K12" i="1806"/>
  <c r="J13" i="1806"/>
  <c r="M93" i="121"/>
  <c r="K299" i="121"/>
  <c r="T378" i="121"/>
  <c r="AI71" i="1541"/>
  <c r="AL71" i="1541" s="1"/>
  <c r="AC182" i="1583"/>
  <c r="AC185" i="1583" s="1"/>
  <c r="C22" i="1579"/>
  <c r="AE226" i="1583"/>
  <c r="AE229" i="1583" s="1"/>
  <c r="M114" i="121"/>
  <c r="AG72" i="1541"/>
  <c r="AF72" i="1541"/>
  <c r="K76" i="1541"/>
  <c r="K77" i="1541" s="1"/>
  <c r="AC208" i="1583"/>
  <c r="AC202" i="1583"/>
  <c r="AD208" i="1583"/>
  <c r="AD202" i="1583"/>
  <c r="AE202" i="1583"/>
  <c r="AC207" i="1583"/>
  <c r="AC201" i="1583"/>
  <c r="U35" i="121"/>
  <c r="U115" i="121"/>
  <c r="U118" i="121" s="1"/>
  <c r="U99" i="121"/>
  <c r="U97" i="121"/>
  <c r="AB97" i="121" s="1"/>
  <c r="AC97" i="121" s="1"/>
  <c r="AD97" i="121" s="1"/>
  <c r="U207" i="1583"/>
  <c r="U201" i="1583"/>
  <c r="Q301" i="121"/>
  <c r="U283" i="121"/>
  <c r="L56" i="121"/>
  <c r="L61" i="121"/>
  <c r="L214" i="1583"/>
  <c r="L220" i="1583" s="1"/>
  <c r="M61" i="121"/>
  <c r="R62" i="121"/>
  <c r="M214" i="1583"/>
  <c r="M220" i="1583" s="1"/>
  <c r="L51" i="121"/>
  <c r="L182" i="1583"/>
  <c r="L185" i="1583" s="1"/>
  <c r="L191" i="1583" s="1"/>
  <c r="L99" i="121"/>
  <c r="L101" i="121" s="1"/>
  <c r="R37" i="121"/>
  <c r="R36" i="121"/>
  <c r="K37" i="121"/>
  <c r="N38" i="121"/>
  <c r="M38" i="121"/>
  <c r="O38" i="121"/>
  <c r="T37" i="121"/>
  <c r="H8" i="155"/>
  <c r="AK61" i="121"/>
  <c r="D29" i="1712"/>
  <c r="D30" i="1712" s="1"/>
  <c r="G294" i="1554"/>
  <c r="R236" i="121"/>
  <c r="S241" i="121"/>
  <c r="H47" i="121"/>
  <c r="H62" i="121" s="1"/>
  <c r="H61" i="121"/>
  <c r="R246" i="121"/>
  <c r="R241" i="121"/>
  <c r="I56" i="121"/>
  <c r="R231" i="121"/>
  <c r="S236" i="121"/>
  <c r="N307" i="121"/>
  <c r="AK90" i="121"/>
  <c r="AK69" i="1810" s="1"/>
  <c r="U131" i="1583"/>
  <c r="AJ20" i="121"/>
  <c r="AL277" i="1554"/>
  <c r="R93" i="121"/>
  <c r="AJ211" i="121"/>
  <c r="R235" i="121"/>
  <c r="R245" i="121"/>
  <c r="F26" i="1538"/>
  <c r="O128" i="1583"/>
  <c r="Q66" i="1583"/>
  <c r="Q69" i="1583" s="1"/>
  <c r="AK11" i="121"/>
  <c r="V152" i="121"/>
  <c r="R41" i="1583"/>
  <c r="G161" i="1583"/>
  <c r="G44" i="1583"/>
  <c r="T146" i="1583"/>
  <c r="T41" i="1583"/>
  <c r="AL128" i="1554"/>
  <c r="AL134" i="1554" s="1"/>
  <c r="H44" i="1583"/>
  <c r="L97" i="121"/>
  <c r="U47" i="1583"/>
  <c r="Q41" i="1583"/>
  <c r="P51" i="121"/>
  <c r="D26" i="1538"/>
  <c r="D27" i="1538" s="1"/>
  <c r="I185" i="1583"/>
  <c r="I191" i="1583" s="1"/>
  <c r="D26" i="1535"/>
  <c r="D27" i="1535" s="1"/>
  <c r="D32" i="1711"/>
  <c r="D33" i="1711" s="1"/>
  <c r="U41" i="1583"/>
  <c r="V44" i="1583"/>
  <c r="K230" i="121"/>
  <c r="U164" i="1583"/>
  <c r="U155" i="1583"/>
  <c r="U167" i="1583" s="1"/>
  <c r="V164" i="1583"/>
  <c r="V176" i="1583" s="1"/>
  <c r="V155" i="1583"/>
  <c r="V167" i="1583" s="1"/>
  <c r="V189" i="1583"/>
  <c r="V195" i="1583"/>
  <c r="V190" i="1583"/>
  <c r="V196" i="1583"/>
  <c r="AF196" i="1583" s="1"/>
  <c r="D92" i="1808"/>
  <c r="D90" i="1808" s="1"/>
  <c r="D28" i="1808" s="1"/>
  <c r="M294" i="121"/>
  <c r="M144" i="1554"/>
  <c r="M162" i="1554" s="1"/>
  <c r="M164" i="1554" s="1"/>
  <c r="AK106" i="1554"/>
  <c r="N235" i="121"/>
  <c r="T232" i="1583"/>
  <c r="R230" i="121"/>
  <c r="AI46" i="121"/>
  <c r="Q277" i="1554"/>
  <c r="AK128" i="1554"/>
  <c r="AK134" i="1554" s="1"/>
  <c r="O300" i="121"/>
  <c r="N56" i="121"/>
  <c r="H277" i="1554"/>
  <c r="M300" i="121"/>
  <c r="M103" i="1554"/>
  <c r="T220" i="1583"/>
  <c r="R92" i="121"/>
  <c r="R227" i="121"/>
  <c r="R232" i="121" s="1"/>
  <c r="E26" i="1538"/>
  <c r="M47" i="121"/>
  <c r="Q52" i="121" s="1"/>
  <c r="S282" i="121"/>
  <c r="M288" i="121"/>
  <c r="R117" i="121"/>
  <c r="M115" i="1554"/>
  <c r="T47" i="1583"/>
  <c r="E26" i="1535"/>
  <c r="E29" i="1712"/>
  <c r="E32" i="1711"/>
  <c r="R114" i="121"/>
  <c r="M56" i="121"/>
  <c r="T188" i="1583"/>
  <c r="M227" i="121"/>
  <c r="Q232" i="121" s="1"/>
  <c r="T34" i="1583"/>
  <c r="T149" i="1583" s="1"/>
  <c r="T128" i="1583"/>
  <c r="M245" i="121"/>
  <c r="Q283" i="121"/>
  <c r="M150" i="121"/>
  <c r="M153" i="121" s="1"/>
  <c r="M262" i="121"/>
  <c r="M316" i="121" s="1"/>
  <c r="AD156" i="1541"/>
  <c r="AL43" i="1541"/>
  <c r="AL59" i="1541" s="1"/>
  <c r="AI126" i="1541"/>
  <c r="AJ126" i="1541" s="1"/>
  <c r="T15" i="121"/>
  <c r="E19" i="155"/>
  <c r="E19" i="1711"/>
  <c r="AJ21" i="121"/>
  <c r="I278" i="1554"/>
  <c r="P253" i="121"/>
  <c r="P257" i="121" s="1"/>
  <c r="R134" i="1554"/>
  <c r="AL106" i="1554"/>
  <c r="M319" i="1554"/>
  <c r="M133" i="121" s="1"/>
  <c r="M148" i="1810" s="1"/>
  <c r="M150" i="1810" s="1"/>
  <c r="M73" i="1821" s="1"/>
  <c r="AH225" i="121"/>
  <c r="AH235" i="121" s="1"/>
  <c r="E25" i="155"/>
  <c r="H32" i="1711"/>
  <c r="R52" i="121"/>
  <c r="T131" i="1554"/>
  <c r="R57" i="121"/>
  <c r="O115" i="1554"/>
  <c r="S57" i="121"/>
  <c r="AG227" i="121"/>
  <c r="M9" i="121"/>
  <c r="M84" i="121" s="1"/>
  <c r="AJ352" i="1554"/>
  <c r="AJ354" i="1554" s="1"/>
  <c r="AK353" i="1554" s="1"/>
  <c r="N70" i="1541"/>
  <c r="N240" i="121"/>
  <c r="S240" i="121"/>
  <c r="R120" i="121"/>
  <c r="AH46" i="121"/>
  <c r="AH51" i="121" s="1"/>
  <c r="R328" i="1554"/>
  <c r="N288" i="121"/>
  <c r="V91" i="121"/>
  <c r="Y129" i="121" s="1"/>
  <c r="M235" i="121"/>
  <c r="AI59" i="1541"/>
  <c r="AJ59" i="1541" s="1"/>
  <c r="N137" i="1583"/>
  <c r="R240" i="121"/>
  <c r="E52" i="1554"/>
  <c r="E53" i="1554" s="1"/>
  <c r="E56" i="1554" s="1"/>
  <c r="R66" i="1583"/>
  <c r="S278" i="1554"/>
  <c r="AJ41" i="121"/>
  <c r="AJ55" i="121"/>
  <c r="AJ135" i="121"/>
  <c r="AJ75" i="1821" s="1"/>
  <c r="P47" i="121"/>
  <c r="T52" i="121" s="1"/>
  <c r="AG50" i="1541"/>
  <c r="AG63" i="1541" s="1"/>
  <c r="O103" i="1554"/>
  <c r="AD90" i="1541"/>
  <c r="AE122" i="1583"/>
  <c r="AE125" i="1583" s="1"/>
  <c r="V163" i="1541"/>
  <c r="O150" i="121"/>
  <c r="O153" i="121" s="1"/>
  <c r="S400" i="121" s="1"/>
  <c r="Z76" i="1541"/>
  <c r="Z77" i="1541" s="1"/>
  <c r="AI277" i="1554"/>
  <c r="N9" i="121"/>
  <c r="P294" i="121"/>
  <c r="AH45" i="121"/>
  <c r="AI55" i="121" s="1"/>
  <c r="L352" i="1554"/>
  <c r="J294" i="1554"/>
  <c r="N262" i="121"/>
  <c r="N274" i="121" s="1"/>
  <c r="AP57" i="1541"/>
  <c r="O262" i="121"/>
  <c r="O274" i="121" s="1"/>
  <c r="Z69" i="1541"/>
  <c r="M287" i="121"/>
  <c r="R103" i="1554"/>
  <c r="R53" i="1541"/>
  <c r="O144" i="1554"/>
  <c r="O162" i="1554" s="1"/>
  <c r="O164" i="1554" s="1"/>
  <c r="N115" i="1554"/>
  <c r="N144" i="1554"/>
  <c r="N163" i="121" s="1"/>
  <c r="AF152" i="1583"/>
  <c r="AI252" i="1554"/>
  <c r="AG95" i="1821" s="1"/>
  <c r="AG94" i="1821" s="1"/>
  <c r="O9" i="121"/>
  <c r="AL97" i="1554"/>
  <c r="AK97" i="1554"/>
  <c r="AI150" i="121" s="1"/>
  <c r="AI156" i="121" s="1"/>
  <c r="K50" i="121"/>
  <c r="AI41" i="121"/>
  <c r="R220" i="1583"/>
  <c r="V47" i="1583"/>
  <c r="V160" i="1541"/>
  <c r="AG22" i="1541"/>
  <c r="AG23" i="1541" s="1"/>
  <c r="Q242" i="121"/>
  <c r="U208" i="1583"/>
  <c r="K188" i="1583"/>
  <c r="L146" i="1583"/>
  <c r="AH115" i="121"/>
  <c r="F19" i="155"/>
  <c r="AK123" i="1554"/>
  <c r="F17" i="1712"/>
  <c r="O294" i="121"/>
  <c r="E19" i="1535"/>
  <c r="I69" i="1541"/>
  <c r="I76" i="1541"/>
  <c r="I77" i="1541" s="1"/>
  <c r="I68" i="1541"/>
  <c r="O288" i="121"/>
  <c r="T282" i="121"/>
  <c r="R282" i="121"/>
  <c r="N294" i="121"/>
  <c r="T57" i="121"/>
  <c r="E19" i="1538"/>
  <c r="P288" i="121"/>
  <c r="Q66" i="1541"/>
  <c r="Q65" i="1541"/>
  <c r="E25" i="1711"/>
  <c r="P61" i="121"/>
  <c r="T51" i="121"/>
  <c r="Q56" i="121"/>
  <c r="K69" i="1541"/>
  <c r="N300" i="121"/>
  <c r="P300" i="121"/>
  <c r="P214" i="1583"/>
  <c r="P220" i="1583" s="1"/>
  <c r="P115" i="121"/>
  <c r="P182" i="1583"/>
  <c r="P97" i="121"/>
  <c r="H55" i="121"/>
  <c r="G60" i="121"/>
  <c r="Q281" i="121"/>
  <c r="H278" i="1554"/>
  <c r="P282" i="121"/>
  <c r="AJ360" i="121"/>
  <c r="M251" i="121"/>
  <c r="M253" i="121" s="1"/>
  <c r="M255" i="121" s="1"/>
  <c r="Q230" i="121"/>
  <c r="M230" i="121"/>
  <c r="K134" i="1554"/>
  <c r="K126" i="1554"/>
  <c r="K132" i="1554" s="1"/>
  <c r="AI226" i="121"/>
  <c r="AI294" i="1554"/>
  <c r="AJ158" i="121"/>
  <c r="P281" i="121"/>
  <c r="R128" i="1583"/>
  <c r="R176" i="1583"/>
  <c r="R158" i="1583"/>
  <c r="R146" i="1583"/>
  <c r="R34" i="1583"/>
  <c r="J278" i="1554"/>
  <c r="Q34" i="1583"/>
  <c r="U50" i="1583" s="1"/>
  <c r="F277" i="1554"/>
  <c r="R10" i="1538"/>
  <c r="R12" i="1538" s="1"/>
  <c r="AJ50" i="121"/>
  <c r="T278" i="1554"/>
  <c r="H54" i="155"/>
  <c r="G278" i="1554"/>
  <c r="AG74" i="1541"/>
  <c r="AG75" i="1541" s="1"/>
  <c r="S294" i="1554"/>
  <c r="AJ354" i="121"/>
  <c r="AJ355" i="121" s="1"/>
  <c r="L293" i="121"/>
  <c r="S277" i="1554"/>
  <c r="AL123" i="1554"/>
  <c r="L277" i="1554"/>
  <c r="H51" i="1712"/>
  <c r="J277" i="1554"/>
  <c r="R355" i="121"/>
  <c r="Q24" i="1619"/>
  <c r="Q57" i="1583"/>
  <c r="AF20" i="1541"/>
  <c r="AF22" i="1541" s="1"/>
  <c r="AF23" i="1541" s="1"/>
  <c r="AG149" i="1541"/>
  <c r="AG156" i="1541" s="1"/>
  <c r="N51" i="1554"/>
  <c r="N52" i="1554" s="1"/>
  <c r="N53" i="1554" s="1"/>
  <c r="N56" i="1554" s="1"/>
  <c r="R277" i="1554"/>
  <c r="AI44" i="1554"/>
  <c r="AI51" i="1554" s="1"/>
  <c r="AI52" i="1554" s="1"/>
  <c r="AI53" i="1554" s="1"/>
  <c r="AI56" i="1554" s="1"/>
  <c r="H354" i="1554"/>
  <c r="I353" i="1554" s="1"/>
  <c r="I354" i="1554" s="1"/>
  <c r="J353" i="1554" s="1"/>
  <c r="J354" i="1554" s="1"/>
  <c r="K353" i="1554" s="1"/>
  <c r="K354" i="1554" s="1"/>
  <c r="L353" i="1554" s="1"/>
  <c r="Q294" i="121"/>
  <c r="L294" i="1554"/>
  <c r="L295" i="1554" s="1"/>
  <c r="AB214" i="1583"/>
  <c r="AB220" i="1583" s="1"/>
  <c r="P12" i="1538"/>
  <c r="G32" i="155"/>
  <c r="G26" i="1538"/>
  <c r="G26" i="1535"/>
  <c r="G32" i="1711"/>
  <c r="G29" i="1712"/>
  <c r="L287" i="121"/>
  <c r="K278" i="1554"/>
  <c r="R294" i="1554"/>
  <c r="R295" i="1554" s="1"/>
  <c r="AG35" i="1541"/>
  <c r="AG36" i="1541" s="1"/>
  <c r="AG47" i="121"/>
  <c r="AG62" i="121" s="1"/>
  <c r="R96" i="121"/>
  <c r="R94" i="1810" s="1"/>
  <c r="AF33" i="1541"/>
  <c r="AF34" i="1541" s="1"/>
  <c r="N164" i="1583"/>
  <c r="R170" i="1583" s="1"/>
  <c r="AD179" i="1541"/>
  <c r="Q47" i="1583"/>
  <c r="AJ44" i="1554"/>
  <c r="AJ51" i="1554" s="1"/>
  <c r="AJ52" i="1554" s="1"/>
  <c r="M293" i="121"/>
  <c r="AG121" i="121"/>
  <c r="R232" i="1583"/>
  <c r="AJ123" i="1541"/>
  <c r="AK351" i="1554"/>
  <c r="R316" i="121"/>
  <c r="R274" i="121"/>
  <c r="M232" i="1583"/>
  <c r="AD226" i="1583"/>
  <c r="AD229" i="1583" s="1"/>
  <c r="AH226" i="121"/>
  <c r="K231" i="121"/>
  <c r="G191" i="1583"/>
  <c r="AM33" i="1541"/>
  <c r="AM34" i="1541" s="1"/>
  <c r="G131" i="1583"/>
  <c r="S176" i="121"/>
  <c r="S27" i="121" s="1"/>
  <c r="K69" i="1583"/>
  <c r="AI78" i="1554"/>
  <c r="AI283" i="1554" s="1"/>
  <c r="T176" i="121"/>
  <c r="T27" i="121" s="1"/>
  <c r="P319" i="121"/>
  <c r="P277" i="121"/>
  <c r="P144" i="1554"/>
  <c r="P150" i="121"/>
  <c r="P262" i="121"/>
  <c r="P268" i="121" s="1"/>
  <c r="P9" i="121"/>
  <c r="T103" i="1554"/>
  <c r="P115" i="1554"/>
  <c r="P103" i="1554"/>
  <c r="F59" i="1711"/>
  <c r="F59" i="155"/>
  <c r="F53" i="1535"/>
  <c r="F53" i="1538"/>
  <c r="F56" i="1712"/>
  <c r="F58" i="1711"/>
  <c r="F58" i="155"/>
  <c r="AI128" i="121"/>
  <c r="AI157" i="1810" s="1"/>
  <c r="AI159" i="1810" s="1"/>
  <c r="F52" i="1538"/>
  <c r="F52" i="1535"/>
  <c r="F55" i="1712"/>
  <c r="AE31" i="1583"/>
  <c r="AE34" i="1583" s="1"/>
  <c r="Q220" i="1583"/>
  <c r="R57" i="1583"/>
  <c r="Q128" i="1583"/>
  <c r="Q146" i="1583"/>
  <c r="N368" i="121"/>
  <c r="AI368" i="121" s="1"/>
  <c r="AI366" i="121"/>
  <c r="I47" i="121"/>
  <c r="I214" i="1583"/>
  <c r="I220" i="1583" s="1"/>
  <c r="I61" i="121"/>
  <c r="M51" i="121"/>
  <c r="Q232" i="1583"/>
  <c r="G251" i="121"/>
  <c r="G253" i="121" s="1"/>
  <c r="K254" i="121" s="1"/>
  <c r="G245" i="121"/>
  <c r="H240" i="121"/>
  <c r="R156" i="121"/>
  <c r="N153" i="121"/>
  <c r="N51" i="121"/>
  <c r="J214" i="1583"/>
  <c r="J56" i="121"/>
  <c r="J47" i="121"/>
  <c r="K56" i="121"/>
  <c r="M137" i="1583"/>
  <c r="M146" i="1583"/>
  <c r="Q140" i="1583"/>
  <c r="Q115" i="121"/>
  <c r="Q97" i="121"/>
  <c r="AJ277" i="121"/>
  <c r="AJ301" i="121" s="1"/>
  <c r="AJ319" i="121"/>
  <c r="AG389" i="121"/>
  <c r="AG388" i="121"/>
  <c r="AG387" i="121"/>
  <c r="AG386" i="121"/>
  <c r="AH377" i="121"/>
  <c r="H128" i="1583"/>
  <c r="H125" i="1583"/>
  <c r="H131" i="1583" s="1"/>
  <c r="P134" i="1554"/>
  <c r="AJ275" i="121"/>
  <c r="AJ299" i="121" s="1"/>
  <c r="AJ317" i="121"/>
  <c r="I134" i="1583"/>
  <c r="I91" i="121"/>
  <c r="I87" i="121"/>
  <c r="M88" i="121"/>
  <c r="I88" i="121"/>
  <c r="M81" i="121"/>
  <c r="I81" i="121"/>
  <c r="AJ276" i="121"/>
  <c r="AJ270" i="121"/>
  <c r="AJ318" i="121"/>
  <c r="G227" i="121"/>
  <c r="K232" i="121" s="1"/>
  <c r="H241" i="121"/>
  <c r="G246" i="121"/>
  <c r="H236" i="121"/>
  <c r="I307" i="121"/>
  <c r="I118" i="1554"/>
  <c r="AL152" i="1554"/>
  <c r="AJ171" i="121"/>
  <c r="AG40" i="1541"/>
  <c r="AG41" i="1541" s="1"/>
  <c r="X23" i="1541"/>
  <c r="AI270" i="121"/>
  <c r="AI318" i="121"/>
  <c r="AI276" i="121"/>
  <c r="Q317" i="1554"/>
  <c r="R317" i="1554" s="1"/>
  <c r="P319" i="1554"/>
  <c r="AF83" i="1541"/>
  <c r="AF141" i="1541" s="1"/>
  <c r="AF145" i="1541" s="1"/>
  <c r="K277" i="121"/>
  <c r="K271" i="121"/>
  <c r="K319" i="121"/>
  <c r="AI265" i="121"/>
  <c r="O271" i="121"/>
  <c r="U69" i="1541"/>
  <c r="AA70" i="1541" s="1"/>
  <c r="U76" i="1541"/>
  <c r="U77" i="1541" s="1"/>
  <c r="U68" i="1541"/>
  <c r="AG34" i="1541"/>
  <c r="K262" i="121"/>
  <c r="K9" i="121"/>
  <c r="K84" i="121" s="1"/>
  <c r="K115" i="1554"/>
  <c r="K150" i="121"/>
  <c r="X205" i="1541"/>
  <c r="X202" i="1541"/>
  <c r="AC198" i="1541"/>
  <c r="AC204" i="1541" s="1"/>
  <c r="AD105" i="1541"/>
  <c r="AJ359" i="121"/>
  <c r="AH209" i="121"/>
  <c r="AH211" i="121" s="1"/>
  <c r="G211" i="121"/>
  <c r="G171" i="121"/>
  <c r="K157" i="121"/>
  <c r="J91" i="121"/>
  <c r="N81" i="121"/>
  <c r="J134" i="1583"/>
  <c r="G214" i="1583"/>
  <c r="G220" i="1583" s="1"/>
  <c r="K51" i="121"/>
  <c r="G47" i="121"/>
  <c r="G61" i="121"/>
  <c r="L153" i="121"/>
  <c r="G116" i="121"/>
  <c r="AH105" i="121"/>
  <c r="E35" i="1807" s="1"/>
  <c r="N275" i="121"/>
  <c r="N317" i="121"/>
  <c r="J307" i="121"/>
  <c r="J118" i="1554"/>
  <c r="G42" i="1554"/>
  <c r="G44" i="1554" s="1"/>
  <c r="G51" i="1554" s="1"/>
  <c r="L316" i="121"/>
  <c r="L274" i="121"/>
  <c r="K20" i="121"/>
  <c r="G398" i="121"/>
  <c r="L66" i="1541"/>
  <c r="L68" i="1541" s="1"/>
  <c r="J76" i="1541"/>
  <c r="J69" i="1541"/>
  <c r="J68" i="1541"/>
  <c r="O257" i="121"/>
  <c r="J10" i="121"/>
  <c r="J151" i="121"/>
  <c r="J263" i="121"/>
  <c r="N269" i="121" s="1"/>
  <c r="N104" i="1554"/>
  <c r="AL42" i="1554"/>
  <c r="AL44" i="1554" s="1"/>
  <c r="AL51" i="1554" s="1"/>
  <c r="L137" i="1583"/>
  <c r="L167" i="1583" s="1"/>
  <c r="AL29" i="1541"/>
  <c r="H56" i="121"/>
  <c r="AJ78" i="1554"/>
  <c r="AJ283" i="1554" s="1"/>
  <c r="H271" i="121"/>
  <c r="L271" i="121"/>
  <c r="E91" i="121"/>
  <c r="E87" i="121"/>
  <c r="E134" i="1583"/>
  <c r="L134" i="1554"/>
  <c r="E58" i="155"/>
  <c r="E58" i="1711"/>
  <c r="AH128" i="121"/>
  <c r="AH157" i="1810" s="1"/>
  <c r="AH159" i="1810" s="1"/>
  <c r="E52" i="1538"/>
  <c r="E52" i="1535"/>
  <c r="E55" i="1712"/>
  <c r="H9" i="121"/>
  <c r="L19" i="121" s="1"/>
  <c r="H262" i="121"/>
  <c r="L268" i="121" s="1"/>
  <c r="H150" i="121"/>
  <c r="L156" i="121" s="1"/>
  <c r="L103" i="1554"/>
  <c r="G97" i="1554"/>
  <c r="E118" i="1554"/>
  <c r="E307" i="121"/>
  <c r="AD188" i="1541"/>
  <c r="R179" i="1541"/>
  <c r="AA67" i="1541"/>
  <c r="X167" i="1541"/>
  <c r="W10" i="1541"/>
  <c r="AK277" i="1554"/>
  <c r="AM21" i="1541"/>
  <c r="AM22" i="1541"/>
  <c r="P277" i="1554"/>
  <c r="P278" i="1554"/>
  <c r="P294" i="1554"/>
  <c r="Q278" i="1554"/>
  <c r="N28" i="1554"/>
  <c r="N31" i="1554" s="1"/>
  <c r="D50" i="1538"/>
  <c r="D50" i="1535"/>
  <c r="D53" i="1712"/>
  <c r="D56" i="1711"/>
  <c r="D56" i="155"/>
  <c r="R118" i="1554"/>
  <c r="R307" i="121"/>
  <c r="V313" i="121" s="1"/>
  <c r="U62" i="121"/>
  <c r="N28" i="121"/>
  <c r="N21" i="121"/>
  <c r="H220" i="1583"/>
  <c r="AH319" i="121"/>
  <c r="AH277" i="121"/>
  <c r="I237" i="121"/>
  <c r="I242" i="121"/>
  <c r="I247" i="121"/>
  <c r="O277" i="1554"/>
  <c r="AJ28" i="1554"/>
  <c r="AJ31" i="1554" s="1"/>
  <c r="AH110" i="1541"/>
  <c r="O232" i="121"/>
  <c r="K247" i="121"/>
  <c r="I153" i="121"/>
  <c r="I159" i="121" s="1"/>
  <c r="I163" i="121"/>
  <c r="O283" i="1554"/>
  <c r="AO47" i="1541"/>
  <c r="AP47" i="1541" s="1"/>
  <c r="N77" i="1541"/>
  <c r="P134" i="1583"/>
  <c r="P88" i="121"/>
  <c r="P81" i="121"/>
  <c r="T81" i="121"/>
  <c r="P87" i="121"/>
  <c r="T88" i="121"/>
  <c r="P91" i="121"/>
  <c r="AM186" i="1541"/>
  <c r="AM175" i="1541"/>
  <c r="AJ123" i="1554"/>
  <c r="AK131" i="1554"/>
  <c r="AI35" i="121" s="1"/>
  <c r="J362" i="1554"/>
  <c r="J134" i="121"/>
  <c r="T257" i="121"/>
  <c r="R75" i="1541"/>
  <c r="R164" i="1541"/>
  <c r="G23" i="1619"/>
  <c r="K23" i="1619"/>
  <c r="Q176" i="121"/>
  <c r="Q27" i="121" s="1"/>
  <c r="M173" i="121"/>
  <c r="I255" i="121"/>
  <c r="I257" i="121"/>
  <c r="I256" i="121"/>
  <c r="AF121" i="1541"/>
  <c r="AF181" i="1541"/>
  <c r="AF180" i="1541" s="1"/>
  <c r="AF187" i="1541" s="1"/>
  <c r="Q10" i="1712"/>
  <c r="Q12" i="1712" s="1"/>
  <c r="Q11" i="1712"/>
  <c r="R9" i="1712"/>
  <c r="K134" i="1583"/>
  <c r="K81" i="121"/>
  <c r="K91" i="121"/>
  <c r="K87" i="121"/>
  <c r="K88" i="121"/>
  <c r="AI75" i="121"/>
  <c r="AI49" i="1810" s="1"/>
  <c r="AM121" i="1541"/>
  <c r="AM181" i="1541"/>
  <c r="AM180" i="1541" s="1"/>
  <c r="AM187" i="1541" s="1"/>
  <c r="I252" i="1583"/>
  <c r="I237" i="1583"/>
  <c r="N182" i="1583"/>
  <c r="N115" i="121"/>
  <c r="T355" i="121"/>
  <c r="T359" i="121"/>
  <c r="T360" i="121" s="1"/>
  <c r="P42" i="1545"/>
  <c r="P51" i="1545"/>
  <c r="G249" i="1583"/>
  <c r="AH133" i="121"/>
  <c r="AH148" i="1810" s="1"/>
  <c r="AH150" i="1810" s="1"/>
  <c r="AH73" i="1821" s="1"/>
  <c r="G124" i="121"/>
  <c r="L62" i="121"/>
  <c r="L57" i="121"/>
  <c r="Q10" i="1535"/>
  <c r="P12" i="1535"/>
  <c r="X41" i="1541"/>
  <c r="M161" i="1583"/>
  <c r="N319" i="1554"/>
  <c r="AK311" i="1554"/>
  <c r="R36" i="1541"/>
  <c r="X36" i="1541"/>
  <c r="O134" i="1583"/>
  <c r="AJ75" i="121"/>
  <c r="AJ49" i="1810" s="1"/>
  <c r="O87" i="121"/>
  <c r="O81" i="121"/>
  <c r="S81" i="121"/>
  <c r="O91" i="121"/>
  <c r="O88" i="121"/>
  <c r="S88" i="121"/>
  <c r="R202" i="1541"/>
  <c r="W139" i="1541"/>
  <c r="W162" i="1541" s="1"/>
  <c r="T237" i="121"/>
  <c r="T242" i="121"/>
  <c r="T247" i="121"/>
  <c r="T232" i="121"/>
  <c r="P10" i="1711"/>
  <c r="P76" i="1541"/>
  <c r="P77" i="1541" s="1"/>
  <c r="P68" i="1541"/>
  <c r="P67" i="1541"/>
  <c r="P69" i="1541"/>
  <c r="G44" i="1538"/>
  <c r="H42" i="1538" s="1"/>
  <c r="AD195" i="1583"/>
  <c r="AD171" i="1583"/>
  <c r="AD177" i="1583"/>
  <c r="AE171" i="1583"/>
  <c r="AC171" i="1541"/>
  <c r="AC10" i="1541" s="1"/>
  <c r="AC9" i="1541" s="1"/>
  <c r="AC8" i="1541" s="1"/>
  <c r="D80" i="1538"/>
  <c r="D80" i="1535"/>
  <c r="D84" i="1712"/>
  <c r="G143" i="121"/>
  <c r="D87" i="1711"/>
  <c r="E88" i="155"/>
  <c r="N253" i="1554"/>
  <c r="AK253" i="1554" s="1"/>
  <c r="AK252" i="1554"/>
  <c r="AI95" i="1821" s="1"/>
  <c r="AI94" i="1821" s="1"/>
  <c r="L319" i="121"/>
  <c r="L277" i="121"/>
  <c r="L254" i="121"/>
  <c r="L256" i="121"/>
  <c r="L257" i="121"/>
  <c r="L255" i="121"/>
  <c r="D52" i="1554"/>
  <c r="D53" i="1554" s="1"/>
  <c r="D56" i="1554" s="1"/>
  <c r="O76" i="1541"/>
  <c r="O77" i="1541" s="1"/>
  <c r="O68" i="1541"/>
  <c r="O67" i="1541"/>
  <c r="O69" i="1541"/>
  <c r="U67" i="1541"/>
  <c r="Q131" i="1554"/>
  <c r="Q35" i="121" s="1"/>
  <c r="AL125" i="1554"/>
  <c r="AL131" i="1554" s="1"/>
  <c r="AJ35" i="121" s="1"/>
  <c r="R317" i="121"/>
  <c r="R275" i="121"/>
  <c r="N254" i="121"/>
  <c r="O256" i="121"/>
  <c r="O255" i="121"/>
  <c r="L242" i="121"/>
  <c r="L247" i="121"/>
  <c r="L232" i="121"/>
  <c r="L237" i="121"/>
  <c r="M10" i="155"/>
  <c r="AK28" i="1554"/>
  <c r="AK31" i="1554" s="1"/>
  <c r="M278" i="1554"/>
  <c r="M277" i="1554"/>
  <c r="AB171" i="1541"/>
  <c r="O319" i="121"/>
  <c r="O277" i="121"/>
  <c r="AL193" i="1541"/>
  <c r="K249" i="1583"/>
  <c r="K124" i="121"/>
  <c r="G44" i="1535"/>
  <c r="H42" i="1535" s="1"/>
  <c r="F134" i="1583"/>
  <c r="F87" i="121"/>
  <c r="F91" i="121"/>
  <c r="J81" i="121"/>
  <c r="D134" i="1583"/>
  <c r="D91" i="121"/>
  <c r="D87" i="121"/>
  <c r="J255" i="121"/>
  <c r="J124" i="121"/>
  <c r="C134" i="1583"/>
  <c r="C87" i="121"/>
  <c r="C91" i="121"/>
  <c r="AL143" i="1541"/>
  <c r="AL82" i="1541"/>
  <c r="AM131" i="1541" s="1"/>
  <c r="AL85" i="1541"/>
  <c r="AM132" i="1541" s="1"/>
  <c r="AL39" i="1541"/>
  <c r="AL25" i="1541"/>
  <c r="AL142" i="1541"/>
  <c r="AL102" i="1541"/>
  <c r="AL16" i="1541"/>
  <c r="AI105" i="121"/>
  <c r="F35" i="1807" s="1"/>
  <c r="N116" i="121"/>
  <c r="H134" i="1583"/>
  <c r="H87" i="121"/>
  <c r="H81" i="121"/>
  <c r="L81" i="121"/>
  <c r="H91" i="121"/>
  <c r="H88" i="121"/>
  <c r="L88" i="121"/>
  <c r="K52" i="1554"/>
  <c r="K53" i="1554" s="1"/>
  <c r="K56" i="1554" s="1"/>
  <c r="D118" i="1554"/>
  <c r="D307" i="121"/>
  <c r="AD169" i="1541"/>
  <c r="G50" i="1583"/>
  <c r="G63" i="1583"/>
  <c r="H63" i="1583"/>
  <c r="T42" i="1545"/>
  <c r="T51" i="1545"/>
  <c r="L53" i="1554"/>
  <c r="L56" i="1554" s="1"/>
  <c r="T197" i="1583"/>
  <c r="C118" i="1554"/>
  <c r="C307" i="121"/>
  <c r="N328" i="1554"/>
  <c r="AO17" i="1541"/>
  <c r="AJ90" i="1541"/>
  <c r="AL90" i="1541"/>
  <c r="AM90" i="1541" s="1"/>
  <c r="AN90" i="1541" s="1"/>
  <c r="AO90" i="1541" s="1"/>
  <c r="AP90" i="1541" s="1"/>
  <c r="O237" i="1583"/>
  <c r="O252" i="1583"/>
  <c r="S232" i="121"/>
  <c r="S247" i="121"/>
  <c r="H118" i="1554"/>
  <c r="H307" i="121"/>
  <c r="M328" i="1554"/>
  <c r="M96" i="121"/>
  <c r="M94" i="1810" s="1"/>
  <c r="AK326" i="1554"/>
  <c r="T65" i="1541"/>
  <c r="T66" i="1541"/>
  <c r="X63" i="1541"/>
  <c r="X65" i="1541" s="1"/>
  <c r="O58" i="1712"/>
  <c r="J185" i="1583"/>
  <c r="J237" i="1583"/>
  <c r="Q51" i="1545"/>
  <c r="Q42" i="1545"/>
  <c r="AI112" i="1554"/>
  <c r="AG75" i="121"/>
  <c r="J52" i="1554"/>
  <c r="J53" i="1554" s="1"/>
  <c r="J56" i="1554" s="1"/>
  <c r="O214" i="1583"/>
  <c r="O51" i="121"/>
  <c r="O61" i="121"/>
  <c r="S51" i="121"/>
  <c r="AJ46" i="121"/>
  <c r="AK51" i="121" s="1"/>
  <c r="O47" i="121"/>
  <c r="O56" i="121"/>
  <c r="P56" i="121"/>
  <c r="P232" i="121"/>
  <c r="P247" i="121"/>
  <c r="P242" i="121"/>
  <c r="P237" i="121"/>
  <c r="AJ134" i="121"/>
  <c r="AJ74" i="1821" s="1"/>
  <c r="L117" i="121"/>
  <c r="L120" i="121"/>
  <c r="AI269" i="121"/>
  <c r="AI275" i="121"/>
  <c r="AI317" i="121"/>
  <c r="AJ269" i="121"/>
  <c r="AK42" i="121"/>
  <c r="AK41" i="121"/>
  <c r="K283" i="1554"/>
  <c r="AK78" i="1554"/>
  <c r="AK283" i="1554" s="1"/>
  <c r="AG96" i="1541"/>
  <c r="AG134" i="1541" s="1"/>
  <c r="AH195" i="1541"/>
  <c r="S253" i="121"/>
  <c r="AK42" i="1554"/>
  <c r="AK44" i="1554" s="1"/>
  <c r="AK51" i="1554" s="1"/>
  <c r="N61" i="1711"/>
  <c r="AI157" i="121"/>
  <c r="AI171" i="121"/>
  <c r="AJ157" i="121"/>
  <c r="AH11" i="121"/>
  <c r="K28" i="121"/>
  <c r="K21" i="121"/>
  <c r="AF175" i="1541"/>
  <c r="AF186" i="1541"/>
  <c r="AF136" i="1541"/>
  <c r="AG103" i="1541"/>
  <c r="AD91" i="1541"/>
  <c r="AF91" i="1541"/>
  <c r="AG91" i="1541" s="1"/>
  <c r="AH91" i="1541" s="1"/>
  <c r="AI91" i="1541" s="1"/>
  <c r="Q237" i="121"/>
  <c r="F118" i="1554"/>
  <c r="F307" i="121"/>
  <c r="AI225" i="121"/>
  <c r="AI211" i="121"/>
  <c r="AK47" i="121"/>
  <c r="H252" i="1583"/>
  <c r="H237" i="1583"/>
  <c r="H63" i="1712"/>
  <c r="N106" i="121"/>
  <c r="AL26" i="1554"/>
  <c r="O28" i="1554"/>
  <c r="O52" i="1554"/>
  <c r="O53" i="1554" s="1"/>
  <c r="O56" i="1554" s="1"/>
  <c r="U161" i="1541"/>
  <c r="V159" i="1541" s="1"/>
  <c r="M295" i="1554"/>
  <c r="M106" i="121"/>
  <c r="AB237" i="1583"/>
  <c r="AB252" i="1583"/>
  <c r="AK246" i="121"/>
  <c r="G134" i="1583"/>
  <c r="G91" i="121"/>
  <c r="AH75" i="121"/>
  <c r="AH49" i="1810" s="1"/>
  <c r="G88" i="121"/>
  <c r="G81" i="121"/>
  <c r="G87" i="121"/>
  <c r="K255" i="121"/>
  <c r="K256" i="121"/>
  <c r="K257" i="121"/>
  <c r="O254" i="121"/>
  <c r="AK307" i="121"/>
  <c r="G118" i="1554"/>
  <c r="G307" i="121"/>
  <c r="O237" i="121"/>
  <c r="O242" i="121"/>
  <c r="N99" i="121"/>
  <c r="K50" i="1583"/>
  <c r="T380" i="121"/>
  <c r="T381" i="121"/>
  <c r="T382" i="121"/>
  <c r="T383" i="121"/>
  <c r="M383" i="121"/>
  <c r="M382" i="121"/>
  <c r="M381" i="121"/>
  <c r="M380" i="121"/>
  <c r="AI741" i="1812"/>
  <c r="AI734" i="1812"/>
  <c r="AI727" i="1812"/>
  <c r="AI720" i="1812"/>
  <c r="BF741" i="1812"/>
  <c r="BF734" i="1812"/>
  <c r="BF727" i="1812"/>
  <c r="BF720" i="1812"/>
  <c r="AK278" i="1554" l="1"/>
  <c r="H66" i="1810"/>
  <c r="K66" i="1810"/>
  <c r="Q66" i="1810"/>
  <c r="G66" i="1810"/>
  <c r="D31" i="1821"/>
  <c r="D38" i="1821" s="1"/>
  <c r="D66" i="1810"/>
  <c r="E31" i="1821"/>
  <c r="E38" i="1821" s="1"/>
  <c r="E66" i="1810"/>
  <c r="I66" i="1810"/>
  <c r="W66" i="1810"/>
  <c r="S66" i="1810"/>
  <c r="F31" i="1821"/>
  <c r="F38" i="1821" s="1"/>
  <c r="F66" i="1810"/>
  <c r="U66" i="1810"/>
  <c r="C31" i="1821"/>
  <c r="C38" i="1821" s="1"/>
  <c r="C66" i="1810"/>
  <c r="X66" i="1810"/>
  <c r="T66" i="1810"/>
  <c r="L66" i="1810"/>
  <c r="O66" i="1810"/>
  <c r="V66" i="1810"/>
  <c r="AL278" i="1554"/>
  <c r="AJ294" i="1554"/>
  <c r="AJ277" i="1554"/>
  <c r="G96" i="1821"/>
  <c r="L96" i="1821"/>
  <c r="M96" i="1821"/>
  <c r="J97" i="1821"/>
  <c r="J96" i="1821" s="1"/>
  <c r="J87" i="1821"/>
  <c r="AH97" i="1821"/>
  <c r="AH96" i="1821" s="1"/>
  <c r="AH87" i="1821"/>
  <c r="I96" i="1821"/>
  <c r="N97" i="1821"/>
  <c r="N96" i="1821" s="1"/>
  <c r="N87" i="1821"/>
  <c r="AI97" i="1821"/>
  <c r="AI96" i="1821" s="1"/>
  <c r="AI87" i="1821"/>
  <c r="AG96" i="1821"/>
  <c r="W32" i="1821"/>
  <c r="Q19" i="1821"/>
  <c r="M31" i="1821"/>
  <c r="L38" i="1821"/>
  <c r="X32" i="1821"/>
  <c r="L33" i="1821"/>
  <c r="T33" i="1821"/>
  <c r="S33" i="1821"/>
  <c r="R46" i="1810"/>
  <c r="U16" i="1810"/>
  <c r="N56" i="1810"/>
  <c r="S56" i="1810"/>
  <c r="T56" i="1810"/>
  <c r="T16" i="1810"/>
  <c r="U26" i="1810"/>
  <c r="T46" i="1810"/>
  <c r="X16" i="1810"/>
  <c r="T101" i="1810"/>
  <c r="AI110" i="1810"/>
  <c r="T8" i="1821"/>
  <c r="T16" i="1821" s="1"/>
  <c r="S31" i="1810"/>
  <c r="S12" i="1821" s="1"/>
  <c r="V16" i="1810"/>
  <c r="R8" i="1821"/>
  <c r="R36" i="1821" s="1"/>
  <c r="T61" i="1810"/>
  <c r="AK110" i="1810"/>
  <c r="AJ110" i="1810"/>
  <c r="S8" i="1821"/>
  <c r="S36" i="1821" s="1"/>
  <c r="S61" i="1810"/>
  <c r="S16" i="1810"/>
  <c r="T26" i="1810"/>
  <c r="S76" i="1810"/>
  <c r="S26" i="1810"/>
  <c r="S101" i="1810"/>
  <c r="W16" i="1810"/>
  <c r="R31" i="1810"/>
  <c r="R12" i="1821" s="1"/>
  <c r="V131" i="1810"/>
  <c r="V139" i="1810" s="1"/>
  <c r="V52" i="1821"/>
  <c r="V55" i="1821"/>
  <c r="R26" i="1810"/>
  <c r="Q16" i="1810"/>
  <c r="Q26" i="1810"/>
  <c r="V115" i="1810"/>
  <c r="V110" i="1810"/>
  <c r="Q46" i="1810"/>
  <c r="Q8" i="1821"/>
  <c r="U21" i="1821" s="1"/>
  <c r="AH110" i="1810"/>
  <c r="Q61" i="1810"/>
  <c r="T406" i="121"/>
  <c r="T405" i="121"/>
  <c r="T404" i="121"/>
  <c r="T403" i="121"/>
  <c r="N403" i="121"/>
  <c r="N404" i="121"/>
  <c r="N405" i="121"/>
  <c r="N406" i="121"/>
  <c r="W125" i="1583"/>
  <c r="W131" i="1583" s="1"/>
  <c r="O414" i="121"/>
  <c r="O416" i="121" s="1"/>
  <c r="T62" i="1821"/>
  <c r="T70" i="1821" s="1"/>
  <c r="R15" i="1821"/>
  <c r="V15" i="1821"/>
  <c r="AI49" i="1821"/>
  <c r="F36" i="1809"/>
  <c r="Q71" i="1810"/>
  <c r="Q74" i="1810"/>
  <c r="Q79" i="1810"/>
  <c r="AG49" i="1821"/>
  <c r="D36" i="1809"/>
  <c r="D37" i="1809" s="1"/>
  <c r="U42" i="1821"/>
  <c r="U45" i="1821" s="1"/>
  <c r="U137" i="1810"/>
  <c r="U145" i="1810" s="1"/>
  <c r="U101" i="1810"/>
  <c r="H18" i="1821"/>
  <c r="H61" i="1810"/>
  <c r="H81" i="1810"/>
  <c r="L86" i="1810" s="1"/>
  <c r="AH49" i="1821"/>
  <c r="E36" i="1809"/>
  <c r="J68" i="1821"/>
  <c r="U20" i="1821"/>
  <c r="F8" i="1821"/>
  <c r="F36" i="1821" s="1"/>
  <c r="F26" i="1810"/>
  <c r="G26" i="1810"/>
  <c r="K18" i="1821"/>
  <c r="K31" i="1821" s="1"/>
  <c r="K38" i="1821" s="1"/>
  <c r="K61" i="1810"/>
  <c r="K81" i="1810"/>
  <c r="K56" i="1810"/>
  <c r="O16" i="1821"/>
  <c r="O15" i="1821"/>
  <c r="AH96" i="1810"/>
  <c r="P89" i="1810"/>
  <c r="P84" i="1810"/>
  <c r="P104" i="1810"/>
  <c r="T109" i="1810" s="1"/>
  <c r="N138" i="1810"/>
  <c r="N54" i="1821"/>
  <c r="N63" i="1821" s="1"/>
  <c r="AG49" i="1810"/>
  <c r="AH54" i="1810" s="1"/>
  <c r="V97" i="121"/>
  <c r="V94" i="1810"/>
  <c r="P68" i="1821"/>
  <c r="P36" i="1821"/>
  <c r="J18" i="1821"/>
  <c r="J81" i="1810"/>
  <c r="J56" i="1810"/>
  <c r="N42" i="1821"/>
  <c r="N137" i="1810"/>
  <c r="O18" i="1821"/>
  <c r="O56" i="1810"/>
  <c r="O81" i="1810"/>
  <c r="S86" i="1810" s="1"/>
  <c r="O61" i="1810"/>
  <c r="O62" i="1821"/>
  <c r="O70" i="1821" s="1"/>
  <c r="O43" i="1821"/>
  <c r="R104" i="1810"/>
  <c r="R89" i="1810"/>
  <c r="R84" i="1810"/>
  <c r="V84" i="1810"/>
  <c r="U106" i="1810"/>
  <c r="AJ99" i="1821"/>
  <c r="T114" i="1810"/>
  <c r="X109" i="1810"/>
  <c r="G104" i="1810"/>
  <c r="G114" i="1810" s="1"/>
  <c r="G89" i="1810"/>
  <c r="G84" i="1810"/>
  <c r="AI14" i="1821"/>
  <c r="AI41" i="1810"/>
  <c r="H68" i="1821"/>
  <c r="H36" i="1821"/>
  <c r="AG99" i="1821"/>
  <c r="I18" i="1821"/>
  <c r="I61" i="1810"/>
  <c r="I56" i="1810"/>
  <c r="I81" i="1810"/>
  <c r="M86" i="1810" s="1"/>
  <c r="AI35" i="1821"/>
  <c r="AI143" i="1810"/>
  <c r="O104" i="1810"/>
  <c r="O114" i="1810" s="1"/>
  <c r="O89" i="1810"/>
  <c r="O84" i="1810"/>
  <c r="L114" i="1810"/>
  <c r="L122" i="1810"/>
  <c r="L136" i="1810"/>
  <c r="L91" i="1810"/>
  <c r="L106" i="1810"/>
  <c r="AG71" i="1810"/>
  <c r="D23" i="1809" s="1"/>
  <c r="D48" i="1809" s="1"/>
  <c r="AG74" i="1810"/>
  <c r="K43" i="1821"/>
  <c r="K62" i="1821"/>
  <c r="K70" i="1821" s="1"/>
  <c r="G53" i="1809"/>
  <c r="W19" i="1821"/>
  <c r="H62" i="1821"/>
  <c r="H70" i="1821" s="1"/>
  <c r="H43" i="1821"/>
  <c r="AH99" i="1821"/>
  <c r="AJ54" i="1810"/>
  <c r="AJ51" i="1810"/>
  <c r="AG62" i="1821"/>
  <c r="AG70" i="1821" s="1"/>
  <c r="AG43" i="1821"/>
  <c r="AK8" i="1821"/>
  <c r="AH138" i="1810"/>
  <c r="AH54" i="1821"/>
  <c r="AH63" i="1821" s="1"/>
  <c r="X16" i="1821"/>
  <c r="X15" i="1821"/>
  <c r="W44" i="1810"/>
  <c r="W39" i="1810"/>
  <c r="W36" i="1810"/>
  <c r="G18" i="1821"/>
  <c r="G31" i="1821" s="1"/>
  <c r="G38" i="1821" s="1"/>
  <c r="G81" i="1810"/>
  <c r="G56" i="1810"/>
  <c r="G61" i="1810"/>
  <c r="L56" i="1810"/>
  <c r="U61" i="1821"/>
  <c r="U40" i="1821"/>
  <c r="U50" i="1821"/>
  <c r="Y39" i="1821"/>
  <c r="X100" i="1821"/>
  <c r="AJ14" i="1821"/>
  <c r="AJ41" i="1810"/>
  <c r="P16" i="1821"/>
  <c r="P15" i="1821"/>
  <c r="M56" i="1810"/>
  <c r="M68" i="1821"/>
  <c r="M36" i="1821"/>
  <c r="K68" i="1821"/>
  <c r="K36" i="1821"/>
  <c r="AK54" i="1810"/>
  <c r="P18" i="1821"/>
  <c r="P31" i="1821" s="1"/>
  <c r="P38" i="1821" s="1"/>
  <c r="P81" i="1810"/>
  <c r="P86" i="1810" s="1"/>
  <c r="P61" i="1810"/>
  <c r="P56" i="1810"/>
  <c r="I62" i="1821"/>
  <c r="I70" i="1821" s="1"/>
  <c r="I43" i="1821"/>
  <c r="AK71" i="1810"/>
  <c r="AK81" i="1810" s="1"/>
  <c r="AK74" i="1810"/>
  <c r="I68" i="1821"/>
  <c r="I36" i="1821"/>
  <c r="G138" i="1810"/>
  <c r="G54" i="1821"/>
  <c r="G63" i="1821" s="1"/>
  <c r="J104" i="1810"/>
  <c r="N109" i="1810" s="1"/>
  <c r="J84" i="1810"/>
  <c r="Y9" i="1821"/>
  <c r="V11" i="1821"/>
  <c r="U36" i="1821"/>
  <c r="H56" i="1810"/>
  <c r="D18" i="1821"/>
  <c r="D81" i="1810"/>
  <c r="D61" i="1810"/>
  <c r="I104" i="1810"/>
  <c r="I114" i="1810" s="1"/>
  <c r="I89" i="1810"/>
  <c r="I84" i="1810"/>
  <c r="Q42" i="1821"/>
  <c r="Q137" i="1810"/>
  <c r="Q101" i="1810"/>
  <c r="S114" i="1810"/>
  <c r="W109" i="1810"/>
  <c r="C18" i="1821"/>
  <c r="C61" i="1810"/>
  <c r="C81" i="1810"/>
  <c r="T122" i="1810"/>
  <c r="T106" i="1810"/>
  <c r="T136" i="1810"/>
  <c r="T91" i="1810"/>
  <c r="W160" i="1810"/>
  <c r="X86" i="1810"/>
  <c r="E18" i="1821"/>
  <c r="E81" i="1810"/>
  <c r="E61" i="1810"/>
  <c r="AH14" i="1821"/>
  <c r="AH41" i="1810"/>
  <c r="M136" i="1810"/>
  <c r="M122" i="1810"/>
  <c r="M91" i="1810"/>
  <c r="AK79" i="1810"/>
  <c r="M15" i="1821"/>
  <c r="M16" i="1821"/>
  <c r="AH79" i="1810"/>
  <c r="AH51" i="1810"/>
  <c r="AH134" i="121"/>
  <c r="AH74" i="1821" s="1"/>
  <c r="J74" i="1821"/>
  <c r="M99" i="1810"/>
  <c r="M96" i="1810"/>
  <c r="M106" i="1810" s="1"/>
  <c r="AI79" i="1810"/>
  <c r="AI51" i="1810"/>
  <c r="AI54" i="1810"/>
  <c r="N106" i="1810"/>
  <c r="N122" i="1810"/>
  <c r="N136" i="1810"/>
  <c r="Q15" i="1821"/>
  <c r="AH71" i="1810"/>
  <c r="L20" i="1821"/>
  <c r="S84" i="1810"/>
  <c r="G62" i="1821"/>
  <c r="G70" i="1821" s="1"/>
  <c r="G43" i="1821"/>
  <c r="R18" i="1821"/>
  <c r="R31" i="1821" s="1"/>
  <c r="R38" i="1821" s="1"/>
  <c r="R61" i="1810"/>
  <c r="R56" i="1810"/>
  <c r="R81" i="1810"/>
  <c r="V56" i="1810"/>
  <c r="X19" i="1821"/>
  <c r="AK14" i="1821"/>
  <c r="AK46" i="1810"/>
  <c r="AK41" i="1810"/>
  <c r="AK75" i="1821"/>
  <c r="F18" i="1821"/>
  <c r="F81" i="1810"/>
  <c r="F61" i="1810"/>
  <c r="M20" i="1821"/>
  <c r="L42" i="1821"/>
  <c r="L101" i="1810"/>
  <c r="L137" i="1810"/>
  <c r="L145" i="1810" s="1"/>
  <c r="AI99" i="1821"/>
  <c r="R99" i="1810"/>
  <c r="R96" i="1810"/>
  <c r="L36" i="1821"/>
  <c r="L68" i="1821"/>
  <c r="AI138" i="1810"/>
  <c r="AI54" i="1821"/>
  <c r="AI63" i="1821" s="1"/>
  <c r="H104" i="1810"/>
  <c r="H114" i="1810" s="1"/>
  <c r="H89" i="1810"/>
  <c r="H84" i="1810"/>
  <c r="M104" i="1810"/>
  <c r="Y21" i="1821"/>
  <c r="U130" i="1810"/>
  <c r="U124" i="1810"/>
  <c r="Y123" i="1810"/>
  <c r="P42" i="1821"/>
  <c r="P137" i="1810"/>
  <c r="P101" i="1810"/>
  <c r="W86" i="1810"/>
  <c r="S122" i="1810"/>
  <c r="S136" i="1810"/>
  <c r="S106" i="1810"/>
  <c r="S91" i="1810"/>
  <c r="V160" i="1810"/>
  <c r="K104" i="1810"/>
  <c r="K89" i="1810"/>
  <c r="K84" i="1810"/>
  <c r="N84" i="1810"/>
  <c r="AJ49" i="1821"/>
  <c r="G36" i="1809"/>
  <c r="AK18" i="1821"/>
  <c r="AK31" i="1821" s="1"/>
  <c r="AK61" i="1810"/>
  <c r="AL156" i="121"/>
  <c r="AM156" i="121"/>
  <c r="U176" i="1583"/>
  <c r="Y170" i="1583"/>
  <c r="U101" i="121"/>
  <c r="Y100" i="121"/>
  <c r="Y359" i="121"/>
  <c r="Y355" i="121"/>
  <c r="AB225" i="121"/>
  <c r="AC240" i="121" s="1"/>
  <c r="Y240" i="121"/>
  <c r="Y235" i="121"/>
  <c r="AB46" i="121"/>
  <c r="AB51" i="121" s="1"/>
  <c r="Y241" i="121"/>
  <c r="Y236" i="121"/>
  <c r="X280" i="121"/>
  <c r="Y292" i="121"/>
  <c r="Y286" i="121"/>
  <c r="AG78" i="1814"/>
  <c r="AG83" i="1814"/>
  <c r="AG85" i="1814" s="1"/>
  <c r="AG72" i="1814"/>
  <c r="AG93" i="1814"/>
  <c r="AH71" i="1814"/>
  <c r="AH73" i="1814"/>
  <c r="AG108" i="1814"/>
  <c r="F108" i="1814"/>
  <c r="X298" i="121"/>
  <c r="BF735" i="1812"/>
  <c r="BF733" i="1812"/>
  <c r="BF731" i="1812" s="1"/>
  <c r="BF410" i="1812" s="1"/>
  <c r="BF728" i="1812"/>
  <c r="BF726" i="1812"/>
  <c r="BF724" i="1812" s="1"/>
  <c r="BF409" i="1812" s="1"/>
  <c r="BF721" i="1812"/>
  <c r="BF719" i="1812"/>
  <c r="BF717" i="1812" s="1"/>
  <c r="BF408" i="1812" s="1"/>
  <c r="BF742" i="1812"/>
  <c r="BF740" i="1812"/>
  <c r="BF738" i="1812" s="1"/>
  <c r="BF412" i="1812" s="1"/>
  <c r="AJ745" i="1812"/>
  <c r="AJ227" i="1812"/>
  <c r="AJ3" i="1812"/>
  <c r="AJ715" i="1812" s="1"/>
  <c r="AK4" i="1812"/>
  <c r="AI742" i="1812"/>
  <c r="AI740" i="1812"/>
  <c r="AI738" i="1812" s="1"/>
  <c r="AI412" i="1812" s="1"/>
  <c r="AI735" i="1812"/>
  <c r="AI733" i="1812"/>
  <c r="AI731" i="1812" s="1"/>
  <c r="AI410" i="1812" s="1"/>
  <c r="AI726" i="1812"/>
  <c r="AI724" i="1812" s="1"/>
  <c r="AI409" i="1812" s="1"/>
  <c r="AI721" i="1812"/>
  <c r="AI719" i="1812"/>
  <c r="AI717" i="1812" s="1"/>
  <c r="AI408" i="1812" s="1"/>
  <c r="AI728" i="1812"/>
  <c r="AK56" i="121"/>
  <c r="W274" i="121"/>
  <c r="W280" i="121" s="1"/>
  <c r="AA268" i="121"/>
  <c r="AB126" i="121"/>
  <c r="R159" i="121"/>
  <c r="R400" i="121"/>
  <c r="X245" i="121"/>
  <c r="X251" i="121"/>
  <c r="X227" i="121"/>
  <c r="X230" i="121"/>
  <c r="V129" i="121"/>
  <c r="X129" i="121"/>
  <c r="X62" i="121"/>
  <c r="X52" i="121"/>
  <c r="X57" i="121"/>
  <c r="T101" i="121"/>
  <c r="X100" i="121"/>
  <c r="X246" i="121"/>
  <c r="X231" i="121"/>
  <c r="S167" i="1583"/>
  <c r="W173" i="1583" s="1"/>
  <c r="T206" i="1583"/>
  <c r="S149" i="1583"/>
  <c r="S131" i="1583"/>
  <c r="S44" i="1583"/>
  <c r="S50" i="1583"/>
  <c r="AK241" i="121"/>
  <c r="AK236" i="121"/>
  <c r="AJ227" i="121"/>
  <c r="S295" i="1554"/>
  <c r="AJ231" i="121"/>
  <c r="S176" i="1583"/>
  <c r="W170" i="1583"/>
  <c r="W225" i="121"/>
  <c r="AL45" i="121"/>
  <c r="W50" i="121"/>
  <c r="AL47" i="121"/>
  <c r="W129" i="121"/>
  <c r="W316" i="121"/>
  <c r="W84" i="121"/>
  <c r="W78" i="121"/>
  <c r="S101" i="121"/>
  <c r="W100" i="121"/>
  <c r="W69" i="1583"/>
  <c r="W50" i="1583"/>
  <c r="R143" i="1583"/>
  <c r="R85" i="121"/>
  <c r="V79" i="121"/>
  <c r="V298" i="121"/>
  <c r="V280" i="121"/>
  <c r="V292" i="121"/>
  <c r="V286" i="121"/>
  <c r="S194" i="1583"/>
  <c r="R84" i="121"/>
  <c r="V78" i="121"/>
  <c r="AK81" i="121"/>
  <c r="AK313" i="121"/>
  <c r="AK38" i="121"/>
  <c r="R167" i="1583"/>
  <c r="R179" i="1583" s="1"/>
  <c r="T176" i="1583"/>
  <c r="AB155" i="1583"/>
  <c r="AB161" i="1583" s="1"/>
  <c r="Z103" i="121"/>
  <c r="U354" i="1554"/>
  <c r="V353" i="1554" s="1"/>
  <c r="Q188" i="1583"/>
  <c r="D97" i="1808"/>
  <c r="D98" i="1808" s="1"/>
  <c r="D32" i="1808" s="1"/>
  <c r="N79" i="1808"/>
  <c r="M85" i="1808"/>
  <c r="O78" i="1808"/>
  <c r="N84" i="1808"/>
  <c r="F39" i="1809"/>
  <c r="F23" i="1809"/>
  <c r="F48" i="1809" s="1"/>
  <c r="E39" i="1809"/>
  <c r="H8" i="1809"/>
  <c r="R78" i="121"/>
  <c r="P72" i="1808"/>
  <c r="E60" i="1807"/>
  <c r="E36" i="1807" s="1"/>
  <c r="E53" i="1809"/>
  <c r="F60" i="1807"/>
  <c r="G36" i="1807" s="1"/>
  <c r="F53" i="1809"/>
  <c r="R97" i="121"/>
  <c r="M249" i="1583"/>
  <c r="M252" i="1583" s="1"/>
  <c r="AJ90" i="121"/>
  <c r="D93" i="1808"/>
  <c r="D29" i="1808" s="1"/>
  <c r="D121" i="1808"/>
  <c r="F121" i="1808" s="1"/>
  <c r="J242" i="121"/>
  <c r="N232" i="121"/>
  <c r="J237" i="121"/>
  <c r="K242" i="121"/>
  <c r="C77" i="1808"/>
  <c r="H33" i="1711"/>
  <c r="AM166" i="1554"/>
  <c r="S29" i="121"/>
  <c r="S19" i="1810" s="1"/>
  <c r="S21" i="1810" s="1"/>
  <c r="S10" i="1821" s="1"/>
  <c r="L378" i="121"/>
  <c r="L377" i="121" s="1"/>
  <c r="AL115" i="1554"/>
  <c r="AM103" i="1554"/>
  <c r="H33" i="1807"/>
  <c r="I9" i="1807"/>
  <c r="I10" i="1807" s="1"/>
  <c r="C60" i="1808" s="1"/>
  <c r="V352" i="1554"/>
  <c r="H17" i="1712"/>
  <c r="H19" i="1807"/>
  <c r="AF125" i="1583"/>
  <c r="Q386" i="121"/>
  <c r="Q388" i="121"/>
  <c r="Q387" i="121"/>
  <c r="Q389" i="121"/>
  <c r="AK398" i="121"/>
  <c r="R79" i="121"/>
  <c r="I313" i="121"/>
  <c r="M313" i="121"/>
  <c r="G313" i="121"/>
  <c r="K313" i="121"/>
  <c r="X355" i="121"/>
  <c r="N319" i="121"/>
  <c r="N313" i="121"/>
  <c r="J313" i="121"/>
  <c r="R313" i="121"/>
  <c r="H313" i="121"/>
  <c r="L313" i="121"/>
  <c r="Z347" i="121"/>
  <c r="Z349" i="121" s="1"/>
  <c r="AL349" i="121" s="1"/>
  <c r="AL347" i="121" s="1"/>
  <c r="AL335" i="121"/>
  <c r="AL333" i="121" s="1"/>
  <c r="S19" i="121"/>
  <c r="O84" i="121"/>
  <c r="T19" i="121"/>
  <c r="P84" i="121"/>
  <c r="R19" i="121"/>
  <c r="N84" i="121"/>
  <c r="V264" i="121"/>
  <c r="Z158" i="121"/>
  <c r="AK10" i="121"/>
  <c r="Z29" i="121"/>
  <c r="Z19" i="1810" s="1"/>
  <c r="AL165" i="121"/>
  <c r="AL398" i="121"/>
  <c r="W268" i="121"/>
  <c r="AL262" i="121"/>
  <c r="AK21" i="121"/>
  <c r="AL21" i="121"/>
  <c r="AL28" i="121"/>
  <c r="V94" i="121"/>
  <c r="W55" i="121"/>
  <c r="Z50" i="121"/>
  <c r="R397" i="121"/>
  <c r="R399" i="121" s="1"/>
  <c r="AF128" i="1583"/>
  <c r="AG31" i="1583"/>
  <c r="Q72" i="121"/>
  <c r="Q122" i="121" s="1"/>
  <c r="AJ122" i="121" s="1"/>
  <c r="G54" i="1807" s="1"/>
  <c r="Q152" i="1583"/>
  <c r="Q155" i="1583" s="1"/>
  <c r="Q91" i="121"/>
  <c r="U94" i="121" s="1"/>
  <c r="L118" i="121"/>
  <c r="L123" i="121" s="1"/>
  <c r="O278" i="1554"/>
  <c r="AJ125" i="1541"/>
  <c r="Q38" i="121"/>
  <c r="AL78" i="1554"/>
  <c r="AL283" i="1554" s="1"/>
  <c r="N278" i="1554"/>
  <c r="N294" i="1554"/>
  <c r="N295" i="1554" s="1"/>
  <c r="N277" i="121"/>
  <c r="N301" i="121" s="1"/>
  <c r="S35" i="121"/>
  <c r="T295" i="1554"/>
  <c r="AD214" i="1583"/>
  <c r="AD217" i="1583" s="1"/>
  <c r="AJ111" i="1541"/>
  <c r="AL111" i="1541" s="1"/>
  <c r="AM111" i="1541" s="1"/>
  <c r="AL77" i="1554"/>
  <c r="M19" i="121"/>
  <c r="AJ71" i="1541"/>
  <c r="AJ72" i="1541" s="1"/>
  <c r="AI47" i="121"/>
  <c r="AI72" i="1541"/>
  <c r="V171" i="121"/>
  <c r="AK171" i="121" s="1"/>
  <c r="AH149" i="1541"/>
  <c r="AH156" i="1541" s="1"/>
  <c r="L188" i="1583"/>
  <c r="K13" i="1806"/>
  <c r="L12" i="1806"/>
  <c r="T389" i="121"/>
  <c r="T388" i="121"/>
  <c r="T387" i="121"/>
  <c r="T386" i="121"/>
  <c r="AE235" i="1583"/>
  <c r="M62" i="121"/>
  <c r="U377" i="121"/>
  <c r="M274" i="121"/>
  <c r="M286" i="121" s="1"/>
  <c r="L237" i="1583"/>
  <c r="L243" i="1583" s="1"/>
  <c r="L194" i="1583"/>
  <c r="L206" i="1583" s="1"/>
  <c r="AF208" i="1583"/>
  <c r="AF202" i="1583"/>
  <c r="V208" i="1583"/>
  <c r="V202" i="1583"/>
  <c r="V207" i="1583"/>
  <c r="V201" i="1583"/>
  <c r="AD207" i="1583"/>
  <c r="AD201" i="1583"/>
  <c r="AE201" i="1583"/>
  <c r="AI163" i="121"/>
  <c r="AI165" i="121" s="1"/>
  <c r="Q19" i="121"/>
  <c r="P254" i="121"/>
  <c r="V151" i="121"/>
  <c r="AK151" i="121" s="1"/>
  <c r="AK157" i="121" s="1"/>
  <c r="H33" i="155"/>
  <c r="H57" i="121"/>
  <c r="I57" i="121"/>
  <c r="L52" i="121"/>
  <c r="AF34" i="1583"/>
  <c r="AF149" i="1583" s="1"/>
  <c r="AF146" i="1583"/>
  <c r="R242" i="121"/>
  <c r="M242" i="121"/>
  <c r="M232" i="121"/>
  <c r="N242" i="121"/>
  <c r="AI38" i="121"/>
  <c r="AJ38" i="121"/>
  <c r="L38" i="121"/>
  <c r="K36" i="121"/>
  <c r="K38" i="121"/>
  <c r="P38" i="121"/>
  <c r="R38" i="121"/>
  <c r="N237" i="121"/>
  <c r="M247" i="121"/>
  <c r="AK152" i="121"/>
  <c r="M163" i="121"/>
  <c r="M165" i="121" s="1"/>
  <c r="M167" i="121" s="1"/>
  <c r="M168" i="121" s="1"/>
  <c r="M26" i="121" s="1"/>
  <c r="R115" i="121"/>
  <c r="R118" i="121" s="1"/>
  <c r="V158" i="121"/>
  <c r="R237" i="121"/>
  <c r="R182" i="1583"/>
  <c r="R185" i="1583" s="1"/>
  <c r="S242" i="121"/>
  <c r="M237" i="121"/>
  <c r="V20" i="121"/>
  <c r="AK91" i="121"/>
  <c r="H20" i="1807" s="1"/>
  <c r="H19" i="155"/>
  <c r="H19" i="1711"/>
  <c r="Q156" i="121"/>
  <c r="M156" i="121"/>
  <c r="U295" i="1554"/>
  <c r="AI262" i="121"/>
  <c r="AI268" i="121" s="1"/>
  <c r="S237" i="121"/>
  <c r="AF164" i="1583"/>
  <c r="R99" i="121"/>
  <c r="R100" i="121" s="1"/>
  <c r="T191" i="1583"/>
  <c r="R247" i="121"/>
  <c r="U182" i="1583"/>
  <c r="U185" i="1583" s="1"/>
  <c r="U44" i="1583"/>
  <c r="V170" i="1583"/>
  <c r="Q268" i="121"/>
  <c r="M57" i="121"/>
  <c r="M268" i="121"/>
  <c r="AF50" i="1541"/>
  <c r="AF63" i="1541" s="1"/>
  <c r="AF74" i="1541"/>
  <c r="AF75" i="1541" s="1"/>
  <c r="N57" i="121"/>
  <c r="AF155" i="1583"/>
  <c r="AJ96" i="121"/>
  <c r="AJ94" i="1810" s="1"/>
  <c r="N162" i="1554"/>
  <c r="N164" i="1554" s="1"/>
  <c r="AK115" i="1554"/>
  <c r="AK103" i="1554"/>
  <c r="T254" i="121"/>
  <c r="AL126" i="1541"/>
  <c r="P255" i="121"/>
  <c r="AM43" i="1541"/>
  <c r="AM59" i="1541" s="1"/>
  <c r="Q149" i="1583"/>
  <c r="Q44" i="1583"/>
  <c r="R44" i="1583"/>
  <c r="V50" i="1583"/>
  <c r="T50" i="1583"/>
  <c r="T44" i="1583"/>
  <c r="Q131" i="1583"/>
  <c r="AF189" i="1583"/>
  <c r="AF195" i="1583"/>
  <c r="T131" i="1583"/>
  <c r="U179" i="1583"/>
  <c r="V179" i="1583"/>
  <c r="T209" i="1583"/>
  <c r="N167" i="1583"/>
  <c r="T179" i="1583"/>
  <c r="O316" i="121"/>
  <c r="AF37" i="1541"/>
  <c r="V114" i="121"/>
  <c r="V93" i="121"/>
  <c r="V92" i="121"/>
  <c r="S268" i="121"/>
  <c r="AF21" i="1541"/>
  <c r="V104" i="121"/>
  <c r="V295" i="1554" s="1"/>
  <c r="Q256" i="121"/>
  <c r="O268" i="121"/>
  <c r="AF35" i="1541"/>
  <c r="AF36" i="1541" s="1"/>
  <c r="T35" i="121"/>
  <c r="AF40" i="1541"/>
  <c r="AF41" i="1541" s="1"/>
  <c r="P256" i="121"/>
  <c r="Q255" i="121"/>
  <c r="AG51" i="1541"/>
  <c r="AG53" i="1541" s="1"/>
  <c r="AG120" i="1541" s="1"/>
  <c r="AH230" i="121"/>
  <c r="AJ262" i="121"/>
  <c r="AK268" i="121" s="1"/>
  <c r="AJ150" i="121"/>
  <c r="AK156" i="121" s="1"/>
  <c r="Q50" i="1583"/>
  <c r="AI51" i="121"/>
  <c r="AJ236" i="121"/>
  <c r="AH251" i="121"/>
  <c r="AH253" i="121" s="1"/>
  <c r="AH254" i="121" s="1"/>
  <c r="AH56" i="121"/>
  <c r="AL144" i="1554"/>
  <c r="Q63" i="1583"/>
  <c r="AH124" i="121"/>
  <c r="L69" i="1541"/>
  <c r="AJ241" i="121"/>
  <c r="AH240" i="121"/>
  <c r="AL103" i="1554"/>
  <c r="L354" i="1554"/>
  <c r="M353" i="1554" s="1"/>
  <c r="P52" i="121"/>
  <c r="AI56" i="121"/>
  <c r="Q57" i="121"/>
  <c r="P62" i="121"/>
  <c r="AI50" i="121"/>
  <c r="AI236" i="121"/>
  <c r="Q254" i="121"/>
  <c r="S156" i="121"/>
  <c r="N316" i="121"/>
  <c r="AH55" i="121"/>
  <c r="AH50" i="121"/>
  <c r="O19" i="121"/>
  <c r="V161" i="1541"/>
  <c r="W159" i="1541" s="1"/>
  <c r="AM23" i="1541"/>
  <c r="R268" i="121"/>
  <c r="O163" i="121"/>
  <c r="O165" i="121" s="1"/>
  <c r="O156" i="121"/>
  <c r="Q191" i="1583"/>
  <c r="N256" i="121"/>
  <c r="AJ9" i="121"/>
  <c r="AH241" i="121"/>
  <c r="M256" i="121"/>
  <c r="M257" i="121"/>
  <c r="AH236" i="121"/>
  <c r="AI231" i="121"/>
  <c r="AJ361" i="121"/>
  <c r="P185" i="1583"/>
  <c r="P191" i="1583" s="1"/>
  <c r="P188" i="1583"/>
  <c r="M254" i="121"/>
  <c r="W67" i="1541"/>
  <c r="Q76" i="1541"/>
  <c r="Q77" i="1541" s="1"/>
  <c r="Q68" i="1541"/>
  <c r="Q69" i="1541"/>
  <c r="Q67" i="1541"/>
  <c r="N255" i="121"/>
  <c r="R66" i="1541"/>
  <c r="R67" i="1541" s="1"/>
  <c r="AM35" i="1541"/>
  <c r="AM36" i="1541" s="1"/>
  <c r="AI241" i="121"/>
  <c r="AM40" i="1541"/>
  <c r="AM41" i="1541" s="1"/>
  <c r="AH231" i="121"/>
  <c r="AH47" i="121"/>
  <c r="AH57" i="121" s="1"/>
  <c r="R161" i="1583"/>
  <c r="R149" i="1583"/>
  <c r="R131" i="1583"/>
  <c r="AM37" i="1541"/>
  <c r="AJ53" i="1554"/>
  <c r="AJ56" i="1554" s="1"/>
  <c r="AH227" i="121"/>
  <c r="AH232" i="121" s="1"/>
  <c r="R63" i="1583"/>
  <c r="AE131" i="1583"/>
  <c r="AE128" i="1583"/>
  <c r="AF47" i="1583"/>
  <c r="R298" i="121"/>
  <c r="R292" i="121"/>
  <c r="S286" i="121"/>
  <c r="R286" i="121"/>
  <c r="S292" i="121"/>
  <c r="V115" i="121"/>
  <c r="AE232" i="1583"/>
  <c r="P163" i="121"/>
  <c r="P162" i="1554"/>
  <c r="P164" i="1554" s="1"/>
  <c r="M149" i="1583"/>
  <c r="Q143" i="1583"/>
  <c r="P153" i="121"/>
  <c r="T156" i="121"/>
  <c r="P156" i="121"/>
  <c r="K57" i="121"/>
  <c r="J57" i="121"/>
  <c r="N52" i="121"/>
  <c r="M52" i="121"/>
  <c r="I62" i="121"/>
  <c r="R280" i="121"/>
  <c r="N298" i="121"/>
  <c r="Q295" i="121"/>
  <c r="T283" i="121"/>
  <c r="Q289" i="121"/>
  <c r="P301" i="121"/>
  <c r="L149" i="1583"/>
  <c r="P19" i="121"/>
  <c r="M167" i="1583"/>
  <c r="M179" i="1583" s="1"/>
  <c r="G257" i="121"/>
  <c r="H255" i="121"/>
  <c r="H256" i="121"/>
  <c r="N165" i="121"/>
  <c r="R168" i="121"/>
  <c r="R26" i="121" s="1"/>
  <c r="F54" i="1538"/>
  <c r="G30" i="1538" s="1"/>
  <c r="F54" i="1535"/>
  <c r="G30" i="1535" s="1"/>
  <c r="F57" i="1712"/>
  <c r="G33" i="1712" s="1"/>
  <c r="F60" i="155"/>
  <c r="F60" i="1711"/>
  <c r="G36" i="1711" s="1"/>
  <c r="P70" i="1541"/>
  <c r="P316" i="121"/>
  <c r="T268" i="121"/>
  <c r="P274" i="121"/>
  <c r="P286" i="121" s="1"/>
  <c r="V225" i="121"/>
  <c r="L298" i="121"/>
  <c r="K301" i="121"/>
  <c r="AI9" i="121"/>
  <c r="AI84" i="121" s="1"/>
  <c r="I277" i="121"/>
  <c r="I319" i="121"/>
  <c r="G52" i="1554"/>
  <c r="G53" i="1554" s="1"/>
  <c r="G56" i="1554" s="1"/>
  <c r="J164" i="1583"/>
  <c r="J137" i="1583"/>
  <c r="N140" i="1583"/>
  <c r="K316" i="121"/>
  <c r="K274" i="121"/>
  <c r="K298" i="121" s="1"/>
  <c r="AG83" i="1541"/>
  <c r="AG141" i="1541" s="1"/>
  <c r="AH378" i="121"/>
  <c r="J277" i="121"/>
  <c r="K295" i="121" s="1"/>
  <c r="J319" i="121"/>
  <c r="J114" i="121"/>
  <c r="J104" i="121"/>
  <c r="N92" i="121"/>
  <c r="J99" i="121"/>
  <c r="N100" i="121" s="1"/>
  <c r="G247" i="121"/>
  <c r="H237" i="121"/>
  <c r="H242" i="121"/>
  <c r="N299" i="121"/>
  <c r="N287" i="121"/>
  <c r="O293" i="121"/>
  <c r="O287" i="121"/>
  <c r="N293" i="121"/>
  <c r="AJ282" i="121"/>
  <c r="AJ288" i="121" s="1"/>
  <c r="AI294" i="121"/>
  <c r="AI282" i="121"/>
  <c r="AI288" i="121" s="1"/>
  <c r="AI300" i="121"/>
  <c r="AH116" i="121"/>
  <c r="E35" i="155"/>
  <c r="E35" i="1711"/>
  <c r="E29" i="1538"/>
  <c r="E29" i="1535"/>
  <c r="E32" i="1712"/>
  <c r="AC214" i="1583"/>
  <c r="AC217" i="1583" s="1"/>
  <c r="I114" i="121"/>
  <c r="I93" i="121"/>
  <c r="I99" i="121"/>
  <c r="I101" i="121" s="1"/>
  <c r="I104" i="121"/>
  <c r="I92" i="121"/>
  <c r="I94" i="121"/>
  <c r="M92" i="121"/>
  <c r="M94" i="121"/>
  <c r="J171" i="121"/>
  <c r="N157" i="121"/>
  <c r="J77" i="1541"/>
  <c r="L76" i="1541"/>
  <c r="L77" i="1541" s="1"/>
  <c r="M140" i="1583"/>
  <c r="I164" i="1583"/>
  <c r="I146" i="1583"/>
  <c r="I137" i="1583"/>
  <c r="I140" i="1583"/>
  <c r="N20" i="121"/>
  <c r="N32" i="121"/>
  <c r="AF105" i="1541"/>
  <c r="AD198" i="1541"/>
  <c r="AD204" i="1541" s="1"/>
  <c r="E60" i="155"/>
  <c r="E60" i="1711"/>
  <c r="E54" i="1538"/>
  <c r="E54" i="1535"/>
  <c r="E57" i="1712"/>
  <c r="E319" i="121"/>
  <c r="E277" i="121"/>
  <c r="E301" i="121" s="1"/>
  <c r="AH10" i="121"/>
  <c r="AH85" i="121" s="1"/>
  <c r="AJ300" i="121"/>
  <c r="AJ294" i="121"/>
  <c r="AG397" i="121"/>
  <c r="AG399" i="121" s="1"/>
  <c r="AG29" i="121" s="1"/>
  <c r="P352" i="1554"/>
  <c r="P133" i="121"/>
  <c r="P148" i="1810" s="1"/>
  <c r="P150" i="1810" s="1"/>
  <c r="P73" i="1821" s="1"/>
  <c r="Q319" i="1554"/>
  <c r="V70" i="1541"/>
  <c r="K103" i="1554"/>
  <c r="G150" i="121"/>
  <c r="G262" i="121"/>
  <c r="K268" i="121" s="1"/>
  <c r="G9" i="121"/>
  <c r="J97" i="1554"/>
  <c r="E164" i="1583"/>
  <c r="E176" i="1583" s="1"/>
  <c r="E146" i="1583"/>
  <c r="E137" i="1583"/>
  <c r="AI319" i="121"/>
  <c r="AI271" i="121"/>
  <c r="AJ271" i="121"/>
  <c r="AI277" i="121"/>
  <c r="AI295" i="121" s="1"/>
  <c r="W11" i="1541"/>
  <c r="X10" i="1541"/>
  <c r="H163" i="121"/>
  <c r="L168" i="121" s="1"/>
  <c r="L26" i="121" s="1"/>
  <c r="H153" i="121"/>
  <c r="H159" i="121" s="1"/>
  <c r="E93" i="121"/>
  <c r="E104" i="121"/>
  <c r="G62" i="121"/>
  <c r="K52" i="121"/>
  <c r="K153" i="121"/>
  <c r="AI153" i="121" s="1"/>
  <c r="K163" i="121"/>
  <c r="K165" i="121" s="1"/>
  <c r="K167" i="121" s="1"/>
  <c r="AL154" i="1554"/>
  <c r="AJ173" i="121"/>
  <c r="AK52" i="1554"/>
  <c r="AK53" i="1554" s="1"/>
  <c r="AK56" i="1554" s="1"/>
  <c r="S256" i="121"/>
  <c r="S254" i="121"/>
  <c r="S255" i="121"/>
  <c r="S257" i="121"/>
  <c r="N185" i="1583"/>
  <c r="P137" i="1583"/>
  <c r="P140" i="1583"/>
  <c r="P164" i="1583"/>
  <c r="P146" i="1583"/>
  <c r="T140" i="1583"/>
  <c r="AL97" i="1541"/>
  <c r="AM193" i="1541"/>
  <c r="G277" i="121"/>
  <c r="G319" i="121"/>
  <c r="AL28" i="1554"/>
  <c r="O31" i="1554"/>
  <c r="AL31" i="1554" s="1"/>
  <c r="AK62" i="121"/>
  <c r="F319" i="121"/>
  <c r="F277" i="121"/>
  <c r="O52" i="121"/>
  <c r="O57" i="121"/>
  <c r="O62" i="121"/>
  <c r="AJ47" i="121"/>
  <c r="AK52" i="121" s="1"/>
  <c r="P57" i="121"/>
  <c r="S52" i="121"/>
  <c r="X66" i="1541"/>
  <c r="T76" i="1541"/>
  <c r="T68" i="1541"/>
  <c r="T67" i="1541"/>
  <c r="T69" i="1541"/>
  <c r="Z67" i="1541"/>
  <c r="D277" i="121"/>
  <c r="D319" i="121"/>
  <c r="H164" i="1583"/>
  <c r="H146" i="1583"/>
  <c r="H137" i="1583"/>
  <c r="H140" i="1583"/>
  <c r="L140" i="1583"/>
  <c r="I25" i="1711"/>
  <c r="I9" i="1711"/>
  <c r="I10" i="1711" s="1"/>
  <c r="J8" i="1711"/>
  <c r="M159" i="121"/>
  <c r="Q159" i="121"/>
  <c r="O92" i="121"/>
  <c r="O104" i="121"/>
  <c r="O114" i="121"/>
  <c r="O93" i="121"/>
  <c r="O94" i="121"/>
  <c r="O99" i="121"/>
  <c r="S94" i="121"/>
  <c r="P129" i="121"/>
  <c r="O129" i="121"/>
  <c r="S92" i="121"/>
  <c r="R10" i="1535"/>
  <c r="R12" i="1535" s="1"/>
  <c r="Q12" i="1535"/>
  <c r="AH91" i="121"/>
  <c r="E20" i="1807" s="1"/>
  <c r="AH81" i="121"/>
  <c r="AL52" i="1554"/>
  <c r="AL53" i="1554" s="1"/>
  <c r="AL56" i="1554" s="1"/>
  <c r="AJ56" i="121"/>
  <c r="AJ51" i="121"/>
  <c r="L197" i="1583"/>
  <c r="L179" i="1583"/>
  <c r="U60" i="121"/>
  <c r="U225" i="121"/>
  <c r="Y230" i="121" s="1"/>
  <c r="AK45" i="121"/>
  <c r="K164" i="1583"/>
  <c r="K146" i="1583"/>
  <c r="AD134" i="1583"/>
  <c r="K140" i="1583"/>
  <c r="K137" i="1583"/>
  <c r="R10" i="1712"/>
  <c r="R12" i="1712" s="1"/>
  <c r="R11" i="1712"/>
  <c r="S9" i="1712"/>
  <c r="AI195" i="1541"/>
  <c r="AI299" i="121"/>
  <c r="AI281" i="121"/>
  <c r="AI287" i="121" s="1"/>
  <c r="AJ281" i="121"/>
  <c r="AJ287" i="121" s="1"/>
  <c r="AI293" i="121"/>
  <c r="AJ293" i="121"/>
  <c r="E80" i="1538"/>
  <c r="E80" i="1535"/>
  <c r="H143" i="121"/>
  <c r="G93" i="121"/>
  <c r="G104" i="121"/>
  <c r="G114" i="121"/>
  <c r="J129" i="121"/>
  <c r="G92" i="121"/>
  <c r="G94" i="121"/>
  <c r="G99" i="121"/>
  <c r="G101" i="121" s="1"/>
  <c r="N107" i="121"/>
  <c r="N108" i="121" s="1"/>
  <c r="N110" i="121" s="1"/>
  <c r="AH21" i="121"/>
  <c r="AI21" i="121"/>
  <c r="R257" i="121"/>
  <c r="R254" i="121"/>
  <c r="R255" i="121"/>
  <c r="R256" i="121"/>
  <c r="C319" i="121"/>
  <c r="C277" i="121"/>
  <c r="C301" i="121" s="1"/>
  <c r="AL20" i="1541"/>
  <c r="E87" i="1711"/>
  <c r="AH301" i="121"/>
  <c r="F164" i="1583"/>
  <c r="F146" i="1583"/>
  <c r="F137" i="1583"/>
  <c r="J140" i="1583"/>
  <c r="G164" i="1583"/>
  <c r="G146" i="1583"/>
  <c r="AC134" i="1583"/>
  <c r="G137" i="1583"/>
  <c r="G140" i="1583"/>
  <c r="I240" i="1583"/>
  <c r="I246" i="1583" s="1"/>
  <c r="I243" i="1583"/>
  <c r="J240" i="1583"/>
  <c r="F29" i="1538"/>
  <c r="F32" i="1712"/>
  <c r="F29" i="1535"/>
  <c r="AI116" i="121"/>
  <c r="F35" i="155"/>
  <c r="F35" i="1711"/>
  <c r="AL186" i="1541"/>
  <c r="AL175" i="1541"/>
  <c r="D104" i="121"/>
  <c r="D93" i="121"/>
  <c r="G129" i="121"/>
  <c r="H44" i="1535"/>
  <c r="I44" i="1535"/>
  <c r="O243" i="1583"/>
  <c r="O240" i="1583"/>
  <c r="O246" i="1583" s="1"/>
  <c r="D164" i="1583"/>
  <c r="D176" i="1583" s="1"/>
  <c r="D146" i="1583"/>
  <c r="D137" i="1583"/>
  <c r="AB10" i="1541"/>
  <c r="AD171" i="1541"/>
  <c r="E84" i="1712"/>
  <c r="AJ81" i="121"/>
  <c r="T255" i="121"/>
  <c r="R319" i="121"/>
  <c r="R277" i="121"/>
  <c r="H243" i="1583"/>
  <c r="H240" i="1583"/>
  <c r="H246" i="1583" s="1"/>
  <c r="AG64" i="1541"/>
  <c r="AG66" i="1541" s="1"/>
  <c r="AL121" i="1541"/>
  <c r="AL181" i="1541"/>
  <c r="AL180" i="1541" s="1"/>
  <c r="AL187" i="1541" s="1"/>
  <c r="H44" i="1538"/>
  <c r="I44" i="1538"/>
  <c r="Q10" i="1711"/>
  <c r="S159" i="121"/>
  <c r="O137" i="1583"/>
  <c r="O140" i="1583"/>
  <c r="AE134" i="1583"/>
  <c r="O164" i="1583"/>
  <c r="O146" i="1583"/>
  <c r="S140" i="1583"/>
  <c r="AM71" i="1541"/>
  <c r="AL72" i="1541"/>
  <c r="C146" i="1583"/>
  <c r="C137" i="1583"/>
  <c r="AB134" i="1583"/>
  <c r="C164" i="1583"/>
  <c r="C176" i="1583" s="1"/>
  <c r="M182" i="1583"/>
  <c r="M97" i="121"/>
  <c r="M115" i="121"/>
  <c r="AI96" i="121"/>
  <c r="AI94" i="1810" s="1"/>
  <c r="M99" i="121"/>
  <c r="AJ91" i="1541"/>
  <c r="AL91" i="1541"/>
  <c r="AM91" i="1541" s="1"/>
  <c r="AN91" i="1541" s="1"/>
  <c r="AO91" i="1541" s="1"/>
  <c r="AP91" i="1541" s="1"/>
  <c r="O301" i="121"/>
  <c r="O283" i="121"/>
  <c r="S283" i="121"/>
  <c r="P289" i="121"/>
  <c r="P295" i="121"/>
  <c r="T256" i="121"/>
  <c r="T107" i="121"/>
  <c r="T108" i="121" s="1"/>
  <c r="T110" i="121" s="1"/>
  <c r="X111" i="121" s="1"/>
  <c r="N194" i="1583"/>
  <c r="H319" i="121"/>
  <c r="H277" i="121"/>
  <c r="L283" i="121" s="1"/>
  <c r="AL33" i="1541"/>
  <c r="K252" i="1583"/>
  <c r="K237" i="1583"/>
  <c r="O70" i="1541"/>
  <c r="U70" i="1541"/>
  <c r="AI91" i="121"/>
  <c r="F20" i="1807" s="1"/>
  <c r="AI81" i="121"/>
  <c r="R293" i="121"/>
  <c r="R281" i="121"/>
  <c r="R287" i="121"/>
  <c r="R299" i="121"/>
  <c r="S287" i="121"/>
  <c r="S293" i="121"/>
  <c r="P94" i="121"/>
  <c r="P114" i="121"/>
  <c r="P104" i="121"/>
  <c r="P92" i="121"/>
  <c r="P99" i="121"/>
  <c r="P93" i="121"/>
  <c r="T94" i="121"/>
  <c r="T92" i="121"/>
  <c r="L289" i="121"/>
  <c r="L295" i="121"/>
  <c r="L301" i="121"/>
  <c r="M289" i="121"/>
  <c r="M295" i="121"/>
  <c r="P283" i="121"/>
  <c r="W164" i="1541"/>
  <c r="W163" i="1541"/>
  <c r="X162" i="1541"/>
  <c r="G252" i="1583"/>
  <c r="G237" i="1583"/>
  <c r="AC249" i="1583"/>
  <c r="O61" i="1711"/>
  <c r="AG87" i="121"/>
  <c r="AG91" i="121"/>
  <c r="D20" i="1807" s="1"/>
  <c r="D61" i="1807" s="1"/>
  <c r="P58" i="1712"/>
  <c r="C93" i="121"/>
  <c r="C104" i="121"/>
  <c r="AC39" i="1541"/>
  <c r="AC82" i="1541"/>
  <c r="AD82" i="1541" s="1"/>
  <c r="AI8" i="1541"/>
  <c r="AC85" i="1541"/>
  <c r="AD85" i="1541" s="1"/>
  <c r="AC29" i="1541"/>
  <c r="AC102" i="1541"/>
  <c r="AC25" i="1541"/>
  <c r="AC96" i="1541"/>
  <c r="AF14" i="1541"/>
  <c r="AC142" i="1541"/>
  <c r="AC16" i="1541"/>
  <c r="AC97" i="1541" s="1"/>
  <c r="AC143" i="1541"/>
  <c r="N133" i="121"/>
  <c r="N148" i="1810" s="1"/>
  <c r="N150" i="1810" s="1"/>
  <c r="N73" i="1821" s="1"/>
  <c r="AK319" i="1554"/>
  <c r="K99" i="121"/>
  <c r="K104" i="121"/>
  <c r="K114" i="121"/>
  <c r="M129" i="121"/>
  <c r="K92" i="121"/>
  <c r="K93" i="121"/>
  <c r="K94" i="121"/>
  <c r="N129" i="121"/>
  <c r="L129" i="121"/>
  <c r="AI110" i="1541"/>
  <c r="S107" i="121"/>
  <c r="S108" i="121" s="1"/>
  <c r="S110" i="121" s="1"/>
  <c r="AI240" i="121"/>
  <c r="AI230" i="121"/>
  <c r="AI227" i="121"/>
  <c r="AI251" i="121"/>
  <c r="AI253" i="121" s="1"/>
  <c r="AI235" i="121"/>
  <c r="AJ235" i="121"/>
  <c r="AJ230" i="121"/>
  <c r="AJ240" i="121"/>
  <c r="AE214" i="1583"/>
  <c r="O220" i="1583"/>
  <c r="AK328" i="1554"/>
  <c r="M352" i="1554"/>
  <c r="AB243" i="1583"/>
  <c r="AB240" i="1583"/>
  <c r="AB246" i="1583" s="1"/>
  <c r="AH103" i="1541"/>
  <c r="AG136" i="1541"/>
  <c r="M107" i="121"/>
  <c r="M108" i="121" s="1"/>
  <c r="M110" i="121" s="1"/>
  <c r="AI118" i="1554"/>
  <c r="AG307" i="121"/>
  <c r="AH313" i="121" s="1"/>
  <c r="N352" i="1554"/>
  <c r="H104" i="121"/>
  <c r="H114" i="121"/>
  <c r="H92" i="121"/>
  <c r="H93" i="121"/>
  <c r="H94" i="121"/>
  <c r="H99" i="121"/>
  <c r="L92" i="121"/>
  <c r="L94" i="121"/>
  <c r="K129" i="121"/>
  <c r="F104" i="121"/>
  <c r="F93" i="121"/>
  <c r="J92" i="121"/>
  <c r="I129" i="121"/>
  <c r="H129" i="121"/>
  <c r="N10" i="155"/>
  <c r="O292" i="121"/>
  <c r="O286" i="121"/>
  <c r="O298" i="121"/>
  <c r="S280" i="121"/>
  <c r="W160" i="1541"/>
  <c r="L383" i="121"/>
  <c r="L382" i="121"/>
  <c r="L381" i="121"/>
  <c r="L380" i="121"/>
  <c r="AH380" i="121"/>
  <c r="AH381" i="121"/>
  <c r="AH382" i="121"/>
  <c r="AH383" i="121"/>
  <c r="AJ741" i="1812"/>
  <c r="AJ734" i="1812"/>
  <c r="AJ727" i="1812"/>
  <c r="AJ720" i="1812"/>
  <c r="V32" i="1821" l="1"/>
  <c r="R33" i="1821"/>
  <c r="R32" i="1821"/>
  <c r="K33" i="1821"/>
  <c r="T32" i="1821"/>
  <c r="P33" i="1821"/>
  <c r="N19" i="1821"/>
  <c r="J31" i="1821"/>
  <c r="M21" i="1821"/>
  <c r="I31" i="1821"/>
  <c r="M38" i="1821"/>
  <c r="M40" i="1821" s="1"/>
  <c r="Q32" i="1821"/>
  <c r="M33" i="1821"/>
  <c r="AK33" i="1821"/>
  <c r="L21" i="1821"/>
  <c r="H31" i="1821"/>
  <c r="G33" i="1821"/>
  <c r="P32" i="1821"/>
  <c r="K32" i="1821"/>
  <c r="S19" i="1821"/>
  <c r="O31" i="1821"/>
  <c r="X21" i="1821"/>
  <c r="U11" i="1821"/>
  <c r="T20" i="1821"/>
  <c r="T36" i="1821"/>
  <c r="U9" i="1821"/>
  <c r="T9" i="1821"/>
  <c r="T21" i="1821"/>
  <c r="T43" i="1821"/>
  <c r="X9" i="1821"/>
  <c r="S11" i="1821"/>
  <c r="R16" i="1821"/>
  <c r="W21" i="1821"/>
  <c r="R11" i="1821"/>
  <c r="V9" i="1821"/>
  <c r="Q9" i="1821"/>
  <c r="S20" i="1821"/>
  <c r="Q11" i="1821"/>
  <c r="S9" i="1821"/>
  <c r="S43" i="1821"/>
  <c r="W9" i="1821"/>
  <c r="T11" i="1821"/>
  <c r="S16" i="1821"/>
  <c r="O160" i="1810"/>
  <c r="V132" i="1810"/>
  <c r="P160" i="1810"/>
  <c r="Q20" i="1821"/>
  <c r="Q16" i="1821"/>
  <c r="Q21" i="1821"/>
  <c r="V56" i="1821"/>
  <c r="V64" i="1821" s="1"/>
  <c r="T86" i="1810"/>
  <c r="M403" i="121"/>
  <c r="M404" i="121"/>
  <c r="M405" i="121"/>
  <c r="M406" i="121"/>
  <c r="N414" i="121"/>
  <c r="L19" i="1821"/>
  <c r="G40" i="1809"/>
  <c r="T19" i="1821"/>
  <c r="T414" i="121"/>
  <c r="T416" i="121" s="1"/>
  <c r="T30" i="121" s="1"/>
  <c r="T29" i="1810" s="1"/>
  <c r="T31" i="1810" s="1"/>
  <c r="T12" i="1821" s="1"/>
  <c r="M116" i="1810"/>
  <c r="F20" i="1821"/>
  <c r="R86" i="1810"/>
  <c r="R106" i="1810"/>
  <c r="R91" i="1810"/>
  <c r="R136" i="1810"/>
  <c r="R122" i="1810"/>
  <c r="V86" i="1810"/>
  <c r="U160" i="1810"/>
  <c r="Q62" i="1821"/>
  <c r="Q43" i="1821"/>
  <c r="W14" i="1821"/>
  <c r="W46" i="1810"/>
  <c r="W41" i="1810"/>
  <c r="S50" i="1821"/>
  <c r="S61" i="1821"/>
  <c r="S45" i="1821"/>
  <c r="S40" i="1821"/>
  <c r="W39" i="1821"/>
  <c r="V100" i="1821"/>
  <c r="L124" i="1810"/>
  <c r="L130" i="1810"/>
  <c r="N145" i="1810"/>
  <c r="H136" i="1810"/>
  <c r="H86" i="1810"/>
  <c r="H122" i="1810"/>
  <c r="L123" i="1810" s="1"/>
  <c r="H91" i="1810"/>
  <c r="H106" i="1810"/>
  <c r="H116" i="1810" s="1"/>
  <c r="K160" i="1810"/>
  <c r="Q89" i="1810"/>
  <c r="Q104" i="1810"/>
  <c r="Q109" i="1810" s="1"/>
  <c r="Q84" i="1810"/>
  <c r="U84" i="1810"/>
  <c r="AJ96" i="1810"/>
  <c r="G29" i="1809" s="1"/>
  <c r="Z21" i="1810"/>
  <c r="Z10" i="1821" s="1"/>
  <c r="AL19" i="1810"/>
  <c r="AL21" i="1810" s="1"/>
  <c r="AL10" i="1821" s="1"/>
  <c r="G19" i="155"/>
  <c r="AJ69" i="1810"/>
  <c r="S124" i="1810"/>
  <c r="S130" i="1810"/>
  <c r="W123" i="1810"/>
  <c r="L62" i="1821"/>
  <c r="L70" i="1821" s="1"/>
  <c r="L43" i="1821"/>
  <c r="L40" i="1821"/>
  <c r="L45" i="1821"/>
  <c r="L61" i="1821"/>
  <c r="L50" i="1821"/>
  <c r="AK89" i="1810"/>
  <c r="C20" i="1821"/>
  <c r="S21" i="1821"/>
  <c r="AI68" i="1821"/>
  <c r="U116" i="1810"/>
  <c r="Y111" i="1810"/>
  <c r="N62" i="1821"/>
  <c r="N70" i="1821" s="1"/>
  <c r="P114" i="1810"/>
  <c r="P109" i="1810"/>
  <c r="K122" i="1810"/>
  <c r="K86" i="1810"/>
  <c r="K136" i="1810"/>
  <c r="K106" i="1810"/>
  <c r="K91" i="1810"/>
  <c r="N160" i="1810"/>
  <c r="AK56" i="1810"/>
  <c r="U131" i="1810"/>
  <c r="U139" i="1810" s="1"/>
  <c r="U140" i="1810" s="1"/>
  <c r="U144" i="1810" s="1"/>
  <c r="R42" i="1821"/>
  <c r="R137" i="1810"/>
  <c r="R101" i="1810"/>
  <c r="AI18" i="1821"/>
  <c r="AI31" i="1821" s="1"/>
  <c r="AI38" i="1821" s="1"/>
  <c r="AI56" i="1810"/>
  <c r="AI81" i="1810"/>
  <c r="F24" i="1809" s="1"/>
  <c r="P136" i="1810"/>
  <c r="P122" i="1810"/>
  <c r="T123" i="1810" s="1"/>
  <c r="P91" i="1810"/>
  <c r="P106" i="1810"/>
  <c r="T111" i="1810" s="1"/>
  <c r="AJ15" i="1821"/>
  <c r="L109" i="1810"/>
  <c r="I136" i="1810"/>
  <c r="I91" i="1810"/>
  <c r="I122" i="1810"/>
  <c r="M123" i="1810" s="1"/>
  <c r="I106" i="1810"/>
  <c r="I116" i="1810" s="1"/>
  <c r="I86" i="1810"/>
  <c r="L160" i="1810"/>
  <c r="V99" i="1810"/>
  <c r="V96" i="1810"/>
  <c r="V104" i="1810"/>
  <c r="H21" i="1821"/>
  <c r="H20" i="1821"/>
  <c r="H19" i="1821"/>
  <c r="Q35" i="1821"/>
  <c r="Q38" i="1821" s="1"/>
  <c r="Q76" i="1810"/>
  <c r="Q143" i="1810"/>
  <c r="Q81" i="1810"/>
  <c r="Q160" i="1810" s="1"/>
  <c r="T50" i="1821"/>
  <c r="T40" i="1821"/>
  <c r="T61" i="1821"/>
  <c r="T45" i="1821"/>
  <c r="W100" i="1821"/>
  <c r="X39" i="1821"/>
  <c r="AH15" i="1821"/>
  <c r="P20" i="1821"/>
  <c r="P21" i="1821"/>
  <c r="P19" i="1821"/>
  <c r="AG35" i="1821"/>
  <c r="AG143" i="1810"/>
  <c r="AG76" i="1810"/>
  <c r="O109" i="1810"/>
  <c r="K109" i="1810"/>
  <c r="K114" i="1810"/>
  <c r="M109" i="1810"/>
  <c r="M114" i="1810"/>
  <c r="M19" i="1821"/>
  <c r="AK16" i="1821"/>
  <c r="AK15" i="1821"/>
  <c r="R19" i="1821"/>
  <c r="R20" i="1821"/>
  <c r="V21" i="1821"/>
  <c r="V19" i="1821"/>
  <c r="S109" i="1810"/>
  <c r="AI15" i="1821"/>
  <c r="O106" i="1810"/>
  <c r="S111" i="1810" s="1"/>
  <c r="O86" i="1810"/>
  <c r="O91" i="1810"/>
  <c r="O122" i="1810"/>
  <c r="O136" i="1810"/>
  <c r="AG79" i="1810"/>
  <c r="AG51" i="1810"/>
  <c r="AG59" i="1810"/>
  <c r="L72" i="1808" s="1"/>
  <c r="L75" i="1808" s="1"/>
  <c r="K19" i="1821"/>
  <c r="K21" i="1821"/>
  <c r="K20" i="1821"/>
  <c r="AA103" i="121"/>
  <c r="AA119" i="1810" s="1"/>
  <c r="Z119" i="1810"/>
  <c r="AK136" i="1810"/>
  <c r="AK91" i="1810"/>
  <c r="AK122" i="1810"/>
  <c r="P145" i="1810"/>
  <c r="AI84" i="1810"/>
  <c r="AI104" i="1810"/>
  <c r="AH18" i="1821"/>
  <c r="AH31" i="1821" s="1"/>
  <c r="AH81" i="1810"/>
  <c r="E24" i="1809" s="1"/>
  <c r="T116" i="1810"/>
  <c r="X111" i="1810"/>
  <c r="D122" i="1810"/>
  <c r="D91" i="1810"/>
  <c r="G160" i="1810"/>
  <c r="AK143" i="1810"/>
  <c r="AK35" i="1821"/>
  <c r="AK38" i="1821" s="1"/>
  <c r="AK76" i="1810"/>
  <c r="L116" i="1810"/>
  <c r="AH42" i="1821"/>
  <c r="AH137" i="1810"/>
  <c r="AH145" i="1810" s="1"/>
  <c r="E51" i="1809" s="1"/>
  <c r="E29" i="1809"/>
  <c r="U43" i="1821"/>
  <c r="U62" i="1821"/>
  <c r="U70" i="1821" s="1"/>
  <c r="AK20" i="1821"/>
  <c r="P62" i="1821"/>
  <c r="P70" i="1821" s="1"/>
  <c r="P43" i="1821"/>
  <c r="AH35" i="1821"/>
  <c r="AH143" i="1810"/>
  <c r="E23" i="1809"/>
  <c r="E48" i="1809" s="1"/>
  <c r="M42" i="1821"/>
  <c r="M101" i="1810"/>
  <c r="M137" i="1810"/>
  <c r="M145" i="1810" s="1"/>
  <c r="AH104" i="1810"/>
  <c r="E91" i="1810"/>
  <c r="E122" i="1810"/>
  <c r="H160" i="1810"/>
  <c r="T124" i="1810"/>
  <c r="T130" i="1810"/>
  <c r="X123" i="1810"/>
  <c r="D20" i="1821"/>
  <c r="U47" i="1821"/>
  <c r="Y46" i="1821"/>
  <c r="G122" i="1810"/>
  <c r="G91" i="1810"/>
  <c r="G106" i="1810"/>
  <c r="G116" i="1810" s="1"/>
  <c r="G136" i="1810"/>
  <c r="G86" i="1810"/>
  <c r="J160" i="1810"/>
  <c r="AJ18" i="1821"/>
  <c r="AJ31" i="1821" s="1"/>
  <c r="AK32" i="1821" s="1"/>
  <c r="AJ56" i="1810"/>
  <c r="I21" i="1821"/>
  <c r="I19" i="1821"/>
  <c r="I20" i="1821"/>
  <c r="R114" i="1810"/>
  <c r="R109" i="1810"/>
  <c r="O20" i="1821"/>
  <c r="O21" i="1821"/>
  <c r="O19" i="1821"/>
  <c r="N86" i="1810"/>
  <c r="J86" i="1810"/>
  <c r="J136" i="1810"/>
  <c r="J106" i="1810"/>
  <c r="N111" i="1810" s="1"/>
  <c r="J122" i="1810"/>
  <c r="M160" i="1810"/>
  <c r="AI96" i="1810"/>
  <c r="AG19" i="1810"/>
  <c r="AG21" i="1810" s="1"/>
  <c r="AG10" i="1821" s="1"/>
  <c r="S116" i="1810"/>
  <c r="W111" i="1810"/>
  <c r="N45" i="1821"/>
  <c r="N61" i="1821"/>
  <c r="N50" i="1821"/>
  <c r="F122" i="1810"/>
  <c r="F91" i="1810"/>
  <c r="I160" i="1810"/>
  <c r="N130" i="1810"/>
  <c r="M124" i="1810"/>
  <c r="M130" i="1810"/>
  <c r="E20" i="1821"/>
  <c r="C91" i="1810"/>
  <c r="C122" i="1810"/>
  <c r="U52" i="1821"/>
  <c r="U55" i="1821"/>
  <c r="Y51" i="1821"/>
  <c r="G20" i="1821"/>
  <c r="G19" i="1821"/>
  <c r="G21" i="1821"/>
  <c r="J19" i="1821"/>
  <c r="F11" i="1821"/>
  <c r="G11" i="1821"/>
  <c r="AL268" i="121"/>
  <c r="AM268" i="121"/>
  <c r="H23" i="1809"/>
  <c r="H48" i="1809" s="1"/>
  <c r="AB45" i="121"/>
  <c r="AB50" i="121" s="1"/>
  <c r="AB230" i="121"/>
  <c r="AC235" i="121"/>
  <c r="AB251" i="121"/>
  <c r="AB231" i="121"/>
  <c r="AC236" i="121"/>
  <c r="AC241" i="121"/>
  <c r="AB227" i="121"/>
  <c r="AB232" i="121" s="1"/>
  <c r="Y237" i="121"/>
  <c r="Y242" i="121"/>
  <c r="AL162" i="1554"/>
  <c r="AL164" i="1554" s="1"/>
  <c r="AL166" i="1554" s="1"/>
  <c r="AJ29" i="121" s="1"/>
  <c r="AJ19" i="1810" s="1"/>
  <c r="AJ133" i="1814"/>
  <c r="AK138" i="1814" s="1"/>
  <c r="AG86" i="1814"/>
  <c r="AG87" i="1814" s="1"/>
  <c r="AG80" i="1814"/>
  <c r="AH79" i="1814"/>
  <c r="AJ719" i="1812"/>
  <c r="AJ717" i="1812" s="1"/>
  <c r="AJ408" i="1812" s="1"/>
  <c r="AJ740" i="1812"/>
  <c r="AJ738" i="1812" s="1"/>
  <c r="AJ412" i="1812" s="1"/>
  <c r="AJ742" i="1812"/>
  <c r="AK745" i="1812"/>
  <c r="AK3" i="1812"/>
  <c r="AK715" i="1812" s="1"/>
  <c r="AL4" i="1812"/>
  <c r="AJ721" i="1812"/>
  <c r="AJ733" i="1812"/>
  <c r="AJ731" i="1812" s="1"/>
  <c r="AJ410" i="1812" s="1"/>
  <c r="AJ735" i="1812"/>
  <c r="AJ726" i="1812"/>
  <c r="AJ724" i="1812" s="1"/>
  <c r="AJ409" i="1812" s="1"/>
  <c r="AJ728" i="1812"/>
  <c r="X292" i="121"/>
  <c r="X286" i="121"/>
  <c r="W298" i="121"/>
  <c r="W292" i="121"/>
  <c r="W286" i="121"/>
  <c r="AK57" i="121"/>
  <c r="AK60" i="121"/>
  <c r="AK50" i="121"/>
  <c r="AK55" i="121"/>
  <c r="AL52" i="121"/>
  <c r="AL57" i="121"/>
  <c r="AL55" i="121"/>
  <c r="AL50" i="121"/>
  <c r="X240" i="121"/>
  <c r="AA225" i="121"/>
  <c r="AM225" i="121" s="1"/>
  <c r="AC126" i="121"/>
  <c r="AC56" i="121"/>
  <c r="S197" i="1583"/>
  <c r="W203" i="1583" s="1"/>
  <c r="S179" i="1583"/>
  <c r="AF167" i="1583"/>
  <c r="AF179" i="1583" s="1"/>
  <c r="T159" i="121"/>
  <c r="T400" i="121"/>
  <c r="AI159" i="121"/>
  <c r="AJ400" i="121"/>
  <c r="X235" i="121"/>
  <c r="X232" i="121"/>
  <c r="X247" i="121"/>
  <c r="S206" i="1583"/>
  <c r="W200" i="1583"/>
  <c r="W226" i="121"/>
  <c r="AM226" i="121" s="1"/>
  <c r="AL46" i="121"/>
  <c r="W56" i="121"/>
  <c r="W51" i="121"/>
  <c r="W235" i="121"/>
  <c r="W251" i="121"/>
  <c r="W240" i="121"/>
  <c r="W230" i="121"/>
  <c r="W245" i="121"/>
  <c r="AL225" i="121"/>
  <c r="V173" i="1583"/>
  <c r="R173" i="1583"/>
  <c r="AK20" i="121"/>
  <c r="AK85" i="121"/>
  <c r="V276" i="121"/>
  <c r="V318" i="121"/>
  <c r="AL103" i="121"/>
  <c r="I32" i="155" s="1"/>
  <c r="K378" i="121"/>
  <c r="K377" i="121" s="1"/>
  <c r="AJ91" i="121"/>
  <c r="G20" i="1807" s="1"/>
  <c r="H21" i="1807" s="1"/>
  <c r="F36" i="1807"/>
  <c r="G17" i="1712"/>
  <c r="F61" i="1807"/>
  <c r="G19" i="1711"/>
  <c r="P78" i="1808"/>
  <c r="P84" i="1808" s="1"/>
  <c r="Q84" i="1808" s="1"/>
  <c r="O84" i="1808"/>
  <c r="O79" i="1808"/>
  <c r="N85" i="1808"/>
  <c r="H121" i="1808"/>
  <c r="D119" i="1808"/>
  <c r="D42" i="1808" s="1"/>
  <c r="H37" i="1809"/>
  <c r="F40" i="1809"/>
  <c r="E40" i="1809"/>
  <c r="F25" i="1807"/>
  <c r="F28" i="1807" s="1"/>
  <c r="G19" i="1807"/>
  <c r="D122" i="1808"/>
  <c r="D94" i="1808"/>
  <c r="D100" i="1808"/>
  <c r="D33" i="1808" s="1"/>
  <c r="D10" i="1807"/>
  <c r="C55" i="1808"/>
  <c r="H55" i="1808" s="1"/>
  <c r="AF176" i="1583"/>
  <c r="C80" i="1808"/>
  <c r="S15" i="121"/>
  <c r="S160" i="121"/>
  <c r="S66" i="1583"/>
  <c r="P386" i="121"/>
  <c r="P387" i="121"/>
  <c r="P388" i="121"/>
  <c r="P389" i="121"/>
  <c r="Q397" i="121"/>
  <c r="Q399" i="121" s="1"/>
  <c r="E14" i="1807"/>
  <c r="E21" i="1807"/>
  <c r="E38" i="1807"/>
  <c r="E28" i="1807"/>
  <c r="AJ115" i="121"/>
  <c r="G25" i="1807"/>
  <c r="D22" i="1807"/>
  <c r="D14" i="1807"/>
  <c r="D16" i="1807" s="1"/>
  <c r="D38" i="1807"/>
  <c r="D28" i="1807"/>
  <c r="F14" i="1807"/>
  <c r="F21" i="1807"/>
  <c r="F38" i="1807"/>
  <c r="H22" i="1807"/>
  <c r="H14" i="1807"/>
  <c r="E50" i="1535"/>
  <c r="E56" i="1807"/>
  <c r="E61" i="1807"/>
  <c r="D10" i="1711"/>
  <c r="D10" i="155"/>
  <c r="Z354" i="121"/>
  <c r="AL354" i="121" s="1"/>
  <c r="AJ12" i="121"/>
  <c r="AJ9" i="1810" s="1"/>
  <c r="AJ84" i="121"/>
  <c r="U251" i="121"/>
  <c r="U253" i="121" s="1"/>
  <c r="W26" i="121"/>
  <c r="AL167" i="121"/>
  <c r="AL168" i="121" s="1"/>
  <c r="V270" i="121"/>
  <c r="Z270" i="121"/>
  <c r="Z230" i="121"/>
  <c r="Z160" i="121"/>
  <c r="AK158" i="121"/>
  <c r="AL158" i="121"/>
  <c r="O289" i="121"/>
  <c r="AE152" i="1583"/>
  <c r="AE158" i="1583" s="1"/>
  <c r="AJ72" i="121"/>
  <c r="Q92" i="121"/>
  <c r="T129" i="121"/>
  <c r="Q114" i="121"/>
  <c r="Q93" i="121"/>
  <c r="Q129" i="121"/>
  <c r="S129" i="121"/>
  <c r="Q94" i="121"/>
  <c r="R129" i="121"/>
  <c r="Q99" i="121"/>
  <c r="U100" i="121" s="1"/>
  <c r="Q104" i="121"/>
  <c r="Q106" i="121" s="1"/>
  <c r="U92" i="121"/>
  <c r="Q164" i="1583"/>
  <c r="U170" i="1583" s="1"/>
  <c r="Q158" i="1583"/>
  <c r="O295" i="121"/>
  <c r="N295" i="121"/>
  <c r="N289" i="121"/>
  <c r="AI149" i="1541"/>
  <c r="AJ149" i="1541" s="1"/>
  <c r="AJ156" i="1541" s="1"/>
  <c r="AL125" i="1541"/>
  <c r="V153" i="121"/>
  <c r="V263" i="121"/>
  <c r="N292" i="121"/>
  <c r="Q280" i="121"/>
  <c r="M298" i="121"/>
  <c r="M292" i="121"/>
  <c r="N286" i="121"/>
  <c r="E36" i="155"/>
  <c r="F36" i="155"/>
  <c r="AM126" i="1541"/>
  <c r="L240" i="1583"/>
  <c r="L246" i="1583" s="1"/>
  <c r="AK104" i="121"/>
  <c r="AM295" i="1554" s="1"/>
  <c r="V157" i="121"/>
  <c r="R194" i="1583"/>
  <c r="R200" i="1583" s="1"/>
  <c r="AG54" i="1541"/>
  <c r="AF51" i="1541"/>
  <c r="AF53" i="1541" s="1"/>
  <c r="AK263" i="121"/>
  <c r="M12" i="1806"/>
  <c r="L13" i="1806"/>
  <c r="T397" i="121"/>
  <c r="T399" i="121" s="1"/>
  <c r="U378" i="121"/>
  <c r="AF207" i="1583"/>
  <c r="AF201" i="1583"/>
  <c r="AF50" i="1583"/>
  <c r="AF131" i="1583"/>
  <c r="L209" i="1583"/>
  <c r="AE182" i="1583"/>
  <c r="AE188" i="1583" s="1"/>
  <c r="R188" i="1583"/>
  <c r="AK93" i="121"/>
  <c r="H20" i="155"/>
  <c r="AK264" i="121"/>
  <c r="AI316" i="121"/>
  <c r="AI274" i="121"/>
  <c r="AI292" i="121" s="1"/>
  <c r="AK114" i="121"/>
  <c r="H20" i="1711"/>
  <c r="R101" i="121"/>
  <c r="J19" i="1711"/>
  <c r="G19" i="1538"/>
  <c r="G22" i="1712"/>
  <c r="G19" i="1535"/>
  <c r="AJ156" i="121"/>
  <c r="AM50" i="1541"/>
  <c r="AM51" i="1541" s="1"/>
  <c r="AM53" i="1541" s="1"/>
  <c r="AM120" i="1541" s="1"/>
  <c r="G25" i="155"/>
  <c r="G25" i="1711"/>
  <c r="AN43" i="1541"/>
  <c r="AN59" i="1541" s="1"/>
  <c r="E56" i="155"/>
  <c r="AM74" i="1541"/>
  <c r="AM75" i="1541" s="1"/>
  <c r="M354" i="1554"/>
  <c r="N353" i="1554" s="1"/>
  <c r="N354" i="1554" s="1"/>
  <c r="O353" i="1554" s="1"/>
  <c r="O354" i="1554" s="1"/>
  <c r="P353" i="1554" s="1"/>
  <c r="P354" i="1554" s="1"/>
  <c r="Q353" i="1554" s="1"/>
  <c r="AJ316" i="121"/>
  <c r="AJ163" i="121"/>
  <c r="AJ268" i="121"/>
  <c r="AK19" i="121"/>
  <c r="E56" i="1711"/>
  <c r="E50" i="1538"/>
  <c r="E53" i="1712"/>
  <c r="AJ274" i="121"/>
  <c r="AL146" i="1554"/>
  <c r="U191" i="1583"/>
  <c r="U197" i="1583"/>
  <c r="AH256" i="121"/>
  <c r="AH255" i="121"/>
  <c r="R76" i="1541"/>
  <c r="R77" i="1541" s="1"/>
  <c r="S168" i="121"/>
  <c r="S26" i="121" s="1"/>
  <c r="P280" i="121"/>
  <c r="AJ19" i="121"/>
  <c r="AK96" i="121"/>
  <c r="AK94" i="1810" s="1"/>
  <c r="AK104" i="1810" s="1"/>
  <c r="V182" i="1583"/>
  <c r="U188" i="1583"/>
  <c r="U194" i="1583"/>
  <c r="Y200" i="1583" s="1"/>
  <c r="AI57" i="121"/>
  <c r="AH237" i="121"/>
  <c r="W70" i="1541"/>
  <c r="Q70" i="1541"/>
  <c r="AH242" i="121"/>
  <c r="R68" i="1541"/>
  <c r="R69" i="1541"/>
  <c r="R70" i="1541" s="1"/>
  <c r="AI52" i="121"/>
  <c r="P292" i="121"/>
  <c r="F30" i="1535"/>
  <c r="AJ153" i="121"/>
  <c r="AJ159" i="121" s="1"/>
  <c r="P159" i="121"/>
  <c r="AH52" i="121"/>
  <c r="V99" i="121"/>
  <c r="V101" i="121" s="1"/>
  <c r="F30" i="1538"/>
  <c r="AI283" i="121"/>
  <c r="AI289" i="121" s="1"/>
  <c r="N283" i="121"/>
  <c r="E30" i="1535"/>
  <c r="O280" i="121"/>
  <c r="F33" i="1712"/>
  <c r="L286" i="121"/>
  <c r="L292" i="121"/>
  <c r="P298" i="121"/>
  <c r="Q286" i="121"/>
  <c r="T280" i="121"/>
  <c r="Q292" i="121"/>
  <c r="T168" i="121"/>
  <c r="T26" i="121" s="1"/>
  <c r="P165" i="121"/>
  <c r="F36" i="1711"/>
  <c r="E30" i="1538"/>
  <c r="AH389" i="121"/>
  <c r="AH388" i="121"/>
  <c r="AH387" i="121"/>
  <c r="AH386" i="121"/>
  <c r="AG145" i="1541"/>
  <c r="E167" i="1583"/>
  <c r="E179" i="1583" s="1"/>
  <c r="E149" i="1583"/>
  <c r="AI377" i="121"/>
  <c r="M143" i="1583"/>
  <c r="I167" i="1583"/>
  <c r="I149" i="1583"/>
  <c r="I143" i="1583"/>
  <c r="AH83" i="1541"/>
  <c r="AH141" i="1541" s="1"/>
  <c r="J9" i="121"/>
  <c r="N19" i="121" s="1"/>
  <c r="J150" i="121"/>
  <c r="J262" i="121"/>
  <c r="N268" i="121" s="1"/>
  <c r="N103" i="1554"/>
  <c r="I176" i="1583"/>
  <c r="I194" i="1583"/>
  <c r="I206" i="1583" s="1"/>
  <c r="M170" i="1583"/>
  <c r="I170" i="1583"/>
  <c r="O159" i="121"/>
  <c r="K156" i="121"/>
  <c r="G163" i="121"/>
  <c r="K168" i="121" s="1"/>
  <c r="K26" i="121" s="1"/>
  <c r="G153" i="121"/>
  <c r="G159" i="121" s="1"/>
  <c r="N143" i="1583"/>
  <c r="J167" i="1583"/>
  <c r="V251" i="121"/>
  <c r="V227" i="121"/>
  <c r="V245" i="121"/>
  <c r="V230" i="121"/>
  <c r="AK352" i="1554"/>
  <c r="AK354" i="1554" s="1"/>
  <c r="AL353" i="1554" s="1"/>
  <c r="AL354" i="1554" s="1"/>
  <c r="AM353" i="1554" s="1"/>
  <c r="AE155" i="1583"/>
  <c r="AE161" i="1583" s="1"/>
  <c r="Q161" i="1583"/>
  <c r="Q167" i="1583"/>
  <c r="U173" i="1583" s="1"/>
  <c r="N170" i="1583"/>
  <c r="J194" i="1583"/>
  <c r="N200" i="1583" s="1"/>
  <c r="E33" i="1712"/>
  <c r="W13" i="1541"/>
  <c r="X11" i="1541"/>
  <c r="X13" i="1541" s="1"/>
  <c r="AI29" i="121" s="1"/>
  <c r="AI19" i="1810" s="1"/>
  <c r="AJ175" i="121"/>
  <c r="AJ176" i="121" s="1"/>
  <c r="AJ27" i="121"/>
  <c r="AJ295" i="121"/>
  <c r="AI301" i="121"/>
  <c r="AJ283" i="121"/>
  <c r="AJ289" i="121" s="1"/>
  <c r="Q133" i="121"/>
  <c r="Q148" i="1810" s="1"/>
  <c r="Q150" i="1810" s="1"/>
  <c r="Q73" i="1821" s="1"/>
  <c r="Q352" i="1554"/>
  <c r="Q318" i="1554"/>
  <c r="R318" i="1554" s="1"/>
  <c r="R319" i="1554" s="1"/>
  <c r="P249" i="1583"/>
  <c r="P124" i="121"/>
  <c r="E36" i="1711"/>
  <c r="J295" i="1554"/>
  <c r="J106" i="121"/>
  <c r="J107" i="121" s="1"/>
  <c r="AG105" i="1541"/>
  <c r="AF198" i="1541"/>
  <c r="AF204" i="1541" s="1"/>
  <c r="AF106" i="1541"/>
  <c r="AF113" i="1541" s="1"/>
  <c r="AI12" i="121"/>
  <c r="AI9" i="1810" s="1"/>
  <c r="AG139" i="1541"/>
  <c r="AG162" i="1541" s="1"/>
  <c r="L159" i="121"/>
  <c r="I106" i="121"/>
  <c r="I107" i="121" s="1"/>
  <c r="I295" i="1554"/>
  <c r="K19" i="121"/>
  <c r="I283" i="121"/>
  <c r="I301" i="121"/>
  <c r="M283" i="121"/>
  <c r="G51" i="1712"/>
  <c r="G48" i="1538"/>
  <c r="G54" i="1711"/>
  <c r="G54" i="155"/>
  <c r="G48" i="1535"/>
  <c r="AH20" i="121"/>
  <c r="AI20" i="121"/>
  <c r="J289" i="121"/>
  <c r="J301" i="121"/>
  <c r="J295" i="121"/>
  <c r="K289" i="121"/>
  <c r="AG69" i="1541"/>
  <c r="AG70" i="1541" s="1"/>
  <c r="AG76" i="1541"/>
  <c r="AG77" i="1541" s="1"/>
  <c r="AG68" i="1541"/>
  <c r="AG67" i="1541"/>
  <c r="AI256" i="121"/>
  <c r="AI254" i="121"/>
  <c r="AI255" i="121"/>
  <c r="AJ254" i="121"/>
  <c r="AJ255" i="121"/>
  <c r="AJ256" i="121"/>
  <c r="AI237" i="121"/>
  <c r="AI242" i="121"/>
  <c r="AI232" i="121"/>
  <c r="AJ232" i="121"/>
  <c r="AJ237" i="121"/>
  <c r="AJ242" i="121"/>
  <c r="T77" i="1541"/>
  <c r="X76" i="1541"/>
  <c r="X77" i="1541" s="1"/>
  <c r="AC33" i="1541"/>
  <c r="D167" i="1583"/>
  <c r="D179" i="1583" s="1"/>
  <c r="D149" i="1583"/>
  <c r="AD164" i="1583"/>
  <c r="AD137" i="1583"/>
  <c r="AD140" i="1583"/>
  <c r="O101" i="121"/>
  <c r="O100" i="121"/>
  <c r="S100" i="121"/>
  <c r="X68" i="1541"/>
  <c r="X67" i="1541"/>
  <c r="X69" i="1541"/>
  <c r="AM72" i="1541"/>
  <c r="AN71" i="1541"/>
  <c r="AD10" i="1541"/>
  <c r="AB9" i="1541"/>
  <c r="AB8" i="1541" s="1"/>
  <c r="AF132" i="1541"/>
  <c r="AC237" i="1583"/>
  <c r="AC252" i="1583"/>
  <c r="G283" i="121"/>
  <c r="G295" i="121"/>
  <c r="G301" i="121"/>
  <c r="G289" i="121"/>
  <c r="K283" i="121"/>
  <c r="P295" i="1554"/>
  <c r="P106" i="121"/>
  <c r="H101" i="121"/>
  <c r="L100" i="121"/>
  <c r="AE217" i="1583"/>
  <c r="AE223" i="1583" s="1"/>
  <c r="AE220" i="1583"/>
  <c r="AI85" i="1541"/>
  <c r="AJ85" i="1541" s="1"/>
  <c r="AI39" i="1541"/>
  <c r="AO8" i="1541"/>
  <c r="AI142" i="1541"/>
  <c r="AI82" i="1541"/>
  <c r="AJ82" i="1541" s="1"/>
  <c r="AI25" i="1541"/>
  <c r="AI102" i="1541"/>
  <c r="AI29" i="1541"/>
  <c r="AI143" i="1541"/>
  <c r="AI16" i="1541"/>
  <c r="AI97" i="1541" s="1"/>
  <c r="G243" i="1583"/>
  <c r="G240" i="1583"/>
  <c r="G246" i="1583" s="1"/>
  <c r="T117" i="121"/>
  <c r="T118" i="121" s="1"/>
  <c r="T120" i="121"/>
  <c r="K176" i="1583"/>
  <c r="K194" i="1583"/>
  <c r="K170" i="1583"/>
  <c r="H143" i="1583"/>
  <c r="H167" i="1583"/>
  <c r="H149" i="1583"/>
  <c r="L143" i="1583"/>
  <c r="AJ57" i="121"/>
  <c r="AJ52" i="121"/>
  <c r="P170" i="1583"/>
  <c r="P176" i="1583"/>
  <c r="P194" i="1583"/>
  <c r="T170" i="1583"/>
  <c r="S120" i="121"/>
  <c r="S117" i="121"/>
  <c r="S118" i="121" s="1"/>
  <c r="AF131" i="1541"/>
  <c r="AM125" i="1541"/>
  <c r="AN111" i="1541"/>
  <c r="AH136" i="1541"/>
  <c r="AI103" i="1541"/>
  <c r="AJ110" i="1541"/>
  <c r="K295" i="1554"/>
  <c r="K106" i="121"/>
  <c r="AC20" i="1541"/>
  <c r="X163" i="1541"/>
  <c r="X164" i="1541"/>
  <c r="AF64" i="1541"/>
  <c r="AF66" i="1541" s="1"/>
  <c r="O295" i="1554"/>
  <c r="O106" i="121"/>
  <c r="P149" i="1583"/>
  <c r="P143" i="1583"/>
  <c r="P167" i="1583"/>
  <c r="T143" i="1583"/>
  <c r="O10" i="155"/>
  <c r="K100" i="121"/>
  <c r="K101" i="121"/>
  <c r="K240" i="1583"/>
  <c r="K246" i="1583" s="1"/>
  <c r="K243" i="1583"/>
  <c r="AB164" i="1583"/>
  <c r="AB146" i="1583"/>
  <c r="AB137" i="1583"/>
  <c r="O170" i="1583"/>
  <c r="O176" i="1583"/>
  <c r="O194" i="1583"/>
  <c r="S170" i="1583"/>
  <c r="U227" i="121"/>
  <c r="Y232" i="121" s="1"/>
  <c r="U230" i="121"/>
  <c r="V235" i="121"/>
  <c r="U240" i="121"/>
  <c r="V240" i="121"/>
  <c r="U245" i="121"/>
  <c r="U235" i="121"/>
  <c r="AK225" i="121"/>
  <c r="H176" i="1583"/>
  <c r="H194" i="1583"/>
  <c r="H170" i="1583"/>
  <c r="L170" i="1583"/>
  <c r="AC121" i="1541"/>
  <c r="AC181" i="1541"/>
  <c r="AC180" i="1541" s="1"/>
  <c r="AC187" i="1541" s="1"/>
  <c r="M100" i="121"/>
  <c r="M101" i="121"/>
  <c r="C167" i="1583"/>
  <c r="C179" i="1583" s="1"/>
  <c r="C149" i="1583"/>
  <c r="AE146" i="1583"/>
  <c r="AE137" i="1583"/>
  <c r="AE140" i="1583"/>
  <c r="AF140" i="1583"/>
  <c r="H295" i="1554"/>
  <c r="H106" i="121"/>
  <c r="N249" i="1583"/>
  <c r="N124" i="121"/>
  <c r="AI133" i="121"/>
  <c r="AI148" i="1810" s="1"/>
  <c r="AI150" i="1810" s="1"/>
  <c r="AI73" i="1821" s="1"/>
  <c r="M124" i="121"/>
  <c r="O149" i="1583"/>
  <c r="O143" i="1583"/>
  <c r="O167" i="1583"/>
  <c r="S143" i="1583"/>
  <c r="AC164" i="1583"/>
  <c r="AC137" i="1583"/>
  <c r="AC140" i="1583"/>
  <c r="N117" i="121"/>
  <c r="N118" i="121" s="1"/>
  <c r="N120" i="121"/>
  <c r="E15" i="1538"/>
  <c r="E15" i="1535"/>
  <c r="E18" i="1712"/>
  <c r="AH92" i="121"/>
  <c r="AH114" i="121"/>
  <c r="AH99" i="121"/>
  <c r="AH104" i="121"/>
  <c r="E20" i="155"/>
  <c r="E20" i="1711"/>
  <c r="AH129" i="121"/>
  <c r="AD97" i="1541"/>
  <c r="Q58" i="1712"/>
  <c r="M185" i="1583"/>
  <c r="M188" i="1583"/>
  <c r="M194" i="1583"/>
  <c r="AD182" i="1583"/>
  <c r="R283" i="121"/>
  <c r="R289" i="121"/>
  <c r="R295" i="121"/>
  <c r="R301" i="121"/>
  <c r="S295" i="121"/>
  <c r="S289" i="121"/>
  <c r="S11" i="1712"/>
  <c r="S10" i="1712"/>
  <c r="S12" i="1712" s="1"/>
  <c r="AN193" i="1541"/>
  <c r="AM97" i="1541"/>
  <c r="AM135" i="1541" s="1"/>
  <c r="G143" i="1583"/>
  <c r="G167" i="1583"/>
  <c r="G149" i="1583"/>
  <c r="R111" i="121"/>
  <c r="F289" i="121"/>
  <c r="F301" i="121"/>
  <c r="F295" i="121"/>
  <c r="J283" i="121"/>
  <c r="D15" i="1538"/>
  <c r="D15" i="1535"/>
  <c r="D18" i="1712"/>
  <c r="AG93" i="121"/>
  <c r="AG104" i="121"/>
  <c r="AG99" i="121"/>
  <c r="AG101" i="121" s="1"/>
  <c r="AG114" i="121"/>
  <c r="D20" i="1711"/>
  <c r="D20" i="155"/>
  <c r="F129" i="121"/>
  <c r="AG129" i="121"/>
  <c r="AD96" i="1541"/>
  <c r="R191" i="1583"/>
  <c r="R197" i="1583"/>
  <c r="AE185" i="1583"/>
  <c r="AE191" i="1583" s="1"/>
  <c r="M237" i="1583"/>
  <c r="S10" i="1711"/>
  <c r="R10" i="1711"/>
  <c r="F149" i="1583"/>
  <c r="F167" i="1583"/>
  <c r="J143" i="1583"/>
  <c r="T70" i="1541"/>
  <c r="Z70" i="1541"/>
  <c r="F19" i="1538"/>
  <c r="F19" i="1535"/>
  <c r="F22" i="1712"/>
  <c r="AI115" i="121"/>
  <c r="F25" i="155"/>
  <c r="F25" i="1711"/>
  <c r="D289" i="121"/>
  <c r="D301" i="121"/>
  <c r="D295" i="121"/>
  <c r="E295" i="121"/>
  <c r="E289" i="121"/>
  <c r="W161" i="1541"/>
  <c r="X161" i="1541" s="1"/>
  <c r="X160" i="1541"/>
  <c r="AI96" i="1541"/>
  <c r="AL195" i="1541"/>
  <c r="K8" i="1711"/>
  <c r="J25" i="1711"/>
  <c r="AG319" i="121"/>
  <c r="AG277" i="121"/>
  <c r="AC175" i="1541"/>
  <c r="AC186" i="1541"/>
  <c r="AC145" i="1541"/>
  <c r="AL50" i="1541"/>
  <c r="AL40" i="1541"/>
  <c r="AL41" i="1541" s="1"/>
  <c r="AL37" i="1541"/>
  <c r="AL35" i="1541"/>
  <c r="AL36" i="1541" s="1"/>
  <c r="AL34" i="1541"/>
  <c r="AL74" i="1541"/>
  <c r="AL75" i="1541" s="1"/>
  <c r="G176" i="1583"/>
  <c r="G194" i="1583"/>
  <c r="G206" i="1583" s="1"/>
  <c r="G170" i="1583"/>
  <c r="N197" i="1583"/>
  <c r="M117" i="121"/>
  <c r="M118" i="121" s="1"/>
  <c r="M120" i="121"/>
  <c r="P100" i="121"/>
  <c r="P101" i="121"/>
  <c r="T100" i="121"/>
  <c r="AD102" i="1541"/>
  <c r="AC106" i="1541"/>
  <c r="AC113" i="1541" s="1"/>
  <c r="P61" i="1711"/>
  <c r="F15" i="1538"/>
  <c r="F15" i="1535"/>
  <c r="F18" i="1712"/>
  <c r="AI114" i="121"/>
  <c r="AI92" i="121"/>
  <c r="AI99" i="121"/>
  <c r="AI104" i="121"/>
  <c r="F20" i="155"/>
  <c r="F20" i="1711"/>
  <c r="AI129" i="121"/>
  <c r="H295" i="121"/>
  <c r="H301" i="121"/>
  <c r="H289" i="121"/>
  <c r="H283" i="121"/>
  <c r="I289" i="121"/>
  <c r="I295" i="121"/>
  <c r="F176" i="1583"/>
  <c r="J170" i="1583"/>
  <c r="AL21" i="1541"/>
  <c r="AL22" i="1541"/>
  <c r="AL23" i="1541" s="1"/>
  <c r="G295" i="1554"/>
  <c r="G106" i="121"/>
  <c r="K143" i="1583"/>
  <c r="K167" i="1583"/>
  <c r="K149" i="1583"/>
  <c r="K383" i="121"/>
  <c r="K382" i="121"/>
  <c r="K381" i="121"/>
  <c r="K380" i="121"/>
  <c r="U380" i="121"/>
  <c r="U381" i="121"/>
  <c r="U382" i="121"/>
  <c r="U383" i="121"/>
  <c r="AK741" i="1812"/>
  <c r="AK734" i="1812"/>
  <c r="AK727" i="1812"/>
  <c r="AK720" i="1812"/>
  <c r="AJ99" i="1810" l="1"/>
  <c r="AK64" i="1810"/>
  <c r="AJ64" i="1810"/>
  <c r="AI32" i="1821"/>
  <c r="O38" i="1821"/>
  <c r="O100" i="1821" s="1"/>
  <c r="O32" i="1821"/>
  <c r="O33" i="1821"/>
  <c r="S32" i="1821"/>
  <c r="I38" i="1821"/>
  <c r="I50" i="1821" s="1"/>
  <c r="M32" i="1821"/>
  <c r="I33" i="1821"/>
  <c r="J38" i="1821"/>
  <c r="N39" i="1821" s="1"/>
  <c r="N32" i="1821"/>
  <c r="AJ32" i="1821"/>
  <c r="AH38" i="1821"/>
  <c r="M61" i="1821"/>
  <c r="H38" i="1821"/>
  <c r="H61" i="1821" s="1"/>
  <c r="H33" i="1821"/>
  <c r="L32" i="1821"/>
  <c r="M50" i="1821"/>
  <c r="M52" i="1821" s="1"/>
  <c r="AH56" i="1810"/>
  <c r="L111" i="1810"/>
  <c r="V57" i="1821"/>
  <c r="U132" i="1810"/>
  <c r="Y133" i="1810" s="1"/>
  <c r="U406" i="121"/>
  <c r="U405" i="121"/>
  <c r="U404" i="121"/>
  <c r="U403" i="121"/>
  <c r="L403" i="121"/>
  <c r="L404" i="121"/>
  <c r="L405" i="121"/>
  <c r="L406" i="121"/>
  <c r="R160" i="1810"/>
  <c r="AB103" i="121"/>
  <c r="AB119" i="1810" s="1"/>
  <c r="AB121" i="1810" s="1"/>
  <c r="AB49" i="1821" s="1"/>
  <c r="D10" i="1809"/>
  <c r="Q145" i="1810"/>
  <c r="M414" i="121"/>
  <c r="M416" i="121" s="1"/>
  <c r="M30" i="121" s="1"/>
  <c r="M29" i="1810" s="1"/>
  <c r="M31" i="1810" s="1"/>
  <c r="M12" i="1821" s="1"/>
  <c r="AK114" i="1810"/>
  <c r="G130" i="1810"/>
  <c r="G124" i="1810"/>
  <c r="G123" i="1810"/>
  <c r="T131" i="1810"/>
  <c r="T139" i="1810" s="1"/>
  <c r="T140" i="1810" s="1"/>
  <c r="AK36" i="1821"/>
  <c r="AK68" i="1821"/>
  <c r="AA121" i="1810"/>
  <c r="AG104" i="1810"/>
  <c r="AG114" i="1810" s="1"/>
  <c r="AG89" i="1810"/>
  <c r="P116" i="1810"/>
  <c r="P111" i="1810"/>
  <c r="AI19" i="1821"/>
  <c r="R62" i="1821"/>
  <c r="R43" i="1821"/>
  <c r="Q70" i="1821"/>
  <c r="R111" i="1810"/>
  <c r="R116" i="1810"/>
  <c r="N55" i="1821"/>
  <c r="I123" i="1810"/>
  <c r="I124" i="1810"/>
  <c r="I130" i="1810"/>
  <c r="K130" i="1810"/>
  <c r="K124" i="1810"/>
  <c r="K123" i="1810"/>
  <c r="S47" i="1821"/>
  <c r="W46" i="1821"/>
  <c r="N131" i="1810"/>
  <c r="N139" i="1810" s="1"/>
  <c r="N140" i="1810" s="1"/>
  <c r="N144" i="1810" s="1"/>
  <c r="AJ19" i="1821"/>
  <c r="AK19" i="1821"/>
  <c r="AK124" i="1810"/>
  <c r="AK130" i="1810"/>
  <c r="T55" i="1821"/>
  <c r="T52" i="1821"/>
  <c r="X51" i="1821"/>
  <c r="P130" i="1810"/>
  <c r="P123" i="1810"/>
  <c r="P124" i="1810"/>
  <c r="Y141" i="1810"/>
  <c r="AJ42" i="1821"/>
  <c r="AJ137" i="1810"/>
  <c r="L131" i="1810"/>
  <c r="L139" i="1810" s="1"/>
  <c r="L140" i="1810" s="1"/>
  <c r="AJ14" i="1810"/>
  <c r="AI11" i="1810"/>
  <c r="AI74" i="1810"/>
  <c r="AI44" i="1810"/>
  <c r="AI59" i="1810"/>
  <c r="N72" i="1808" s="1"/>
  <c r="AI42" i="1821"/>
  <c r="AI137" i="1810"/>
  <c r="AI145" i="1810" s="1"/>
  <c r="M43" i="1821"/>
  <c r="M62" i="1821"/>
  <c r="M70" i="1821" s="1"/>
  <c r="AK50" i="1821"/>
  <c r="AK61" i="1821"/>
  <c r="AK40" i="1821"/>
  <c r="AH136" i="1810"/>
  <c r="AH106" i="1810"/>
  <c r="AH122" i="1810"/>
  <c r="AH160" i="1810"/>
  <c r="O124" i="1810"/>
  <c r="O130" i="1810"/>
  <c r="O123" i="1810"/>
  <c r="Q136" i="1810"/>
  <c r="Q122" i="1810"/>
  <c r="Q106" i="1810"/>
  <c r="Q86" i="1810"/>
  <c r="Q91" i="1810"/>
  <c r="T160" i="1810"/>
  <c r="U86" i="1810"/>
  <c r="V109" i="1810"/>
  <c r="V114" i="1810"/>
  <c r="M45" i="1821"/>
  <c r="L52" i="1821"/>
  <c r="L55" i="1821"/>
  <c r="S123" i="1810"/>
  <c r="H123" i="1810"/>
  <c r="H130" i="1810"/>
  <c r="H124" i="1810"/>
  <c r="S52" i="1821"/>
  <c r="S55" i="1821"/>
  <c r="W51" i="1821"/>
  <c r="F40" i="1821"/>
  <c r="F50" i="1821"/>
  <c r="AI99" i="1810"/>
  <c r="AH62" i="1821"/>
  <c r="AH70" i="1821" s="1"/>
  <c r="K45" i="1821"/>
  <c r="K40" i="1821"/>
  <c r="K39" i="1821"/>
  <c r="K61" i="1821"/>
  <c r="K50" i="1821"/>
  <c r="N100" i="1821"/>
  <c r="V42" i="1821"/>
  <c r="V137" i="1810"/>
  <c r="V101" i="1810"/>
  <c r="V106" i="1810"/>
  <c r="S131" i="1810"/>
  <c r="S139" i="1810" s="1"/>
  <c r="S140" i="1810" s="1"/>
  <c r="AK96" i="1810"/>
  <c r="AK99" i="1810"/>
  <c r="G61" i="1821"/>
  <c r="G39" i="1821"/>
  <c r="G45" i="1821"/>
  <c r="G47" i="1821" s="1"/>
  <c r="G40" i="1821"/>
  <c r="G50" i="1821"/>
  <c r="E50" i="1821"/>
  <c r="E40" i="1821"/>
  <c r="AI114" i="1810"/>
  <c r="AI109" i="1810"/>
  <c r="AG68" i="1821"/>
  <c r="AG36" i="1821"/>
  <c r="R123" i="1810"/>
  <c r="R124" i="1810"/>
  <c r="R130" i="1810"/>
  <c r="V123" i="1810"/>
  <c r="M111" i="1810"/>
  <c r="AJ11" i="1810"/>
  <c r="AJ44" i="1810"/>
  <c r="AK14" i="1810"/>
  <c r="AJ59" i="1810"/>
  <c r="AJ21" i="1810"/>
  <c r="AJ10" i="1821" s="1"/>
  <c r="N123" i="1810"/>
  <c r="J130" i="1810"/>
  <c r="J123" i="1810"/>
  <c r="D50" i="1821"/>
  <c r="D40" i="1821"/>
  <c r="G100" i="1821"/>
  <c r="AH84" i="1810"/>
  <c r="AI89" i="1810"/>
  <c r="O116" i="1810"/>
  <c r="O111" i="1810"/>
  <c r="R61" i="1821"/>
  <c r="R50" i="1821"/>
  <c r="R45" i="1821"/>
  <c r="R40" i="1821"/>
  <c r="R39" i="1821"/>
  <c r="V39" i="1821"/>
  <c r="U100" i="1821"/>
  <c r="P61" i="1821"/>
  <c r="P50" i="1821"/>
  <c r="T51" i="1821" s="1"/>
  <c r="P39" i="1821"/>
  <c r="P45" i="1821"/>
  <c r="T46" i="1821" s="1"/>
  <c r="P40" i="1821"/>
  <c r="T39" i="1821"/>
  <c r="Q68" i="1821"/>
  <c r="Q36" i="1821"/>
  <c r="AI136" i="1810"/>
  <c r="AI122" i="1810"/>
  <c r="AI106" i="1810"/>
  <c r="AI86" i="1810"/>
  <c r="AI160" i="1810"/>
  <c r="K111" i="1810"/>
  <c r="K116" i="1810"/>
  <c r="C40" i="1821"/>
  <c r="C50" i="1821"/>
  <c r="L47" i="1821"/>
  <c r="AJ71" i="1810"/>
  <c r="G23" i="1809" s="1"/>
  <c r="G48" i="1809" s="1"/>
  <c r="AJ74" i="1810"/>
  <c r="AJ79" i="1810"/>
  <c r="Q114" i="1810"/>
  <c r="U109" i="1810"/>
  <c r="W15" i="1821"/>
  <c r="W16" i="1821"/>
  <c r="U56" i="1821"/>
  <c r="U64" i="1821" s="1"/>
  <c r="U65" i="1821" s="1"/>
  <c r="U69" i="1821" s="1"/>
  <c r="M131" i="1810"/>
  <c r="M139" i="1810" s="1"/>
  <c r="M140" i="1810" s="1"/>
  <c r="AH68" i="1821"/>
  <c r="AL119" i="1810"/>
  <c r="AL121" i="1810" s="1"/>
  <c r="AL49" i="1821" s="1"/>
  <c r="Z121" i="1810"/>
  <c r="Z49" i="1821" s="1"/>
  <c r="AG81" i="1810"/>
  <c r="D24" i="1809" s="1"/>
  <c r="D42" i="1809" s="1"/>
  <c r="AG18" i="1821"/>
  <c r="AG61" i="1810"/>
  <c r="T47" i="1821"/>
  <c r="X46" i="1821"/>
  <c r="S160" i="1810"/>
  <c r="AB47" i="121"/>
  <c r="AB52" i="121" s="1"/>
  <c r="AC55" i="121"/>
  <c r="AM230" i="121"/>
  <c r="AM235" i="121"/>
  <c r="AM240" i="121"/>
  <c r="AC237" i="121"/>
  <c r="AC242" i="121"/>
  <c r="G12" i="1712"/>
  <c r="G10" i="1711"/>
  <c r="AE66" i="1583"/>
  <c r="G13" i="1538"/>
  <c r="G13" i="1535"/>
  <c r="G10" i="155"/>
  <c r="U257" i="121"/>
  <c r="Y254" i="121"/>
  <c r="C58" i="1808"/>
  <c r="H58" i="1808" s="1"/>
  <c r="AJ160" i="121"/>
  <c r="G10" i="1807"/>
  <c r="AL148" i="1554"/>
  <c r="AJ26" i="121" s="1"/>
  <c r="AJ135" i="1814"/>
  <c r="AJ137" i="1814" s="1"/>
  <c r="AJ138" i="1814" s="1"/>
  <c r="AG96" i="1814"/>
  <c r="AG97" i="1814" s="1"/>
  <c r="AG99" i="1814"/>
  <c r="AL745" i="1812"/>
  <c r="BG4" i="1812"/>
  <c r="AL3" i="1812"/>
  <c r="AL715" i="1812" s="1"/>
  <c r="AK719" i="1812"/>
  <c r="AK717" i="1812" s="1"/>
  <c r="AK726" i="1812"/>
  <c r="AK724" i="1812" s="1"/>
  <c r="AK728" i="1812"/>
  <c r="AK735" i="1812"/>
  <c r="AK733" i="1812"/>
  <c r="AK731" i="1812" s="1"/>
  <c r="AK721" i="1812"/>
  <c r="AK740" i="1812"/>
  <c r="AK738" i="1812" s="1"/>
  <c r="AK412" i="1812" s="1"/>
  <c r="AK742" i="1812"/>
  <c r="AB235" i="121"/>
  <c r="AB240" i="121"/>
  <c r="AB236" i="121"/>
  <c r="AB241" i="121"/>
  <c r="S209" i="1583"/>
  <c r="AL51" i="121"/>
  <c r="AL56" i="121"/>
  <c r="AA241" i="121"/>
  <c r="AA231" i="121"/>
  <c r="AA46" i="121"/>
  <c r="AA236" i="121"/>
  <c r="AD126" i="121"/>
  <c r="AM126" i="121" s="1"/>
  <c r="AA230" i="121"/>
  <c r="AA235" i="121"/>
  <c r="AA240" i="121"/>
  <c r="AA45" i="121"/>
  <c r="AA251" i="121"/>
  <c r="AM251" i="121" s="1"/>
  <c r="AA227" i="121"/>
  <c r="AM227" i="121" s="1"/>
  <c r="X253" i="121"/>
  <c r="W227" i="121"/>
  <c r="W247" i="121" s="1"/>
  <c r="X241" i="121"/>
  <c r="X236" i="121"/>
  <c r="S69" i="1583"/>
  <c r="W79" i="1583" s="1"/>
  <c r="W76" i="1583"/>
  <c r="W246" i="121"/>
  <c r="W236" i="121"/>
  <c r="W231" i="121"/>
  <c r="W241" i="121"/>
  <c r="AL226" i="121"/>
  <c r="AM231" i="121" s="1"/>
  <c r="AL251" i="121"/>
  <c r="W288" i="121"/>
  <c r="W294" i="121"/>
  <c r="AL26" i="121"/>
  <c r="J378" i="121"/>
  <c r="J377" i="121" s="1"/>
  <c r="G20" i="155"/>
  <c r="G38" i="155" s="1"/>
  <c r="AJ114" i="121"/>
  <c r="AJ129" i="121"/>
  <c r="G20" i="1711"/>
  <c r="G14" i="1711" s="1"/>
  <c r="AJ99" i="121"/>
  <c r="AJ100" i="121" s="1"/>
  <c r="V269" i="121"/>
  <c r="V275" i="121"/>
  <c r="V317" i="121"/>
  <c r="AJ104" i="121"/>
  <c r="AL295" i="1554" s="1"/>
  <c r="AJ92" i="121"/>
  <c r="AK269" i="121"/>
  <c r="AK275" i="121"/>
  <c r="AK317" i="121"/>
  <c r="AK276" i="121"/>
  <c r="AK318" i="121"/>
  <c r="V282" i="121"/>
  <c r="V300" i="121"/>
  <c r="V294" i="121"/>
  <c r="V288" i="121"/>
  <c r="AK292" i="121"/>
  <c r="AK280" i="121"/>
  <c r="AK286" i="121" s="1"/>
  <c r="G18" i="1712"/>
  <c r="G35" i="1712" s="1"/>
  <c r="G15" i="1535"/>
  <c r="G38" i="1807"/>
  <c r="G21" i="1807"/>
  <c r="G14" i="1807"/>
  <c r="G15" i="1807" s="1"/>
  <c r="AK92" i="121"/>
  <c r="G15" i="1538"/>
  <c r="G61" i="1807"/>
  <c r="G28" i="1807"/>
  <c r="G29" i="1807" s="1"/>
  <c r="O386" i="121"/>
  <c r="O387" i="121"/>
  <c r="O388" i="121"/>
  <c r="O389" i="121"/>
  <c r="F80" i="1808"/>
  <c r="F36" i="1808" s="1"/>
  <c r="C36" i="1808"/>
  <c r="P79" i="1808"/>
  <c r="P85" i="1808" s="1"/>
  <c r="Q85" i="1808" s="1"/>
  <c r="O85" i="1808"/>
  <c r="D123" i="1808"/>
  <c r="D43" i="1808"/>
  <c r="H24" i="1809"/>
  <c r="E32" i="1809"/>
  <c r="E42" i="1809"/>
  <c r="E18" i="1809"/>
  <c r="E12" i="1809" s="1"/>
  <c r="E54" i="1809"/>
  <c r="F18" i="1809"/>
  <c r="F12" i="1809" s="1"/>
  <c r="F25" i="1809"/>
  <c r="F42" i="1809"/>
  <c r="F54" i="1809"/>
  <c r="F29" i="1809"/>
  <c r="F32" i="1809" s="1"/>
  <c r="Q124" i="121"/>
  <c r="AK88" i="121"/>
  <c r="C84" i="1808"/>
  <c r="D129" i="1808"/>
  <c r="D47" i="1808" s="1"/>
  <c r="C26" i="1808"/>
  <c r="F10" i="1807"/>
  <c r="C57" i="1808"/>
  <c r="H57" i="1808" s="1"/>
  <c r="P397" i="121"/>
  <c r="P399" i="121" s="1"/>
  <c r="C81" i="1808"/>
  <c r="C79" i="1808"/>
  <c r="F79" i="1808" s="1"/>
  <c r="AJ60" i="121"/>
  <c r="AJ257" i="121"/>
  <c r="AK13" i="121"/>
  <c r="G8" i="155"/>
  <c r="G33" i="155" s="1"/>
  <c r="AJ245" i="121"/>
  <c r="G8" i="1712"/>
  <c r="G23" i="1712" s="1"/>
  <c r="G9" i="1538"/>
  <c r="G20" i="1538" s="1"/>
  <c r="AJ247" i="121"/>
  <c r="AJ93" i="121"/>
  <c r="AJ97" i="121"/>
  <c r="AK16" i="121"/>
  <c r="AJ62" i="121"/>
  <c r="AJ61" i="121"/>
  <c r="AK22" i="121"/>
  <c r="AJ246" i="121"/>
  <c r="AK94" i="121"/>
  <c r="AJ42" i="121"/>
  <c r="H16" i="1807"/>
  <c r="I15" i="1807"/>
  <c r="I17" i="1807"/>
  <c r="AM354" i="1554"/>
  <c r="V354" i="1554" s="1"/>
  <c r="W354" i="1554" s="1"/>
  <c r="X353" i="1554" s="1"/>
  <c r="X354" i="1554" s="1"/>
  <c r="Y353" i="1554" s="1"/>
  <c r="Y354" i="1554" s="1"/>
  <c r="AJ87" i="121"/>
  <c r="G8" i="1807"/>
  <c r="G26" i="1807" s="1"/>
  <c r="F15" i="1807"/>
  <c r="AJ22" i="121"/>
  <c r="F8" i="1807"/>
  <c r="AK99" i="121"/>
  <c r="AK101" i="121" s="1"/>
  <c r="H25" i="1807"/>
  <c r="D30" i="1807"/>
  <c r="D41" i="1807"/>
  <c r="E15" i="1807"/>
  <c r="E41" i="1807"/>
  <c r="E29" i="1807"/>
  <c r="F41" i="1807"/>
  <c r="F29" i="1807"/>
  <c r="U256" i="121"/>
  <c r="U254" i="121"/>
  <c r="U255" i="121"/>
  <c r="AJ398" i="121"/>
  <c r="G8" i="1711"/>
  <c r="G33" i="1711" s="1"/>
  <c r="G9" i="1535"/>
  <c r="Z359" i="121"/>
  <c r="AL359" i="121" s="1"/>
  <c r="Z355" i="121"/>
  <c r="AK270" i="121"/>
  <c r="AL270" i="121"/>
  <c r="AK252" i="121"/>
  <c r="AE164" i="1583"/>
  <c r="AF170" i="1583" s="1"/>
  <c r="AL235" i="121"/>
  <c r="AL230" i="121"/>
  <c r="AL240" i="121"/>
  <c r="H22" i="155"/>
  <c r="Z232" i="121"/>
  <c r="AK153" i="121"/>
  <c r="AK265" i="121" s="1"/>
  <c r="Q101" i="121"/>
  <c r="AI156" i="1541"/>
  <c r="Q295" i="1554"/>
  <c r="Q170" i="1583"/>
  <c r="Q194" i="1583"/>
  <c r="Q206" i="1583" s="1"/>
  <c r="Q100" i="121"/>
  <c r="Q176" i="1583"/>
  <c r="V265" i="121"/>
  <c r="V319" i="121" s="1"/>
  <c r="V159" i="121"/>
  <c r="AL149" i="1541"/>
  <c r="AM149" i="1541" s="1"/>
  <c r="AI280" i="121"/>
  <c r="AI286" i="121" s="1"/>
  <c r="R206" i="1583"/>
  <c r="AI298" i="121"/>
  <c r="AM54" i="1541"/>
  <c r="AM63" i="1541"/>
  <c r="AM64" i="1541" s="1"/>
  <c r="AM66" i="1541" s="1"/>
  <c r="K19" i="1711"/>
  <c r="N12" i="1806"/>
  <c r="M13" i="1806"/>
  <c r="U389" i="121"/>
  <c r="U388" i="121"/>
  <c r="U387" i="121"/>
  <c r="U386" i="121"/>
  <c r="AN126" i="1541"/>
  <c r="AO43" i="1541"/>
  <c r="AP43" i="1541" s="1"/>
  <c r="V377" i="121"/>
  <c r="K206" i="1583"/>
  <c r="K200" i="1583"/>
  <c r="U209" i="1583"/>
  <c r="O206" i="1583"/>
  <c r="O200" i="1583"/>
  <c r="S200" i="1583"/>
  <c r="M206" i="1583"/>
  <c r="M200" i="1583"/>
  <c r="H206" i="1583"/>
  <c r="L200" i="1583"/>
  <c r="P206" i="1583"/>
  <c r="P200" i="1583"/>
  <c r="T200" i="1583"/>
  <c r="R209" i="1583"/>
  <c r="R203" i="1583"/>
  <c r="AJ292" i="121"/>
  <c r="H14" i="155"/>
  <c r="C89" i="1808" s="1"/>
  <c r="C35" i="1808" s="1"/>
  <c r="H22" i="1711"/>
  <c r="I22" i="1711" s="1"/>
  <c r="H14" i="1711"/>
  <c r="H16" i="1711" s="1"/>
  <c r="V253" i="121"/>
  <c r="AJ165" i="121"/>
  <c r="AJ280" i="121"/>
  <c r="AJ286" i="121" s="1"/>
  <c r="AJ298" i="121"/>
  <c r="AJ13" i="121"/>
  <c r="AI97" i="121"/>
  <c r="AF182" i="1583"/>
  <c r="V185" i="1583"/>
  <c r="AK115" i="121"/>
  <c r="Q354" i="1554"/>
  <c r="R353" i="1554" s="1"/>
  <c r="U206" i="1583"/>
  <c r="V188" i="1583"/>
  <c r="V194" i="1583"/>
  <c r="W212" i="1583" s="1"/>
  <c r="W215" i="1583" s="1"/>
  <c r="H25" i="1711"/>
  <c r="AK97" i="121"/>
  <c r="H25" i="155"/>
  <c r="AG160" i="1541"/>
  <c r="AJ94" i="121"/>
  <c r="AI257" i="121"/>
  <c r="X70" i="1541"/>
  <c r="AI93" i="121"/>
  <c r="V100" i="121"/>
  <c r="AJ16" i="121"/>
  <c r="T123" i="121"/>
  <c r="AI247" i="121"/>
  <c r="AD106" i="1541"/>
  <c r="AD113" i="1541" s="1"/>
  <c r="AI20" i="1541"/>
  <c r="AI21" i="1541" s="1"/>
  <c r="P237" i="1583"/>
  <c r="P252" i="1583"/>
  <c r="N156" i="121"/>
  <c r="J163" i="121"/>
  <c r="J153" i="121"/>
  <c r="Q179" i="1583"/>
  <c r="Q197" i="1583"/>
  <c r="Q173" i="1583"/>
  <c r="I108" i="121"/>
  <c r="I110" i="121" s="1"/>
  <c r="M111" i="121" s="1"/>
  <c r="I120" i="121"/>
  <c r="I117" i="121"/>
  <c r="I118" i="121" s="1"/>
  <c r="R133" i="121"/>
  <c r="R148" i="1810" s="1"/>
  <c r="R150" i="1810" s="1"/>
  <c r="R73" i="1821" s="1"/>
  <c r="R352" i="1554"/>
  <c r="Q107" i="121"/>
  <c r="Q108" i="121" s="1"/>
  <c r="Q110" i="121" s="1"/>
  <c r="AI83" i="1541"/>
  <c r="AJ83" i="1541" s="1"/>
  <c r="AI61" i="121"/>
  <c r="AI246" i="121"/>
  <c r="AI87" i="121"/>
  <c r="F9" i="1538"/>
  <c r="F27" i="1538" s="1"/>
  <c r="AJ88" i="121"/>
  <c r="F9" i="1535"/>
  <c r="F27" i="1535" s="1"/>
  <c r="AI62" i="121"/>
  <c r="F8" i="1712"/>
  <c r="F30" i="1712" s="1"/>
  <c r="N12" i="121"/>
  <c r="F8" i="1711"/>
  <c r="F33" i="1711" s="1"/>
  <c r="AI42" i="121"/>
  <c r="F8" i="155"/>
  <c r="F33" i="155" s="1"/>
  <c r="AI60" i="121"/>
  <c r="AI398" i="121"/>
  <c r="AI245" i="121"/>
  <c r="AD31" i="1583"/>
  <c r="AD176" i="1583" s="1"/>
  <c r="AH9" i="121"/>
  <c r="AH84" i="121" s="1"/>
  <c r="V247" i="121"/>
  <c r="V232" i="121"/>
  <c r="I179" i="1583"/>
  <c r="I197" i="1583"/>
  <c r="I209" i="1583" s="1"/>
  <c r="I173" i="1583"/>
  <c r="M173" i="1583"/>
  <c r="AH105" i="1541"/>
  <c r="AG198" i="1541"/>
  <c r="AG204" i="1541" s="1"/>
  <c r="AG106" i="1541"/>
  <c r="AG113" i="1541" s="1"/>
  <c r="AI160" i="121"/>
  <c r="F10" i="1711"/>
  <c r="F10" i="155"/>
  <c r="F13" i="1538"/>
  <c r="F13" i="1535"/>
  <c r="F12" i="1712"/>
  <c r="AD66" i="1583"/>
  <c r="J197" i="1583"/>
  <c r="N203" i="1583" s="1"/>
  <c r="N173" i="1583"/>
  <c r="K159" i="121"/>
  <c r="AH397" i="121"/>
  <c r="J108" i="121"/>
  <c r="J110" i="121" s="1"/>
  <c r="N111" i="121" s="1"/>
  <c r="J120" i="121"/>
  <c r="J117" i="121"/>
  <c r="J118" i="121" s="1"/>
  <c r="AI124" i="121"/>
  <c r="AI378" i="121"/>
  <c r="AJ295" i="1554"/>
  <c r="AH106" i="121"/>
  <c r="AC194" i="1583"/>
  <c r="AC170" i="1583"/>
  <c r="AJ103" i="1541"/>
  <c r="AL103" i="1541" s="1"/>
  <c r="AI136" i="1541"/>
  <c r="AJ136" i="1541" s="1"/>
  <c r="AL132" i="1541"/>
  <c r="AN72" i="1541"/>
  <c r="AO71" i="1541"/>
  <c r="AD194" i="1583"/>
  <c r="AD170" i="1583"/>
  <c r="Q61" i="1711"/>
  <c r="AI101" i="121"/>
  <c r="AI100" i="121"/>
  <c r="L8" i="1711"/>
  <c r="K25" i="1711"/>
  <c r="AD185" i="1583"/>
  <c r="AH100" i="121"/>
  <c r="P179" i="1583"/>
  <c r="P197" i="1583"/>
  <c r="P173" i="1583"/>
  <c r="T173" i="1583"/>
  <c r="AI295" i="1554"/>
  <c r="AG106" i="121"/>
  <c r="AO193" i="1541"/>
  <c r="AF135" i="1541"/>
  <c r="O179" i="1583"/>
  <c r="O197" i="1583"/>
  <c r="O173" i="1583"/>
  <c r="S173" i="1583"/>
  <c r="S123" i="121"/>
  <c r="AK295" i="1554"/>
  <c r="AI106" i="121"/>
  <c r="U242" i="121"/>
  <c r="U232" i="121"/>
  <c r="U237" i="121"/>
  <c r="U247" i="121"/>
  <c r="V237" i="121"/>
  <c r="V242" i="121"/>
  <c r="AK227" i="121"/>
  <c r="AN125" i="1541"/>
  <c r="AO111" i="1541"/>
  <c r="AJ96" i="1541"/>
  <c r="M243" i="1583"/>
  <c r="M240" i="1583"/>
  <c r="M246" i="1583" s="1"/>
  <c r="D35" i="1712"/>
  <c r="D20" i="1712"/>
  <c r="D16" i="1712"/>
  <c r="D25" i="1712"/>
  <c r="D58" i="1712"/>
  <c r="M191" i="1583"/>
  <c r="M197" i="1583"/>
  <c r="AK251" i="121"/>
  <c r="H179" i="1583"/>
  <c r="H197" i="1583"/>
  <c r="H173" i="1583"/>
  <c r="L173" i="1583"/>
  <c r="AJ97" i="1541"/>
  <c r="D17" i="1535"/>
  <c r="D22" i="1535"/>
  <c r="D32" i="1535"/>
  <c r="D55" i="1535"/>
  <c r="M123" i="121"/>
  <c r="F35" i="1712"/>
  <c r="F16" i="1712"/>
  <c r="F25" i="1712"/>
  <c r="F19" i="1712"/>
  <c r="F58" i="1712"/>
  <c r="D32" i="1538"/>
  <c r="D22" i="1538"/>
  <c r="D17" i="1538"/>
  <c r="D55" i="1538"/>
  <c r="E25" i="1712"/>
  <c r="E35" i="1712"/>
  <c r="E19" i="1712"/>
  <c r="E16" i="1712"/>
  <c r="E58" i="1712"/>
  <c r="AF54" i="1541"/>
  <c r="AF120" i="1541"/>
  <c r="O107" i="121"/>
  <c r="E22" i="1535"/>
  <c r="E16" i="1535"/>
  <c r="E32" i="1535"/>
  <c r="E55" i="1535"/>
  <c r="AE167" i="1583"/>
  <c r="AF173" i="1583" s="1"/>
  <c r="AE149" i="1583"/>
  <c r="AE143" i="1583"/>
  <c r="AF143" i="1583"/>
  <c r="AJ102" i="1541"/>
  <c r="F22" i="1535"/>
  <c r="F32" i="1535"/>
  <c r="F16" i="1535"/>
  <c r="F55" i="1535"/>
  <c r="AL51" i="1541"/>
  <c r="AL53" i="1541" s="1"/>
  <c r="AL63" i="1541"/>
  <c r="K173" i="1583"/>
  <c r="K197" i="1583"/>
  <c r="K179" i="1583"/>
  <c r="F32" i="1538"/>
  <c r="F22" i="1538"/>
  <c r="F16" i="1538"/>
  <c r="F55" i="1538"/>
  <c r="AF134" i="1541"/>
  <c r="E22" i="1538"/>
  <c r="E32" i="1538"/>
  <c r="E16" i="1538"/>
  <c r="E55" i="1538"/>
  <c r="AC240" i="1583"/>
  <c r="AB167" i="1583"/>
  <c r="AB149" i="1583"/>
  <c r="AL131" i="1541"/>
  <c r="AG164" i="1541"/>
  <c r="AG163" i="1541"/>
  <c r="N123" i="121"/>
  <c r="AB176" i="1583"/>
  <c r="AB194" i="1583"/>
  <c r="AB206" i="1583" s="1"/>
  <c r="AC22" i="1541"/>
  <c r="AC23" i="1541" s="1"/>
  <c r="AC21" i="1541"/>
  <c r="AC35" i="1541"/>
  <c r="AC36" i="1541" s="1"/>
  <c r="AC34" i="1541"/>
  <c r="AC74" i="1541"/>
  <c r="AC75" i="1541" s="1"/>
  <c r="AC50" i="1541"/>
  <c r="AC40" i="1541"/>
  <c r="AC41" i="1541" s="1"/>
  <c r="AC37" i="1541"/>
  <c r="G107" i="121"/>
  <c r="G108" i="121" s="1"/>
  <c r="G110" i="121" s="1"/>
  <c r="AF76" i="1541"/>
  <c r="AF68" i="1541"/>
  <c r="AF67" i="1541"/>
  <c r="AF69" i="1541"/>
  <c r="AF70" i="1541" s="1"/>
  <c r="N237" i="1583"/>
  <c r="N252" i="1583"/>
  <c r="AD249" i="1583"/>
  <c r="AK235" i="121"/>
  <c r="AK230" i="121"/>
  <c r="AK240" i="121"/>
  <c r="AK245" i="121"/>
  <c r="K107" i="121"/>
  <c r="K108" i="121" s="1"/>
  <c r="K110" i="121" s="1"/>
  <c r="AI186" i="1541"/>
  <c r="AI175" i="1541"/>
  <c r="AG301" i="121"/>
  <c r="AH283" i="121"/>
  <c r="AH289" i="121" s="1"/>
  <c r="AH295" i="121"/>
  <c r="Z159" i="1541"/>
  <c r="Z161" i="1541" s="1"/>
  <c r="AA159" i="1541" s="1"/>
  <c r="AA161" i="1541" s="1"/>
  <c r="AB159" i="1541" s="1"/>
  <c r="AD159" i="1541"/>
  <c r="H107" i="121"/>
  <c r="H108" i="121" s="1"/>
  <c r="H110" i="121" s="1"/>
  <c r="L111" i="121" s="1"/>
  <c r="AO39" i="1541"/>
  <c r="AO143" i="1541"/>
  <c r="AO82" i="1541"/>
  <c r="AP82" i="1541" s="1"/>
  <c r="AO85" i="1541"/>
  <c r="AP85" i="1541" s="1"/>
  <c r="AO142" i="1541"/>
  <c r="AO29" i="1541"/>
  <c r="AO102" i="1541"/>
  <c r="AO25" i="1541"/>
  <c r="AO16" i="1541"/>
  <c r="AO20" i="1541" s="1"/>
  <c r="P107" i="121"/>
  <c r="P108" i="121" s="1"/>
  <c r="P110" i="121" s="1"/>
  <c r="F14" i="1711"/>
  <c r="F38" i="1711"/>
  <c r="F21" i="1711"/>
  <c r="F28" i="1711"/>
  <c r="F61" i="1711"/>
  <c r="E38" i="1711"/>
  <c r="E21" i="1711"/>
  <c r="E28" i="1711"/>
  <c r="E14" i="1711"/>
  <c r="E61" i="1711"/>
  <c r="P10" i="155"/>
  <c r="AL110" i="1541"/>
  <c r="AI121" i="1541"/>
  <c r="AI181" i="1541"/>
  <c r="AI180" i="1541" s="1"/>
  <c r="AI187" i="1541" s="1"/>
  <c r="AB39" i="1541"/>
  <c r="AB85" i="1541"/>
  <c r="AB14" i="1541"/>
  <c r="AH8" i="1541"/>
  <c r="AD8" i="1541"/>
  <c r="AD196" i="1541" s="1"/>
  <c r="AB82" i="1541"/>
  <c r="AB143" i="1541"/>
  <c r="AD143" i="1541" s="1"/>
  <c r="AB102" i="1541"/>
  <c r="AB29" i="1541"/>
  <c r="AD29" i="1541" s="1"/>
  <c r="AB96" i="1541"/>
  <c r="AB16" i="1541"/>
  <c r="AB20" i="1541" s="1"/>
  <c r="AB142" i="1541"/>
  <c r="AB25" i="1541"/>
  <c r="AD25" i="1541" s="1"/>
  <c r="AC14" i="1541"/>
  <c r="AD167" i="1583"/>
  <c r="AD143" i="1583"/>
  <c r="AM195" i="1541"/>
  <c r="AL96" i="1541"/>
  <c r="F179" i="1583"/>
  <c r="J173" i="1583"/>
  <c r="D14" i="155"/>
  <c r="D16" i="155" s="1"/>
  <c r="D28" i="155"/>
  <c r="D22" i="155"/>
  <c r="D38" i="155"/>
  <c r="D61" i="155"/>
  <c r="AC143" i="1583"/>
  <c r="AC167" i="1583"/>
  <c r="F38" i="155"/>
  <c r="F21" i="155"/>
  <c r="F14" i="155"/>
  <c r="F28" i="155"/>
  <c r="F61" i="155"/>
  <c r="D28" i="1711"/>
  <c r="D14" i="1711"/>
  <c r="D16" i="1711" s="1"/>
  <c r="D38" i="1711"/>
  <c r="D22" i="1711"/>
  <c r="D61" i="1711"/>
  <c r="G179" i="1583"/>
  <c r="G197" i="1583"/>
  <c r="G209" i="1583" s="1"/>
  <c r="G173" i="1583"/>
  <c r="R58" i="1712"/>
  <c r="E14" i="155"/>
  <c r="E21" i="155"/>
  <c r="E28" i="155"/>
  <c r="E38" i="155"/>
  <c r="E61" i="155"/>
  <c r="AI33" i="1541"/>
  <c r="J383" i="121"/>
  <c r="J382" i="121"/>
  <c r="J381" i="121"/>
  <c r="J380" i="121"/>
  <c r="AI380" i="121"/>
  <c r="AI381" i="121"/>
  <c r="AI382" i="121"/>
  <c r="AI383" i="121"/>
  <c r="AL741" i="1812"/>
  <c r="AL734" i="1812"/>
  <c r="AL727" i="1812"/>
  <c r="AL720" i="1812"/>
  <c r="AL740" i="1812" l="1"/>
  <c r="AL738" i="1812" s="1"/>
  <c r="AL412" i="1812" s="1"/>
  <c r="AL742" i="1812"/>
  <c r="AJ33" i="1821"/>
  <c r="AJ66" i="1810"/>
  <c r="AK66" i="1810"/>
  <c r="AI33" i="1821"/>
  <c r="M55" i="1821"/>
  <c r="M56" i="1821" s="1"/>
  <c r="M64" i="1821" s="1"/>
  <c r="M65" i="1821" s="1"/>
  <c r="S39" i="1821"/>
  <c r="O50" i="1821"/>
  <c r="S51" i="1821" s="1"/>
  <c r="O61" i="1821"/>
  <c r="R100" i="1821"/>
  <c r="H40" i="1821"/>
  <c r="O39" i="1821"/>
  <c r="H45" i="1821"/>
  <c r="H47" i="1821" s="1"/>
  <c r="M100" i="1821"/>
  <c r="J39" i="1821"/>
  <c r="H39" i="1821"/>
  <c r="J61" i="1821"/>
  <c r="M39" i="1821"/>
  <c r="I40" i="1821"/>
  <c r="I45" i="1821"/>
  <c r="I47" i="1821" s="1"/>
  <c r="O40" i="1821"/>
  <c r="O45" i="1821"/>
  <c r="S46" i="1821" s="1"/>
  <c r="P100" i="1821"/>
  <c r="J45" i="1821"/>
  <c r="N46" i="1821" s="1"/>
  <c r="J50" i="1821"/>
  <c r="N51" i="1821" s="1"/>
  <c r="L39" i="1821"/>
  <c r="M51" i="1821"/>
  <c r="L100" i="1821"/>
  <c r="I39" i="1821"/>
  <c r="I61" i="1821"/>
  <c r="J100" i="1821"/>
  <c r="K100" i="1821"/>
  <c r="AH19" i="1821"/>
  <c r="AG31" i="1821"/>
  <c r="I100" i="1821"/>
  <c r="H100" i="1821"/>
  <c r="H50" i="1821"/>
  <c r="H52" i="1821" s="1"/>
  <c r="G10" i="1809"/>
  <c r="N132" i="1810"/>
  <c r="L414" i="121"/>
  <c r="L416" i="121" s="1"/>
  <c r="L30" i="121" s="1"/>
  <c r="L29" i="1810" s="1"/>
  <c r="L31" i="1810" s="1"/>
  <c r="L12" i="1821" s="1"/>
  <c r="AC103" i="121"/>
  <c r="AC119" i="1810" s="1"/>
  <c r="AC121" i="1810" s="1"/>
  <c r="AC49" i="1821" s="1"/>
  <c r="O23" i="121"/>
  <c r="N23" i="121"/>
  <c r="I36" i="1809"/>
  <c r="K403" i="121"/>
  <c r="K404" i="121"/>
  <c r="K405" i="121"/>
  <c r="K406" i="121"/>
  <c r="S132" i="1810"/>
  <c r="W133" i="1810" s="1"/>
  <c r="T132" i="1810"/>
  <c r="X133" i="1810" s="1"/>
  <c r="U414" i="121"/>
  <c r="U416" i="121" s="1"/>
  <c r="N9" i="1810"/>
  <c r="N415" i="121"/>
  <c r="N416" i="121" s="1"/>
  <c r="AI130" i="1810"/>
  <c r="AI124" i="1810"/>
  <c r="AI123" i="1810"/>
  <c r="V145" i="1810"/>
  <c r="V140" i="1810"/>
  <c r="M47" i="1821"/>
  <c r="Q130" i="1810"/>
  <c r="Q123" i="1810"/>
  <c r="Q124" i="1810"/>
  <c r="U123" i="1810"/>
  <c r="AH130" i="1810"/>
  <c r="AK55" i="1821"/>
  <c r="AK52" i="1821"/>
  <c r="AI46" i="1810"/>
  <c r="AI8" i="1821"/>
  <c r="AI40" i="1821" s="1"/>
  <c r="AI76" i="1810"/>
  <c r="AI61" i="1810"/>
  <c r="P47" i="1821"/>
  <c r="P46" i="1821"/>
  <c r="R47" i="1821"/>
  <c r="R46" i="1821"/>
  <c r="V62" i="1821"/>
  <c r="V43" i="1821"/>
  <c r="V45" i="1821"/>
  <c r="AI101" i="1810"/>
  <c r="T56" i="1821"/>
  <c r="T64" i="1821" s="1"/>
  <c r="T65" i="1821" s="1"/>
  <c r="R70" i="1821"/>
  <c r="X141" i="1810"/>
  <c r="T144" i="1810"/>
  <c r="AI91" i="1810"/>
  <c r="R55" i="1821"/>
  <c r="R52" i="1821"/>
  <c r="R51" i="1821"/>
  <c r="V51" i="1821"/>
  <c r="AK137" i="1810"/>
  <c r="AK42" i="1821"/>
  <c r="AK101" i="1810"/>
  <c r="AK106" i="1810"/>
  <c r="H131" i="1810"/>
  <c r="H139" i="1810" s="1"/>
  <c r="H140" i="1810" s="1"/>
  <c r="H144" i="1810" s="1"/>
  <c r="L132" i="1810"/>
  <c r="AA49" i="1821"/>
  <c r="AG20" i="1821"/>
  <c r="Q61" i="1821"/>
  <c r="Q50" i="1821"/>
  <c r="Q39" i="1821"/>
  <c r="Q40" i="1821"/>
  <c r="Q45" i="1821"/>
  <c r="T100" i="1821"/>
  <c r="U39" i="1821"/>
  <c r="P51" i="1821"/>
  <c r="P52" i="1821"/>
  <c r="P55" i="1821"/>
  <c r="AJ16" i="1810"/>
  <c r="AJ8" i="1821"/>
  <c r="AJ43" i="1821" s="1"/>
  <c r="AK16" i="1810"/>
  <c r="AJ46" i="1810"/>
  <c r="AJ61" i="1810"/>
  <c r="K52" i="1821"/>
  <c r="K55" i="1821"/>
  <c r="K51" i="1821"/>
  <c r="AH100" i="1821"/>
  <c r="AH45" i="1821"/>
  <c r="AH61" i="1821"/>
  <c r="AH50" i="1821"/>
  <c r="O131" i="1810"/>
  <c r="O139" i="1810" s="1"/>
  <c r="O140" i="1810" s="1"/>
  <c r="AI62" i="1821"/>
  <c r="AI70" i="1821" s="1"/>
  <c r="L144" i="1810"/>
  <c r="AK131" i="1810"/>
  <c r="AK139" i="1810" s="1"/>
  <c r="M144" i="1810"/>
  <c r="AG122" i="1810"/>
  <c r="AG136" i="1810"/>
  <c r="AG91" i="1810"/>
  <c r="AG106" i="1810"/>
  <c r="AG116" i="1810" s="1"/>
  <c r="F160" i="1810"/>
  <c r="AG160" i="1810"/>
  <c r="M132" i="1810"/>
  <c r="AJ84" i="1810"/>
  <c r="AJ104" i="1810"/>
  <c r="AJ89" i="1810"/>
  <c r="AK84" i="1810"/>
  <c r="G52" i="1821"/>
  <c r="G55" i="1821"/>
  <c r="G51" i="1821"/>
  <c r="W141" i="1810"/>
  <c r="S144" i="1810"/>
  <c r="AJ101" i="1810"/>
  <c r="K131" i="1810"/>
  <c r="K139" i="1810" s="1"/>
  <c r="K140" i="1810" s="1"/>
  <c r="AI61" i="1821"/>
  <c r="AI50" i="1821"/>
  <c r="AI45" i="1821"/>
  <c r="AI39" i="1821"/>
  <c r="AI100" i="1821"/>
  <c r="G131" i="1810"/>
  <c r="G139" i="1810" s="1"/>
  <c r="G140" i="1810" s="1"/>
  <c r="G144" i="1810" s="1"/>
  <c r="R145" i="1810"/>
  <c r="U57" i="1821"/>
  <c r="J131" i="1810"/>
  <c r="J139" i="1810" s="1"/>
  <c r="J140" i="1810" s="1"/>
  <c r="J144" i="1810" s="1"/>
  <c r="Q100" i="1821"/>
  <c r="Y66" i="1821"/>
  <c r="AJ35" i="1821"/>
  <c r="AJ38" i="1821" s="1"/>
  <c r="AJ143" i="1810"/>
  <c r="AJ76" i="1810"/>
  <c r="AJ81" i="1810"/>
  <c r="G24" i="1809" s="1"/>
  <c r="V116" i="1810"/>
  <c r="V111" i="1810"/>
  <c r="S56" i="1821"/>
  <c r="S64" i="1821" s="1"/>
  <c r="S65" i="1821" s="1"/>
  <c r="L56" i="1821"/>
  <c r="L64" i="1821" s="1"/>
  <c r="L65" i="1821" s="1"/>
  <c r="AH86" i="1810"/>
  <c r="AJ62" i="1821"/>
  <c r="P131" i="1810"/>
  <c r="P139" i="1810" s="1"/>
  <c r="P140" i="1810" s="1"/>
  <c r="N56" i="1821"/>
  <c r="N64" i="1821" s="1"/>
  <c r="N65" i="1821" s="1"/>
  <c r="AH109" i="1810"/>
  <c r="AI116" i="1810"/>
  <c r="AI111" i="1810"/>
  <c r="S100" i="1821"/>
  <c r="R131" i="1810"/>
  <c r="R139" i="1810" s="1"/>
  <c r="R140" i="1810" s="1"/>
  <c r="R141" i="1810" s="1"/>
  <c r="K47" i="1821"/>
  <c r="K46" i="1821"/>
  <c r="Q116" i="1810"/>
  <c r="Q111" i="1810"/>
  <c r="U111" i="1810"/>
  <c r="I55" i="1821"/>
  <c r="I51" i="1821"/>
  <c r="I52" i="1821"/>
  <c r="I131" i="1810"/>
  <c r="I139" i="1810" s="1"/>
  <c r="I140" i="1810" s="1"/>
  <c r="I144" i="1810" s="1"/>
  <c r="AC57" i="121"/>
  <c r="AM236" i="121"/>
  <c r="AM241" i="121"/>
  <c r="AE76" i="1583"/>
  <c r="AJ167" i="121"/>
  <c r="AJ168" i="121" s="1"/>
  <c r="Y256" i="121"/>
  <c r="Y255" i="121"/>
  <c r="AG102" i="1814"/>
  <c r="AL728" i="1812"/>
  <c r="AL726" i="1812"/>
  <c r="AL724" i="1812" s="1"/>
  <c r="AL733" i="1812"/>
  <c r="AL731" i="1812" s="1"/>
  <c r="AL719" i="1812"/>
  <c r="AL717" i="1812" s="1"/>
  <c r="AL735" i="1812"/>
  <c r="AL721" i="1812"/>
  <c r="AK232" i="1812"/>
  <c r="AK235" i="1812"/>
  <c r="BG745" i="1812"/>
  <c r="AM4" i="1812"/>
  <c r="BG3" i="1812"/>
  <c r="W237" i="121"/>
  <c r="AA232" i="121"/>
  <c r="AA237" i="121"/>
  <c r="AA242" i="121"/>
  <c r="AB237" i="121"/>
  <c r="AB242" i="121"/>
  <c r="AA55" i="121"/>
  <c r="AB55" i="121"/>
  <c r="AA56" i="121"/>
  <c r="AB56" i="121"/>
  <c r="AA47" i="121"/>
  <c r="AM45" i="121"/>
  <c r="AA50" i="121"/>
  <c r="AM46" i="121"/>
  <c r="AA51" i="121"/>
  <c r="X242" i="121"/>
  <c r="X237" i="121"/>
  <c r="W242" i="121"/>
  <c r="W232" i="121"/>
  <c r="X257" i="121"/>
  <c r="X254" i="121"/>
  <c r="AL227" i="121"/>
  <c r="AL237" i="121" s="1"/>
  <c r="W253" i="121"/>
  <c r="W256" i="121" s="1"/>
  <c r="I378" i="121"/>
  <c r="I377" i="121" s="1"/>
  <c r="H21" i="155"/>
  <c r="G61" i="155"/>
  <c r="G14" i="155"/>
  <c r="H17" i="155" s="1"/>
  <c r="G28" i="155"/>
  <c r="G30" i="155" s="1"/>
  <c r="G21" i="155"/>
  <c r="AL241" i="121"/>
  <c r="AL236" i="121"/>
  <c r="AL231" i="121"/>
  <c r="G19" i="1712"/>
  <c r="H21" i="1711"/>
  <c r="G28" i="1711"/>
  <c r="G29" i="1711" s="1"/>
  <c r="G21" i="1711"/>
  <c r="N386" i="121"/>
  <c r="N387" i="121"/>
  <c r="N388" i="121"/>
  <c r="N389" i="121"/>
  <c r="AJ101" i="121"/>
  <c r="G25" i="1712"/>
  <c r="G27" i="1712" s="1"/>
  <c r="G16" i="1712"/>
  <c r="H15" i="1807"/>
  <c r="G58" i="1712"/>
  <c r="G61" i="1711"/>
  <c r="G38" i="1711"/>
  <c r="G17" i="1535"/>
  <c r="H17" i="1535" s="1"/>
  <c r="I17" i="1535" s="1"/>
  <c r="G22" i="1538"/>
  <c r="G24" i="1538" s="1"/>
  <c r="G55" i="1535"/>
  <c r="G55" i="1538"/>
  <c r="G32" i="1538"/>
  <c r="G16" i="1538"/>
  <c r="AJ106" i="121"/>
  <c r="AJ107" i="121" s="1"/>
  <c r="AJ117" i="121" s="1"/>
  <c r="AJ118" i="121" s="1"/>
  <c r="O397" i="121"/>
  <c r="O399" i="121" s="1"/>
  <c r="G22" i="1535"/>
  <c r="G24" i="1535" s="1"/>
  <c r="AK300" i="121"/>
  <c r="AK294" i="121"/>
  <c r="AK282" i="121"/>
  <c r="AK288" i="121" s="1"/>
  <c r="AK299" i="121"/>
  <c r="AK281" i="121"/>
  <c r="AK287" i="121" s="1"/>
  <c r="AK293" i="121"/>
  <c r="AK277" i="121"/>
  <c r="AK319" i="121"/>
  <c r="G16" i="1535"/>
  <c r="G32" i="1535"/>
  <c r="V299" i="121"/>
  <c r="V281" i="121"/>
  <c r="V293" i="121"/>
  <c r="V287" i="121"/>
  <c r="G41" i="1807"/>
  <c r="D32" i="1809"/>
  <c r="E33" i="1809" s="1"/>
  <c r="E25" i="1809"/>
  <c r="D26" i="1809"/>
  <c r="G22" i="155"/>
  <c r="H23" i="155"/>
  <c r="D54" i="1809"/>
  <c r="D18" i="1809"/>
  <c r="D20" i="1809" s="1"/>
  <c r="G30" i="1712"/>
  <c r="F13" i="1809"/>
  <c r="F26" i="1808"/>
  <c r="F81" i="1808"/>
  <c r="H80" i="1808"/>
  <c r="H26" i="1808" s="1"/>
  <c r="F84" i="1808"/>
  <c r="H84" i="1808" s="1"/>
  <c r="H9" i="155"/>
  <c r="H11" i="1538" s="1"/>
  <c r="G26" i="155"/>
  <c r="D69" i="1808"/>
  <c r="D68" i="1808"/>
  <c r="C25" i="1808"/>
  <c r="F89" i="1808"/>
  <c r="F35" i="1808" s="1"/>
  <c r="C39" i="1808"/>
  <c r="H8" i="1712"/>
  <c r="I8" i="1712" s="1"/>
  <c r="G27" i="1538"/>
  <c r="H9" i="1538"/>
  <c r="H19" i="1538" s="1"/>
  <c r="H26" i="1538" s="1"/>
  <c r="F8" i="1809"/>
  <c r="F34" i="1809" s="1"/>
  <c r="H29" i="1809"/>
  <c r="H30" i="1809" s="1"/>
  <c r="F33" i="1809"/>
  <c r="F45" i="1809"/>
  <c r="E45" i="1809"/>
  <c r="E50" i="1809" s="1"/>
  <c r="F19" i="1809"/>
  <c r="H42" i="1809"/>
  <c r="H26" i="1809"/>
  <c r="H18" i="1809"/>
  <c r="H12" i="1809" s="1"/>
  <c r="F51" i="1809"/>
  <c r="G8" i="1809"/>
  <c r="O72" i="1808"/>
  <c r="R124" i="121"/>
  <c r="R123" i="121" s="1"/>
  <c r="C85" i="1808"/>
  <c r="AK100" i="121"/>
  <c r="AF188" i="1583"/>
  <c r="C92" i="1808"/>
  <c r="F92" i="1808" s="1"/>
  <c r="G20" i="1712"/>
  <c r="H20" i="1712" s="1"/>
  <c r="G22" i="1711"/>
  <c r="G17" i="1538"/>
  <c r="H17" i="1538" s="1"/>
  <c r="G26" i="1711"/>
  <c r="H23" i="1711"/>
  <c r="G20" i="1535"/>
  <c r="G27" i="1535"/>
  <c r="H9" i="1711"/>
  <c r="H9" i="1535"/>
  <c r="H19" i="1535" s="1"/>
  <c r="H26" i="1535" s="1"/>
  <c r="G9" i="1807"/>
  <c r="G33" i="1807"/>
  <c r="H9" i="1807"/>
  <c r="G23" i="1807"/>
  <c r="G22" i="1807"/>
  <c r="H23" i="1807"/>
  <c r="F33" i="1807"/>
  <c r="F26" i="1807"/>
  <c r="F22" i="1807"/>
  <c r="F42" i="1807"/>
  <c r="F53" i="1712"/>
  <c r="F56" i="1807"/>
  <c r="F30" i="1807"/>
  <c r="G16" i="1807"/>
  <c r="H17" i="1807"/>
  <c r="G17" i="1807"/>
  <c r="H26" i="1807"/>
  <c r="H28" i="1807"/>
  <c r="F16" i="1807"/>
  <c r="G30" i="1807"/>
  <c r="E42" i="1807"/>
  <c r="AK271" i="121"/>
  <c r="AE170" i="1583"/>
  <c r="AE194" i="1583"/>
  <c r="AE206" i="1583" s="1"/>
  <c r="AE176" i="1583"/>
  <c r="AK159" i="121"/>
  <c r="H16" i="155"/>
  <c r="V257" i="121"/>
  <c r="AL156" i="1541"/>
  <c r="U200" i="1583"/>
  <c r="V378" i="121"/>
  <c r="V271" i="121"/>
  <c r="V277" i="121"/>
  <c r="Q200" i="1583"/>
  <c r="AO59" i="1541"/>
  <c r="AP59" i="1541" s="1"/>
  <c r="AO126" i="1541"/>
  <c r="AP126" i="1541" s="1"/>
  <c r="L19" i="1711"/>
  <c r="O12" i="1806"/>
  <c r="N13" i="1806"/>
  <c r="U397" i="121"/>
  <c r="U399" i="121" s="1"/>
  <c r="AD200" i="1583"/>
  <c r="M209" i="1583"/>
  <c r="M203" i="1583"/>
  <c r="P209" i="1583"/>
  <c r="P203" i="1583"/>
  <c r="T203" i="1583"/>
  <c r="Q209" i="1583"/>
  <c r="Q203" i="1583"/>
  <c r="H209" i="1583"/>
  <c r="L203" i="1583"/>
  <c r="Q111" i="121"/>
  <c r="U111" i="121"/>
  <c r="U203" i="1583"/>
  <c r="AC200" i="1583"/>
  <c r="K209" i="1583"/>
  <c r="K203" i="1583"/>
  <c r="O209" i="1583"/>
  <c r="O203" i="1583"/>
  <c r="S203" i="1583"/>
  <c r="V206" i="1583"/>
  <c r="V200" i="1583"/>
  <c r="V254" i="121"/>
  <c r="I20" i="1711"/>
  <c r="V191" i="1583"/>
  <c r="V197" i="1583"/>
  <c r="W213" i="1583" s="1"/>
  <c r="W216" i="1583" s="1"/>
  <c r="AF185" i="1583"/>
  <c r="G10" i="1535"/>
  <c r="F22" i="155"/>
  <c r="R354" i="1554"/>
  <c r="F20" i="1712"/>
  <c r="AF194" i="1583"/>
  <c r="H26" i="1711"/>
  <c r="H28" i="1711"/>
  <c r="F17" i="1535"/>
  <c r="H26" i="155"/>
  <c r="H28" i="155"/>
  <c r="F17" i="1538"/>
  <c r="AI22" i="1541"/>
  <c r="AI23" i="1541" s="1"/>
  <c r="AI141" i="1541"/>
  <c r="AI145" i="1541" s="1"/>
  <c r="G23" i="1711"/>
  <c r="F22" i="1711"/>
  <c r="G9" i="1712"/>
  <c r="AJ133" i="121"/>
  <c r="AJ148" i="1810" s="1"/>
  <c r="AJ150" i="1810" s="1"/>
  <c r="AJ73" i="1821" s="1"/>
  <c r="F26" i="1711"/>
  <c r="I123" i="121"/>
  <c r="F23" i="1712"/>
  <c r="AF139" i="1541"/>
  <c r="AF162" i="1541" s="1"/>
  <c r="AH110" i="121"/>
  <c r="AJ11" i="1541"/>
  <c r="G23" i="155"/>
  <c r="F56" i="1711"/>
  <c r="F56" i="155"/>
  <c r="G9" i="1711"/>
  <c r="F50" i="1535"/>
  <c r="F50" i="1538"/>
  <c r="AL134" i="1541"/>
  <c r="AI389" i="121"/>
  <c r="AI388" i="121"/>
  <c r="AI387" i="121"/>
  <c r="AI386" i="121"/>
  <c r="AO33" i="1541"/>
  <c r="AO40" i="1541" s="1"/>
  <c r="G10" i="1538"/>
  <c r="AD188" i="1583"/>
  <c r="AL83" i="1541"/>
  <c r="AL141" i="1541" s="1"/>
  <c r="AL145" i="1541" s="1"/>
  <c r="J123" i="121"/>
  <c r="AI105" i="1541"/>
  <c r="AH198" i="1541"/>
  <c r="AH204" i="1541" s="1"/>
  <c r="N101" i="121"/>
  <c r="R94" i="121"/>
  <c r="N398" i="121"/>
  <c r="R88" i="121"/>
  <c r="N87" i="121"/>
  <c r="N42" i="121"/>
  <c r="N246" i="121"/>
  <c r="N16" i="1619"/>
  <c r="N15" i="1619" s="1"/>
  <c r="N245" i="121"/>
  <c r="N31" i="1583"/>
  <c r="N62" i="121"/>
  <c r="N60" i="121"/>
  <c r="N93" i="121"/>
  <c r="R13" i="121"/>
  <c r="N257" i="121"/>
  <c r="R15" i="121"/>
  <c r="AJ15" i="121" s="1"/>
  <c r="N97" i="121"/>
  <c r="N16" i="121"/>
  <c r="N247" i="121"/>
  <c r="O16" i="121"/>
  <c r="R22" i="121"/>
  <c r="N61" i="121"/>
  <c r="G9" i="155"/>
  <c r="Q117" i="121"/>
  <c r="Q118" i="121" s="1"/>
  <c r="Q120" i="121"/>
  <c r="P243" i="1583"/>
  <c r="P240" i="1583"/>
  <c r="P246" i="1583" s="1"/>
  <c r="F26" i="155"/>
  <c r="AH12" i="121"/>
  <c r="AH9" i="1810" s="1"/>
  <c r="AH19" i="121"/>
  <c r="AI19" i="121"/>
  <c r="AD220" i="1583"/>
  <c r="AD232" i="1583"/>
  <c r="AD146" i="1583"/>
  <c r="AD34" i="1583"/>
  <c r="AE69" i="1583" s="1"/>
  <c r="AE47" i="1583"/>
  <c r="AD158" i="1583"/>
  <c r="AD128" i="1583"/>
  <c r="AD206" i="1583"/>
  <c r="F20" i="1538"/>
  <c r="N159" i="121"/>
  <c r="J159" i="121"/>
  <c r="AJ377" i="121"/>
  <c r="F20" i="1535"/>
  <c r="P111" i="121"/>
  <c r="T111" i="121"/>
  <c r="AD174" i="1541"/>
  <c r="AC131" i="1541"/>
  <c r="AB131" i="1541"/>
  <c r="F24" i="1535"/>
  <c r="F35" i="1535"/>
  <c r="F23" i="1535"/>
  <c r="AM156" i="1541"/>
  <c r="AN149" i="1541"/>
  <c r="Q10" i="155"/>
  <c r="G117" i="121"/>
  <c r="G118" i="121" s="1"/>
  <c r="G120" i="121"/>
  <c r="AB33" i="1541"/>
  <c r="E15" i="1711"/>
  <c r="AO181" i="1541"/>
  <c r="AO180" i="1541" s="1"/>
  <c r="AO187" i="1541" s="1"/>
  <c r="AO121" i="1541"/>
  <c r="F26" i="1712"/>
  <c r="F27" i="1712"/>
  <c r="F38" i="1712"/>
  <c r="AK253" i="121"/>
  <c r="V255" i="121"/>
  <c r="V256" i="121"/>
  <c r="AB22" i="1541"/>
  <c r="AB23" i="1541" s="1"/>
  <c r="AB21" i="1541"/>
  <c r="D41" i="1711"/>
  <c r="D30" i="1711"/>
  <c r="D41" i="155"/>
  <c r="D30" i="155"/>
  <c r="AM96" i="1541"/>
  <c r="AM134" i="1541" s="1"/>
  <c r="AN195" i="1541"/>
  <c r="AD9" i="1541"/>
  <c r="AD192" i="1541"/>
  <c r="AD194" i="1541"/>
  <c r="E29" i="1711"/>
  <c r="E41" i="1711"/>
  <c r="E38" i="1712"/>
  <c r="E26" i="1712"/>
  <c r="AH142" i="1541"/>
  <c r="AN8" i="1541"/>
  <c r="AH39" i="1541"/>
  <c r="AH82" i="1541"/>
  <c r="AH14" i="1541"/>
  <c r="AH85" i="1541"/>
  <c r="AH102" i="1541"/>
  <c r="AH16" i="1541"/>
  <c r="AH20" i="1541" s="1"/>
  <c r="AH143" i="1541"/>
  <c r="AJ143" i="1541" s="1"/>
  <c r="AH25" i="1541"/>
  <c r="AJ25" i="1541" s="1"/>
  <c r="AJ8" i="1541"/>
  <c r="AP12" i="1541" s="1"/>
  <c r="AH29" i="1541"/>
  <c r="AJ29" i="1541" s="1"/>
  <c r="AH96" i="1541"/>
  <c r="AI14" i="1541"/>
  <c r="AO22" i="1541"/>
  <c r="AO21" i="1541"/>
  <c r="AD237" i="1583"/>
  <c r="AD252" i="1583"/>
  <c r="AC51" i="1541"/>
  <c r="AC53" i="1541" s="1"/>
  <c r="AC63" i="1541"/>
  <c r="AL136" i="1541"/>
  <c r="AM103" i="1541"/>
  <c r="E29" i="155"/>
  <c r="E41" i="155"/>
  <c r="AI107" i="121"/>
  <c r="AI108" i="121" s="1"/>
  <c r="F41" i="155"/>
  <c r="F29" i="155"/>
  <c r="F30" i="155"/>
  <c r="AD197" i="1583"/>
  <c r="AD173" i="1583"/>
  <c r="N240" i="1583"/>
  <c r="AO97" i="1541"/>
  <c r="F16" i="155"/>
  <c r="F15" i="155"/>
  <c r="E23" i="1538"/>
  <c r="E35" i="1538"/>
  <c r="AE179" i="1583"/>
  <c r="AE197" i="1583"/>
  <c r="AE173" i="1583"/>
  <c r="O117" i="121"/>
  <c r="O118" i="121" s="1"/>
  <c r="O120" i="121"/>
  <c r="AL135" i="1541"/>
  <c r="AJ13" i="1541"/>
  <c r="AD26" i="1541"/>
  <c r="AD27" i="1541" s="1"/>
  <c r="AJ10" i="1541"/>
  <c r="H120" i="121"/>
  <c r="H117" i="121"/>
  <c r="H118" i="121" s="1"/>
  <c r="O108" i="121"/>
  <c r="O110" i="121" s="1"/>
  <c r="AG107" i="121"/>
  <c r="AG108" i="121" s="1"/>
  <c r="R61" i="1711"/>
  <c r="AD142" i="1541"/>
  <c r="AB186" i="1541"/>
  <c r="AB175" i="1541"/>
  <c r="AB145" i="1541"/>
  <c r="AB132" i="1541"/>
  <c r="AC132" i="1541"/>
  <c r="F29" i="1711"/>
  <c r="F41" i="1711"/>
  <c r="F30" i="1711"/>
  <c r="P120" i="121"/>
  <c r="P117" i="121"/>
  <c r="P118" i="121" s="1"/>
  <c r="AD195" i="1541"/>
  <c r="AL120" i="1541"/>
  <c r="AL54" i="1541"/>
  <c r="D35" i="1538"/>
  <c r="D24" i="1538"/>
  <c r="D35" i="1535"/>
  <c r="D24" i="1535"/>
  <c r="AH107" i="121"/>
  <c r="AH108" i="121" s="1"/>
  <c r="AD16" i="1541"/>
  <c r="AD17" i="1541" s="1"/>
  <c r="AD18" i="1541" s="1"/>
  <c r="AB97" i="1541"/>
  <c r="K120" i="121"/>
  <c r="K117" i="121"/>
  <c r="K118" i="121" s="1"/>
  <c r="AB179" i="1583"/>
  <c r="AB197" i="1583"/>
  <c r="AB209" i="1583" s="1"/>
  <c r="AL64" i="1541"/>
  <c r="AL66" i="1541" s="1"/>
  <c r="D27" i="1712"/>
  <c r="D38" i="1712"/>
  <c r="S58" i="1712"/>
  <c r="AB121" i="1541"/>
  <c r="AD121" i="1541" s="1"/>
  <c r="AD39" i="1541"/>
  <c r="AB181" i="1541"/>
  <c r="AB180" i="1541" s="1"/>
  <c r="AB187" i="1541" s="1"/>
  <c r="AD187" i="1541" s="1"/>
  <c r="AI40" i="1541"/>
  <c r="AI41" i="1541" s="1"/>
  <c r="AI37" i="1541"/>
  <c r="AI35" i="1541"/>
  <c r="AI36" i="1541" s="1"/>
  <c r="AI34" i="1541"/>
  <c r="AI74" i="1541"/>
  <c r="AI75" i="1541" s="1"/>
  <c r="AI50" i="1541"/>
  <c r="AB134" i="1541"/>
  <c r="AC134" i="1541"/>
  <c r="AP102" i="1541"/>
  <c r="K111" i="121"/>
  <c r="AI110" i="121"/>
  <c r="E35" i="1535"/>
  <c r="E23" i="1535"/>
  <c r="AO72" i="1541"/>
  <c r="AP71" i="1541"/>
  <c r="AP72" i="1541" s="1"/>
  <c r="G17" i="1711"/>
  <c r="G16" i="1711"/>
  <c r="G15" i="1711"/>
  <c r="H15" i="1711"/>
  <c r="H17" i="1711"/>
  <c r="AO125" i="1541"/>
  <c r="AP125" i="1541" s="1"/>
  <c r="AP111" i="1541"/>
  <c r="M8" i="1711"/>
  <c r="L25" i="1711"/>
  <c r="E15" i="155"/>
  <c r="AC197" i="1583"/>
  <c r="AC173" i="1583"/>
  <c r="AD30" i="1541"/>
  <c r="AD31" i="1541" s="1"/>
  <c r="AM110" i="1541"/>
  <c r="AF77" i="1541"/>
  <c r="AJ12" i="1541"/>
  <c r="F15" i="1711"/>
  <c r="F16" i="1711"/>
  <c r="AO175" i="1541"/>
  <c r="AO186" i="1541"/>
  <c r="F24" i="1538"/>
  <c r="F35" i="1538"/>
  <c r="F23" i="1538"/>
  <c r="AK237" i="121"/>
  <c r="AK232" i="121"/>
  <c r="AK242" i="121"/>
  <c r="AK247" i="121"/>
  <c r="AD193" i="1541"/>
  <c r="AM69" i="1541"/>
  <c r="AM70" i="1541" s="1"/>
  <c r="AM76" i="1541"/>
  <c r="AM77" i="1541" s="1"/>
  <c r="AM68" i="1541"/>
  <c r="AM67" i="1541"/>
  <c r="I383" i="121"/>
  <c r="I382" i="121"/>
  <c r="I381" i="121"/>
  <c r="I380" i="121"/>
  <c r="V380" i="121"/>
  <c r="V381" i="121"/>
  <c r="V382" i="121"/>
  <c r="V383" i="121"/>
  <c r="O24" i="1810" l="1"/>
  <c r="R64" i="1810"/>
  <c r="AH64" i="1810"/>
  <c r="AI64" i="1810"/>
  <c r="O52" i="1821"/>
  <c r="O51" i="1821"/>
  <c r="O55" i="1821"/>
  <c r="O56" i="1821" s="1"/>
  <c r="O64" i="1821" s="1"/>
  <c r="O65" i="1821" s="1"/>
  <c r="H55" i="1821"/>
  <c r="H56" i="1821" s="1"/>
  <c r="H64" i="1821" s="1"/>
  <c r="H65" i="1821" s="1"/>
  <c r="H69" i="1821" s="1"/>
  <c r="L46" i="1821"/>
  <c r="H51" i="1821"/>
  <c r="L51" i="1821"/>
  <c r="O46" i="1821"/>
  <c r="O47" i="1821"/>
  <c r="J51" i="1821"/>
  <c r="M46" i="1821"/>
  <c r="J55" i="1821"/>
  <c r="J56" i="1821" s="1"/>
  <c r="J64" i="1821" s="1"/>
  <c r="J65" i="1821" s="1"/>
  <c r="J69" i="1821" s="1"/>
  <c r="AG38" i="1821"/>
  <c r="AH39" i="1821" s="1"/>
  <c r="AG33" i="1821"/>
  <c r="AH32" i="1821"/>
  <c r="N59" i="1810"/>
  <c r="N74" i="1810"/>
  <c r="K414" i="121"/>
  <c r="K416" i="121" s="1"/>
  <c r="AI43" i="1821"/>
  <c r="T57" i="1821"/>
  <c r="X58" i="1821" s="1"/>
  <c r="AD103" i="121"/>
  <c r="AD119" i="1810" s="1"/>
  <c r="AD121" i="1810" s="1"/>
  <c r="AD49" i="1821" s="1"/>
  <c r="AK140" i="1810"/>
  <c r="O132" i="1810"/>
  <c r="S133" i="1810" s="1"/>
  <c r="N114" i="1810"/>
  <c r="M57" i="1821"/>
  <c r="N89" i="1810"/>
  <c r="V144" i="1810"/>
  <c r="AK144" i="1810" s="1"/>
  <c r="N24" i="1810"/>
  <c r="J403" i="121"/>
  <c r="J404" i="121"/>
  <c r="J405" i="121"/>
  <c r="J406" i="121"/>
  <c r="V406" i="121"/>
  <c r="V405" i="121"/>
  <c r="V404" i="121"/>
  <c r="V403" i="121"/>
  <c r="N57" i="1821"/>
  <c r="R21" i="1810"/>
  <c r="R10" i="1821" s="1"/>
  <c r="N11" i="1810"/>
  <c r="R132" i="1810"/>
  <c r="V133" i="1810" s="1"/>
  <c r="N44" i="1810"/>
  <c r="R14" i="1810"/>
  <c r="S57" i="1821"/>
  <c r="W58" i="1821" s="1"/>
  <c r="K132" i="1810"/>
  <c r="H132" i="1810"/>
  <c r="L133" i="1810" s="1"/>
  <c r="N99" i="1810"/>
  <c r="L69" i="1821"/>
  <c r="AJ68" i="1821"/>
  <c r="AJ36" i="1821"/>
  <c r="N141" i="1810"/>
  <c r="P56" i="1821"/>
  <c r="P64" i="1821" s="1"/>
  <c r="P65" i="1821" s="1"/>
  <c r="Q52" i="1821"/>
  <c r="Q51" i="1821"/>
  <c r="Q55" i="1821"/>
  <c r="U51" i="1821"/>
  <c r="V47" i="1821"/>
  <c r="V46" i="1821"/>
  <c r="AH131" i="1810"/>
  <c r="AH139" i="1810" s="1"/>
  <c r="AH140" i="1810" s="1"/>
  <c r="N69" i="1821"/>
  <c r="J132" i="1810"/>
  <c r="N133" i="1810" s="1"/>
  <c r="AI46" i="1821"/>
  <c r="AI47" i="1821"/>
  <c r="O141" i="1810"/>
  <c r="O144" i="1810"/>
  <c r="K56" i="1821"/>
  <c r="K64" i="1821" s="1"/>
  <c r="K65" i="1821" s="1"/>
  <c r="X66" i="1821"/>
  <c r="T69" i="1821"/>
  <c r="P141" i="1810"/>
  <c r="P144" i="1810"/>
  <c r="W66" i="1821"/>
  <c r="S69" i="1821"/>
  <c r="Y58" i="1821"/>
  <c r="AI51" i="1821"/>
  <c r="AI52" i="1821"/>
  <c r="AI55" i="1821"/>
  <c r="M141" i="1810"/>
  <c r="R56" i="1821"/>
  <c r="R64" i="1821" s="1"/>
  <c r="R65" i="1821" s="1"/>
  <c r="R66" i="1821" s="1"/>
  <c r="V70" i="1821"/>
  <c r="V65" i="1821"/>
  <c r="AI16" i="1821"/>
  <c r="AI36" i="1821"/>
  <c r="AI20" i="1821"/>
  <c r="P132" i="1810"/>
  <c r="R144" i="1810"/>
  <c r="AJ114" i="1810"/>
  <c r="AJ109" i="1810"/>
  <c r="AK109" i="1810"/>
  <c r="AG124" i="1810"/>
  <c r="AG130" i="1810"/>
  <c r="AK132" i="1810"/>
  <c r="AH55" i="1821"/>
  <c r="AK172" i="1810"/>
  <c r="AK116" i="1810"/>
  <c r="AI131" i="1810"/>
  <c r="AI139" i="1810" s="1"/>
  <c r="AI140" i="1810" s="1"/>
  <c r="I56" i="1821"/>
  <c r="I64" i="1821" s="1"/>
  <c r="I65" i="1821" s="1"/>
  <c r="I69" i="1821" s="1"/>
  <c r="AJ145" i="1810"/>
  <c r="G51" i="1809" s="1"/>
  <c r="G132" i="1810"/>
  <c r="Q131" i="1810"/>
  <c r="Q139" i="1810" s="1"/>
  <c r="Q140" i="1810" s="1"/>
  <c r="AJ70" i="1821"/>
  <c r="AJ122" i="1810"/>
  <c r="AJ136" i="1810"/>
  <c r="AJ106" i="1810"/>
  <c r="AK111" i="1810" s="1"/>
  <c r="AJ86" i="1810"/>
  <c r="AJ91" i="1810"/>
  <c r="AJ160" i="1810"/>
  <c r="AK86" i="1810"/>
  <c r="S141" i="1810"/>
  <c r="L141" i="1810"/>
  <c r="Q46" i="1821"/>
  <c r="Q47" i="1821"/>
  <c r="U46" i="1821"/>
  <c r="AK62" i="1821"/>
  <c r="AK43" i="1821"/>
  <c r="AK45" i="1821"/>
  <c r="M69" i="1821"/>
  <c r="AK56" i="1821"/>
  <c r="AK64" i="1821" s="1"/>
  <c r="AJ9" i="1821"/>
  <c r="AK9" i="1821"/>
  <c r="AJ16" i="1821"/>
  <c r="AJ21" i="1821"/>
  <c r="AK21" i="1821"/>
  <c r="AJ20" i="1821"/>
  <c r="T141" i="1810"/>
  <c r="AH123" i="1810"/>
  <c r="AH14" i="1810"/>
  <c r="AH11" i="1810"/>
  <c r="AH44" i="1810"/>
  <c r="AH74" i="1810"/>
  <c r="AH99" i="1810"/>
  <c r="AH59" i="1810"/>
  <c r="AH89" i="1810"/>
  <c r="AH114" i="1810"/>
  <c r="AI14" i="1810"/>
  <c r="AI21" i="1810"/>
  <c r="AI10" i="1821" s="1"/>
  <c r="I132" i="1810"/>
  <c r="M133" i="1810" s="1"/>
  <c r="L57" i="1821"/>
  <c r="K141" i="1810"/>
  <c r="K144" i="1810"/>
  <c r="G56" i="1821"/>
  <c r="G64" i="1821" s="1"/>
  <c r="G65" i="1821" s="1"/>
  <c r="G69" i="1821" s="1"/>
  <c r="AH111" i="1810"/>
  <c r="V141" i="1810"/>
  <c r="AM232" i="121"/>
  <c r="AM242" i="121"/>
  <c r="AM237" i="121"/>
  <c r="AK386" i="1812"/>
  <c r="BG715" i="1812"/>
  <c r="AJ387" i="1812"/>
  <c r="AI387" i="1812"/>
  <c r="AI389" i="1812"/>
  <c r="AJ389" i="1812"/>
  <c r="AJ571" i="1812"/>
  <c r="AL386" i="1812"/>
  <c r="AL194" i="1812" s="1"/>
  <c r="AI570" i="1812"/>
  <c r="AJ391" i="1812"/>
  <c r="AI391" i="1812"/>
  <c r="AJ570" i="1812"/>
  <c r="AI571" i="1812"/>
  <c r="AI573" i="1812"/>
  <c r="AI572" i="1812"/>
  <c r="AK388" i="1812"/>
  <c r="AK195" i="1812" s="1"/>
  <c r="AJ572" i="1812"/>
  <c r="AJ573" i="1812"/>
  <c r="AK559" i="1812"/>
  <c r="AK565" i="1812"/>
  <c r="AM745" i="1812"/>
  <c r="AN4" i="1812"/>
  <c r="AM3" i="1812"/>
  <c r="AM715" i="1812" s="1"/>
  <c r="AK230" i="1812"/>
  <c r="AL235" i="1812" s="1"/>
  <c r="AK237" i="1812"/>
  <c r="AK238" i="1812"/>
  <c r="AK240" i="1812"/>
  <c r="AK243" i="1812" s="1"/>
  <c r="AK399" i="1812" s="1"/>
  <c r="AL232" i="1812"/>
  <c r="AL222" i="1812" s="1"/>
  <c r="AL362" i="1812" s="1"/>
  <c r="AK222" i="1812"/>
  <c r="AA57" i="121"/>
  <c r="AB57" i="121"/>
  <c r="AL242" i="121"/>
  <c r="AM51" i="121"/>
  <c r="AM56" i="121"/>
  <c r="AM50" i="121"/>
  <c r="AM55" i="121"/>
  <c r="AM47" i="121"/>
  <c r="AA52" i="121"/>
  <c r="W254" i="121"/>
  <c r="X255" i="121"/>
  <c r="W257" i="121"/>
  <c r="X256" i="121"/>
  <c r="W255" i="121"/>
  <c r="AL232" i="121"/>
  <c r="G16" i="155"/>
  <c r="G17" i="155"/>
  <c r="H378" i="121"/>
  <c r="H377" i="121" s="1"/>
  <c r="G15" i="155"/>
  <c r="G41" i="155"/>
  <c r="G29" i="155"/>
  <c r="M386" i="121"/>
  <c r="M387" i="121"/>
  <c r="M388" i="121"/>
  <c r="M389" i="121"/>
  <c r="H15" i="155"/>
  <c r="G38" i="1712"/>
  <c r="G39" i="1712" s="1"/>
  <c r="G26" i="1712"/>
  <c r="H29" i="1711"/>
  <c r="G30" i="1711"/>
  <c r="G41" i="1711"/>
  <c r="F50" i="1809"/>
  <c r="G23" i="1538"/>
  <c r="G23" i="1535"/>
  <c r="G35" i="1538"/>
  <c r="N397" i="121"/>
  <c r="N399" i="121" s="1"/>
  <c r="G35" i="1535"/>
  <c r="G36" i="1535" s="1"/>
  <c r="G42" i="1807"/>
  <c r="AK295" i="121"/>
  <c r="AK301" i="121"/>
  <c r="AK283" i="121"/>
  <c r="AK289" i="121" s="1"/>
  <c r="V301" i="121"/>
  <c r="V295" i="121"/>
  <c r="V289" i="121"/>
  <c r="V283" i="121"/>
  <c r="D34" i="1809"/>
  <c r="D45" i="1809"/>
  <c r="E19" i="1809"/>
  <c r="H81" i="1808"/>
  <c r="F85" i="1808"/>
  <c r="F20" i="1809"/>
  <c r="H11" i="1535"/>
  <c r="H10" i="1712"/>
  <c r="H11" i="1712"/>
  <c r="D12" i="1809"/>
  <c r="H36" i="1808"/>
  <c r="I9" i="1538"/>
  <c r="J9" i="1538" s="1"/>
  <c r="H14" i="1809"/>
  <c r="F14" i="1809"/>
  <c r="H15" i="1538"/>
  <c r="H16" i="1538" s="1"/>
  <c r="I21" i="1711"/>
  <c r="J20" i="1711"/>
  <c r="J21" i="1711" s="1"/>
  <c r="H18" i="1712"/>
  <c r="H16" i="1712" s="1"/>
  <c r="H22" i="1712"/>
  <c r="H29" i="1712" s="1"/>
  <c r="H30" i="1712" s="1"/>
  <c r="I20" i="1712"/>
  <c r="I18" i="1712" s="1"/>
  <c r="F90" i="1808"/>
  <c r="H89" i="1808"/>
  <c r="H39" i="1808" s="1"/>
  <c r="F25" i="1808"/>
  <c r="F39" i="1808"/>
  <c r="H92" i="1808"/>
  <c r="F93" i="1808"/>
  <c r="H32" i="1809"/>
  <c r="G9" i="1809"/>
  <c r="G37" i="1809"/>
  <c r="H9" i="1809"/>
  <c r="G30" i="1809"/>
  <c r="F30" i="1809"/>
  <c r="G26" i="1809"/>
  <c r="G27" i="1809"/>
  <c r="G42" i="1809"/>
  <c r="G25" i="1809"/>
  <c r="G32" i="1809"/>
  <c r="G18" i="1809"/>
  <c r="G54" i="1809"/>
  <c r="H27" i="1809"/>
  <c r="F46" i="1809"/>
  <c r="H20" i="1809"/>
  <c r="F37" i="1809"/>
  <c r="F26" i="1809"/>
  <c r="H25" i="1809"/>
  <c r="E8" i="1807"/>
  <c r="E17" i="1807" s="1"/>
  <c r="AJ124" i="121"/>
  <c r="G56" i="1711" s="1"/>
  <c r="H85" i="1808"/>
  <c r="C93" i="1808"/>
  <c r="I17" i="1538"/>
  <c r="H15" i="1535"/>
  <c r="H22" i="1535" s="1"/>
  <c r="I9" i="1535"/>
  <c r="I15" i="1535" s="1"/>
  <c r="AE200" i="1583"/>
  <c r="H30" i="1807"/>
  <c r="H29" i="1807"/>
  <c r="W377" i="121"/>
  <c r="V386" i="121"/>
  <c r="AK380" i="121"/>
  <c r="V389" i="121"/>
  <c r="AK383" i="121"/>
  <c r="V387" i="121"/>
  <c r="AK381" i="121"/>
  <c r="V388" i="121"/>
  <c r="AK382" i="121"/>
  <c r="M19" i="1711"/>
  <c r="P12" i="1806"/>
  <c r="O13" i="1806"/>
  <c r="AD203" i="1583"/>
  <c r="AE209" i="1583"/>
  <c r="AE203" i="1583"/>
  <c r="AC203" i="1583"/>
  <c r="AF206" i="1583"/>
  <c r="AF200" i="1583"/>
  <c r="V209" i="1583"/>
  <c r="V203" i="1583"/>
  <c r="I23" i="1711"/>
  <c r="I14" i="1711"/>
  <c r="I16" i="1711" s="1"/>
  <c r="H29" i="155"/>
  <c r="I28" i="1711"/>
  <c r="I30" i="1711" s="1"/>
  <c r="AI111" i="121"/>
  <c r="AH109" i="121"/>
  <c r="AG109" i="121" s="1"/>
  <c r="AG110" i="121" s="1"/>
  <c r="AH111" i="121" s="1"/>
  <c r="N243" i="1583"/>
  <c r="N41" i="1583"/>
  <c r="O41" i="1583"/>
  <c r="AF191" i="1583"/>
  <c r="AF197" i="1583"/>
  <c r="AF160" i="1541"/>
  <c r="AJ141" i="1541"/>
  <c r="H30" i="155"/>
  <c r="AO74" i="1541"/>
  <c r="AO75" i="1541" s="1"/>
  <c r="AO23" i="1541"/>
  <c r="H30" i="1711"/>
  <c r="F49" i="1538"/>
  <c r="AO50" i="1541"/>
  <c r="AO51" i="1541" s="1"/>
  <c r="AO53" i="1541" s="1"/>
  <c r="AI109" i="121"/>
  <c r="AO35" i="1541"/>
  <c r="AO36" i="1541" s="1"/>
  <c r="Q123" i="121"/>
  <c r="AL139" i="1541"/>
  <c r="AL160" i="1541" s="1"/>
  <c r="AO34" i="1541"/>
  <c r="AD209" i="1583"/>
  <c r="AD179" i="1583"/>
  <c r="F49" i="1535"/>
  <c r="AO37" i="1541"/>
  <c r="AJ378" i="121"/>
  <c r="AD20" i="1541"/>
  <c r="AD22" i="1541" s="1"/>
  <c r="AD23" i="1541" s="1"/>
  <c r="AI397" i="121"/>
  <c r="AI399" i="121" s="1"/>
  <c r="G123" i="121"/>
  <c r="G11" i="1535"/>
  <c r="G11" i="1538"/>
  <c r="G10" i="1712"/>
  <c r="R14" i="121"/>
  <c r="AJ105" i="1541"/>
  <c r="AI198" i="1541"/>
  <c r="AI204" i="1541" s="1"/>
  <c r="AI106" i="1541"/>
  <c r="AI113" i="1541" s="1"/>
  <c r="AD134" i="1541"/>
  <c r="AD223" i="1583"/>
  <c r="AE50" i="1583"/>
  <c r="AD161" i="1583"/>
  <c r="AD149" i="1583"/>
  <c r="AD235" i="1583"/>
  <c r="AD131" i="1583"/>
  <c r="AD191" i="1583"/>
  <c r="H123" i="121"/>
  <c r="AH88" i="121"/>
  <c r="AH398" i="121"/>
  <c r="AH399" i="121" s="1"/>
  <c r="AH60" i="121"/>
  <c r="AI16" i="121"/>
  <c r="AI88" i="121"/>
  <c r="E8" i="1711"/>
  <c r="AH247" i="121"/>
  <c r="E8" i="155"/>
  <c r="AH61" i="121"/>
  <c r="AH93" i="121"/>
  <c r="AH42" i="121"/>
  <c r="AH94" i="121"/>
  <c r="AH97" i="121"/>
  <c r="E9" i="1538"/>
  <c r="AH62" i="121"/>
  <c r="AI94" i="121"/>
  <c r="AI13" i="121"/>
  <c r="E9" i="1535"/>
  <c r="AH246" i="121"/>
  <c r="E8" i="1712"/>
  <c r="AH87" i="121"/>
  <c r="AC31" i="1583"/>
  <c r="AH257" i="121"/>
  <c r="AH22" i="121"/>
  <c r="AH38" i="121" s="1"/>
  <c r="AH13" i="121"/>
  <c r="AH14" i="121" s="1"/>
  <c r="AH245" i="121"/>
  <c r="AI22" i="121"/>
  <c r="J12" i="121"/>
  <c r="AH16" i="121"/>
  <c r="AH101" i="121"/>
  <c r="N206" i="1583"/>
  <c r="N146" i="1583"/>
  <c r="N220" i="1583"/>
  <c r="N176" i="1583"/>
  <c r="N34" i="1583"/>
  <c r="N57" i="1583"/>
  <c r="O57" i="1583"/>
  <c r="N128" i="1583"/>
  <c r="N232" i="1583"/>
  <c r="R47" i="1583"/>
  <c r="N188" i="1583"/>
  <c r="N158" i="1583"/>
  <c r="AM83" i="1541"/>
  <c r="AN83" i="1541" s="1"/>
  <c r="AC54" i="1541"/>
  <c r="AC120" i="1541"/>
  <c r="AI63" i="1541"/>
  <c r="AI51" i="1541"/>
  <c r="AI53" i="1541" s="1"/>
  <c r="AJ195" i="1541"/>
  <c r="AO195" i="1541"/>
  <c r="AO96" i="1541" s="1"/>
  <c r="AN96" i="1541"/>
  <c r="AB35" i="1541"/>
  <c r="AB36" i="1541" s="1"/>
  <c r="AB34" i="1541"/>
  <c r="AB74" i="1541"/>
  <c r="AB75" i="1541" s="1"/>
  <c r="AB50" i="1541"/>
  <c r="AB40" i="1541"/>
  <c r="AB41" i="1541" s="1"/>
  <c r="AB201" i="1541"/>
  <c r="AB205" i="1541" s="1"/>
  <c r="AC201" i="1541"/>
  <c r="AC205" i="1541" s="1"/>
  <c r="AF201" i="1541"/>
  <c r="AF205" i="1541" s="1"/>
  <c r="AG201" i="1541"/>
  <c r="AG205" i="1541" s="1"/>
  <c r="AD33" i="1541"/>
  <c r="AB37" i="1541"/>
  <c r="J17" i="1535"/>
  <c r="AH21" i="1541"/>
  <c r="AH22" i="1541"/>
  <c r="AH23" i="1541" s="1"/>
  <c r="AO149" i="1541"/>
  <c r="AO156" i="1541" s="1"/>
  <c r="AN156" i="1541"/>
  <c r="AJ108" i="121"/>
  <c r="AB135" i="1541"/>
  <c r="AC135" i="1541"/>
  <c r="AD243" i="1583"/>
  <c r="AD240" i="1583"/>
  <c r="AD246" i="1583" s="1"/>
  <c r="AI132" i="1541"/>
  <c r="AH132" i="1541"/>
  <c r="E36" i="1535"/>
  <c r="E49" i="1535"/>
  <c r="AJ120" i="121"/>
  <c r="AP97" i="1541"/>
  <c r="AF164" i="1541"/>
  <c r="AF163" i="1541"/>
  <c r="AM136" i="1541"/>
  <c r="AM139" i="1541" s="1"/>
  <c r="AN103" i="1541"/>
  <c r="E39" i="1712"/>
  <c r="J8" i="1712"/>
  <c r="I22" i="1712"/>
  <c r="P123" i="121"/>
  <c r="O123" i="121"/>
  <c r="AI131" i="1541"/>
  <c r="AH131" i="1541"/>
  <c r="F39" i="1712"/>
  <c r="F36" i="1538"/>
  <c r="AD175" i="1541"/>
  <c r="AD173" i="1541"/>
  <c r="AN110" i="1541"/>
  <c r="AH120" i="121"/>
  <c r="E53" i="1807" s="1"/>
  <c r="E55" i="1807" s="1"/>
  <c r="AH117" i="121"/>
  <c r="AH118" i="121" s="1"/>
  <c r="AG120" i="121"/>
  <c r="D53" i="1807" s="1"/>
  <c r="D55" i="1807" s="1"/>
  <c r="AG117" i="121"/>
  <c r="AG118" i="121" s="1"/>
  <c r="AH121" i="1541"/>
  <c r="AJ121" i="1541" s="1"/>
  <c r="AH181" i="1541"/>
  <c r="AH180" i="1541" s="1"/>
  <c r="AH187" i="1541" s="1"/>
  <c r="AJ39" i="1541"/>
  <c r="AL69" i="1541"/>
  <c r="AL70" i="1541" s="1"/>
  <c r="AL76" i="1541"/>
  <c r="AL68" i="1541"/>
  <c r="AL67" i="1541"/>
  <c r="AH134" i="1541"/>
  <c r="AI134" i="1541"/>
  <c r="AN143" i="1541"/>
  <c r="AP143" i="1541" s="1"/>
  <c r="AN82" i="1541"/>
  <c r="AN85" i="1541"/>
  <c r="AN39" i="1541"/>
  <c r="AN102" i="1541"/>
  <c r="AN142" i="1541"/>
  <c r="AN16" i="1541"/>
  <c r="AN25" i="1541"/>
  <c r="AP25" i="1541" s="1"/>
  <c r="AP8" i="1541"/>
  <c r="AN29" i="1541"/>
  <c r="AP29" i="1541" s="1"/>
  <c r="F36" i="1535"/>
  <c r="AD181" i="1541"/>
  <c r="AD180" i="1541" s="1"/>
  <c r="AD182" i="1541"/>
  <c r="F42" i="1711"/>
  <c r="AJ110" i="121"/>
  <c r="AJ111" i="121" s="1"/>
  <c r="O111" i="121"/>
  <c r="S111" i="121"/>
  <c r="AP11" i="1541"/>
  <c r="AH186" i="1541"/>
  <c r="AH175" i="1541"/>
  <c r="AJ142" i="1541"/>
  <c r="AH145" i="1541"/>
  <c r="AO41" i="1541"/>
  <c r="E36" i="1538"/>
  <c r="E49" i="1538"/>
  <c r="AP10" i="1541"/>
  <c r="AH33" i="1541"/>
  <c r="H27" i="1535"/>
  <c r="H27" i="1538"/>
  <c r="AD131" i="1541"/>
  <c r="AJ30" i="1541"/>
  <c r="AJ31" i="1541" s="1"/>
  <c r="D49" i="1535"/>
  <c r="AJ193" i="1541"/>
  <c r="E42" i="1711"/>
  <c r="K123" i="121"/>
  <c r="AD132" i="1541"/>
  <c r="AJ196" i="1541"/>
  <c r="AD145" i="1541"/>
  <c r="AJ9" i="1541"/>
  <c r="AJ194" i="1541"/>
  <c r="AJ192" i="1541"/>
  <c r="AB106" i="1541"/>
  <c r="AB113" i="1541" s="1"/>
  <c r="AJ26" i="1541"/>
  <c r="AJ27" i="1541" s="1"/>
  <c r="D49" i="1538"/>
  <c r="AB189" i="1541"/>
  <c r="AD186" i="1541"/>
  <c r="AD189" i="1541" s="1"/>
  <c r="AI117" i="121"/>
  <c r="AI118" i="121" s="1"/>
  <c r="AI120" i="121"/>
  <c r="F53" i="1807" s="1"/>
  <c r="F51" i="1807" s="1"/>
  <c r="AP13" i="1541"/>
  <c r="E42" i="155"/>
  <c r="AC64" i="1541"/>
  <c r="AC66" i="1541" s="1"/>
  <c r="AJ174" i="1541"/>
  <c r="F42" i="155"/>
  <c r="M25" i="1711"/>
  <c r="N8" i="1711"/>
  <c r="S61" i="1711"/>
  <c r="T61" i="1711" s="1"/>
  <c r="AJ16" i="1541"/>
  <c r="AJ17" i="1541" s="1"/>
  <c r="AJ18" i="1541" s="1"/>
  <c r="AH97" i="1541"/>
  <c r="AH106" i="1541" s="1"/>
  <c r="AH113" i="1541" s="1"/>
  <c r="AK254" i="121"/>
  <c r="AK256" i="121"/>
  <c r="AK257" i="121"/>
  <c r="AK255" i="121"/>
  <c r="R10" i="155"/>
  <c r="S10" i="155"/>
  <c r="AN741" i="1812"/>
  <c r="AJ380" i="121"/>
  <c r="AJ381" i="121"/>
  <c r="AJ382" i="121"/>
  <c r="AJ383" i="121"/>
  <c r="H383" i="121"/>
  <c r="H382" i="121"/>
  <c r="H381" i="121"/>
  <c r="H380" i="121"/>
  <c r="AM741" i="1812"/>
  <c r="AM734" i="1812"/>
  <c r="AM727" i="1812"/>
  <c r="AM720" i="1812"/>
  <c r="BG741" i="1812"/>
  <c r="BG734" i="1812"/>
  <c r="BG727" i="1812"/>
  <c r="BG720" i="1812"/>
  <c r="AM742" i="1812" l="1"/>
  <c r="AM740" i="1812"/>
  <c r="AM738" i="1812" s="1"/>
  <c r="AM412" i="1812" s="1"/>
  <c r="BG742" i="1812"/>
  <c r="BG740" i="1812"/>
  <c r="BG738" i="1812" s="1"/>
  <c r="BG412" i="1812" s="1"/>
  <c r="N33" i="1821"/>
  <c r="R66" i="1810"/>
  <c r="AH33" i="1821"/>
  <c r="AH66" i="1810"/>
  <c r="AI66" i="1810"/>
  <c r="AG61" i="1821"/>
  <c r="AG100" i="1821"/>
  <c r="AM119" i="1810"/>
  <c r="AM121" i="1810"/>
  <c r="AM49" i="1821" s="1"/>
  <c r="F100" i="1821"/>
  <c r="AG50" i="1821"/>
  <c r="AH51" i="1821" s="1"/>
  <c r="AG40" i="1821"/>
  <c r="AG45" i="1821"/>
  <c r="AG47" i="1821" s="1"/>
  <c r="AM103" i="121"/>
  <c r="J32" i="155" s="1"/>
  <c r="N61" i="1810"/>
  <c r="N8" i="1821"/>
  <c r="N52" i="1821" s="1"/>
  <c r="N124" i="1810"/>
  <c r="O26" i="1810"/>
  <c r="G57" i="1821"/>
  <c r="R133" i="1810"/>
  <c r="R69" i="1821"/>
  <c r="N101" i="1810"/>
  <c r="AI132" i="1810"/>
  <c r="N46" i="1810"/>
  <c r="N116" i="1810"/>
  <c r="N76" i="1810"/>
  <c r="O133" i="1810"/>
  <c r="R16" i="1810"/>
  <c r="Q132" i="1810"/>
  <c r="Q133" i="1810" s="1"/>
  <c r="N91" i="1810"/>
  <c r="N26" i="1810"/>
  <c r="K133" i="1810"/>
  <c r="O57" i="1821"/>
  <c r="S58" i="1821" s="1"/>
  <c r="J414" i="121"/>
  <c r="R57" i="1821"/>
  <c r="R58" i="1821" s="1"/>
  <c r="J57" i="1821"/>
  <c r="N58" i="1821" s="1"/>
  <c r="I57" i="1821"/>
  <c r="M58" i="1821" s="1"/>
  <c r="J23" i="121"/>
  <c r="K23" i="121"/>
  <c r="K30" i="121" s="1"/>
  <c r="K29" i="1810" s="1"/>
  <c r="V66" i="1821"/>
  <c r="I403" i="121"/>
  <c r="I404" i="121"/>
  <c r="I405" i="121"/>
  <c r="I406" i="121"/>
  <c r="AH132" i="1810"/>
  <c r="V414" i="121"/>
  <c r="V416" i="121" s="1"/>
  <c r="AK57" i="1821"/>
  <c r="K57" i="1821"/>
  <c r="J9" i="1810"/>
  <c r="J415" i="121"/>
  <c r="AI56" i="1821"/>
  <c r="AI64" i="1821" s="1"/>
  <c r="AI65" i="1821" s="1"/>
  <c r="K66" i="1821"/>
  <c r="K69" i="1821"/>
  <c r="AH56" i="1821"/>
  <c r="AH64" i="1821" s="1"/>
  <c r="AH65" i="1821" s="1"/>
  <c r="V69" i="1821"/>
  <c r="AK69" i="1821" s="1"/>
  <c r="N66" i="1821"/>
  <c r="Q56" i="1821"/>
  <c r="Q64" i="1821" s="1"/>
  <c r="Q65" i="1821" s="1"/>
  <c r="AJ45" i="1821"/>
  <c r="AK46" i="1821" s="1"/>
  <c r="AJ39" i="1821"/>
  <c r="AJ40" i="1821"/>
  <c r="AJ61" i="1821"/>
  <c r="AJ50" i="1821"/>
  <c r="AJ100" i="1821"/>
  <c r="AK39" i="1821"/>
  <c r="Q141" i="1810"/>
  <c r="Q144" i="1810"/>
  <c r="AJ144" i="1810" s="1"/>
  <c r="U141" i="1810"/>
  <c r="AI141" i="1810"/>
  <c r="AI144" i="1810"/>
  <c r="P133" i="1810"/>
  <c r="T133" i="1810"/>
  <c r="M66" i="1821"/>
  <c r="AG131" i="1810"/>
  <c r="AG139" i="1810" s="1"/>
  <c r="AG140" i="1810" s="1"/>
  <c r="AG144" i="1810" s="1"/>
  <c r="AH144" i="1810"/>
  <c r="AJ123" i="1810"/>
  <c r="AJ124" i="1810"/>
  <c r="AJ130" i="1810"/>
  <c r="AK123" i="1810"/>
  <c r="AK65" i="1821"/>
  <c r="O66" i="1821"/>
  <c r="O69" i="1821"/>
  <c r="P57" i="1821"/>
  <c r="AJ111" i="1810"/>
  <c r="AJ116" i="1810"/>
  <c r="P66" i="1821"/>
  <c r="P69" i="1821"/>
  <c r="L66" i="1821"/>
  <c r="AH16" i="1810"/>
  <c r="AH8" i="1821"/>
  <c r="AH46" i="1810"/>
  <c r="AH76" i="1810"/>
  <c r="AH101" i="1810"/>
  <c r="AH61" i="1810"/>
  <c r="AH91" i="1810"/>
  <c r="AH124" i="1810"/>
  <c r="AH116" i="1810"/>
  <c r="AI16" i="1810"/>
  <c r="AK47" i="1821"/>
  <c r="AK111" i="1821"/>
  <c r="S66" i="1821"/>
  <c r="T66" i="1821"/>
  <c r="H57" i="1821"/>
  <c r="L58" i="1821" s="1"/>
  <c r="BG571" i="1812"/>
  <c r="BG570" i="1812"/>
  <c r="AL652" i="1812"/>
  <c r="AL543" i="1812"/>
  <c r="AL544" i="1812" s="1"/>
  <c r="AK362" i="1812"/>
  <c r="BG222" i="1812"/>
  <c r="AL240" i="1812"/>
  <c r="BG240" i="1812" s="1"/>
  <c r="AL237" i="1812"/>
  <c r="BG232" i="1812"/>
  <c r="AL238" i="1812"/>
  <c r="AL230" i="1812"/>
  <c r="AM728" i="1812"/>
  <c r="AM726" i="1812"/>
  <c r="AM724" i="1812" s="1"/>
  <c r="AM735" i="1812"/>
  <c r="AM733" i="1812"/>
  <c r="AM731" i="1812" s="1"/>
  <c r="AM719" i="1812"/>
  <c r="AM717" i="1812" s="1"/>
  <c r="AM721" i="1812"/>
  <c r="AN745" i="1812"/>
  <c r="AN742" i="1812"/>
  <c r="AN740" i="1812"/>
  <c r="AN738" i="1812" s="1"/>
  <c r="AN412" i="1812" s="1"/>
  <c r="AO4" i="1812"/>
  <c r="AN3" i="1812"/>
  <c r="AN715" i="1812" s="1"/>
  <c r="AK190" i="1812"/>
  <c r="AK603" i="1812"/>
  <c r="AK568" i="1812" s="1"/>
  <c r="AK567" i="1812" s="1"/>
  <c r="AK573" i="1812"/>
  <c r="AK189" i="1812"/>
  <c r="AK572" i="1812"/>
  <c r="AK601" i="1812"/>
  <c r="BG735" i="1812"/>
  <c r="BG728" i="1812"/>
  <c r="BG721" i="1812"/>
  <c r="BG733" i="1812"/>
  <c r="BG731" i="1812" s="1"/>
  <c r="BG726" i="1812"/>
  <c r="BG724" i="1812" s="1"/>
  <c r="BG719" i="1812"/>
  <c r="BG717" i="1812" s="1"/>
  <c r="AK390" i="1812"/>
  <c r="AK194" i="1812"/>
  <c r="BG194" i="1812" s="1"/>
  <c r="BG386" i="1812"/>
  <c r="BG387" i="1812" s="1"/>
  <c r="AM52" i="121"/>
  <c r="AM57" i="121"/>
  <c r="G42" i="155"/>
  <c r="L386" i="121"/>
  <c r="L387" i="121"/>
  <c r="L388" i="121"/>
  <c r="L389" i="121"/>
  <c r="G378" i="121"/>
  <c r="G377" i="121" s="1"/>
  <c r="G42" i="1711"/>
  <c r="M397" i="121"/>
  <c r="M399" i="121" s="1"/>
  <c r="G36" i="1538"/>
  <c r="D50" i="1809"/>
  <c r="E46" i="1809"/>
  <c r="H16" i="1535"/>
  <c r="I19" i="1538"/>
  <c r="I26" i="1538" s="1"/>
  <c r="I27" i="1538" s="1"/>
  <c r="I49" i="1538"/>
  <c r="J49" i="1538" s="1"/>
  <c r="H19" i="1712"/>
  <c r="H22" i="1538"/>
  <c r="H23" i="1538" s="1"/>
  <c r="H25" i="1712"/>
  <c r="H26" i="1712" s="1"/>
  <c r="I15" i="1538"/>
  <c r="I29" i="1712"/>
  <c r="I30" i="1712" s="1"/>
  <c r="J20" i="1712"/>
  <c r="K20" i="1712" s="1"/>
  <c r="I19" i="1535"/>
  <c r="I26" i="1535" s="1"/>
  <c r="I27" i="1535" s="1"/>
  <c r="D14" i="1809"/>
  <c r="E13" i="1809"/>
  <c r="J28" i="1711"/>
  <c r="J30" i="1711" s="1"/>
  <c r="J14" i="1711"/>
  <c r="J16" i="1711" s="1"/>
  <c r="H21" i="1809"/>
  <c r="G12" i="1809"/>
  <c r="K20" i="1711"/>
  <c r="J22" i="1711"/>
  <c r="J60" i="1711"/>
  <c r="G56" i="1807"/>
  <c r="H19" i="1809"/>
  <c r="G56" i="155"/>
  <c r="I49" i="1535"/>
  <c r="J9" i="1535"/>
  <c r="K9" i="1535" s="1"/>
  <c r="H34" i="1809"/>
  <c r="H45" i="1809"/>
  <c r="J17" i="1538"/>
  <c r="J15" i="1538" s="1"/>
  <c r="H33" i="1809"/>
  <c r="F29" i="1808"/>
  <c r="F94" i="1808"/>
  <c r="H93" i="1808"/>
  <c r="H29" i="1808" s="1"/>
  <c r="H90" i="1808"/>
  <c r="F28" i="1808"/>
  <c r="G53" i="1712"/>
  <c r="E30" i="1807"/>
  <c r="G21" i="1809"/>
  <c r="G19" i="1809"/>
  <c r="G20" i="1809"/>
  <c r="G45" i="1809"/>
  <c r="G50" i="1809" s="1"/>
  <c r="G34" i="1809"/>
  <c r="G33" i="1809"/>
  <c r="E22" i="1807"/>
  <c r="F9" i="1807"/>
  <c r="E23" i="1807"/>
  <c r="E33" i="1807"/>
  <c r="E26" i="1807"/>
  <c r="E9" i="1807"/>
  <c r="F23" i="1807"/>
  <c r="E16" i="1807"/>
  <c r="F17" i="1807"/>
  <c r="E8" i="1809"/>
  <c r="M72" i="1808"/>
  <c r="M74" i="1808" s="1"/>
  <c r="F10" i="1809"/>
  <c r="J61" i="121"/>
  <c r="C94" i="1808"/>
  <c r="C29" i="1808"/>
  <c r="F55" i="1807"/>
  <c r="AJ123" i="121"/>
  <c r="G49" i="1538" s="1"/>
  <c r="G53" i="1807"/>
  <c r="G51" i="1807" s="1"/>
  <c r="V397" i="121"/>
  <c r="V173" i="121" s="1"/>
  <c r="V175" i="121" s="1"/>
  <c r="V176" i="121" s="1"/>
  <c r="V27" i="121" s="1"/>
  <c r="W378" i="121"/>
  <c r="N19" i="1711"/>
  <c r="Q12" i="1806"/>
  <c r="P13" i="1806"/>
  <c r="AF209" i="1583"/>
  <c r="AF203" i="1583"/>
  <c r="I17" i="1711"/>
  <c r="I15" i="1711"/>
  <c r="I29" i="1711"/>
  <c r="AO63" i="1541"/>
  <c r="AO64" i="1541" s="1"/>
  <c r="AO66" i="1541" s="1"/>
  <c r="N44" i="1583"/>
  <c r="O44" i="1583"/>
  <c r="AL162" i="1541"/>
  <c r="AL164" i="1541" s="1"/>
  <c r="AC139" i="1541"/>
  <c r="AC160" i="1541" s="1"/>
  <c r="AN33" i="1541"/>
  <c r="AO201" i="1541" s="1"/>
  <c r="AD21" i="1541"/>
  <c r="AJ389" i="121"/>
  <c r="AK389" i="121"/>
  <c r="AJ388" i="121"/>
  <c r="AK388" i="121"/>
  <c r="AJ387" i="121"/>
  <c r="AK387" i="121"/>
  <c r="AJ386" i="121"/>
  <c r="AK386" i="121"/>
  <c r="AM141" i="1541"/>
  <c r="AN141" i="1541"/>
  <c r="AN145" i="1541" s="1"/>
  <c r="AO83" i="1541"/>
  <c r="AP83" i="1541" s="1"/>
  <c r="N88" i="121"/>
  <c r="J42" i="121"/>
  <c r="J87" i="121"/>
  <c r="J97" i="121"/>
  <c r="J257" i="121"/>
  <c r="J246" i="121"/>
  <c r="J16" i="1619"/>
  <c r="J62" i="121"/>
  <c r="J31" i="1583"/>
  <c r="J247" i="121"/>
  <c r="J16" i="121"/>
  <c r="J88" i="121"/>
  <c r="J13" i="121"/>
  <c r="K16" i="121"/>
  <c r="J101" i="121"/>
  <c r="J22" i="121"/>
  <c r="J38" i="121" s="1"/>
  <c r="J94" i="121"/>
  <c r="J398" i="121"/>
  <c r="N22" i="121"/>
  <c r="J245" i="121"/>
  <c r="N94" i="121"/>
  <c r="J93" i="121"/>
  <c r="J60" i="121"/>
  <c r="N13" i="121"/>
  <c r="AJ134" i="1541"/>
  <c r="E12" i="1538"/>
  <c r="AC66" i="1583"/>
  <c r="E12" i="1535"/>
  <c r="E11" i="1712"/>
  <c r="F23" i="155"/>
  <c r="E22" i="155"/>
  <c r="E33" i="155"/>
  <c r="E9" i="155"/>
  <c r="E26" i="155"/>
  <c r="F9" i="155"/>
  <c r="E23" i="155"/>
  <c r="E16" i="155"/>
  <c r="E17" i="155"/>
  <c r="F17" i="155"/>
  <c r="E30" i="155"/>
  <c r="AK377" i="121"/>
  <c r="AK378" i="121" s="1"/>
  <c r="AL377" i="121" s="1"/>
  <c r="AL378" i="121" s="1"/>
  <c r="R69" i="1583"/>
  <c r="AC146" i="1583"/>
  <c r="AC34" i="1583"/>
  <c r="AD69" i="1583" s="1"/>
  <c r="AC188" i="1583"/>
  <c r="AC176" i="1583"/>
  <c r="AC47" i="1583"/>
  <c r="AC158" i="1583"/>
  <c r="AC243" i="1583"/>
  <c r="AC232" i="1583"/>
  <c r="AC220" i="1583"/>
  <c r="AC128" i="1583"/>
  <c r="AD47" i="1583"/>
  <c r="AC206" i="1583"/>
  <c r="F23" i="1711"/>
  <c r="E9" i="1711"/>
  <c r="E33" i="1711"/>
  <c r="E26" i="1711"/>
  <c r="E23" i="1711"/>
  <c r="E22" i="1711"/>
  <c r="F9" i="1711"/>
  <c r="E16" i="1711"/>
  <c r="E30" i="1711"/>
  <c r="E17" i="1711"/>
  <c r="F17" i="1711"/>
  <c r="AP30" i="1541"/>
  <c r="AP31" i="1541" s="1"/>
  <c r="AP149" i="1541"/>
  <c r="AP156" i="1541" s="1"/>
  <c r="F9" i="1712"/>
  <c r="E20" i="1712"/>
  <c r="E9" i="1712"/>
  <c r="E30" i="1712"/>
  <c r="E23" i="1712"/>
  <c r="E27" i="1712"/>
  <c r="N209" i="1583"/>
  <c r="R50" i="1583"/>
  <c r="N63" i="1583"/>
  <c r="O63" i="1583"/>
  <c r="N131" i="1583"/>
  <c r="N161" i="1583"/>
  <c r="N149" i="1583"/>
  <c r="N179" i="1583"/>
  <c r="N191" i="1583"/>
  <c r="AL105" i="1541"/>
  <c r="AJ198" i="1541"/>
  <c r="AJ204" i="1541" s="1"/>
  <c r="AJ106" i="1541"/>
  <c r="AJ113" i="1541" s="1"/>
  <c r="F10" i="1535"/>
  <c r="E17" i="1535"/>
  <c r="E10" i="1535"/>
  <c r="E20" i="1535"/>
  <c r="E27" i="1535"/>
  <c r="E24" i="1535"/>
  <c r="AI15" i="121"/>
  <c r="F10" i="1538"/>
  <c r="E27" i="1538"/>
  <c r="E17" i="1538"/>
  <c r="E10" i="1538"/>
  <c r="E20" i="1538"/>
  <c r="E24" i="1538"/>
  <c r="N246" i="1583"/>
  <c r="AM162" i="1541"/>
  <c r="AI120" i="1541"/>
  <c r="AI54" i="1541"/>
  <c r="AD135" i="1541"/>
  <c r="AP26" i="1541"/>
  <c r="AP27" i="1541" s="1"/>
  <c r="AD37" i="1541"/>
  <c r="AD35" i="1541"/>
  <c r="AD36" i="1541" s="1"/>
  <c r="AD34" i="1541"/>
  <c r="AD74" i="1541"/>
  <c r="AD75" i="1541" s="1"/>
  <c r="AD201" i="1541"/>
  <c r="AD205" i="1541" s="1"/>
  <c r="AD40" i="1541"/>
  <c r="AD41" i="1541" s="1"/>
  <c r="AO54" i="1541"/>
  <c r="AO120" i="1541"/>
  <c r="AN175" i="1541"/>
  <c r="AN186" i="1541"/>
  <c r="AP142" i="1541"/>
  <c r="AL77" i="1541"/>
  <c r="AB88" i="1541"/>
  <c r="AB190" i="1541" s="1"/>
  <c r="AC185" i="1541"/>
  <c r="AC189" i="1541" s="1"/>
  <c r="AJ20" i="1541"/>
  <c r="AN121" i="1541"/>
  <c r="AP121" i="1541" s="1"/>
  <c r="AN181" i="1541"/>
  <c r="AN180" i="1541" s="1"/>
  <c r="AN187" i="1541" s="1"/>
  <c r="AP39" i="1541"/>
  <c r="I25" i="1712"/>
  <c r="I57" i="1712"/>
  <c r="I19" i="1712"/>
  <c r="AN136" i="1541"/>
  <c r="AO103" i="1541"/>
  <c r="AP196" i="1541"/>
  <c r="AP193" i="1541"/>
  <c r="AO132" i="1541"/>
  <c r="AN132" i="1541"/>
  <c r="AG123" i="121"/>
  <c r="G47" i="1538"/>
  <c r="G45" i="1538" s="1"/>
  <c r="G50" i="1712"/>
  <c r="G47" i="1535"/>
  <c r="G45" i="1535" s="1"/>
  <c r="G53" i="155"/>
  <c r="G53" i="1711"/>
  <c r="AI64" i="1541"/>
  <c r="AI66" i="1541" s="1"/>
  <c r="AP9" i="1541"/>
  <c r="AP194" i="1541"/>
  <c r="AP192" i="1541"/>
  <c r="AO131" i="1541"/>
  <c r="AN131" i="1541"/>
  <c r="D47" i="1538"/>
  <c r="D50" i="1712"/>
  <c r="D52" i="1712" s="1"/>
  <c r="D47" i="1535"/>
  <c r="D53" i="155"/>
  <c r="D55" i="155" s="1"/>
  <c r="D53" i="1711"/>
  <c r="D55" i="1711" s="1"/>
  <c r="AB51" i="1541"/>
  <c r="AD51" i="1541" s="1"/>
  <c r="AD50" i="1541"/>
  <c r="AB63" i="1541"/>
  <c r="AJ145" i="1541"/>
  <c r="AH123" i="121"/>
  <c r="AJ131" i="1541"/>
  <c r="AP16" i="1541"/>
  <c r="AP17" i="1541" s="1"/>
  <c r="AP18" i="1541" s="1"/>
  <c r="AN97" i="1541"/>
  <c r="AJ173" i="1541"/>
  <c r="AJ175" i="1541"/>
  <c r="AJ186" i="1541"/>
  <c r="AN20" i="1541"/>
  <c r="F47" i="1538"/>
  <c r="F45" i="1538" s="1"/>
  <c r="F50" i="1712"/>
  <c r="F47" i="1535"/>
  <c r="F45" i="1535" s="1"/>
  <c r="F53" i="1711"/>
  <c r="F53" i="155"/>
  <c r="AH135" i="1541"/>
  <c r="AI135" i="1541"/>
  <c r="AI123" i="121"/>
  <c r="J19" i="1538"/>
  <c r="K9" i="1538"/>
  <c r="AJ181" i="1541"/>
  <c r="AJ180" i="1541" s="1"/>
  <c r="AJ187" i="1541" s="1"/>
  <c r="AJ182" i="1541"/>
  <c r="AO110" i="1541"/>
  <c r="AN134" i="1541"/>
  <c r="AJ185" i="1541"/>
  <c r="AF185" i="1541"/>
  <c r="AF189" i="1541" s="1"/>
  <c r="AC76" i="1541"/>
  <c r="AC77" i="1541" s="1"/>
  <c r="AC68" i="1541"/>
  <c r="AC67" i="1541"/>
  <c r="AC69" i="1541"/>
  <c r="AC70" i="1541" s="1"/>
  <c r="AP174" i="1541"/>
  <c r="E47" i="1535"/>
  <c r="E47" i="1538"/>
  <c r="E50" i="1712"/>
  <c r="E52" i="1712" s="1"/>
  <c r="E53" i="1711"/>
  <c r="E55" i="1711" s="1"/>
  <c r="E53" i="155"/>
  <c r="E55" i="155" s="1"/>
  <c r="H23" i="1535"/>
  <c r="H24" i="1535"/>
  <c r="N25" i="1711"/>
  <c r="O8" i="1711"/>
  <c r="AO134" i="1541"/>
  <c r="AP96" i="1541"/>
  <c r="AP195" i="1541" s="1"/>
  <c r="AJ109" i="121"/>
  <c r="AJ132" i="1541"/>
  <c r="K17" i="1535"/>
  <c r="I16" i="1535"/>
  <c r="AH40" i="1541"/>
  <c r="AH41" i="1541" s="1"/>
  <c r="AH37" i="1541"/>
  <c r="AH35" i="1541"/>
  <c r="AH36" i="1541" s="1"/>
  <c r="AH34" i="1541"/>
  <c r="AH74" i="1541"/>
  <c r="AH75" i="1541" s="1"/>
  <c r="AH50" i="1541"/>
  <c r="AM201" i="1541"/>
  <c r="AL201" i="1541"/>
  <c r="AJ33" i="1541"/>
  <c r="AI201" i="1541"/>
  <c r="AI205" i="1541" s="1"/>
  <c r="AH201" i="1541"/>
  <c r="AH205" i="1541" s="1"/>
  <c r="K8" i="1712"/>
  <c r="J22" i="1712"/>
  <c r="AO741" i="1812"/>
  <c r="W380" i="121"/>
  <c r="W381" i="121"/>
  <c r="W382" i="121"/>
  <c r="W383" i="121"/>
  <c r="G383" i="121"/>
  <c r="G382" i="121"/>
  <c r="G381" i="121"/>
  <c r="G380" i="121"/>
  <c r="AN734" i="1812"/>
  <c r="AN727" i="1812"/>
  <c r="AN720" i="1812"/>
  <c r="AM235" i="1812" l="1"/>
  <c r="J44" i="1810"/>
  <c r="J64" i="1810"/>
  <c r="N64" i="1810"/>
  <c r="N36" i="1821"/>
  <c r="R9" i="1821"/>
  <c r="N16" i="1821"/>
  <c r="N20" i="1821"/>
  <c r="AG52" i="1821"/>
  <c r="AG55" i="1821"/>
  <c r="AG56" i="1821" s="1"/>
  <c r="AG64" i="1821" s="1"/>
  <c r="AG65" i="1821" s="1"/>
  <c r="AG69" i="1821" s="1"/>
  <c r="N11" i="1821"/>
  <c r="O11" i="1821"/>
  <c r="J36" i="1809"/>
  <c r="N40" i="1821"/>
  <c r="N43" i="1821"/>
  <c r="AH46" i="1821"/>
  <c r="N47" i="1821"/>
  <c r="R21" i="1821"/>
  <c r="K58" i="1821"/>
  <c r="J416" i="121"/>
  <c r="J30" i="121" s="1"/>
  <c r="J29" i="1810" s="1"/>
  <c r="J31" i="1810" s="1"/>
  <c r="J12" i="1821" s="1"/>
  <c r="V58" i="1821"/>
  <c r="U133" i="1810"/>
  <c r="AI133" i="1810"/>
  <c r="J24" i="1810"/>
  <c r="O58" i="1821"/>
  <c r="I414" i="121"/>
  <c r="I416" i="121" s="1"/>
  <c r="I30" i="121" s="1"/>
  <c r="I29" i="1810" s="1"/>
  <c r="I31" i="1810" s="1"/>
  <c r="I12" i="1821" s="1"/>
  <c r="J59" i="1810"/>
  <c r="W406" i="121"/>
  <c r="W405" i="121"/>
  <c r="W404" i="121"/>
  <c r="W403" i="121"/>
  <c r="H403" i="121"/>
  <c r="H404" i="121"/>
  <c r="H405" i="121"/>
  <c r="H406" i="121"/>
  <c r="AG132" i="1810"/>
  <c r="AH133" i="1810" s="1"/>
  <c r="J74" i="1810"/>
  <c r="AI57" i="1821"/>
  <c r="K24" i="1810"/>
  <c r="AH57" i="1821"/>
  <c r="N14" i="1810"/>
  <c r="J14" i="1810"/>
  <c r="J114" i="1810"/>
  <c r="J11" i="1810"/>
  <c r="J89" i="1810"/>
  <c r="J99" i="1810"/>
  <c r="AK51" i="1821"/>
  <c r="AJ55" i="1821"/>
  <c r="AJ51" i="1821"/>
  <c r="AJ52" i="1821"/>
  <c r="AI66" i="1821"/>
  <c r="AI69" i="1821"/>
  <c r="AJ131" i="1810"/>
  <c r="AJ139" i="1810" s="1"/>
  <c r="AJ140" i="1810" s="1"/>
  <c r="AH69" i="1821"/>
  <c r="AJ46" i="1821"/>
  <c r="AJ47" i="1821"/>
  <c r="AH9" i="1821"/>
  <c r="AH16" i="1821"/>
  <c r="AH43" i="1821"/>
  <c r="AH20" i="1821"/>
  <c r="AH36" i="1821"/>
  <c r="AH21" i="1821"/>
  <c r="AH40" i="1821"/>
  <c r="AI21" i="1821"/>
  <c r="AH47" i="1821"/>
  <c r="AH52" i="1821"/>
  <c r="AI9" i="1821"/>
  <c r="P58" i="1821"/>
  <c r="T58" i="1821"/>
  <c r="Q57" i="1821"/>
  <c r="Q66" i="1821"/>
  <c r="Q69" i="1821"/>
  <c r="AJ69" i="1821" s="1"/>
  <c r="U66" i="1821"/>
  <c r="AH141" i="1810"/>
  <c r="AL243" i="1812"/>
  <c r="AL399" i="1812" s="1"/>
  <c r="AL564" i="1812"/>
  <c r="AL565" i="1812" s="1"/>
  <c r="AL573" i="1812" s="1"/>
  <c r="BG573" i="1812" s="1"/>
  <c r="AK607" i="1812"/>
  <c r="AK562" i="1812"/>
  <c r="AK575" i="1812"/>
  <c r="AK492" i="1812"/>
  <c r="AK192" i="1812"/>
  <c r="AK199" i="1812" s="1"/>
  <c r="AN728" i="1812"/>
  <c r="AN726" i="1812"/>
  <c r="AN724" i="1812" s="1"/>
  <c r="AN735" i="1812"/>
  <c r="AN733" i="1812"/>
  <c r="AN731" i="1812" s="1"/>
  <c r="AN721" i="1812"/>
  <c r="AN719" i="1812"/>
  <c r="AN717" i="1812" s="1"/>
  <c r="AO745" i="1812"/>
  <c r="AO742" i="1812"/>
  <c r="AO740" i="1812"/>
  <c r="AO738" i="1812" s="1"/>
  <c r="AO412" i="1812" s="1"/>
  <c r="AO3" i="1812"/>
  <c r="AO715" i="1812" s="1"/>
  <c r="AP4" i="1812"/>
  <c r="BG243" i="1812"/>
  <c r="BG399" i="1812" s="1"/>
  <c r="AM232" i="1812"/>
  <c r="BG238" i="1812"/>
  <c r="BG230" i="1812"/>
  <c r="BG241" i="1812"/>
  <c r="AK391" i="1812"/>
  <c r="AK393" i="1812"/>
  <c r="AK652" i="1812"/>
  <c r="AK543" i="1812"/>
  <c r="X377" i="121"/>
  <c r="F378" i="121"/>
  <c r="F377" i="121" s="1"/>
  <c r="L397" i="121"/>
  <c r="L399" i="121" s="1"/>
  <c r="K386" i="121"/>
  <c r="K387" i="121"/>
  <c r="G388" i="121"/>
  <c r="K388" i="121"/>
  <c r="K389" i="121"/>
  <c r="G389" i="121"/>
  <c r="J26" i="1538"/>
  <c r="J27" i="1538" s="1"/>
  <c r="H24" i="1538"/>
  <c r="H27" i="1712"/>
  <c r="J18" i="1712"/>
  <c r="J19" i="1712" s="1"/>
  <c r="I22" i="1538"/>
  <c r="I23" i="1538" s="1"/>
  <c r="J29" i="1712"/>
  <c r="J30" i="1712" s="1"/>
  <c r="I22" i="1535"/>
  <c r="I23" i="1535" s="1"/>
  <c r="J29" i="1711"/>
  <c r="J49" i="1535"/>
  <c r="K49" i="1535" s="1"/>
  <c r="I16" i="1538"/>
  <c r="K17" i="1538"/>
  <c r="L17" i="1538" s="1"/>
  <c r="J15" i="1535"/>
  <c r="J16" i="1535" s="1"/>
  <c r="J19" i="1535"/>
  <c r="J26" i="1535" s="1"/>
  <c r="J27" i="1535" s="1"/>
  <c r="J15" i="1711"/>
  <c r="J17" i="1711"/>
  <c r="F15" i="1809"/>
  <c r="E14" i="1809"/>
  <c r="E15" i="1809"/>
  <c r="G15" i="1809"/>
  <c r="G14" i="1809"/>
  <c r="G13" i="1809"/>
  <c r="H13" i="1809"/>
  <c r="H15" i="1809"/>
  <c r="K22" i="1711"/>
  <c r="K21" i="1711"/>
  <c r="L20" i="1711"/>
  <c r="K60" i="1711"/>
  <c r="K14" i="1711"/>
  <c r="K28" i="1711"/>
  <c r="H46" i="1809"/>
  <c r="G49" i="1535"/>
  <c r="G50" i="1535" s="1"/>
  <c r="G46" i="1809"/>
  <c r="E9" i="1809"/>
  <c r="E30" i="1809"/>
  <c r="E37" i="1809"/>
  <c r="E26" i="1809"/>
  <c r="E27" i="1809"/>
  <c r="E34" i="1809"/>
  <c r="E20" i="1809"/>
  <c r="E21" i="1809"/>
  <c r="F9" i="1809"/>
  <c r="F27" i="1809"/>
  <c r="F21" i="1809"/>
  <c r="H94" i="1808"/>
  <c r="V399" i="121"/>
  <c r="AK173" i="121"/>
  <c r="AK172" i="121"/>
  <c r="AK400" i="121" s="1"/>
  <c r="G55" i="1807"/>
  <c r="AK175" i="121"/>
  <c r="AK176" i="121" s="1"/>
  <c r="Q13" i="1806"/>
  <c r="R12" i="1806"/>
  <c r="R13" i="1806" s="1"/>
  <c r="W388" i="121"/>
  <c r="W389" i="121"/>
  <c r="W386" i="121"/>
  <c r="W387" i="121"/>
  <c r="O19" i="1711"/>
  <c r="V29" i="121"/>
  <c r="V19" i="1810" s="1"/>
  <c r="V21" i="1810" s="1"/>
  <c r="V10" i="1821" s="1"/>
  <c r="AK27" i="121"/>
  <c r="J41" i="1583"/>
  <c r="K41" i="1583"/>
  <c r="AC162" i="1541"/>
  <c r="AC163" i="1541" s="1"/>
  <c r="AN34" i="1541"/>
  <c r="AN37" i="1541"/>
  <c r="AN40" i="1541"/>
  <c r="AN41" i="1541" s="1"/>
  <c r="AL163" i="1541"/>
  <c r="AN50" i="1541"/>
  <c r="AN63" i="1541" s="1"/>
  <c r="AN201" i="1541"/>
  <c r="AP33" i="1541"/>
  <c r="AP74" i="1541" s="1"/>
  <c r="AP75" i="1541" s="1"/>
  <c r="AN35" i="1541"/>
  <c r="AN36" i="1541" s="1"/>
  <c r="AN74" i="1541"/>
  <c r="AN75" i="1541" s="1"/>
  <c r="AI139" i="1541"/>
  <c r="AI162" i="1541" s="1"/>
  <c r="AP132" i="1541"/>
  <c r="AJ397" i="121"/>
  <c r="AJ399" i="121" s="1"/>
  <c r="AE79" i="1583"/>
  <c r="AM105" i="1541"/>
  <c r="AL198" i="1541"/>
  <c r="AL204" i="1541" s="1"/>
  <c r="AL106" i="1541"/>
  <c r="AL113" i="1541" s="1"/>
  <c r="N15" i="121"/>
  <c r="N400" i="121" s="1"/>
  <c r="N47" i="1583"/>
  <c r="J206" i="1583"/>
  <c r="J243" i="1583"/>
  <c r="J34" i="1583"/>
  <c r="J188" i="1583"/>
  <c r="J146" i="1583"/>
  <c r="J57" i="1583"/>
  <c r="J47" i="1583"/>
  <c r="J232" i="1583"/>
  <c r="J158" i="1583"/>
  <c r="J128" i="1583"/>
  <c r="K57" i="1583"/>
  <c r="J220" i="1583"/>
  <c r="J176" i="1583"/>
  <c r="AK397" i="121"/>
  <c r="AK399" i="121" s="1"/>
  <c r="N24" i="1619"/>
  <c r="J24" i="1619"/>
  <c r="J15" i="1619"/>
  <c r="G50" i="1538"/>
  <c r="F11" i="1538"/>
  <c r="F10" i="1712"/>
  <c r="F11" i="1535"/>
  <c r="AO141" i="1541"/>
  <c r="AO145" i="1541" s="1"/>
  <c r="AC149" i="1583"/>
  <c r="AC246" i="1583"/>
  <c r="AC161" i="1583"/>
  <c r="AC50" i="1583"/>
  <c r="AC235" i="1583"/>
  <c r="AC131" i="1583"/>
  <c r="AD50" i="1583"/>
  <c r="AC191" i="1583"/>
  <c r="AC179" i="1583"/>
  <c r="AC223" i="1583"/>
  <c r="AC209" i="1583"/>
  <c r="AD111" i="1583"/>
  <c r="AC69" i="1583"/>
  <c r="AD79" i="1583" s="1"/>
  <c r="AD76" i="1583"/>
  <c r="AE111" i="1583"/>
  <c r="AM145" i="1541"/>
  <c r="AM160" i="1541" s="1"/>
  <c r="AJ189" i="1541"/>
  <c r="F51" i="155"/>
  <c r="F55" i="155"/>
  <c r="G51" i="1711"/>
  <c r="G55" i="1711"/>
  <c r="J55" i="1711" s="1"/>
  <c r="J16" i="1538"/>
  <c r="J22" i="1538"/>
  <c r="AP134" i="1541"/>
  <c r="F51" i="1711"/>
  <c r="F55" i="1711"/>
  <c r="G51" i="155"/>
  <c r="G55" i="155"/>
  <c r="I27" i="1712"/>
  <c r="I26" i="1712"/>
  <c r="AN135" i="1541"/>
  <c r="AO135" i="1541"/>
  <c r="H45" i="1535"/>
  <c r="AP182" i="1541"/>
  <c r="AP181" i="1541"/>
  <c r="AP180" i="1541" s="1"/>
  <c r="AP187" i="1541" s="1"/>
  <c r="AM164" i="1541"/>
  <c r="AM163" i="1541"/>
  <c r="AF88" i="1541"/>
  <c r="AF190" i="1541" s="1"/>
  <c r="AG185" i="1541"/>
  <c r="AG189" i="1541" s="1"/>
  <c r="AP131" i="1541"/>
  <c r="G48" i="1712"/>
  <c r="G52" i="1712"/>
  <c r="H52" i="1712" s="1"/>
  <c r="I52" i="1712" s="1"/>
  <c r="J52" i="1712" s="1"/>
  <c r="K52" i="1712" s="1"/>
  <c r="L8" i="1712"/>
  <c r="K22" i="1712"/>
  <c r="H45" i="1538"/>
  <c r="AI69" i="1541"/>
  <c r="AI70" i="1541" s="1"/>
  <c r="AI76" i="1541"/>
  <c r="AI77" i="1541" s="1"/>
  <c r="AI68" i="1541"/>
  <c r="AI67" i="1541"/>
  <c r="AP110" i="1541"/>
  <c r="AJ21" i="1541"/>
  <c r="AJ22" i="1541"/>
  <c r="AJ23" i="1541" s="1"/>
  <c r="F48" i="1712"/>
  <c r="F52" i="1712"/>
  <c r="AO67" i="1541"/>
  <c r="AO76" i="1541"/>
  <c r="AO77" i="1541" s="1"/>
  <c r="AO68" i="1541"/>
  <c r="AO69" i="1541"/>
  <c r="AJ40" i="1541"/>
  <c r="AJ41" i="1541" s="1"/>
  <c r="AJ37" i="1541"/>
  <c r="AJ35" i="1541"/>
  <c r="AJ36" i="1541" s="1"/>
  <c r="AJ34" i="1541"/>
  <c r="AJ74" i="1541"/>
  <c r="AJ75" i="1541" s="1"/>
  <c r="AJ201" i="1541"/>
  <c r="AJ205" i="1541" s="1"/>
  <c r="AB64" i="1541"/>
  <c r="AD64" i="1541" s="1"/>
  <c r="AD63" i="1541"/>
  <c r="O25" i="1711"/>
  <c r="P8" i="1711"/>
  <c r="AJ135" i="1541"/>
  <c r="K15" i="1535"/>
  <c r="L17" i="1535"/>
  <c r="K19" i="1538"/>
  <c r="L9" i="1538"/>
  <c r="K19" i="1535"/>
  <c r="L9" i="1535"/>
  <c r="AD52" i="1541"/>
  <c r="K18" i="1712"/>
  <c r="L20" i="1712"/>
  <c r="AH63" i="1541"/>
  <c r="AH51" i="1541"/>
  <c r="AJ51" i="1541" s="1"/>
  <c r="AJ50" i="1541"/>
  <c r="AB53" i="1541"/>
  <c r="K49" i="1538"/>
  <c r="AN21" i="1541"/>
  <c r="AN22" i="1541"/>
  <c r="AN23" i="1541" s="1"/>
  <c r="AP20" i="1541"/>
  <c r="AC88" i="1541"/>
  <c r="AD88" i="1541" s="1"/>
  <c r="AD190" i="1541" s="1"/>
  <c r="AP175" i="1541"/>
  <c r="AP186" i="1541"/>
  <c r="AP173" i="1541"/>
  <c r="AO136" i="1541"/>
  <c r="AP136" i="1541" s="1"/>
  <c r="AP103" i="1541"/>
  <c r="F383" i="121"/>
  <c r="F382" i="121"/>
  <c r="F381" i="121"/>
  <c r="F380" i="121"/>
  <c r="AP741" i="1812"/>
  <c r="AO734" i="1812"/>
  <c r="AO727" i="1812"/>
  <c r="AO720" i="1812"/>
  <c r="J33" i="1821" l="1"/>
  <c r="J66" i="1810"/>
  <c r="N66" i="1810"/>
  <c r="K31" i="1810"/>
  <c r="K12" i="1821" s="1"/>
  <c r="J76" i="1810"/>
  <c r="J124" i="1810"/>
  <c r="J91" i="1810"/>
  <c r="J26" i="1810"/>
  <c r="K26" i="1810"/>
  <c r="N16" i="1810"/>
  <c r="J61" i="1810"/>
  <c r="J8" i="1821"/>
  <c r="J20" i="1821" s="1"/>
  <c r="W414" i="121"/>
  <c r="W416" i="121" s="1"/>
  <c r="W30" i="121" s="1"/>
  <c r="W29" i="1810" s="1"/>
  <c r="W31" i="1810" s="1"/>
  <c r="W12" i="1821" s="1"/>
  <c r="J101" i="1810"/>
  <c r="J116" i="1810"/>
  <c r="J16" i="1810"/>
  <c r="G403" i="121"/>
  <c r="G404" i="121"/>
  <c r="G405" i="121"/>
  <c r="G406" i="121"/>
  <c r="AG57" i="1821"/>
  <c r="AH58" i="1821" s="1"/>
  <c r="AJ132" i="1810"/>
  <c r="AJ133" i="1810" s="1"/>
  <c r="AI58" i="1821"/>
  <c r="H414" i="121"/>
  <c r="H416" i="121" s="1"/>
  <c r="H30" i="121" s="1"/>
  <c r="H29" i="1810" s="1"/>
  <c r="AJ141" i="1810"/>
  <c r="AK141" i="1810"/>
  <c r="Q58" i="1821"/>
  <c r="U58" i="1821"/>
  <c r="AJ56" i="1821"/>
  <c r="AJ64" i="1821" s="1"/>
  <c r="AJ65" i="1821" s="1"/>
  <c r="AH66" i="1821"/>
  <c r="AK561" i="1812"/>
  <c r="AL558" i="1812"/>
  <c r="AL559" i="1812" s="1"/>
  <c r="BG559" i="1812" s="1"/>
  <c r="AO719" i="1812"/>
  <c r="AO717" i="1812" s="1"/>
  <c r="AO735" i="1812"/>
  <c r="AO733" i="1812"/>
  <c r="AO731" i="1812" s="1"/>
  <c r="AO726" i="1812"/>
  <c r="AO724" i="1812" s="1"/>
  <c r="AO721" i="1812"/>
  <c r="AO728" i="1812"/>
  <c r="BG543" i="1812"/>
  <c r="AK544" i="1812"/>
  <c r="AM222" i="1812"/>
  <c r="AM362" i="1812" s="1"/>
  <c r="AM237" i="1812"/>
  <c r="AM238" i="1812"/>
  <c r="AM230" i="1812"/>
  <c r="AN235" i="1812" s="1"/>
  <c r="AM240" i="1812"/>
  <c r="AM243" i="1812" s="1"/>
  <c r="AM399" i="1812" s="1"/>
  <c r="AN232" i="1812"/>
  <c r="AK201" i="1812"/>
  <c r="AK202" i="1812"/>
  <c r="AK493" i="1812" s="1"/>
  <c r="AK622" i="1812" s="1"/>
  <c r="AP745" i="1812"/>
  <c r="AP3" i="1812"/>
  <c r="AP715" i="1812" s="1"/>
  <c r="AP742" i="1812"/>
  <c r="AP740" i="1812"/>
  <c r="AP738" i="1812" s="1"/>
  <c r="AP412" i="1812" s="1"/>
  <c r="BH4" i="1812"/>
  <c r="AL190" i="1812"/>
  <c r="BG190" i="1812" s="1"/>
  <c r="BG565" i="1812"/>
  <c r="AL603" i="1812"/>
  <c r="E378" i="121"/>
  <c r="E377" i="121" s="1"/>
  <c r="X378" i="121"/>
  <c r="J386" i="121"/>
  <c r="J387" i="121"/>
  <c r="J388" i="121"/>
  <c r="J389" i="121"/>
  <c r="K397" i="121"/>
  <c r="K26" i="1538"/>
  <c r="K27" i="1538" s="1"/>
  <c r="K29" i="1712"/>
  <c r="K30" i="1712" s="1"/>
  <c r="J57" i="1712"/>
  <c r="J25" i="1712"/>
  <c r="J27" i="1712" s="1"/>
  <c r="I24" i="1538"/>
  <c r="K26" i="1535"/>
  <c r="K27" i="1535" s="1"/>
  <c r="I24" i="1535"/>
  <c r="J22" i="1535"/>
  <c r="J24" i="1535" s="1"/>
  <c r="K15" i="1538"/>
  <c r="K22" i="1538" s="1"/>
  <c r="K29" i="1711"/>
  <c r="K30" i="1711"/>
  <c r="K17" i="1711"/>
  <c r="K16" i="1711"/>
  <c r="K15" i="1711"/>
  <c r="L22" i="1711"/>
  <c r="M20" i="1711"/>
  <c r="L21" i="1711"/>
  <c r="L14" i="1711"/>
  <c r="L28" i="1711"/>
  <c r="L60" i="1711"/>
  <c r="W397" i="121"/>
  <c r="P19" i="1711"/>
  <c r="AC164" i="1541"/>
  <c r="AP35" i="1541"/>
  <c r="AP36" i="1541" s="1"/>
  <c r="AP37" i="1541"/>
  <c r="AP40" i="1541"/>
  <c r="AP41" i="1541" s="1"/>
  <c r="AP34" i="1541"/>
  <c r="V66" i="1583"/>
  <c r="V160" i="121"/>
  <c r="V15" i="121"/>
  <c r="AI160" i="1541"/>
  <c r="J44" i="1583"/>
  <c r="K44" i="1583"/>
  <c r="AN51" i="1541"/>
  <c r="AP51" i="1541" s="1"/>
  <c r="AP50" i="1541"/>
  <c r="AP201" i="1541"/>
  <c r="AP141" i="1541"/>
  <c r="AD65" i="1541"/>
  <c r="L49" i="1535"/>
  <c r="AB66" i="1541"/>
  <c r="AB67" i="1541" s="1"/>
  <c r="AO139" i="1541"/>
  <c r="AO162" i="1541" s="1"/>
  <c r="AN105" i="1541"/>
  <c r="AM198" i="1541"/>
  <c r="AM106" i="1541"/>
  <c r="AM113" i="1541" s="1"/>
  <c r="AH53" i="1541"/>
  <c r="AH54" i="1541" s="1"/>
  <c r="AL205" i="1541"/>
  <c r="AE114" i="1583"/>
  <c r="AP145" i="1541"/>
  <c r="J161" i="1583"/>
  <c r="J179" i="1583"/>
  <c r="J50" i="1583"/>
  <c r="J63" i="1583"/>
  <c r="J131" i="1583"/>
  <c r="K63" i="1583"/>
  <c r="J149" i="1583"/>
  <c r="J191" i="1583"/>
  <c r="J209" i="1583"/>
  <c r="J246" i="1583"/>
  <c r="N50" i="1583"/>
  <c r="L52" i="1712"/>
  <c r="J23" i="1619"/>
  <c r="N23" i="1619"/>
  <c r="AN64" i="1541"/>
  <c r="AP64" i="1541" s="1"/>
  <c r="AP63" i="1541"/>
  <c r="K19" i="1712"/>
  <c r="K25" i="1712"/>
  <c r="K57" i="1712"/>
  <c r="AG88" i="1541"/>
  <c r="AG190" i="1541" s="1"/>
  <c r="AH185" i="1541"/>
  <c r="AH189" i="1541" s="1"/>
  <c r="AJ52" i="1541"/>
  <c r="AP135" i="1541"/>
  <c r="AI164" i="1541"/>
  <c r="AI163" i="1541"/>
  <c r="AP185" i="1541"/>
  <c r="AP189" i="1541" s="1"/>
  <c r="AL185" i="1541"/>
  <c r="AL189" i="1541" s="1"/>
  <c r="M9" i="1535"/>
  <c r="L19" i="1535"/>
  <c r="H47" i="1538"/>
  <c r="I45" i="1538"/>
  <c r="I47" i="1538" s="1"/>
  <c r="AC190" i="1541"/>
  <c r="AH64" i="1541"/>
  <c r="AJ64" i="1541" s="1"/>
  <c r="AJ63" i="1541"/>
  <c r="P25" i="1711"/>
  <c r="Q8" i="1711"/>
  <c r="AO70" i="1541"/>
  <c r="J24" i="1538"/>
  <c r="J23" i="1538"/>
  <c r="AP22" i="1541"/>
  <c r="AP23" i="1541" s="1"/>
  <c r="AP21" i="1541"/>
  <c r="L15" i="1538"/>
  <c r="M17" i="1538"/>
  <c r="L49" i="1538"/>
  <c r="M8" i="1712"/>
  <c r="L22" i="1712"/>
  <c r="I45" i="1535"/>
  <c r="I47" i="1535" s="1"/>
  <c r="H47" i="1535"/>
  <c r="AB120" i="1541"/>
  <c r="AB139" i="1541" s="1"/>
  <c r="AB54" i="1541"/>
  <c r="AD53" i="1541"/>
  <c r="L19" i="1538"/>
  <c r="M9" i="1538"/>
  <c r="K55" i="1711"/>
  <c r="L15" i="1535"/>
  <c r="M17" i="1535"/>
  <c r="M20" i="1712"/>
  <c r="L18" i="1712"/>
  <c r="K16" i="1535"/>
  <c r="K22" i="1535"/>
  <c r="E383" i="121"/>
  <c r="E382" i="121"/>
  <c r="E381" i="121"/>
  <c r="E380" i="121"/>
  <c r="X380" i="121"/>
  <c r="X381" i="121"/>
  <c r="X382" i="121"/>
  <c r="X383" i="121"/>
  <c r="BH741" i="1812"/>
  <c r="AP734" i="1812"/>
  <c r="AP727" i="1812"/>
  <c r="AP720" i="1812"/>
  <c r="K172" i="121" l="1"/>
  <c r="K173" i="121" s="1"/>
  <c r="K175" i="121" s="1"/>
  <c r="K176" i="121" s="1"/>
  <c r="K27" i="121" s="1"/>
  <c r="J47" i="1821"/>
  <c r="J36" i="1821"/>
  <c r="J43" i="1821"/>
  <c r="J40" i="1821"/>
  <c r="J21" i="1821"/>
  <c r="N9" i="1821"/>
  <c r="K11" i="1821"/>
  <c r="N21" i="1821"/>
  <c r="J11" i="1821"/>
  <c r="J52" i="1821"/>
  <c r="J9" i="1821"/>
  <c r="X406" i="121"/>
  <c r="X405" i="121"/>
  <c r="X404" i="121"/>
  <c r="X403" i="121"/>
  <c r="AJ57" i="1821"/>
  <c r="AJ58" i="1821" s="1"/>
  <c r="AK133" i="1810"/>
  <c r="G414" i="121"/>
  <c r="G416" i="121" s="1"/>
  <c r="G30" i="121" s="1"/>
  <c r="G29" i="1810" s="1"/>
  <c r="AK66" i="1821"/>
  <c r="AJ66" i="1821"/>
  <c r="AL189" i="1812"/>
  <c r="AL492" i="1812" s="1"/>
  <c r="BG492" i="1812" s="1"/>
  <c r="AL572" i="1812"/>
  <c r="BG572" i="1812" s="1"/>
  <c r="AL601" i="1812"/>
  <c r="BG601" i="1812" s="1"/>
  <c r="BG658" i="1812"/>
  <c r="AK203" i="1812"/>
  <c r="AK207" i="1812" s="1"/>
  <c r="AK217" i="1812" s="1"/>
  <c r="BG544" i="1812"/>
  <c r="BG362" i="1812"/>
  <c r="BH740" i="1812"/>
  <c r="BH738" i="1812" s="1"/>
  <c r="BH412" i="1812" s="1"/>
  <c r="BH742" i="1812"/>
  <c r="BH3" i="1812"/>
  <c r="BH745" i="1812"/>
  <c r="BI4" i="1812"/>
  <c r="AP733" i="1812"/>
  <c r="AP731" i="1812" s="1"/>
  <c r="AP728" i="1812"/>
  <c r="AP726" i="1812"/>
  <c r="AP724" i="1812" s="1"/>
  <c r="AP721" i="1812"/>
  <c r="AP719" i="1812"/>
  <c r="AP717" i="1812" s="1"/>
  <c r="AP735" i="1812"/>
  <c r="AN222" i="1812"/>
  <c r="AN362" i="1812" s="1"/>
  <c r="AN237" i="1812"/>
  <c r="AN240" i="1812"/>
  <c r="AN243" i="1812" s="1"/>
  <c r="AN399" i="1812" s="1"/>
  <c r="AN238" i="1812"/>
  <c r="AO232" i="1812"/>
  <c r="AN230" i="1812"/>
  <c r="AO235" i="1812" s="1"/>
  <c r="AM652" i="1812"/>
  <c r="AM543" i="1812"/>
  <c r="AM544" i="1812" s="1"/>
  <c r="D378" i="121"/>
  <c r="D377" i="121" s="1"/>
  <c r="AK625" i="1812"/>
  <c r="AK626" i="1812" s="1"/>
  <c r="BG603" i="1812"/>
  <c r="AL568" i="1812"/>
  <c r="AL567" i="1812" s="1"/>
  <c r="I386" i="121"/>
  <c r="I387" i="121"/>
  <c r="I388" i="121"/>
  <c r="I389" i="121"/>
  <c r="Y377" i="121"/>
  <c r="J397" i="121"/>
  <c r="J399" i="121" s="1"/>
  <c r="J29" i="121" s="1"/>
  <c r="J19" i="1810" s="1"/>
  <c r="J21" i="1810" s="1"/>
  <c r="J10" i="1821" s="1"/>
  <c r="K399" i="121"/>
  <c r="L29" i="1712"/>
  <c r="L30" i="1712" s="1"/>
  <c r="L26" i="1538"/>
  <c r="L27" i="1538" s="1"/>
  <c r="J26" i="1712"/>
  <c r="L26" i="1535"/>
  <c r="L27" i="1535" s="1"/>
  <c r="J23" i="1535"/>
  <c r="K16" i="1538"/>
  <c r="M21" i="1711"/>
  <c r="N20" i="1711"/>
  <c r="M22" i="1711"/>
  <c r="M60" i="1711"/>
  <c r="M14" i="1711"/>
  <c r="M28" i="1711"/>
  <c r="L30" i="1711"/>
  <c r="L29" i="1711"/>
  <c r="L17" i="1711"/>
  <c r="L15" i="1711"/>
  <c r="L16" i="1711"/>
  <c r="W399" i="121"/>
  <c r="X388" i="121"/>
  <c r="X386" i="121"/>
  <c r="X387" i="121"/>
  <c r="X389" i="121"/>
  <c r="Q19" i="1711"/>
  <c r="V69" i="1583"/>
  <c r="V79" i="1583" s="1"/>
  <c r="V76" i="1583"/>
  <c r="M52" i="1712"/>
  <c r="AH120" i="1541"/>
  <c r="AH139" i="1541" s="1"/>
  <c r="AH160" i="1541" s="1"/>
  <c r="AN53" i="1541"/>
  <c r="AP53" i="1541" s="1"/>
  <c r="AP120" i="1541" s="1"/>
  <c r="AB76" i="1541"/>
  <c r="AD76" i="1541" s="1"/>
  <c r="AD77" i="1541" s="1"/>
  <c r="AP52" i="1541"/>
  <c r="M49" i="1535"/>
  <c r="AO160" i="1541"/>
  <c r="AD66" i="1541"/>
  <c r="AD67" i="1541" s="1"/>
  <c r="AB69" i="1541"/>
  <c r="AB70" i="1541" s="1"/>
  <c r="AB68" i="1541"/>
  <c r="AN66" i="1541"/>
  <c r="AN76" i="1541" s="1"/>
  <c r="M49" i="1538"/>
  <c r="AM204" i="1541"/>
  <c r="AM205" i="1541"/>
  <c r="AO105" i="1541"/>
  <c r="AN198" i="1541"/>
  <c r="AN106" i="1541"/>
  <c r="AN113" i="1541" s="1"/>
  <c r="AJ53" i="1541"/>
  <c r="L22" i="1535"/>
  <c r="L16" i="1535"/>
  <c r="Q25" i="1711"/>
  <c r="R8" i="1711"/>
  <c r="L16" i="1538"/>
  <c r="L22" i="1538"/>
  <c r="AH66" i="1541"/>
  <c r="AL88" i="1541"/>
  <c r="AL190" i="1541" s="1"/>
  <c r="AM185" i="1541"/>
  <c r="AM189" i="1541" s="1"/>
  <c r="AP65" i="1541"/>
  <c r="AJ65" i="1541"/>
  <c r="K26" i="1712"/>
  <c r="K27" i="1712"/>
  <c r="K23" i="1538"/>
  <c r="K24" i="1538"/>
  <c r="M22" i="1712"/>
  <c r="N8" i="1712"/>
  <c r="K24" i="1535"/>
  <c r="K23" i="1535"/>
  <c r="M15" i="1538"/>
  <c r="N17" i="1538"/>
  <c r="L55" i="1711"/>
  <c r="AD54" i="1541"/>
  <c r="AD120" i="1541"/>
  <c r="L19" i="1712"/>
  <c r="L25" i="1712"/>
  <c r="L57" i="1712"/>
  <c r="M18" i="1712"/>
  <c r="N20" i="1712"/>
  <c r="N9" i="1538"/>
  <c r="M19" i="1538"/>
  <c r="M19" i="1535"/>
  <c r="N9" i="1535"/>
  <c r="AH88" i="1541"/>
  <c r="AH190" i="1541" s="1"/>
  <c r="AI185" i="1541"/>
  <c r="AI189" i="1541" s="1"/>
  <c r="AO164" i="1541"/>
  <c r="AO163" i="1541"/>
  <c r="M15" i="1535"/>
  <c r="N17" i="1535"/>
  <c r="AB162" i="1541"/>
  <c r="AD139" i="1541"/>
  <c r="AB160" i="1541"/>
  <c r="BI741" i="1812"/>
  <c r="D383" i="121"/>
  <c r="D382" i="121"/>
  <c r="D381" i="121"/>
  <c r="D380" i="121"/>
  <c r="AI172" i="121" l="1"/>
  <c r="AI173" i="121" s="1"/>
  <c r="AK58" i="1821"/>
  <c r="BG189" i="1812"/>
  <c r="BG575" i="1812" s="1"/>
  <c r="AL192" i="1812"/>
  <c r="AL575" i="1812"/>
  <c r="X414" i="121"/>
  <c r="X416" i="121" s="1"/>
  <c r="X30" i="121" s="1"/>
  <c r="X29" i="1810" s="1"/>
  <c r="X31" i="1810" s="1"/>
  <c r="X12" i="1821" s="1"/>
  <c r="AL562" i="1812"/>
  <c r="AL561" i="1812" s="1"/>
  <c r="AL607" i="1812"/>
  <c r="AK209" i="1812"/>
  <c r="AK212" i="1812" s="1"/>
  <c r="AK490" i="1812"/>
  <c r="BH715" i="1812"/>
  <c r="AN386" i="1812"/>
  <c r="AN194" i="1812" s="1"/>
  <c r="AO386" i="1812"/>
  <c r="AO194" i="1812" s="1"/>
  <c r="AM386" i="1812"/>
  <c r="AP386" i="1812"/>
  <c r="AP194" i="1812" s="1"/>
  <c r="BI742" i="1812"/>
  <c r="BI3" i="1812"/>
  <c r="BI715" i="1812" s="1"/>
  <c r="BI745" i="1812"/>
  <c r="BI740" i="1812"/>
  <c r="BI738" i="1812" s="1"/>
  <c r="BI412" i="1812" s="1"/>
  <c r="BJ4" i="1812"/>
  <c r="AO222" i="1812"/>
  <c r="AO362" i="1812" s="1"/>
  <c r="AO238" i="1812"/>
  <c r="AO240" i="1812"/>
  <c r="AO243" i="1812" s="1"/>
  <c r="AO399" i="1812" s="1"/>
  <c r="AO230" i="1812"/>
  <c r="AP235" i="1812" s="1"/>
  <c r="AO237" i="1812"/>
  <c r="AP232" i="1812"/>
  <c r="C378" i="121"/>
  <c r="C377" i="121" s="1"/>
  <c r="BG659" i="1812"/>
  <c r="BG652" i="1812"/>
  <c r="AN652" i="1812"/>
  <c r="AN543" i="1812"/>
  <c r="H386" i="121"/>
  <c r="H387" i="121"/>
  <c r="H388" i="121"/>
  <c r="H389" i="121"/>
  <c r="BG568" i="1812"/>
  <c r="BG192" i="1812"/>
  <c r="BG607" i="1812"/>
  <c r="BG562" i="1812"/>
  <c r="Y378" i="121"/>
  <c r="I397" i="121"/>
  <c r="I399" i="121" s="1"/>
  <c r="I29" i="121" s="1"/>
  <c r="I19" i="1810" s="1"/>
  <c r="I21" i="1810" s="1"/>
  <c r="I10" i="1821" s="1"/>
  <c r="AI400" i="121"/>
  <c r="J66" i="1583"/>
  <c r="J69" i="1583" s="1"/>
  <c r="J160" i="121"/>
  <c r="M29" i="1712"/>
  <c r="M30" i="1712" s="1"/>
  <c r="M26" i="1538"/>
  <c r="M27" i="1538" s="1"/>
  <c r="M26" i="1535"/>
  <c r="M27" i="1535" s="1"/>
  <c r="M30" i="1711"/>
  <c r="M29" i="1711"/>
  <c r="M15" i="1711"/>
  <c r="M17" i="1711"/>
  <c r="M16" i="1711"/>
  <c r="N21" i="1711"/>
  <c r="O20" i="1711"/>
  <c r="N22" i="1711"/>
  <c r="N14" i="1711"/>
  <c r="N28" i="1711"/>
  <c r="N60" i="1711"/>
  <c r="X397" i="121"/>
  <c r="AH162" i="1541"/>
  <c r="AH164" i="1541" s="1"/>
  <c r="R19" i="1711"/>
  <c r="AB77" i="1541"/>
  <c r="AJ139" i="1541"/>
  <c r="AN120" i="1541"/>
  <c r="AN139" i="1541" s="1"/>
  <c r="AP54" i="1541"/>
  <c r="AN54" i="1541"/>
  <c r="N49" i="1535"/>
  <c r="AP66" i="1541"/>
  <c r="AP69" i="1541" s="1"/>
  <c r="AN69" i="1541"/>
  <c r="AD69" i="1541"/>
  <c r="AD70" i="1541" s="1"/>
  <c r="AD68" i="1541"/>
  <c r="AN68" i="1541"/>
  <c r="N49" i="1538"/>
  <c r="AN205" i="1541"/>
  <c r="AN204" i="1541"/>
  <c r="AJ120" i="1541"/>
  <c r="AJ54" i="1541"/>
  <c r="AP105" i="1541"/>
  <c r="AO198" i="1541"/>
  <c r="AO106" i="1541"/>
  <c r="AO113" i="1541" s="1"/>
  <c r="AH69" i="1541"/>
  <c r="AH70" i="1541" s="1"/>
  <c r="AH76" i="1541"/>
  <c r="AH68" i="1541"/>
  <c r="AH67" i="1541"/>
  <c r="AJ66" i="1541"/>
  <c r="O9" i="1535"/>
  <c r="N19" i="1535"/>
  <c r="AM88" i="1541"/>
  <c r="AM190" i="1541" s="1"/>
  <c r="AN185" i="1541"/>
  <c r="AN189" i="1541" s="1"/>
  <c r="AJ160" i="1541"/>
  <c r="L26" i="1712"/>
  <c r="L27" i="1712"/>
  <c r="AN77" i="1541"/>
  <c r="AP76" i="1541"/>
  <c r="AP77" i="1541" s="1"/>
  <c r="O17" i="1535"/>
  <c r="N15" i="1535"/>
  <c r="AI88" i="1541"/>
  <c r="AJ88" i="1541" s="1"/>
  <c r="AJ190" i="1541" s="1"/>
  <c r="M55" i="1711"/>
  <c r="N22" i="1712"/>
  <c r="O8" i="1712"/>
  <c r="AN67" i="1541"/>
  <c r="L24" i="1535"/>
  <c r="L23" i="1535"/>
  <c r="N52" i="1712"/>
  <c r="N15" i="1538"/>
  <c r="O17" i="1538"/>
  <c r="AB161" i="1541"/>
  <c r="AD160" i="1541"/>
  <c r="O9" i="1538"/>
  <c r="N19" i="1538"/>
  <c r="M22" i="1538"/>
  <c r="M16" i="1538"/>
  <c r="N18" i="1712"/>
  <c r="O20" i="1712"/>
  <c r="L24" i="1538"/>
  <c r="L23" i="1538"/>
  <c r="M19" i="1712"/>
  <c r="M25" i="1712"/>
  <c r="M57" i="1712"/>
  <c r="AB163" i="1541"/>
  <c r="AB164" i="1541"/>
  <c r="AD162" i="1541"/>
  <c r="S8" i="1711"/>
  <c r="T8" i="1711" s="1"/>
  <c r="R25" i="1711"/>
  <c r="M16" i="1535"/>
  <c r="M22" i="1535"/>
  <c r="C381" i="121"/>
  <c r="C380" i="121"/>
  <c r="BJ741" i="1812"/>
  <c r="Y380" i="121"/>
  <c r="Y381" i="121"/>
  <c r="Y382" i="121"/>
  <c r="Y383" i="121"/>
  <c r="BI734" i="1812"/>
  <c r="BI727" i="1812"/>
  <c r="BI720" i="1812"/>
  <c r="BH734" i="1812"/>
  <c r="BH727" i="1812"/>
  <c r="BH720" i="1812"/>
  <c r="Y406" i="121" l="1"/>
  <c r="Y405" i="121"/>
  <c r="Y404" i="121"/>
  <c r="Y403" i="121"/>
  <c r="AK223" i="1812"/>
  <c r="AK218" i="1812" s="1"/>
  <c r="AK632" i="1812"/>
  <c r="AK634" i="1812" s="1"/>
  <c r="AK636" i="1812" s="1"/>
  <c r="AK507" i="1812"/>
  <c r="G386" i="121"/>
  <c r="G387" i="121"/>
  <c r="AN544" i="1812"/>
  <c r="AP222" i="1812"/>
  <c r="AP240" i="1812"/>
  <c r="BH240" i="1812" s="1"/>
  <c r="AP238" i="1812"/>
  <c r="BH232" i="1812"/>
  <c r="AP237" i="1812"/>
  <c r="AP230" i="1812"/>
  <c r="H397" i="121"/>
  <c r="H399" i="121" s="1"/>
  <c r="H29" i="121" s="1"/>
  <c r="H19" i="1810" s="1"/>
  <c r="H21" i="1810" s="1"/>
  <c r="H10" i="1821" s="1"/>
  <c r="AO652" i="1812"/>
  <c r="AO543" i="1812"/>
  <c r="AO544" i="1812" s="1"/>
  <c r="BJ740" i="1812"/>
  <c r="BJ738" i="1812" s="1"/>
  <c r="BJ412" i="1812" s="1"/>
  <c r="BJ3" i="1812"/>
  <c r="BJ715" i="1812" s="1"/>
  <c r="BK4" i="1812"/>
  <c r="BJ745" i="1812"/>
  <c r="BJ742" i="1812"/>
  <c r="BI728" i="1812"/>
  <c r="BI726" i="1812"/>
  <c r="BI724" i="1812" s="1"/>
  <c r="BI721" i="1812"/>
  <c r="BI735" i="1812"/>
  <c r="BI733" i="1812"/>
  <c r="BI731" i="1812" s="1"/>
  <c r="BI719" i="1812"/>
  <c r="BI717" i="1812" s="1"/>
  <c r="BH386" i="1812"/>
  <c r="BH387" i="1812" s="1"/>
  <c r="AM194" i="1812"/>
  <c r="BH194" i="1812" s="1"/>
  <c r="BH733" i="1812"/>
  <c r="BH731" i="1812" s="1"/>
  <c r="BH721" i="1812"/>
  <c r="BH726" i="1812"/>
  <c r="BH724" i="1812" s="1"/>
  <c r="BH719" i="1812"/>
  <c r="BH717" i="1812" s="1"/>
  <c r="BH728" i="1812"/>
  <c r="BH735" i="1812"/>
  <c r="BG561" i="1812"/>
  <c r="BH558" i="1812"/>
  <c r="AM558" i="1812"/>
  <c r="AK224" i="1812"/>
  <c r="AK219" i="1812" s="1"/>
  <c r="AM564" i="1812"/>
  <c r="BG567" i="1812"/>
  <c r="BH564" i="1812"/>
  <c r="Z377" i="121"/>
  <c r="I160" i="121"/>
  <c r="I66" i="1583"/>
  <c r="I69" i="1583" s="1"/>
  <c r="N29" i="1712"/>
  <c r="N30" i="1712" s="1"/>
  <c r="N26" i="1538"/>
  <c r="N27" i="1538" s="1"/>
  <c r="N26" i="1535"/>
  <c r="N27" i="1535" s="1"/>
  <c r="P20" i="1711"/>
  <c r="O21" i="1711"/>
  <c r="O22" i="1711"/>
  <c r="O14" i="1711"/>
  <c r="O28" i="1711"/>
  <c r="O60" i="1711"/>
  <c r="N30" i="1711"/>
  <c r="N29" i="1711"/>
  <c r="N15" i="1711"/>
  <c r="N17" i="1711"/>
  <c r="N16" i="1711"/>
  <c r="W27" i="121"/>
  <c r="T25" i="1711"/>
  <c r="T32" i="1711" s="1"/>
  <c r="T33" i="1711" s="1"/>
  <c r="X399" i="121"/>
  <c r="X15" i="121" s="1"/>
  <c r="Y386" i="121"/>
  <c r="Y387" i="121"/>
  <c r="Y388" i="121"/>
  <c r="Y389" i="121"/>
  <c r="AJ162" i="1541"/>
  <c r="AJ164" i="1541" s="1"/>
  <c r="AH163" i="1541"/>
  <c r="S25" i="1711"/>
  <c r="S32" i="1711" s="1"/>
  <c r="I32" i="1711" s="1"/>
  <c r="S19" i="1711"/>
  <c r="T19" i="1711" s="1"/>
  <c r="AP139" i="1541"/>
  <c r="AN160" i="1541"/>
  <c r="AP160" i="1541" s="1"/>
  <c r="AN162" i="1541"/>
  <c r="O49" i="1535"/>
  <c r="AP67" i="1541"/>
  <c r="AP68" i="1541"/>
  <c r="O49" i="1538"/>
  <c r="O52" i="1712"/>
  <c r="AO205" i="1541"/>
  <c r="AO204" i="1541"/>
  <c r="AP106" i="1541"/>
  <c r="AP113" i="1541" s="1"/>
  <c r="AP198" i="1541"/>
  <c r="AN70" i="1541"/>
  <c r="O22" i="1712"/>
  <c r="P8" i="1712"/>
  <c r="O15" i="1538"/>
  <c r="P17" i="1538"/>
  <c r="M24" i="1535"/>
  <c r="M23" i="1535"/>
  <c r="N16" i="1538"/>
  <c r="N22" i="1538"/>
  <c r="N55" i="1711"/>
  <c r="N16" i="1535"/>
  <c r="N22" i="1535"/>
  <c r="P9" i="1535"/>
  <c r="O19" i="1535"/>
  <c r="AD163" i="1541"/>
  <c r="AD164" i="1541"/>
  <c r="M24" i="1538"/>
  <c r="M23" i="1538"/>
  <c r="O18" i="1712"/>
  <c r="P20" i="1712"/>
  <c r="N19" i="1712"/>
  <c r="N25" i="1712"/>
  <c r="N57" i="1712"/>
  <c r="O15" i="1535"/>
  <c r="P17" i="1535"/>
  <c r="P9" i="1538"/>
  <c r="O19" i="1538"/>
  <c r="AI190" i="1541"/>
  <c r="AJ69" i="1541"/>
  <c r="AJ70" i="1541" s="1"/>
  <c r="AJ68" i="1541"/>
  <c r="AJ67" i="1541"/>
  <c r="M27" i="1712"/>
  <c r="M26" i="1712"/>
  <c r="AC159" i="1541"/>
  <c r="AC161" i="1541" s="1"/>
  <c r="AB80" i="1541"/>
  <c r="AH77" i="1541"/>
  <c r="AJ76" i="1541"/>
  <c r="AJ77" i="1541" s="1"/>
  <c r="AN88" i="1541"/>
  <c r="AN190" i="1541" s="1"/>
  <c r="AO185" i="1541"/>
  <c r="AO189" i="1541" s="1"/>
  <c r="BK741" i="1812"/>
  <c r="BJ734" i="1812"/>
  <c r="BJ727" i="1812"/>
  <c r="BJ720" i="1812"/>
  <c r="Z378" i="121" l="1"/>
  <c r="Y414" i="121"/>
  <c r="Y416" i="121" s="1"/>
  <c r="Y30" i="121" s="1"/>
  <c r="Y29" i="1810" s="1"/>
  <c r="Y31" i="1810" s="1"/>
  <c r="Y12" i="1821" s="1"/>
  <c r="H160" i="121"/>
  <c r="AP243" i="1812"/>
  <c r="AP399" i="1812" s="1"/>
  <c r="G397" i="121"/>
  <c r="G399" i="121" s="1"/>
  <c r="G29" i="121" s="1"/>
  <c r="G19" i="1810" s="1"/>
  <c r="G21" i="1810" s="1"/>
  <c r="G10" i="1821" s="1"/>
  <c r="AK516" i="1812"/>
  <c r="AK547" i="1812" s="1"/>
  <c r="AK550" i="1812" s="1"/>
  <c r="AK592" i="1812" s="1"/>
  <c r="AK352" i="1812"/>
  <c r="BK742" i="1812"/>
  <c r="BK3" i="1812"/>
  <c r="BK715" i="1812" s="1"/>
  <c r="BK745" i="1812"/>
  <c r="BK740" i="1812"/>
  <c r="BK738" i="1812" s="1"/>
  <c r="BK412" i="1812" s="1"/>
  <c r="H66" i="1583"/>
  <c r="H69" i="1583" s="1"/>
  <c r="BJ721" i="1812"/>
  <c r="BJ719" i="1812"/>
  <c r="BJ717" i="1812" s="1"/>
  <c r="BJ726" i="1812"/>
  <c r="BJ724" i="1812" s="1"/>
  <c r="BJ735" i="1812"/>
  <c r="BJ728" i="1812"/>
  <c r="BJ733" i="1812"/>
  <c r="BJ731" i="1812" s="1"/>
  <c r="BH230" i="1812"/>
  <c r="BI236" i="1812" s="1"/>
  <c r="BI232" i="1812"/>
  <c r="BH243" i="1812"/>
  <c r="BH399" i="1812" s="1"/>
  <c r="BH238" i="1812"/>
  <c r="BH241" i="1812"/>
  <c r="AP362" i="1812"/>
  <c r="BH222" i="1812"/>
  <c r="AM559" i="1812"/>
  <c r="AM565" i="1812"/>
  <c r="AM573" i="1812" s="1"/>
  <c r="X151" i="121"/>
  <c r="X263" i="121" s="1"/>
  <c r="X171" i="121"/>
  <c r="O29" i="1712"/>
  <c r="O30" i="1712" s="1"/>
  <c r="O26" i="1538"/>
  <c r="O27" i="1538" s="1"/>
  <c r="W160" i="121"/>
  <c r="O26" i="1535"/>
  <c r="O27" i="1535" s="1"/>
  <c r="O29" i="1711"/>
  <c r="O30" i="1711"/>
  <c r="O17" i="1711"/>
  <c r="O15" i="1711"/>
  <c r="O16" i="1711"/>
  <c r="P21" i="1711"/>
  <c r="Q20" i="1711"/>
  <c r="P22" i="1711"/>
  <c r="P14" i="1711"/>
  <c r="P60" i="1711"/>
  <c r="P28" i="1711"/>
  <c r="W263" i="121"/>
  <c r="W61" i="121"/>
  <c r="W62" i="121"/>
  <c r="W60" i="121"/>
  <c r="Y397" i="121"/>
  <c r="AJ163" i="1541"/>
  <c r="S33" i="1711"/>
  <c r="J32" i="1711"/>
  <c r="I33" i="1711"/>
  <c r="AN164" i="1541"/>
  <c r="AP162" i="1541"/>
  <c r="AN163" i="1541"/>
  <c r="P52" i="1712"/>
  <c r="AP205" i="1541"/>
  <c r="AP204" i="1541"/>
  <c r="P15" i="1538"/>
  <c r="Q17" i="1538"/>
  <c r="AO88" i="1541"/>
  <c r="AP88" i="1541" s="1"/>
  <c r="AP190" i="1541" s="1"/>
  <c r="N24" i="1535"/>
  <c r="N23" i="1535"/>
  <c r="Q9" i="1535"/>
  <c r="P19" i="1535"/>
  <c r="P15" i="1535"/>
  <c r="Q17" i="1535"/>
  <c r="O55" i="1711"/>
  <c r="Q9" i="1538"/>
  <c r="P19" i="1538"/>
  <c r="N27" i="1712"/>
  <c r="N26" i="1712"/>
  <c r="AB86" i="1541"/>
  <c r="AB94" i="1541" s="1"/>
  <c r="AB115" i="1541" s="1"/>
  <c r="AB116" i="1541" s="1"/>
  <c r="AB117" i="1541" s="1"/>
  <c r="AB199" i="1541"/>
  <c r="AB200" i="1541" s="1"/>
  <c r="AB202" i="1541" s="1"/>
  <c r="AD161" i="1541"/>
  <c r="AC80" i="1541"/>
  <c r="O16" i="1535"/>
  <c r="O22" i="1535"/>
  <c r="AP70" i="1541"/>
  <c r="Q8" i="1712"/>
  <c r="P22" i="1712"/>
  <c r="P18" i="1712"/>
  <c r="Q20" i="1712"/>
  <c r="O19" i="1712"/>
  <c r="O25" i="1712"/>
  <c r="O57" i="1712"/>
  <c r="N23" i="1538"/>
  <c r="N24" i="1538"/>
  <c r="P49" i="1538"/>
  <c r="P49" i="1535"/>
  <c r="O22" i="1538"/>
  <c r="O16" i="1538"/>
  <c r="Z380" i="121"/>
  <c r="Z381" i="121"/>
  <c r="Z382" i="121"/>
  <c r="Z383" i="121"/>
  <c r="BK734" i="1812"/>
  <c r="BK727" i="1812"/>
  <c r="BK720" i="1812"/>
  <c r="AA378" i="121" l="1"/>
  <c r="AL383" i="121"/>
  <c r="AL389" i="121" s="1"/>
  <c r="Z406" i="121"/>
  <c r="AL382" i="121"/>
  <c r="AL388" i="121" s="1"/>
  <c r="Z405" i="121"/>
  <c r="AL381" i="121"/>
  <c r="AL387" i="121" s="1"/>
  <c r="Z404" i="121"/>
  <c r="Z403" i="121"/>
  <c r="AL380" i="121"/>
  <c r="AL386" i="121" s="1"/>
  <c r="Z414" i="121"/>
  <c r="AL549" i="1812"/>
  <c r="AH29" i="121"/>
  <c r="G66" i="1583"/>
  <c r="G69" i="1583" s="1"/>
  <c r="G160" i="121"/>
  <c r="AK354" i="1812"/>
  <c r="AK369" i="1812"/>
  <c r="AK370" i="1812" s="1"/>
  <c r="AK371" i="1812" s="1"/>
  <c r="AK372" i="1812" s="1"/>
  <c r="AK355" i="1812"/>
  <c r="AP652" i="1812"/>
  <c r="AP543" i="1812"/>
  <c r="BI222" i="1812"/>
  <c r="BI362" i="1812" s="1"/>
  <c r="BI240" i="1812"/>
  <c r="BI243" i="1812" s="1"/>
  <c r="BI399" i="1812" s="1"/>
  <c r="BJ232" i="1812"/>
  <c r="BI238" i="1812"/>
  <c r="BI230" i="1812"/>
  <c r="BJ236" i="1812" s="1"/>
  <c r="BK733" i="1812"/>
  <c r="BK731" i="1812" s="1"/>
  <c r="BK735" i="1812"/>
  <c r="BK721" i="1812"/>
  <c r="BK728" i="1812"/>
  <c r="BK726" i="1812"/>
  <c r="BK724" i="1812" s="1"/>
  <c r="BK719" i="1812"/>
  <c r="BK717" i="1812" s="1"/>
  <c r="AM190" i="1812"/>
  <c r="AM603" i="1812"/>
  <c r="AM189" i="1812"/>
  <c r="AM601" i="1812"/>
  <c r="AM572" i="1812"/>
  <c r="AK598" i="1812"/>
  <c r="AK608" i="1812" s="1"/>
  <c r="AK638" i="1812" s="1"/>
  <c r="AK379" i="1812"/>
  <c r="AK555" i="1812"/>
  <c r="X173" i="121"/>
  <c r="X175" i="121" s="1"/>
  <c r="X176" i="121" s="1"/>
  <c r="X27" i="121" s="1"/>
  <c r="AL27" i="121" s="1"/>
  <c r="X317" i="121"/>
  <c r="X275" i="121"/>
  <c r="X269" i="121"/>
  <c r="X157" i="121"/>
  <c r="X153" i="121"/>
  <c r="P29" i="1712"/>
  <c r="P30" i="1712" s="1"/>
  <c r="P26" i="1538"/>
  <c r="P27" i="1538" s="1"/>
  <c r="W269" i="121"/>
  <c r="W275" i="121"/>
  <c r="W317" i="121"/>
  <c r="W15" i="121"/>
  <c r="AL29" i="121"/>
  <c r="P26" i="1535"/>
  <c r="P27" i="1535" s="1"/>
  <c r="D9" i="1809"/>
  <c r="R20" i="1711"/>
  <c r="Q21" i="1711"/>
  <c r="Q22" i="1711"/>
  <c r="Q14" i="1711"/>
  <c r="Q28" i="1711"/>
  <c r="Q60" i="1711"/>
  <c r="P30" i="1711"/>
  <c r="P29" i="1711"/>
  <c r="P17" i="1711"/>
  <c r="P16" i="1711"/>
  <c r="P15" i="1711"/>
  <c r="W265" i="121"/>
  <c r="Y399" i="121"/>
  <c r="Z388" i="121"/>
  <c r="Z386" i="121"/>
  <c r="Z387" i="121"/>
  <c r="Z389" i="121"/>
  <c r="K32" i="1711"/>
  <c r="J33" i="1711"/>
  <c r="AP163" i="1541"/>
  <c r="AP164" i="1541"/>
  <c r="AO190" i="1541"/>
  <c r="Q49" i="1538"/>
  <c r="Q49" i="1535"/>
  <c r="O23" i="1538"/>
  <c r="O24" i="1538"/>
  <c r="Q15" i="1535"/>
  <c r="R17" i="1535"/>
  <c r="P16" i="1535"/>
  <c r="P22" i="1535"/>
  <c r="Q15" i="1538"/>
  <c r="R17" i="1538"/>
  <c r="P22" i="1538"/>
  <c r="P16" i="1538"/>
  <c r="P25" i="1712"/>
  <c r="P19" i="1712"/>
  <c r="P57" i="1712"/>
  <c r="R9" i="1535"/>
  <c r="R19" i="1535" s="1"/>
  <c r="Q19" i="1535"/>
  <c r="O24" i="1535"/>
  <c r="O23" i="1535"/>
  <c r="Q22" i="1712"/>
  <c r="R8" i="1712"/>
  <c r="R9" i="1538"/>
  <c r="R19" i="1538" s="1"/>
  <c r="Q19" i="1538"/>
  <c r="Q52" i="1712"/>
  <c r="AD80" i="1541"/>
  <c r="AD199" i="1541" s="1"/>
  <c r="AD200" i="1541" s="1"/>
  <c r="AD202" i="1541" s="1"/>
  <c r="AC86" i="1541"/>
  <c r="AC199" i="1541"/>
  <c r="AC200" i="1541" s="1"/>
  <c r="AC202" i="1541" s="1"/>
  <c r="P55" i="1711"/>
  <c r="Q18" i="1712"/>
  <c r="R20" i="1712"/>
  <c r="O27" i="1712"/>
  <c r="O26" i="1712"/>
  <c r="AF159" i="1541"/>
  <c r="AF161" i="1541" s="1"/>
  <c r="AJ159" i="1541"/>
  <c r="AA377" i="121" l="1"/>
  <c r="AB378" i="121"/>
  <c r="AB377" i="121" s="1"/>
  <c r="AL397" i="121"/>
  <c r="AL399" i="121" s="1"/>
  <c r="AH19" i="1810"/>
  <c r="AH21" i="1810" s="1"/>
  <c r="AH10" i="1821" s="1"/>
  <c r="Y293" i="121"/>
  <c r="Y287" i="121"/>
  <c r="K76" i="1583"/>
  <c r="E10" i="155"/>
  <c r="E10" i="1711"/>
  <c r="AH160" i="121"/>
  <c r="C56" i="1808"/>
  <c r="H56" i="1808" s="1"/>
  <c r="E10" i="1807"/>
  <c r="AK373" i="1812"/>
  <c r="AK374" i="1812" s="1"/>
  <c r="AK375" i="1812" s="1"/>
  <c r="AK376" i="1812" s="1"/>
  <c r="AK356" i="1812"/>
  <c r="BJ222" i="1812"/>
  <c r="BJ362" i="1812" s="1"/>
  <c r="BK232" i="1812"/>
  <c r="BJ240" i="1812"/>
  <c r="BJ243" i="1812" s="1"/>
  <c r="BJ399" i="1812" s="1"/>
  <c r="BJ230" i="1812"/>
  <c r="BK236" i="1812" s="1"/>
  <c r="BJ238" i="1812"/>
  <c r="BI652" i="1812"/>
  <c r="BI543" i="1812"/>
  <c r="BI544" i="1812" s="1"/>
  <c r="AP544" i="1812"/>
  <c r="BH543" i="1812"/>
  <c r="AM607" i="1812"/>
  <c r="AM562" i="1812"/>
  <c r="AM575" i="1812"/>
  <c r="AM492" i="1812"/>
  <c r="AM192" i="1812"/>
  <c r="AL388" i="1812"/>
  <c r="AK384" i="1812"/>
  <c r="AK400" i="1812" s="1"/>
  <c r="AM568" i="1812"/>
  <c r="AC29" i="121"/>
  <c r="AC19" i="1810" s="1"/>
  <c r="AC21" i="1810" s="1"/>
  <c r="AC10" i="1821" s="1"/>
  <c r="X159" i="121"/>
  <c r="X265" i="121"/>
  <c r="X281" i="121"/>
  <c r="X299" i="121"/>
  <c r="X293" i="121"/>
  <c r="X287" i="121"/>
  <c r="X122" i="1583"/>
  <c r="X128" i="1583" s="1"/>
  <c r="X152" i="1583"/>
  <c r="Q29" i="1712"/>
  <c r="Q30" i="1712" s="1"/>
  <c r="Q26" i="1538"/>
  <c r="Q27" i="1538" s="1"/>
  <c r="W277" i="121"/>
  <c r="W319" i="121"/>
  <c r="W299" i="121"/>
  <c r="W281" i="121"/>
  <c r="W293" i="121"/>
  <c r="W287" i="121"/>
  <c r="AL160" i="121"/>
  <c r="I10" i="155"/>
  <c r="I10" i="1809"/>
  <c r="Q26" i="1535"/>
  <c r="Q27" i="1535" s="1"/>
  <c r="Q17" i="1711"/>
  <c r="Q15" i="1711"/>
  <c r="Q16" i="1711"/>
  <c r="Q30" i="1711"/>
  <c r="Q29" i="1711"/>
  <c r="S20" i="1711"/>
  <c r="R22" i="1711"/>
  <c r="R21" i="1711"/>
  <c r="R60" i="1711"/>
  <c r="R28" i="1711"/>
  <c r="R14" i="1711"/>
  <c r="W271" i="121"/>
  <c r="X115" i="121"/>
  <c r="X134" i="1583"/>
  <c r="Z397" i="121"/>
  <c r="Z172" i="121" s="1"/>
  <c r="Z10" i="121" s="1"/>
  <c r="L32" i="1711"/>
  <c r="K33" i="1711"/>
  <c r="K79" i="1583"/>
  <c r="S8" i="1712"/>
  <c r="S22" i="1712" s="1"/>
  <c r="R22" i="1712"/>
  <c r="Q19" i="1712"/>
  <c r="Q25" i="1712"/>
  <c r="Q57" i="1712"/>
  <c r="Q55" i="1711"/>
  <c r="P24" i="1535"/>
  <c r="P23" i="1535"/>
  <c r="R18" i="1712"/>
  <c r="S20" i="1712"/>
  <c r="AF80" i="1541"/>
  <c r="AG159" i="1541"/>
  <c r="AG161" i="1541" s="1"/>
  <c r="P27" i="1712"/>
  <c r="P26" i="1712"/>
  <c r="R52" i="1712"/>
  <c r="P23" i="1538"/>
  <c r="P24" i="1538"/>
  <c r="R15" i="1535"/>
  <c r="Q16" i="1535"/>
  <c r="Q22" i="1535"/>
  <c r="R49" i="1538"/>
  <c r="AC94" i="1541"/>
  <c r="AD86" i="1541"/>
  <c r="R15" i="1538"/>
  <c r="R49" i="1535"/>
  <c r="Q16" i="1538"/>
  <c r="Q22" i="1538"/>
  <c r="AA383" i="121"/>
  <c r="AA382" i="121"/>
  <c r="AA381" i="121"/>
  <c r="AA380" i="121"/>
  <c r="AB383" i="121"/>
  <c r="AB382" i="121"/>
  <c r="AB381" i="121"/>
  <c r="AB380" i="121"/>
  <c r="AC380" i="121" l="1"/>
  <c r="AB386" i="121"/>
  <c r="AB403" i="121"/>
  <c r="AC381" i="121"/>
  <c r="AB387" i="121"/>
  <c r="AB404" i="121"/>
  <c r="AC382" i="121"/>
  <c r="AB388" i="121"/>
  <c r="AB405" i="121"/>
  <c r="AC383" i="121"/>
  <c r="AB389" i="121"/>
  <c r="AB406" i="121"/>
  <c r="AA386" i="121"/>
  <c r="AA397" i="121" s="1"/>
  <c r="AA403" i="121"/>
  <c r="AA414" i="121" s="1"/>
  <c r="AA387" i="121"/>
  <c r="AA404" i="121"/>
  <c r="AA388" i="121"/>
  <c r="AA405" i="121"/>
  <c r="AA389" i="121"/>
  <c r="AA406" i="121"/>
  <c r="E10" i="1809"/>
  <c r="AC160" i="121"/>
  <c r="BH658" i="1812"/>
  <c r="BK222" i="1812"/>
  <c r="BK362" i="1812" s="1"/>
  <c r="BK240" i="1812"/>
  <c r="BK243" i="1812" s="1"/>
  <c r="BK399" i="1812" s="1"/>
  <c r="BK238" i="1812"/>
  <c r="BK230" i="1812"/>
  <c r="BH362" i="1812"/>
  <c r="BH544" i="1812"/>
  <c r="BJ652" i="1812"/>
  <c r="BJ543" i="1812"/>
  <c r="BJ544" i="1812" s="1"/>
  <c r="AL195" i="1812"/>
  <c r="AL390" i="1812"/>
  <c r="BG388" i="1812"/>
  <c r="AM561" i="1812"/>
  <c r="AN558" i="1812"/>
  <c r="AM567" i="1812"/>
  <c r="AN564" i="1812"/>
  <c r="AD29" i="121"/>
  <c r="X271" i="121"/>
  <c r="X277" i="121"/>
  <c r="X319" i="121"/>
  <c r="X140" i="1583"/>
  <c r="X164" i="1583"/>
  <c r="X146" i="1583"/>
  <c r="R29" i="1712"/>
  <c r="R30" i="1712" s="1"/>
  <c r="R26" i="1538"/>
  <c r="R27" i="1538" s="1"/>
  <c r="W283" i="121"/>
  <c r="W301" i="121"/>
  <c r="W289" i="121"/>
  <c r="W295" i="121"/>
  <c r="R26" i="1535"/>
  <c r="R27" i="1535" s="1"/>
  <c r="T20" i="1711"/>
  <c r="S22" i="1711"/>
  <c r="S21" i="1711"/>
  <c r="S60" i="1711"/>
  <c r="S14" i="1711"/>
  <c r="S28" i="1711"/>
  <c r="R15" i="1711"/>
  <c r="R17" i="1711"/>
  <c r="R16" i="1711"/>
  <c r="R29" i="1711"/>
  <c r="R30" i="1711"/>
  <c r="W104" i="121"/>
  <c r="W295" i="1554" s="1"/>
  <c r="AL172" i="121"/>
  <c r="Z399" i="121"/>
  <c r="M32" i="1711"/>
  <c r="L33" i="1711"/>
  <c r="Q24" i="1535"/>
  <c r="Q23" i="1535"/>
  <c r="R55" i="1711"/>
  <c r="R16" i="1535"/>
  <c r="R22" i="1535"/>
  <c r="Q26" i="1712"/>
  <c r="Q27" i="1712"/>
  <c r="AG80" i="1541"/>
  <c r="AH159" i="1541"/>
  <c r="AH161" i="1541" s="1"/>
  <c r="AF199" i="1541"/>
  <c r="AF200" i="1541" s="1"/>
  <c r="AF202" i="1541" s="1"/>
  <c r="AF86" i="1541"/>
  <c r="AF94" i="1541" s="1"/>
  <c r="AF115" i="1541" s="1"/>
  <c r="AF116" i="1541" s="1"/>
  <c r="AF117" i="1541" s="1"/>
  <c r="S18" i="1712"/>
  <c r="R22" i="1538"/>
  <c r="R16" i="1538"/>
  <c r="R19" i="1712"/>
  <c r="R25" i="1712"/>
  <c r="R57" i="1712"/>
  <c r="S52" i="1712"/>
  <c r="Q23" i="1538"/>
  <c r="Q24" i="1538"/>
  <c r="AD94" i="1541"/>
  <c r="AC115" i="1541"/>
  <c r="AB414" i="121" l="1"/>
  <c r="AC406" i="121"/>
  <c r="AD383" i="121"/>
  <c r="AC389" i="121"/>
  <c r="AC405" i="121"/>
  <c r="AD382" i="121"/>
  <c r="AC388" i="121"/>
  <c r="AC404" i="121"/>
  <c r="AD381" i="121"/>
  <c r="AC387" i="121"/>
  <c r="AB397" i="121"/>
  <c r="AC403" i="121"/>
  <c r="AC414" i="121" s="1"/>
  <c r="AD380" i="121"/>
  <c r="AC386" i="121"/>
  <c r="AC397" i="121" s="1"/>
  <c r="AA399" i="121"/>
  <c r="AA172" i="121"/>
  <c r="AA10" i="121" s="1"/>
  <c r="AD19" i="1810"/>
  <c r="X289" i="121"/>
  <c r="Y295" i="121"/>
  <c r="Y289" i="121"/>
  <c r="AD160" i="121"/>
  <c r="BH659" i="1812"/>
  <c r="BH652" i="1812"/>
  <c r="BK652" i="1812"/>
  <c r="BK543" i="1812"/>
  <c r="BK544" i="1812" s="1"/>
  <c r="AN559" i="1812"/>
  <c r="AL391" i="1812"/>
  <c r="AL393" i="1812"/>
  <c r="BG390" i="1812"/>
  <c r="AN565" i="1812"/>
  <c r="AN573" i="1812" s="1"/>
  <c r="BG195" i="1812"/>
  <c r="BG199" i="1812" s="1"/>
  <c r="AL199" i="1812"/>
  <c r="X283" i="121"/>
  <c r="X301" i="121"/>
  <c r="X295" i="121"/>
  <c r="X170" i="1583"/>
  <c r="X176" i="1583"/>
  <c r="X194" i="1583"/>
  <c r="S29" i="1712"/>
  <c r="S30" i="1712" s="1"/>
  <c r="S29" i="1711"/>
  <c r="S30" i="1711"/>
  <c r="S16" i="1711"/>
  <c r="S15" i="1711"/>
  <c r="S17" i="1711"/>
  <c r="T22" i="1711"/>
  <c r="T21" i="1711"/>
  <c r="T28" i="1711"/>
  <c r="T14" i="1711"/>
  <c r="T60" i="1711"/>
  <c r="Z20" i="121"/>
  <c r="Z151" i="121"/>
  <c r="AL10" i="121"/>
  <c r="Z12" i="121"/>
  <c r="Z171" i="121"/>
  <c r="N32" i="1711"/>
  <c r="M33" i="1711"/>
  <c r="R27" i="1712"/>
  <c r="R26" i="1712"/>
  <c r="AH80" i="1541"/>
  <c r="AI159" i="1541"/>
  <c r="AI161" i="1541" s="1"/>
  <c r="AG199" i="1541"/>
  <c r="AG200" i="1541" s="1"/>
  <c r="AG202" i="1541" s="1"/>
  <c r="AG86" i="1541"/>
  <c r="AG94" i="1541" s="1"/>
  <c r="AG115" i="1541" s="1"/>
  <c r="AG116" i="1541" s="1"/>
  <c r="AG117" i="1541" s="1"/>
  <c r="AD115" i="1541"/>
  <c r="AC116" i="1541"/>
  <c r="R23" i="1538"/>
  <c r="R24" i="1538"/>
  <c r="S55" i="1711"/>
  <c r="T55" i="1711" s="1"/>
  <c r="S19" i="1712"/>
  <c r="S25" i="1712"/>
  <c r="S57" i="1712"/>
  <c r="R24" i="1535"/>
  <c r="R23" i="1535"/>
  <c r="AD403" i="121" l="1"/>
  <c r="AD386" i="121"/>
  <c r="AC399" i="121"/>
  <c r="AC172" i="121"/>
  <c r="AC10" i="121" s="1"/>
  <c r="AC11" i="121" s="1"/>
  <c r="AC12" i="121" s="1"/>
  <c r="AB399" i="121"/>
  <c r="AB172" i="121"/>
  <c r="AB10" i="121" s="1"/>
  <c r="AD404" i="121"/>
  <c r="AD387" i="121"/>
  <c r="AD405" i="121"/>
  <c r="AD388" i="121"/>
  <c r="AD406" i="121"/>
  <c r="AD389" i="121"/>
  <c r="AA151" i="121"/>
  <c r="AA20" i="121"/>
  <c r="AA11" i="121"/>
  <c r="AA171" i="121"/>
  <c r="AA173" i="121" s="1"/>
  <c r="AA175" i="121" s="1"/>
  <c r="AA176" i="121" s="1"/>
  <c r="Z415" i="121"/>
  <c r="Z23" i="121"/>
  <c r="Z9" i="1810"/>
  <c r="AD21" i="1810" s="1"/>
  <c r="AD10" i="1821" s="1"/>
  <c r="AN190" i="1812"/>
  <c r="AN603" i="1812"/>
  <c r="BG391" i="1812"/>
  <c r="BG393" i="1812"/>
  <c r="AL201" i="1812"/>
  <c r="BG201" i="1812" s="1"/>
  <c r="BG214" i="1812" s="1"/>
  <c r="AL202" i="1812"/>
  <c r="AN189" i="1812"/>
  <c r="AN601" i="1812"/>
  <c r="AN572" i="1812"/>
  <c r="AL20" i="121"/>
  <c r="AM27" i="121"/>
  <c r="AC171" i="121"/>
  <c r="AC151" i="121"/>
  <c r="X200" i="1583"/>
  <c r="X206" i="1583"/>
  <c r="Z22" i="121"/>
  <c r="Z38" i="121" s="1"/>
  <c r="AL12" i="121"/>
  <c r="AM29" i="121" s="1"/>
  <c r="T30" i="1711"/>
  <c r="T29" i="1711"/>
  <c r="T15" i="1711"/>
  <c r="T16" i="1711"/>
  <c r="T17" i="1711"/>
  <c r="AL171" i="121"/>
  <c r="Z173" i="121"/>
  <c r="Z246" i="121"/>
  <c r="Z60" i="121"/>
  <c r="Z247" i="121"/>
  <c r="Z61" i="121"/>
  <c r="Z62" i="121"/>
  <c r="Z245" i="121"/>
  <c r="Z40" i="121"/>
  <c r="Z96" i="121"/>
  <c r="Z153" i="121"/>
  <c r="Z157" i="121"/>
  <c r="Z263" i="121"/>
  <c r="AL151" i="121"/>
  <c r="AL157" i="121" s="1"/>
  <c r="O32" i="1711"/>
  <c r="N33" i="1711"/>
  <c r="AD116" i="1541"/>
  <c r="AD117" i="1541" s="1"/>
  <c r="AC117" i="1541"/>
  <c r="S27" i="1712"/>
  <c r="S26" i="1712"/>
  <c r="AJ161" i="1541"/>
  <c r="AI80" i="1541"/>
  <c r="AH199" i="1541"/>
  <c r="AH200" i="1541" s="1"/>
  <c r="AH202" i="1541" s="1"/>
  <c r="AH86" i="1541"/>
  <c r="AH94" i="1541" s="1"/>
  <c r="AH115" i="1541" s="1"/>
  <c r="AH116" i="1541" s="1"/>
  <c r="AH117" i="1541" s="1"/>
  <c r="AC20" i="121" l="1"/>
  <c r="AB11" i="121"/>
  <c r="AB20" i="121"/>
  <c r="AB171" i="121"/>
  <c r="AB173" i="121" s="1"/>
  <c r="AB175" i="121" s="1"/>
  <c r="AB176" i="121" s="1"/>
  <c r="AB151" i="121"/>
  <c r="AD397" i="121"/>
  <c r="AD414" i="121"/>
  <c r="AA12" i="121"/>
  <c r="AA21" i="121"/>
  <c r="AA152" i="121"/>
  <c r="AA153" i="121" s="1"/>
  <c r="AA263" i="121"/>
  <c r="AA269" i="121" s="1"/>
  <c r="AA157" i="121"/>
  <c r="AC415" i="121"/>
  <c r="AC21" i="121"/>
  <c r="AC152" i="121"/>
  <c r="AC158" i="121" s="1"/>
  <c r="Z74" i="1810"/>
  <c r="AL9" i="1810"/>
  <c r="AL14" i="1810" s="1"/>
  <c r="Z11" i="1810"/>
  <c r="Z24" i="1810"/>
  <c r="Z94" i="1810"/>
  <c r="Z96" i="1810" s="1"/>
  <c r="Z42" i="1821" s="1"/>
  <c r="Z34" i="1810"/>
  <c r="Z36" i="1810" s="1"/>
  <c r="Z14" i="1821" s="1"/>
  <c r="AC9" i="1810"/>
  <c r="AC11" i="1810" s="1"/>
  <c r="AC8" i="1821" s="1"/>
  <c r="Z14" i="1810"/>
  <c r="AM19" i="1810"/>
  <c r="AC173" i="121"/>
  <c r="J10" i="155"/>
  <c r="J10" i="1807" s="1"/>
  <c r="AM160" i="121"/>
  <c r="AC263" i="121"/>
  <c r="AL203" i="1812"/>
  <c r="AN607" i="1812"/>
  <c r="AN562" i="1812"/>
  <c r="AN568" i="1812"/>
  <c r="AN575" i="1812"/>
  <c r="AN492" i="1812"/>
  <c r="AN192" i="1812"/>
  <c r="AL493" i="1812"/>
  <c r="BG202" i="1812"/>
  <c r="BG215" i="1812" s="1"/>
  <c r="AC247" i="121"/>
  <c r="AC246" i="121"/>
  <c r="AC245" i="121"/>
  <c r="AC40" i="121"/>
  <c r="AC22" i="121"/>
  <c r="AC38" i="121" s="1"/>
  <c r="AC61" i="121"/>
  <c r="AC60" i="121"/>
  <c r="AC62" i="121"/>
  <c r="AC96" i="121"/>
  <c r="AC157" i="121"/>
  <c r="AL90" i="121"/>
  <c r="I19" i="155" s="1"/>
  <c r="I8" i="155"/>
  <c r="C104" i="1808" s="1"/>
  <c r="F104" i="1808" s="1"/>
  <c r="H104" i="1808" s="1"/>
  <c r="Z265" i="121"/>
  <c r="AL153" i="121"/>
  <c r="AL159" i="121" s="1"/>
  <c r="Z159" i="121"/>
  <c r="Z416" i="121" s="1"/>
  <c r="Z30" i="121" s="1"/>
  <c r="Z29" i="1810" s="1"/>
  <c r="Z31" i="1810" s="1"/>
  <c r="Z12" i="1821" s="1"/>
  <c r="Z269" i="121"/>
  <c r="AL263" i="121"/>
  <c r="AL269" i="121" s="1"/>
  <c r="AL96" i="121"/>
  <c r="Z115" i="121"/>
  <c r="Z252" i="121"/>
  <c r="Z75" i="121"/>
  <c r="AL40" i="121"/>
  <c r="Z41" i="121"/>
  <c r="AL247" i="121"/>
  <c r="AL246" i="121"/>
  <c r="AL245" i="121"/>
  <c r="AL62" i="121"/>
  <c r="AL61" i="121"/>
  <c r="AL22" i="121"/>
  <c r="AL38" i="121" s="1"/>
  <c r="AL60" i="121"/>
  <c r="Z175" i="121"/>
  <c r="AL173" i="121"/>
  <c r="P32" i="1711"/>
  <c r="O33" i="1711"/>
  <c r="AJ80" i="1541"/>
  <c r="AI199" i="1541"/>
  <c r="AI200" i="1541" s="1"/>
  <c r="AI202" i="1541" s="1"/>
  <c r="AI86" i="1541"/>
  <c r="AI94" i="1541" s="1"/>
  <c r="AL159" i="1541"/>
  <c r="AL161" i="1541" s="1"/>
  <c r="AP159" i="1541"/>
  <c r="AD399" i="121" l="1"/>
  <c r="AD172" i="121"/>
  <c r="AB263" i="121"/>
  <c r="AB269" i="121" s="1"/>
  <c r="AB157" i="121"/>
  <c r="AB12" i="121"/>
  <c r="AB21" i="121"/>
  <c r="AB152" i="121"/>
  <c r="AA159" i="121"/>
  <c r="AA265" i="121"/>
  <c r="AA264" i="121"/>
  <c r="AA270" i="121" s="1"/>
  <c r="AA158" i="121"/>
  <c r="AA62" i="121"/>
  <c r="AA96" i="121"/>
  <c r="AA61" i="121"/>
  <c r="AA245" i="121"/>
  <c r="AA246" i="121"/>
  <c r="AA9" i="1810"/>
  <c r="AA40" i="121"/>
  <c r="AA22" i="121"/>
  <c r="AA38" i="121" s="1"/>
  <c r="AA247" i="121"/>
  <c r="AA60" i="121"/>
  <c r="AB23" i="121"/>
  <c r="AA23" i="121"/>
  <c r="AA415" i="121"/>
  <c r="AC264" i="121"/>
  <c r="AC270" i="121" s="1"/>
  <c r="AC153" i="121"/>
  <c r="AC159" i="121" s="1"/>
  <c r="AC416" i="121" s="1"/>
  <c r="Z26" i="1810"/>
  <c r="Z8" i="1821"/>
  <c r="Z16" i="1821" s="1"/>
  <c r="Z44" i="1810"/>
  <c r="AC9" i="1821"/>
  <c r="AM21" i="1810"/>
  <c r="AL94" i="1810"/>
  <c r="AL99" i="1810" s="1"/>
  <c r="Z62" i="1821"/>
  <c r="AL74" i="1810"/>
  <c r="Z15" i="1821"/>
  <c r="AL11" i="1810"/>
  <c r="AL34" i="1810"/>
  <c r="AL44" i="1810" s="1"/>
  <c r="Z39" i="1810"/>
  <c r="Z76" i="1810"/>
  <c r="Z16" i="1810"/>
  <c r="AC14" i="1810"/>
  <c r="AC34" i="1810"/>
  <c r="AC44" i="1810" s="1"/>
  <c r="Z99" i="1810"/>
  <c r="Z49" i="1810"/>
  <c r="AC94" i="1810"/>
  <c r="AC99" i="1810" s="1"/>
  <c r="Z46" i="1810"/>
  <c r="Z41" i="1810"/>
  <c r="AL36" i="1810"/>
  <c r="AL14" i="1821" s="1"/>
  <c r="Z137" i="1810"/>
  <c r="Z101" i="1810"/>
  <c r="AC16" i="1810"/>
  <c r="AC269" i="121"/>
  <c r="AC175" i="121"/>
  <c r="AB90" i="121"/>
  <c r="AN567" i="1812"/>
  <c r="AO564" i="1812"/>
  <c r="AN561" i="1812"/>
  <c r="AO558" i="1812"/>
  <c r="BG493" i="1812"/>
  <c r="AL622" i="1812"/>
  <c r="BG203" i="1812"/>
  <c r="AL490" i="1812"/>
  <c r="AL207" i="1812"/>
  <c r="AC115" i="121"/>
  <c r="AC41" i="121"/>
  <c r="AC75" i="121"/>
  <c r="I19" i="1807"/>
  <c r="C117" i="1808" s="1"/>
  <c r="Z176" i="121"/>
  <c r="AL175" i="121"/>
  <c r="AL176" i="121" s="1"/>
  <c r="Z253" i="121"/>
  <c r="AL252" i="121"/>
  <c r="AL41" i="121"/>
  <c r="AL42" i="121"/>
  <c r="C106" i="1808" s="1"/>
  <c r="C105" i="1808" s="1"/>
  <c r="F105" i="1808" s="1"/>
  <c r="I33" i="155"/>
  <c r="I9" i="155"/>
  <c r="Z87" i="121"/>
  <c r="Z81" i="121"/>
  <c r="AL97" i="121"/>
  <c r="I25" i="155"/>
  <c r="I26" i="155" s="1"/>
  <c r="AL115" i="121"/>
  <c r="Z271" i="121"/>
  <c r="AL265" i="121"/>
  <c r="AL271" i="121" s="1"/>
  <c r="Q32" i="1711"/>
  <c r="P33" i="1711"/>
  <c r="AL80" i="1541"/>
  <c r="AM159" i="1541"/>
  <c r="AM161" i="1541" s="1"/>
  <c r="AJ94" i="1541"/>
  <c r="AI115" i="1541"/>
  <c r="AJ199" i="1541"/>
  <c r="AJ200" i="1541" s="1"/>
  <c r="AJ202" i="1541" s="1"/>
  <c r="AJ86" i="1541"/>
  <c r="AB153" i="121" l="1"/>
  <c r="AB158" i="121"/>
  <c r="AB264" i="121"/>
  <c r="AB270" i="121" s="1"/>
  <c r="AB245" i="121"/>
  <c r="AB247" i="121"/>
  <c r="AB22" i="121"/>
  <c r="AB38" i="121" s="1"/>
  <c r="AB60" i="121"/>
  <c r="AB40" i="121"/>
  <c r="AB246" i="121"/>
  <c r="AB96" i="121"/>
  <c r="AB61" i="121"/>
  <c r="AB62" i="121"/>
  <c r="AB9" i="1810"/>
  <c r="AB415" i="121"/>
  <c r="AB416" i="121" s="1"/>
  <c r="AB30" i="121" s="1"/>
  <c r="AB29" i="1810" s="1"/>
  <c r="AC23" i="121"/>
  <c r="AC30" i="121" s="1"/>
  <c r="AC29" i="1810" s="1"/>
  <c r="AM172" i="121"/>
  <c r="AD10" i="121"/>
  <c r="AA115" i="121"/>
  <c r="AA94" i="1810"/>
  <c r="AA75" i="121"/>
  <c r="AA41" i="121"/>
  <c r="AA34" i="1810"/>
  <c r="AA252" i="121"/>
  <c r="AA253" i="121" s="1"/>
  <c r="AA255" i="121" s="1"/>
  <c r="AA11" i="1810"/>
  <c r="AA14" i="1810"/>
  <c r="AA74" i="1810"/>
  <c r="AA24" i="1810"/>
  <c r="AA271" i="121"/>
  <c r="AA416" i="121"/>
  <c r="AA30" i="121" s="1"/>
  <c r="AA29" i="1810" s="1"/>
  <c r="AA31" i="1810" s="1"/>
  <c r="AA12" i="1821" s="1"/>
  <c r="Z54" i="1810"/>
  <c r="Z64" i="1810"/>
  <c r="AC265" i="121"/>
  <c r="AC271" i="121" s="1"/>
  <c r="Z43" i="1821"/>
  <c r="J10" i="1809"/>
  <c r="AM10" i="1821"/>
  <c r="AL16" i="1810"/>
  <c r="AL8" i="1821"/>
  <c r="Z36" i="1821"/>
  <c r="Z11" i="1821"/>
  <c r="Z9" i="1821"/>
  <c r="AL76" i="1810"/>
  <c r="AL39" i="1810"/>
  <c r="AL15" i="1821"/>
  <c r="AL96" i="1810"/>
  <c r="AL49" i="1810"/>
  <c r="AC36" i="1810"/>
  <c r="Z79" i="1810"/>
  <c r="Z89" i="1810" s="1"/>
  <c r="AC39" i="1810"/>
  <c r="Z59" i="1810"/>
  <c r="AC96" i="1810"/>
  <c r="AC49" i="1810"/>
  <c r="AC64" i="1810" s="1"/>
  <c r="AB69" i="1810"/>
  <c r="AL46" i="1810"/>
  <c r="AL41" i="1810"/>
  <c r="AC176" i="121"/>
  <c r="AC90" i="121"/>
  <c r="BG622" i="1812"/>
  <c r="AL625" i="1812"/>
  <c r="AL626" i="1812" s="1"/>
  <c r="AO559" i="1812"/>
  <c r="BG653" i="1812"/>
  <c r="BG207" i="1812"/>
  <c r="AL217" i="1812"/>
  <c r="AL209" i="1812"/>
  <c r="AL507" i="1812"/>
  <c r="BG490" i="1812"/>
  <c r="BG507" i="1812" s="1"/>
  <c r="AL632" i="1812"/>
  <c r="AO565" i="1812"/>
  <c r="AO573" i="1812" s="1"/>
  <c r="AC307" i="121"/>
  <c r="AC87" i="121"/>
  <c r="AC81" i="121"/>
  <c r="I8" i="1809"/>
  <c r="I20" i="1807"/>
  <c r="F117" i="1808"/>
  <c r="H117" i="1808" s="1"/>
  <c r="AL253" i="121"/>
  <c r="Z257" i="121"/>
  <c r="Z254" i="121"/>
  <c r="Z255" i="121"/>
  <c r="Z256" i="121"/>
  <c r="R32" i="1711"/>
  <c r="R33" i="1711" s="1"/>
  <c r="Q33" i="1711"/>
  <c r="AN159" i="1541"/>
  <c r="AN161" i="1541" s="1"/>
  <c r="AM80" i="1541"/>
  <c r="AJ115" i="1541"/>
  <c r="AI116" i="1541"/>
  <c r="AL199" i="1541"/>
  <c r="AL200" i="1541" s="1"/>
  <c r="AL202" i="1541" s="1"/>
  <c r="AL86" i="1541"/>
  <c r="AL94" i="1541" s="1"/>
  <c r="AL115" i="1541" s="1"/>
  <c r="AL116" i="1541" s="1"/>
  <c r="AL117" i="1541" s="1"/>
  <c r="AB11" i="1810" l="1"/>
  <c r="AB14" i="1810"/>
  <c r="AC24" i="1810"/>
  <c r="AB74" i="1810"/>
  <c r="AB115" i="121"/>
  <c r="AB94" i="1810"/>
  <c r="AB75" i="121"/>
  <c r="AB41" i="121"/>
  <c r="AB34" i="1810"/>
  <c r="AD171" i="121"/>
  <c r="AM10" i="121"/>
  <c r="AM20" i="121" s="1"/>
  <c r="AD20" i="121"/>
  <c r="AD151" i="121"/>
  <c r="AD11" i="121"/>
  <c r="AB24" i="1810"/>
  <c r="AC31" i="1810"/>
  <c r="AC12" i="1821" s="1"/>
  <c r="AB159" i="121"/>
  <c r="AB265" i="121"/>
  <c r="AB252" i="121"/>
  <c r="AB253" i="121" s="1"/>
  <c r="AA39" i="1810"/>
  <c r="AA36" i="1810"/>
  <c r="AA44" i="1810"/>
  <c r="AA49" i="1810"/>
  <c r="AA81" i="121"/>
  <c r="AA307" i="121"/>
  <c r="AA87" i="121"/>
  <c r="AA91" i="121"/>
  <c r="AA99" i="1810"/>
  <c r="AA96" i="1810"/>
  <c r="AA8" i="1821"/>
  <c r="AA16" i="1810"/>
  <c r="AA76" i="1810"/>
  <c r="AB26" i="1810"/>
  <c r="AA26" i="1810"/>
  <c r="AB31" i="1810"/>
  <c r="AB12" i="1821" s="1"/>
  <c r="AL54" i="1810"/>
  <c r="AL64" i="1810"/>
  <c r="AC101" i="1810"/>
  <c r="AC42" i="1821"/>
  <c r="I29" i="1809"/>
  <c r="I30" i="1809" s="1"/>
  <c r="AL42" i="1821"/>
  <c r="AL62" i="1821" s="1"/>
  <c r="AC46" i="1810"/>
  <c r="AC14" i="1821"/>
  <c r="AL16" i="1821"/>
  <c r="AL101" i="1810"/>
  <c r="AL36" i="1821"/>
  <c r="AL9" i="1821"/>
  <c r="AL137" i="1810"/>
  <c r="AL79" i="1810"/>
  <c r="AL89" i="1810" s="1"/>
  <c r="Z104" i="1810"/>
  <c r="Z114" i="1810" s="1"/>
  <c r="Z84" i="1810"/>
  <c r="AC137" i="1810"/>
  <c r="AL59" i="1810"/>
  <c r="AC41" i="1810"/>
  <c r="AB71" i="1810"/>
  <c r="AC59" i="1810"/>
  <c r="AC54" i="1810"/>
  <c r="AC69" i="1810"/>
  <c r="AC71" i="1810" s="1"/>
  <c r="AA254" i="121"/>
  <c r="AA256" i="121"/>
  <c r="AA257" i="121"/>
  <c r="AC319" i="121"/>
  <c r="AC91" i="121"/>
  <c r="AC104" i="121" s="1"/>
  <c r="AC106" i="121" s="1"/>
  <c r="BG217" i="1812"/>
  <c r="BG209" i="1812"/>
  <c r="AO190" i="1812"/>
  <c r="AO603" i="1812"/>
  <c r="AO189" i="1812"/>
  <c r="AO601" i="1812"/>
  <c r="AL212" i="1812"/>
  <c r="AL223" i="1812"/>
  <c r="AL218" i="1812" s="1"/>
  <c r="BG632" i="1812"/>
  <c r="AL634" i="1812"/>
  <c r="AL636" i="1812" s="1"/>
  <c r="AO572" i="1812"/>
  <c r="BG516" i="1812"/>
  <c r="BG547" i="1812" s="1"/>
  <c r="BG550" i="1812" s="1"/>
  <c r="BG352" i="1812"/>
  <c r="AL516" i="1812"/>
  <c r="AL352" i="1812"/>
  <c r="BG655" i="1812"/>
  <c r="BG625" i="1812"/>
  <c r="BG626" i="1812" s="1"/>
  <c r="AC277" i="121"/>
  <c r="AB256" i="121"/>
  <c r="AB257" i="121"/>
  <c r="AB254" i="121"/>
  <c r="AB255" i="121"/>
  <c r="I9" i="1809"/>
  <c r="I23" i="1809"/>
  <c r="I21" i="1807"/>
  <c r="I23" i="1807"/>
  <c r="I28" i="1807"/>
  <c r="I30" i="1807" s="1"/>
  <c r="I22" i="1807"/>
  <c r="AL255" i="121"/>
  <c r="AL257" i="121"/>
  <c r="AL256" i="121"/>
  <c r="AL254" i="121"/>
  <c r="AM199" i="1541"/>
  <c r="AM200" i="1541" s="1"/>
  <c r="AM202" i="1541" s="1"/>
  <c r="AM86" i="1541"/>
  <c r="AM94" i="1541" s="1"/>
  <c r="AM115" i="1541" s="1"/>
  <c r="AM116" i="1541" s="1"/>
  <c r="AM117" i="1541" s="1"/>
  <c r="AN80" i="1541"/>
  <c r="AO159" i="1541"/>
  <c r="AO161" i="1541" s="1"/>
  <c r="AI117" i="1541"/>
  <c r="AJ116" i="1541"/>
  <c r="AJ117" i="1541" s="1"/>
  <c r="AC252" i="121" l="1"/>
  <c r="AC253" i="121" s="1"/>
  <c r="AD263" i="121"/>
  <c r="AM151" i="121"/>
  <c r="AM157" i="121" s="1"/>
  <c r="AD157" i="121"/>
  <c r="AD173" i="121"/>
  <c r="AM171" i="121"/>
  <c r="AB39" i="1810"/>
  <c r="AB36" i="1810"/>
  <c r="AB44" i="1810"/>
  <c r="AB49" i="1810"/>
  <c r="AB87" i="121"/>
  <c r="AB307" i="121"/>
  <c r="AB81" i="121"/>
  <c r="AB91" i="121"/>
  <c r="AB271" i="121"/>
  <c r="AB96" i="1810"/>
  <c r="AB99" i="1810"/>
  <c r="AD12" i="121"/>
  <c r="AD152" i="121"/>
  <c r="AD21" i="121"/>
  <c r="AM11" i="121"/>
  <c r="AM21" i="121" s="1"/>
  <c r="AB8" i="1821"/>
  <c r="AB11" i="1821" s="1"/>
  <c r="AB16" i="1810"/>
  <c r="AC26" i="1810"/>
  <c r="AA313" i="121"/>
  <c r="AA319" i="121"/>
  <c r="AA277" i="121"/>
  <c r="AA64" i="1810"/>
  <c r="AA54" i="1810"/>
  <c r="AA79" i="1810"/>
  <c r="AA59" i="1810"/>
  <c r="AA92" i="121"/>
  <c r="AA114" i="121"/>
  <c r="AA104" i="121"/>
  <c r="AA106" i="121" s="1"/>
  <c r="AA99" i="121"/>
  <c r="AA93" i="121"/>
  <c r="AA36" i="1821"/>
  <c r="AA9" i="1821"/>
  <c r="AA11" i="1821"/>
  <c r="AA42" i="1821"/>
  <c r="AA137" i="1810"/>
  <c r="AA101" i="1810"/>
  <c r="AA41" i="1810"/>
  <c r="AA46" i="1810"/>
  <c r="AA14" i="1821"/>
  <c r="AC43" i="1821"/>
  <c r="AC62" i="1821"/>
  <c r="AL43" i="1821"/>
  <c r="AC76" i="1810"/>
  <c r="AC35" i="1821"/>
  <c r="AC36" i="1821" s="1"/>
  <c r="AB76" i="1810"/>
  <c r="AB35" i="1821"/>
  <c r="AC15" i="1821"/>
  <c r="AC16" i="1821"/>
  <c r="AL84" i="1810"/>
  <c r="Z109" i="1810"/>
  <c r="AL104" i="1810"/>
  <c r="AL114" i="1810" s="1"/>
  <c r="AC79" i="1810"/>
  <c r="AC84" i="1810" s="1"/>
  <c r="AC74" i="1810"/>
  <c r="AC301" i="121"/>
  <c r="AC99" i="121"/>
  <c r="AC101" i="121" s="1"/>
  <c r="AC114" i="121"/>
  <c r="AC93" i="121"/>
  <c r="I48" i="1809"/>
  <c r="BH549" i="1812"/>
  <c r="AM549" i="1812"/>
  <c r="AO575" i="1812"/>
  <c r="AO492" i="1812"/>
  <c r="AO192" i="1812"/>
  <c r="AO568" i="1812"/>
  <c r="BG634" i="1812"/>
  <c r="BG636" i="1812" s="1"/>
  <c r="AL354" i="1812"/>
  <c r="AL369" i="1812"/>
  <c r="AL370" i="1812" s="1"/>
  <c r="AL371" i="1812" s="1"/>
  <c r="AL372" i="1812" s="1"/>
  <c r="AL355" i="1812"/>
  <c r="AL224" i="1812"/>
  <c r="AL219" i="1812" s="1"/>
  <c r="AL547" i="1812"/>
  <c r="AL550" i="1812" s="1"/>
  <c r="BG656" i="1812"/>
  <c r="BG223" i="1812"/>
  <c r="BG355" i="1812" s="1"/>
  <c r="BG212" i="1812"/>
  <c r="BG369" i="1812"/>
  <c r="BG370" i="1812" s="1"/>
  <c r="BG371" i="1812" s="1"/>
  <c r="BG372" i="1812" s="1"/>
  <c r="BG354" i="1812"/>
  <c r="AO607" i="1812"/>
  <c r="AO562" i="1812"/>
  <c r="AC257" i="121"/>
  <c r="AC255" i="121"/>
  <c r="AC254" i="121"/>
  <c r="AC256" i="121"/>
  <c r="AC107" i="121"/>
  <c r="AC117" i="121" s="1"/>
  <c r="I29" i="1807"/>
  <c r="AO80" i="1541"/>
  <c r="AP161" i="1541"/>
  <c r="AN199" i="1541"/>
  <c r="AN200" i="1541" s="1"/>
  <c r="AN202" i="1541" s="1"/>
  <c r="AN86" i="1541"/>
  <c r="AN94" i="1541" s="1"/>
  <c r="AN115" i="1541" s="1"/>
  <c r="AN116" i="1541" s="1"/>
  <c r="AN117" i="1541" s="1"/>
  <c r="AB104" i="121" l="1"/>
  <c r="AB106" i="121" s="1"/>
  <c r="AB93" i="121"/>
  <c r="AB114" i="121"/>
  <c r="AB99" i="121"/>
  <c r="AB92" i="121"/>
  <c r="AB319" i="121"/>
  <c r="AB313" i="121"/>
  <c r="AB59" i="1810"/>
  <c r="AB54" i="1810"/>
  <c r="AB64" i="1810"/>
  <c r="AB79" i="1810"/>
  <c r="AB9" i="1821"/>
  <c r="AC11" i="1821"/>
  <c r="AB46" i="1810"/>
  <c r="AB14" i="1821"/>
  <c r="AB41" i="1810"/>
  <c r="AD153" i="121"/>
  <c r="AD264" i="121"/>
  <c r="AD158" i="121"/>
  <c r="AM152" i="121"/>
  <c r="AM158" i="121" s="1"/>
  <c r="AD246" i="121"/>
  <c r="AD9" i="1810"/>
  <c r="AD245" i="121"/>
  <c r="AD61" i="121"/>
  <c r="AD247" i="121"/>
  <c r="AD96" i="121"/>
  <c r="AD40" i="121"/>
  <c r="AD22" i="121"/>
  <c r="AD38" i="121" s="1"/>
  <c r="AD60" i="121"/>
  <c r="AD62" i="121"/>
  <c r="AD23" i="121"/>
  <c r="AM12" i="121"/>
  <c r="AD415" i="121"/>
  <c r="AD90" i="121"/>
  <c r="AD175" i="121"/>
  <c r="AM173" i="121"/>
  <c r="AB42" i="1821"/>
  <c r="AB101" i="1810"/>
  <c r="AB137" i="1810"/>
  <c r="AB36" i="1821"/>
  <c r="AB277" i="121"/>
  <c r="AB289" i="121" s="1"/>
  <c r="AD269" i="121"/>
  <c r="AM263" i="121"/>
  <c r="AM269" i="121" s="1"/>
  <c r="AA15" i="1821"/>
  <c r="AA16" i="1821"/>
  <c r="AA84" i="1810"/>
  <c r="AA104" i="1810"/>
  <c r="AA89" i="1810"/>
  <c r="AA100" i="121"/>
  <c r="AA101" i="121"/>
  <c r="AA301" i="121"/>
  <c r="AA283" i="121"/>
  <c r="AA107" i="121"/>
  <c r="AA117" i="121" s="1"/>
  <c r="AA118" i="121" s="1"/>
  <c r="AA124" i="121" s="1"/>
  <c r="AA133" i="121" s="1"/>
  <c r="AA62" i="1821"/>
  <c r="AA43" i="1821"/>
  <c r="AL109" i="1810"/>
  <c r="AC89" i="1810"/>
  <c r="AC104" i="1810"/>
  <c r="AC109" i="1810" s="1"/>
  <c r="AC118" i="121"/>
  <c r="AC124" i="121" s="1"/>
  <c r="AC133" i="121" s="1"/>
  <c r="BG224" i="1812"/>
  <c r="BG219" i="1812" s="1"/>
  <c r="BG402" i="1812" s="1"/>
  <c r="BG218" i="1812"/>
  <c r="AO561" i="1812"/>
  <c r="AP558" i="1812"/>
  <c r="AL592" i="1812"/>
  <c r="BG654" i="1812"/>
  <c r="AL356" i="1812"/>
  <c r="AL373" i="1812"/>
  <c r="AL374" i="1812" s="1"/>
  <c r="AL375" i="1812" s="1"/>
  <c r="AL376" i="1812" s="1"/>
  <c r="BG373" i="1812"/>
  <c r="BG356" i="1812"/>
  <c r="BG404" i="1812" s="1"/>
  <c r="AO567" i="1812"/>
  <c r="AP564" i="1812"/>
  <c r="AC108" i="121"/>
  <c r="AC110" i="121" s="1"/>
  <c r="AP80" i="1541"/>
  <c r="AO199" i="1541"/>
  <c r="AO200" i="1541" s="1"/>
  <c r="AO202" i="1541" s="1"/>
  <c r="AO86" i="1541"/>
  <c r="AO94" i="1541" s="1"/>
  <c r="AB295" i="121" l="1"/>
  <c r="AB43" i="1821"/>
  <c r="AB62" i="1821"/>
  <c r="AB104" i="1810"/>
  <c r="AB84" i="1810"/>
  <c r="AB89" i="1810"/>
  <c r="AD94" i="1810"/>
  <c r="AM96" i="121"/>
  <c r="AD115" i="121"/>
  <c r="AD252" i="121"/>
  <c r="AD14" i="1810"/>
  <c r="AD24" i="1810"/>
  <c r="AD11" i="1810"/>
  <c r="AM9" i="1810"/>
  <c r="AD176" i="121"/>
  <c r="AM175" i="121"/>
  <c r="AM176" i="121" s="1"/>
  <c r="AD69" i="1810"/>
  <c r="AM90" i="121"/>
  <c r="J19" i="155" s="1"/>
  <c r="AM22" i="121"/>
  <c r="AM38" i="121" s="1"/>
  <c r="AM62" i="121"/>
  <c r="J8" i="155"/>
  <c r="AM61" i="121"/>
  <c r="AM247" i="121"/>
  <c r="AM246" i="121"/>
  <c r="AM245" i="121"/>
  <c r="AM60" i="121"/>
  <c r="AD270" i="121"/>
  <c r="AM264" i="121"/>
  <c r="AM270" i="121" s="1"/>
  <c r="AD159" i="121"/>
  <c r="AD416" i="121" s="1"/>
  <c r="AD30" i="121" s="1"/>
  <c r="AD29" i="1810" s="1"/>
  <c r="AD31" i="1810" s="1"/>
  <c r="AD12" i="1821" s="1"/>
  <c r="AD265" i="121"/>
  <c r="AM153" i="121"/>
  <c r="AM159" i="121" s="1"/>
  <c r="AB100" i="121"/>
  <c r="AB101" i="121"/>
  <c r="AB301" i="121"/>
  <c r="AB283" i="121"/>
  <c r="AC295" i="121"/>
  <c r="AC289" i="121"/>
  <c r="AB16" i="1821"/>
  <c r="AB15" i="1821"/>
  <c r="AB107" i="121"/>
  <c r="AB117" i="121" s="1"/>
  <c r="AB118" i="121" s="1"/>
  <c r="AB124" i="121" s="1"/>
  <c r="AB133" i="121" s="1"/>
  <c r="AD41" i="121"/>
  <c r="AM40" i="121"/>
  <c r="AD34" i="1810"/>
  <c r="AD75" i="121"/>
  <c r="AA108" i="121"/>
  <c r="AA110" i="121" s="1"/>
  <c r="AA109" i="1810"/>
  <c r="AA114" i="1810"/>
  <c r="AC114" i="1810"/>
  <c r="AL598" i="1812"/>
  <c r="AL608" i="1812" s="1"/>
  <c r="AL638" i="1812" s="1"/>
  <c r="BG592" i="1812"/>
  <c r="AL379" i="1812"/>
  <c r="BG405" i="1812"/>
  <c r="BG374" i="1812"/>
  <c r="BG375" i="1812" s="1"/>
  <c r="BG376" i="1812" s="1"/>
  <c r="AP559" i="1812"/>
  <c r="AP572" i="1812" s="1"/>
  <c r="BH572" i="1812" s="1"/>
  <c r="AP565" i="1812"/>
  <c r="AP573" i="1812" s="1"/>
  <c r="BH573" i="1812" s="1"/>
  <c r="AL555" i="1812"/>
  <c r="AP199" i="1541"/>
  <c r="AP200" i="1541" s="1"/>
  <c r="AP202" i="1541" s="1"/>
  <c r="AP86" i="1541"/>
  <c r="AO115" i="1541"/>
  <c r="AP94" i="1541"/>
  <c r="AM11" i="1810" l="1"/>
  <c r="AM14" i="1810"/>
  <c r="AD16" i="1810"/>
  <c r="AD26" i="1810"/>
  <c r="AD8" i="1821"/>
  <c r="AD253" i="121"/>
  <c r="AM252" i="121"/>
  <c r="J25" i="155"/>
  <c r="J26" i="155" s="1"/>
  <c r="AM97" i="121"/>
  <c r="AM115" i="121"/>
  <c r="J55" i="155"/>
  <c r="J33" i="155"/>
  <c r="J9" i="155"/>
  <c r="J9" i="1807" s="1"/>
  <c r="K8" i="155"/>
  <c r="AM94" i="1810"/>
  <c r="AM99" i="1810" s="1"/>
  <c r="AD96" i="1810"/>
  <c r="AD99" i="1810"/>
  <c r="AB108" i="121"/>
  <c r="AB110" i="121" s="1"/>
  <c r="AB111" i="121" s="1"/>
  <c r="AB109" i="1810"/>
  <c r="AB114" i="1810"/>
  <c r="AM69" i="1810"/>
  <c r="AM74" i="1810" s="1"/>
  <c r="AD74" i="1810"/>
  <c r="AD71" i="1810"/>
  <c r="AM75" i="121"/>
  <c r="AM87" i="121" s="1"/>
  <c r="AD49" i="1810"/>
  <c r="AD79" i="1810" s="1"/>
  <c r="AD87" i="121"/>
  <c r="AD81" i="121"/>
  <c r="AD307" i="121"/>
  <c r="AD91" i="121"/>
  <c r="AD39" i="1810"/>
  <c r="AD44" i="1810"/>
  <c r="AM34" i="1810"/>
  <c r="AD36" i="1810"/>
  <c r="AM42" i="121"/>
  <c r="AM41" i="121"/>
  <c r="AD271" i="121"/>
  <c r="AM265" i="121"/>
  <c r="AM271" i="121" s="1"/>
  <c r="AP189" i="1812"/>
  <c r="BH559" i="1812"/>
  <c r="AP601" i="1812"/>
  <c r="AL384" i="1812"/>
  <c r="AL400" i="1812" s="1"/>
  <c r="BG389" i="1812"/>
  <c r="AP190" i="1812"/>
  <c r="BH190" i="1812" s="1"/>
  <c r="BH565" i="1812"/>
  <c r="AP603" i="1812"/>
  <c r="BG598" i="1812"/>
  <c r="BG608" i="1812" s="1"/>
  <c r="BG638" i="1812" s="1"/>
  <c r="BG379" i="1812"/>
  <c r="BG555" i="1812"/>
  <c r="AP115" i="1541"/>
  <c r="AO116" i="1541"/>
  <c r="AD104" i="1810" l="1"/>
  <c r="AD84" i="1810"/>
  <c r="AD89" i="1810"/>
  <c r="J10" i="1711"/>
  <c r="J8" i="1807"/>
  <c r="AM71" i="1810"/>
  <c r="AD76" i="1810"/>
  <c r="AD35" i="1821"/>
  <c r="AD36" i="1821" s="1"/>
  <c r="AD14" i="1821"/>
  <c r="AD41" i="1810"/>
  <c r="AD46" i="1810"/>
  <c r="AM36" i="1810"/>
  <c r="AM44" i="1810"/>
  <c r="AM39" i="1810"/>
  <c r="AM253" i="121"/>
  <c r="AD254" i="121"/>
  <c r="AD255" i="121"/>
  <c r="AD256" i="121"/>
  <c r="AD257" i="121"/>
  <c r="L8" i="155"/>
  <c r="K25" i="155"/>
  <c r="AD137" i="1810"/>
  <c r="AM96" i="1810"/>
  <c r="AD42" i="1821"/>
  <c r="AD101" i="1810"/>
  <c r="AD64" i="1810"/>
  <c r="AD54" i="1810"/>
  <c r="AD59" i="1810"/>
  <c r="AM49" i="1810"/>
  <c r="K55" i="155"/>
  <c r="AD11" i="1821"/>
  <c r="AD9" i="1821"/>
  <c r="K19" i="155"/>
  <c r="AD104" i="121"/>
  <c r="AD93" i="121"/>
  <c r="AM91" i="121"/>
  <c r="AD114" i="121"/>
  <c r="AD99" i="121"/>
  <c r="AD277" i="121"/>
  <c r="AD319" i="121"/>
  <c r="AM307" i="121"/>
  <c r="AM319" i="121" s="1"/>
  <c r="J8" i="1809"/>
  <c r="AM8" i="1821"/>
  <c r="AM9" i="1821" s="1"/>
  <c r="AM16" i="1810"/>
  <c r="BH603" i="1812"/>
  <c r="AP568" i="1812"/>
  <c r="AP567" i="1812" s="1"/>
  <c r="BH601" i="1812"/>
  <c r="AP607" i="1812"/>
  <c r="AP562" i="1812"/>
  <c r="AP561" i="1812" s="1"/>
  <c r="AM388" i="1812"/>
  <c r="BG384" i="1812"/>
  <c r="AP575" i="1812"/>
  <c r="AP492" i="1812"/>
  <c r="BH492" i="1812" s="1"/>
  <c r="AP192" i="1812"/>
  <c r="BH189" i="1812"/>
  <c r="AO117" i="1541"/>
  <c r="AP116" i="1541"/>
  <c r="AP117" i="1541" s="1"/>
  <c r="Q14" i="121"/>
  <c r="AJ14" i="121" s="1"/>
  <c r="G12" i="1538" s="1"/>
  <c r="P165" i="1554"/>
  <c r="P166" i="1554" s="1"/>
  <c r="P29" i="121" s="1"/>
  <c r="P19" i="1810" s="1"/>
  <c r="P21" i="1810" s="1"/>
  <c r="P10" i="1821" s="1"/>
  <c r="O165" i="1554"/>
  <c r="O166" i="1554" s="1"/>
  <c r="O29" i="121" s="1"/>
  <c r="O19" i="1810" s="1"/>
  <c r="O21" i="1810" s="1"/>
  <c r="O10" i="1821" s="1"/>
  <c r="N165" i="1554"/>
  <c r="N166" i="1554" s="1"/>
  <c r="N29" i="121" s="1"/>
  <c r="N19" i="1810" s="1"/>
  <c r="N21" i="1810" s="1"/>
  <c r="N10" i="1821" s="1"/>
  <c r="M165" i="1554"/>
  <c r="M166" i="1554" s="1"/>
  <c r="M29" i="121" s="1"/>
  <c r="M19" i="1810" s="1"/>
  <c r="M21" i="1810" s="1"/>
  <c r="M10" i="1821" s="1"/>
  <c r="L165" i="1554"/>
  <c r="L166" i="1554" s="1"/>
  <c r="L29" i="121" s="1"/>
  <c r="L19" i="1810" s="1"/>
  <c r="L21" i="1810" s="1"/>
  <c r="L10" i="1821" s="1"/>
  <c r="N127" i="1554"/>
  <c r="N133" i="1554" s="1"/>
  <c r="P127" i="1554"/>
  <c r="P133" i="1554" s="1"/>
  <c r="L127" i="1554"/>
  <c r="L133" i="1554" s="1"/>
  <c r="O185" i="121"/>
  <c r="M127" i="1554"/>
  <c r="M126" i="1554" s="1"/>
  <c r="M132" i="1554" s="1"/>
  <c r="R185" i="121"/>
  <c r="O127" i="1554"/>
  <c r="O126" i="1554" s="1"/>
  <c r="N185" i="121"/>
  <c r="M185" i="121"/>
  <c r="Q185" i="121"/>
  <c r="AL179" i="1554"/>
  <c r="L185" i="121"/>
  <c r="P185" i="121"/>
  <c r="O176" i="1554"/>
  <c r="AL176" i="1554" s="1"/>
  <c r="P175" i="1554"/>
  <c r="P166" i="121" s="1"/>
  <c r="P167" i="121" s="1"/>
  <c r="P168" i="121" s="1"/>
  <c r="P26" i="121" s="1"/>
  <c r="Q175" i="1554"/>
  <c r="Q147" i="1554" s="1"/>
  <c r="Q166" i="121" s="1"/>
  <c r="R175" i="1554"/>
  <c r="M174" i="1554"/>
  <c r="M174" i="121" s="1"/>
  <c r="M175" i="121" s="1"/>
  <c r="M176" i="121" s="1"/>
  <c r="M27" i="121" s="1"/>
  <c r="L174" i="1554"/>
  <c r="L19" i="155" l="1"/>
  <c r="AD289" i="121"/>
  <c r="AD301" i="121"/>
  <c r="AD295" i="121"/>
  <c r="AM277" i="121"/>
  <c r="AM301" i="121" s="1"/>
  <c r="AD101" i="121"/>
  <c r="AM99" i="121"/>
  <c r="AM101" i="121" s="1"/>
  <c r="AD62" i="1821"/>
  <c r="AD43" i="1821"/>
  <c r="AM46" i="1810"/>
  <c r="AM41" i="1810"/>
  <c r="AM14" i="1821"/>
  <c r="AM101" i="1810"/>
  <c r="AM42" i="1821"/>
  <c r="AM137" i="1810"/>
  <c r="J29" i="1809"/>
  <c r="J30" i="1809" s="1"/>
  <c r="K30" i="1809" s="1"/>
  <c r="AD15" i="1821"/>
  <c r="AD16" i="1821"/>
  <c r="J20" i="155"/>
  <c r="J22" i="155" s="1"/>
  <c r="AM93" i="121"/>
  <c r="AM114" i="121"/>
  <c r="AD106" i="121"/>
  <c r="AM104" i="121"/>
  <c r="L25" i="155"/>
  <c r="M8" i="155"/>
  <c r="J23" i="1809"/>
  <c r="K23" i="1809" s="1"/>
  <c r="L23" i="1809" s="1"/>
  <c r="M23" i="1809" s="1"/>
  <c r="N23" i="1809" s="1"/>
  <c r="O23" i="1809" s="1"/>
  <c r="AM35" i="1821"/>
  <c r="AM36" i="1821" s="1"/>
  <c r="AM76" i="1810"/>
  <c r="J55" i="1807"/>
  <c r="J25" i="1807"/>
  <c r="K8" i="1807"/>
  <c r="J20" i="1807"/>
  <c r="J19" i="1807"/>
  <c r="J37" i="1809"/>
  <c r="K8" i="1809"/>
  <c r="L8" i="1809" s="1"/>
  <c r="M8" i="1809" s="1"/>
  <c r="N8" i="1809" s="1"/>
  <c r="O8" i="1809" s="1"/>
  <c r="P8" i="1809" s="1"/>
  <c r="J9" i="1809"/>
  <c r="L55" i="155"/>
  <c r="AM59" i="1810"/>
  <c r="AM54" i="1810"/>
  <c r="AM64" i="1810"/>
  <c r="AM79" i="1810"/>
  <c r="AM256" i="121"/>
  <c r="AM255" i="121"/>
  <c r="AM257" i="121"/>
  <c r="AM254" i="121"/>
  <c r="AD109" i="1810"/>
  <c r="AD114" i="1810"/>
  <c r="AI185" i="121"/>
  <c r="L174" i="121"/>
  <c r="L175" i="121" s="1"/>
  <c r="L176" i="121" s="1"/>
  <c r="L27" i="121" s="1"/>
  <c r="BG395" i="1812"/>
  <c r="BG394" i="1812"/>
  <c r="BG400" i="1812"/>
  <c r="AM195" i="1812"/>
  <c r="AM390" i="1812"/>
  <c r="BH575" i="1812"/>
  <c r="BH192" i="1812"/>
  <c r="BH607" i="1812"/>
  <c r="BH562" i="1812"/>
  <c r="BH568" i="1812"/>
  <c r="O182" i="121"/>
  <c r="AJ182" i="121" s="1"/>
  <c r="Q181" i="121"/>
  <c r="L37" i="121"/>
  <c r="AK127" i="1554"/>
  <c r="AK133" i="1554" s="1"/>
  <c r="P37" i="121"/>
  <c r="M36" i="121"/>
  <c r="N37" i="121"/>
  <c r="AJ185" i="121"/>
  <c r="M180" i="121"/>
  <c r="P126" i="1554"/>
  <c r="P132" i="1554" s="1"/>
  <c r="M133" i="1554"/>
  <c r="L126" i="1554"/>
  <c r="L132" i="1554" s="1"/>
  <c r="P181" i="121"/>
  <c r="AL175" i="1554"/>
  <c r="P66" i="1583"/>
  <c r="X111" i="1583" s="1"/>
  <c r="P160" i="121"/>
  <c r="N66" i="1583"/>
  <c r="N160" i="121"/>
  <c r="O132" i="1554"/>
  <c r="O160" i="121"/>
  <c r="O66" i="1583"/>
  <c r="W111" i="1583" s="1"/>
  <c r="L66" i="1583"/>
  <c r="L160" i="121"/>
  <c r="M160" i="121"/>
  <c r="M66" i="1583"/>
  <c r="L180" i="121"/>
  <c r="O133" i="1554"/>
  <c r="AL127" i="1554"/>
  <c r="AL133" i="1554" s="1"/>
  <c r="O166" i="121"/>
  <c r="O167" i="121" s="1"/>
  <c r="O168" i="121" s="1"/>
  <c r="O26" i="121" s="1"/>
  <c r="G11" i="1712"/>
  <c r="N126" i="1554"/>
  <c r="N132" i="1554" s="1"/>
  <c r="N174" i="1554"/>
  <c r="AK174" i="1554" s="1"/>
  <c r="Q148" i="1554"/>
  <c r="Q167" i="121" s="1"/>
  <c r="Q168" i="121" s="1"/>
  <c r="Q26" i="121" s="1"/>
  <c r="G12" i="1535"/>
  <c r="R181" i="121"/>
  <c r="AM16" i="1821" l="1"/>
  <c r="AM15" i="1821"/>
  <c r="M55" i="155"/>
  <c r="AD107" i="121"/>
  <c r="AD117" i="121" s="1"/>
  <c r="AD118" i="121" s="1"/>
  <c r="AD124" i="121" s="1"/>
  <c r="AM106" i="121"/>
  <c r="K19" i="1807"/>
  <c r="J22" i="1807"/>
  <c r="J21" i="1807"/>
  <c r="K20" i="1807"/>
  <c r="J14" i="1807"/>
  <c r="J28" i="1807"/>
  <c r="J60" i="1807"/>
  <c r="J58" i="1807" s="1"/>
  <c r="AM43" i="1821"/>
  <c r="AM62" i="1821"/>
  <c r="K25" i="1807"/>
  <c r="L8" i="1807"/>
  <c r="AM89" i="1810"/>
  <c r="AM84" i="1810"/>
  <c r="AM104" i="1810"/>
  <c r="M25" i="155"/>
  <c r="N8" i="155"/>
  <c r="K55" i="1807"/>
  <c r="L55" i="1807" s="1"/>
  <c r="K29" i="1809"/>
  <c r="L30" i="1809"/>
  <c r="M19" i="155"/>
  <c r="N19" i="155" s="1"/>
  <c r="BH561" i="1812"/>
  <c r="BI558" i="1812"/>
  <c r="AM199" i="1812"/>
  <c r="BH567" i="1812"/>
  <c r="BI564" i="1812"/>
  <c r="AM391" i="1812"/>
  <c r="AM393" i="1812"/>
  <c r="BG403" i="1812"/>
  <c r="BG406" i="1812"/>
  <c r="P23" i="1809"/>
  <c r="Q8" i="1809"/>
  <c r="AL126" i="1554"/>
  <c r="AL132" i="1554" s="1"/>
  <c r="AJ36" i="121" s="1"/>
  <c r="AJ37" i="121"/>
  <c r="L36" i="121"/>
  <c r="O37" i="121"/>
  <c r="AJ181" i="121"/>
  <c r="P36" i="121"/>
  <c r="O36" i="121"/>
  <c r="N36" i="121"/>
  <c r="AI37" i="121"/>
  <c r="M37" i="121"/>
  <c r="Q76" i="1583"/>
  <c r="M69" i="1583"/>
  <c r="Q111" i="1583"/>
  <c r="M76" i="1583"/>
  <c r="N76" i="1583"/>
  <c r="R111" i="1583"/>
  <c r="V111" i="1583"/>
  <c r="R76" i="1583"/>
  <c r="N69" i="1583"/>
  <c r="N174" i="121"/>
  <c r="N180" i="121"/>
  <c r="AI180" i="121" s="1"/>
  <c r="N175" i="1554"/>
  <c r="AK175" i="1554" s="1"/>
  <c r="P76" i="1583"/>
  <c r="T111" i="1583"/>
  <c r="T76" i="1583"/>
  <c r="P69" i="1583"/>
  <c r="P111" i="1583"/>
  <c r="L76" i="1583"/>
  <c r="L69" i="1583"/>
  <c r="L79" i="1583" s="1"/>
  <c r="S111" i="1583"/>
  <c r="O111" i="1583"/>
  <c r="S76" i="1583"/>
  <c r="O69" i="1583"/>
  <c r="W114" i="1583" s="1"/>
  <c r="O76" i="1583"/>
  <c r="AK126" i="1554"/>
  <c r="AK132" i="1554" s="1"/>
  <c r="L19" i="1807" l="1"/>
  <c r="L20" i="1807"/>
  <c r="K14" i="1807"/>
  <c r="K22" i="1807"/>
  <c r="K28" i="1807"/>
  <c r="K21" i="1807"/>
  <c r="K60" i="1807"/>
  <c r="K58" i="1807" s="1"/>
  <c r="N25" i="155"/>
  <c r="O8" i="155"/>
  <c r="O19" i="155" s="1"/>
  <c r="AM109" i="1810"/>
  <c r="AM114" i="1810"/>
  <c r="AD108" i="121"/>
  <c r="AD110" i="121" s="1"/>
  <c r="J29" i="1807"/>
  <c r="J30" i="1807"/>
  <c r="AM107" i="121"/>
  <c r="AM117" i="121" s="1"/>
  <c r="AM118" i="121" s="1"/>
  <c r="M30" i="1809"/>
  <c r="L29" i="1809"/>
  <c r="J15" i="1807"/>
  <c r="J17" i="1807"/>
  <c r="J16" i="1807"/>
  <c r="L25" i="1807"/>
  <c r="M8" i="1807"/>
  <c r="M55" i="1807" s="1"/>
  <c r="AD133" i="121"/>
  <c r="AM133" i="121" s="1"/>
  <c r="AM124" i="121"/>
  <c r="N55" i="155"/>
  <c r="BI565" i="1812"/>
  <c r="AM201" i="1812"/>
  <c r="AM202" i="1812"/>
  <c r="BI559" i="1812"/>
  <c r="R8" i="1809"/>
  <c r="Q23" i="1809"/>
  <c r="AI36" i="121"/>
  <c r="N176" i="1554"/>
  <c r="N181" i="121"/>
  <c r="AI181" i="121" s="1"/>
  <c r="N175" i="121"/>
  <c r="N176" i="121" s="1"/>
  <c r="N27" i="121" s="1"/>
  <c r="AI174" i="121"/>
  <c r="AI175" i="121" s="1"/>
  <c r="AI176" i="121" s="1"/>
  <c r="Q114" i="1583"/>
  <c r="M79" i="1583"/>
  <c r="Q79" i="1583"/>
  <c r="O79" i="1583"/>
  <c r="O114" i="1583"/>
  <c r="S79" i="1583"/>
  <c r="S114" i="1583"/>
  <c r="V114" i="1583"/>
  <c r="R114" i="1583"/>
  <c r="N79" i="1583"/>
  <c r="R79" i="1583"/>
  <c r="P114" i="1583"/>
  <c r="T114" i="1583"/>
  <c r="T79" i="1583"/>
  <c r="P79" i="1583"/>
  <c r="O55" i="155" l="1"/>
  <c r="AM108" i="121"/>
  <c r="AM110" i="121" s="1"/>
  <c r="M19" i="1807"/>
  <c r="M25" i="1807"/>
  <c r="N8" i="1807"/>
  <c r="P8" i="155"/>
  <c r="P55" i="155" s="1"/>
  <c r="O25" i="155"/>
  <c r="N30" i="1809"/>
  <c r="M29" i="1809"/>
  <c r="K30" i="1807"/>
  <c r="K29" i="1807"/>
  <c r="K15" i="1807"/>
  <c r="K17" i="1807"/>
  <c r="K16" i="1807"/>
  <c r="L21" i="1807"/>
  <c r="L14" i="1807"/>
  <c r="L22" i="1807"/>
  <c r="L60" i="1807"/>
  <c r="L58" i="1807" s="1"/>
  <c r="M20" i="1807"/>
  <c r="L28" i="1807"/>
  <c r="N182" i="121"/>
  <c r="AI182" i="121" s="1"/>
  <c r="AK176" i="1554"/>
  <c r="BI189" i="1812"/>
  <c r="BI601" i="1812"/>
  <c r="BI572" i="1812"/>
  <c r="AM493" i="1812"/>
  <c r="AM203" i="1812"/>
  <c r="BI190" i="1812"/>
  <c r="BI603" i="1812"/>
  <c r="BI573" i="1812"/>
  <c r="R23" i="1809"/>
  <c r="S8" i="1809"/>
  <c r="N166" i="121"/>
  <c r="M60" i="1807" l="1"/>
  <c r="M58" i="1807" s="1"/>
  <c r="M22" i="1807"/>
  <c r="M28" i="1807"/>
  <c r="M14" i="1807"/>
  <c r="M21" i="1807"/>
  <c r="N20" i="1807"/>
  <c r="N25" i="1807"/>
  <c r="O8" i="1807"/>
  <c r="N55" i="1807"/>
  <c r="O30" i="1809"/>
  <c r="N29" i="1809"/>
  <c r="P25" i="155"/>
  <c r="Q8" i="155"/>
  <c r="P19" i="155"/>
  <c r="L29" i="1807"/>
  <c r="L30" i="1807"/>
  <c r="L15" i="1807"/>
  <c r="L16" i="1807"/>
  <c r="L17" i="1807"/>
  <c r="N19" i="1807"/>
  <c r="N186" i="121"/>
  <c r="N30" i="121" s="1"/>
  <c r="N29" i="1810" s="1"/>
  <c r="N31" i="1810" s="1"/>
  <c r="N12" i="1821" s="1"/>
  <c r="O186" i="121"/>
  <c r="O30" i="121" s="1"/>
  <c r="O29" i="1810" s="1"/>
  <c r="O31" i="1810" s="1"/>
  <c r="O12" i="1821" s="1"/>
  <c r="AM490" i="1812"/>
  <c r="AM207" i="1812"/>
  <c r="AM622" i="1812"/>
  <c r="BI607" i="1812"/>
  <c r="BI562" i="1812"/>
  <c r="BI568" i="1812"/>
  <c r="BI575" i="1812"/>
  <c r="BI492" i="1812"/>
  <c r="BI192" i="1812"/>
  <c r="T8" i="1809"/>
  <c r="S23" i="1809"/>
  <c r="N167" i="121"/>
  <c r="N168" i="121" s="1"/>
  <c r="N26" i="121" s="1"/>
  <c r="AI166" i="121"/>
  <c r="AI167" i="121" s="1"/>
  <c r="AI168" i="121" s="1"/>
  <c r="O55" i="1807" l="1"/>
  <c r="M30" i="1807"/>
  <c r="M29" i="1807"/>
  <c r="R8" i="155"/>
  <c r="Q25" i="155"/>
  <c r="P8" i="1807"/>
  <c r="O25" i="1807"/>
  <c r="N60" i="1807"/>
  <c r="N58" i="1807" s="1"/>
  <c r="N28" i="1807"/>
  <c r="N22" i="1807"/>
  <c r="N14" i="1807"/>
  <c r="N21" i="1807"/>
  <c r="O20" i="1807"/>
  <c r="P30" i="1809"/>
  <c r="O29" i="1809"/>
  <c r="O19" i="1807"/>
  <c r="M16" i="1807"/>
  <c r="M15" i="1807"/>
  <c r="M17" i="1807"/>
  <c r="Q19" i="155"/>
  <c r="Q55" i="155"/>
  <c r="R55" i="155" s="1"/>
  <c r="U8" i="1809"/>
  <c r="BI561" i="1812"/>
  <c r="BJ558" i="1812"/>
  <c r="AM625" i="1812"/>
  <c r="AM626" i="1812" s="1"/>
  <c r="AM209" i="1812"/>
  <c r="AM217" i="1812"/>
  <c r="BI567" i="1812"/>
  <c r="BJ564" i="1812"/>
  <c r="AM507" i="1812"/>
  <c r="AM632" i="1812"/>
  <c r="T23" i="1809"/>
  <c r="R19" i="155" l="1"/>
  <c r="N16" i="1807"/>
  <c r="N15" i="1807"/>
  <c r="N17" i="1807"/>
  <c r="R25" i="155"/>
  <c r="S8" i="155"/>
  <c r="N29" i="1807"/>
  <c r="N30" i="1807"/>
  <c r="S19" i="155"/>
  <c r="P25" i="1807"/>
  <c r="Q8" i="1807"/>
  <c r="P19" i="1807"/>
  <c r="Q30" i="1809"/>
  <c r="P29" i="1809"/>
  <c r="P20" i="1807"/>
  <c r="O21" i="1807"/>
  <c r="O22" i="1807"/>
  <c r="O28" i="1807"/>
  <c r="O14" i="1807"/>
  <c r="O60" i="1807"/>
  <c r="O58" i="1807" s="1"/>
  <c r="U23" i="1809"/>
  <c r="P55" i="1807"/>
  <c r="AM223" i="1812"/>
  <c r="AM218" i="1812" s="1"/>
  <c r="AM212" i="1812"/>
  <c r="AM634" i="1812"/>
  <c r="AM636" i="1812" s="1"/>
  <c r="AM516" i="1812"/>
  <c r="AM352" i="1812"/>
  <c r="BJ559" i="1812"/>
  <c r="BJ572" i="1812" s="1"/>
  <c r="BJ565" i="1812"/>
  <c r="BJ573" i="1812" s="1"/>
  <c r="Q19" i="1807" l="1"/>
  <c r="R30" i="1809"/>
  <c r="Q29" i="1809"/>
  <c r="Q25" i="1807"/>
  <c r="R8" i="1807"/>
  <c r="T19" i="155"/>
  <c r="O29" i="1807"/>
  <c r="O30" i="1807"/>
  <c r="Q55" i="1807"/>
  <c r="R55" i="1807" s="1"/>
  <c r="P22" i="1807"/>
  <c r="P21" i="1807"/>
  <c r="P60" i="1807"/>
  <c r="P58" i="1807" s="1"/>
  <c r="P14" i="1807"/>
  <c r="Q20" i="1807"/>
  <c r="P28" i="1807"/>
  <c r="S25" i="155"/>
  <c r="S32" i="155" s="1"/>
  <c r="T8" i="155"/>
  <c r="T25" i="155" s="1"/>
  <c r="T32" i="155" s="1"/>
  <c r="T33" i="155" s="1"/>
  <c r="O17" i="1807"/>
  <c r="O15" i="1807"/>
  <c r="O16" i="1807"/>
  <c r="S55" i="155"/>
  <c r="T55" i="155" s="1"/>
  <c r="AM369" i="1812"/>
  <c r="AM370" i="1812" s="1"/>
  <c r="AM371" i="1812" s="1"/>
  <c r="AM372" i="1812" s="1"/>
  <c r="AM354" i="1812"/>
  <c r="AM355" i="1812"/>
  <c r="AM547" i="1812"/>
  <c r="AM550" i="1812" s="1"/>
  <c r="BJ190" i="1812"/>
  <c r="BJ603" i="1812"/>
  <c r="BJ189" i="1812"/>
  <c r="BJ601" i="1812"/>
  <c r="AM224" i="1812"/>
  <c r="AM219" i="1812" s="1"/>
  <c r="P16" i="1807" l="1"/>
  <c r="P15" i="1807"/>
  <c r="P17" i="1807"/>
  <c r="P29" i="1807"/>
  <c r="P30" i="1807"/>
  <c r="R25" i="1807"/>
  <c r="S8" i="1807"/>
  <c r="S55" i="1807" s="1"/>
  <c r="S33" i="155"/>
  <c r="K32" i="155"/>
  <c r="K33" i="155" s="1"/>
  <c r="Q60" i="1807"/>
  <c r="Q58" i="1807" s="1"/>
  <c r="Q21" i="1807"/>
  <c r="Q22" i="1807"/>
  <c r="R20" i="1807"/>
  <c r="Q28" i="1807"/>
  <c r="Q14" i="1807"/>
  <c r="R19" i="1807"/>
  <c r="S30" i="1809"/>
  <c r="R29" i="1809"/>
  <c r="BJ575" i="1812"/>
  <c r="BJ492" i="1812"/>
  <c r="BJ192" i="1812"/>
  <c r="BJ568" i="1812"/>
  <c r="AM592" i="1812"/>
  <c r="AM555" i="1812" s="1"/>
  <c r="AN549" i="1812"/>
  <c r="AM373" i="1812"/>
  <c r="AM374" i="1812" s="1"/>
  <c r="AM375" i="1812" s="1"/>
  <c r="AM376" i="1812" s="1"/>
  <c r="AM356" i="1812"/>
  <c r="BJ607" i="1812"/>
  <c r="BJ562" i="1812"/>
  <c r="U129" i="121"/>
  <c r="L32" i="155" l="1"/>
  <c r="L33" i="155" s="1"/>
  <c r="M32" i="155"/>
  <c r="S19" i="1807"/>
  <c r="Q29" i="1807"/>
  <c r="Q30" i="1807"/>
  <c r="M33" i="155"/>
  <c r="N32" i="155"/>
  <c r="T8" i="1807"/>
  <c r="T25" i="1807" s="1"/>
  <c r="T32" i="1807" s="1"/>
  <c r="T33" i="1807" s="1"/>
  <c r="S25" i="1807"/>
  <c r="S32" i="1807" s="1"/>
  <c r="T30" i="1809"/>
  <c r="S29" i="1809"/>
  <c r="Q17" i="1807"/>
  <c r="Q16" i="1807"/>
  <c r="Q15" i="1807"/>
  <c r="R60" i="1807"/>
  <c r="R58" i="1807" s="1"/>
  <c r="R21" i="1807"/>
  <c r="R28" i="1807"/>
  <c r="R14" i="1807"/>
  <c r="S20" i="1807"/>
  <c r="R22" i="1807"/>
  <c r="AM598" i="1812"/>
  <c r="AM608" i="1812" s="1"/>
  <c r="AM638" i="1812" s="1"/>
  <c r="AM379" i="1812"/>
  <c r="BJ567" i="1812"/>
  <c r="BK564" i="1812"/>
  <c r="BK558" i="1812"/>
  <c r="BJ561" i="1812"/>
  <c r="U30" i="1809" l="1"/>
  <c r="U29" i="1809" s="1"/>
  <c r="U36" i="1809" s="1"/>
  <c r="U37" i="1809" s="1"/>
  <c r="T29" i="1809"/>
  <c r="T36" i="1809" s="1"/>
  <c r="T37" i="1809" s="1"/>
  <c r="T19" i="1807"/>
  <c r="S33" i="1807"/>
  <c r="I32" i="1807"/>
  <c r="J32" i="1807"/>
  <c r="J33" i="1807" s="1"/>
  <c r="N33" i="155"/>
  <c r="O32" i="155"/>
  <c r="S21" i="1807"/>
  <c r="T20" i="1807"/>
  <c r="S28" i="1807"/>
  <c r="S60" i="1807"/>
  <c r="S58" i="1807" s="1"/>
  <c r="S14" i="1807"/>
  <c r="S22" i="1807"/>
  <c r="R16" i="1807"/>
  <c r="R17" i="1807"/>
  <c r="R15" i="1807"/>
  <c r="R30" i="1807"/>
  <c r="R29" i="1807"/>
  <c r="T55" i="1807"/>
  <c r="BK565" i="1812"/>
  <c r="BK573" i="1812" s="1"/>
  <c r="BK559" i="1812"/>
  <c r="AN388" i="1812"/>
  <c r="AM384" i="1812"/>
  <c r="AM400" i="1812" s="1"/>
  <c r="AK126" i="121"/>
  <c r="H58" i="1807" s="1"/>
  <c r="I58" i="1807" s="1"/>
  <c r="V348" i="121"/>
  <c r="V349" i="121" s="1"/>
  <c r="V354" i="121" s="1"/>
  <c r="V359" i="121" s="1"/>
  <c r="V360" i="121" s="1"/>
  <c r="U349" i="121"/>
  <c r="K32" i="1807" l="1"/>
  <c r="S17" i="1807"/>
  <c r="S16" i="1807"/>
  <c r="S15" i="1807"/>
  <c r="T14" i="1807"/>
  <c r="T60" i="1807"/>
  <c r="T58" i="1807" s="1"/>
  <c r="T21" i="1807"/>
  <c r="T28" i="1807"/>
  <c r="T22" i="1807"/>
  <c r="P32" i="155"/>
  <c r="O33" i="155"/>
  <c r="K33" i="1807"/>
  <c r="L32" i="1807"/>
  <c r="C112" i="1808"/>
  <c r="F112" i="1808" s="1"/>
  <c r="H112" i="1808" s="1"/>
  <c r="I33" i="1807"/>
  <c r="S30" i="1807"/>
  <c r="S29" i="1807"/>
  <c r="AN195" i="1812"/>
  <c r="AN390" i="1812"/>
  <c r="BK189" i="1812"/>
  <c r="BK601" i="1812"/>
  <c r="BK572" i="1812"/>
  <c r="BK190" i="1812"/>
  <c r="BK603" i="1812"/>
  <c r="BK568" i="1812" s="1"/>
  <c r="BK567" i="1812" s="1"/>
  <c r="H58" i="155"/>
  <c r="I58" i="155" s="1"/>
  <c r="AL355" i="121"/>
  <c r="H58" i="1711"/>
  <c r="I58" i="1711" s="1"/>
  <c r="AK349" i="121"/>
  <c r="U354" i="121"/>
  <c r="U359" i="121" s="1"/>
  <c r="V355" i="121"/>
  <c r="AK348" i="121"/>
  <c r="M32" i="1807" l="1"/>
  <c r="L33" i="1807"/>
  <c r="P33" i="155"/>
  <c r="Q32" i="155"/>
  <c r="T30" i="1807"/>
  <c r="T29" i="1807"/>
  <c r="T16" i="1807"/>
  <c r="T17" i="1807"/>
  <c r="T15" i="1807"/>
  <c r="BK607" i="1812"/>
  <c r="BK562" i="1812"/>
  <c r="BK561" i="1812" s="1"/>
  <c r="BK575" i="1812"/>
  <c r="BK492" i="1812"/>
  <c r="BK192" i="1812"/>
  <c r="AN391" i="1812"/>
  <c r="AN393" i="1812"/>
  <c r="AN199" i="1812"/>
  <c r="U360" i="121"/>
  <c r="AK360" i="121" s="1"/>
  <c r="AK354" i="121"/>
  <c r="AK355" i="121" s="1"/>
  <c r="U355" i="121"/>
  <c r="AK347" i="121"/>
  <c r="R32" i="155" l="1"/>
  <c r="R33" i="155" s="1"/>
  <c r="Q33" i="155"/>
  <c r="M33" i="1807"/>
  <c r="N32" i="1807"/>
  <c r="AN201" i="1812"/>
  <c r="AN202" i="1812"/>
  <c r="AK359" i="121"/>
  <c r="N33" i="1807" l="1"/>
  <c r="O32" i="1807"/>
  <c r="AN493" i="1812"/>
  <c r="AN203" i="1812"/>
  <c r="U124" i="121"/>
  <c r="O33" i="1807" l="1"/>
  <c r="P32" i="1807"/>
  <c r="AN490" i="1812"/>
  <c r="AN207" i="1812"/>
  <c r="AN622" i="1812"/>
  <c r="U123" i="121"/>
  <c r="Q32" i="1807" l="1"/>
  <c r="P33" i="1807"/>
  <c r="AN625" i="1812"/>
  <c r="AN626" i="1812" s="1"/>
  <c r="AN217" i="1812"/>
  <c r="AN209" i="1812"/>
  <c r="AN507" i="1812"/>
  <c r="AN632" i="1812"/>
  <c r="AK167" i="121"/>
  <c r="AK168" i="121" s="1"/>
  <c r="AK166" i="121"/>
  <c r="U184" i="121"/>
  <c r="Q33" i="1807" l="1"/>
  <c r="R32" i="1807"/>
  <c r="R33" i="1807" s="1"/>
  <c r="U185" i="121"/>
  <c r="AK185" i="121" s="1"/>
  <c r="U186" i="121"/>
  <c r="U30" i="121" s="1"/>
  <c r="U29" i="1810" s="1"/>
  <c r="U31" i="1810" s="1"/>
  <c r="U12" i="1821" s="1"/>
  <c r="V186" i="121"/>
  <c r="V30" i="121" s="1"/>
  <c r="V29" i="1810" s="1"/>
  <c r="V31" i="1810" s="1"/>
  <c r="V12" i="1821" s="1"/>
  <c r="AN223" i="1812"/>
  <c r="AN218" i="1812" s="1"/>
  <c r="AN212" i="1812"/>
  <c r="AN516" i="1812"/>
  <c r="AN352" i="1812"/>
  <c r="AN634" i="1812"/>
  <c r="AN636" i="1812" s="1"/>
  <c r="U14" i="121"/>
  <c r="AK14" i="121" s="1"/>
  <c r="AK26" i="121"/>
  <c r="AK184" i="121"/>
  <c r="AN369" i="1812" l="1"/>
  <c r="AN370" i="1812" s="1"/>
  <c r="AN371" i="1812" s="1"/>
  <c r="AN372" i="1812" s="1"/>
  <c r="AN354" i="1812"/>
  <c r="AN355" i="1812"/>
  <c r="AN547" i="1812"/>
  <c r="AN550" i="1812" s="1"/>
  <c r="AN224" i="1812"/>
  <c r="AN219" i="1812" s="1"/>
  <c r="AK29" i="121"/>
  <c r="U66" i="1583"/>
  <c r="AK15" i="121"/>
  <c r="U160" i="121"/>
  <c r="AK19" i="1810" l="1"/>
  <c r="AK21" i="1810" s="1"/>
  <c r="AK10" i="1821" s="1"/>
  <c r="U111" i="1583"/>
  <c r="Y76" i="1583"/>
  <c r="Y111" i="1583"/>
  <c r="AN592" i="1812"/>
  <c r="AN555" i="1812" s="1"/>
  <c r="AO549" i="1812"/>
  <c r="AN373" i="1812"/>
  <c r="AN374" i="1812" s="1"/>
  <c r="AN375" i="1812" s="1"/>
  <c r="AN376" i="1812" s="1"/>
  <c r="AN356" i="1812"/>
  <c r="H10" i="1807"/>
  <c r="C59" i="1808"/>
  <c r="H59" i="1808" s="1"/>
  <c r="AJ31" i="1583"/>
  <c r="AJ32" i="1583"/>
  <c r="U76" i="1583"/>
  <c r="U69" i="1583"/>
  <c r="U114" i="1583" s="1"/>
  <c r="AK160" i="121"/>
  <c r="AF66" i="1583"/>
  <c r="H10" i="1711"/>
  <c r="H10" i="155"/>
  <c r="H10" i="1809" l="1"/>
  <c r="AN598" i="1812"/>
  <c r="AN608" i="1812" s="1"/>
  <c r="AN638" i="1812" s="1"/>
  <c r="AN379" i="1812"/>
  <c r="AG111" i="1583"/>
  <c r="AF111" i="1583"/>
  <c r="C65" i="1808"/>
  <c r="C64" i="1808"/>
  <c r="C63" i="1808"/>
  <c r="AF117" i="1583"/>
  <c r="AF76" i="1583"/>
  <c r="AF69" i="1583"/>
  <c r="U79" i="1583"/>
  <c r="H13" i="1535"/>
  <c r="H13" i="1538"/>
  <c r="H12" i="1712"/>
  <c r="AO388" i="1812" l="1"/>
  <c r="AN384" i="1812"/>
  <c r="AN400" i="1812" s="1"/>
  <c r="AF120" i="1583"/>
  <c r="AG114" i="1583"/>
  <c r="H63" i="1808"/>
  <c r="N68" i="1808"/>
  <c r="H64" i="1808"/>
  <c r="M69" i="1808"/>
  <c r="H65" i="1808"/>
  <c r="L70" i="1808"/>
  <c r="M70" i="1808" s="1"/>
  <c r="N70" i="1808" s="1"/>
  <c r="O70" i="1808" s="1"/>
  <c r="P70" i="1808" s="1"/>
  <c r="AF114" i="1583"/>
  <c r="AF79" i="1583"/>
  <c r="AO195" i="1812" l="1"/>
  <c r="AO390" i="1812"/>
  <c r="N69" i="1808"/>
  <c r="M75" i="1808"/>
  <c r="O68" i="1808"/>
  <c r="N74" i="1808"/>
  <c r="H31" i="1806"/>
  <c r="H45" i="1806" s="1"/>
  <c r="Q31" i="1806"/>
  <c r="Q45" i="1806" s="1"/>
  <c r="F31" i="1806"/>
  <c r="F45" i="1806" s="1"/>
  <c r="N31" i="1806"/>
  <c r="N45" i="1806" s="1"/>
  <c r="G31" i="1806"/>
  <c r="G45" i="1806" s="1"/>
  <c r="O31" i="1806"/>
  <c r="O45" i="1806" s="1"/>
  <c r="K31" i="1806"/>
  <c r="K45" i="1806" s="1"/>
  <c r="E31" i="1806"/>
  <c r="E45" i="1806" s="1"/>
  <c r="I31" i="1806"/>
  <c r="I45" i="1806" s="1"/>
  <c r="I60" i="1806" s="1"/>
  <c r="J45" i="1806"/>
  <c r="J46" i="1806" s="1"/>
  <c r="M31" i="1806"/>
  <c r="M45" i="1806" s="1"/>
  <c r="L31" i="1806"/>
  <c r="L45" i="1806" s="1"/>
  <c r="P31" i="1806"/>
  <c r="P45" i="1806" s="1"/>
  <c r="AO391" i="1812" l="1"/>
  <c r="AO393" i="1812"/>
  <c r="AO199" i="1812"/>
  <c r="P68" i="1808"/>
  <c r="P74" i="1808" s="1"/>
  <c r="Q74" i="1808" s="1"/>
  <c r="C68" i="1808" s="1"/>
  <c r="H68" i="1808" s="1"/>
  <c r="O74" i="1808"/>
  <c r="O69" i="1808"/>
  <c r="N75" i="1808"/>
  <c r="Q60" i="1806"/>
  <c r="Q61" i="1806" s="1"/>
  <c r="Q46" i="1806"/>
  <c r="M46" i="1806"/>
  <c r="M60" i="1806"/>
  <c r="M61" i="1806" s="1"/>
  <c r="K46" i="1806"/>
  <c r="K60" i="1806"/>
  <c r="K61" i="1806" s="1"/>
  <c r="L46" i="1806"/>
  <c r="L60" i="1806"/>
  <c r="L61" i="1806" s="1"/>
  <c r="N46" i="1806"/>
  <c r="N60" i="1806"/>
  <c r="N61" i="1806" s="1"/>
  <c r="P60" i="1806"/>
  <c r="P61" i="1806" s="1"/>
  <c r="P46" i="1806"/>
  <c r="O60" i="1806"/>
  <c r="O61" i="1806" s="1"/>
  <c r="O46" i="1806"/>
  <c r="M32" i="1806"/>
  <c r="K32" i="1806"/>
  <c r="H60" i="1806"/>
  <c r="H61" i="1806" s="1"/>
  <c r="H32" i="1806"/>
  <c r="O32" i="1806"/>
  <c r="G60" i="1806"/>
  <c r="G61" i="1806" s="1"/>
  <c r="G32" i="1806"/>
  <c r="J60" i="1806"/>
  <c r="J61" i="1806" s="1"/>
  <c r="J32" i="1806"/>
  <c r="I61" i="1806"/>
  <c r="I32" i="1806"/>
  <c r="L32" i="1806"/>
  <c r="F60" i="1806"/>
  <c r="F61" i="1806" s="1"/>
  <c r="F32" i="1806"/>
  <c r="P32" i="1806"/>
  <c r="N32" i="1806"/>
  <c r="E60" i="1806"/>
  <c r="E61" i="1806" s="1"/>
  <c r="E32" i="1806"/>
  <c r="Q32" i="1806"/>
  <c r="AO202" i="1812" l="1"/>
  <c r="AO201" i="1812"/>
  <c r="P69" i="1808"/>
  <c r="P75" i="1808" s="1"/>
  <c r="Q75" i="1808" s="1"/>
  <c r="C69" i="1808" s="1"/>
  <c r="H69" i="1808" s="1"/>
  <c r="O75" i="1808"/>
  <c r="E46" i="1806"/>
  <c r="AO203" i="1812" l="1"/>
  <c r="AO207" i="1812" s="1"/>
  <c r="AO493" i="1812"/>
  <c r="I46" i="1806"/>
  <c r="F46" i="1806"/>
  <c r="H46" i="1806"/>
  <c r="G46" i="1806"/>
  <c r="AO490" i="1812" l="1"/>
  <c r="AO622" i="1812"/>
  <c r="AO217" i="1812"/>
  <c r="AO209" i="1812"/>
  <c r="J55" i="1535"/>
  <c r="J54" i="1535" s="1"/>
  <c r="J55" i="1538"/>
  <c r="J54" i="1538" s="1"/>
  <c r="K61" i="155"/>
  <c r="AO507" i="1812" l="1"/>
  <c r="AO516" i="1812" s="1"/>
  <c r="AO632" i="1812"/>
  <c r="AO634" i="1812" s="1"/>
  <c r="AO223" i="1812"/>
  <c r="AO218" i="1812" s="1"/>
  <c r="AO212" i="1812"/>
  <c r="AO625" i="1812"/>
  <c r="AO626" i="1812" s="1"/>
  <c r="L61" i="155"/>
  <c r="K55" i="1535"/>
  <c r="K54" i="1535" s="1"/>
  <c r="K55" i="1538"/>
  <c r="K54" i="1538" s="1"/>
  <c r="AO352" i="1812" l="1"/>
  <c r="AO369" i="1812" s="1"/>
  <c r="AO370" i="1812" s="1"/>
  <c r="AO371" i="1812" s="1"/>
  <c r="AO372" i="1812" s="1"/>
  <c r="AO636" i="1812"/>
  <c r="AO224" i="1812"/>
  <c r="AO219" i="1812" s="1"/>
  <c r="AO547" i="1812"/>
  <c r="AO550" i="1812" s="1"/>
  <c r="M61" i="155"/>
  <c r="L55" i="1535"/>
  <c r="L54" i="1535" s="1"/>
  <c r="L55" i="1538"/>
  <c r="L54" i="1538" s="1"/>
  <c r="AO355" i="1812" l="1"/>
  <c r="AO354" i="1812"/>
  <c r="AO356" i="1812" s="1"/>
  <c r="AO592" i="1812"/>
  <c r="AO555" i="1812" s="1"/>
  <c r="AP549" i="1812"/>
  <c r="M55" i="1535"/>
  <c r="M54" i="1535" s="1"/>
  <c r="M55" i="1538"/>
  <c r="M54" i="1538" s="1"/>
  <c r="N61" i="155"/>
  <c r="AO373" i="1812" l="1"/>
  <c r="AO374" i="1812" s="1"/>
  <c r="AO375" i="1812" s="1"/>
  <c r="AO376" i="1812" s="1"/>
  <c r="AO598" i="1812"/>
  <c r="AO608" i="1812" s="1"/>
  <c r="AO638" i="1812" s="1"/>
  <c r="AO379" i="1812"/>
  <c r="O61" i="155"/>
  <c r="N55" i="1535"/>
  <c r="N54" i="1535" s="1"/>
  <c r="N55" i="1538"/>
  <c r="N54" i="1538" s="1"/>
  <c r="AP388" i="1812" l="1"/>
  <c r="AO384" i="1812"/>
  <c r="AO400" i="1812" s="1"/>
  <c r="O55" i="1538"/>
  <c r="O54" i="1538" s="1"/>
  <c r="P61" i="155"/>
  <c r="O55" i="1535"/>
  <c r="O54" i="1535" s="1"/>
  <c r="AP195" i="1812" l="1"/>
  <c r="AP390" i="1812"/>
  <c r="BH388" i="1812"/>
  <c r="Q61" i="155"/>
  <c r="P55" i="1535"/>
  <c r="P54" i="1535" s="1"/>
  <c r="P55" i="1538"/>
  <c r="P54" i="1538" s="1"/>
  <c r="AP391" i="1812" l="1"/>
  <c r="AP393" i="1812"/>
  <c r="BH390" i="1812"/>
  <c r="AP199" i="1812"/>
  <c r="BH195" i="1812"/>
  <c r="BH199" i="1812" s="1"/>
  <c r="Q55" i="1538"/>
  <c r="Q54" i="1538" s="1"/>
  <c r="Q55" i="1535"/>
  <c r="Q54" i="1535" s="1"/>
  <c r="R61" i="155"/>
  <c r="AP202" i="1812" l="1"/>
  <c r="AP201" i="1812"/>
  <c r="BH201" i="1812" s="1"/>
  <c r="BH214" i="1812" s="1"/>
  <c r="BH391" i="1812"/>
  <c r="BH393" i="1812"/>
  <c r="R55" i="1535"/>
  <c r="R54" i="1535" s="1"/>
  <c r="S61" i="155"/>
  <c r="T61" i="155" s="1"/>
  <c r="R55" i="1538"/>
  <c r="R54" i="1538" s="1"/>
  <c r="AL75" i="121"/>
  <c r="AC313" i="121"/>
  <c r="Z91" i="121"/>
  <c r="Z307" i="121"/>
  <c r="AD313" i="121" s="1"/>
  <c r="AP203" i="1812" l="1"/>
  <c r="AP493" i="1812"/>
  <c r="BH202" i="1812"/>
  <c r="BH215" i="1812" s="1"/>
  <c r="AL91" i="121"/>
  <c r="AM92" i="121" s="1"/>
  <c r="AM81" i="121"/>
  <c r="Z93" i="121"/>
  <c r="AD92" i="121"/>
  <c r="AC100" i="121"/>
  <c r="AC92" i="121"/>
  <c r="Z319" i="121"/>
  <c r="Z313" i="121"/>
  <c r="Z277" i="121"/>
  <c r="X114" i="121"/>
  <c r="AL87" i="121"/>
  <c r="AL81" i="121"/>
  <c r="Y295" i="1554"/>
  <c r="X295" i="1554"/>
  <c r="Z104" i="121"/>
  <c r="AL307" i="121"/>
  <c r="AM313" i="121" s="1"/>
  <c r="Z99" i="121"/>
  <c r="AD100" i="121" s="1"/>
  <c r="Z114" i="121"/>
  <c r="Z92" i="121"/>
  <c r="BH203" i="1812" l="1"/>
  <c r="BH493" i="1812"/>
  <c r="AP622" i="1812"/>
  <c r="AP490" i="1812"/>
  <c r="AP207" i="1812"/>
  <c r="I20" i="155"/>
  <c r="I28" i="155" s="1"/>
  <c r="AL99" i="121"/>
  <c r="AM100" i="121" s="1"/>
  <c r="AL104" i="121"/>
  <c r="AL114" i="121"/>
  <c r="AL92" i="121"/>
  <c r="AL93" i="121"/>
  <c r="Z301" i="121"/>
  <c r="AA289" i="121"/>
  <c r="AA295" i="121"/>
  <c r="AD283" i="121"/>
  <c r="AC283" i="121"/>
  <c r="Z295" i="121"/>
  <c r="Z283" i="121"/>
  <c r="Z289" i="121"/>
  <c r="AL277" i="121"/>
  <c r="AL319" i="121"/>
  <c r="AL313" i="121"/>
  <c r="Z101" i="121"/>
  <c r="Z100" i="121"/>
  <c r="AL301" i="121" l="1"/>
  <c r="AM295" i="121"/>
  <c r="AM283" i="121"/>
  <c r="AM289" i="121" s="1"/>
  <c r="AP209" i="1812"/>
  <c r="AP217" i="1812"/>
  <c r="AP507" i="1812"/>
  <c r="BH490" i="1812"/>
  <c r="BH507" i="1812" s="1"/>
  <c r="AP632" i="1812"/>
  <c r="BH622" i="1812"/>
  <c r="AP625" i="1812"/>
  <c r="AP626" i="1812" s="1"/>
  <c r="BH653" i="1812"/>
  <c r="BH207" i="1812"/>
  <c r="AL100" i="121"/>
  <c r="I14" i="155"/>
  <c r="C118" i="1808" s="1"/>
  <c r="F118" i="1808" s="1"/>
  <c r="I22" i="155"/>
  <c r="AL101" i="121"/>
  <c r="C109" i="1808"/>
  <c r="C122" i="1808" s="1"/>
  <c r="J21" i="155"/>
  <c r="J23" i="155"/>
  <c r="I21" i="155"/>
  <c r="I23" i="155"/>
  <c r="K20" i="155"/>
  <c r="L20" i="155" s="1"/>
  <c r="AL283" i="121"/>
  <c r="AL289" i="121" s="1"/>
  <c r="AL295" i="121"/>
  <c r="I29" i="155"/>
  <c r="I30" i="155"/>
  <c r="J60" i="155"/>
  <c r="BH625" i="1812" l="1"/>
  <c r="BH626" i="1812" s="1"/>
  <c r="BH632" i="1812"/>
  <c r="AP634" i="1812"/>
  <c r="AP636" i="1812" s="1"/>
  <c r="BH516" i="1812"/>
  <c r="BH547" i="1812" s="1"/>
  <c r="BH550" i="1812" s="1"/>
  <c r="BH352" i="1812"/>
  <c r="AP516" i="1812"/>
  <c r="AP352" i="1812"/>
  <c r="BH655" i="1812"/>
  <c r="BH217" i="1812"/>
  <c r="BH209" i="1812"/>
  <c r="AP223" i="1812"/>
  <c r="AP218" i="1812" s="1"/>
  <c r="AP212" i="1812"/>
  <c r="I17" i="155"/>
  <c r="I16" i="155"/>
  <c r="I15" i="155"/>
  <c r="C49" i="1808"/>
  <c r="F109" i="1808"/>
  <c r="F113" i="1808" s="1"/>
  <c r="C40" i="1808"/>
  <c r="C119" i="1808"/>
  <c r="C42" i="1808" s="1"/>
  <c r="C50" i="1808"/>
  <c r="C108" i="1808"/>
  <c r="F108" i="1808" s="1"/>
  <c r="C113" i="1808"/>
  <c r="C114" i="1808" s="1"/>
  <c r="C110" i="1808"/>
  <c r="K22" i="155"/>
  <c r="K21" i="155"/>
  <c r="H118" i="1808"/>
  <c r="H49" i="1808" s="1"/>
  <c r="F49" i="1808"/>
  <c r="F119" i="1808"/>
  <c r="C123" i="1808"/>
  <c r="C43" i="1808"/>
  <c r="L22" i="155"/>
  <c r="M20" i="155"/>
  <c r="L21" i="155"/>
  <c r="J28" i="155"/>
  <c r="J14" i="155"/>
  <c r="K60" i="155"/>
  <c r="AP369" i="1812" l="1"/>
  <c r="AP370" i="1812" s="1"/>
  <c r="AP371" i="1812" s="1"/>
  <c r="AP372" i="1812" s="1"/>
  <c r="AP355" i="1812"/>
  <c r="AP354" i="1812"/>
  <c r="AP547" i="1812"/>
  <c r="AP550" i="1812" s="1"/>
  <c r="BH656" i="1812"/>
  <c r="AP224" i="1812"/>
  <c r="AP219" i="1812" s="1"/>
  <c r="BH354" i="1812"/>
  <c r="BH369" i="1812"/>
  <c r="BH370" i="1812" s="1"/>
  <c r="BH371" i="1812" s="1"/>
  <c r="BH372" i="1812" s="1"/>
  <c r="BI549" i="1812"/>
  <c r="BH223" i="1812"/>
  <c r="BH355" i="1812" s="1"/>
  <c r="BH212" i="1812"/>
  <c r="BH634" i="1812"/>
  <c r="BH636" i="1812" s="1"/>
  <c r="H109" i="1808"/>
  <c r="H40" i="1808" s="1"/>
  <c r="F110" i="1808"/>
  <c r="F50" i="1808"/>
  <c r="F122" i="1808"/>
  <c r="H122" i="1808" s="1"/>
  <c r="F40" i="1808"/>
  <c r="F42" i="1808"/>
  <c r="H119" i="1808"/>
  <c r="H42" i="1808" s="1"/>
  <c r="F114" i="1808"/>
  <c r="H113" i="1808"/>
  <c r="H114" i="1808" s="1"/>
  <c r="M21" i="155"/>
  <c r="M22" i="155"/>
  <c r="N20" i="155"/>
  <c r="C90" i="1808"/>
  <c r="C28" i="1808" s="1"/>
  <c r="C88" i="1808"/>
  <c r="F88" i="1808" s="1"/>
  <c r="H88" i="1808" s="1"/>
  <c r="L60" i="155"/>
  <c r="K14" i="155"/>
  <c r="K28" i="155"/>
  <c r="H18" i="1806"/>
  <c r="J15" i="155"/>
  <c r="J16" i="155"/>
  <c r="J17" i="155"/>
  <c r="J30" i="155"/>
  <c r="J29" i="155"/>
  <c r="F123" i="1808" l="1"/>
  <c r="BH224" i="1812"/>
  <c r="BH219" i="1812" s="1"/>
  <c r="BH402" i="1812" s="1"/>
  <c r="BH654" i="1812"/>
  <c r="BH218" i="1812"/>
  <c r="AP592" i="1812"/>
  <c r="AP555" i="1812" s="1"/>
  <c r="AP356" i="1812"/>
  <c r="AP373" i="1812"/>
  <c r="AP374" i="1812" s="1"/>
  <c r="AP375" i="1812" s="1"/>
  <c r="AP376" i="1812" s="1"/>
  <c r="BH373" i="1812"/>
  <c r="BH356" i="1812"/>
  <c r="BH404" i="1812" s="1"/>
  <c r="H50" i="1808"/>
  <c r="H110" i="1808"/>
  <c r="F43" i="1808"/>
  <c r="H123" i="1808"/>
  <c r="H43" i="1808"/>
  <c r="N21" i="155"/>
  <c r="O20" i="155"/>
  <c r="N22" i="155"/>
  <c r="H25" i="1808"/>
  <c r="H35" i="1808"/>
  <c r="K30" i="155"/>
  <c r="K29" i="155"/>
  <c r="I18" i="1806"/>
  <c r="K17" i="155"/>
  <c r="K16" i="155"/>
  <c r="K15" i="155"/>
  <c r="L14" i="155"/>
  <c r="L28" i="155"/>
  <c r="M60" i="155"/>
  <c r="BH592" i="1812" l="1"/>
  <c r="AP598" i="1812"/>
  <c r="AP608" i="1812" s="1"/>
  <c r="AP638" i="1812" s="1"/>
  <c r="AP379" i="1812"/>
  <c r="BH405" i="1812"/>
  <c r="BH374" i="1812"/>
  <c r="BH375" i="1812" s="1"/>
  <c r="BH376" i="1812" s="1"/>
  <c r="P20" i="155"/>
  <c r="O21" i="155"/>
  <c r="O22" i="155"/>
  <c r="F125" i="1808"/>
  <c r="H128" i="1808"/>
  <c r="H28" i="1808"/>
  <c r="H96" i="1808"/>
  <c r="H97" i="1808" s="1"/>
  <c r="H126" i="1808"/>
  <c r="H129" i="1808" s="1"/>
  <c r="J18" i="1806"/>
  <c r="L17" i="155"/>
  <c r="L15" i="155"/>
  <c r="L16" i="155"/>
  <c r="M28" i="155"/>
  <c r="M14" i="155"/>
  <c r="L30" i="155"/>
  <c r="L29" i="155"/>
  <c r="N60" i="155"/>
  <c r="AP384" i="1812" l="1"/>
  <c r="AP400" i="1812" s="1"/>
  <c r="BH389" i="1812"/>
  <c r="BH598" i="1812"/>
  <c r="BH608" i="1812" s="1"/>
  <c r="BH638" i="1812" s="1"/>
  <c r="BH379" i="1812"/>
  <c r="BH555" i="1812"/>
  <c r="P21" i="155"/>
  <c r="Q20" i="155"/>
  <c r="P22" i="155"/>
  <c r="H47" i="1808"/>
  <c r="H45" i="1808"/>
  <c r="F128" i="1808"/>
  <c r="F45" i="1808" s="1"/>
  <c r="F126" i="1808"/>
  <c r="F129" i="1808" s="1"/>
  <c r="F47" i="1808" s="1"/>
  <c r="F96" i="1808"/>
  <c r="H99" i="1808"/>
  <c r="H127" i="1808"/>
  <c r="C134" i="1808"/>
  <c r="N28" i="155"/>
  <c r="N14" i="155"/>
  <c r="O60" i="155"/>
  <c r="M17" i="155"/>
  <c r="M16" i="155"/>
  <c r="M15" i="155"/>
  <c r="K18" i="1806"/>
  <c r="M29" i="155"/>
  <c r="M30" i="155"/>
  <c r="BI388" i="1812" l="1"/>
  <c r="BH384" i="1812"/>
  <c r="Q21" i="155"/>
  <c r="R20" i="155"/>
  <c r="Q22" i="155"/>
  <c r="F127" i="1808"/>
  <c r="F46" i="1808" s="1"/>
  <c r="F97" i="1808"/>
  <c r="F98" i="1808" s="1"/>
  <c r="F32" i="1808" s="1"/>
  <c r="F99" i="1808"/>
  <c r="F31" i="1808" s="1"/>
  <c r="H46" i="1808"/>
  <c r="G128" i="1808"/>
  <c r="H31" i="1808"/>
  <c r="G129" i="1808"/>
  <c r="P60" i="155"/>
  <c r="O28" i="155"/>
  <c r="O14" i="155"/>
  <c r="N17" i="155"/>
  <c r="N16" i="155"/>
  <c r="N15" i="155"/>
  <c r="L18" i="1806"/>
  <c r="N29" i="155"/>
  <c r="N30" i="155"/>
  <c r="BH394" i="1812" l="1"/>
  <c r="BH395" i="1812"/>
  <c r="BH400" i="1812"/>
  <c r="BI195" i="1812"/>
  <c r="BI199" i="1812" s="1"/>
  <c r="BI390" i="1812"/>
  <c r="G99" i="1808"/>
  <c r="R21" i="155"/>
  <c r="S20" i="155"/>
  <c r="R22" i="155"/>
  <c r="F100" i="1808"/>
  <c r="F33" i="1808" s="1"/>
  <c r="G127" i="1808"/>
  <c r="O15" i="155"/>
  <c r="O16" i="155"/>
  <c r="O17" i="155"/>
  <c r="O30" i="155"/>
  <c r="O29" i="155"/>
  <c r="M18" i="1806"/>
  <c r="Q60" i="155"/>
  <c r="P28" i="155"/>
  <c r="P14" i="155"/>
  <c r="BI391" i="1812" l="1"/>
  <c r="BI393" i="1812"/>
  <c r="BI202" i="1812"/>
  <c r="BI493" i="1812" s="1"/>
  <c r="BI622" i="1812" s="1"/>
  <c r="BI201" i="1812"/>
  <c r="BH403" i="1812"/>
  <c r="BH406" i="1812"/>
  <c r="S22" i="155"/>
  <c r="T20" i="155"/>
  <c r="S21" i="155"/>
  <c r="N18" i="1806"/>
  <c r="Q28" i="155"/>
  <c r="Q14" i="155"/>
  <c r="P30" i="155"/>
  <c r="P29" i="155"/>
  <c r="R60" i="155"/>
  <c r="P16" i="155"/>
  <c r="P15" i="155"/>
  <c r="P17" i="155"/>
  <c r="BI203" i="1812" l="1"/>
  <c r="BI490" i="1812" s="1"/>
  <c r="BI625" i="1812"/>
  <c r="BI626" i="1812" s="1"/>
  <c r="T22" i="155"/>
  <c r="T21" i="155"/>
  <c r="S60" i="155"/>
  <c r="T60" i="155"/>
  <c r="Q29" i="155"/>
  <c r="Q30" i="155"/>
  <c r="R28" i="155"/>
  <c r="R14" i="155"/>
  <c r="Q17" i="155"/>
  <c r="Q15" i="155"/>
  <c r="Q16" i="155"/>
  <c r="O18" i="1806"/>
  <c r="BI207" i="1812" l="1"/>
  <c r="BI217" i="1812" s="1"/>
  <c r="BI507" i="1812"/>
  <c r="BI632" i="1812"/>
  <c r="R15" i="155"/>
  <c r="R17" i="155"/>
  <c r="R16" i="155"/>
  <c r="R30" i="155"/>
  <c r="R29" i="155"/>
  <c r="P18" i="1806"/>
  <c r="T14" i="155"/>
  <c r="T28" i="155"/>
  <c r="S28" i="155"/>
  <c r="S14" i="155"/>
  <c r="BI209" i="1812" l="1"/>
  <c r="BI212" i="1812" s="1"/>
  <c r="BI634" i="1812"/>
  <c r="BI636" i="1812" s="1"/>
  <c r="BI516" i="1812"/>
  <c r="BI547" i="1812" s="1"/>
  <c r="BI550" i="1812" s="1"/>
  <c r="BI352" i="1812"/>
  <c r="S29" i="155"/>
  <c r="S30" i="155"/>
  <c r="S15" i="155"/>
  <c r="S16" i="155"/>
  <c r="S17" i="155"/>
  <c r="Q18" i="1806"/>
  <c r="R18" i="1806"/>
  <c r="T30" i="155"/>
  <c r="T29" i="155"/>
  <c r="T15" i="155"/>
  <c r="T16" i="155"/>
  <c r="T17" i="155"/>
  <c r="BI223" i="1812" l="1"/>
  <c r="BI218" i="1812" s="1"/>
  <c r="BI224" i="1812"/>
  <c r="BI219" i="1812" s="1"/>
  <c r="BI402" i="1812" s="1"/>
  <c r="BI369" i="1812"/>
  <c r="BI370" i="1812" s="1"/>
  <c r="BI371" i="1812" s="1"/>
  <c r="BI372" i="1812" s="1"/>
  <c r="BI354" i="1812"/>
  <c r="BJ549" i="1812"/>
  <c r="BI592" i="1812"/>
  <c r="V106" i="121"/>
  <c r="V107" i="121" s="1"/>
  <c r="V120" i="121" s="1"/>
  <c r="AK120" i="121" s="1"/>
  <c r="H53" i="1807" s="1"/>
  <c r="H51" i="1807" s="1"/>
  <c r="AK105" i="121"/>
  <c r="C96" i="1808" s="1"/>
  <c r="C97" i="1808" s="1"/>
  <c r="C98" i="1808" s="1"/>
  <c r="C32" i="1808" s="1"/>
  <c r="V362" i="121"/>
  <c r="AK362" i="121" s="1"/>
  <c r="V116" i="121"/>
  <c r="BI355" i="1812" l="1"/>
  <c r="BI598" i="1812"/>
  <c r="BI608" i="1812" s="1"/>
  <c r="BI638" i="1812" s="1"/>
  <c r="BI379" i="1812"/>
  <c r="BI555" i="1812"/>
  <c r="BI373" i="1812"/>
  <c r="BI356" i="1812"/>
  <c r="BI404" i="1812" s="1"/>
  <c r="AK106" i="121"/>
  <c r="AK107" i="121" s="1"/>
  <c r="AK117" i="121" s="1"/>
  <c r="H35" i="1807"/>
  <c r="H35" i="1711"/>
  <c r="H38" i="1711" s="1"/>
  <c r="H35" i="155"/>
  <c r="AK116" i="121"/>
  <c r="V117" i="121"/>
  <c r="V118" i="121" s="1"/>
  <c r="V108" i="121"/>
  <c r="V110" i="121" s="1"/>
  <c r="H32" i="1712"/>
  <c r="BI405" i="1812" l="1"/>
  <c r="BI374" i="1812"/>
  <c r="BI375" i="1812" s="1"/>
  <c r="BI376" i="1812" s="1"/>
  <c r="BJ388" i="1812"/>
  <c r="BI384" i="1812"/>
  <c r="H100" i="1808"/>
  <c r="H98" i="1808"/>
  <c r="C100" i="1808"/>
  <c r="AK118" i="121"/>
  <c r="V111" i="121"/>
  <c r="AK110" i="121"/>
  <c r="AK111" i="121" s="1"/>
  <c r="H38" i="1807"/>
  <c r="H41" i="1807" s="1"/>
  <c r="H38" i="155"/>
  <c r="H35" i="1712"/>
  <c r="H41" i="1711"/>
  <c r="AK108" i="121"/>
  <c r="BI395" i="1812" l="1"/>
  <c r="BI394" i="1812"/>
  <c r="BI400" i="1812"/>
  <c r="BJ195" i="1812"/>
  <c r="BJ199" i="1812" s="1"/>
  <c r="BJ390" i="1812"/>
  <c r="H32" i="1808"/>
  <c r="G98" i="1808"/>
  <c r="H33" i="1808"/>
  <c r="G100" i="1808"/>
  <c r="C33" i="1808"/>
  <c r="H42" i="1807"/>
  <c r="AK109" i="121"/>
  <c r="H38" i="1712"/>
  <c r="H39" i="1712" s="1"/>
  <c r="H41" i="155"/>
  <c r="H53" i="155"/>
  <c r="H42" i="1711"/>
  <c r="BJ202" i="1812" l="1"/>
  <c r="BJ493" i="1812" s="1"/>
  <c r="BJ622" i="1812" s="1"/>
  <c r="BJ201" i="1812"/>
  <c r="BI403" i="1812"/>
  <c r="BI406" i="1812"/>
  <c r="BJ391" i="1812"/>
  <c r="BJ393" i="1812"/>
  <c r="H53" i="1711"/>
  <c r="H42" i="155"/>
  <c r="W106" i="121"/>
  <c r="W362" i="121"/>
  <c r="BJ625" i="1812" l="1"/>
  <c r="BJ626" i="1812" s="1"/>
  <c r="BJ203" i="1812"/>
  <c r="H51" i="1711"/>
  <c r="H50" i="1712"/>
  <c r="H53" i="1712" s="1"/>
  <c r="W107" i="121"/>
  <c r="BJ490" i="1812" l="1"/>
  <c r="BJ207" i="1812"/>
  <c r="W117" i="121"/>
  <c r="W118" i="121" s="1"/>
  <c r="W120" i="121"/>
  <c r="AL120" i="121" s="1"/>
  <c r="W108" i="121"/>
  <c r="W110" i="121" s="1"/>
  <c r="BJ217" i="1812" l="1"/>
  <c r="BJ209" i="1812"/>
  <c r="BJ507" i="1812"/>
  <c r="BJ632" i="1812"/>
  <c r="W111" i="121"/>
  <c r="AA111" i="121"/>
  <c r="W123" i="121"/>
  <c r="X116" i="121"/>
  <c r="BJ634" i="1812" l="1"/>
  <c r="BJ636" i="1812" s="1"/>
  <c r="BJ516" i="1812"/>
  <c r="BJ547" i="1812" s="1"/>
  <c r="BJ550" i="1812" s="1"/>
  <c r="BJ352" i="1812"/>
  <c r="BJ212" i="1812"/>
  <c r="BJ223" i="1812"/>
  <c r="BJ218" i="1812" s="1"/>
  <c r="X117" i="121"/>
  <c r="X118" i="121" s="1"/>
  <c r="BJ224" i="1812" l="1"/>
  <c r="BJ219" i="1812" s="1"/>
  <c r="BJ402" i="1812" s="1"/>
  <c r="BJ369" i="1812"/>
  <c r="BJ370" i="1812" s="1"/>
  <c r="BJ371" i="1812" s="1"/>
  <c r="BJ372" i="1812" s="1"/>
  <c r="BJ355" i="1812"/>
  <c r="BJ354" i="1812"/>
  <c r="BJ592" i="1812"/>
  <c r="BJ555" i="1812" s="1"/>
  <c r="BK549" i="1812"/>
  <c r="J58" i="1711"/>
  <c r="K59" i="1711"/>
  <c r="K59" i="155"/>
  <c r="L59" i="155" s="1"/>
  <c r="M59" i="155" s="1"/>
  <c r="N59" i="155" s="1"/>
  <c r="O59" i="155" s="1"/>
  <c r="P59" i="155" s="1"/>
  <c r="Q59" i="155" s="1"/>
  <c r="R59" i="155" s="1"/>
  <c r="S59" i="155" s="1"/>
  <c r="T59" i="155" s="1"/>
  <c r="BJ598" i="1812" l="1"/>
  <c r="BJ608" i="1812" s="1"/>
  <c r="BJ638" i="1812" s="1"/>
  <c r="BJ379" i="1812"/>
  <c r="BJ356" i="1812"/>
  <c r="BJ404" i="1812" s="1"/>
  <c r="BJ373" i="1812"/>
  <c r="J53" i="1535"/>
  <c r="J52" i="1535" s="1"/>
  <c r="J53" i="1538"/>
  <c r="J52" i="1538" s="1"/>
  <c r="J58" i="155"/>
  <c r="H17" i="1806"/>
  <c r="L59" i="1711"/>
  <c r="K58" i="1711"/>
  <c r="BJ405" i="1812" l="1"/>
  <c r="BJ374" i="1812"/>
  <c r="BJ375" i="1812" s="1"/>
  <c r="BJ376" i="1812" s="1"/>
  <c r="BK388" i="1812"/>
  <c r="BJ384" i="1812"/>
  <c r="L58" i="1711"/>
  <c r="M59" i="1711"/>
  <c r="H15" i="1806"/>
  <c r="H14" i="1806" s="1"/>
  <c r="H62" i="1806" s="1"/>
  <c r="K58" i="155"/>
  <c r="K53" i="1535"/>
  <c r="K52" i="1535" s="1"/>
  <c r="I17" i="1806"/>
  <c r="K53" i="1538"/>
  <c r="K52" i="1538" s="1"/>
  <c r="BJ395" i="1812" l="1"/>
  <c r="BJ394" i="1812"/>
  <c r="BJ400" i="1812"/>
  <c r="BK195" i="1812"/>
  <c r="BK199" i="1812" s="1"/>
  <c r="BK390" i="1812"/>
  <c r="J17" i="1806"/>
  <c r="L58" i="155"/>
  <c r="L53" i="1538"/>
  <c r="L52" i="1538" s="1"/>
  <c r="L53" i="1535"/>
  <c r="L52" i="1535" s="1"/>
  <c r="I15" i="1806"/>
  <c r="I14" i="1806" s="1"/>
  <c r="I62" i="1806" s="1"/>
  <c r="N59" i="1711"/>
  <c r="M58" i="1711"/>
  <c r="BK202" i="1812" l="1"/>
  <c r="BK493" i="1812" s="1"/>
  <c r="BK622" i="1812" s="1"/>
  <c r="BK625" i="1812" s="1"/>
  <c r="BK626" i="1812" s="1"/>
  <c r="BK201" i="1812"/>
  <c r="BK391" i="1812"/>
  <c r="BK393" i="1812"/>
  <c r="BJ403" i="1812"/>
  <c r="BJ406" i="1812"/>
  <c r="O59" i="1711"/>
  <c r="N58" i="1711"/>
  <c r="J15" i="1806"/>
  <c r="J14" i="1806" s="1"/>
  <c r="J62" i="1806" s="1"/>
  <c r="K17" i="1806"/>
  <c r="M53" i="1535"/>
  <c r="M52" i="1535" s="1"/>
  <c r="M58" i="155"/>
  <c r="M53" i="1538"/>
  <c r="M52" i="1538" s="1"/>
  <c r="BK203" i="1812" l="1"/>
  <c r="BK490" i="1812" s="1"/>
  <c r="AC111" i="121"/>
  <c r="N58" i="155"/>
  <c r="L17" i="1806"/>
  <c r="N53" i="1535"/>
  <c r="N52" i="1535" s="1"/>
  <c r="N53" i="1538"/>
  <c r="N52" i="1538" s="1"/>
  <c r="K15" i="1806"/>
  <c r="K14" i="1806" s="1"/>
  <c r="K62" i="1806" s="1"/>
  <c r="P59" i="1711"/>
  <c r="O58" i="1711"/>
  <c r="BK207" i="1812" l="1"/>
  <c r="BK217" i="1812" s="1"/>
  <c r="BK507" i="1812"/>
  <c r="BK632" i="1812"/>
  <c r="BK634" i="1812" s="1"/>
  <c r="BK636" i="1812" s="1"/>
  <c r="O53" i="1535"/>
  <c r="O52" i="1535" s="1"/>
  <c r="M17" i="1806"/>
  <c r="O58" i="155"/>
  <c r="O53" i="1538"/>
  <c r="O52" i="1538" s="1"/>
  <c r="Q59" i="1711"/>
  <c r="P58" i="1711"/>
  <c r="L15" i="1806"/>
  <c r="L14" i="1806" s="1"/>
  <c r="L62" i="1806" s="1"/>
  <c r="Z116" i="121"/>
  <c r="Z106" i="121"/>
  <c r="AL105" i="121"/>
  <c r="I35" i="155" s="1"/>
  <c r="BK209" i="1812" l="1"/>
  <c r="BK223" i="1812" s="1"/>
  <c r="BK218" i="1812" s="1"/>
  <c r="BK516" i="1812"/>
  <c r="BK547" i="1812" s="1"/>
  <c r="BK550" i="1812" s="1"/>
  <c r="BK352" i="1812"/>
  <c r="I35" i="1807"/>
  <c r="I38" i="1807" s="1"/>
  <c r="I41" i="1807" s="1"/>
  <c r="C125" i="1808"/>
  <c r="I35" i="1711"/>
  <c r="I38" i="155"/>
  <c r="I41" i="155" s="1"/>
  <c r="R59" i="1711"/>
  <c r="Q58" i="1711"/>
  <c r="N17" i="1806"/>
  <c r="P53" i="1538"/>
  <c r="P52" i="1538" s="1"/>
  <c r="P58" i="155"/>
  <c r="P53" i="1535"/>
  <c r="P52" i="1535" s="1"/>
  <c r="M15" i="1806"/>
  <c r="M14" i="1806" s="1"/>
  <c r="M62" i="1806" s="1"/>
  <c r="AL106" i="121"/>
  <c r="AL116" i="121"/>
  <c r="Z107" i="121"/>
  <c r="Z117" i="121" s="1"/>
  <c r="Z118" i="121" s="1"/>
  <c r="BK212" i="1812" l="1"/>
  <c r="BK224" i="1812" s="1"/>
  <c r="BK219" i="1812" s="1"/>
  <c r="BK402" i="1812" s="1"/>
  <c r="BK369" i="1812"/>
  <c r="BK370" i="1812" s="1"/>
  <c r="BK371" i="1812" s="1"/>
  <c r="BK372" i="1812" s="1"/>
  <c r="BK355" i="1812"/>
  <c r="BK354" i="1812"/>
  <c r="BK592" i="1812"/>
  <c r="BK555" i="1812" s="1"/>
  <c r="C126" i="1808"/>
  <c r="C129" i="1808" s="1"/>
  <c r="C47" i="1808" s="1"/>
  <c r="I56" i="1807"/>
  <c r="I42" i="1807"/>
  <c r="I56" i="155"/>
  <c r="I42" i="155"/>
  <c r="I38" i="1711"/>
  <c r="I41" i="1711" s="1"/>
  <c r="R58" i="1711"/>
  <c r="S59" i="1711"/>
  <c r="N15" i="1806"/>
  <c r="N14" i="1806" s="1"/>
  <c r="N62" i="1806" s="1"/>
  <c r="Q58" i="155"/>
  <c r="O17" i="1806"/>
  <c r="Q53" i="1535"/>
  <c r="Q52" i="1535" s="1"/>
  <c r="Q53" i="1538"/>
  <c r="Q52" i="1538" s="1"/>
  <c r="AL107" i="121"/>
  <c r="AL117" i="121" s="1"/>
  <c r="AL118" i="121" s="1"/>
  <c r="Z108" i="121"/>
  <c r="Z110" i="121" s="1"/>
  <c r="BK598" i="1812" l="1"/>
  <c r="BK608" i="1812" s="1"/>
  <c r="BK638" i="1812" s="1"/>
  <c r="BK379" i="1812"/>
  <c r="BK384" i="1812" s="1"/>
  <c r="BK356" i="1812"/>
  <c r="BK404" i="1812" s="1"/>
  <c r="BK373" i="1812"/>
  <c r="AD111" i="121"/>
  <c r="Z111" i="121"/>
  <c r="AL110" i="121"/>
  <c r="AL111" i="121" s="1"/>
  <c r="C127" i="1808"/>
  <c r="C46" i="1808" s="1"/>
  <c r="I56" i="1711"/>
  <c r="I42" i="1711"/>
  <c r="AL108" i="121"/>
  <c r="R53" i="1535"/>
  <c r="R52" i="1535" s="1"/>
  <c r="P17" i="1806"/>
  <c r="R58" i="155"/>
  <c r="R53" i="1538"/>
  <c r="R52" i="1538" s="1"/>
  <c r="O15" i="1806"/>
  <c r="O14" i="1806" s="1"/>
  <c r="O62" i="1806" s="1"/>
  <c r="S58" i="1711"/>
  <c r="T59" i="1711"/>
  <c r="T58" i="1711" s="1"/>
  <c r="BK405" i="1812" l="1"/>
  <c r="BK374" i="1812"/>
  <c r="BK375" i="1812" s="1"/>
  <c r="BK376" i="1812" s="1"/>
  <c r="BK394" i="1812"/>
  <c r="BK395" i="1812"/>
  <c r="BK400" i="1812"/>
  <c r="BK403" i="1812" s="1"/>
  <c r="AM111" i="121"/>
  <c r="AL109" i="121"/>
  <c r="Q17" i="1806"/>
  <c r="S58" i="155"/>
  <c r="P15" i="1806"/>
  <c r="P14" i="1806" s="1"/>
  <c r="P62" i="1806" s="1"/>
  <c r="BK406" i="1812" l="1"/>
  <c r="Q15" i="1806"/>
  <c r="Q14" i="1806" s="1"/>
  <c r="Q62" i="1806" s="1"/>
  <c r="T58" i="155"/>
  <c r="R17" i="1806"/>
  <c r="R15" i="1806" l="1"/>
  <c r="R14" i="1806" s="1"/>
  <c r="R62" i="1806" s="1"/>
  <c r="W324" i="121" l="1"/>
  <c r="V324" i="121"/>
  <c r="AK127" i="121"/>
  <c r="AK128" i="121"/>
  <c r="AK157" i="1810" s="1"/>
  <c r="AK159" i="1810" s="1"/>
  <c r="V124" i="121"/>
  <c r="AK133" i="121"/>
  <c r="AK148" i="1810" l="1"/>
  <c r="AK150" i="1810" s="1"/>
  <c r="AK99" i="1821"/>
  <c r="AK100" i="1821" s="1"/>
  <c r="AK160" i="1810"/>
  <c r="V123" i="121"/>
  <c r="Z123" i="121" s="1"/>
  <c r="H53" i="1809"/>
  <c r="H59" i="1711"/>
  <c r="I59" i="1711" s="1"/>
  <c r="I60" i="1711" s="1"/>
  <c r="I61" i="1711" s="1"/>
  <c r="H59" i="1807"/>
  <c r="I59" i="1807" s="1"/>
  <c r="I60" i="1807" s="1"/>
  <c r="AK129" i="121"/>
  <c r="H60" i="1807"/>
  <c r="AK324" i="121"/>
  <c r="W325" i="121"/>
  <c r="H59" i="155"/>
  <c r="H56" i="1712"/>
  <c r="H60" i="1711"/>
  <c r="V325" i="121"/>
  <c r="V326" i="121" s="1"/>
  <c r="W326" i="121" s="1"/>
  <c r="AK73" i="1821" l="1"/>
  <c r="AK70" i="1821" s="1"/>
  <c r="AK145" i="1810"/>
  <c r="H51" i="1809" s="1"/>
  <c r="H50" i="1809" s="1"/>
  <c r="AK123" i="121"/>
  <c r="AK124" i="121" s="1"/>
  <c r="X326" i="121"/>
  <c r="W327" i="121"/>
  <c r="W361" i="121" s="1"/>
  <c r="W360" i="121" s="1"/>
  <c r="H54" i="1809"/>
  <c r="H40" i="1809"/>
  <c r="H61" i="1807"/>
  <c r="H36" i="1807"/>
  <c r="I36" i="1807"/>
  <c r="I63" i="1807"/>
  <c r="I61" i="1807"/>
  <c r="I56" i="1712"/>
  <c r="H61" i="1711"/>
  <c r="I36" i="1711"/>
  <c r="H36" i="1711"/>
  <c r="I63" i="1711"/>
  <c r="H53" i="1538"/>
  <c r="I59" i="155"/>
  <c r="H53" i="1535"/>
  <c r="F17" i="1806"/>
  <c r="H60" i="155"/>
  <c r="AK325" i="121"/>
  <c r="H56" i="1807" l="1"/>
  <c r="H55" i="1807" s="1"/>
  <c r="H56" i="1711"/>
  <c r="H55" i="1711" s="1"/>
  <c r="H56" i="155"/>
  <c r="Y326" i="121"/>
  <c r="Z326" i="121" s="1"/>
  <c r="C36" i="1806"/>
  <c r="W358" i="121"/>
  <c r="I66" i="1807"/>
  <c r="H36" i="155"/>
  <c r="C133" i="1808" s="1"/>
  <c r="H61" i="155"/>
  <c r="F18" i="1806"/>
  <c r="F15" i="1806" s="1"/>
  <c r="AK326" i="121"/>
  <c r="I66" i="1711"/>
  <c r="I60" i="155"/>
  <c r="I36" i="155" s="1"/>
  <c r="G17" i="1806"/>
  <c r="I53" i="1538"/>
  <c r="I53" i="1535"/>
  <c r="J56" i="1712"/>
  <c r="I55" i="1712"/>
  <c r="AL326" i="121" l="1"/>
  <c r="H55" i="1712"/>
  <c r="H57" i="1712" s="1"/>
  <c r="H55" i="155"/>
  <c r="R36" i="1806"/>
  <c r="R49" i="1806" s="1"/>
  <c r="R63" i="1806" s="1"/>
  <c r="R70" i="1806" s="1"/>
  <c r="J36" i="1806"/>
  <c r="J49" i="1806" s="1"/>
  <c r="J63" i="1806" s="1"/>
  <c r="J70" i="1806" s="1"/>
  <c r="N36" i="1806"/>
  <c r="N49" i="1806" s="1"/>
  <c r="N63" i="1806" s="1"/>
  <c r="N70" i="1806" s="1"/>
  <c r="E36" i="1806"/>
  <c r="E49" i="1806" s="1"/>
  <c r="E63" i="1806" s="1"/>
  <c r="E70" i="1806" s="1"/>
  <c r="H36" i="1806"/>
  <c r="H49" i="1806" s="1"/>
  <c r="H63" i="1806" s="1"/>
  <c r="H70" i="1806" s="1"/>
  <c r="G36" i="1806"/>
  <c r="G49" i="1806" s="1"/>
  <c r="G63" i="1806" s="1"/>
  <c r="Q36" i="1806"/>
  <c r="Q49" i="1806" s="1"/>
  <c r="Q63" i="1806" s="1"/>
  <c r="Q70" i="1806" s="1"/>
  <c r="I36" i="1806"/>
  <c r="I49" i="1806" s="1"/>
  <c r="I63" i="1806" s="1"/>
  <c r="I70" i="1806" s="1"/>
  <c r="L36" i="1806"/>
  <c r="L49" i="1806" s="1"/>
  <c r="L63" i="1806" s="1"/>
  <c r="L70" i="1806" s="1"/>
  <c r="K36" i="1806"/>
  <c r="K49" i="1806" s="1"/>
  <c r="K63" i="1806" s="1"/>
  <c r="K70" i="1806" s="1"/>
  <c r="M36" i="1806"/>
  <c r="M49" i="1806" s="1"/>
  <c r="M63" i="1806" s="1"/>
  <c r="M70" i="1806" s="1"/>
  <c r="O36" i="1806"/>
  <c r="O49" i="1806" s="1"/>
  <c r="O63" i="1806" s="1"/>
  <c r="O70" i="1806" s="1"/>
  <c r="P36" i="1806"/>
  <c r="P49" i="1806" s="1"/>
  <c r="P63" i="1806" s="1"/>
  <c r="P70" i="1806" s="1"/>
  <c r="F36" i="1806"/>
  <c r="F49" i="1806" s="1"/>
  <c r="F63" i="1806" s="1"/>
  <c r="F70" i="1806" s="1"/>
  <c r="F50" i="1806" s="1"/>
  <c r="F34" i="1806" s="1"/>
  <c r="I30" i="1538"/>
  <c r="I33" i="1712"/>
  <c r="I30" i="1535"/>
  <c r="J55" i="1712"/>
  <c r="K56" i="1712"/>
  <c r="H30" i="1538"/>
  <c r="H30" i="1535"/>
  <c r="I63" i="155"/>
  <c r="G18" i="1806"/>
  <c r="G15" i="1806" s="1"/>
  <c r="G14" i="1806" s="1"/>
  <c r="G62" i="1806" s="1"/>
  <c r="I61" i="155"/>
  <c r="AK358" i="121"/>
  <c r="AK361" i="121"/>
  <c r="H55" i="1535"/>
  <c r="H54" i="1535" s="1"/>
  <c r="H55" i="1538"/>
  <c r="H54" i="1538" s="1"/>
  <c r="I32" i="1712" l="1"/>
  <c r="I35" i="1712" s="1"/>
  <c r="I38" i="1712" s="1"/>
  <c r="H33" i="1712"/>
  <c r="H58" i="1712"/>
  <c r="M51" i="1806"/>
  <c r="M50" i="1806"/>
  <c r="M34" i="1806" s="1"/>
  <c r="O35" i="155"/>
  <c r="P51" i="1806"/>
  <c r="P50" i="1806"/>
  <c r="P34" i="1806" s="1"/>
  <c r="R35" i="155"/>
  <c r="I51" i="1806"/>
  <c r="I50" i="1806"/>
  <c r="I34" i="1806" s="1"/>
  <c r="K35" i="155"/>
  <c r="O50" i="1806"/>
  <c r="O34" i="1806" s="1"/>
  <c r="O51" i="1806"/>
  <c r="Q35" i="155"/>
  <c r="G70" i="1806"/>
  <c r="G51" i="1806" s="1"/>
  <c r="Q51" i="1806"/>
  <c r="S35" i="155"/>
  <c r="Q50" i="1806"/>
  <c r="Q34" i="1806" s="1"/>
  <c r="H50" i="1806"/>
  <c r="H34" i="1806" s="1"/>
  <c r="H51" i="1806"/>
  <c r="J35" i="155"/>
  <c r="E50" i="1806"/>
  <c r="E34" i="1806" s="1"/>
  <c r="E51" i="1806"/>
  <c r="J50" i="1806"/>
  <c r="J34" i="1806" s="1"/>
  <c r="J51" i="1806"/>
  <c r="L35" i="155"/>
  <c r="K50" i="1806"/>
  <c r="K34" i="1806" s="1"/>
  <c r="M35" i="155"/>
  <c r="K51" i="1806"/>
  <c r="N35" i="155"/>
  <c r="L50" i="1806"/>
  <c r="L34" i="1806" s="1"/>
  <c r="L51" i="1806"/>
  <c r="F51" i="1806"/>
  <c r="N50" i="1806"/>
  <c r="N34" i="1806" s="1"/>
  <c r="N51" i="1806"/>
  <c r="P35" i="155"/>
  <c r="T35" i="155"/>
  <c r="R50" i="1806"/>
  <c r="R34" i="1806" s="1"/>
  <c r="R51" i="1806"/>
  <c r="H29" i="1535"/>
  <c r="H32" i="1535" s="1"/>
  <c r="H35" i="1535" s="1"/>
  <c r="K55" i="1712"/>
  <c r="L56" i="1712"/>
  <c r="I66" i="155"/>
  <c r="I55" i="1535"/>
  <c r="I54" i="1535" s="1"/>
  <c r="I29" i="1535" s="1"/>
  <c r="I55" i="1538"/>
  <c r="I54" i="1538" s="1"/>
  <c r="I29" i="1538" s="1"/>
  <c r="H52" i="1538"/>
  <c r="H29" i="1538"/>
  <c r="H52" i="1535"/>
  <c r="G50" i="1806" l="1"/>
  <c r="G34" i="1806" s="1"/>
  <c r="M38" i="155"/>
  <c r="M41" i="155" s="1"/>
  <c r="M36" i="155"/>
  <c r="L38" i="155"/>
  <c r="L41" i="155" s="1"/>
  <c r="L36" i="155"/>
  <c r="O38" i="155"/>
  <c r="O41" i="155" s="1"/>
  <c r="O36" i="155"/>
  <c r="J38" i="155"/>
  <c r="J41" i="155" s="1"/>
  <c r="J36" i="155"/>
  <c r="S38" i="155"/>
  <c r="S41" i="155" s="1"/>
  <c r="S36" i="155"/>
  <c r="Q38" i="155"/>
  <c r="Q41" i="155" s="1"/>
  <c r="Q36" i="155"/>
  <c r="N36" i="155"/>
  <c r="N38" i="155"/>
  <c r="N41" i="155" s="1"/>
  <c r="K38" i="155"/>
  <c r="K41" i="155" s="1"/>
  <c r="K36" i="155"/>
  <c r="R36" i="155"/>
  <c r="R38" i="155"/>
  <c r="R41" i="155" s="1"/>
  <c r="T38" i="155"/>
  <c r="T41" i="155" s="1"/>
  <c r="T36" i="155"/>
  <c r="P36" i="155"/>
  <c r="P38" i="155"/>
  <c r="P41" i="155" s="1"/>
  <c r="I32" i="1535"/>
  <c r="I35" i="1535" s="1"/>
  <c r="I53" i="1712"/>
  <c r="I60" i="1712" s="1"/>
  <c r="I39" i="1712"/>
  <c r="H50" i="1535"/>
  <c r="H57" i="1535" s="1"/>
  <c r="H36" i="1535"/>
  <c r="T71" i="1535" s="1"/>
  <c r="M56" i="1712"/>
  <c r="L55" i="1712"/>
  <c r="I52" i="1535"/>
  <c r="I32" i="1538"/>
  <c r="I35" i="1538" s="1"/>
  <c r="H32" i="1538"/>
  <c r="H35" i="1538" s="1"/>
  <c r="I52" i="1538"/>
  <c r="Q36" i="1807" l="1"/>
  <c r="S36" i="1807"/>
  <c r="O36" i="1807"/>
  <c r="K36" i="1807"/>
  <c r="N36" i="1807"/>
  <c r="L36" i="1807"/>
  <c r="P36" i="1807"/>
  <c r="R36" i="1807"/>
  <c r="J36" i="1807"/>
  <c r="J35" i="1807" s="1"/>
  <c r="J38" i="1807" s="1"/>
  <c r="J41" i="1807" s="1"/>
  <c r="M36" i="1807"/>
  <c r="T36" i="1711"/>
  <c r="T35" i="1711" s="1"/>
  <c r="T38" i="1711" s="1"/>
  <c r="T41" i="1711" s="1"/>
  <c r="T56" i="1711" s="1"/>
  <c r="T63" i="1711" s="1"/>
  <c r="T36" i="1807"/>
  <c r="P30" i="1538"/>
  <c r="P29" i="1538" s="1"/>
  <c r="P32" i="1538" s="1"/>
  <c r="P35" i="1538" s="1"/>
  <c r="P33" i="1712"/>
  <c r="P32" i="1712" s="1"/>
  <c r="P35" i="1712" s="1"/>
  <c r="P38" i="1712" s="1"/>
  <c r="P30" i="1535"/>
  <c r="P29" i="1535" s="1"/>
  <c r="P32" i="1535" s="1"/>
  <c r="P35" i="1535" s="1"/>
  <c r="P36" i="1711"/>
  <c r="P35" i="1711" s="1"/>
  <c r="P38" i="1711" s="1"/>
  <c r="P41" i="1711" s="1"/>
  <c r="R56" i="155"/>
  <c r="R63" i="155" s="1"/>
  <c r="R42" i="155"/>
  <c r="Q56" i="155"/>
  <c r="Q63" i="155" s="1"/>
  <c r="Q42" i="155"/>
  <c r="S42" i="155"/>
  <c r="S56" i="155"/>
  <c r="S63" i="155" s="1"/>
  <c r="O56" i="155"/>
  <c r="O63" i="155" s="1"/>
  <c r="O42" i="155"/>
  <c r="T42" i="155"/>
  <c r="T56" i="155"/>
  <c r="T63" i="155" s="1"/>
  <c r="S81" i="155"/>
  <c r="R30" i="1535"/>
  <c r="R29" i="1535" s="1"/>
  <c r="R32" i="1535" s="1"/>
  <c r="R35" i="1535" s="1"/>
  <c r="R30" i="1538"/>
  <c r="R29" i="1538" s="1"/>
  <c r="R32" i="1538" s="1"/>
  <c r="R35" i="1538" s="1"/>
  <c r="R36" i="1711"/>
  <c r="R35" i="1711" s="1"/>
  <c r="R38" i="1711" s="1"/>
  <c r="R41" i="1711" s="1"/>
  <c r="R33" i="1712"/>
  <c r="R32" i="1712" s="1"/>
  <c r="R35" i="1712" s="1"/>
  <c r="R38" i="1712" s="1"/>
  <c r="N42" i="155"/>
  <c r="N56" i="155"/>
  <c r="N63" i="155" s="1"/>
  <c r="N30" i="1538"/>
  <c r="N29" i="1538" s="1"/>
  <c r="N32" i="1538" s="1"/>
  <c r="N35" i="1538" s="1"/>
  <c r="N33" i="1712"/>
  <c r="N32" i="1712" s="1"/>
  <c r="N35" i="1712" s="1"/>
  <c r="N38" i="1712" s="1"/>
  <c r="N30" i="1535"/>
  <c r="N29" i="1535" s="1"/>
  <c r="N32" i="1535" s="1"/>
  <c r="N35" i="1535" s="1"/>
  <c r="N36" i="1711"/>
  <c r="N35" i="1711" s="1"/>
  <c r="N38" i="1711" s="1"/>
  <c r="N41" i="1711" s="1"/>
  <c r="Q30" i="1535"/>
  <c r="Q29" i="1535" s="1"/>
  <c r="Q32" i="1535" s="1"/>
  <c r="Q35" i="1535" s="1"/>
  <c r="Q33" i="1712"/>
  <c r="Q32" i="1712" s="1"/>
  <c r="Q35" i="1712" s="1"/>
  <c r="Q38" i="1712" s="1"/>
  <c r="Q30" i="1538"/>
  <c r="Q29" i="1538" s="1"/>
  <c r="Q32" i="1538" s="1"/>
  <c r="Q35" i="1538" s="1"/>
  <c r="Q36" i="1711"/>
  <c r="Q35" i="1711" s="1"/>
  <c r="Q38" i="1711" s="1"/>
  <c r="Q41" i="1711" s="1"/>
  <c r="J56" i="155"/>
  <c r="J63" i="155" s="1"/>
  <c r="J42" i="155"/>
  <c r="O30" i="1538"/>
  <c r="O29" i="1538" s="1"/>
  <c r="O32" i="1538" s="1"/>
  <c r="O35" i="1538" s="1"/>
  <c r="O36" i="1711"/>
  <c r="O35" i="1711" s="1"/>
  <c r="O38" i="1711" s="1"/>
  <c r="O41" i="1711" s="1"/>
  <c r="O30" i="1535"/>
  <c r="O29" i="1535" s="1"/>
  <c r="O32" i="1535" s="1"/>
  <c r="O35" i="1535" s="1"/>
  <c r="O33" i="1712"/>
  <c r="O32" i="1712" s="1"/>
  <c r="O35" i="1712" s="1"/>
  <c r="O38" i="1712" s="1"/>
  <c r="L36" i="1711"/>
  <c r="L35" i="1711" s="1"/>
  <c r="L38" i="1711" s="1"/>
  <c r="L41" i="1711" s="1"/>
  <c r="L30" i="1538"/>
  <c r="L29" i="1538" s="1"/>
  <c r="L32" i="1538" s="1"/>
  <c r="L35" i="1538" s="1"/>
  <c r="L30" i="1535"/>
  <c r="L29" i="1535" s="1"/>
  <c r="L32" i="1535" s="1"/>
  <c r="L35" i="1535" s="1"/>
  <c r="L33" i="1712"/>
  <c r="L32" i="1712" s="1"/>
  <c r="L35" i="1712" s="1"/>
  <c r="L38" i="1712" s="1"/>
  <c r="M30" i="1535"/>
  <c r="M29" i="1535" s="1"/>
  <c r="M32" i="1535" s="1"/>
  <c r="M35" i="1535" s="1"/>
  <c r="M30" i="1538"/>
  <c r="M29" i="1538" s="1"/>
  <c r="M32" i="1538" s="1"/>
  <c r="M35" i="1538" s="1"/>
  <c r="M36" i="1711"/>
  <c r="M35" i="1711" s="1"/>
  <c r="M38" i="1711" s="1"/>
  <c r="M41" i="1711" s="1"/>
  <c r="M33" i="1712"/>
  <c r="M32" i="1712" s="1"/>
  <c r="M35" i="1712" s="1"/>
  <c r="M38" i="1712" s="1"/>
  <c r="P56" i="155"/>
  <c r="P63" i="155" s="1"/>
  <c r="P42" i="155"/>
  <c r="K33" i="1712"/>
  <c r="K32" i="1712" s="1"/>
  <c r="K35" i="1712" s="1"/>
  <c r="K38" i="1712" s="1"/>
  <c r="K36" i="1711"/>
  <c r="K35" i="1711" s="1"/>
  <c r="K38" i="1711" s="1"/>
  <c r="K41" i="1711" s="1"/>
  <c r="K30" i="1535"/>
  <c r="K29" i="1535" s="1"/>
  <c r="K32" i="1535" s="1"/>
  <c r="K35" i="1535" s="1"/>
  <c r="K50" i="1535" s="1"/>
  <c r="K57" i="1535" s="1"/>
  <c r="K30" i="1538"/>
  <c r="K29" i="1538" s="1"/>
  <c r="K32" i="1538" s="1"/>
  <c r="K35" i="1538" s="1"/>
  <c r="K50" i="1538" s="1"/>
  <c r="K57" i="1538" s="1"/>
  <c r="K56" i="155"/>
  <c r="K63" i="155" s="1"/>
  <c r="K42" i="155"/>
  <c r="S36" i="1711"/>
  <c r="S35" i="1711" s="1"/>
  <c r="S38" i="1711" s="1"/>
  <c r="S41" i="1711" s="1"/>
  <c r="S33" i="1712"/>
  <c r="S32" i="1712" s="1"/>
  <c r="S35" i="1712" s="1"/>
  <c r="S38" i="1712" s="1"/>
  <c r="J30" i="1535"/>
  <c r="J29" i="1535" s="1"/>
  <c r="J32" i="1535" s="1"/>
  <c r="J35" i="1535" s="1"/>
  <c r="J30" i="1538"/>
  <c r="J29" i="1538" s="1"/>
  <c r="J32" i="1538" s="1"/>
  <c r="J35" i="1538" s="1"/>
  <c r="J36" i="1711"/>
  <c r="J35" i="1711" s="1"/>
  <c r="J38" i="1711" s="1"/>
  <c r="J41" i="1711" s="1"/>
  <c r="J33" i="1712"/>
  <c r="J32" i="1712" s="1"/>
  <c r="J35" i="1712" s="1"/>
  <c r="J38" i="1712" s="1"/>
  <c r="L56" i="155"/>
  <c r="L63" i="155" s="1"/>
  <c r="L42" i="155"/>
  <c r="M42" i="155"/>
  <c r="M56" i="155"/>
  <c r="M63" i="155" s="1"/>
  <c r="I50" i="1538"/>
  <c r="I57" i="1538" s="1"/>
  <c r="I36" i="1538"/>
  <c r="I36" i="1535"/>
  <c r="I50" i="1535"/>
  <c r="I57" i="1535" s="1"/>
  <c r="H74" i="1535"/>
  <c r="H60" i="1535"/>
  <c r="I78" i="1712"/>
  <c r="I63" i="1712"/>
  <c r="H50" i="1538"/>
  <c r="H57" i="1538" s="1"/>
  <c r="H36" i="1538"/>
  <c r="T71" i="1538" s="1"/>
  <c r="N56" i="1712"/>
  <c r="M55" i="1712"/>
  <c r="T42" i="1711" l="1"/>
  <c r="S80" i="1711"/>
  <c r="J56" i="1807"/>
  <c r="J63" i="1807" s="1"/>
  <c r="J42" i="1807"/>
  <c r="K35" i="1807"/>
  <c r="K38" i="1807" s="1"/>
  <c r="K41" i="1807" s="1"/>
  <c r="S82" i="155"/>
  <c r="K74" i="1535"/>
  <c r="Q50" i="1535"/>
  <c r="Q57" i="1535" s="1"/>
  <c r="Q36" i="1535"/>
  <c r="N53" i="1712"/>
  <c r="N60" i="1712" s="1"/>
  <c r="N39" i="1712"/>
  <c r="N82" i="155"/>
  <c r="K74" i="1538"/>
  <c r="Q82" i="155"/>
  <c r="L82" i="155"/>
  <c r="J56" i="1711"/>
  <c r="J63" i="1711" s="1"/>
  <c r="J42" i="1711"/>
  <c r="Q73" i="1535"/>
  <c r="R50" i="1535"/>
  <c r="R57" i="1535" s="1"/>
  <c r="R36" i="1535"/>
  <c r="L39" i="1712"/>
  <c r="L53" i="1712"/>
  <c r="L60" i="1712" s="1"/>
  <c r="N50" i="1535"/>
  <c r="N57" i="1535" s="1"/>
  <c r="N36" i="1535"/>
  <c r="R77" i="1712"/>
  <c r="S39" i="1712"/>
  <c r="S53" i="1712"/>
  <c r="S60" i="1712" s="1"/>
  <c r="R50" i="1538"/>
  <c r="R57" i="1538" s="1"/>
  <c r="R36" i="1538"/>
  <c r="Q73" i="1538"/>
  <c r="K53" i="1712"/>
  <c r="K60" i="1712" s="1"/>
  <c r="K39" i="1712"/>
  <c r="M36" i="1535"/>
  <c r="M50" i="1535"/>
  <c r="M57" i="1535" s="1"/>
  <c r="R82" i="155"/>
  <c r="N56" i="1711"/>
  <c r="N63" i="1711" s="1"/>
  <c r="N42" i="1711"/>
  <c r="O82" i="155"/>
  <c r="O39" i="1712"/>
  <c r="O53" i="1712"/>
  <c r="O60" i="1712" s="1"/>
  <c r="P56" i="1711"/>
  <c r="P63" i="1711" s="1"/>
  <c r="P42" i="1711"/>
  <c r="Q53" i="1712"/>
  <c r="Q60" i="1712" s="1"/>
  <c r="Q39" i="1712"/>
  <c r="J53" i="1712"/>
  <c r="J60" i="1712" s="1"/>
  <c r="J39" i="1712"/>
  <c r="R53" i="1712"/>
  <c r="R60" i="1712" s="1"/>
  <c r="R39" i="1712"/>
  <c r="K82" i="155"/>
  <c r="K42" i="1711"/>
  <c r="K56" i="1711"/>
  <c r="K63" i="1711" s="1"/>
  <c r="P82" i="155"/>
  <c r="M56" i="1711"/>
  <c r="M63" i="1711" s="1"/>
  <c r="M42" i="1711"/>
  <c r="M50" i="1538"/>
  <c r="M57" i="1538" s="1"/>
  <c r="M36" i="1538"/>
  <c r="L36" i="1535"/>
  <c r="L50" i="1535"/>
  <c r="L57" i="1535" s="1"/>
  <c r="O56" i="1711"/>
  <c r="O63" i="1711" s="1"/>
  <c r="O42" i="1711"/>
  <c r="P50" i="1535"/>
  <c r="P57" i="1535" s="1"/>
  <c r="P36" i="1535"/>
  <c r="N50" i="1538"/>
  <c r="N57" i="1538" s="1"/>
  <c r="N36" i="1538"/>
  <c r="R42" i="1711"/>
  <c r="R56" i="1711"/>
  <c r="R63" i="1711" s="1"/>
  <c r="O36" i="1538"/>
  <c r="O50" i="1538"/>
  <c r="O57" i="1538" s="1"/>
  <c r="J82" i="155"/>
  <c r="J66" i="155"/>
  <c r="P53" i="1712"/>
  <c r="P60" i="1712" s="1"/>
  <c r="P39" i="1712"/>
  <c r="Q36" i="1538"/>
  <c r="Q50" i="1538"/>
  <c r="Q57" i="1538" s="1"/>
  <c r="S42" i="1711"/>
  <c r="S56" i="1711"/>
  <c r="S63" i="1711" s="1"/>
  <c r="M39" i="1712"/>
  <c r="M53" i="1712"/>
  <c r="M60" i="1712" s="1"/>
  <c r="L36" i="1538"/>
  <c r="L50" i="1538"/>
  <c r="L57" i="1538" s="1"/>
  <c r="L42" i="1711"/>
  <c r="L56" i="1711"/>
  <c r="L63" i="1711" s="1"/>
  <c r="O36" i="1535"/>
  <c r="O50" i="1535"/>
  <c r="O57" i="1535" s="1"/>
  <c r="M82" i="155"/>
  <c r="Q56" i="1711"/>
  <c r="Q63" i="1711" s="1"/>
  <c r="Q42" i="1711"/>
  <c r="P50" i="1538"/>
  <c r="P57" i="1538" s="1"/>
  <c r="P36" i="1538"/>
  <c r="J36" i="1538"/>
  <c r="J50" i="1538"/>
  <c r="J57" i="1538" s="1"/>
  <c r="K36" i="1538"/>
  <c r="J50" i="1535"/>
  <c r="J57" i="1535" s="1"/>
  <c r="J36" i="1535"/>
  <c r="K36" i="1535"/>
  <c r="I60" i="1535"/>
  <c r="I74" i="1535"/>
  <c r="H74" i="1538"/>
  <c r="H60" i="1538"/>
  <c r="O56" i="1712"/>
  <c r="N55" i="1712"/>
  <c r="I74" i="1538"/>
  <c r="Q74" i="1535" l="1"/>
  <c r="K56" i="1807"/>
  <c r="K63" i="1807" s="1"/>
  <c r="K42" i="1807"/>
  <c r="L35" i="1807"/>
  <c r="L38" i="1807" s="1"/>
  <c r="L41" i="1807" s="1"/>
  <c r="J81" i="1807"/>
  <c r="J66" i="1807"/>
  <c r="R78" i="1712"/>
  <c r="K78" i="1712"/>
  <c r="P74" i="1535"/>
  <c r="N74" i="1535"/>
  <c r="S81" i="1711"/>
  <c r="Q78" i="1712"/>
  <c r="K66" i="155"/>
  <c r="P74" i="1538"/>
  <c r="L74" i="1535"/>
  <c r="L81" i="1711"/>
  <c r="L74" i="1538"/>
  <c r="N78" i="1712"/>
  <c r="J78" i="1712"/>
  <c r="P81" i="1711"/>
  <c r="O78" i="1712"/>
  <c r="J63" i="1712"/>
  <c r="O81" i="1711"/>
  <c r="M81" i="1711"/>
  <c r="L78" i="1712"/>
  <c r="M78" i="1712"/>
  <c r="J81" i="1711"/>
  <c r="J66" i="1711"/>
  <c r="P78" i="1712"/>
  <c r="Q74" i="1538"/>
  <c r="N81" i="1711"/>
  <c r="N74" i="1538"/>
  <c r="Q81" i="1711"/>
  <c r="M74" i="1538"/>
  <c r="O74" i="1535"/>
  <c r="K81" i="1711"/>
  <c r="O74" i="1538"/>
  <c r="R81" i="1711"/>
  <c r="M74" i="1535"/>
  <c r="J60" i="1535"/>
  <c r="I60" i="1538"/>
  <c r="J74" i="1535"/>
  <c r="O55" i="1712"/>
  <c r="P56" i="1712"/>
  <c r="J74" i="1538"/>
  <c r="K63" i="1712" l="1"/>
  <c r="K66" i="1807"/>
  <c r="L42" i="1807"/>
  <c r="L56" i="1807"/>
  <c r="L63" i="1807" s="1"/>
  <c r="M35" i="1807"/>
  <c r="M38" i="1807" s="1"/>
  <c r="M41" i="1807" s="1"/>
  <c r="K81" i="1807"/>
  <c r="L66" i="155"/>
  <c r="K66" i="1711"/>
  <c r="K60" i="1535"/>
  <c r="P55" i="1712"/>
  <c r="Q56" i="1712"/>
  <c r="J60" i="1538"/>
  <c r="L63" i="1712" l="1"/>
  <c r="M63" i="1712" s="1"/>
  <c r="M42" i="1807"/>
  <c r="M56" i="1807"/>
  <c r="M63" i="1807" s="1"/>
  <c r="N35" i="1807"/>
  <c r="N38" i="1807" s="1"/>
  <c r="N41" i="1807" s="1"/>
  <c r="L66" i="1807"/>
  <c r="L81" i="1807"/>
  <c r="L66" i="1711"/>
  <c r="M66" i="155"/>
  <c r="Q55" i="1712"/>
  <c r="R56" i="1712"/>
  <c r="L60" i="1535"/>
  <c r="K60" i="1538"/>
  <c r="N42" i="1807" l="1"/>
  <c r="N56" i="1807"/>
  <c r="N63" i="1807" s="1"/>
  <c r="M66" i="1807"/>
  <c r="O35" i="1807"/>
  <c r="O38" i="1807" s="1"/>
  <c r="O41" i="1807" s="1"/>
  <c r="M81" i="1807"/>
  <c r="N66" i="155"/>
  <c r="M66" i="1711"/>
  <c r="M60" i="1535"/>
  <c r="R55" i="1712"/>
  <c r="S56" i="1712"/>
  <c r="S55" i="1712" s="1"/>
  <c r="N63" i="1712"/>
  <c r="L60" i="1538"/>
  <c r="P35" i="1807" l="1"/>
  <c r="P38" i="1807" s="1"/>
  <c r="P41" i="1807" s="1"/>
  <c r="N66" i="1807"/>
  <c r="N81" i="1807"/>
  <c r="O42" i="1807"/>
  <c r="O56" i="1807"/>
  <c r="O63" i="1807" s="1"/>
  <c r="N66" i="1711"/>
  <c r="O66" i="155"/>
  <c r="M60" i="1538"/>
  <c r="O63" i="1712"/>
  <c r="N60" i="1535"/>
  <c r="O81" i="1807" l="1"/>
  <c r="O66" i="1807"/>
  <c r="P42" i="1807"/>
  <c r="P56" i="1807"/>
  <c r="P63" i="1807" s="1"/>
  <c r="Q35" i="1807"/>
  <c r="Q38" i="1807" s="1"/>
  <c r="Q41" i="1807" s="1"/>
  <c r="P66" i="155"/>
  <c r="O66" i="1711"/>
  <c r="P63" i="1712"/>
  <c r="N60" i="1538"/>
  <c r="O60" i="1535"/>
  <c r="Q56" i="1807" l="1"/>
  <c r="Q63" i="1807" s="1"/>
  <c r="Q42" i="1807"/>
  <c r="P81" i="1807"/>
  <c r="R35" i="1807"/>
  <c r="R38" i="1807" s="1"/>
  <c r="R41" i="1807" s="1"/>
  <c r="R56" i="1807" s="1"/>
  <c r="R63" i="1807" s="1"/>
  <c r="P66" i="1807"/>
  <c r="Q66" i="155"/>
  <c r="P66" i="1711"/>
  <c r="Q63" i="1712"/>
  <c r="P60" i="1535"/>
  <c r="O60" i="1538"/>
  <c r="R81" i="1807" l="1"/>
  <c r="T35" i="1807"/>
  <c r="T38" i="1807" s="1"/>
  <c r="T41" i="1807" s="1"/>
  <c r="S35" i="1807"/>
  <c r="S38" i="1807" s="1"/>
  <c r="S41" i="1807" s="1"/>
  <c r="Q66" i="1807"/>
  <c r="Q81" i="1807"/>
  <c r="R42" i="1807"/>
  <c r="Q66" i="1711"/>
  <c r="R66" i="155"/>
  <c r="P60" i="1538"/>
  <c r="Q60" i="1535"/>
  <c r="R63" i="1712"/>
  <c r="R66" i="1807" l="1"/>
  <c r="S56" i="1807"/>
  <c r="S63" i="1807" s="1"/>
  <c r="S42" i="1807"/>
  <c r="S80" i="1807"/>
  <c r="T42" i="1807"/>
  <c r="T56" i="1807"/>
  <c r="T63" i="1807" s="1"/>
  <c r="S66" i="155"/>
  <c r="R66" i="1711"/>
  <c r="R60" i="1535"/>
  <c r="Q60" i="1538"/>
  <c r="S63" i="1712"/>
  <c r="S81" i="1807" l="1"/>
  <c r="S66" i="1807"/>
  <c r="T66" i="155"/>
  <c r="S66" i="1711"/>
  <c r="R60" i="1538"/>
  <c r="T66" i="1807" l="1"/>
  <c r="T66" i="1711"/>
  <c r="O54" i="1809" l="1"/>
  <c r="P54" i="1809" l="1"/>
  <c r="Q54" i="1809" l="1"/>
  <c r="R54" i="1809" l="1"/>
  <c r="S54" i="1809" l="1"/>
  <c r="T54" i="1809" l="1"/>
  <c r="U54" i="1809" s="1"/>
  <c r="K36" i="1809" l="1"/>
  <c r="I37" i="1809"/>
  <c r="L36" i="1809" l="1"/>
  <c r="K37" i="1809"/>
  <c r="L37" i="1809" l="1"/>
  <c r="M36" i="1809"/>
  <c r="K40" i="1809" l="1"/>
  <c r="L40" i="1809" s="1"/>
  <c r="M40" i="1809" s="1"/>
  <c r="N40" i="1809" s="1"/>
  <c r="O40" i="1809" s="1"/>
  <c r="P40" i="1809" s="1"/>
  <c r="Q40" i="1809" s="1"/>
  <c r="R40" i="1809" s="1"/>
  <c r="S40" i="1809" s="1"/>
  <c r="T40" i="1809" s="1"/>
  <c r="U40" i="1809" s="1"/>
  <c r="N36" i="1809"/>
  <c r="M37" i="1809"/>
  <c r="O36" i="1809" l="1"/>
  <c r="N37" i="1809"/>
  <c r="P36" i="1809" l="1"/>
  <c r="O37" i="1809"/>
  <c r="P37" i="1809" l="1"/>
  <c r="Q36" i="1809"/>
  <c r="R36" i="1809" l="1"/>
  <c r="Q37" i="1809"/>
  <c r="S36" i="1809" l="1"/>
  <c r="R37" i="1809"/>
  <c r="S37" i="1809" l="1"/>
  <c r="X38" i="1554" l="1"/>
  <c r="X42" i="1554" s="1"/>
  <c r="X44" i="1554" s="1"/>
  <c r="X51" i="1554" s="1"/>
  <c r="X52" i="1554" l="1"/>
  <c r="X53" i="1554" s="1"/>
  <c r="X56" i="1554" s="1"/>
  <c r="X124" i="121"/>
  <c r="I94" i="155" s="1"/>
  <c r="Y324" i="121"/>
  <c r="X324" i="121"/>
  <c r="X325" i="121" s="1"/>
  <c r="X327" i="121" s="1"/>
  <c r="X123" i="121" l="1"/>
  <c r="X358" i="121"/>
  <c r="X361" i="121"/>
  <c r="X360" i="121" s="1"/>
  <c r="Y325" i="121"/>
  <c r="Y327" i="121" s="1"/>
  <c r="Y361" i="121" l="1"/>
  <c r="Y360" i="121" s="1"/>
  <c r="AL360" i="121" s="1"/>
  <c r="Y358" i="121"/>
  <c r="X205" i="1814" l="1"/>
  <c r="X207" i="1814" s="1"/>
  <c r="X209" i="1814" s="1"/>
  <c r="X201" i="1814"/>
  <c r="X186" i="1814"/>
  <c r="X191" i="1814"/>
  <c r="X196" i="1814"/>
  <c r="X199" i="1814"/>
  <c r="X184" i="1814"/>
  <c r="X189" i="1814"/>
  <c r="X41" i="1814"/>
  <c r="X194" i="1814"/>
  <c r="X51" i="1814" l="1"/>
  <c r="X43" i="1814"/>
  <c r="X48" i="1814" s="1"/>
  <c r="X56" i="1814"/>
  <c r="X210" i="1814"/>
  <c r="X211" i="1814"/>
  <c r="X208" i="1814"/>
  <c r="X46" i="1814"/>
  <c r="X58" i="1814" l="1"/>
  <c r="X53" i="1814"/>
  <c r="Y196" i="1814"/>
  <c r="Y201" i="1814"/>
  <c r="Y191" i="1814"/>
  <c r="Y186" i="1814"/>
  <c r="AA184" i="1814" l="1"/>
  <c r="AA41" i="1814"/>
  <c r="AA205" i="1814"/>
  <c r="AA181" i="1814"/>
  <c r="AA199" i="1814"/>
  <c r="Y58" i="1814"/>
  <c r="Y53" i="1814"/>
  <c r="Y48" i="1814"/>
  <c r="AA207" i="1814" l="1"/>
  <c r="AA211" i="1814" s="1"/>
  <c r="Y67" i="1814"/>
  <c r="AB205" i="1814"/>
  <c r="AB207" i="1814" s="1"/>
  <c r="AB199" i="1814"/>
  <c r="AB194" i="1814"/>
  <c r="AB189" i="1814"/>
  <c r="AB41" i="1814"/>
  <c r="AB184" i="1814"/>
  <c r="AB181" i="1814"/>
  <c r="AA43" i="1814"/>
  <c r="AA46" i="1814"/>
  <c r="AA56" i="1814"/>
  <c r="AA201" i="1814"/>
  <c r="AA186" i="1814"/>
  <c r="Y65" i="1814"/>
  <c r="Y66" i="1814"/>
  <c r="Y70" i="1814"/>
  <c r="AA208" i="1814" l="1"/>
  <c r="Y73" i="1814"/>
  <c r="Y108" i="1814"/>
  <c r="AB191" i="1814"/>
  <c r="AB196" i="1814"/>
  <c r="AB186" i="1814"/>
  <c r="AB201" i="1814"/>
  <c r="AA64" i="1814"/>
  <c r="AA58" i="1814"/>
  <c r="AA48" i="1814"/>
  <c r="AB56" i="1814"/>
  <c r="AB46" i="1814"/>
  <c r="AB43" i="1814"/>
  <c r="AB51" i="1814"/>
  <c r="Y71" i="1814"/>
  <c r="Y72" i="1814"/>
  <c r="Y78" i="1814"/>
  <c r="Y93" i="1814"/>
  <c r="Y83" i="1814"/>
  <c r="Y85" i="1814" s="1"/>
  <c r="AB210" i="1814"/>
  <c r="AB211" i="1814"/>
  <c r="AB208" i="1814"/>
  <c r="AB209" i="1814"/>
  <c r="AA50" i="1810" l="1"/>
  <c r="AA67" i="1814"/>
  <c r="Y79" i="1814"/>
  <c r="Y80" i="1814"/>
  <c r="Y86" i="1814"/>
  <c r="AB64" i="1814"/>
  <c r="AB58" i="1814"/>
  <c r="AB48" i="1814"/>
  <c r="AB53" i="1814"/>
  <c r="AA65" i="1814"/>
  <c r="AA66" i="1814"/>
  <c r="AA70" i="1814"/>
  <c r="AA73" i="1814" s="1"/>
  <c r="AA80" i="1810" l="1"/>
  <c r="AA105" i="1810" s="1"/>
  <c r="AA65" i="1810"/>
  <c r="AA51" i="1810"/>
  <c r="AA66" i="1810" s="1"/>
  <c r="AA55" i="1810"/>
  <c r="AA60" i="1810"/>
  <c r="AB50" i="1810"/>
  <c r="Y96" i="1814"/>
  <c r="Y97" i="1814" s="1"/>
  <c r="Y102" i="1814" s="1"/>
  <c r="AL102" i="1814" s="1"/>
  <c r="Y112" i="1814"/>
  <c r="AB67" i="1814"/>
  <c r="AB66" i="1814"/>
  <c r="AB65" i="1814"/>
  <c r="AB70" i="1814"/>
  <c r="AB73" i="1814" s="1"/>
  <c r="Y87" i="1814"/>
  <c r="Y89" i="1814" s="1"/>
  <c r="AA71" i="1814"/>
  <c r="AA83" i="1814"/>
  <c r="AA78" i="1814"/>
  <c r="AA93" i="1814"/>
  <c r="AA72" i="1814"/>
  <c r="AA85" i="1810" l="1"/>
  <c r="AA90" i="1810"/>
  <c r="AB60" i="1810"/>
  <c r="AB65" i="1810"/>
  <c r="AL112" i="1814"/>
  <c r="Y74" i="1821"/>
  <c r="AA18" i="1821"/>
  <c r="AA31" i="1821" s="1"/>
  <c r="AB80" i="1810"/>
  <c r="AB90" i="1810" s="1"/>
  <c r="AA81" i="1810"/>
  <c r="AA91" i="1810" s="1"/>
  <c r="AB51" i="1810"/>
  <c r="AB66" i="1810" s="1"/>
  <c r="AA61" i="1810"/>
  <c r="AA56" i="1810"/>
  <c r="AB55" i="1810"/>
  <c r="AA110" i="1810"/>
  <c r="AA115" i="1810"/>
  <c r="Y90" i="1814"/>
  <c r="AA80" i="1814"/>
  <c r="AA79" i="1814"/>
  <c r="AB83" i="1814"/>
  <c r="AB85" i="1814" s="1"/>
  <c r="AB93" i="1814"/>
  <c r="AB72" i="1814"/>
  <c r="AB78" i="1814"/>
  <c r="AB71" i="1814"/>
  <c r="AA85" i="1814"/>
  <c r="AA32" i="1821" l="1"/>
  <c r="AA38" i="1821"/>
  <c r="AA33" i="1821"/>
  <c r="AB56" i="1810"/>
  <c r="AB81" i="1810"/>
  <c r="AB122" i="1810" s="1"/>
  <c r="AB18" i="1821"/>
  <c r="AB31" i="1821" s="1"/>
  <c r="AA19" i="1821"/>
  <c r="AA21" i="1821"/>
  <c r="AA20" i="1821"/>
  <c r="AA136" i="1810"/>
  <c r="AA106" i="1810"/>
  <c r="AA116" i="1810" s="1"/>
  <c r="AA122" i="1810"/>
  <c r="AA130" i="1810" s="1"/>
  <c r="AB85" i="1810"/>
  <c r="AB105" i="1810"/>
  <c r="AB115" i="1810" s="1"/>
  <c r="AA86" i="1810"/>
  <c r="AB61" i="1810"/>
  <c r="AB86" i="1814"/>
  <c r="AB96" i="1814" s="1"/>
  <c r="AB97" i="1814" s="1"/>
  <c r="AB103" i="1814" s="1"/>
  <c r="AB111" i="1814" s="1"/>
  <c r="AA86" i="1814"/>
  <c r="AA96" i="1814" s="1"/>
  <c r="AA97" i="1814" s="1"/>
  <c r="AA103" i="1814" s="1"/>
  <c r="AB80" i="1814"/>
  <c r="AB79" i="1814"/>
  <c r="AB32" i="1821" l="1"/>
  <c r="AB38" i="1821"/>
  <c r="AB33" i="1821"/>
  <c r="AA124" i="1810"/>
  <c r="AB86" i="1810"/>
  <c r="AB91" i="1810"/>
  <c r="AA123" i="1810"/>
  <c r="AB106" i="1810"/>
  <c r="AB111" i="1810" s="1"/>
  <c r="AA111" i="1810"/>
  <c r="AA40" i="1821"/>
  <c r="AA61" i="1821"/>
  <c r="AA39" i="1821"/>
  <c r="AA50" i="1821"/>
  <c r="AA45" i="1821"/>
  <c r="AB136" i="1810"/>
  <c r="AB20" i="1821"/>
  <c r="AB21" i="1821"/>
  <c r="AB19" i="1821"/>
  <c r="AB110" i="1810"/>
  <c r="AA131" i="1810"/>
  <c r="AA139" i="1810" s="1"/>
  <c r="AA140" i="1810" s="1"/>
  <c r="AA141" i="1810" s="1"/>
  <c r="AB123" i="1810"/>
  <c r="AB124" i="1810"/>
  <c r="AB130" i="1810"/>
  <c r="AB87" i="1814"/>
  <c r="AB89" i="1814" s="1"/>
  <c r="AB90" i="1814" s="1"/>
  <c r="AA111" i="1814"/>
  <c r="AA87" i="1814"/>
  <c r="AA89" i="1814" s="1"/>
  <c r="AA90" i="1814" s="1"/>
  <c r="AB116" i="1810" l="1"/>
  <c r="AA52" i="1821"/>
  <c r="AA51" i="1821"/>
  <c r="AA55" i="1821"/>
  <c r="AA56" i="1821" s="1"/>
  <c r="AA64" i="1821" s="1"/>
  <c r="AA65" i="1821" s="1"/>
  <c r="AA66" i="1821" s="1"/>
  <c r="AB39" i="1821"/>
  <c r="AB61" i="1821"/>
  <c r="AB45" i="1821"/>
  <c r="AB50" i="1821"/>
  <c r="AB40" i="1821"/>
  <c r="AA46" i="1821"/>
  <c r="AA47" i="1821"/>
  <c r="AA132" i="1810"/>
  <c r="AA133" i="1810" s="1"/>
  <c r="AB131" i="1810"/>
  <c r="AB139" i="1810" s="1"/>
  <c r="AB140" i="1810" s="1"/>
  <c r="AB141" i="1810" s="1"/>
  <c r="D82" i="1809"/>
  <c r="I62" i="1809" s="1"/>
  <c r="E86" i="1711"/>
  <c r="D86" i="1711" s="1"/>
  <c r="AA57" i="1821" l="1"/>
  <c r="AA58" i="1821" s="1"/>
  <c r="AB52" i="1821"/>
  <c r="AB51" i="1821"/>
  <c r="AB55" i="1821"/>
  <c r="AB56" i="1821" s="1"/>
  <c r="AB64" i="1821" s="1"/>
  <c r="AB65" i="1821" s="1"/>
  <c r="AB66" i="1821" s="1"/>
  <c r="AB46" i="1821"/>
  <c r="AB47" i="1821"/>
  <c r="AB132" i="1810"/>
  <c r="AB133" i="1810" s="1"/>
  <c r="H142" i="121"/>
  <c r="F67" i="1809"/>
  <c r="F92" i="1809" s="1"/>
  <c r="T74" i="1711"/>
  <c r="O70" i="1711"/>
  <c r="E79" i="1538"/>
  <c r="D84" i="1809"/>
  <c r="F74" i="1711"/>
  <c r="F96" i="1711" s="1"/>
  <c r="J72" i="1711"/>
  <c r="J73" i="1711"/>
  <c r="P67" i="1711"/>
  <c r="T71" i="1711"/>
  <c r="O71" i="1711"/>
  <c r="J70" i="1711"/>
  <c r="D74" i="1711"/>
  <c r="D96" i="1711" s="1"/>
  <c r="S71" i="1711"/>
  <c r="K64" i="1711"/>
  <c r="R72" i="1711"/>
  <c r="T70" i="1711"/>
  <c r="O74" i="1711"/>
  <c r="N73" i="1711"/>
  <c r="O64" i="1711"/>
  <c r="R70" i="1711"/>
  <c r="L64" i="1711"/>
  <c r="M67" i="1711"/>
  <c r="T67" i="1711"/>
  <c r="O67" i="1711"/>
  <c r="J74" i="1711"/>
  <c r="J96" i="1711" s="1"/>
  <c r="N74" i="1711"/>
  <c r="M72" i="1711"/>
  <c r="M70" i="1711"/>
  <c r="I81" i="1711"/>
  <c r="I82" i="1711" s="1"/>
  <c r="I92" i="1711" s="1"/>
  <c r="N64" i="1711"/>
  <c r="M71" i="1711"/>
  <c r="D88" i="1711"/>
  <c r="L71" i="1711"/>
  <c r="I64" i="1711"/>
  <c r="T73" i="1711"/>
  <c r="N72" i="1711"/>
  <c r="J64" i="1711"/>
  <c r="Q64" i="1711"/>
  <c r="M73" i="1711"/>
  <c r="T72" i="1711"/>
  <c r="N67" i="1711"/>
  <c r="M64" i="1711"/>
  <c r="S74" i="1711"/>
  <c r="M74" i="1711"/>
  <c r="R73" i="1711"/>
  <c r="I74" i="1711"/>
  <c r="I96" i="1711" s="1"/>
  <c r="L72" i="1711"/>
  <c r="S67" i="1711"/>
  <c r="N71" i="1711"/>
  <c r="S64" i="1711"/>
  <c r="S70" i="1711"/>
  <c r="R67" i="1711"/>
  <c r="I71" i="1711"/>
  <c r="S72" i="1711"/>
  <c r="N70" i="1711"/>
  <c r="R64" i="1711"/>
  <c r="P64" i="1711"/>
  <c r="L73" i="1711"/>
  <c r="T64" i="1711"/>
  <c r="Q67" i="1711"/>
  <c r="S73" i="1711"/>
  <c r="I73" i="1711"/>
  <c r="Q73" i="1711"/>
  <c r="R74" i="1711"/>
  <c r="L70" i="1711"/>
  <c r="R71" i="1711"/>
  <c r="L74" i="1711"/>
  <c r="I67" i="1711"/>
  <c r="Q74" i="1711"/>
  <c r="L67" i="1711"/>
  <c r="I72" i="1711"/>
  <c r="Q72" i="1711"/>
  <c r="Q71" i="1711"/>
  <c r="K71" i="1711"/>
  <c r="Q70" i="1711"/>
  <c r="K67" i="1711"/>
  <c r="H74" i="1711"/>
  <c r="H96" i="1711" s="1"/>
  <c r="P71" i="1711"/>
  <c r="P73" i="1711"/>
  <c r="K74" i="1711"/>
  <c r="K96" i="1711" s="1"/>
  <c r="G74" i="1711"/>
  <c r="G96" i="1711" s="1"/>
  <c r="P72" i="1711"/>
  <c r="K70" i="1711"/>
  <c r="P70" i="1711"/>
  <c r="K72" i="1711"/>
  <c r="P74" i="1711"/>
  <c r="J71" i="1711"/>
  <c r="E74" i="1711"/>
  <c r="E96" i="1711" s="1"/>
  <c r="K73" i="1711"/>
  <c r="O72" i="1711"/>
  <c r="J67" i="1711"/>
  <c r="O73" i="1711"/>
  <c r="E83" i="1712"/>
  <c r="E86" i="1807"/>
  <c r="D87" i="155"/>
  <c r="E79" i="1535"/>
  <c r="E67" i="1809"/>
  <c r="E92" i="1809" s="1"/>
  <c r="G67" i="1809"/>
  <c r="G92" i="1809" s="1"/>
  <c r="H67" i="1809"/>
  <c r="H92" i="1809" s="1"/>
  <c r="I77" i="1809"/>
  <c r="D67" i="1809"/>
  <c r="D92" i="1809" s="1"/>
  <c r="AB57" i="1821" l="1"/>
  <c r="AB58" i="1821" s="1"/>
  <c r="E84" i="1809"/>
  <c r="I70" i="1711"/>
  <c r="E88" i="1711"/>
  <c r="R67" i="155"/>
  <c r="M71" i="155"/>
  <c r="R64" i="155"/>
  <c r="K75" i="155"/>
  <c r="K97" i="155" s="1"/>
  <c r="K71" i="155"/>
  <c r="T74" i="155"/>
  <c r="R71" i="155"/>
  <c r="M74" i="155"/>
  <c r="S64" i="155"/>
  <c r="L71" i="155"/>
  <c r="Q70" i="155"/>
  <c r="R74" i="155"/>
  <c r="M75" i="155"/>
  <c r="N64" i="155"/>
  <c r="R72" i="155"/>
  <c r="M70" i="155"/>
  <c r="M64" i="155"/>
  <c r="L72" i="155"/>
  <c r="L67" i="155"/>
  <c r="P75" i="155"/>
  <c r="H75" i="155"/>
  <c r="H97" i="155" s="1"/>
  <c r="J74" i="155"/>
  <c r="R70" i="155"/>
  <c r="T64" i="155"/>
  <c r="I75" i="155"/>
  <c r="I97" i="155" s="1"/>
  <c r="L70" i="155"/>
  <c r="R75" i="155"/>
  <c r="I73" i="155"/>
  <c r="Q75" i="155"/>
  <c r="I67" i="155"/>
  <c r="D79" i="1535"/>
  <c r="K74" i="155"/>
  <c r="K72" i="155"/>
  <c r="O71" i="155"/>
  <c r="I69" i="155"/>
  <c r="Q72" i="155"/>
  <c r="P74" i="155"/>
  <c r="K70" i="155"/>
  <c r="O70" i="155"/>
  <c r="N74" i="155"/>
  <c r="J75" i="155"/>
  <c r="J97" i="155" s="1"/>
  <c r="Q67" i="155"/>
  <c r="L75" i="155"/>
  <c r="L97" i="155" s="1"/>
  <c r="I74" i="155"/>
  <c r="Q74" i="155"/>
  <c r="I64" i="155"/>
  <c r="P67" i="155"/>
  <c r="Q71" i="155"/>
  <c r="L74" i="155"/>
  <c r="I71" i="155"/>
  <c r="I72" i="155"/>
  <c r="P70" i="155"/>
  <c r="D75" i="155"/>
  <c r="D97" i="155" s="1"/>
  <c r="D79" i="1538"/>
  <c r="J70" i="155"/>
  <c r="P71" i="155"/>
  <c r="O75" i="155"/>
  <c r="P72" i="155"/>
  <c r="K67" i="155"/>
  <c r="G75" i="155"/>
  <c r="G97" i="155" s="1"/>
  <c r="F75" i="155"/>
  <c r="F97" i="155" s="1"/>
  <c r="J72" i="155"/>
  <c r="T67" i="155"/>
  <c r="O67" i="155"/>
  <c r="J71" i="155"/>
  <c r="T70" i="155"/>
  <c r="O72" i="155"/>
  <c r="J67" i="155"/>
  <c r="E75" i="155"/>
  <c r="E97" i="155" s="1"/>
  <c r="T72" i="155"/>
  <c r="O74" i="155"/>
  <c r="J73" i="155"/>
  <c r="G142" i="121"/>
  <c r="I82" i="155"/>
  <c r="I83" i="155" s="1"/>
  <c r="I93" i="155" s="1"/>
  <c r="T71" i="155"/>
  <c r="N75" i="155"/>
  <c r="T75" i="155"/>
  <c r="S72" i="155"/>
  <c r="N70" i="155"/>
  <c r="Q64" i="155"/>
  <c r="S74" i="155"/>
  <c r="N67" i="155"/>
  <c r="J64" i="155"/>
  <c r="L64" i="155"/>
  <c r="K64" i="155"/>
  <c r="S70" i="155"/>
  <c r="S67" i="155"/>
  <c r="M72" i="155"/>
  <c r="M67" i="155"/>
  <c r="D89" i="155"/>
  <c r="O64" i="155"/>
  <c r="S75" i="155"/>
  <c r="S71" i="155"/>
  <c r="N71" i="155"/>
  <c r="N72" i="155"/>
  <c r="P64" i="155"/>
  <c r="D83" i="1712"/>
  <c r="D86" i="1807"/>
  <c r="R70" i="1807" l="1"/>
  <c r="N74" i="1807"/>
  <c r="J64" i="1807"/>
  <c r="R73" i="1807"/>
  <c r="I64" i="1807"/>
  <c r="Q70" i="1807"/>
  <c r="L71" i="1807"/>
  <c r="P72" i="1807"/>
  <c r="R64" i="1807"/>
  <c r="O67" i="1807"/>
  <c r="O64" i="1807"/>
  <c r="I67" i="1807"/>
  <c r="M70" i="1807"/>
  <c r="L73" i="1807"/>
  <c r="L70" i="1807"/>
  <c r="R71" i="1807"/>
  <c r="M67" i="1807"/>
  <c r="I74" i="1807"/>
  <c r="I96" i="1807" s="1"/>
  <c r="M74" i="1807"/>
  <c r="I73" i="1807"/>
  <c r="S64" i="1807"/>
  <c r="Q73" i="1807"/>
  <c r="M71" i="1807"/>
  <c r="I81" i="1807"/>
  <c r="I82" i="1807" s="1"/>
  <c r="I92" i="1807" s="1"/>
  <c r="Q71" i="1807"/>
  <c r="L74" i="1807"/>
  <c r="Q64" i="1807"/>
  <c r="R74" i="1807"/>
  <c r="I72" i="1807"/>
  <c r="M64" i="1807"/>
  <c r="P74" i="1807"/>
  <c r="M72" i="1807"/>
  <c r="N64" i="1807"/>
  <c r="Q67" i="1807"/>
  <c r="L67" i="1807"/>
  <c r="P71" i="1807"/>
  <c r="L64" i="1807"/>
  <c r="T72" i="1807"/>
  <c r="T64" i="1807"/>
  <c r="Q72" i="1807"/>
  <c r="G74" i="1807"/>
  <c r="G96" i="1807" s="1"/>
  <c r="P67" i="1807"/>
  <c r="L72" i="1807"/>
  <c r="K71" i="1807"/>
  <c r="Q74" i="1807"/>
  <c r="M73" i="1807"/>
  <c r="I71" i="1807"/>
  <c r="H74" i="1807"/>
  <c r="H96" i="1807" s="1"/>
  <c r="F74" i="1807"/>
  <c r="F96" i="1807" s="1"/>
  <c r="P70" i="1807"/>
  <c r="K67" i="1807"/>
  <c r="E74" i="1807"/>
  <c r="E96" i="1807" s="1"/>
  <c r="T73" i="1807"/>
  <c r="D74" i="1807"/>
  <c r="D96" i="1807" s="1"/>
  <c r="P73" i="1807"/>
  <c r="K72" i="1807"/>
  <c r="T67" i="1807"/>
  <c r="T71" i="1807"/>
  <c r="O70" i="1807"/>
  <c r="K74" i="1807"/>
  <c r="K96" i="1807" s="1"/>
  <c r="T74" i="1807"/>
  <c r="O74" i="1807"/>
  <c r="K70" i="1807"/>
  <c r="S73" i="1807"/>
  <c r="T70" i="1807"/>
  <c r="O71" i="1807"/>
  <c r="K73" i="1807"/>
  <c r="S67" i="1807"/>
  <c r="O73" i="1807"/>
  <c r="O72" i="1807"/>
  <c r="J74" i="1807"/>
  <c r="J96" i="1807" s="1"/>
  <c r="S72" i="1807"/>
  <c r="N70" i="1807"/>
  <c r="J71" i="1807"/>
  <c r="S74" i="1807"/>
  <c r="S70" i="1807"/>
  <c r="R67" i="1807"/>
  <c r="N72" i="1807"/>
  <c r="N71" i="1807"/>
  <c r="J67" i="1807"/>
  <c r="J72" i="1807"/>
  <c r="D88" i="1807"/>
  <c r="K64" i="1807"/>
  <c r="S71" i="1807"/>
  <c r="R72" i="1807"/>
  <c r="P64" i="1807"/>
  <c r="N67" i="1807"/>
  <c r="N73" i="1807"/>
  <c r="J70" i="1807"/>
  <c r="J73" i="1807"/>
  <c r="D81" i="1538"/>
  <c r="D81" i="1535"/>
  <c r="E89" i="155"/>
  <c r="I70" i="155"/>
  <c r="G144" i="121"/>
  <c r="Q58" i="1538"/>
  <c r="O58" i="1538"/>
  <c r="O61" i="1538"/>
  <c r="G64" i="1538"/>
  <c r="Q64" i="1538"/>
  <c r="P58" i="1538"/>
  <c r="R58" i="1538"/>
  <c r="H58" i="1538"/>
  <c r="N61" i="1538"/>
  <c r="R64" i="1538"/>
  <c r="H64" i="1538"/>
  <c r="L58" i="1538"/>
  <c r="G74" i="1538"/>
  <c r="G75" i="1538" s="1"/>
  <c r="G85" i="1538" s="1"/>
  <c r="K58" i="1538"/>
  <c r="H61" i="1538"/>
  <c r="M58" i="1538"/>
  <c r="N58" i="1538"/>
  <c r="J58" i="1538"/>
  <c r="R61" i="1538"/>
  <c r="O64" i="1538"/>
  <c r="E64" i="1538"/>
  <c r="Q61" i="1538"/>
  <c r="D64" i="1538"/>
  <c r="P64" i="1538"/>
  <c r="I58" i="1538"/>
  <c r="P61" i="1538"/>
  <c r="F64" i="1538"/>
  <c r="N64" i="1538"/>
  <c r="M64" i="1538"/>
  <c r="L61" i="1538"/>
  <c r="M61" i="1538"/>
  <c r="L64" i="1538"/>
  <c r="K61" i="1538"/>
  <c r="K64" i="1538"/>
  <c r="J64" i="1538"/>
  <c r="J61" i="1538"/>
  <c r="I61" i="1538"/>
  <c r="I64" i="1538"/>
  <c r="I69" i="1711"/>
  <c r="I69" i="1807"/>
  <c r="N70" i="1712"/>
  <c r="K61" i="1712"/>
  <c r="R64" i="1712"/>
  <c r="L68" i="1712"/>
  <c r="L70" i="1712"/>
  <c r="I61" i="1712"/>
  <c r="Q71" i="1712"/>
  <c r="S67" i="1712"/>
  <c r="N67" i="1712"/>
  <c r="J61" i="1712"/>
  <c r="R69" i="1712"/>
  <c r="I68" i="1712"/>
  <c r="S71" i="1712"/>
  <c r="N68" i="1712"/>
  <c r="P61" i="1712"/>
  <c r="H61" i="1712"/>
  <c r="R68" i="1712"/>
  <c r="M64" i="1712"/>
  <c r="I69" i="1712"/>
  <c r="R67" i="1712"/>
  <c r="M71" i="1712"/>
  <c r="P64" i="1712"/>
  <c r="P68" i="1712"/>
  <c r="L71" i="1712"/>
  <c r="H71" i="1712"/>
  <c r="H93" i="1712" s="1"/>
  <c r="S70" i="1712"/>
  <c r="N64" i="1712"/>
  <c r="Q61" i="1712"/>
  <c r="O61" i="1712"/>
  <c r="M67" i="1712"/>
  <c r="I70" i="1712"/>
  <c r="S64" i="1712"/>
  <c r="N71" i="1712"/>
  <c r="M61" i="1712"/>
  <c r="R71" i="1712"/>
  <c r="L64" i="1712"/>
  <c r="S68" i="1712"/>
  <c r="M70" i="1712"/>
  <c r="S61" i="1712"/>
  <c r="R61" i="1712"/>
  <c r="Q67" i="1712"/>
  <c r="S69" i="1712"/>
  <c r="M68" i="1712"/>
  <c r="N61" i="1712"/>
  <c r="L67" i="1712"/>
  <c r="M69" i="1712"/>
  <c r="Q68" i="1712"/>
  <c r="K68" i="1712"/>
  <c r="R70" i="1712"/>
  <c r="I64" i="1712"/>
  <c r="Q64" i="1712"/>
  <c r="H68" i="1712"/>
  <c r="I71" i="1712"/>
  <c r="I93" i="1712" s="1"/>
  <c r="L69" i="1712"/>
  <c r="Q69" i="1712"/>
  <c r="H69" i="1712"/>
  <c r="D85" i="1712"/>
  <c r="Q70" i="1712"/>
  <c r="K71" i="1712"/>
  <c r="K93" i="1712" s="1"/>
  <c r="H67" i="1712"/>
  <c r="K64" i="1712"/>
  <c r="H78" i="1712"/>
  <c r="H79" i="1712" s="1"/>
  <c r="H89" i="1712" s="1"/>
  <c r="P69" i="1712"/>
  <c r="K67" i="1712"/>
  <c r="H70" i="1712"/>
  <c r="P71" i="1712"/>
  <c r="K69" i="1712"/>
  <c r="P70" i="1712"/>
  <c r="K70" i="1712"/>
  <c r="G71" i="1712"/>
  <c r="G93" i="1712" s="1"/>
  <c r="P67" i="1712"/>
  <c r="O71" i="1712"/>
  <c r="J71" i="1712"/>
  <c r="J93" i="1712" s="1"/>
  <c r="D71" i="1712"/>
  <c r="D93" i="1712" s="1"/>
  <c r="O64" i="1712"/>
  <c r="J69" i="1712"/>
  <c r="F71" i="1712"/>
  <c r="F93" i="1712" s="1"/>
  <c r="O70" i="1712"/>
  <c r="J70" i="1712"/>
  <c r="J67" i="1712"/>
  <c r="E71" i="1712"/>
  <c r="E93" i="1712" s="1"/>
  <c r="H66" i="1712"/>
  <c r="H64" i="1712"/>
  <c r="L61" i="1712"/>
  <c r="O68" i="1712"/>
  <c r="O69" i="1712"/>
  <c r="J64" i="1712"/>
  <c r="N69" i="1712"/>
  <c r="J68" i="1712"/>
  <c r="O67" i="1712"/>
  <c r="G64" i="1535"/>
  <c r="J64" i="1535"/>
  <c r="F64" i="1535"/>
  <c r="E64" i="1535"/>
  <c r="O64" i="1535"/>
  <c r="J61" i="1535"/>
  <c r="R61" i="1535"/>
  <c r="P61" i="1535"/>
  <c r="D64" i="1535"/>
  <c r="R64" i="1535"/>
  <c r="H64" i="1535"/>
  <c r="N64" i="1535"/>
  <c r="M61" i="1535"/>
  <c r="Q64" i="1535"/>
  <c r="H61" i="1535"/>
  <c r="O61" i="1535"/>
  <c r="M64" i="1535"/>
  <c r="G74" i="1535"/>
  <c r="G75" i="1535" s="1"/>
  <c r="G85" i="1535" s="1"/>
  <c r="K64" i="1535"/>
  <c r="Q61" i="1535"/>
  <c r="K58" i="1535"/>
  <c r="P64" i="1535"/>
  <c r="H58" i="1535"/>
  <c r="N61" i="1535"/>
  <c r="L64" i="1535"/>
  <c r="L61" i="1535"/>
  <c r="K61" i="1535"/>
  <c r="J58" i="1535"/>
  <c r="I61" i="1535"/>
  <c r="M58" i="1535"/>
  <c r="I64" i="1535"/>
  <c r="P58" i="1535"/>
  <c r="Q58" i="1535"/>
  <c r="O58" i="1535"/>
  <c r="N58" i="1535"/>
  <c r="R58" i="1535"/>
  <c r="L58" i="1535"/>
  <c r="I58" i="1535"/>
  <c r="R67" i="1538" l="1"/>
  <c r="H66" i="1538"/>
  <c r="N66" i="1538"/>
  <c r="R66" i="1538"/>
  <c r="P67" i="1538"/>
  <c r="R65" i="1538"/>
  <c r="G65" i="1538"/>
  <c r="M65" i="1538"/>
  <c r="Q67" i="1538"/>
  <c r="H65" i="1538"/>
  <c r="O66" i="1538"/>
  <c r="O67" i="1538"/>
  <c r="Q65" i="1538"/>
  <c r="H67" i="1538"/>
  <c r="N65" i="1538"/>
  <c r="Q66" i="1538"/>
  <c r="G67" i="1538"/>
  <c r="P66" i="1538"/>
  <c r="O65" i="1538"/>
  <c r="N67" i="1538"/>
  <c r="L65" i="1538"/>
  <c r="L66" i="1538"/>
  <c r="P65" i="1538"/>
  <c r="L67" i="1538"/>
  <c r="M66" i="1538"/>
  <c r="M67" i="1538"/>
  <c r="J65" i="1538"/>
  <c r="K65" i="1538"/>
  <c r="K67" i="1538"/>
  <c r="K66" i="1538"/>
  <c r="J67" i="1538"/>
  <c r="J66" i="1538"/>
  <c r="I65" i="1538"/>
  <c r="I66" i="1538"/>
  <c r="I67" i="1538"/>
  <c r="G66" i="1538"/>
  <c r="J67" i="1535"/>
  <c r="R66" i="1535"/>
  <c r="G65" i="1535"/>
  <c r="H65" i="1535"/>
  <c r="J65" i="1535"/>
  <c r="R67" i="1535"/>
  <c r="L66" i="1535"/>
  <c r="J66" i="1535"/>
  <c r="G67" i="1535"/>
  <c r="I67" i="1535"/>
  <c r="G66" i="1535"/>
  <c r="R65" i="1535"/>
  <c r="I65" i="1535"/>
  <c r="H66" i="1535"/>
  <c r="Q66" i="1535"/>
  <c r="I66" i="1535"/>
  <c r="O67" i="1535"/>
  <c r="Q65" i="1535"/>
  <c r="P66" i="1535"/>
  <c r="P65" i="1535"/>
  <c r="Q67" i="1535"/>
  <c r="H67" i="1535"/>
  <c r="O65" i="1535"/>
  <c r="N66" i="1535"/>
  <c r="P67" i="1535"/>
  <c r="O66" i="1535"/>
  <c r="N65" i="1535"/>
  <c r="N67" i="1535"/>
  <c r="M66" i="1535"/>
  <c r="M67" i="1535"/>
  <c r="M65" i="1535"/>
  <c r="L65" i="1535"/>
  <c r="L67" i="1535"/>
  <c r="K67" i="1535"/>
  <c r="K66" i="1535"/>
  <c r="K65" i="1535"/>
  <c r="I70" i="1807"/>
  <c r="E88" i="1807"/>
  <c r="S64" i="1538"/>
  <c r="T70" i="1538" s="1"/>
  <c r="T72" i="1538" s="1"/>
  <c r="E81" i="1535"/>
  <c r="E81" i="1538"/>
  <c r="H144" i="121"/>
  <c r="S64" i="1535"/>
  <c r="T70" i="1535" s="1"/>
  <c r="T72" i="1535" s="1"/>
  <c r="E85" i="1712"/>
  <c r="I67" i="1712"/>
  <c r="S66" i="1538" l="1"/>
  <c r="S67" i="1538"/>
  <c r="S66" i="1535"/>
  <c r="S67" i="1535"/>
  <c r="S65" i="1535"/>
  <c r="S65" i="1538"/>
  <c r="AC179" i="1814"/>
  <c r="AC194" i="1814" s="1"/>
  <c r="Y205" i="1814"/>
  <c r="Y207" i="1814" s="1"/>
  <c r="Z179" i="1814"/>
  <c r="AC180" i="1814"/>
  <c r="AC42" i="1814" s="1"/>
  <c r="AC52" i="1814" s="1"/>
  <c r="Z180" i="1814"/>
  <c r="Y200" i="1814"/>
  <c r="Y195" i="1814"/>
  <c r="Y185" i="1814"/>
  <c r="Y190" i="1814"/>
  <c r="Y184" i="1814"/>
  <c r="Y194" i="1814"/>
  <c r="Y199" i="1814"/>
  <c r="Y189" i="1814"/>
  <c r="Y41" i="1814"/>
  <c r="Y42" i="1814" s="1"/>
  <c r="Z181" i="1814" l="1"/>
  <c r="Z186" i="1814" s="1"/>
  <c r="AC190" i="1814"/>
  <c r="AC200" i="1814"/>
  <c r="AC185" i="1814"/>
  <c r="AC181" i="1814"/>
  <c r="AC186" i="1814" s="1"/>
  <c r="AC189" i="1814"/>
  <c r="AA191" i="1814"/>
  <c r="AL181" i="1814"/>
  <c r="Z191" i="1814"/>
  <c r="Z201" i="1814"/>
  <c r="Z41" i="1814"/>
  <c r="AL41" i="1814" s="1"/>
  <c r="Y211" i="1814"/>
  <c r="Y208" i="1814"/>
  <c r="Y210" i="1814"/>
  <c r="AA195" i="1814"/>
  <c r="Z42" i="1814"/>
  <c r="AL180" i="1814"/>
  <c r="Z200" i="1814"/>
  <c r="Z195" i="1814"/>
  <c r="AA190" i="1814"/>
  <c r="AD180" i="1814"/>
  <c r="AL179" i="1814"/>
  <c r="AA194" i="1814"/>
  <c r="Z189" i="1814"/>
  <c r="AA189" i="1814"/>
  <c r="Z199" i="1814"/>
  <c r="Z184" i="1814"/>
  <c r="AD179" i="1814"/>
  <c r="AM179" i="1814" s="1"/>
  <c r="Z205" i="1814"/>
  <c r="Y47" i="1814"/>
  <c r="Y52" i="1814"/>
  <c r="Y51" i="1814"/>
  <c r="Y56" i="1814"/>
  <c r="Y46" i="1814"/>
  <c r="Z190" i="1814"/>
  <c r="Y57" i="1814"/>
  <c r="Z185" i="1814"/>
  <c r="Z194" i="1814"/>
  <c r="Y209" i="1814"/>
  <c r="AC47" i="1814"/>
  <c r="AC184" i="1814"/>
  <c r="AC41" i="1814"/>
  <c r="AC57" i="1814"/>
  <c r="AC195" i="1814"/>
  <c r="AC199" i="1814"/>
  <c r="AC205" i="1814"/>
  <c r="AA196" i="1814" l="1"/>
  <c r="Z196" i="1814"/>
  <c r="AC207" i="1814"/>
  <c r="AC210" i="1814" s="1"/>
  <c r="AM194" i="1814"/>
  <c r="AM199" i="1814"/>
  <c r="AC196" i="1814"/>
  <c r="AC201" i="1814"/>
  <c r="AC191" i="1814"/>
  <c r="AL51" i="1814"/>
  <c r="AL46" i="1814"/>
  <c r="AL56" i="1814"/>
  <c r="AA51" i="1814"/>
  <c r="Z56" i="1814"/>
  <c r="Z46" i="1814"/>
  <c r="Z43" i="1814"/>
  <c r="Z64" i="1814" s="1"/>
  <c r="Z51" i="1814"/>
  <c r="AL189" i="1814"/>
  <c r="AL199" i="1814"/>
  <c r="AL184" i="1814"/>
  <c r="AL194" i="1814"/>
  <c r="Z207" i="1814"/>
  <c r="AL205" i="1814"/>
  <c r="AD41" i="1814"/>
  <c r="AM41" i="1814" s="1"/>
  <c r="AD194" i="1814"/>
  <c r="AD184" i="1814"/>
  <c r="AD189" i="1814"/>
  <c r="AD181" i="1814"/>
  <c r="AD205" i="1814"/>
  <c r="AD207" i="1814" s="1"/>
  <c r="AD199" i="1814"/>
  <c r="AL200" i="1814"/>
  <c r="AL195" i="1814"/>
  <c r="AL185" i="1814"/>
  <c r="AL190" i="1814"/>
  <c r="AM184" i="1814"/>
  <c r="AM189" i="1814"/>
  <c r="AL186" i="1814"/>
  <c r="AL191" i="1814"/>
  <c r="AL201" i="1814"/>
  <c r="AL196" i="1814"/>
  <c r="AA52" i="1814"/>
  <c r="Z47" i="1814"/>
  <c r="Z57" i="1814"/>
  <c r="Z52" i="1814"/>
  <c r="AL42" i="1814"/>
  <c r="AD200" i="1814"/>
  <c r="AD185" i="1814"/>
  <c r="AD195" i="1814"/>
  <c r="AD42" i="1814"/>
  <c r="AD190" i="1814"/>
  <c r="AC56" i="1814"/>
  <c r="AC51" i="1814"/>
  <c r="AC43" i="1814"/>
  <c r="AC46" i="1814"/>
  <c r="AM180" i="1814"/>
  <c r="Z50" i="1810" l="1"/>
  <c r="Z65" i="1810" s="1"/>
  <c r="AC209" i="1814"/>
  <c r="AC211" i="1814"/>
  <c r="AC208" i="1814"/>
  <c r="AM207" i="1814"/>
  <c r="AM211" i="1814" s="1"/>
  <c r="AM205" i="1814"/>
  <c r="AM195" i="1814"/>
  <c r="AM200" i="1814"/>
  <c r="AC64" i="1814"/>
  <c r="AC58" i="1814"/>
  <c r="AC48" i="1814"/>
  <c r="AC53" i="1814"/>
  <c r="AD209" i="1814"/>
  <c r="AD210" i="1814"/>
  <c r="AD208" i="1814"/>
  <c r="AD211" i="1814"/>
  <c r="Z48" i="1814"/>
  <c r="AA53" i="1814"/>
  <c r="Z53" i="1814"/>
  <c r="AL43" i="1814"/>
  <c r="Z58" i="1814"/>
  <c r="AD57" i="1814"/>
  <c r="AD52" i="1814"/>
  <c r="AD47" i="1814"/>
  <c r="AM42" i="1814"/>
  <c r="AD43" i="1814"/>
  <c r="AD56" i="1814"/>
  <c r="AD51" i="1814"/>
  <c r="AD46" i="1814"/>
  <c r="AL57" i="1814"/>
  <c r="AL52" i="1814"/>
  <c r="AL47" i="1814"/>
  <c r="AD186" i="1814"/>
  <c r="AD196" i="1814"/>
  <c r="AD191" i="1814"/>
  <c r="AD201" i="1814"/>
  <c r="AM181" i="1814"/>
  <c r="AM190" i="1814"/>
  <c r="AM185" i="1814"/>
  <c r="AM51" i="1814"/>
  <c r="AM46" i="1814"/>
  <c r="AM56" i="1814"/>
  <c r="AA210" i="1814"/>
  <c r="Z210" i="1814"/>
  <c r="Z211" i="1814"/>
  <c r="Z209" i="1814"/>
  <c r="Z208" i="1814"/>
  <c r="AA209" i="1814"/>
  <c r="AL207" i="1814"/>
  <c r="Z51" i="1810" l="1"/>
  <c r="Z66" i="1810" s="1"/>
  <c r="Z60" i="1810"/>
  <c r="Z80" i="1810"/>
  <c r="Z90" i="1810" s="1"/>
  <c r="AL50" i="1810"/>
  <c r="Z55" i="1810"/>
  <c r="AC50" i="1810"/>
  <c r="AM209" i="1814"/>
  <c r="AM196" i="1814"/>
  <c r="AM201" i="1814"/>
  <c r="AM210" i="1814"/>
  <c r="AM208" i="1814"/>
  <c r="AM186" i="1814"/>
  <c r="AM191" i="1814"/>
  <c r="AD64" i="1814"/>
  <c r="AD53" i="1814"/>
  <c r="AD58" i="1814"/>
  <c r="AD48" i="1814"/>
  <c r="AM43" i="1814"/>
  <c r="AL53" i="1814"/>
  <c r="AL58" i="1814"/>
  <c r="AL48" i="1814"/>
  <c r="Z65" i="1814"/>
  <c r="Z70" i="1814"/>
  <c r="Z66" i="1814"/>
  <c r="Z67" i="1814"/>
  <c r="AL64" i="1814"/>
  <c r="AL208" i="1814"/>
  <c r="AL209" i="1814"/>
  <c r="AL211" i="1814"/>
  <c r="AL210" i="1814"/>
  <c r="AM52" i="1814"/>
  <c r="AM57" i="1814"/>
  <c r="AM47" i="1814"/>
  <c r="AC65" i="1814"/>
  <c r="AC66" i="1814"/>
  <c r="AC70" i="1814"/>
  <c r="AC67" i="1814"/>
  <c r="AC60" i="1810" l="1"/>
  <c r="AC65" i="1810"/>
  <c r="AL80" i="1810"/>
  <c r="AL90" i="1810" s="1"/>
  <c r="AL65" i="1810"/>
  <c r="Z56" i="1810"/>
  <c r="Z61" i="1810"/>
  <c r="Z18" i="1821"/>
  <c r="Z31" i="1821" s="1"/>
  <c r="Z105" i="1810"/>
  <c r="Z110" i="1810" s="1"/>
  <c r="AL60" i="1810"/>
  <c r="AL51" i="1810"/>
  <c r="AL66" i="1810" s="1"/>
  <c r="AL55" i="1810"/>
  <c r="Z81" i="1810"/>
  <c r="Z122" i="1810" s="1"/>
  <c r="Z85" i="1810"/>
  <c r="AC55" i="1810"/>
  <c r="AC80" i="1810"/>
  <c r="AC105" i="1810" s="1"/>
  <c r="AC51" i="1810"/>
  <c r="AC66" i="1810" s="1"/>
  <c r="AD50" i="1810"/>
  <c r="AM64" i="1814"/>
  <c r="AM67" i="1814" s="1"/>
  <c r="AD67" i="1814"/>
  <c r="AD70" i="1814"/>
  <c r="AM70" i="1814" s="1"/>
  <c r="AD65" i="1814"/>
  <c r="AD66" i="1814"/>
  <c r="AL70" i="1814"/>
  <c r="AL65" i="1814"/>
  <c r="AL67" i="1814"/>
  <c r="AL66" i="1814"/>
  <c r="AM58" i="1814"/>
  <c r="AM53" i="1814"/>
  <c r="AM48" i="1814"/>
  <c r="AC73" i="1814"/>
  <c r="AC78" i="1814"/>
  <c r="AC83" i="1814"/>
  <c r="AC72" i="1814"/>
  <c r="AC71" i="1814"/>
  <c r="AC93" i="1814"/>
  <c r="Z83" i="1814"/>
  <c r="Z85" i="1814" s="1"/>
  <c r="Z72" i="1814"/>
  <c r="Z71" i="1814"/>
  <c r="Z73" i="1814"/>
  <c r="Z78" i="1814"/>
  <c r="Z93" i="1814"/>
  <c r="AL85" i="1810" l="1"/>
  <c r="AL105" i="1810"/>
  <c r="AL110" i="1810" s="1"/>
  <c r="AM50" i="1810"/>
  <c r="AM65" i="1810" s="1"/>
  <c r="AD65" i="1810"/>
  <c r="Z33" i="1821"/>
  <c r="Z38" i="1821"/>
  <c r="Z32" i="1821"/>
  <c r="AL61" i="1810"/>
  <c r="AL56" i="1810"/>
  <c r="AL81" i="1810"/>
  <c r="AL122" i="1810" s="1"/>
  <c r="AL18" i="1821"/>
  <c r="AL31" i="1821" s="1"/>
  <c r="AC56" i="1810"/>
  <c r="AC18" i="1821"/>
  <c r="AC31" i="1821" s="1"/>
  <c r="Z21" i="1821"/>
  <c r="Z19" i="1821"/>
  <c r="Z20" i="1821"/>
  <c r="Z115" i="1810"/>
  <c r="Z86" i="1810"/>
  <c r="Z91" i="1810"/>
  <c r="Z136" i="1810"/>
  <c r="Z106" i="1810"/>
  <c r="Z111" i="1810" s="1"/>
  <c r="AC61" i="1810"/>
  <c r="AC81" i="1810"/>
  <c r="AC86" i="1810" s="1"/>
  <c r="AC85" i="1810"/>
  <c r="AC90" i="1810"/>
  <c r="AD80" i="1810"/>
  <c r="AD85" i="1810" s="1"/>
  <c r="AD55" i="1810"/>
  <c r="AD60" i="1810"/>
  <c r="AD51" i="1810"/>
  <c r="AM66" i="1814"/>
  <c r="AC115" i="1810"/>
  <c r="AC110" i="1810"/>
  <c r="Z123" i="1810"/>
  <c r="Z124" i="1810"/>
  <c r="Z130" i="1810"/>
  <c r="AM65" i="1814"/>
  <c r="AC85" i="1814"/>
  <c r="AC79" i="1814"/>
  <c r="AC80" i="1814"/>
  <c r="Z86" i="1814"/>
  <c r="Z96" i="1814" s="1"/>
  <c r="Z97" i="1814" s="1"/>
  <c r="AM71" i="1814"/>
  <c r="AM72" i="1814"/>
  <c r="AM93" i="1814"/>
  <c r="AM73" i="1814"/>
  <c r="AL83" i="1814"/>
  <c r="AL85" i="1814" s="1"/>
  <c r="AL71" i="1814"/>
  <c r="AL78" i="1814"/>
  <c r="AL72" i="1814"/>
  <c r="AL93" i="1814"/>
  <c r="AL73" i="1814"/>
  <c r="AD78" i="1814"/>
  <c r="AM78" i="1814" s="1"/>
  <c r="AD71" i="1814"/>
  <c r="AD93" i="1814"/>
  <c r="AD72" i="1814"/>
  <c r="AD73" i="1814"/>
  <c r="AD83" i="1814"/>
  <c r="AD85" i="1814" s="1"/>
  <c r="Z79" i="1814"/>
  <c r="Z80" i="1814"/>
  <c r="AL115" i="1810" l="1"/>
  <c r="AM60" i="1810"/>
  <c r="AM55" i="1810"/>
  <c r="AM80" i="1810"/>
  <c r="AM105" i="1810" s="1"/>
  <c r="AM115" i="1810" s="1"/>
  <c r="AL33" i="1821"/>
  <c r="AL38" i="1821"/>
  <c r="AC33" i="1821"/>
  <c r="AC38" i="1821"/>
  <c r="AL32" i="1821"/>
  <c r="AC32" i="1821"/>
  <c r="AL136" i="1810"/>
  <c r="AL106" i="1810"/>
  <c r="AL116" i="1810" s="1"/>
  <c r="AL86" i="1810"/>
  <c r="AL91" i="1810"/>
  <c r="Z116" i="1810"/>
  <c r="Z50" i="1821"/>
  <c r="Z61" i="1821"/>
  <c r="Z39" i="1821"/>
  <c r="Z45" i="1821"/>
  <c r="Z40" i="1821"/>
  <c r="AM51" i="1810"/>
  <c r="AD18" i="1821"/>
  <c r="AD31" i="1821" s="1"/>
  <c r="AL19" i="1821"/>
  <c r="AL20" i="1821"/>
  <c r="AL21" i="1821"/>
  <c r="AC21" i="1821"/>
  <c r="AC19" i="1821"/>
  <c r="AC20" i="1821"/>
  <c r="AC106" i="1810"/>
  <c r="AC111" i="1810" s="1"/>
  <c r="AC122" i="1810"/>
  <c r="AC130" i="1810" s="1"/>
  <c r="AC91" i="1810"/>
  <c r="AC136" i="1810"/>
  <c r="AD105" i="1810"/>
  <c r="AD115" i="1810" s="1"/>
  <c r="AD90" i="1810"/>
  <c r="AD81" i="1810"/>
  <c r="AD106" i="1810" s="1"/>
  <c r="AD61" i="1810"/>
  <c r="AD56" i="1810"/>
  <c r="AD66" i="1810"/>
  <c r="AL123" i="1810"/>
  <c r="AL124" i="1810"/>
  <c r="AL130" i="1810"/>
  <c r="Z131" i="1810"/>
  <c r="Z139" i="1810" s="1"/>
  <c r="Z140" i="1810" s="1"/>
  <c r="Z141" i="1810" s="1"/>
  <c r="Z87" i="1814"/>
  <c r="Z89" i="1814" s="1"/>
  <c r="AL89" i="1814" s="1"/>
  <c r="AL90" i="1814" s="1"/>
  <c r="AM83" i="1814"/>
  <c r="AM80" i="1814"/>
  <c r="AM79" i="1814"/>
  <c r="AL79" i="1814"/>
  <c r="AL80" i="1814"/>
  <c r="AL86" i="1814"/>
  <c r="AL96" i="1814" s="1"/>
  <c r="AL97" i="1814" s="1"/>
  <c r="AM85" i="1814"/>
  <c r="AC86" i="1814"/>
  <c r="AC96" i="1814" s="1"/>
  <c r="AC97" i="1814" s="1"/>
  <c r="AC103" i="1814" s="1"/>
  <c r="I12" i="1809"/>
  <c r="AD86" i="1814"/>
  <c r="AD96" i="1814" s="1"/>
  <c r="AD97" i="1814" s="1"/>
  <c r="AD103" i="1814" s="1"/>
  <c r="AD111" i="1814" s="1"/>
  <c r="AD79" i="1814"/>
  <c r="AD80" i="1814"/>
  <c r="AM110" i="1810" l="1"/>
  <c r="AM85" i="1810"/>
  <c r="AM90" i="1810"/>
  <c r="AD32" i="1821"/>
  <c r="AD38" i="1821"/>
  <c r="AD33" i="1821"/>
  <c r="AL172" i="1810"/>
  <c r="AL111" i="1810"/>
  <c r="AC123" i="1810"/>
  <c r="AC124" i="1810"/>
  <c r="AM61" i="1810"/>
  <c r="AM18" i="1821"/>
  <c r="AM31" i="1821" s="1"/>
  <c r="AD20" i="1821"/>
  <c r="AD19" i="1821"/>
  <c r="AD21" i="1821"/>
  <c r="Z46" i="1821"/>
  <c r="Z47" i="1821"/>
  <c r="AC116" i="1810"/>
  <c r="AM81" i="1810"/>
  <c r="AM136" i="1810" s="1"/>
  <c r="AL40" i="1821"/>
  <c r="AL61" i="1821"/>
  <c r="AL45" i="1821"/>
  <c r="AL39" i="1821"/>
  <c r="AL50" i="1821"/>
  <c r="AC61" i="1821"/>
  <c r="AC45" i="1821"/>
  <c r="AC39" i="1821"/>
  <c r="AC40" i="1821"/>
  <c r="AC50" i="1821"/>
  <c r="AM56" i="1810"/>
  <c r="AM66" i="1810"/>
  <c r="Z55" i="1821"/>
  <c r="Z56" i="1821" s="1"/>
  <c r="Z64" i="1821" s="1"/>
  <c r="Z65" i="1821" s="1"/>
  <c r="Z66" i="1821" s="1"/>
  <c r="Z52" i="1821"/>
  <c r="Z51" i="1821"/>
  <c r="AD110" i="1810"/>
  <c r="AD86" i="1810"/>
  <c r="AD122" i="1810"/>
  <c r="AD130" i="1810" s="1"/>
  <c r="AD91" i="1810"/>
  <c r="AD136" i="1810"/>
  <c r="Z132" i="1810"/>
  <c r="Z133" i="1810" s="1"/>
  <c r="AL131" i="1810"/>
  <c r="AL139" i="1810" s="1"/>
  <c r="AL140" i="1810" s="1"/>
  <c r="AL141" i="1810" s="1"/>
  <c r="AC131" i="1810"/>
  <c r="AC139" i="1810" s="1"/>
  <c r="AC140" i="1810" s="1"/>
  <c r="AC141" i="1810" s="1"/>
  <c r="AD111" i="1810"/>
  <c r="AD116" i="1810"/>
  <c r="Z90" i="1814"/>
  <c r="AD87" i="1814"/>
  <c r="AD89" i="1814" s="1"/>
  <c r="AD90" i="1814" s="1"/>
  <c r="AM86" i="1814"/>
  <c r="AM96" i="1814" s="1"/>
  <c r="AM97" i="1814" s="1"/>
  <c r="AL87" i="1814"/>
  <c r="AL88" i="1814" s="1"/>
  <c r="AC111" i="1814"/>
  <c r="AM111" i="1814" s="1"/>
  <c r="AM103" i="1814"/>
  <c r="J12" i="1809"/>
  <c r="AC87" i="1814"/>
  <c r="AC89" i="1814" s="1"/>
  <c r="AC90" i="1814" s="1"/>
  <c r="I13" i="1809"/>
  <c r="I14" i="1809"/>
  <c r="I15" i="1809"/>
  <c r="I18" i="1809"/>
  <c r="AM32" i="1821" l="1"/>
  <c r="AM38" i="1821"/>
  <c r="AM33" i="1821"/>
  <c r="AM122" i="1810"/>
  <c r="AM123" i="1810" s="1"/>
  <c r="AM86" i="1810"/>
  <c r="AM91" i="1810"/>
  <c r="AM106" i="1810"/>
  <c r="AM116" i="1810" s="1"/>
  <c r="AC46" i="1821"/>
  <c r="AC47" i="1821"/>
  <c r="AL51" i="1821"/>
  <c r="AL52" i="1821"/>
  <c r="AL55" i="1821"/>
  <c r="AL56" i="1821" s="1"/>
  <c r="AL64" i="1821" s="1"/>
  <c r="AL65" i="1821" s="1"/>
  <c r="AL66" i="1821" s="1"/>
  <c r="AL47" i="1821"/>
  <c r="AL46" i="1821"/>
  <c r="AL111" i="1821"/>
  <c r="AM20" i="1821"/>
  <c r="AM21" i="1821"/>
  <c r="AM19" i="1821"/>
  <c r="AC52" i="1821"/>
  <c r="AC51" i="1821"/>
  <c r="AC55" i="1821"/>
  <c r="AC56" i="1821" s="1"/>
  <c r="AC64" i="1821" s="1"/>
  <c r="AC65" i="1821" s="1"/>
  <c r="AC66" i="1821" s="1"/>
  <c r="Z57" i="1821"/>
  <c r="Z58" i="1821" s="1"/>
  <c r="AD61" i="1821"/>
  <c r="AD45" i="1821"/>
  <c r="AD50" i="1821"/>
  <c r="AD40" i="1821"/>
  <c r="AD39" i="1821"/>
  <c r="AD124" i="1810"/>
  <c r="AD123" i="1810"/>
  <c r="AL132" i="1810"/>
  <c r="AL133" i="1810" s="1"/>
  <c r="AC132" i="1810"/>
  <c r="AC133" i="1810" s="1"/>
  <c r="AD131" i="1810"/>
  <c r="AD139" i="1810" s="1"/>
  <c r="AD140" i="1810" s="1"/>
  <c r="AD141" i="1810" s="1"/>
  <c r="AM87" i="1814"/>
  <c r="AM89" i="1814" s="1"/>
  <c r="AM90" i="1814" s="1"/>
  <c r="J13" i="1809"/>
  <c r="J18" i="1809"/>
  <c r="K12" i="1809"/>
  <c r="J14" i="1809"/>
  <c r="J15" i="1809"/>
  <c r="I19" i="1809"/>
  <c r="I24" i="1809"/>
  <c r="I20" i="1809"/>
  <c r="I21" i="1809"/>
  <c r="AM124" i="1810" l="1"/>
  <c r="AM130" i="1810"/>
  <c r="AM131" i="1810" s="1"/>
  <c r="AM139" i="1810" s="1"/>
  <c r="AM140" i="1810" s="1"/>
  <c r="AM141" i="1810" s="1"/>
  <c r="AM111" i="1810"/>
  <c r="AL57" i="1821"/>
  <c r="AL58" i="1821" s="1"/>
  <c r="AD55" i="1821"/>
  <c r="AD56" i="1821" s="1"/>
  <c r="AD64" i="1821" s="1"/>
  <c r="AD65" i="1821" s="1"/>
  <c r="AD66" i="1821" s="1"/>
  <c r="AD51" i="1821"/>
  <c r="AD52" i="1821"/>
  <c r="AC57" i="1821"/>
  <c r="AC58" i="1821" s="1"/>
  <c r="AD47" i="1821"/>
  <c r="AD46" i="1821"/>
  <c r="AM50" i="1821"/>
  <c r="AM40" i="1821"/>
  <c r="AM39" i="1821"/>
  <c r="AM45" i="1821"/>
  <c r="AM61" i="1821"/>
  <c r="AD132" i="1810"/>
  <c r="AD133" i="1810" s="1"/>
  <c r="J19" i="1809"/>
  <c r="J24" i="1809"/>
  <c r="J21" i="1809"/>
  <c r="J20" i="1809"/>
  <c r="I27" i="1809"/>
  <c r="I32" i="1809"/>
  <c r="I42" i="1809"/>
  <c r="I66" i="1809" s="1"/>
  <c r="I25" i="1809"/>
  <c r="I26" i="1809"/>
  <c r="K14" i="1809"/>
  <c r="K18" i="1809"/>
  <c r="K13" i="1809"/>
  <c r="L12" i="1809"/>
  <c r="AD57" i="1821" l="1"/>
  <c r="AD58" i="1821" s="1"/>
  <c r="AM132" i="1810"/>
  <c r="AM133" i="1810" s="1"/>
  <c r="AM52" i="1821"/>
  <c r="AM55" i="1821"/>
  <c r="AM56" i="1821" s="1"/>
  <c r="AM64" i="1821" s="1"/>
  <c r="AM65" i="1821" s="1"/>
  <c r="AM66" i="1821" s="1"/>
  <c r="AM51" i="1821"/>
  <c r="AM46" i="1821"/>
  <c r="AM47" i="1821"/>
  <c r="L18" i="1809"/>
  <c r="L13" i="1809"/>
  <c r="M12" i="1809"/>
  <c r="L14" i="1809"/>
  <c r="I69" i="1809"/>
  <c r="J27" i="1809"/>
  <c r="J32" i="1809"/>
  <c r="J26" i="1809"/>
  <c r="J25" i="1809"/>
  <c r="K19" i="1809"/>
  <c r="K21" i="1809"/>
  <c r="K24" i="1809"/>
  <c r="K20" i="1809"/>
  <c r="I45" i="1809"/>
  <c r="I33" i="1809"/>
  <c r="I34" i="1809"/>
  <c r="AM57" i="1821" l="1"/>
  <c r="AM58" i="1821" s="1"/>
  <c r="J34" i="1809"/>
  <c r="J33" i="1809"/>
  <c r="M18" i="1809"/>
  <c r="M14" i="1809"/>
  <c r="N12" i="1809"/>
  <c r="M13" i="1809"/>
  <c r="K32" i="1809"/>
  <c r="K25" i="1809"/>
  <c r="K27" i="1809"/>
  <c r="K26" i="1809"/>
  <c r="I67" i="1809"/>
  <c r="I46" i="1809"/>
  <c r="I70" i="1809"/>
  <c r="L21" i="1809"/>
  <c r="L20" i="1809"/>
  <c r="L24" i="1809"/>
  <c r="L53" i="1809" s="1"/>
  <c r="L19" i="1809"/>
  <c r="I92" i="1809" l="1"/>
  <c r="K33" i="1809"/>
  <c r="K34" i="1809"/>
  <c r="O12" i="1809"/>
  <c r="N14" i="1809"/>
  <c r="N18" i="1809"/>
  <c r="N13" i="1809"/>
  <c r="L32" i="1809"/>
  <c r="L25" i="1809"/>
  <c r="L26" i="1809"/>
  <c r="L27" i="1809"/>
  <c r="M21" i="1809"/>
  <c r="M24" i="1809"/>
  <c r="M19" i="1809"/>
  <c r="M20" i="1809"/>
  <c r="L33" i="1809" l="1"/>
  <c r="L34" i="1809"/>
  <c r="M53" i="1809"/>
  <c r="M32" i="1809"/>
  <c r="M27" i="1809"/>
  <c r="M25" i="1809"/>
  <c r="M26" i="1809"/>
  <c r="N19" i="1809"/>
  <c r="N21" i="1809"/>
  <c r="N24" i="1809"/>
  <c r="N20" i="1809"/>
  <c r="P12" i="1809"/>
  <c r="O14" i="1809"/>
  <c r="O18" i="1809"/>
  <c r="O13" i="1809"/>
  <c r="P14" i="1809" l="1"/>
  <c r="Q12" i="1809"/>
  <c r="P18" i="1809"/>
  <c r="P13" i="1809"/>
  <c r="M33" i="1809"/>
  <c r="M34" i="1809"/>
  <c r="N25" i="1809"/>
  <c r="N32" i="1809"/>
  <c r="N26" i="1809"/>
  <c r="N53" i="1809"/>
  <c r="N39" i="1809" s="1"/>
  <c r="N42" i="1809" s="1"/>
  <c r="N27" i="1809"/>
  <c r="O20" i="1809"/>
  <c r="O24" i="1809"/>
  <c r="O19" i="1809"/>
  <c r="O21" i="1809"/>
  <c r="N33" i="1809" l="1"/>
  <c r="N45" i="1809"/>
  <c r="N34" i="1809"/>
  <c r="O25" i="1809"/>
  <c r="O26" i="1809"/>
  <c r="O32" i="1809"/>
  <c r="O27" i="1809"/>
  <c r="O53" i="1809"/>
  <c r="P21" i="1809"/>
  <c r="P19" i="1809"/>
  <c r="P20" i="1809"/>
  <c r="P24" i="1809"/>
  <c r="Q18" i="1809"/>
  <c r="R12" i="1809"/>
  <c r="Q13" i="1809"/>
  <c r="Q14" i="1809"/>
  <c r="Q20" i="1809" l="1"/>
  <c r="Q24" i="1809"/>
  <c r="Q19" i="1809"/>
  <c r="Q21" i="1809"/>
  <c r="O33" i="1809"/>
  <c r="O34" i="1809"/>
  <c r="P25" i="1809"/>
  <c r="P32" i="1809"/>
  <c r="P27" i="1809"/>
  <c r="P26" i="1809"/>
  <c r="P53" i="1809"/>
  <c r="P39" i="1809" s="1"/>
  <c r="P42" i="1809" s="1"/>
  <c r="N51" i="1809"/>
  <c r="N56" i="1809" s="1"/>
  <c r="O39" i="1809"/>
  <c r="O42" i="1809" s="1"/>
  <c r="S12" i="1809"/>
  <c r="R13" i="1809"/>
  <c r="R18" i="1809"/>
  <c r="R14" i="1809"/>
  <c r="O45" i="1809" l="1"/>
  <c r="O46" i="1809" s="1"/>
  <c r="S14" i="1809"/>
  <c r="S13" i="1809"/>
  <c r="S18" i="1809"/>
  <c r="T12" i="1809"/>
  <c r="U12" i="1809" s="1"/>
  <c r="N77" i="1809"/>
  <c r="N57" i="1809"/>
  <c r="Q53" i="1809"/>
  <c r="Q39" i="1809" s="1"/>
  <c r="Q42" i="1809" s="1"/>
  <c r="Q27" i="1809"/>
  <c r="Q25" i="1809"/>
  <c r="Q26" i="1809"/>
  <c r="Q32" i="1809"/>
  <c r="P33" i="1809"/>
  <c r="P34" i="1809"/>
  <c r="P45" i="1809"/>
  <c r="R20" i="1809"/>
  <c r="R21" i="1809"/>
  <c r="R24" i="1809"/>
  <c r="R19" i="1809"/>
  <c r="U18" i="1809" l="1"/>
  <c r="U14" i="1809"/>
  <c r="U13" i="1809"/>
  <c r="O51" i="1809"/>
  <c r="O56" i="1809" s="1"/>
  <c r="O57" i="1809" s="1"/>
  <c r="T14" i="1809"/>
  <c r="T18" i="1809"/>
  <c r="T13" i="1809"/>
  <c r="S19" i="1809"/>
  <c r="S20" i="1809"/>
  <c r="S24" i="1809"/>
  <c r="S21" i="1809"/>
  <c r="Q34" i="1809"/>
  <c r="Q45" i="1809"/>
  <c r="Q33" i="1809"/>
  <c r="P51" i="1809"/>
  <c r="P56" i="1809" s="1"/>
  <c r="P46" i="1809"/>
  <c r="R25" i="1809"/>
  <c r="R32" i="1809"/>
  <c r="R26" i="1809"/>
  <c r="R27" i="1809"/>
  <c r="R53" i="1809"/>
  <c r="R39" i="1809" s="1"/>
  <c r="R42" i="1809" s="1"/>
  <c r="U20" i="1809" l="1"/>
  <c r="U19" i="1809"/>
  <c r="U21" i="1809"/>
  <c r="U24" i="1809"/>
  <c r="O77" i="1809"/>
  <c r="P57" i="1809"/>
  <c r="P77" i="1809"/>
  <c r="Q46" i="1809"/>
  <c r="Q51" i="1809"/>
  <c r="Q56" i="1809" s="1"/>
  <c r="T20" i="1809"/>
  <c r="T24" i="1809"/>
  <c r="T21" i="1809"/>
  <c r="T19" i="1809"/>
  <c r="R34" i="1809"/>
  <c r="R33" i="1809"/>
  <c r="R45" i="1809"/>
  <c r="S32" i="1809"/>
  <c r="S53" i="1809"/>
  <c r="S39" i="1809" s="1"/>
  <c r="S42" i="1809" s="1"/>
  <c r="S27" i="1809"/>
  <c r="S25" i="1809"/>
  <c r="S26" i="1809"/>
  <c r="U32" i="1809" l="1"/>
  <c r="U25" i="1809"/>
  <c r="U53" i="1809"/>
  <c r="U27" i="1809"/>
  <c r="U26" i="1809"/>
  <c r="R51" i="1809"/>
  <c r="R56" i="1809" s="1"/>
  <c r="R46" i="1809"/>
  <c r="S33" i="1809"/>
  <c r="S45" i="1809"/>
  <c r="S34" i="1809"/>
  <c r="T32" i="1809"/>
  <c r="T26" i="1809"/>
  <c r="T25" i="1809"/>
  <c r="T53" i="1809"/>
  <c r="T27" i="1809"/>
  <c r="Q77" i="1809"/>
  <c r="Q57" i="1809"/>
  <c r="T39" i="1809" l="1"/>
  <c r="T42" i="1809" s="1"/>
  <c r="T45" i="1809" s="1"/>
  <c r="U39" i="1809"/>
  <c r="U42" i="1809" s="1"/>
  <c r="U34" i="1809"/>
  <c r="U33" i="1809"/>
  <c r="T33" i="1809"/>
  <c r="T34" i="1809"/>
  <c r="R77" i="1809"/>
  <c r="R57" i="1809"/>
  <c r="S51" i="1809"/>
  <c r="S56" i="1809" s="1"/>
  <c r="S46" i="1809"/>
  <c r="U45" i="1809" l="1"/>
  <c r="U51" i="1809" s="1"/>
  <c r="U56" i="1809" s="1"/>
  <c r="U57" i="1809" s="1"/>
  <c r="T46" i="1809"/>
  <c r="T51" i="1809"/>
  <c r="T56" i="1809" s="1"/>
  <c r="T57" i="1809" s="1"/>
  <c r="S76" i="1809"/>
  <c r="S77" i="1809" s="1"/>
  <c r="S57" i="1809"/>
  <c r="Z103" i="1814"/>
  <c r="U46" i="1809" l="1"/>
  <c r="Z111" i="1814"/>
  <c r="AL103" i="1814"/>
  <c r="Z106" i="1814"/>
  <c r="Z107" i="1814"/>
  <c r="Z149" i="1810" l="1"/>
  <c r="AL149" i="1810" s="1"/>
  <c r="AA106" i="1814"/>
  <c r="AB106" i="1814" s="1"/>
  <c r="AC106" i="1814" s="1"/>
  <c r="AD106" i="1814" s="1"/>
  <c r="AM106" i="1814" s="1"/>
  <c r="AL106" i="1814"/>
  <c r="AL107" i="1814"/>
  <c r="AL108" i="1814" s="1"/>
  <c r="Z108" i="1814"/>
  <c r="AA107" i="1814"/>
  <c r="AL111" i="1814"/>
  <c r="AA108" i="1814" l="1"/>
  <c r="AB107" i="1814"/>
  <c r="AB108" i="1814" l="1"/>
  <c r="AC107" i="1814"/>
  <c r="AC108" i="1814" l="1"/>
  <c r="AD107" i="1814"/>
  <c r="AM107" i="1814" l="1"/>
  <c r="AM108" i="1814" s="1"/>
  <c r="AD108" i="1814"/>
  <c r="AL123" i="121"/>
  <c r="Z124" i="121"/>
  <c r="Z70" i="1821" s="1"/>
  <c r="Z69" i="1821" l="1"/>
  <c r="AL69" i="1821" s="1"/>
  <c r="AL70" i="1821"/>
  <c r="Z145" i="1810"/>
  <c r="I53" i="1809" s="1"/>
  <c r="Z128" i="121"/>
  <c r="Z129" i="121" s="1"/>
  <c r="AL124" i="121"/>
  <c r="Z127" i="121"/>
  <c r="AL127" i="121" s="1"/>
  <c r="Z133" i="121"/>
  <c r="AL145" i="1810" l="1"/>
  <c r="I51" i="1809" s="1"/>
  <c r="I50" i="1809" s="1"/>
  <c r="Z159" i="1810"/>
  <c r="Z144" i="1810"/>
  <c r="AL144" i="1810" s="1"/>
  <c r="Z148" i="1810"/>
  <c r="AL148" i="1810" s="1"/>
  <c r="I54" i="1809"/>
  <c r="AA127" i="121"/>
  <c r="AB127" i="121" s="1"/>
  <c r="Z324" i="121"/>
  <c r="AL324" i="121" s="1"/>
  <c r="AL325" i="121" s="1"/>
  <c r="AA128" i="121"/>
  <c r="AL128" i="121"/>
  <c r="AL129" i="121" s="1"/>
  <c r="AL133" i="121"/>
  <c r="I64" i="1809"/>
  <c r="I65" i="1809"/>
  <c r="I63" i="1809"/>
  <c r="J39" i="1809"/>
  <c r="AL159" i="1810" l="1"/>
  <c r="Z99" i="1821"/>
  <c r="Z160" i="1810"/>
  <c r="Z150" i="1810"/>
  <c r="Z325" i="121"/>
  <c r="Z327" i="121" s="1"/>
  <c r="Z358" i="121" s="1"/>
  <c r="AB128" i="121"/>
  <c r="AA129" i="121"/>
  <c r="J42" i="1809"/>
  <c r="J45" i="1809" s="1"/>
  <c r="AC127" i="121"/>
  <c r="AL160" i="1810" l="1"/>
  <c r="AL99" i="1821"/>
  <c r="AL100" i="1821" s="1"/>
  <c r="Z100" i="1821"/>
  <c r="AL150" i="1810"/>
  <c r="AL73" i="1821" s="1"/>
  <c r="Z73" i="1821"/>
  <c r="AL327" i="121"/>
  <c r="AC128" i="121"/>
  <c r="AB129" i="121"/>
  <c r="J51" i="1809"/>
  <c r="J46" i="1809"/>
  <c r="AL358" i="121"/>
  <c r="Z361" i="121"/>
  <c r="AL361" i="121" s="1"/>
  <c r="AD127" i="121"/>
  <c r="AC129" i="121" l="1"/>
  <c r="AD128" i="121"/>
  <c r="AM127" i="121"/>
  <c r="J53" i="1809"/>
  <c r="J54" i="1809" s="1"/>
  <c r="AD129" i="121" l="1"/>
  <c r="AM128" i="121"/>
  <c r="AM129" i="121" s="1"/>
  <c r="K39" i="1809"/>
  <c r="J56" i="1809"/>
  <c r="J57" i="1809" l="1"/>
  <c r="J59" i="1809"/>
  <c r="J66" i="1809" s="1"/>
  <c r="J77" i="1809"/>
  <c r="K42" i="1809"/>
  <c r="K45" i="1809" s="1"/>
  <c r="K51" i="1809" l="1"/>
  <c r="K46" i="1809"/>
  <c r="J60" i="1809"/>
  <c r="J69" i="1809"/>
  <c r="J70" i="1809"/>
  <c r="J67" i="1809"/>
  <c r="J64" i="1809"/>
  <c r="J63" i="1809"/>
  <c r="J65" i="1809"/>
  <c r="J92" i="1809" l="1"/>
  <c r="K53" i="1809"/>
  <c r="K54" i="1809" s="1"/>
  <c r="L39" i="1809" l="1"/>
  <c r="K56" i="1809"/>
  <c r="K57" i="1809" l="1"/>
  <c r="K77" i="1809"/>
  <c r="K59" i="1809"/>
  <c r="L42" i="1809"/>
  <c r="L45" i="1809" s="1"/>
  <c r="L46" i="1809" l="1"/>
  <c r="L51" i="1809"/>
  <c r="K69" i="1809"/>
  <c r="K67" i="1809"/>
  <c r="K66" i="1809"/>
  <c r="K70" i="1809"/>
  <c r="K60" i="1809"/>
  <c r="K64" i="1809"/>
  <c r="K65" i="1809"/>
  <c r="K63" i="1809"/>
  <c r="K92" i="1809" l="1"/>
  <c r="M39" i="1809" l="1"/>
  <c r="L56" i="1809"/>
  <c r="M42" i="1809" l="1"/>
  <c r="M45" i="1809" s="1"/>
  <c r="L77" i="1809"/>
  <c r="L57" i="1809"/>
  <c r="L59" i="1809"/>
  <c r="M46" i="1809" l="1"/>
  <c r="M51" i="1809"/>
  <c r="M56" i="1809" s="1"/>
  <c r="M59" i="1809" s="1"/>
  <c r="N46" i="1809"/>
  <c r="L60" i="1809"/>
  <c r="L70" i="1809"/>
  <c r="L67" i="1809"/>
  <c r="L92" i="1809" s="1"/>
  <c r="L66" i="1809"/>
  <c r="L69" i="1809"/>
  <c r="L64" i="1809"/>
  <c r="L63" i="1809"/>
  <c r="L65" i="1809"/>
  <c r="M57" i="1809" l="1"/>
  <c r="M77" i="1809"/>
  <c r="I78" i="1809" s="1"/>
  <c r="I88" i="1809" s="1"/>
  <c r="M66" i="1809"/>
  <c r="M63" i="1809"/>
  <c r="M70" i="1809"/>
  <c r="M67" i="1809"/>
  <c r="M69" i="1809"/>
  <c r="M65" i="1809"/>
  <c r="M60" i="1809"/>
  <c r="N59" i="1809"/>
  <c r="M64" i="1809"/>
  <c r="N70" i="1809" l="1"/>
  <c r="N63" i="1809"/>
  <c r="N64" i="1809"/>
  <c r="N65" i="1809"/>
  <c r="N66" i="1809"/>
  <c r="N69" i="1809"/>
  <c r="N67" i="1809"/>
  <c r="N60" i="1809"/>
  <c r="O59" i="1809"/>
  <c r="O65" i="1809" l="1"/>
  <c r="O66" i="1809"/>
  <c r="O69" i="1809"/>
  <c r="P59" i="1809"/>
  <c r="O60" i="1809"/>
  <c r="O63" i="1809"/>
  <c r="O70" i="1809"/>
  <c r="O64" i="1809"/>
  <c r="O67" i="1809"/>
  <c r="P69" i="1809" l="1"/>
  <c r="P64" i="1809"/>
  <c r="P65" i="1809"/>
  <c r="P70" i="1809"/>
  <c r="P67" i="1809"/>
  <c r="Q59" i="1809"/>
  <c r="P60" i="1809"/>
  <c r="P63" i="1809"/>
  <c r="P66" i="1809"/>
  <c r="Q65" i="1809" l="1"/>
  <c r="Q69" i="1809"/>
  <c r="Q67" i="1809"/>
  <c r="Q60" i="1809"/>
  <c r="Q63" i="1809"/>
  <c r="Q70" i="1809"/>
  <c r="R59" i="1809"/>
  <c r="Q66" i="1809"/>
  <c r="Q64" i="1809"/>
  <c r="R63" i="1809" l="1"/>
  <c r="R60" i="1809"/>
  <c r="R65" i="1809"/>
  <c r="R64" i="1809"/>
  <c r="R67" i="1809"/>
  <c r="S59" i="1809"/>
  <c r="R66" i="1809"/>
  <c r="R69" i="1809"/>
  <c r="R70" i="1809"/>
  <c r="S63" i="1809" l="1"/>
  <c r="S60" i="1809"/>
  <c r="T59" i="1809"/>
  <c r="U59" i="1809" s="1"/>
  <c r="S70" i="1809"/>
  <c r="S64" i="1809"/>
  <c r="S69" i="1809"/>
  <c r="S65" i="1809"/>
  <c r="S67" i="1809"/>
  <c r="S66" i="1809"/>
  <c r="U70" i="1809" l="1"/>
  <c r="U69" i="1809"/>
  <c r="U67" i="1809"/>
  <c r="U66" i="1809"/>
  <c r="U60" i="1809"/>
  <c r="U64" i="1809"/>
  <c r="U65" i="1809"/>
  <c r="U63" i="1809"/>
  <c r="T60" i="1809"/>
  <c r="T70" i="1809"/>
  <c r="T67" i="1809"/>
  <c r="T66" i="1809"/>
  <c r="T63" i="1809"/>
  <c r="T65" i="1809"/>
  <c r="T69" i="1809"/>
  <c r="T64" i="18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tc={10CF1D8D-2CF5-47EA-BFEF-45D6C5404ED0}</author>
    <author>tc={82F4199B-C5B9-4349-95F8-07BE7186C220}</author>
    <author>tc={360D52C8-9161-4532-BBB5-FE8B3594F4B4}</author>
    <author>tc={9BC9041A-9076-4B36-887F-0D6A3D89A8E7}</author>
    <author>tc={EEC84CB5-4392-4B0A-8FA4-78117408ED8A}</author>
    <author>tc={ADE2069D-BBE0-4274-B2A1-85172A34CD36}</author>
  </authors>
  <commentList>
    <comment ref="J17" authorId="0" shapeId="0" xr:uid="{10CF1D8D-2CF5-47EA-BFEF-45D6C5404ED0}">
      <text>
        <t>[Threaded comment]
Your version of Excel allows you to read this threaded comment; however, any edits to it will get removed if the file is opened in a newer version of Excel. Learn more: https://go.microsoft.com/fwlink/?linkid=870924
Comment:
    11/14/24 CFO: “There's going to be savings actioned almost on a continual basis over that 2-year period. And there's -- more than half of that will be done before year 1 or by year 1”</t>
      </text>
    </comment>
    <comment ref="K17" authorId="1" shapeId="0" xr:uid="{82F4199B-C5B9-4349-95F8-07BE7186C220}">
      <text>
        <t>[Threaded comment]
Your version of Excel allows you to read this threaded comment; however, any edits to it will get removed if the file is opened in a newer version of Excel. Learn more: https://go.microsoft.com/fwlink/?linkid=870924
Comment:
    11/14/24 CFO: “That takes roughly 3 years for that to fully cycle through”</t>
      </text>
    </comment>
    <comment ref="L17" authorId="2" shapeId="0" xr:uid="{360D52C8-9161-4532-BBB5-FE8B3594F4B4}">
      <text>
        <t>[Threaded comment]
Your version of Excel allows you to read this threaded comment; however, any edits to it will get removed if the file is opened in a newer version of Excel. Learn more: https://go.microsoft.com/fwlink/?linkid=870924
Comment:
    11/14/24 CFO: “That takes roughly 3 years for that to fully cycle through”</t>
      </text>
    </comment>
    <comment ref="L54" authorId="3" shapeId="0" xr:uid="{9BC9041A-9076-4B36-887F-0D6A3D89A8E7}">
      <text>
        <t xml:space="preserve">[Threaded comment]
Your version of Excel allows you to read this threaded comment; however, any edits to it will get removed if the file is opened in a newer version of Excel. Learn more: https://go.microsoft.com/fwlink/?linkid=870924
Comment:
    1Q24: Additionally, we anticipate net leverage at close to be in the range of 4.2x to 4.4x. We have line of sight to bring net leverage toward approximately 3x run rate adjusted EBITDA within 24 months of closing on the transaction and then ultimately returning to our long-term target net leverage range of 2 to 3x. David will go into further detail on this shortly. </t>
      </text>
    </comment>
    <comment ref="M54" authorId="4" shapeId="0" xr:uid="{EEC84CB5-4392-4B0A-8FA4-78117408ED8A}">
      <text>
        <t xml:space="preserve">[Threaded comment]
Your version of Excel allows you to read this threaded comment; however, any edits to it will get removed if the file is opened in a newer version of Excel. Learn more: https://go.microsoft.com/fwlink/?linkid=870924
Comment:
    1Q24: Additionally, we anticipate net leverage at close to be in the range of 4.2x to 4.4x. We have line of sight to bring net leverage toward approximately 3x run rate adjusted EBITDA within 24 months of closing on the transaction and then ultimately returning to our long-term target net leverage range of 2 to 3x. David will go into further detail on this shortly. </t>
      </text>
    </comment>
    <comment ref="D83" authorId="5" shapeId="0" xr:uid="{ADE2069D-BBE0-4274-B2A1-85172A34CD36}">
      <text>
        <t xml:space="preserve">[Threaded comment]
Your version of Excel allows you to read this threaded comment; however, any edits to it will get removed if the file is opened in a newer version of Excel. Learn more: https://go.microsoft.com/fwlink/?linkid=870924
Comment:
    3Q24 presentation: Secured fully committed financing: 7-year term loan, ~$2.185B • Targeted minimum cash: $125M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tc={4E238562-71BC-4F38-95BC-6566D47A8FA0}</author>
    <author>tc={B890FD40-63EE-4C06-AB25-3C4178989309}</author>
    <author>tc={1B1BD723-B316-43F9-A5C0-48BA18C0B184}</author>
  </authors>
  <commentList>
    <comment ref="Z25" authorId="0" shapeId="0" xr:uid="{4E238562-71BC-4F38-95BC-6566D47A8FA0}">
      <text>
        <t>[Threaded comment]
Your version of Excel allows you to read this threaded comment; however, any edits to it will get removed if the file is opened in a newer version of Excel. Learn more: https://go.microsoft.com/fwlink/?linkid=870924
Comment:
    3Q24 call: “We have already made significant progress towards this target with over $10 million of run rate cost synergies actioned on day 1. These savings consist primarily of reductions from combining executive teams, removing duplicative public company costs and combining insurance programs. “</t>
      </text>
    </comment>
    <comment ref="AA25" authorId="1" shapeId="0" xr:uid="{B890FD40-63EE-4C06-AB25-3C4178989309}">
      <text>
        <t xml:space="preserve">[Threaded comment]
Your version of Excel allows you to read this threaded comment; however, any edits to it will get removed if the file is opened in a newer version of Excel. Learn more: https://go.microsoft.com/fwlink/?linkid=870924
Comment:
    3Q24 call: We have also already identified additional synergy opportunities that are expected to approximately double the action synergies within the next 100 days
</t>
      </text>
    </comment>
    <comment ref="AA26" authorId="2" shapeId="0" xr:uid="{1B1BD723-B316-43F9-A5C0-48BA18C0B184}">
      <text>
        <t xml:space="preserve">[Threaded comment]
Your version of Excel allows you to read this threaded comment; however, any edits to it will get removed if the file is opened in a newer version of Excel. Learn more: https://go.microsoft.com/fwlink/?linkid=870924
Comment:
    3Q24 call: We have also already identified additional synergy opportunities that are expected to approximately double the action synergies within the next 100 days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tc={C3D2C991-EBEC-479B-9942-F2844FB5AF5F}</author>
  </authors>
  <commentList>
    <comment ref="H53" authorId="0" shapeId="0" xr:uid="{C3D2C991-EBEC-479B-9942-F2844FB5AF5F}">
      <text>
        <t>[Threaded comment]
Your version of Excel allows you to read this threaded comment; however, any edits to it will get removed if the file is opened in a newer version of Excel. Learn more: https://go.microsoft.com/fwlink/?linkid=870924
Comment:
    40M cash tax guide on 4Q22 call (on AEBITDA guide of 240-255)</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tc={87D89243-256D-4D03-A494-8265427CCC2B}</author>
    <author>tc={E55D7D50-24A1-4B07-A9F9-A8A332E0D0AE}</author>
    <author>tc={FDC52EB5-3016-4DF7-B3B2-F32EB1FD0367}</author>
    <author>tc={7798BD64-BB75-4BE2-9126-F4A0EE5A23F0}</author>
    <author>tc={14794DDA-FFB4-49BF-8E76-E2F6C88A0DC0}</author>
    <author>tc={86E07679-AEAB-49A4-B794-A1451FAC7CDC}</author>
    <author>Katherine Du</author>
    <author>tc={886E5E1B-1D74-4C3E-93AB-3998D37A5B7E}</author>
    <author>tc={8C3496B7-6634-46D1-A1F3-8C76EE0A03EB}</author>
    <author>tc={1C394168-E828-468D-AE3E-DD3AAC9085A5}</author>
    <author>tc={B1C69C35-0D68-4122-9A7E-3E11E7B7D113}</author>
    <author>tc={5DB87789-2914-4F00-82BB-3F71C6072560}</author>
    <author>tc={B680A637-60AB-46E3-B460-B262A0CE2612}</author>
    <author>tc={D5DB6945-22DC-42BF-9141-55EF59C553E2}</author>
    <author>tc={6570B354-D4A2-4DFE-A9DE-352EAE35CAAF}</author>
    <author>tc={FED9859E-720A-433B-8736-B26FF3036CA5}</author>
    <author>tc={8DA17F9F-0BCF-4AA2-95FE-2DCFA0597421}</author>
    <author>tc={DC0E5BF5-83C1-49F4-B948-2B6B508D6A7E}</author>
    <author>tc={FDE3ED95-B704-4071-A3D2-84B16FA7F084}</author>
  </authors>
  <commentList>
    <comment ref="U9" authorId="0" shapeId="0" xr:uid="{87D89243-256D-4D03-A494-8265427CCC2B}">
      <text>
        <t>[Threaded comment]
Your version of Excel allows you to read this threaded comment; however, any edits to it will get removed if the file is opened in a newer version of Excel. Learn more: https://go.microsoft.com/fwlink/?linkid=870924
Comment:
    Includes 1 month of Infinite ID (closed 9/5) 10M annual revenue</t>
      </text>
    </comment>
    <comment ref="V9" authorId="1" shapeId="0" xr:uid="{E55D7D50-24A1-4B07-A9F9-A8A332E0D0AE}">
      <text>
        <t>[Threaded comment]
Your version of Excel allows you to read this threaded comment; however, any edits to it will get removed if the file is opened in a newer version of Excel. Learn more: https://go.microsoft.com/fwlink/?linkid=870924
Comment:
    Includes 3 months of Infinite ID (closed 9/5) 10M annual revenue</t>
      </text>
    </comment>
    <comment ref="U12" authorId="2" shapeId="0" xr:uid="{FDC52EB5-3016-4DF7-B3B2-F32EB1FD0367}">
      <text>
        <t>[Threaded comment]
Your version of Excel allows you to read this threaded comment; however, any edits to it will get removed if the file is opened in a newer version of Excel. Learn more: https://go.microsoft.com/fwlink/?linkid=870924
Comment:
    Q2 - YoY 'slight' decline but QoQ growth
Includes 1 month of Infinite ID (9/5 closed - 10M annual revenue)</t>
      </text>
    </comment>
    <comment ref="V12" authorId="3" shapeId="0" xr:uid="{7798BD64-BB75-4BE2-9126-F4A0EE5A23F0}">
      <text>
        <t>[Threaded comment]
Your version of Excel allows you to read this threaded comment; however, any edits to it will get removed if the file is opened in a newer version of Excel. Learn more: https://go.microsoft.com/fwlink/?linkid=870924
Comment:
    Includes 3 months of Infinite ID (closed 9/5) 10M annual revenue</t>
      </text>
    </comment>
    <comment ref="S13" authorId="4" shapeId="0" xr:uid="{14794DDA-FFB4-49BF-8E76-E2F6C88A0DC0}">
      <text>
        <t>[Threaded comment]
Your version of Excel allows you to read this threaded comment; however, any edits to it will get removed if the file is opened in a newer version of Excel. Learn more: https://go.microsoft.com/fwlink/?linkid=870924
Comment:
    -8-11% decline 4Q22 guide</t>
      </text>
    </comment>
    <comment ref="T13" authorId="5" shapeId="0" xr:uid="{86E07679-AEAB-49A4-B794-A1451FAC7CDC}">
      <text>
        <t>[Threaded comment]
Your version of Excel allows you to read this threaded comment; however, any edits to it will get removed if the file is opened in a newer version of Excel. Learn more: https://go.microsoft.com/fwlink/?linkid=870924
Comment:
    -8-11% decline 4Q22 guide</t>
      </text>
    </comment>
    <comment ref="AG13" authorId="6" shapeId="0" xr:uid="{DAE5B426-53F1-4880-B19C-CBA890F5507E}">
      <text>
        <r>
          <rPr>
            <b/>
            <sz val="9"/>
            <color indexed="81"/>
            <rFont val="Tahoma"/>
            <family val="2"/>
          </rPr>
          <t>Katherine Du:</t>
        </r>
        <r>
          <rPr>
            <sz val="9"/>
            <color indexed="81"/>
            <rFont val="Tahoma"/>
            <family val="2"/>
          </rPr>
          <t xml:space="preserve">
FA 1Q21 Earnings Presentation p. 12/23</t>
        </r>
      </text>
    </comment>
    <comment ref="AG14" authorId="6" shapeId="0" xr:uid="{654ABD0D-3B4D-4FAF-93BB-13DEEA2545DD}">
      <text>
        <r>
          <rPr>
            <b/>
            <sz val="9"/>
            <color indexed="81"/>
            <rFont val="Tahoma"/>
            <family val="2"/>
          </rPr>
          <t>Katherine Du:</t>
        </r>
        <r>
          <rPr>
            <sz val="9"/>
            <color indexed="81"/>
            <rFont val="Tahoma"/>
            <family val="2"/>
          </rPr>
          <t xml:space="preserve">
FA 1Q21 Earnings Presentation p. 12/23</t>
        </r>
      </text>
    </comment>
    <comment ref="U46" authorId="7" shapeId="0" xr:uid="{886E5E1B-1D74-4C3E-93AB-3998D37A5B7E}">
      <text>
        <t>[Threaded comment]
Your version of Excel allows you to read this threaded comment; however, any edits to it will get removed if the file is opened in a newer version of Excel. Learn more: https://go.microsoft.com/fwlink/?linkid=870924
Comment:
    Per CFO on 4Q23 follow up call</t>
      </text>
    </comment>
    <comment ref="V46" authorId="8" shapeId="0" xr:uid="{8C3496B7-6634-46D1-A1F3-8C76EE0A03EB}">
      <text>
        <t>[Threaded comment]
Your version of Excel allows you to read this threaded comment; however, any edits to it will get removed if the file is opened in a newer version of Excel. Learn more: https://go.microsoft.com/fwlink/?linkid=870924
Comment:
    Per CFO on 4Q23 follow up call</t>
      </text>
    </comment>
    <comment ref="G73" authorId="6" shapeId="0" xr:uid="{17A617DC-3622-4881-9B25-31105358089A}">
      <text>
        <r>
          <rPr>
            <b/>
            <sz val="9"/>
            <color indexed="81"/>
            <rFont val="Tahoma"/>
            <family val="2"/>
          </rPr>
          <t>Katherine Du:</t>
        </r>
        <r>
          <rPr>
            <sz val="9"/>
            <color indexed="81"/>
            <rFont val="Tahoma"/>
            <family val="2"/>
          </rPr>
          <t xml:space="preserve">
Subtract 9.423 in transaction expenses in normal course of business</t>
        </r>
      </text>
    </comment>
    <comment ref="AH73" authorId="6" shapeId="0" xr:uid="{FD4516CC-0485-4AAF-A35E-306490B1C130}">
      <text>
        <r>
          <rPr>
            <b/>
            <sz val="9"/>
            <color indexed="81"/>
            <rFont val="Tahoma"/>
            <family val="2"/>
          </rPr>
          <t>Katherine Du:</t>
        </r>
        <r>
          <rPr>
            <sz val="9"/>
            <color indexed="81"/>
            <rFont val="Tahoma"/>
            <family val="2"/>
          </rPr>
          <t xml:space="preserve">
Adj. for 9.423 transaction expenses in normal course of business</t>
        </r>
      </text>
    </comment>
    <comment ref="U75" authorId="9" shapeId="0" xr:uid="{1C394168-E828-468D-AE3E-DD3AAC9085A5}">
      <text>
        <t xml:space="preserve">[Threaded comment]
Your version of Excel allows you to read this threaded comment; however, any edits to it will get removed if the file is opened in a newer version of Excel. Learn more: https://go.microsoft.com/fwlink/?linkid=870924
Comment:
    Q2 - YoY 'slight' decline but QoQ growth
</t>
      </text>
    </comment>
    <comment ref="S87" authorId="10" shapeId="0" xr:uid="{B1C69C35-0D68-4122-9A7E-3E11E7B7D113}">
      <text>
        <t>[Threaded comment]
Your version of Excel allows you to read this threaded comment; however, any edits to it will get removed if the file is opened in a newer version of Excel. Learn more: https://go.microsoft.com/fwlink/?linkid=870924
Comment:
    27-28% 4Q22 guide, lowest margin quarter</t>
      </text>
    </comment>
    <comment ref="T87" authorId="11" shapeId="0" xr:uid="{5DB87789-2914-4F00-82BB-3F71C6072560}">
      <text>
        <t>[Threaded comment]
Your version of Excel allows you to read this threaded comment; however, any edits to it will get removed if the file is opened in a newer version of Excel. Learn more: https://go.microsoft.com/fwlink/?linkid=870924
Comment:
    Over 30%</t>
      </text>
    </comment>
    <comment ref="U87" authorId="12" shapeId="0" xr:uid="{B680A637-60AB-46E3-B460-B262A0CE2612}">
      <text>
        <t>[Threaded comment]
Your version of Excel allows you to read this threaded comment; however, any edits to it will get removed if the file is opened in a newer version of Excel. Learn more: https://go.microsoft.com/fwlink/?linkid=870924
Comment:
    Q1 - Margin improvement QoQ similar to FY22; Q2 - 2H over 30%</t>
      </text>
    </comment>
    <comment ref="V87" authorId="13" shapeId="0" xr:uid="{D5DB6945-22DC-42BF-9141-55EF59C553E2}">
      <text>
        <t>[Threaded comment]
Your version of Excel allows you to read this threaded comment; however, any edits to it will get removed if the file is opened in a newer version of Excel. Learn more: https://go.microsoft.com/fwlink/?linkid=870924
Comment:
    Q1 - Margin improvement QoQ similar to FY22; Q2 - 2H over 30%
Q3 - 4Q margins of ~33%</t>
      </text>
    </comment>
    <comment ref="Y90" authorId="14" shapeId="0" xr:uid="{6570B354-D4A2-4DFE-A9DE-352EAE35CAAF}">
      <text>
        <t>[Threaded comment]
Your version of Excel allows you to read this threaded comment; however, any edits to it will get removed if the file is opened in a newer version of Excel. Learn more: https://go.microsoft.com/fwlink/?linkid=870924
Comment:
    Was 9.5M less 6.6M of incrementally recognized SBC for CFO and President Americas accelerated vesting; using 5M as normalized rate ongoing</t>
      </text>
    </comment>
    <comment ref="AL96" authorId="15" shapeId="0" xr:uid="{FED9859E-720A-433B-8736-B26FF3036CA5}">
      <text>
        <t>[Threaded comment]
Your version of Excel allows you to read this threaded comment; however, any edits to it will get removed if the file is opened in a newer version of Excel. Learn more: https://go.microsoft.com/fwlink/?linkid=870924
Comment:
    Q1 guide 30-33</t>
      </text>
    </comment>
    <comment ref="A103" authorId="16" shapeId="0" xr:uid="{8DA17F9F-0BCF-4AA2-95FE-2DCFA0597421}">
      <text>
        <t>[Threaded comment]
Your version of Excel allows you to read this threaded comment; however, any edits to it will get removed if the file is opened in a newer version of Excel. Learn more: https://go.microsoft.com/fwlink/?linkid=870924
Comment:
    (ex-acquisition-related)</t>
      </text>
    </comment>
    <comment ref="AL103" authorId="17" shapeId="0" xr:uid="{DC0E5BF5-83C1-49F4-B948-2B6B508D6A7E}">
      <text>
        <t>[Threaded comment]
Your version of Excel allows you to read this threaded comment; however, any edits to it will get removed if the file is opened in a newer version of Excel. Learn more: https://go.microsoft.com/fwlink/?linkid=870924
Comment:
    Q1 guide 29-33</t>
      </text>
    </comment>
    <comment ref="AL105" authorId="18" shapeId="0" xr:uid="{FDE3ED95-B704-4071-A3D2-84B16FA7F084}">
      <text>
        <t>[Threaded comment]
Your version of Excel allows you to read this threaded comment; however, any edits to it will get removed if the file is opened in a newer version of Excel. Learn more: https://go.microsoft.com/fwlink/?linkid=870924
Comment:
    Q1 guide 28-32</t>
      </text>
    </comment>
    <comment ref="AF111" authorId="6" shapeId="0" xr:uid="{ED96A2D7-F624-4574-BFCA-8019CA1E9F8C}">
      <text>
        <r>
          <rPr>
            <b/>
            <sz val="9"/>
            <color indexed="81"/>
            <rFont val="Tahoma"/>
            <family val="2"/>
          </rPr>
          <t>Katherine Du:</t>
        </r>
        <r>
          <rPr>
            <sz val="9"/>
            <color indexed="81"/>
            <rFont val="Tahoma"/>
            <family val="2"/>
          </rPr>
          <t xml:space="preserve">
FA 1Q22 Earnings Presentation p. 12/23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tc={730F0E37-9848-42BB-AB29-A34B6746C266}</author>
  </authors>
  <commentList>
    <comment ref="AL214" authorId="0" shapeId="0" xr:uid="{730F0E37-9848-42BB-AB29-A34B6746C266}">
      <text>
        <t>[Threaded comment]
Your version of Excel allows you to read this threaded comment; however, any edits to it will get removed if the file is opened in a newer version of Excel. Learn more: https://go.microsoft.com/fwlink/?linkid=870924
Comment:
    "a number of other corporate expenses that increased primarily as a result of the Company now being a publicly traded company and the Company’s acquisition activity.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tc={D19BEB69-FE74-48CD-9791-DB915EB41F4B}</author>
    <author>tc={718826BD-CC21-48D5-B96E-DAA7F9A06A61}</author>
    <author>tc={5188358C-D804-439C-A3B0-5360A67A55EB}</author>
    <author>tc={A9A7A6D3-FDE2-4A5A-8C0C-3227BA333B2F}</author>
    <author>tc={B1445A29-3EEE-4D7E-8FCF-0E6CA842577B}</author>
  </authors>
  <commentList>
    <comment ref="U64" authorId="0" shapeId="0" xr:uid="{D19BEB69-FE74-48CD-9791-DB915EB41F4B}">
      <text>
        <t xml:space="preserve">[Threaded comment]
Your version of Excel allows you to read this threaded comment; however, any edits to it will get removed if the file is opened in a newer version of Excel. Learn more: https://go.microsoft.com/fwlink/?linkid=870924
Comment:
    Q2 - YoY 'slight' decline but QoQ growth
</t>
      </text>
    </comment>
    <comment ref="T66" authorId="1" shapeId="0" xr:uid="{718826BD-CC21-48D5-B96E-DAA7F9A06A61}">
      <text>
        <t>[Threaded comment]
Your version of Excel allows you to read this threaded comment; however, any edits to it will get removed if the file is opened in a newer version of Excel. Learn more: https://go.microsoft.com/fwlink/?linkid=870924
Comment:
    Over 30%</t>
      </text>
    </comment>
    <comment ref="U66" authorId="2" shapeId="0" xr:uid="{5188358C-D804-439C-A3B0-5360A67A55EB}">
      <text>
        <t>[Threaded comment]
Your version of Excel allows you to read this threaded comment; however, any edits to it will get removed if the file is opened in a newer version of Excel. Learn more: https://go.microsoft.com/fwlink/?linkid=870924
Comment:
    Q1 - Margin improvement QoQ similar to FY22; Q2 - 2H over 30%</t>
      </text>
    </comment>
    <comment ref="A82" authorId="3" shapeId="0" xr:uid="{A9A7A6D3-FDE2-4A5A-8C0C-3227BA333B2F}">
      <text>
        <t>[Threaded comment]
Your version of Excel allows you to read this threaded comment; however, any edits to it will get removed if the file is opened in a newer version of Excel. Learn more: https://go.microsoft.com/fwlink/?linkid=870924
Comment:
    (ex-acquisition-related)</t>
      </text>
    </comment>
    <comment ref="A168" authorId="4" shapeId="0" xr:uid="{B1445A29-3EEE-4D7E-8FCF-0E6CA842577B}">
      <text>
        <t>[Threaded comment]
Your version of Excel allows you to read this threaded comment; however, any edits to it will get removed if the file is opened in a newer version of Excel. Learn more: https://go.microsoft.com/fwlink/?linkid=870924
Comment:
    Excl. impairment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tc={A0AA6BE4-0A66-4DB8-938D-63733529DE3F}</author>
    <author>tc={2BC162F6-E595-427D-9B46-7CF2F68724A1}</author>
  </authors>
  <commentList>
    <comment ref="H125" authorId="0" shapeId="0" xr:uid="{A0AA6BE4-0A66-4DB8-938D-63733529DE3F}">
      <text>
        <t>[Threaded comment]
Your version of Excel allows you to read this threaded comment; however, any edits to it will get removed if the file is opened in a newer version of Excel. Learn more: https://go.microsoft.com/fwlink/?linkid=870924
Comment:
    Per IR 3.1.24</t>
      </text>
    </comment>
    <comment ref="C128" authorId="1" shapeId="0" xr:uid="{2BC162F6-E595-427D-9B46-7CF2F68724A1}">
      <text>
        <t>[Threaded comment]
Your version of Excel allows you to read this threaded comment; however, any edits to it will get removed if the file is opened in a newer version of Excel. Learn more: https://go.microsoft.com/fwlink/?linkid=870924
Comment:
    Midpoint of 125-142 adj net income range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ET</author>
    <author>Tegus (WW)</author>
  </authors>
  <commentList>
    <comment ref="X11" authorId="0" shapeId="0" xr:uid="{6BEB8AE5-8DD0-43EF-BA8F-CB72E1D20EB7}">
      <text>
        <r>
          <rPr>
            <b/>
            <sz val="9"/>
            <rFont val="Tahoma"/>
            <family val="2"/>
          </rPr>
          <t>Tegus (SK):</t>
        </r>
        <r>
          <rPr>
            <sz val="9"/>
            <rFont val="Tahoma"/>
            <family val="2"/>
          </rPr>
          <t xml:space="preserve">
6 month</t>
        </r>
      </text>
    </comment>
    <comment ref="AG11" authorId="0" shapeId="0" xr:uid="{ED3BFFEE-7154-4B41-8A5A-3CF955A74B61}">
      <text>
        <r>
          <rPr>
            <b/>
            <sz val="9"/>
            <rFont val="Tahoma"/>
            <family val="2"/>
          </rPr>
          <t>Tegus (AG):</t>
        </r>
        <r>
          <rPr>
            <sz val="9"/>
            <rFont val="Tahoma"/>
            <family val="2"/>
          </rPr>
          <t xml:space="preserve">
Plus up-sell</t>
        </r>
      </text>
    </comment>
    <comment ref="AJ11" authorId="1" shapeId="0" xr:uid="{7938A2C5-8A96-4ABD-B2D0-3400E2D93E45}">
      <text>
        <r>
          <rPr>
            <b/>
            <sz val="9"/>
            <rFont val="Tahoma"/>
            <family val="2"/>
          </rPr>
          <t>Tegus (WW):</t>
        </r>
        <r>
          <rPr>
            <sz val="9"/>
            <rFont val="Tahoma"/>
            <family val="2"/>
          </rPr>
          <t xml:space="preserve">
not including up-sell/cross-sell</t>
        </r>
      </text>
    </comment>
    <comment ref="X12" authorId="0" shapeId="0" xr:uid="{D93307D5-5124-431F-BC55-F9699AC7693D}">
      <text>
        <r>
          <rPr>
            <b/>
            <sz val="9"/>
            <rFont val="Tahoma"/>
            <family val="2"/>
          </rPr>
          <t>Tegus (SK):</t>
        </r>
        <r>
          <rPr>
            <sz val="9"/>
            <rFont val="Tahoma"/>
            <family val="2"/>
          </rPr>
          <t xml:space="preserve">
6 month</t>
        </r>
      </text>
    </comment>
    <comment ref="AD12" authorId="0" shapeId="0" xr:uid="{DFB1C94B-47E8-44E3-AFC1-4C26079C3594}">
      <text>
        <r>
          <rPr>
            <b/>
            <sz val="9"/>
            <rFont val="Tahoma"/>
            <family val="2"/>
          </rPr>
          <t>Tegus (HZ):</t>
        </r>
        <r>
          <rPr>
            <sz val="9"/>
            <rFont val="Tahoma"/>
            <family val="2"/>
          </rPr>
          <t xml:space="preserve">
Not reported</t>
        </r>
      </text>
    </comment>
    <comment ref="AE12" authorId="0" shapeId="0" xr:uid="{5AB8A9B1-B30D-4F33-AE42-63F362282553}">
      <text>
        <r>
          <rPr>
            <b/>
            <sz val="9"/>
            <rFont val="Tahoma"/>
            <family val="2"/>
          </rPr>
          <t>Tegus (NC):</t>
        </r>
        <r>
          <rPr>
            <sz val="9"/>
            <rFont val="Tahoma"/>
            <family val="2"/>
          </rPr>
          <t xml:space="preserve">
Not reported</t>
        </r>
      </text>
    </comment>
    <comment ref="AF12" authorId="0" shapeId="0" xr:uid="{54F1B21F-249C-449D-A9A1-257EA5CEF774}">
      <text>
        <r>
          <rPr>
            <b/>
            <sz val="9"/>
            <rFont val="Tahoma"/>
            <family val="2"/>
          </rPr>
          <t>Tegus (KS):</t>
        </r>
        <r>
          <rPr>
            <sz val="9"/>
            <rFont val="Tahoma"/>
            <family val="2"/>
          </rPr>
          <t xml:space="preserve">
Not reported</t>
        </r>
      </text>
    </comment>
    <comment ref="X13" authorId="0" shapeId="0" xr:uid="{E4C7667E-BF1E-4DFA-9EB6-7952EE3D18C5}">
      <text>
        <r>
          <rPr>
            <b/>
            <sz val="9"/>
            <rFont val="Tahoma"/>
            <family val="2"/>
          </rPr>
          <t>Tegus (SK):</t>
        </r>
        <r>
          <rPr>
            <sz val="9"/>
            <rFont val="Tahoma"/>
            <family val="2"/>
          </rPr>
          <t xml:space="preserve">
6 month</t>
        </r>
      </text>
    </comment>
    <comment ref="AA13" authorId="0" shapeId="0" xr:uid="{F878294E-5C9C-4AC9-9EFC-2D21B70EADBF}">
      <text>
        <r>
          <rPr>
            <b/>
            <sz val="9"/>
            <rFont val="Tahoma"/>
            <family val="2"/>
          </rPr>
          <t>Tegus (EC):</t>
        </r>
        <r>
          <rPr>
            <sz val="9"/>
            <rFont val="Tahoma"/>
            <family val="2"/>
          </rPr>
          <t xml:space="preserve">
Double digit revenue growth</t>
        </r>
      </text>
    </comment>
    <comment ref="AC13" authorId="0" shapeId="0" xr:uid="{8218AC99-31A5-451E-ABFD-637FFD7C4B43}">
      <text>
        <r>
          <rPr>
            <b/>
            <sz val="9"/>
            <rFont val="Tahoma"/>
            <family val="2"/>
          </rPr>
          <t>Tegus (BL):</t>
        </r>
        <r>
          <rPr>
            <sz val="9"/>
            <rFont val="Tahoma"/>
            <family val="2"/>
          </rPr>
          <t xml:space="preserve">
double-digit revenue growth in APAC</t>
        </r>
      </text>
    </comment>
    <comment ref="BD13" authorId="0" shapeId="0" xr:uid="{42E4EAF0-C8DC-4A26-AEFB-53DE1C80B56E}">
      <text>
        <r>
          <rPr>
            <b/>
            <sz val="9"/>
            <rFont val="Tahoma"/>
            <family val="2"/>
          </rPr>
          <t>Tegus (KB):</t>
        </r>
        <r>
          <rPr>
            <sz val="9"/>
            <rFont val="Tahoma"/>
            <family val="2"/>
          </rPr>
          <t xml:space="preserve">
More than 50%</t>
        </r>
      </text>
    </comment>
    <comment ref="BE13" authorId="0" shapeId="0" xr:uid="{6B73208F-7BE1-4259-8161-A20B03A4EFBA}">
      <text>
        <r>
          <rPr>
            <b/>
            <sz val="9"/>
            <rFont val="Tahoma"/>
            <family val="2"/>
          </rPr>
          <t>Tegus (HZ):</t>
        </r>
        <r>
          <rPr>
            <sz val="9"/>
            <rFont val="Tahoma"/>
            <family val="2"/>
          </rPr>
          <t xml:space="preserve">
double-digits revenue growth in APAC region</t>
        </r>
      </text>
    </comment>
    <comment ref="W15" authorId="0" shapeId="0" xr:uid="{760A0583-17C1-4FFC-A5AC-8E04AE20E0AC}">
      <text>
        <r>
          <rPr>
            <b/>
            <sz val="9"/>
            <rFont val="Tahoma"/>
            <family val="2"/>
          </rPr>
          <t>Tegus (EC):</t>
        </r>
        <r>
          <rPr>
            <sz val="9"/>
            <rFont val="Tahoma"/>
            <family val="2"/>
          </rPr>
          <t xml:space="preserve">
Backfilled from Q1 2022 10Q</t>
        </r>
      </text>
    </comment>
    <comment ref="X15" authorId="0" shapeId="0" xr:uid="{D5BC6C4C-1736-4EA4-AC32-B092A065E24C}">
      <text>
        <r>
          <rPr>
            <b/>
            <sz val="9"/>
            <rFont val="Tahoma"/>
            <family val="2"/>
          </rPr>
          <t>Tegus (KB):</t>
        </r>
        <r>
          <rPr>
            <sz val="9"/>
            <rFont val="Tahoma"/>
            <family val="2"/>
          </rPr>
          <t xml:space="preserve">
Backfilled from Q2 2022 10Q</t>
        </r>
      </text>
    </comment>
    <comment ref="W20" authorId="0" shapeId="0" xr:uid="{7F65E2D7-020C-4AEB-98B4-4963DA40BD99}">
      <text>
        <r>
          <rPr>
            <b/>
            <sz val="9"/>
            <rFont val="Tahoma"/>
            <family val="2"/>
          </rPr>
          <t>Tegus (EC):</t>
        </r>
        <r>
          <rPr>
            <sz val="9"/>
            <rFont val="Tahoma"/>
            <family val="2"/>
          </rPr>
          <t xml:space="preserve">
Backfilled from Q1 2022 10Q</t>
        </r>
      </text>
    </comment>
    <comment ref="X20" authorId="0" shapeId="0" xr:uid="{B8A4D511-5F5E-4DE1-AC68-CABD05910041}">
      <text>
        <r>
          <rPr>
            <b/>
            <sz val="9"/>
            <rFont val="Tahoma"/>
            <family val="2"/>
          </rPr>
          <t>Tegus (KB):</t>
        </r>
        <r>
          <rPr>
            <sz val="9"/>
            <rFont val="Tahoma"/>
            <family val="2"/>
          </rPr>
          <t xml:space="preserve">
Backfilled from Q2 2022 10Q</t>
        </r>
      </text>
    </comment>
    <comment ref="T21" authorId="0" shapeId="0" xr:uid="{10850E1C-C26F-4A85-8A4D-30DDB0425F80}">
      <text>
        <r>
          <rPr>
            <b/>
            <sz val="9"/>
            <rFont val="Tahoma"/>
            <family val="2"/>
          </rPr>
          <t>Tegus (EC):</t>
        </r>
        <r>
          <rPr>
            <sz val="9"/>
            <rFont val="Tahoma"/>
            <family val="2"/>
          </rPr>
          <t xml:space="preserve">
backed out using 9 months data</t>
        </r>
      </text>
    </comment>
    <comment ref="T22" authorId="0" shapeId="0" xr:uid="{F9B46F49-A0B1-45CE-84D6-9E3617C7D8C3}">
      <text>
        <r>
          <rPr>
            <b/>
            <sz val="9"/>
            <rFont val="Tahoma"/>
            <family val="2"/>
          </rPr>
          <t>Tegus (EC):</t>
        </r>
        <r>
          <rPr>
            <sz val="9"/>
            <rFont val="Tahoma"/>
            <family val="2"/>
          </rPr>
          <t xml:space="preserve">
backed out using 9 months data</t>
        </r>
      </text>
    </comment>
    <comment ref="X28" authorId="0" shapeId="0" xr:uid="{DCA6C9FA-128B-4B28-AA31-2C389468D189}">
      <text>
        <r>
          <rPr>
            <b/>
            <sz val="9"/>
            <rFont val="Tahoma"/>
            <family val="2"/>
          </rPr>
          <t>Tegus (SK):</t>
        </r>
        <r>
          <rPr>
            <sz val="9"/>
            <rFont val="Tahoma"/>
            <family val="2"/>
          </rPr>
          <t xml:space="preserve">
Over 40K clients</t>
        </r>
      </text>
    </comment>
    <comment ref="Y28" authorId="0" shapeId="0" xr:uid="{926D81DA-DB36-47C7-986F-F20CC2710207}">
      <text>
        <r>
          <rPr>
            <b/>
            <sz val="9"/>
            <rFont val="Tahoma"/>
            <family val="2"/>
          </rPr>
          <t>Tegus (EC):</t>
        </r>
        <r>
          <rPr>
            <sz val="9"/>
            <rFont val="Tahoma"/>
            <family val="2"/>
          </rPr>
          <t xml:space="preserve">
47,000+</t>
        </r>
      </text>
    </comment>
    <comment ref="Z28" authorId="0" shapeId="0" xr:uid="{6ECE3431-EC2A-4F88-AD43-F84BFCB2DDB8}">
      <text>
        <r>
          <rPr>
            <b/>
            <sz val="9"/>
            <rFont val="Tahoma"/>
            <family val="2"/>
          </rPr>
          <t>Tegus (AK):</t>
        </r>
        <r>
          <rPr>
            <sz val="9"/>
            <rFont val="Tahoma"/>
            <family val="2"/>
          </rPr>
          <t xml:space="preserve">
over 50,000</t>
        </r>
      </text>
    </comment>
    <comment ref="AA28" authorId="0" shapeId="0" xr:uid="{A0033D65-177F-440A-9761-A597F302F9F8}">
      <text>
        <r>
          <rPr>
            <b/>
            <sz val="9"/>
            <rFont val="Tahoma"/>
            <family val="2"/>
          </rPr>
          <t>Tegus (DH):</t>
        </r>
        <r>
          <rPr>
            <sz val="9"/>
            <rFont val="Tahoma"/>
            <family val="2"/>
          </rPr>
          <t xml:space="preserve">
50K+ reported in IP</t>
        </r>
      </text>
    </comment>
    <comment ref="AB28" authorId="0" shapeId="0" xr:uid="{FCC8A367-07DB-4D13-A7CB-4881C3DEEF9E}">
      <text>
        <r>
          <rPr>
            <b/>
            <sz val="9"/>
            <rFont val="Tahoma"/>
            <family val="2"/>
          </rPr>
          <t>Tegus (KB):</t>
        </r>
        <r>
          <rPr>
            <sz val="9"/>
            <rFont val="Tahoma"/>
            <family val="2"/>
          </rPr>
          <t xml:space="preserve">
50K+ reported in IP</t>
        </r>
      </text>
    </comment>
    <comment ref="AC28" authorId="0" shapeId="0" xr:uid="{375A8A3A-2E91-4D46-B443-74521C7611F6}">
      <text>
        <r>
          <rPr>
            <b/>
            <sz val="9"/>
            <rFont val="Tahoma"/>
            <family val="2"/>
          </rPr>
          <t>Tegus (SH):</t>
        </r>
        <r>
          <rPr>
            <sz val="9"/>
            <rFont val="Tahoma"/>
            <family val="2"/>
          </rPr>
          <t xml:space="preserve">
50k+ clients as of 2021-12-31.</t>
        </r>
      </text>
    </comment>
    <comment ref="AD28" authorId="0" shapeId="0" xr:uid="{7FA2CD44-3D82-4F53-A874-05B4BC9F2CD6}">
      <text>
        <r>
          <rPr>
            <b/>
            <sz val="9"/>
            <rFont val="Tahoma"/>
            <family val="2"/>
          </rPr>
          <t>Tegus (HZ):</t>
        </r>
        <r>
          <rPr>
            <sz val="9"/>
            <rFont val="Tahoma"/>
            <family val="2"/>
          </rPr>
          <t xml:space="preserve">
Over 50,000</t>
        </r>
      </text>
    </comment>
    <comment ref="AE28" authorId="0" shapeId="0" xr:uid="{DF721CFB-E6D7-4115-8E83-93AD368060BB}">
      <text>
        <r>
          <rPr>
            <b/>
            <sz val="9"/>
            <rFont val="Tahoma"/>
            <family val="2"/>
          </rPr>
          <t>Tegus (NC):</t>
        </r>
        <r>
          <rPr>
            <sz val="9"/>
            <rFont val="Tahoma"/>
            <family val="2"/>
          </rPr>
          <t xml:space="preserve">
Over 50,000 as of Dec 31, 2022</t>
        </r>
      </text>
    </comment>
    <comment ref="AF28" authorId="0" shapeId="0" xr:uid="{F2BE2CEE-7032-42CE-8FEA-7BE31962A17F}">
      <text>
        <r>
          <rPr>
            <b/>
            <sz val="9"/>
            <rFont val="Tahoma"/>
            <family val="2"/>
          </rPr>
          <t>Tegus (HZ):</t>
        </r>
        <r>
          <rPr>
            <sz val="9"/>
            <rFont val="Tahoma"/>
            <family val="2"/>
          </rPr>
          <t xml:space="preserve">
50K +</t>
        </r>
      </text>
    </comment>
    <comment ref="AG28" authorId="0" shapeId="0" xr:uid="{E8D9FFFA-EC71-4C7F-90FC-1A143966F992}">
      <text>
        <r>
          <rPr>
            <b/>
            <sz val="9"/>
            <rFont val="Tahoma"/>
            <family val="2"/>
          </rPr>
          <t>Tegus (AG):</t>
        </r>
        <r>
          <rPr>
            <sz val="9"/>
            <rFont val="Tahoma"/>
            <family val="2"/>
          </rPr>
          <t xml:space="preserve">
50K+ Clients</t>
        </r>
      </text>
    </comment>
    <comment ref="AH28" authorId="0" shapeId="0" xr:uid="{1DAA06C6-80F4-4FBD-92A2-037D9056249D}">
      <text>
        <r>
          <rPr>
            <b/>
            <sz val="9"/>
            <rFont val="Tahoma"/>
            <family val="2"/>
          </rPr>
          <t>Tegus (HZ):</t>
        </r>
        <r>
          <rPr>
            <sz val="9"/>
            <rFont val="Tahoma"/>
            <family val="2"/>
          </rPr>
          <t xml:space="preserve">
Over 50,000</t>
        </r>
      </text>
    </comment>
    <comment ref="AI28" authorId="0" shapeId="0" xr:uid="{AEC6984C-AD74-475A-9A32-E121522686C6}">
      <text>
        <r>
          <rPr>
            <b/>
            <sz val="9"/>
            <rFont val="Tahoma"/>
            <family val="2"/>
          </rPr>
          <t>Tegus (AG):</t>
        </r>
        <r>
          <rPr>
            <sz val="9"/>
            <rFont val="Tahoma"/>
            <family val="2"/>
          </rPr>
          <t xml:space="preserve">
Over 50,000 clients as of Dec 31, 2023</t>
        </r>
      </text>
    </comment>
    <comment ref="AJ28" authorId="1" shapeId="0" xr:uid="{5145F3ED-63BC-425D-BEEE-EF87E318F98C}">
      <text>
        <r>
          <rPr>
            <b/>
            <sz val="9"/>
            <rFont val="Tahoma"/>
            <family val="2"/>
          </rPr>
          <t>Tegus (WW):</t>
        </r>
        <r>
          <rPr>
            <sz val="9"/>
            <rFont val="Tahoma"/>
            <family val="2"/>
          </rPr>
          <t xml:space="preserve">
Over</t>
        </r>
      </text>
    </comment>
    <comment ref="X29" authorId="0" shapeId="0" xr:uid="{9C809A33-61AF-4A62-A19D-89B5F4118BD0}">
      <text>
        <r>
          <rPr>
            <b/>
            <sz val="9"/>
            <rFont val="Tahoma"/>
            <family val="2"/>
          </rPr>
          <t>Tegus (DL):</t>
        </r>
        <r>
          <rPr>
            <sz val="9"/>
            <rFont val="Tahoma"/>
            <family val="2"/>
          </rPr>
          <t xml:space="preserve">
May not precise because only have EoP data</t>
        </r>
      </text>
    </comment>
    <comment ref="BD32" authorId="0" shapeId="0" xr:uid="{517C0970-4B42-4A39-9FBB-8B5A6F6FF67B}">
      <text>
        <r>
          <rPr>
            <b/>
            <sz val="9"/>
            <rFont val="Tahoma"/>
            <family val="2"/>
          </rPr>
          <t>Tegus (KB):</t>
        </r>
        <r>
          <rPr>
            <sz val="9"/>
            <rFont val="Tahoma"/>
            <family val="2"/>
          </rPr>
          <t xml:space="preserve">
Based of End of Period clients.</t>
        </r>
      </text>
    </comment>
    <comment ref="T35" authorId="0" shapeId="0" xr:uid="{45884B69-9D06-4B25-AA80-3D5CD2E06374}">
      <text>
        <r>
          <rPr>
            <b/>
            <sz val="9"/>
            <rFont val="Tahoma"/>
            <family val="2"/>
          </rPr>
          <t>Tegus (SK):</t>
        </r>
        <r>
          <rPr>
            <sz val="9"/>
            <rFont val="Tahoma"/>
            <family val="2"/>
          </rPr>
          <t xml:space="preserve">
6 month</t>
        </r>
      </text>
    </comment>
    <comment ref="U35" authorId="0" shapeId="0" xr:uid="{045A1A6B-8205-422D-93CE-AC3832C3AC51}">
      <text>
        <r>
          <rPr>
            <b/>
            <sz val="9"/>
            <rFont val="Tahoma"/>
            <family val="2"/>
          </rPr>
          <t>Tegus (EC):</t>
        </r>
        <r>
          <rPr>
            <sz val="9"/>
            <rFont val="Tahoma"/>
            <family val="2"/>
          </rPr>
          <t xml:space="preserve">
9 months</t>
        </r>
      </text>
    </comment>
    <comment ref="X35" authorId="0" shapeId="0" xr:uid="{2138AC34-078B-4BBE-8C38-0902852EEDD2}">
      <text>
        <r>
          <rPr>
            <b/>
            <sz val="9"/>
            <rFont val="Tahoma"/>
            <family val="2"/>
          </rPr>
          <t>Tegus (SK):</t>
        </r>
        <r>
          <rPr>
            <sz val="9"/>
            <rFont val="Tahoma"/>
            <family val="2"/>
          </rPr>
          <t xml:space="preserve">
6 month</t>
        </r>
      </text>
    </comment>
    <comment ref="Y35" authorId="0" shapeId="0" xr:uid="{0B377C43-0532-45AD-8593-52042BB90BD0}">
      <text>
        <r>
          <rPr>
            <b/>
            <sz val="9"/>
            <rFont val="Tahoma"/>
            <family val="2"/>
          </rPr>
          <t>Tegus (EC):</t>
        </r>
        <r>
          <rPr>
            <sz val="9"/>
            <rFont val="Tahoma"/>
            <family val="2"/>
          </rPr>
          <t xml:space="preserve">
9 month</t>
        </r>
      </text>
    </comment>
    <comment ref="Y36" authorId="0" shapeId="0" xr:uid="{5FC9D5E8-3C56-48BD-8C77-A43D861C5DCB}">
      <text>
        <r>
          <rPr>
            <b/>
            <sz val="9"/>
            <rFont val="Tahoma"/>
            <family val="2"/>
          </rPr>
          <t>Tegus (EC):</t>
        </r>
        <r>
          <rPr>
            <sz val="9"/>
            <rFont val="Tahoma"/>
            <family val="2"/>
          </rPr>
          <t xml:space="preserve">
75M + for the 12m ended</t>
        </r>
      </text>
    </comment>
    <comment ref="AA36" authorId="0" shapeId="0" xr:uid="{2685C5CC-4E8D-47BF-839D-46AA4E954E80}">
      <text>
        <r>
          <rPr>
            <b/>
            <sz val="9"/>
            <rFont val="Tahoma"/>
            <family val="2"/>
          </rPr>
          <t>Tegus (DH):</t>
        </r>
        <r>
          <rPr>
            <sz val="9"/>
            <rFont val="Tahoma"/>
            <family val="2"/>
          </rPr>
          <t xml:space="preserve">
95M+ background checks annually</t>
        </r>
      </text>
    </comment>
    <comment ref="AB36" authorId="0" shapeId="0" xr:uid="{75E57328-B9F3-4CF1-AE7F-DD27D6C67ED2}">
      <text>
        <r>
          <rPr>
            <b/>
            <sz val="9"/>
            <rFont val="Tahoma"/>
            <family val="2"/>
          </rPr>
          <t>Tegus (KB):</t>
        </r>
        <r>
          <rPr>
            <sz val="9"/>
            <rFont val="Tahoma"/>
            <family val="2"/>
          </rPr>
          <t xml:space="preserve">
95M+ background checks annually</t>
        </r>
      </text>
    </comment>
    <comment ref="AC36" authorId="0" shapeId="0" xr:uid="{E8205ECD-2C7A-47E7-B811-816663F703FD}">
      <text>
        <r>
          <rPr>
            <b/>
            <sz val="9"/>
            <rFont val="Tahoma"/>
            <family val="2"/>
          </rPr>
          <t>Tegus (SH):</t>
        </r>
        <r>
          <rPr>
            <sz val="9"/>
            <rFont val="Tahoma"/>
            <family val="2"/>
          </rPr>
          <t xml:space="preserve">
95M+ background checks annually</t>
        </r>
      </text>
    </comment>
    <comment ref="AE36" authorId="0" shapeId="0" xr:uid="{D7FE4C49-D55B-44C4-9AF9-B432E2329142}">
      <text>
        <r>
          <rPr>
            <b/>
            <sz val="9"/>
            <rFont val="Tahoma"/>
            <family val="2"/>
          </rPr>
          <t>Tegus (NC):</t>
        </r>
        <r>
          <rPr>
            <sz val="9"/>
            <rFont val="Tahoma"/>
            <family val="2"/>
          </rPr>
          <t xml:space="preserve">
110M+ Background checks annually as of Dec 31, 2022</t>
        </r>
      </text>
    </comment>
    <comment ref="AF36" authorId="0" shapeId="0" xr:uid="{A865A0E8-8C54-47DA-8527-3825A703B76E}">
      <text>
        <r>
          <rPr>
            <b/>
            <sz val="9"/>
            <rFont val="Tahoma"/>
            <family val="2"/>
          </rPr>
          <t>Tegus (HZ):</t>
        </r>
        <r>
          <rPr>
            <sz val="9"/>
            <rFont val="Tahoma"/>
            <family val="2"/>
          </rPr>
          <t xml:space="preserve">
110M+ Background checks annually </t>
        </r>
      </text>
    </comment>
    <comment ref="AG36" authorId="0" shapeId="0" xr:uid="{1CADAB3D-CF83-47CE-B713-9E0A5573D408}">
      <text>
        <r>
          <rPr>
            <b/>
            <sz val="9"/>
            <rFont val="Tahoma"/>
            <family val="2"/>
          </rPr>
          <t>Tegus (AG):</t>
        </r>
        <r>
          <rPr>
            <sz val="9"/>
            <rFont val="Tahoma"/>
            <family val="2"/>
          </rPr>
          <t xml:space="preserve">
110M + Background Checks annually</t>
        </r>
      </text>
    </comment>
    <comment ref="AI36" authorId="0" shapeId="0" xr:uid="{828F04CD-A997-47A4-B710-0631815D5B41}">
      <text>
        <r>
          <rPr>
            <b/>
            <sz val="9"/>
            <rFont val="Tahoma"/>
            <family val="2"/>
          </rPr>
          <t>Tegus (AG):</t>
        </r>
        <r>
          <rPr>
            <sz val="9"/>
            <rFont val="Tahoma"/>
            <family val="2"/>
          </rPr>
          <t xml:space="preserve">
Over 103m as of 12/31/23</t>
        </r>
      </text>
    </comment>
    <comment ref="AJ36" authorId="1" shapeId="0" xr:uid="{E9C4EBD0-5F06-4F27-A220-E975D3234F75}">
      <text>
        <r>
          <rPr>
            <b/>
            <sz val="9"/>
            <rFont val="Tahoma"/>
            <family val="2"/>
          </rPr>
          <t>Tegus (WW):</t>
        </r>
        <r>
          <rPr>
            <sz val="9"/>
            <rFont val="Tahoma"/>
            <family val="2"/>
          </rPr>
          <t xml:space="preserve">
As of December 31, 2023</t>
        </r>
      </text>
    </comment>
    <comment ref="BD36" authorId="0" shapeId="0" xr:uid="{122534E9-93B0-4C61-9BCD-D8F04165063B}">
      <text>
        <r>
          <rPr>
            <b/>
            <sz val="9"/>
            <rFont val="Tahoma"/>
            <family val="2"/>
          </rPr>
          <t>Tegus (KB):</t>
        </r>
        <r>
          <rPr>
            <sz val="9"/>
            <rFont val="Tahoma"/>
            <family val="2"/>
          </rPr>
          <t xml:space="preserve">
Over 95 million</t>
        </r>
      </text>
    </comment>
    <comment ref="BE36" authorId="0" shapeId="0" xr:uid="{BF060AE0-2DFE-4219-8B72-D6FB0D505D0F}">
      <text>
        <r>
          <rPr>
            <b/>
            <sz val="9"/>
            <rFont val="Tahoma"/>
            <family val="2"/>
          </rPr>
          <t>Tegus (HZ):</t>
        </r>
        <r>
          <rPr>
            <sz val="9"/>
            <rFont val="Tahoma"/>
            <family val="2"/>
          </rPr>
          <t xml:space="preserve">
more than 110 million searches in the twelve months ended December 31, 2022</t>
        </r>
      </text>
    </comment>
    <comment ref="BF36" authorId="0" shapeId="0" xr:uid="{232FDBEF-B00E-4414-8AFE-683C9C8412DD}">
      <text>
        <r>
          <rPr>
            <b/>
            <sz val="9"/>
            <rFont val="Tahoma"/>
            <family val="2"/>
          </rPr>
          <t>Tegus (AW):</t>
        </r>
        <r>
          <rPr>
            <sz val="9"/>
            <rFont val="Tahoma"/>
            <family val="2"/>
          </rPr>
          <t xml:space="preserve">
More than</t>
        </r>
      </text>
    </comment>
    <comment ref="A47" authorId="0" shapeId="0" xr:uid="{18192AA1-DCBE-4CB6-9809-0AD3AAAFC105}">
      <text>
        <r>
          <rPr>
            <b/>
            <sz val="9"/>
            <rFont val="Tahoma"/>
            <family val="2"/>
          </rPr>
          <t>Tegus (DL):</t>
        </r>
        <r>
          <rPr>
            <sz val="9"/>
            <rFont val="Tahoma"/>
            <family val="2"/>
          </rPr>
          <t xml:space="preserve">
According to Acclaro Growth Partners, July 2021</t>
        </r>
      </text>
    </comment>
    <comment ref="BD51" authorId="0" shapeId="0" xr:uid="{5A831F72-AB80-42D6-96F7-4FCC5E166B9C}">
      <text>
        <r>
          <rPr>
            <b/>
            <sz val="9"/>
            <rFont val="Tahoma"/>
            <family val="2"/>
          </rPr>
          <t>Tegus (KB):</t>
        </r>
        <r>
          <rPr>
            <sz val="9"/>
            <rFont val="Tahoma"/>
            <family val="2"/>
          </rPr>
          <t xml:space="preserve">
Not reported</t>
        </r>
      </text>
    </comment>
    <comment ref="BD53" authorId="0" shapeId="0" xr:uid="{F9BCAD9C-447C-4979-924A-A82E3FB48204}">
      <text>
        <r>
          <rPr>
            <b/>
            <sz val="9"/>
            <rFont val="Tahoma"/>
            <family val="2"/>
          </rPr>
          <t>Tegus (KB):</t>
        </r>
        <r>
          <rPr>
            <sz val="9"/>
            <rFont val="Tahoma"/>
            <family val="2"/>
          </rPr>
          <t xml:space="preserve">
Not reported</t>
        </r>
      </text>
    </comment>
    <comment ref="AF66" authorId="0" shapeId="0" xr:uid="{9E66D128-36DC-4EB5-9524-8FB637B20F50}">
      <text>
        <r>
          <rPr>
            <b/>
            <sz val="9"/>
            <rFont val="Tahoma"/>
            <family val="2"/>
          </rPr>
          <t>Tegus (TP):</t>
        </r>
        <r>
          <rPr>
            <sz val="9"/>
            <rFont val="Tahoma"/>
            <family val="2"/>
          </rPr>
          <t xml:space="preserve">
$2.4 million of higher facilities costs due to accelerated rent for the closure of certain offshore fulfillment centers, and higher fulfillment and hosting costs as a percentage of revenue because a proportion of costs are fixed.</t>
        </r>
      </text>
    </comment>
    <comment ref="Y70" authorId="0" shapeId="0" xr:uid="{C0457931-B344-4388-B9EE-C552C1332D8A}">
      <text>
        <r>
          <rPr>
            <b/>
            <sz val="9"/>
            <rFont val="Tahoma"/>
            <family val="2"/>
          </rPr>
          <t>Tegus (EC):</t>
        </r>
        <r>
          <rPr>
            <sz val="9"/>
            <rFont val="Tahoma"/>
            <family val="2"/>
          </rPr>
          <t xml:space="preserve">
The increase in costs was primarily due to servicing increased volume. The remaining increase was due to stock-based compensation expense resulting from the accelerated vesting of outstanding options upon completion of the IPO</t>
        </r>
      </text>
    </comment>
    <comment ref="AA70" authorId="0" shapeId="0" xr:uid="{384E34EC-BA7A-46DF-8F3D-3C7F28D2070F}">
      <text>
        <r>
          <rPr>
            <b/>
            <sz val="9"/>
            <rFont val="Tahoma"/>
            <family val="2"/>
          </rPr>
          <t>Tegus (EC):</t>
        </r>
        <r>
          <rPr>
            <sz val="9"/>
            <rFont val="Tahoma"/>
            <family val="2"/>
          </rPr>
          <t xml:space="preserve">
$7.9 million increase due to higher cost of revenue on the EBI business, additional payroll and related expenses due to increased headcount to support revenue growth and higher stock-based compensation expense related to IPO equity grants to employees.</t>
        </r>
      </text>
    </comment>
    <comment ref="AB70" authorId="0" shapeId="0" xr:uid="{63B96208-8ABC-492A-BF8F-F117C80CFB8F}">
      <text>
        <r>
          <rPr>
            <b/>
            <sz val="9"/>
            <rFont val="Tahoma"/>
            <family val="2"/>
          </rPr>
          <t>Tegus (KB):</t>
        </r>
        <r>
          <rPr>
            <sz val="9"/>
            <rFont val="Tahoma"/>
            <family val="2"/>
          </rPr>
          <t xml:space="preserve">
Remaining increase was driven by additional payroll and related expenses due to increased headcount to support revenue growth</t>
        </r>
      </text>
    </comment>
    <comment ref="AC70" authorId="0" shapeId="0" xr:uid="{97F26EF5-C8D5-4675-8EEC-2C47C3EBC720}">
      <text>
        <r>
          <rPr>
            <b/>
            <sz val="9"/>
            <rFont val="Tahoma"/>
            <family val="2"/>
          </rPr>
          <t>Tegus (BL):</t>
        </r>
        <r>
          <rPr>
            <sz val="9"/>
            <rFont val="Tahoma"/>
            <family val="2"/>
          </rPr>
          <t xml:space="preserve">
driven by additional payroll and related expenses due to increased headcount; increased platform hosting costs, partially offset by lower stock-based compensation expense.</t>
        </r>
      </text>
    </comment>
    <comment ref="AG70" authorId="0" shapeId="0" xr:uid="{063F19B7-8465-4426-9F21-A52A21164CBD}">
      <text>
        <r>
          <rPr>
            <b/>
            <sz val="9"/>
            <rFont val="Tahoma"/>
            <family val="2"/>
          </rPr>
          <t>Tegus (AG):</t>
        </r>
        <r>
          <rPr>
            <sz val="9"/>
            <rFont val="Tahoma"/>
            <family val="2"/>
          </rPr>
          <t xml:space="preserve">
The remaining decrease due to lower payroll and related costs as a result of fulfillment optimization and lower facilities costs due to the closure of certain fulfillment centers in the second quarter of 2023</t>
        </r>
      </text>
    </comment>
    <comment ref="AI70" authorId="0" shapeId="0" xr:uid="{68BB3962-70A6-4063-AF4C-61FA97A65451}">
      <text>
        <r>
          <rPr>
            <b/>
            <sz val="9"/>
            <rFont val="Tahoma"/>
            <family val="2"/>
          </rPr>
          <t>Tegus (AG):</t>
        </r>
        <r>
          <rPr>
            <sz val="9"/>
            <rFont val="Tahoma"/>
            <family val="2"/>
          </rPr>
          <t xml:space="preserve">
"The increase in cost of revenues was primarily driven by the acquisitions of Vault and A-Check, partially offset by lower costs driven by our cost optimization efforts resulting from Project Nucleus."</t>
        </r>
      </text>
    </comment>
    <comment ref="AJ70" authorId="1" shapeId="0" xr:uid="{A5F591B8-D9B5-44A4-804E-968C63E55F22}">
      <text>
        <r>
          <rPr>
            <b/>
            <sz val="9"/>
            <rFont val="Tahoma"/>
            <family val="2"/>
          </rPr>
          <t>Tegus (WW):</t>
        </r>
        <r>
          <rPr>
            <sz val="9"/>
            <rFont val="Tahoma"/>
            <family val="2"/>
          </rPr>
          <t xml:space="preserve">
primarily driven by the acquisition of Vault, partially offset by lower costs driven by our cost optimization efforts resulting from Project Nucleus</t>
        </r>
      </text>
    </comment>
    <comment ref="AF74" authorId="0" shapeId="0" xr:uid="{9862717A-72E2-4590-A537-1865CB6B6F3C}">
      <text>
        <r>
          <rPr>
            <b/>
            <sz val="9"/>
            <rFont val="Tahoma"/>
            <family val="2"/>
          </rPr>
          <t>Tegus (KS):</t>
        </r>
        <r>
          <rPr>
            <sz val="9"/>
            <rFont val="Tahoma"/>
            <family val="2"/>
          </rPr>
          <t xml:space="preserve">
Increased slightly from $4.1 million to $4.3 million</t>
        </r>
      </text>
    </comment>
    <comment ref="BF74" authorId="0" shapeId="0" xr:uid="{E215C70B-2F9F-40BF-A6F3-0E526FB9B489}">
      <text>
        <r>
          <rPr>
            <b/>
            <sz val="9"/>
            <rFont val="Tahoma"/>
            <family val="2"/>
          </rPr>
          <t>Tegus (AG):</t>
        </r>
        <r>
          <rPr>
            <sz val="9"/>
            <rFont val="Tahoma"/>
            <family val="2"/>
          </rPr>
          <t xml:space="preserve">
Decreased slighlt from 16.7mm to 16.4mm</t>
        </r>
      </text>
    </comment>
    <comment ref="AA75" authorId="0" shapeId="0" xr:uid="{83C715E6-BDFB-4D8D-86A7-D2DC9BDD0B53}">
      <text>
        <r>
          <rPr>
            <b/>
            <sz val="9"/>
            <rFont val="Tahoma"/>
            <family val="2"/>
          </rPr>
          <t>Tegus (EC):</t>
        </r>
        <r>
          <rPr>
            <sz val="9"/>
            <rFont val="Tahoma"/>
            <family val="2"/>
          </rPr>
          <t xml:space="preserve">
Costs related to maintaining our production systems remained flat</t>
        </r>
      </text>
    </comment>
    <comment ref="AF75" authorId="0" shapeId="0" xr:uid="{0EB6F17B-47D4-42DF-8BC9-04694C150EF9}">
      <text>
        <r>
          <rPr>
            <b/>
            <sz val="9"/>
            <rFont val="Tahoma"/>
            <family val="2"/>
          </rPr>
          <t>Tegus (KS):</t>
        </r>
        <r>
          <rPr>
            <sz val="9"/>
            <rFont val="Tahoma"/>
            <family val="2"/>
          </rPr>
          <t xml:space="preserve">
Increased slightly from $2.1 million to $2.2 million</t>
        </r>
      </text>
    </comment>
    <comment ref="X78" authorId="0" shapeId="0" xr:uid="{AD874890-E74A-4545-BE91-4F834A2AF4C5}">
      <text>
        <r>
          <rPr>
            <b/>
            <sz val="9"/>
            <rFont val="Tahoma"/>
            <family val="2"/>
          </rPr>
          <t>Tegus (DL):</t>
        </r>
        <r>
          <rPr>
            <sz val="9"/>
            <rFont val="Tahoma"/>
            <family val="2"/>
          </rPr>
          <t xml:space="preserve">
These expenses include non-capitalizable costs related to Project Ignite. The company incurred $1.5 million related to phase one, $1.9 million related to phase two and $2.3 million related to phase three in the six months ended June 30, 2020, and $0.9 million related to phase one, $3.2 million related to phase two and $2.8 million related to phase 3 in the six months ended June 30, 2021. </t>
        </r>
      </text>
    </comment>
    <comment ref="Y78" authorId="0" shapeId="0" xr:uid="{EDE55E63-7946-4F11-AABD-F196744C47FD}">
      <text>
        <r>
          <rPr>
            <b/>
            <sz val="9"/>
            <rFont val="Tahoma"/>
            <family val="2"/>
          </rPr>
          <t>Tegus (EC):</t>
        </r>
        <r>
          <rPr>
            <sz val="9"/>
            <rFont val="Tahoma"/>
            <family val="2"/>
          </rPr>
          <t xml:space="preserve">
These expenses also include non-capitalizable costs related to Project Ignite. We incurred $0.8 million related to phase one, $1.1 million related to phase two and $1.3 million related to phase three in the three months ended September 30, 2020, and nothing related to phase one, $1.4 million related to phase two and $1.7 million related to phase three in the three months ended September 30, 2021.</t>
        </r>
      </text>
    </comment>
    <comment ref="BC78" authorId="0" shapeId="0" xr:uid="{12BE21E4-8E59-48F6-AF7A-BBD1D90AD0F6}">
      <text>
        <r>
          <rPr>
            <b/>
            <sz val="9"/>
            <rFont val="Tahoma"/>
            <family val="2"/>
          </rPr>
          <t>Tegus (DL):</t>
        </r>
        <r>
          <rPr>
            <sz val="9"/>
            <rFont val="Tahoma"/>
            <family val="2"/>
          </rPr>
          <t xml:space="preserve">
The decrease was due primarily to reduced personnel-related costs. These expenses include non-capitalizable costs related to Project Ignite. The company incurred $7.2 million related to phase one, $3.1 million related to phase two and $4.6 million related to phase three in the year ended December 31, 2019, and $3.2 million related to phase one, $4.1 million related to phase two and $4.9 million related to phase three in the year ended December 31, 2020.</t>
        </r>
      </text>
    </comment>
    <comment ref="AI79" authorId="0" shapeId="0" xr:uid="{DA742286-0D10-4DFF-B643-35540DBC2C3E}">
      <text>
        <r>
          <rPr>
            <b/>
            <sz val="9"/>
            <rFont val="Tahoma"/>
            <family val="2"/>
          </rPr>
          <t>Tegus (AG):</t>
        </r>
        <r>
          <rPr>
            <sz val="9"/>
            <rFont val="Tahoma"/>
            <family val="2"/>
          </rPr>
          <t xml:space="preserve">
"These expenses also include non-capitalizable costs related to Project Ignite. We incurred $3.1 million related to phase three during the three months ended March 31, 2023."</t>
        </r>
      </text>
    </comment>
    <comment ref="BF83" authorId="0" shapeId="0" xr:uid="{D284C9BC-1946-49B4-A180-D405FBFB1824}">
      <text>
        <r>
          <rPr>
            <b/>
            <sz val="9"/>
            <rFont val="Tahoma"/>
            <family val="2"/>
          </rPr>
          <t>Tegus (AG):</t>
        </r>
        <r>
          <rPr>
            <sz val="9"/>
            <rFont val="Tahoma"/>
            <family val="2"/>
          </rPr>
          <t xml:space="preserve">
Payroll, bonus, commissions and other employee related costs</t>
        </r>
      </text>
    </comment>
    <comment ref="AC84" authorId="0" shapeId="0" xr:uid="{BCFC536D-A406-430D-80AE-74A98832AE47}">
      <text>
        <r>
          <rPr>
            <b/>
            <sz val="9"/>
            <rFont val="Tahoma"/>
            <family val="2"/>
          </rPr>
          <t>Tegus (BL):</t>
        </r>
        <r>
          <rPr>
            <sz val="9"/>
            <rFont val="Tahoma"/>
            <family val="2"/>
          </rPr>
          <t xml:space="preserve">
$15.6 million was funded by certain stockholders</t>
        </r>
      </text>
    </comment>
    <comment ref="BE84" authorId="0" shapeId="0" xr:uid="{DA15FD96-A306-46A8-AB46-12A217E6EEEC}">
      <text>
        <r>
          <rPr>
            <b/>
            <sz val="9"/>
            <rFont val="Tahoma"/>
            <family val="2"/>
          </rPr>
          <t>Tegus (HZ):</t>
        </r>
        <r>
          <rPr>
            <sz val="9"/>
            <rFont val="Tahoma"/>
            <family val="2"/>
          </rPr>
          <t xml:space="preserve">
$15.6 million was funded by certain stockholders</t>
        </r>
      </text>
    </comment>
    <comment ref="Y86" authorId="0" shapeId="0" xr:uid="{1E830210-C59C-4D2A-96BC-F078284ED53D}">
      <text>
        <r>
          <rPr>
            <b/>
            <sz val="9"/>
            <rFont val="Tahoma"/>
            <family val="2"/>
          </rPr>
          <t>Tegus (EC):</t>
        </r>
        <r>
          <rPr>
            <sz val="9"/>
            <rFont val="Tahoma"/>
            <family val="2"/>
          </rPr>
          <t xml:space="preserve">
IPO related costs of $30.5 million included $16.8 million of contractual compensation payments to former executives (of which, $15.6 million was funded by certain stockholders), $7.5 million associated with the final settlement of fees in connection with the Fourth Amended and Restated Management Services Agreement, and $6.2 million of professional fees and other related expenses</t>
        </r>
      </text>
    </comment>
    <comment ref="BD86" authorId="0" shapeId="0" xr:uid="{B76B7558-2E32-409B-8A72-B6E62B2CA7DE}">
      <text>
        <r>
          <rPr>
            <b/>
            <sz val="9"/>
            <rFont val="Tahoma"/>
            <family val="2"/>
          </rPr>
          <t>Tegus (KB):</t>
        </r>
        <r>
          <rPr>
            <sz val="9"/>
            <rFont val="Tahoma"/>
            <family val="2"/>
          </rPr>
          <t xml:space="preserve">
IPO related costs of $30.5 million included $16.8 million of contractual compensation payments to former executives (of which, $15.6 million was funded by certain stockholders), $7.5 million associated with the final settlement of fees in connection with the Fourth Amended and Restated Management Services Agreement, and $13.9 million of professional fees and other related expenses</t>
        </r>
      </text>
    </comment>
    <comment ref="BF87" authorId="0" shapeId="0" xr:uid="{D3F0E8A4-0320-4267-800B-BE6C12BBE5FB}">
      <text>
        <r>
          <rPr>
            <b/>
            <sz val="9"/>
            <rFont val="Tahoma"/>
            <family val="2"/>
          </rPr>
          <t>Tegus (AG):</t>
        </r>
        <r>
          <rPr>
            <sz val="9"/>
            <rFont val="Tahoma"/>
            <family val="2"/>
          </rPr>
          <t xml:space="preserve">
"Professional fees and transaction related expenses to support the Socrates, A-Check, and Vault acquisitions as well as the secondary public offering executed in June 2023"</t>
        </r>
      </text>
    </comment>
    <comment ref="AG89" authorId="0" shapeId="0" xr:uid="{B9B0FCD5-76CB-4FED-92EB-CDAA5E46F15B}">
      <text>
        <r>
          <rPr>
            <b/>
            <sz val="9"/>
            <rFont val="Tahoma"/>
            <family val="2"/>
          </rPr>
          <t>Tegus (AG):</t>
        </r>
        <r>
          <rPr>
            <sz val="9"/>
            <rFont val="Tahoma"/>
            <family val="2"/>
          </rPr>
          <t xml:space="preserve">
Insurance, marketing, professional fees</t>
        </r>
      </text>
    </comment>
    <comment ref="BF89" authorId="0" shapeId="0" xr:uid="{89C16C9C-BA1B-414B-88F5-E966D6721278}">
      <text>
        <r>
          <rPr>
            <b/>
            <sz val="9"/>
            <rFont val="Tahoma"/>
            <family val="2"/>
          </rPr>
          <t>Tegus (AG):</t>
        </r>
        <r>
          <rPr>
            <sz val="9"/>
            <rFont val="Tahoma"/>
            <family val="2"/>
          </rPr>
          <t xml:space="preserve">
Insurance, marketing, professional fees</t>
        </r>
      </text>
    </comment>
    <comment ref="BF91" authorId="0" shapeId="0" xr:uid="{6023CAFC-B511-4F38-B4A5-E5631D8E710F}">
      <text>
        <r>
          <rPr>
            <b/>
            <sz val="9"/>
            <rFont val="Tahoma"/>
            <family val="2"/>
          </rPr>
          <t>Tegus (AG):</t>
        </r>
        <r>
          <rPr>
            <sz val="9"/>
            <rFont val="Tahoma"/>
            <family val="2"/>
          </rPr>
          <t xml:space="preserve">
Support our strategy refresh and the execution against Project Nucleus</t>
        </r>
      </text>
    </comment>
    <comment ref="Y97" authorId="0" shapeId="0" xr:uid="{0D49DFF8-0A5A-4769-B929-972107FD7EC7}">
      <text>
        <r>
          <rPr>
            <b/>
            <sz val="9"/>
            <rFont val="Tahoma"/>
            <family val="2"/>
          </rPr>
          <t>Tegus (EC):</t>
        </r>
        <r>
          <rPr>
            <sz val="9"/>
            <rFont val="Tahoma"/>
            <family val="2"/>
          </rPr>
          <t xml:space="preserve">
primarily due to normalized bonus related expenses driven by an increase in the annual bonus pool accrual over the prior year’s pool which was reduced due to the impact of the COVID-19 pandemic. </t>
        </r>
      </text>
    </comment>
    <comment ref="AA97" authorId="0" shapeId="0" xr:uid="{755EA6E3-28E7-4099-B83C-93799F878649}">
      <text>
        <r>
          <rPr>
            <b/>
            <sz val="9"/>
            <rFont val="Tahoma"/>
            <family val="2"/>
          </rPr>
          <t>Tegus (EC):</t>
        </r>
        <r>
          <rPr>
            <sz val="9"/>
            <rFont val="Tahoma"/>
            <family val="2"/>
          </rPr>
          <t xml:space="preserve">
remainder of the increase was due to higher variable costs required to support revenue growth</t>
        </r>
      </text>
    </comment>
    <comment ref="AB97" authorId="0" shapeId="0" xr:uid="{360DCED8-5CEA-4192-84A9-831B21098A99}">
      <text>
        <r>
          <rPr>
            <b/>
            <sz val="9"/>
            <rFont val="Tahoma"/>
            <family val="2"/>
          </rPr>
          <t>Tegus (KB):</t>
        </r>
        <r>
          <rPr>
            <sz val="9"/>
            <rFont val="Tahoma"/>
            <family val="2"/>
          </rPr>
          <t xml:space="preserve">
Increases partially offset by lower professional fees related to prior period IPO preparation.</t>
        </r>
      </text>
    </comment>
    <comment ref="AC97" authorId="0" shapeId="0" xr:uid="{4475965E-5B28-43A6-A24E-89E5451DE18D}">
      <text>
        <r>
          <rPr>
            <b/>
            <sz val="9"/>
            <rFont val="Tahoma"/>
            <family val="2"/>
          </rPr>
          <t>Tegus (BL):</t>
        </r>
        <r>
          <rPr>
            <sz val="9"/>
            <rFont val="Tahoma"/>
            <family val="2"/>
          </rPr>
          <t xml:space="preserve">
Selling, general and administrative expenses for the three months ended September 30, 2022 include approximately $1.0 million of restructuring-related charges to support our strategy refresh.</t>
        </r>
      </text>
    </comment>
    <comment ref="AF97" authorId="0" shapeId="0" xr:uid="{4FFC0C03-4ECB-4612-A9E6-EA153BD15DD5}">
      <text>
        <r>
          <rPr>
            <b/>
            <sz val="9"/>
            <rFont val="Tahoma"/>
            <family val="2"/>
          </rPr>
          <t>Tegus (KS):</t>
        </r>
        <r>
          <rPr>
            <sz val="9"/>
            <rFont val="Tahoma"/>
            <family val="2"/>
          </rPr>
          <t xml:space="preserve">
There were $1.0 million decrease in insurance, marketing and other professional fees</t>
        </r>
      </text>
    </comment>
    <comment ref="AI97" authorId="0" shapeId="0" xr:uid="{4BD044FB-58D9-4D64-BD79-D4569A46CB65}">
      <text>
        <r>
          <rPr>
            <b/>
            <sz val="9"/>
            <rFont val="Tahoma"/>
            <family val="2"/>
          </rPr>
          <t>Tegus (AG):</t>
        </r>
        <r>
          <rPr>
            <sz val="9"/>
            <rFont val="Tahoma"/>
            <family val="2"/>
          </rPr>
          <t xml:space="preserve">
"These year-over year increases were partially offset by a decrease in office rent and other facilities related costs in connection with our real estate consolidation efforts"</t>
        </r>
      </text>
    </comment>
    <comment ref="BC97" authorId="0" shapeId="0" xr:uid="{3EC2AE6C-6A68-4D35-8A13-475FB041BEDE}">
      <text>
        <r>
          <rPr>
            <b/>
            <sz val="9"/>
            <rFont val="Tahoma"/>
            <family val="2"/>
          </rPr>
          <t>Tegus (DL):</t>
        </r>
        <r>
          <rPr>
            <sz val="9"/>
            <rFont val="Tahoma"/>
            <family val="2"/>
          </rPr>
          <t xml:space="preserve">
primarily as a result of savings actions taken in response to the COVID-19 pandemic</t>
        </r>
      </text>
    </comment>
    <comment ref="BD97" authorId="0" shapeId="0" xr:uid="{835B4E65-7C30-4105-88C4-C28A59A6BD5B}">
      <text>
        <r>
          <rPr>
            <b/>
            <sz val="9"/>
            <rFont val="Tahoma"/>
            <family val="2"/>
          </rPr>
          <t>Tegus (KB):</t>
        </r>
        <r>
          <rPr>
            <sz val="9"/>
            <rFont val="Tahoma"/>
            <family val="2"/>
          </rPr>
          <t xml:space="preserve">
Due to normalized bonus expense from strong business performance, increased public company costs, headcount, professional services and insurance. Partially offset by a reduction in severance and savings related to reduced rent due to a virtual-first strategy. </t>
        </r>
      </text>
    </comment>
    <comment ref="BC101" authorId="0" shapeId="0" xr:uid="{321E8FBF-5B57-4ABD-92E6-0590B5041B3B}">
      <text>
        <r>
          <rPr>
            <b/>
            <sz val="9"/>
            <rFont val="Tahoma"/>
            <family val="2"/>
          </rPr>
          <t>Tegus (DL):</t>
        </r>
        <r>
          <rPr>
            <sz val="9"/>
            <rFont val="Tahoma"/>
            <family val="2"/>
          </rPr>
          <t xml:space="preserve">
Amortization of intangible assets decreased from $85.2 million for the year ended December 31, 2019 to $84.1 million for the year ended December 31, 2020. Definite-lived intangible assets consist of intangible assets acquired through acquisition and the costs of developing internal-use software. These assets are amortized using a straight-line basis over their estimated useful lives except for client lists which use an accelerated method of amortization. The decrease in amortization on these assets can be attributed to the reducing amortization rate of the client lists.</t>
        </r>
      </text>
    </comment>
    <comment ref="AG102" authorId="0" shapeId="0" xr:uid="{597B2E73-498D-4265-9814-1D179ADBAE73}">
      <text>
        <r>
          <rPr>
            <b/>
            <sz val="9"/>
            <rFont val="Tahoma"/>
            <family val="2"/>
          </rPr>
          <t>Tegus (AG):</t>
        </r>
        <r>
          <rPr>
            <sz val="9"/>
            <rFont val="Tahoma"/>
            <family val="2"/>
          </rPr>
          <t xml:space="preserve">
Socrates and A-Check acquisitions</t>
        </r>
      </text>
    </comment>
    <comment ref="BF102" authorId="0" shapeId="0" xr:uid="{EC2E939B-907B-4C21-8940-8B326CF45093}">
      <text>
        <r>
          <rPr>
            <b/>
            <sz val="9"/>
            <rFont val="Tahoma"/>
            <family val="2"/>
          </rPr>
          <t>Tegus (AG):</t>
        </r>
        <r>
          <rPr>
            <sz val="9"/>
            <rFont val="Tahoma"/>
            <family val="2"/>
          </rPr>
          <t xml:space="preserve">
Socrates and A-Check acquisition</t>
        </r>
      </text>
    </comment>
    <comment ref="BC103" authorId="0" shapeId="0" xr:uid="{7C8E4A11-7B83-4BDB-9FE2-52BBA2985968}">
      <text>
        <r>
          <rPr>
            <b/>
            <sz val="9"/>
            <rFont val="Tahoma"/>
            <family val="2"/>
          </rPr>
          <t>Tegus (DL):</t>
        </r>
        <r>
          <rPr>
            <sz val="9"/>
            <rFont val="Tahoma"/>
            <family val="2"/>
          </rPr>
          <t xml:space="preserve">
Depreciation of property and equipment decreased from $8.6 million for the year ended December 31, 2019 to $7.1 million for the year ended December 31, 2020. The decrease was due to the write-down of the leasehold improvements and furniture and fixtures of closed office locations, partially offset by depreciation of computers and electronic equipment purchased in support of the company-wide virtual-first work from home policy. </t>
        </r>
      </text>
    </comment>
    <comment ref="AC104" authorId="0" shapeId="0" xr:uid="{CF235EFD-B323-482D-B651-521D191B008B}">
      <text>
        <r>
          <rPr>
            <b/>
            <sz val="9"/>
            <rFont val="Tahoma"/>
            <family val="2"/>
          </rPr>
          <t>Tegus (BL):</t>
        </r>
        <r>
          <rPr>
            <sz val="9"/>
            <rFont val="Tahoma"/>
            <family val="2"/>
          </rPr>
          <t xml:space="preserve">
due to lower intangible asset amortization, as new intangible assets were added at a lower rate compared to those which became fully depreciated in the interim period coupled with reduced fixed asset depreciation resulting from decreased capital expenditure activity.</t>
        </r>
      </text>
    </comment>
    <comment ref="AI104" authorId="0" shapeId="0" xr:uid="{AFBD18D2-31CA-4FB0-B6DA-C7096A0E3321}">
      <text>
        <r>
          <rPr>
            <b/>
            <sz val="9"/>
            <rFont val="Tahoma"/>
            <family val="2"/>
          </rPr>
          <t>Tegus (AG):</t>
        </r>
        <r>
          <rPr>
            <sz val="9"/>
            <rFont val="Tahoma"/>
            <family val="2"/>
          </rPr>
          <t xml:space="preserve">
"primarily to the Vault acquisition on January 2, 2024 and the amortization on the related intangible assets"</t>
        </r>
      </text>
    </comment>
    <comment ref="W118" authorId="0" shapeId="0" xr:uid="{56AB3E89-A296-4B61-AB32-BDB8636CA28E}">
      <text>
        <r>
          <rPr>
            <b/>
            <sz val="9"/>
            <rFont val="Tahoma"/>
            <family val="2"/>
          </rPr>
          <t>Tegus (DH):</t>
        </r>
        <r>
          <rPr>
            <sz val="9"/>
            <rFont val="Tahoma"/>
            <family val="2"/>
          </rPr>
          <t xml:space="preserve">
Backfilled from Q1-2022</t>
        </r>
      </text>
    </comment>
    <comment ref="Q120" authorId="0" shapeId="0" xr:uid="{3021FC2D-432A-4827-9001-D8DEF2BB273E}">
      <text>
        <r>
          <rPr>
            <b/>
            <sz val="9"/>
            <rFont val="Tahoma"/>
            <family val="2"/>
          </rPr>
          <t>Tegus (SK):</t>
        </r>
        <r>
          <rPr>
            <sz val="9"/>
            <rFont val="Tahoma"/>
            <family val="2"/>
          </rPr>
          <t xml:space="preserve">
Split annual in 4 quarters</t>
        </r>
      </text>
    </comment>
    <comment ref="R120" authorId="0" shapeId="0" xr:uid="{D0C87368-9793-4641-9DEB-330118914C48}">
      <text>
        <r>
          <rPr>
            <b/>
            <sz val="9"/>
            <rFont val="Tahoma"/>
            <family val="2"/>
          </rPr>
          <t>Tegus (SK):</t>
        </r>
        <r>
          <rPr>
            <sz val="9"/>
            <rFont val="Tahoma"/>
            <family val="2"/>
          </rPr>
          <t xml:space="preserve">
Split annual in 4 quarters</t>
        </r>
      </text>
    </comment>
    <comment ref="S120" authorId="0" shapeId="0" xr:uid="{4E66C5EE-867D-4869-AAC4-369881F45F80}">
      <text>
        <r>
          <rPr>
            <b/>
            <sz val="9"/>
            <rFont val="Tahoma"/>
            <family val="2"/>
          </rPr>
          <t>Tegus (SK):</t>
        </r>
        <r>
          <rPr>
            <sz val="9"/>
            <rFont val="Tahoma"/>
            <family val="2"/>
          </rPr>
          <t xml:space="preserve">
Calculated out of 6 month number</t>
        </r>
      </text>
    </comment>
    <comment ref="T120" authorId="0" shapeId="0" xr:uid="{1E6D44CC-52BD-439C-A6B5-62DC9930D608}">
      <text>
        <r>
          <rPr>
            <b/>
            <sz val="9"/>
            <rFont val="Tahoma"/>
            <family val="2"/>
          </rPr>
          <t>Tegus (SK):</t>
        </r>
        <r>
          <rPr>
            <sz val="9"/>
            <rFont val="Tahoma"/>
            <family val="2"/>
          </rPr>
          <t xml:space="preserve">
Backed out of 6 month number</t>
        </r>
      </text>
    </comment>
    <comment ref="X120" authorId="0" shapeId="0" xr:uid="{296000D6-6740-4A3F-9B6A-C10BBCE7200B}">
      <text>
        <r>
          <rPr>
            <b/>
            <sz val="9"/>
            <rFont val="Tahoma"/>
            <family val="2"/>
          </rPr>
          <t>Tegus (DH):</t>
        </r>
        <r>
          <rPr>
            <sz val="9"/>
            <rFont val="Tahoma"/>
            <family val="2"/>
          </rPr>
          <t xml:space="preserve">
Backed out, to be updated with Q2-2022</t>
        </r>
      </text>
    </comment>
    <comment ref="Q122" authorId="0" shapeId="0" xr:uid="{2A6FD36F-742B-4578-9AC8-880E27E52D86}">
      <text>
        <r>
          <rPr>
            <b/>
            <sz val="9"/>
            <rFont val="Tahoma"/>
            <family val="2"/>
          </rPr>
          <t>Tegus (SK):</t>
        </r>
        <r>
          <rPr>
            <sz val="9"/>
            <rFont val="Tahoma"/>
            <family val="2"/>
          </rPr>
          <t xml:space="preserve">
Split annual in 4 quarters</t>
        </r>
      </text>
    </comment>
    <comment ref="R122" authorId="0" shapeId="0" xr:uid="{C06D750D-DA3E-4784-9E2D-BD8DFBA0C8E0}">
      <text>
        <r>
          <rPr>
            <b/>
            <sz val="9"/>
            <rFont val="Tahoma"/>
            <family val="2"/>
          </rPr>
          <t>Tegus (SK):</t>
        </r>
        <r>
          <rPr>
            <sz val="9"/>
            <rFont val="Tahoma"/>
            <family val="2"/>
          </rPr>
          <t xml:space="preserve">
Split annual in 4 quarters</t>
        </r>
      </text>
    </comment>
    <comment ref="S122" authorId="0" shapeId="0" xr:uid="{47590DF5-5A1E-4D0D-9323-7075B842E307}">
      <text>
        <r>
          <rPr>
            <b/>
            <sz val="9"/>
            <rFont val="Tahoma"/>
            <family val="2"/>
          </rPr>
          <t>Tegus (SK):</t>
        </r>
        <r>
          <rPr>
            <sz val="9"/>
            <rFont val="Tahoma"/>
            <family val="2"/>
          </rPr>
          <t xml:space="preserve">
Backed out of 6 month number</t>
        </r>
      </text>
    </comment>
    <comment ref="T122" authorId="0" shapeId="0" xr:uid="{29C95ACD-4EB0-4820-9ADD-05C427C61AB1}">
      <text>
        <r>
          <rPr>
            <b/>
            <sz val="9"/>
            <rFont val="Tahoma"/>
            <family val="2"/>
          </rPr>
          <t>Tegus (SK):</t>
        </r>
        <r>
          <rPr>
            <sz val="9"/>
            <rFont val="Tahoma"/>
            <family val="2"/>
          </rPr>
          <t xml:space="preserve">
Backed out of 6 month number</t>
        </r>
      </text>
    </comment>
    <comment ref="X122" authorId="0" shapeId="0" xr:uid="{12B63A68-306F-484D-AF29-C429430307E0}">
      <text>
        <r>
          <rPr>
            <b/>
            <sz val="9"/>
            <rFont val="Tahoma"/>
            <family val="2"/>
          </rPr>
          <t>Tegus (DH):</t>
        </r>
        <r>
          <rPr>
            <sz val="9"/>
            <rFont val="Tahoma"/>
            <family val="2"/>
          </rPr>
          <t xml:space="preserve">
Backed out, to be updated with Q2-2022</t>
        </r>
      </text>
    </comment>
    <comment ref="Q123" authorId="0" shapeId="0" xr:uid="{8CB21845-99BA-4E03-BB5A-5F3D03EA7CD5}">
      <text>
        <r>
          <rPr>
            <b/>
            <sz val="9"/>
            <rFont val="Tahoma"/>
            <family val="2"/>
          </rPr>
          <t>Tegus (SK):</t>
        </r>
        <r>
          <rPr>
            <sz val="9"/>
            <rFont val="Tahoma"/>
            <family val="2"/>
          </rPr>
          <t xml:space="preserve">
Split annual in 4 quarters</t>
        </r>
      </text>
    </comment>
    <comment ref="R123" authorId="0" shapeId="0" xr:uid="{3212EAE1-AB11-4064-8CE7-131607B057CB}">
      <text>
        <r>
          <rPr>
            <b/>
            <sz val="9"/>
            <rFont val="Tahoma"/>
            <family val="2"/>
          </rPr>
          <t>Tegus (SK):</t>
        </r>
        <r>
          <rPr>
            <sz val="9"/>
            <rFont val="Tahoma"/>
            <family val="2"/>
          </rPr>
          <t xml:space="preserve">
Split annual in 4 quarters</t>
        </r>
      </text>
    </comment>
    <comment ref="S123" authorId="0" shapeId="0" xr:uid="{35AD06F1-3009-44D4-969E-A1FF6ACEC820}">
      <text>
        <r>
          <rPr>
            <b/>
            <sz val="9"/>
            <rFont val="Tahoma"/>
            <family val="2"/>
          </rPr>
          <t>Tegus (SK):</t>
        </r>
        <r>
          <rPr>
            <sz val="9"/>
            <rFont val="Tahoma"/>
            <family val="2"/>
          </rPr>
          <t xml:space="preserve">
Backed out of 6 month number</t>
        </r>
      </text>
    </comment>
    <comment ref="T123" authorId="0" shapeId="0" xr:uid="{A1FCBBF2-E167-4B6A-BDBB-6112C0B2B1FA}">
      <text>
        <r>
          <rPr>
            <b/>
            <sz val="9"/>
            <rFont val="Tahoma"/>
            <family val="2"/>
          </rPr>
          <t>Tegus (SK):</t>
        </r>
        <r>
          <rPr>
            <sz val="9"/>
            <rFont val="Tahoma"/>
            <family val="2"/>
          </rPr>
          <t xml:space="preserve">
Backed out of 6 month number</t>
        </r>
      </text>
    </comment>
    <comment ref="X123" authorId="0" shapeId="0" xr:uid="{750DEDA5-17F1-4FCD-BD3C-05993D682050}">
      <text>
        <r>
          <rPr>
            <b/>
            <sz val="9"/>
            <rFont val="Tahoma"/>
            <family val="2"/>
          </rPr>
          <t>Tegus (DH):</t>
        </r>
        <r>
          <rPr>
            <sz val="9"/>
            <rFont val="Tahoma"/>
            <family val="2"/>
          </rPr>
          <t xml:space="preserve">
Backed out, to be updated with Q2-2022</t>
        </r>
      </text>
    </comment>
    <comment ref="X124" authorId="0" shapeId="0" xr:uid="{6BD4BDF6-2C32-471D-8C70-7BDF78A62408}">
      <text>
        <r>
          <rPr>
            <b/>
            <sz val="9"/>
            <rFont val="Tahoma"/>
            <family val="2"/>
          </rPr>
          <t>Tegus (DH):</t>
        </r>
        <r>
          <rPr>
            <sz val="9"/>
            <rFont val="Tahoma"/>
            <family val="2"/>
          </rPr>
          <t xml:space="preserve">
Backed out, to be updated with Q2-2022</t>
        </r>
      </text>
    </comment>
    <comment ref="Q125" authorId="0" shapeId="0" xr:uid="{D695F08A-F73C-4F10-88B1-EAA256E220BC}">
      <text>
        <r>
          <rPr>
            <b/>
            <sz val="9"/>
            <rFont val="Tahoma"/>
            <family val="2"/>
          </rPr>
          <t>Tegus (SK):</t>
        </r>
        <r>
          <rPr>
            <sz val="9"/>
            <rFont val="Tahoma"/>
            <family val="2"/>
          </rPr>
          <t xml:space="preserve">
Backed out of total expense number</t>
        </r>
      </text>
    </comment>
    <comment ref="R125" authorId="0" shapeId="0" xr:uid="{ABB6FD95-81E7-4B72-A6F2-ACF4C5D40D40}">
      <text>
        <r>
          <rPr>
            <b/>
            <sz val="9"/>
            <rFont val="Tahoma"/>
            <family val="2"/>
          </rPr>
          <t>Tegus (SK):</t>
        </r>
        <r>
          <rPr>
            <sz val="9"/>
            <rFont val="Tahoma"/>
            <family val="2"/>
          </rPr>
          <t xml:space="preserve">
Backed out of total expense number</t>
        </r>
      </text>
    </comment>
    <comment ref="S125" authorId="0" shapeId="0" xr:uid="{F738D77E-66E1-4F85-B4AA-35839583215D}">
      <text>
        <r>
          <rPr>
            <b/>
            <sz val="9"/>
            <rFont val="Tahoma"/>
            <family val="2"/>
          </rPr>
          <t>Tegus (SK):</t>
        </r>
        <r>
          <rPr>
            <sz val="9"/>
            <rFont val="Tahoma"/>
            <family val="2"/>
          </rPr>
          <t xml:space="preserve">
Backed out of total expense number</t>
        </r>
      </text>
    </comment>
    <comment ref="T125" authorId="0" shapeId="0" xr:uid="{050F4340-9EE2-4C2D-9686-F37C20F26D77}">
      <text>
        <r>
          <rPr>
            <b/>
            <sz val="9"/>
            <rFont val="Tahoma"/>
            <family val="2"/>
          </rPr>
          <t>Tegus (SK):</t>
        </r>
        <r>
          <rPr>
            <sz val="9"/>
            <rFont val="Tahoma"/>
            <family val="2"/>
          </rPr>
          <t xml:space="preserve">
Backed out of total expense number</t>
        </r>
      </text>
    </comment>
    <comment ref="X125" authorId="0" shapeId="0" xr:uid="{EB385D2D-79A3-4586-9750-E32BA554997F}">
      <text>
        <r>
          <rPr>
            <b/>
            <sz val="9"/>
            <rFont val="Tahoma"/>
            <family val="2"/>
          </rPr>
          <t>Tegus (DH):</t>
        </r>
        <r>
          <rPr>
            <sz val="9"/>
            <rFont val="Tahoma"/>
            <family val="2"/>
          </rPr>
          <t xml:space="preserve">
Backed out, to be updated with Q2-2022</t>
        </r>
      </text>
    </comment>
    <comment ref="R133" authorId="0" shapeId="0" xr:uid="{8D7FDFA0-20BB-4D35-89B3-43716CE3ACAF}">
      <text>
        <r>
          <rPr>
            <b/>
            <sz val="9"/>
            <rFont val="Tahoma"/>
            <family val="2"/>
          </rPr>
          <t>Tegus (SK):</t>
        </r>
        <r>
          <rPr>
            <sz val="9"/>
            <rFont val="Tahoma"/>
            <family val="2"/>
          </rPr>
          <t xml:space="preserve">
Reported as 17,702</t>
        </r>
      </text>
    </comment>
    <comment ref="T133" authorId="0" shapeId="0" xr:uid="{039CFAA0-B964-4832-B544-FE48F01C9FAD}">
      <text>
        <r>
          <rPr>
            <b/>
            <sz val="9"/>
            <rFont val="Tahoma"/>
            <family val="2"/>
          </rPr>
          <t>Tegus (SK):</t>
        </r>
        <r>
          <rPr>
            <sz val="9"/>
            <rFont val="Tahoma"/>
            <family val="2"/>
          </rPr>
          <t xml:space="preserve">
Reported as 24,948</t>
        </r>
      </text>
    </comment>
    <comment ref="V135" authorId="0" shapeId="0" xr:uid="{1209FFEC-B4F8-4523-9F7F-0CAFC1E6F3AE}">
      <text>
        <r>
          <rPr>
            <b/>
            <sz val="9"/>
            <rFont val="Tahoma"/>
            <family val="2"/>
          </rPr>
          <t>Tegus (EC):</t>
        </r>
        <r>
          <rPr>
            <sz val="9"/>
            <rFont val="Tahoma"/>
            <family val="2"/>
          </rPr>
          <t xml:space="preserve">
rounding error</t>
        </r>
      </text>
    </comment>
    <comment ref="X135" authorId="0" shapeId="0" xr:uid="{0E8E69DF-03CB-4AEB-AB7C-6150DC8C852C}">
      <text>
        <r>
          <rPr>
            <b/>
            <sz val="9"/>
            <rFont val="Tahoma"/>
            <family val="2"/>
          </rPr>
          <t>Tegus (DH):</t>
        </r>
        <r>
          <rPr>
            <sz val="9"/>
            <rFont val="Tahoma"/>
            <family val="2"/>
          </rPr>
          <t xml:space="preserve">
rounding, to be updated Q2-2022</t>
        </r>
      </text>
    </comment>
    <comment ref="W137" authorId="0" shapeId="0" xr:uid="{543B7086-1EE3-4768-845A-00F284F4FED2}">
      <text>
        <r>
          <rPr>
            <b/>
            <sz val="9"/>
            <rFont val="Tahoma"/>
            <family val="2"/>
          </rPr>
          <t>Tegus (KB):</t>
        </r>
        <r>
          <rPr>
            <sz val="9"/>
            <rFont val="Tahoma"/>
            <family val="2"/>
          </rPr>
          <t xml:space="preserve">
Restated with Q1-2022 PR</t>
        </r>
      </text>
    </comment>
    <comment ref="X137" authorId="0" shapeId="0" xr:uid="{D9CF46D7-13D3-44FA-8B05-BD8481314139}">
      <text>
        <r>
          <rPr>
            <b/>
            <sz val="9"/>
            <rFont val="Tahoma"/>
            <family val="2"/>
          </rPr>
          <t>Tegus (KB):</t>
        </r>
        <r>
          <rPr>
            <sz val="9"/>
            <rFont val="Tahoma"/>
            <family val="2"/>
          </rPr>
          <t xml:space="preserve">
Restated with Q2-2022 PR</t>
        </r>
      </text>
    </comment>
    <comment ref="X150" authorId="0" shapeId="0" xr:uid="{D3054E23-85F3-4026-92A5-D45A05429A50}">
      <text>
        <r>
          <rPr>
            <b/>
            <sz val="9"/>
            <rFont val="Tahoma"/>
            <family val="2"/>
          </rPr>
          <t>Tegus (KB):</t>
        </r>
        <r>
          <rPr>
            <sz val="9"/>
            <rFont val="Tahoma"/>
            <family val="2"/>
          </rPr>
          <t xml:space="preserve">
Reported as 47,033, to be updated upon restatement of IS with 10-Q</t>
        </r>
      </text>
    </comment>
    <comment ref="Y150" authorId="0" shapeId="0" xr:uid="{799C551C-4A78-4D24-81EA-0454AEB05B81}">
      <text>
        <r>
          <rPr>
            <b/>
            <sz val="9"/>
            <rFont val="Tahoma"/>
            <family val="2"/>
          </rPr>
          <t>Tegus (EC):</t>
        </r>
        <r>
          <rPr>
            <sz val="9"/>
            <rFont val="Tahoma"/>
            <family val="2"/>
          </rPr>
          <t xml:space="preserve">
company reported 51.3</t>
        </r>
      </text>
    </comment>
    <comment ref="AD162" authorId="0" shapeId="0" xr:uid="{618ED8A1-5948-4950-9221-B278C161F433}">
      <text>
        <r>
          <rPr>
            <b/>
            <sz val="9"/>
            <rFont val="Tahoma"/>
            <family val="2"/>
          </rPr>
          <t>Tegus (LZ):</t>
        </r>
        <r>
          <rPr>
            <sz val="9"/>
            <rFont val="Tahoma"/>
            <family val="2"/>
          </rPr>
          <t xml:space="preserve">
Plug to match reported subtotal</t>
        </r>
      </text>
    </comment>
    <comment ref="Y164" authorId="0" shapeId="0" xr:uid="{78AA472F-197E-4D1B-BFCB-6F6391710C8F}">
      <text>
        <r>
          <rPr>
            <b/>
            <sz val="9"/>
            <rFont val="Tahoma"/>
            <family val="2"/>
          </rPr>
          <t>Tegus (EC):</t>
        </r>
        <r>
          <rPr>
            <sz val="9"/>
            <rFont val="Tahoma"/>
            <family val="2"/>
          </rPr>
          <t xml:space="preserve">
company reported 36.248</t>
        </r>
      </text>
    </comment>
    <comment ref="BD165" authorId="0" shapeId="0" xr:uid="{709EC12E-F9DB-4117-A2BB-1C4F5670F3EA}">
      <text>
        <r>
          <rPr>
            <b/>
            <sz val="9"/>
            <rFont val="Tahoma"/>
            <family val="2"/>
          </rPr>
          <t>Tegus (KB):</t>
        </r>
        <r>
          <rPr>
            <sz val="9"/>
            <rFont val="Tahoma"/>
            <family val="2"/>
          </rPr>
          <t xml:space="preserve">
As reported</t>
        </r>
      </text>
    </comment>
    <comment ref="X166" authorId="0" shapeId="0" xr:uid="{703920CC-21CB-468B-B8F6-F021FCED5DB9}">
      <text>
        <r>
          <rPr>
            <b/>
            <sz val="9"/>
            <rFont val="Tahoma"/>
            <family val="2"/>
          </rPr>
          <t>Tegus (KB):</t>
        </r>
        <r>
          <rPr>
            <sz val="9"/>
            <rFont val="Tahoma"/>
            <family val="2"/>
          </rPr>
          <t xml:space="preserve">
Reported as 22,621, to be updated upon restatement of IS with 10-Q</t>
        </r>
      </text>
    </comment>
    <comment ref="BD166" authorId="0" shapeId="0" xr:uid="{F7734F17-C98F-4763-ACA1-3F896F25C22C}">
      <text>
        <r>
          <rPr>
            <b/>
            <sz val="9"/>
            <rFont val="Tahoma"/>
            <family val="2"/>
          </rPr>
          <t>Tegus (KB):</t>
        </r>
        <r>
          <rPr>
            <sz val="9"/>
            <rFont val="Tahoma"/>
            <family val="2"/>
          </rPr>
          <t xml:space="preserve">
As reported</t>
        </r>
      </text>
    </comment>
    <comment ref="Q168" authorId="0" shapeId="0" xr:uid="{9D32D74D-3FBE-4EBB-A2EB-BEFB722E1DAD}">
      <text>
        <r>
          <rPr>
            <b/>
            <sz val="9"/>
            <rFont val="Tahoma"/>
            <family val="2"/>
          </rPr>
          <t>Tegus (DL):</t>
        </r>
        <r>
          <rPr>
            <sz val="9"/>
            <rFont val="Tahoma"/>
            <family val="2"/>
          </rPr>
          <t xml:space="preserve">
Based on estimation</t>
        </r>
      </text>
    </comment>
    <comment ref="R168" authorId="0" shapeId="0" xr:uid="{56EE843A-FF10-4B6C-A4B0-15A7E787AF37}">
      <text>
        <r>
          <rPr>
            <b/>
            <sz val="9"/>
            <rFont val="Tahoma"/>
            <family val="2"/>
          </rPr>
          <t>Tegus (DL):</t>
        </r>
        <r>
          <rPr>
            <sz val="9"/>
            <rFont val="Tahoma"/>
            <family val="2"/>
          </rPr>
          <t xml:space="preserve">
Based on estimation</t>
        </r>
      </text>
    </comment>
    <comment ref="S168" authorId="0" shapeId="0" xr:uid="{5B75F097-1B5E-463D-A9E6-0BCB57B46DD5}">
      <text>
        <r>
          <rPr>
            <b/>
            <sz val="9"/>
            <rFont val="Tahoma"/>
            <family val="2"/>
          </rPr>
          <t>Tegus (DL):</t>
        </r>
        <r>
          <rPr>
            <sz val="9"/>
            <rFont val="Tahoma"/>
            <family val="2"/>
          </rPr>
          <t xml:space="preserve">
Based on estimation</t>
        </r>
      </text>
    </comment>
    <comment ref="T168" authorId="0" shapeId="0" xr:uid="{DAE14EDB-614E-4D88-A803-848C677FCD18}">
      <text>
        <r>
          <rPr>
            <b/>
            <sz val="9"/>
            <rFont val="Tahoma"/>
            <family val="2"/>
          </rPr>
          <t>Tegus (DL):</t>
        </r>
        <r>
          <rPr>
            <sz val="9"/>
            <rFont val="Tahoma"/>
            <family val="2"/>
          </rPr>
          <t xml:space="preserve">
Based on estimation</t>
        </r>
      </text>
    </comment>
    <comment ref="U168" authorId="0" shapeId="0" xr:uid="{DE5A6A7F-170F-4F5E-BD29-7621D20A25E0}">
      <text>
        <r>
          <rPr>
            <b/>
            <sz val="9"/>
            <rFont val="Tahoma"/>
            <family val="2"/>
          </rPr>
          <t>Tegus (DL):</t>
        </r>
        <r>
          <rPr>
            <sz val="9"/>
            <rFont val="Tahoma"/>
            <family val="2"/>
          </rPr>
          <t xml:space="preserve">
Based on estimation</t>
        </r>
      </text>
    </comment>
    <comment ref="V168" authorId="0" shapeId="0" xr:uid="{676D6291-E113-468D-9279-BA88D78CA366}">
      <text>
        <r>
          <rPr>
            <b/>
            <sz val="9"/>
            <rFont val="Tahoma"/>
            <family val="2"/>
          </rPr>
          <t>Tegus (DL):</t>
        </r>
        <r>
          <rPr>
            <sz val="9"/>
            <rFont val="Tahoma"/>
            <family val="2"/>
          </rPr>
          <t xml:space="preserve">
Based on estimation</t>
        </r>
      </text>
    </comment>
    <comment ref="W168" authorId="0" shapeId="0" xr:uid="{DFA55ABD-4272-4835-A36B-AEF1D2AC26DC}">
      <text>
        <r>
          <rPr>
            <b/>
            <sz val="9"/>
            <rFont val="Tahoma"/>
            <family val="2"/>
          </rPr>
          <t>Tegus (KB):</t>
        </r>
        <r>
          <rPr>
            <sz val="9"/>
            <rFont val="Tahoma"/>
            <family val="2"/>
          </rPr>
          <t xml:space="preserve">
Estimated</t>
        </r>
      </text>
    </comment>
    <comment ref="X168" authorId="0" shapeId="0" xr:uid="{F4DA0D80-D85C-49DE-9030-65FFB805AE35}">
      <text>
        <r>
          <rPr>
            <b/>
            <sz val="9"/>
            <rFont val="Tahoma"/>
            <family val="2"/>
          </rPr>
          <t>Tegus (KB):</t>
        </r>
        <r>
          <rPr>
            <sz val="9"/>
            <rFont val="Tahoma"/>
            <family val="2"/>
          </rPr>
          <t xml:space="preserve">
Estimated</t>
        </r>
      </text>
    </comment>
    <comment ref="Y168" authorId="0" shapeId="0" xr:uid="{21934541-48C3-48CF-A64E-FE586BAB3A0E}">
      <text>
        <r>
          <rPr>
            <b/>
            <sz val="9"/>
            <rFont val="Tahoma"/>
            <family val="2"/>
          </rPr>
          <t>Tegus (KB):</t>
        </r>
        <r>
          <rPr>
            <sz val="9"/>
            <rFont val="Tahoma"/>
            <family val="2"/>
          </rPr>
          <t xml:space="preserve">
Estimated</t>
        </r>
      </text>
    </comment>
    <comment ref="Z168" authorId="0" shapeId="0" xr:uid="{E0E532AB-CF02-4579-9B11-9664E57DDD00}">
      <text>
        <r>
          <rPr>
            <b/>
            <sz val="9"/>
            <rFont val="Tahoma"/>
            <family val="2"/>
          </rPr>
          <t>Tegus (KB):</t>
        </r>
        <r>
          <rPr>
            <sz val="9"/>
            <rFont val="Tahoma"/>
            <family val="2"/>
          </rPr>
          <t xml:space="preserve">
Estimated</t>
        </r>
      </text>
    </comment>
    <comment ref="AA168" authorId="0" shapeId="0" xr:uid="{C00603E4-0F6C-4503-AC91-89251B7B4153}">
      <text>
        <r>
          <rPr>
            <b/>
            <sz val="9"/>
            <rFont val="Tahoma"/>
            <family val="2"/>
          </rPr>
          <t>Tegus (HZ):</t>
        </r>
        <r>
          <rPr>
            <sz val="9"/>
            <rFont val="Tahoma"/>
            <family val="2"/>
          </rPr>
          <t xml:space="preserve">
Estimated </t>
        </r>
      </text>
    </comment>
    <comment ref="AB168" authorId="0" shapeId="0" xr:uid="{5C7C8849-AAB4-4AEB-A4E6-B4C12BC54297}">
      <text>
        <r>
          <rPr>
            <b/>
            <sz val="9"/>
            <rFont val="Tahoma"/>
            <family val="2"/>
          </rPr>
          <t>Tegus (HZ):</t>
        </r>
        <r>
          <rPr>
            <sz val="9"/>
            <rFont val="Tahoma"/>
            <family val="2"/>
          </rPr>
          <t xml:space="preserve">
Estimated </t>
        </r>
      </text>
    </comment>
    <comment ref="AC168" authorId="0" shapeId="0" xr:uid="{59EA76BD-1AEB-4196-A2D9-9A062B7DF42E}">
      <text>
        <r>
          <rPr>
            <b/>
            <sz val="9"/>
            <rFont val="Tahoma"/>
            <family val="2"/>
          </rPr>
          <t>Tegus (HZ):</t>
        </r>
        <r>
          <rPr>
            <sz val="9"/>
            <rFont val="Tahoma"/>
            <family val="2"/>
          </rPr>
          <t xml:space="preserve">
Estimated </t>
        </r>
      </text>
    </comment>
    <comment ref="AD168" authorId="0" shapeId="0" xr:uid="{89A854CE-EF5F-4965-B1D5-705F713809CF}">
      <text>
        <r>
          <rPr>
            <b/>
            <sz val="9"/>
            <rFont val="Tahoma"/>
            <family val="2"/>
          </rPr>
          <t>Tegus (HZ):</t>
        </r>
        <r>
          <rPr>
            <sz val="9"/>
            <rFont val="Tahoma"/>
            <family val="2"/>
          </rPr>
          <t xml:space="preserve">
Estimated </t>
        </r>
      </text>
    </comment>
    <comment ref="AE168" authorId="0" shapeId="0" xr:uid="{6EA86D0D-7EE2-4685-931C-EEF2E693FA18}">
      <text>
        <r>
          <rPr>
            <b/>
            <sz val="9"/>
            <rFont val="Tahoma"/>
            <family val="2"/>
          </rPr>
          <t>Tegus (NC):</t>
        </r>
        <r>
          <rPr>
            <sz val="9"/>
            <rFont val="Tahoma"/>
            <family val="2"/>
          </rPr>
          <t xml:space="preserve">
Estimated</t>
        </r>
      </text>
    </comment>
    <comment ref="AF168" authorId="0" shapeId="0" xr:uid="{0081068A-E90E-4388-A3BC-1755C1D1940A}">
      <text>
        <r>
          <rPr>
            <b/>
            <sz val="9"/>
            <rFont val="Tahoma"/>
            <family val="2"/>
          </rPr>
          <t>Tegus (HZ):</t>
        </r>
        <r>
          <rPr>
            <sz val="9"/>
            <rFont val="Tahoma"/>
            <family val="2"/>
          </rPr>
          <t xml:space="preserve">
Estimated</t>
        </r>
      </text>
    </comment>
    <comment ref="AG168" authorId="0" shapeId="0" xr:uid="{3B4CC46E-EFD6-4241-ABAF-37F26CD7459F}">
      <text>
        <r>
          <rPr>
            <b/>
            <sz val="9"/>
            <rFont val="Tahoma"/>
            <family val="2"/>
          </rPr>
          <t>Tegus (AG):</t>
        </r>
        <r>
          <rPr>
            <sz val="9"/>
            <rFont val="Tahoma"/>
            <family val="2"/>
          </rPr>
          <t xml:space="preserve">
Estimated</t>
        </r>
      </text>
    </comment>
    <comment ref="AH168" authorId="0" shapeId="0" xr:uid="{F612D523-4E91-47F1-83D1-62BA6100BE4A}">
      <text>
        <r>
          <rPr>
            <b/>
            <sz val="9"/>
            <rFont val="Tahoma"/>
            <family val="2"/>
          </rPr>
          <t>Tegus (AG):</t>
        </r>
        <r>
          <rPr>
            <sz val="9"/>
            <rFont val="Tahoma"/>
            <family val="2"/>
          </rPr>
          <t xml:space="preserve">
Estimated</t>
        </r>
      </text>
    </comment>
    <comment ref="AI168" authorId="0" shapeId="0" xr:uid="{EA0FDD4B-C792-4F34-A6A3-22194062C6EA}">
      <text>
        <r>
          <rPr>
            <b/>
            <sz val="9"/>
            <rFont val="Tahoma"/>
            <family val="2"/>
          </rPr>
          <t>Tegus (AG):</t>
        </r>
        <r>
          <rPr>
            <sz val="9"/>
            <rFont val="Tahoma"/>
            <family val="2"/>
          </rPr>
          <t xml:space="preserve">
Estimated</t>
        </r>
      </text>
    </comment>
    <comment ref="AJ168" authorId="1" shapeId="0" xr:uid="{AB6CD7CB-4361-401A-AFA2-D4C5AE6B1A94}">
      <text>
        <r>
          <rPr>
            <b/>
            <sz val="9"/>
            <rFont val="Tahoma"/>
            <family val="2"/>
          </rPr>
          <t>Tegus (WW):</t>
        </r>
        <r>
          <rPr>
            <sz val="9"/>
            <rFont val="Tahoma"/>
            <family val="2"/>
          </rPr>
          <t xml:space="preserve">
Estimated.</t>
        </r>
      </text>
    </comment>
    <comment ref="Q169" authorId="0" shapeId="0" xr:uid="{4781E93C-6339-4325-BC27-742913016C9C}">
      <text>
        <r>
          <rPr>
            <b/>
            <sz val="9"/>
            <rFont val="Tahoma"/>
            <family val="2"/>
          </rPr>
          <t>Tegus (DL):</t>
        </r>
        <r>
          <rPr>
            <sz val="9"/>
            <rFont val="Tahoma"/>
            <family val="2"/>
          </rPr>
          <t xml:space="preserve">
Estimated</t>
        </r>
      </text>
    </comment>
    <comment ref="R169" authorId="0" shapeId="0" xr:uid="{99623E75-1D73-4ABA-B215-CA26284773E7}">
      <text>
        <r>
          <rPr>
            <b/>
            <sz val="9"/>
            <rFont val="Tahoma"/>
            <family val="2"/>
          </rPr>
          <t>Tegus (DL):</t>
        </r>
        <r>
          <rPr>
            <sz val="9"/>
            <rFont val="Tahoma"/>
            <family val="2"/>
          </rPr>
          <t xml:space="preserve">
Estimated</t>
        </r>
      </text>
    </comment>
    <comment ref="S169" authorId="0" shapeId="0" xr:uid="{B7B7AC9E-FE90-4430-9ED7-AD9E43E58CBC}">
      <text>
        <r>
          <rPr>
            <b/>
            <sz val="9"/>
            <rFont val="Tahoma"/>
            <family val="2"/>
          </rPr>
          <t>Tegus (DL):</t>
        </r>
        <r>
          <rPr>
            <sz val="9"/>
            <rFont val="Tahoma"/>
            <family val="2"/>
          </rPr>
          <t xml:space="preserve">
Not reported. Estimated</t>
        </r>
      </text>
    </comment>
    <comment ref="T169" authorId="0" shapeId="0" xr:uid="{6B4CF9BA-5DC2-460F-890E-B0BE9E877994}">
      <text>
        <r>
          <rPr>
            <b/>
            <sz val="9"/>
            <rFont val="Tahoma"/>
            <family val="2"/>
          </rPr>
          <t>Tegus (DL):</t>
        </r>
        <r>
          <rPr>
            <sz val="9"/>
            <rFont val="Tahoma"/>
            <family val="2"/>
          </rPr>
          <t xml:space="preserve">
Estimated</t>
        </r>
      </text>
    </comment>
    <comment ref="U169" authorId="0" shapeId="0" xr:uid="{4423A2B7-CDDD-40B2-9884-929F03B91AC3}">
      <text>
        <r>
          <rPr>
            <b/>
            <sz val="9"/>
            <rFont val="Tahoma"/>
            <family val="2"/>
          </rPr>
          <t>Tegus (DL):</t>
        </r>
        <r>
          <rPr>
            <sz val="9"/>
            <rFont val="Tahoma"/>
            <family val="2"/>
          </rPr>
          <t xml:space="preserve">
Estimated</t>
        </r>
      </text>
    </comment>
    <comment ref="V169" authorId="0" shapeId="0" xr:uid="{DFB69794-4AC3-472E-9830-C4412592F42F}">
      <text>
        <r>
          <rPr>
            <b/>
            <sz val="9"/>
            <rFont val="Tahoma"/>
            <family val="2"/>
          </rPr>
          <t>Tegus (DL):</t>
        </r>
        <r>
          <rPr>
            <sz val="9"/>
            <rFont val="Tahoma"/>
            <family val="2"/>
          </rPr>
          <t xml:space="preserve">
Estimated</t>
        </r>
      </text>
    </comment>
    <comment ref="W169" authorId="0" shapeId="0" xr:uid="{8E1F9542-2433-4BFF-8337-55BED61758E0}">
      <text>
        <r>
          <rPr>
            <b/>
            <sz val="9"/>
            <rFont val="Tahoma"/>
            <family val="2"/>
          </rPr>
          <t>Tegus (KB):</t>
        </r>
        <r>
          <rPr>
            <sz val="9"/>
            <rFont val="Tahoma"/>
            <family val="2"/>
          </rPr>
          <t xml:space="preserve">
Based on estimation</t>
        </r>
      </text>
    </comment>
    <comment ref="X169" authorId="0" shapeId="0" xr:uid="{7081F37C-9F1E-433B-943C-A780A03D2B3F}">
      <text>
        <r>
          <rPr>
            <b/>
            <sz val="9"/>
            <rFont val="Tahoma"/>
            <family val="2"/>
          </rPr>
          <t>Tegus (KB):</t>
        </r>
        <r>
          <rPr>
            <sz val="9"/>
            <rFont val="Tahoma"/>
            <family val="2"/>
          </rPr>
          <t xml:space="preserve">
Based on estimation</t>
        </r>
      </text>
    </comment>
    <comment ref="Y169" authorId="0" shapeId="0" xr:uid="{4B7697FB-F8AD-43BD-9006-ADA1671E29FF}">
      <text>
        <r>
          <rPr>
            <b/>
            <sz val="9"/>
            <rFont val="Tahoma"/>
            <family val="2"/>
          </rPr>
          <t>Tegus (KB):</t>
        </r>
        <r>
          <rPr>
            <sz val="9"/>
            <rFont val="Tahoma"/>
            <family val="2"/>
          </rPr>
          <t xml:space="preserve">
Based on estimation</t>
        </r>
      </text>
    </comment>
    <comment ref="Z169" authorId="0" shapeId="0" xr:uid="{B3624214-1ABF-4B86-B815-2EF9FA4F471A}">
      <text>
        <r>
          <rPr>
            <b/>
            <sz val="9"/>
            <rFont val="Tahoma"/>
            <family val="2"/>
          </rPr>
          <t>Tegus (KB):</t>
        </r>
        <r>
          <rPr>
            <sz val="9"/>
            <rFont val="Tahoma"/>
            <family val="2"/>
          </rPr>
          <t xml:space="preserve">
Based on estimation</t>
        </r>
      </text>
    </comment>
    <comment ref="AA169" authorId="0" shapeId="0" xr:uid="{5D279AD7-B91E-465C-8EB9-580539640348}">
      <text>
        <r>
          <rPr>
            <b/>
            <sz val="9"/>
            <rFont val="Tahoma"/>
            <family val="2"/>
          </rPr>
          <t>Tegus (HZ):</t>
        </r>
        <r>
          <rPr>
            <sz val="9"/>
            <rFont val="Tahoma"/>
            <family val="2"/>
          </rPr>
          <t xml:space="preserve">
Estimated </t>
        </r>
      </text>
    </comment>
    <comment ref="AB169" authorId="0" shapeId="0" xr:uid="{75B76477-33D1-43FC-A1B9-C144E57580B9}">
      <text>
        <r>
          <rPr>
            <b/>
            <sz val="9"/>
            <rFont val="Tahoma"/>
            <family val="2"/>
          </rPr>
          <t>Tegus (HZ):</t>
        </r>
        <r>
          <rPr>
            <sz val="9"/>
            <rFont val="Tahoma"/>
            <family val="2"/>
          </rPr>
          <t xml:space="preserve">
Estimated </t>
        </r>
      </text>
    </comment>
    <comment ref="AC169" authorId="0" shapeId="0" xr:uid="{8DBA685F-EC98-4F1D-8A0A-203560A1931A}">
      <text>
        <r>
          <rPr>
            <b/>
            <sz val="9"/>
            <rFont val="Tahoma"/>
            <family val="2"/>
          </rPr>
          <t>Tegus (HZ):</t>
        </r>
        <r>
          <rPr>
            <sz val="9"/>
            <rFont val="Tahoma"/>
            <family val="2"/>
          </rPr>
          <t xml:space="preserve">
Estimated </t>
        </r>
      </text>
    </comment>
    <comment ref="AD169" authorId="0" shapeId="0" xr:uid="{63A67C1D-3DF3-4E7F-91CF-E2560150D8BE}">
      <text>
        <r>
          <rPr>
            <b/>
            <sz val="9"/>
            <rFont val="Tahoma"/>
            <family val="2"/>
          </rPr>
          <t>Tegus (HZ):</t>
        </r>
        <r>
          <rPr>
            <sz val="9"/>
            <rFont val="Tahoma"/>
            <family val="2"/>
          </rPr>
          <t xml:space="preserve">
Estimated </t>
        </r>
      </text>
    </comment>
    <comment ref="AE169" authorId="0" shapeId="0" xr:uid="{7F8BFC79-B28D-4EAB-B410-F0DA1F456BEE}">
      <text>
        <r>
          <rPr>
            <b/>
            <sz val="9"/>
            <rFont val="Tahoma"/>
            <family val="2"/>
          </rPr>
          <t>Tegus (NC):</t>
        </r>
        <r>
          <rPr>
            <sz val="9"/>
            <rFont val="Tahoma"/>
            <family val="2"/>
          </rPr>
          <t xml:space="preserve">
Estimated</t>
        </r>
      </text>
    </comment>
    <comment ref="AF169" authorId="0" shapeId="0" xr:uid="{90025E1C-1551-456C-B96B-82F81A73778B}">
      <text>
        <r>
          <rPr>
            <b/>
            <sz val="9"/>
            <rFont val="Tahoma"/>
            <family val="2"/>
          </rPr>
          <t>Tegus (HZ):</t>
        </r>
        <r>
          <rPr>
            <sz val="9"/>
            <rFont val="Tahoma"/>
            <family val="2"/>
          </rPr>
          <t xml:space="preserve">
Estimated</t>
        </r>
      </text>
    </comment>
    <comment ref="AG169" authorId="0" shapeId="0" xr:uid="{89ABA81D-40A0-4383-8DD5-458DA383A268}">
      <text>
        <r>
          <rPr>
            <b/>
            <sz val="9"/>
            <rFont val="Tahoma"/>
            <family val="2"/>
          </rPr>
          <t>Tegus (AG):</t>
        </r>
        <r>
          <rPr>
            <sz val="9"/>
            <rFont val="Tahoma"/>
            <family val="2"/>
          </rPr>
          <t xml:space="preserve">
Estimated</t>
        </r>
      </text>
    </comment>
    <comment ref="AH169" authorId="0" shapeId="0" xr:uid="{E25D9D04-4B27-480D-83DB-63A1DBF0EB0D}">
      <text>
        <r>
          <rPr>
            <b/>
            <sz val="9"/>
            <rFont val="Tahoma"/>
            <family val="2"/>
          </rPr>
          <t>Tegus (AG):</t>
        </r>
        <r>
          <rPr>
            <sz val="9"/>
            <rFont val="Tahoma"/>
            <family val="2"/>
          </rPr>
          <t xml:space="preserve">
Estimated</t>
        </r>
      </text>
    </comment>
    <comment ref="AI169" authorId="0" shapeId="0" xr:uid="{C22BF402-0026-4F4D-96CA-ADF6C8961B02}">
      <text>
        <r>
          <rPr>
            <b/>
            <sz val="9"/>
            <rFont val="Tahoma"/>
            <family val="2"/>
          </rPr>
          <t>Tegus (AG):</t>
        </r>
        <r>
          <rPr>
            <sz val="9"/>
            <rFont val="Tahoma"/>
            <family val="2"/>
          </rPr>
          <t xml:space="preserve">
Estimated</t>
        </r>
      </text>
    </comment>
    <comment ref="AJ169" authorId="1" shapeId="0" xr:uid="{9572EA1A-6BFF-4890-B179-8E0A9846D8A1}">
      <text>
        <r>
          <rPr>
            <b/>
            <sz val="9"/>
            <rFont val="Tahoma"/>
            <family val="2"/>
          </rPr>
          <t>Tegus (WW):</t>
        </r>
        <r>
          <rPr>
            <sz val="9"/>
            <rFont val="Tahoma"/>
            <family val="2"/>
          </rPr>
          <t xml:space="preserve">
Estimated.</t>
        </r>
      </text>
    </comment>
    <comment ref="Q172" authorId="0" shapeId="0" xr:uid="{DDB587C0-F98F-4EBD-A787-14CE31D3B1B1}">
      <text>
        <r>
          <rPr>
            <b/>
            <sz val="9"/>
            <rFont val="Tahoma"/>
            <family val="2"/>
          </rPr>
          <t>Tegus (LZ):</t>
        </r>
        <r>
          <rPr>
            <sz val="9"/>
            <rFont val="Tahoma"/>
            <family val="2"/>
          </rPr>
          <t xml:space="preserve">
Estimated</t>
        </r>
      </text>
    </comment>
    <comment ref="R172" authorId="0" shapeId="0" xr:uid="{F7363089-7CEB-4CCA-9DA9-E14D05F736E4}">
      <text>
        <r>
          <rPr>
            <b/>
            <sz val="9"/>
            <rFont val="Tahoma"/>
            <family val="2"/>
          </rPr>
          <t>Tegus (LZ):</t>
        </r>
        <r>
          <rPr>
            <sz val="9"/>
            <rFont val="Tahoma"/>
            <family val="2"/>
          </rPr>
          <t xml:space="preserve">
Estimated</t>
        </r>
      </text>
    </comment>
    <comment ref="S172" authorId="0" shapeId="0" xr:uid="{FB9FD5E0-E533-496E-A7EA-9D36F0D0DD0E}">
      <text>
        <r>
          <rPr>
            <b/>
            <sz val="9"/>
            <rFont val="Tahoma"/>
            <family val="2"/>
          </rPr>
          <t>Tegus (LZ):</t>
        </r>
        <r>
          <rPr>
            <sz val="9"/>
            <rFont val="Tahoma"/>
            <family val="2"/>
          </rPr>
          <t xml:space="preserve">
Estimated</t>
        </r>
      </text>
    </comment>
    <comment ref="T172" authorId="0" shapeId="0" xr:uid="{709144C7-4247-4CBB-988B-2C5247584910}">
      <text>
        <r>
          <rPr>
            <b/>
            <sz val="9"/>
            <rFont val="Tahoma"/>
            <family val="2"/>
          </rPr>
          <t>Tegus (LZ):</t>
        </r>
        <r>
          <rPr>
            <sz val="9"/>
            <rFont val="Tahoma"/>
            <family val="2"/>
          </rPr>
          <t xml:space="preserve">
Estimated</t>
        </r>
      </text>
    </comment>
    <comment ref="V172" authorId="0" shapeId="0" xr:uid="{FC8A6563-FDEB-4F07-9C82-35AC49E44F38}">
      <text>
        <r>
          <rPr>
            <b/>
            <sz val="9"/>
            <rFont val="Tahoma"/>
            <family val="2"/>
          </rPr>
          <t>Tegus (LZ):</t>
        </r>
        <r>
          <rPr>
            <sz val="9"/>
            <rFont val="Tahoma"/>
            <family val="2"/>
          </rPr>
          <t xml:space="preserve">
Estimated</t>
        </r>
      </text>
    </comment>
    <comment ref="Z172" authorId="0" shapeId="0" xr:uid="{35C2CCFE-F7AD-4259-AD60-76D564B10630}">
      <text>
        <r>
          <rPr>
            <b/>
            <sz val="9"/>
            <rFont val="Tahoma"/>
            <family val="2"/>
          </rPr>
          <t>Tegus (LZ):</t>
        </r>
        <r>
          <rPr>
            <sz val="9"/>
            <rFont val="Tahoma"/>
            <family val="2"/>
          </rPr>
          <t xml:space="preserve">
Estimated</t>
        </r>
      </text>
    </comment>
    <comment ref="X226" authorId="0" shapeId="0" xr:uid="{48CD223F-31FF-4297-B1AD-A5572CEEC423}">
      <text>
        <r>
          <rPr>
            <b/>
            <sz val="9"/>
            <rFont val="Tahoma"/>
            <family val="2"/>
          </rPr>
          <t>Tegus (DT):</t>
        </r>
        <r>
          <rPr>
            <sz val="9"/>
            <rFont val="Tahoma"/>
            <family val="2"/>
          </rPr>
          <t xml:space="preserve">
IPO completed September 27, 2021.</t>
        </r>
      </text>
    </comment>
    <comment ref="A240" authorId="0" shapeId="0" xr:uid="{8E638090-7F0A-4B83-86FD-C40D5960A0F0}">
      <text>
        <r>
          <rPr>
            <b/>
            <sz val="9"/>
            <rFont val="Tahoma"/>
            <family val="2"/>
          </rPr>
          <t>Tegus:</t>
        </r>
        <r>
          <rPr>
            <sz val="9"/>
            <rFont val="Tahoma"/>
            <family val="2"/>
          </rPr>
          <t xml:space="preserve">
In periods where EPS is negative, this amount is calculated using the closest prior period where EPS was positive.</t>
        </r>
      </text>
    </comment>
    <comment ref="A336" authorId="0" shapeId="0" xr:uid="{C64DA919-AB14-4003-9F4D-CDFF9BC4AD4A}">
      <text>
        <r>
          <rPr>
            <b/>
            <sz val="9"/>
            <rFont val="Tahoma"/>
            <family val="2"/>
          </rPr>
          <t>Tegus (VA):</t>
        </r>
        <r>
          <rPr>
            <sz val="9"/>
            <rFont val="Tahoma"/>
            <family val="2"/>
          </rPr>
          <t xml:space="preserve">
ESPP exists but not reported.</t>
        </r>
      </text>
    </comment>
    <comment ref="Z360" authorId="0" shapeId="0" xr:uid="{57A60C17-883C-4CB6-AF59-FF7C772D4B3B}">
      <text>
        <r>
          <rPr>
            <b/>
            <sz val="9"/>
            <rFont val="Tahoma"/>
            <family val="2"/>
          </rPr>
          <t>Tegus (KB):</t>
        </r>
        <r>
          <rPr>
            <sz val="9"/>
            <rFont val="Tahoma"/>
            <family val="2"/>
          </rPr>
          <t xml:space="preserve">
Acquired Employment Background Investigations.</t>
        </r>
      </text>
    </comment>
    <comment ref="R482" authorId="0" shapeId="0" xr:uid="{BD7D5F30-8AA7-445D-9018-F7A005FF6201}">
      <text>
        <r>
          <rPr>
            <b/>
            <sz val="9"/>
            <rFont val="Tahoma"/>
            <family val="2"/>
          </rPr>
          <t>Tegus (SK):</t>
        </r>
        <r>
          <rPr>
            <sz val="9"/>
            <rFont val="Tahoma"/>
            <family val="2"/>
          </rPr>
          <t xml:space="preserve">
Hardcoded </t>
        </r>
      </text>
    </comment>
    <comment ref="W555" authorId="0" shapeId="0" xr:uid="{193177D1-8246-41B8-934F-516F45F70290}">
      <text>
        <r>
          <rPr>
            <b/>
            <sz val="9"/>
            <rFont val="Tahoma"/>
            <family val="2"/>
          </rPr>
          <t>Tegus (DH):</t>
        </r>
        <r>
          <rPr>
            <sz val="9"/>
            <rFont val="Tahoma"/>
            <family val="2"/>
          </rPr>
          <t xml:space="preserve">
BS not available</t>
        </r>
      </text>
    </comment>
    <comment ref="X641" authorId="0" shapeId="0" xr:uid="{7DA1FB3E-0F87-423C-899A-01CD9832FA51}">
      <text>
        <r>
          <rPr>
            <b/>
            <sz val="9"/>
            <rFont val="Tahoma"/>
            <family val="2"/>
          </rPr>
          <t>Tegus (DH):</t>
        </r>
        <r>
          <rPr>
            <sz val="9"/>
            <rFont val="Tahoma"/>
            <family val="2"/>
          </rPr>
          <t xml:space="preserve">
rounding, to be updated Q2-2022</t>
        </r>
      </text>
    </comment>
    <comment ref="BC650" authorId="0" shapeId="0" xr:uid="{1DD42B95-F8C5-48C0-9AD3-0BD18BC35194}">
      <text>
        <r>
          <rPr>
            <b/>
            <sz val="9"/>
            <rFont val="Tahoma"/>
            <family val="2"/>
          </rPr>
          <t>Tegus (SK):</t>
        </r>
        <r>
          <rPr>
            <sz val="9"/>
            <rFont val="Tahoma"/>
            <family val="2"/>
          </rPr>
          <t xml:space="preserve">
As reported, rounding error</t>
        </r>
      </text>
    </comment>
    <comment ref="BD650" authorId="0" shapeId="0" xr:uid="{9FA684C0-444A-4525-83E4-167E6351F0E1}">
      <text>
        <r>
          <rPr>
            <b/>
            <sz val="9"/>
            <rFont val="Tahoma"/>
            <family val="2"/>
          </rPr>
          <t>Tegus (AK):</t>
        </r>
        <r>
          <rPr>
            <sz val="9"/>
            <rFont val="Tahoma"/>
            <family val="2"/>
          </rPr>
          <t xml:space="preserve">
as reported</t>
        </r>
      </text>
    </comment>
    <comment ref="AF652" authorId="0" shapeId="0" xr:uid="{E41F46F1-99B6-45DF-B918-67EBFE993169}">
      <text>
        <r>
          <rPr>
            <b/>
            <sz val="9"/>
            <rFont val="Tahoma"/>
            <family val="2"/>
          </rPr>
          <t>Tegus (HZ):</t>
        </r>
        <r>
          <rPr>
            <sz val="9"/>
            <rFont val="Tahoma"/>
            <family val="2"/>
          </rPr>
          <t xml:space="preserve">
As reported</t>
        </r>
      </text>
    </comment>
    <comment ref="AG652" authorId="0" shapeId="0" xr:uid="{0E4C454E-83BC-4063-8F58-7E7DCD59606F}">
      <text>
        <r>
          <rPr>
            <b/>
            <sz val="9"/>
            <rFont val="Tahoma"/>
            <family val="2"/>
          </rPr>
          <t>Tegus (AG):</t>
        </r>
        <r>
          <rPr>
            <sz val="9"/>
            <rFont val="Tahoma"/>
            <family val="2"/>
          </rPr>
          <t xml:space="preserve">
As reported </t>
        </r>
      </text>
    </comment>
    <comment ref="AJ652" authorId="1" shapeId="0" xr:uid="{34CAB8AA-D3B3-472C-A8F3-A919467E7D7E}">
      <text>
        <r>
          <rPr>
            <b/>
            <sz val="9"/>
            <rFont val="Tahoma"/>
            <family val="2"/>
          </rPr>
          <t>Tegus (WW):</t>
        </r>
        <r>
          <rPr>
            <sz val="9"/>
            <rFont val="Tahoma"/>
            <family val="2"/>
          </rPr>
          <t xml:space="preserve">
As reported</t>
        </r>
      </text>
    </comment>
    <comment ref="BC653" authorId="0" shapeId="0" xr:uid="{07F6758C-5034-4B35-8170-5518D6F5CF2F}">
      <text>
        <r>
          <rPr>
            <b/>
            <sz val="9"/>
            <rFont val="Tahoma"/>
            <family val="2"/>
          </rPr>
          <t>Tegus (SK):</t>
        </r>
        <r>
          <rPr>
            <sz val="9"/>
            <rFont val="Tahoma"/>
            <family val="2"/>
          </rPr>
          <t xml:space="preserve">
As reported, rounding error</t>
        </r>
      </text>
    </comment>
    <comment ref="BD653" authorId="0" shapeId="0" xr:uid="{47198344-4A2E-40D3-AA4C-CF48048F43D3}">
      <text>
        <r>
          <rPr>
            <b/>
            <sz val="9"/>
            <rFont val="Tahoma"/>
            <family val="2"/>
          </rPr>
          <t>Tegus (AK):</t>
        </r>
        <r>
          <rPr>
            <sz val="9"/>
            <rFont val="Tahoma"/>
            <family val="2"/>
          </rPr>
          <t xml:space="preserve">
as reported</t>
        </r>
      </text>
    </comment>
    <comment ref="BC654" authorId="0" shapeId="0" xr:uid="{32AE34A5-9600-4CC0-932A-09FD25B11373}">
      <text>
        <r>
          <rPr>
            <b/>
            <sz val="9"/>
            <rFont val="Tahoma"/>
            <family val="2"/>
          </rPr>
          <t>Tegus (SK):</t>
        </r>
        <r>
          <rPr>
            <sz val="9"/>
            <rFont val="Tahoma"/>
            <family val="2"/>
          </rPr>
          <t xml:space="preserve">
As reported, rounding error</t>
        </r>
      </text>
    </comment>
    <comment ref="BD654" authorId="0" shapeId="0" xr:uid="{B1A534B1-F044-4444-9F90-6F8EF17A63D7}">
      <text>
        <r>
          <rPr>
            <b/>
            <sz val="9"/>
            <rFont val="Tahoma"/>
            <family val="2"/>
          </rPr>
          <t>Tegus (AK):</t>
        </r>
        <r>
          <rPr>
            <sz val="9"/>
            <rFont val="Tahoma"/>
            <family val="2"/>
          </rPr>
          <t xml:space="preserve">
as reported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Katherine Du</author>
  </authors>
  <commentList>
    <comment ref="T71" authorId="0" shapeId="0" xr:uid="{239C02B1-04D0-4DD6-AE57-0182C9FD9782}">
      <text>
        <r>
          <rPr>
            <b/>
            <sz val="9"/>
            <color indexed="81"/>
            <rFont val="Tahoma"/>
            <family val="2"/>
          </rPr>
          <t>Katherine Du:</t>
        </r>
        <r>
          <rPr>
            <sz val="9"/>
            <color indexed="81"/>
            <rFont val="Tahoma"/>
            <family val="2"/>
          </rPr>
          <t xml:space="preserve">
Normalized 8-10% organic revenue growth, slight margin expansion flows through to 10% recurring FCF growth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Katherine Du</author>
  </authors>
  <commentList>
    <comment ref="T71" authorId="0" shapeId="0" xr:uid="{55B17F8F-95FB-4043-80F8-3865116A56CF}">
      <text>
        <r>
          <rPr>
            <b/>
            <sz val="9"/>
            <color indexed="81"/>
            <rFont val="Tahoma"/>
            <family val="2"/>
          </rPr>
          <t>Katherine Du:</t>
        </r>
        <r>
          <rPr>
            <sz val="9"/>
            <color indexed="81"/>
            <rFont val="Tahoma"/>
            <family val="2"/>
          </rPr>
          <t xml:space="preserve">
Normalized 8-10% organic revenue growth, slight margin expansion flows through to 10% recurring FCF growth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G28" authorId="0" shapeId="0" xr:uid="{780CD7D1-390E-40CF-9CA4-835C84AAF855}">
      <text>
        <r>
          <rPr>
            <sz val="11"/>
            <color indexed="8"/>
            <rFont val="Calibri"/>
            <family val="2"/>
            <scheme val="minor"/>
          </rPr>
          <t xml:space="preserve">*  preliminary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Katherine Du</author>
  </authors>
  <commentList>
    <comment ref="U14" authorId="0" shapeId="0" xr:uid="{4DFC583A-3A9B-4DA1-A1F1-72C6458612AA}">
      <text>
        <r>
          <rPr>
            <b/>
            <sz val="9"/>
            <color indexed="81"/>
            <rFont val="Tahoma"/>
            <family val="2"/>
          </rPr>
          <t>Katherine Du:</t>
        </r>
        <r>
          <rPr>
            <sz val="9"/>
            <color indexed="81"/>
            <rFont val="Tahoma"/>
            <family val="2"/>
          </rPr>
          <t xml:space="preserve">
FA 1Q22 Earnings Presentation p. 12/23</t>
        </r>
      </text>
    </comment>
    <comment ref="H15" authorId="0" shapeId="0" xr:uid="{40A1F756-F4C8-4068-8D27-129D418380E0}">
      <text>
        <r>
          <rPr>
            <b/>
            <sz val="9"/>
            <color indexed="81"/>
            <rFont val="Tahoma"/>
            <family val="2"/>
          </rPr>
          <t>Katherine Du:</t>
        </r>
        <r>
          <rPr>
            <sz val="9"/>
            <color indexed="81"/>
            <rFont val="Tahoma"/>
            <family val="2"/>
          </rPr>
          <t xml:space="preserve">
FA 1Q22 Earnings Presentation p. 12/23</t>
        </r>
      </text>
    </comment>
    <comment ref="I15" authorId="0" shapeId="0" xr:uid="{E231A489-23B6-422A-A49C-5ED4529B1D38}">
      <text>
        <r>
          <rPr>
            <b/>
            <sz val="9"/>
            <color indexed="81"/>
            <rFont val="Tahoma"/>
            <family val="2"/>
          </rPr>
          <t>Katherine Du:</t>
        </r>
        <r>
          <rPr>
            <sz val="9"/>
            <color indexed="81"/>
            <rFont val="Tahoma"/>
            <family val="2"/>
          </rPr>
          <t xml:space="preserve">
FA 1Q22 Earnings Presentation p. 12/23</t>
        </r>
      </text>
    </comment>
    <comment ref="J15" authorId="0" shapeId="0" xr:uid="{24E8D55F-A7F3-48E7-9B99-F57F594EE07C}">
      <text>
        <r>
          <rPr>
            <b/>
            <sz val="9"/>
            <color indexed="81"/>
            <rFont val="Tahoma"/>
            <family val="2"/>
          </rPr>
          <t>Katherine Du:</t>
        </r>
        <r>
          <rPr>
            <sz val="9"/>
            <color indexed="81"/>
            <rFont val="Tahoma"/>
            <family val="2"/>
          </rPr>
          <t xml:space="preserve">
FA 1Q22 Earnings Presentation p. 12/23</t>
        </r>
      </text>
    </comment>
    <comment ref="K15" authorId="0" shapeId="0" xr:uid="{6B23852A-69F3-4668-BA89-06D1AAE01ED3}">
      <text>
        <r>
          <rPr>
            <b/>
            <sz val="9"/>
            <color indexed="81"/>
            <rFont val="Tahoma"/>
            <family val="2"/>
          </rPr>
          <t>Katherine Du:</t>
        </r>
        <r>
          <rPr>
            <sz val="9"/>
            <color indexed="81"/>
            <rFont val="Tahoma"/>
            <family val="2"/>
          </rPr>
          <t xml:space="preserve">
FA 1Q22 Earnings Presentation p. 12/23</t>
        </r>
      </text>
    </comment>
    <comment ref="L15" authorId="0" shapeId="0" xr:uid="{F1466BF5-E846-4EF5-BB58-FBE777290979}">
      <text>
        <r>
          <rPr>
            <b/>
            <sz val="9"/>
            <color indexed="81"/>
            <rFont val="Tahoma"/>
            <family val="2"/>
          </rPr>
          <t>Katherine Du:</t>
        </r>
        <r>
          <rPr>
            <sz val="9"/>
            <color indexed="81"/>
            <rFont val="Tahoma"/>
            <family val="2"/>
          </rPr>
          <t xml:space="preserve">
FA 1Q22 Earnings Presentation p. 12/23</t>
        </r>
      </text>
    </comment>
    <comment ref="M15" authorId="0" shapeId="0" xr:uid="{F4B4450F-8648-4B31-A42D-1D352B91FDBE}">
      <text>
        <r>
          <rPr>
            <b/>
            <sz val="9"/>
            <color indexed="81"/>
            <rFont val="Tahoma"/>
            <family val="2"/>
          </rPr>
          <t>Katherine Du:</t>
        </r>
        <r>
          <rPr>
            <sz val="9"/>
            <color indexed="81"/>
            <rFont val="Tahoma"/>
            <family val="2"/>
          </rPr>
          <t xml:space="preserve">
FA 1Q22 Earnings Presentation p. 12/23</t>
        </r>
      </text>
    </comment>
    <comment ref="U15" authorId="0" shapeId="0" xr:uid="{E0110639-B5D0-491F-825A-E7EB12386713}">
      <text>
        <r>
          <rPr>
            <b/>
            <sz val="9"/>
            <color indexed="81"/>
            <rFont val="Tahoma"/>
            <family val="2"/>
          </rPr>
          <t>Katherine Du:</t>
        </r>
        <r>
          <rPr>
            <sz val="9"/>
            <color indexed="81"/>
            <rFont val="Tahoma"/>
            <family val="2"/>
          </rPr>
          <t xml:space="preserve">
FA 1Q22 Earnings Presentation p. 12/23</t>
        </r>
      </text>
    </comment>
    <comment ref="V15" authorId="0" shapeId="0" xr:uid="{9429F106-FD22-45D9-BFB6-898D8441A59C}">
      <text>
        <r>
          <rPr>
            <b/>
            <sz val="9"/>
            <color indexed="81"/>
            <rFont val="Tahoma"/>
            <family val="2"/>
          </rPr>
          <t>Katherine Du:</t>
        </r>
        <r>
          <rPr>
            <sz val="9"/>
            <color indexed="81"/>
            <rFont val="Tahoma"/>
            <family val="2"/>
          </rPr>
          <t xml:space="preserve">
S-1: "From 2018 to 2020, our revenues grew at a CAGR of 7%, all of which was organic growth"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Sarika Panwar</author>
    <author>Rohit Shirbavikar</author>
    <author>None</author>
  </authors>
  <commentList>
    <comment ref="G43" authorId="0" shapeId="0" xr:uid="{8A223224-550A-4CE7-8132-34F1C77C4EB2}">
      <text>
        <r>
          <rPr>
            <sz val="11"/>
            <color theme="1"/>
            <rFont val="Calibri"/>
            <family val="2"/>
            <scheme val="minor"/>
          </rPr>
          <t xml:space="preserve">On pro forma basis for the Silver Lake Transactions and the related refinancing
</t>
        </r>
      </text>
    </comment>
    <comment ref="S54" authorId="0" shapeId="0" xr:uid="{42C0DAE7-55D2-4BCC-A54F-BE9CD07AD2A9}">
      <text>
        <r>
          <rPr>
            <sz val="11"/>
            <color theme="1"/>
            <rFont val="Calibri"/>
            <family val="2"/>
            <scheme val="minor"/>
          </rPr>
          <t xml:space="preserve">Period from February 1,2020 through December 31,2020
</t>
        </r>
      </text>
    </comment>
    <comment ref="S56" authorId="0" shapeId="0" xr:uid="{534C9960-329F-4B69-B294-04C33B43C0D9}">
      <text>
        <r>
          <rPr>
            <sz val="11"/>
            <color theme="1"/>
            <rFont val="Calibri"/>
            <family val="2"/>
            <scheme val="minor"/>
          </rPr>
          <t xml:space="preserve">Period from February 1,2020 through December 31,2020
</t>
        </r>
      </text>
    </comment>
    <comment ref="R73" authorId="1" shapeId="0" xr:uid="{EEB7367E-4CD1-4CEE-816C-0326F22226AC}">
      <text>
        <r>
          <rPr>
            <sz val="11"/>
            <color theme="1"/>
            <rFont val="Calibri"/>
            <family val="2"/>
            <scheme val="minor"/>
          </rPr>
          <t>Predecessor data</t>
        </r>
      </text>
    </comment>
    <comment ref="S73" authorId="0" shapeId="0" xr:uid="{AF5B0554-5A5D-4CA5-A3D8-549DAF4A3956}">
      <text>
        <r>
          <rPr>
            <sz val="11"/>
            <color theme="1"/>
            <rFont val="Calibri"/>
            <family val="2"/>
            <scheme val="minor"/>
          </rPr>
          <t xml:space="preserve">Period from February 1, 2020 through December 31, 2020
</t>
        </r>
      </text>
    </comment>
    <comment ref="R75" authorId="1" shapeId="0" xr:uid="{F7195508-FF26-4836-9C2F-51F29F7FEF60}">
      <text>
        <r>
          <rPr>
            <sz val="11"/>
            <color theme="1"/>
            <rFont val="Calibri"/>
            <family val="2"/>
            <scheme val="minor"/>
          </rPr>
          <t>Predecessor data</t>
        </r>
      </text>
    </comment>
    <comment ref="S75" authorId="0" shapeId="0" xr:uid="{AB22D626-4E80-4D34-B34B-950D424F3365}">
      <text>
        <r>
          <rPr>
            <sz val="11"/>
            <color theme="1"/>
            <rFont val="Calibri"/>
            <family val="2"/>
            <scheme val="minor"/>
          </rPr>
          <t xml:space="preserve">Period from February 1, 2020 through December 31, 2020
</t>
        </r>
      </text>
    </comment>
    <comment ref="R76" authorId="1" shapeId="0" xr:uid="{F6B80AC3-8D1C-4691-82F9-7F1E00028328}">
      <text>
        <r>
          <rPr>
            <sz val="11"/>
            <color theme="1"/>
            <rFont val="Calibri"/>
            <family val="2"/>
            <scheme val="minor"/>
          </rPr>
          <t>Predecessor data</t>
        </r>
      </text>
    </comment>
    <comment ref="S76" authorId="0" shapeId="0" xr:uid="{4D270CB7-571E-4604-B950-C5BB9E469092}">
      <text>
        <r>
          <rPr>
            <sz val="11"/>
            <color theme="1"/>
            <rFont val="Calibri"/>
            <family val="2"/>
            <scheme val="minor"/>
          </rPr>
          <t xml:space="preserve">Period from February 1, 2020 through December 31, 2020
</t>
        </r>
      </text>
    </comment>
    <comment ref="R77" authorId="1" shapeId="0" xr:uid="{2019B153-1133-468D-9BE8-7667A23CF56A}">
      <text>
        <r>
          <rPr>
            <sz val="11"/>
            <color theme="1"/>
            <rFont val="Calibri"/>
            <family val="2"/>
            <scheme val="minor"/>
          </rPr>
          <t>Predecessor data</t>
        </r>
      </text>
    </comment>
    <comment ref="S77" authorId="0" shapeId="0" xr:uid="{B063E653-3AF1-4B34-ABE9-B38108A381E4}">
      <text>
        <r>
          <rPr>
            <sz val="11"/>
            <color theme="1"/>
            <rFont val="Calibri"/>
            <family val="2"/>
            <scheme val="minor"/>
          </rPr>
          <t xml:space="preserve">Period from February 1, 2020 through December 31, 2020
</t>
        </r>
      </text>
    </comment>
    <comment ref="G80" authorId="0" shapeId="0" xr:uid="{0F326772-7C02-40DE-8E77-8DE212329B00}">
      <text>
        <r>
          <rPr>
            <sz val="11"/>
            <color theme="1"/>
            <rFont val="Calibri"/>
            <family val="2"/>
            <scheme val="minor"/>
          </rPr>
          <t xml:space="preserve">Period from January 1,2020 through January 31, 2020
</t>
        </r>
      </text>
    </comment>
    <comment ref="G81" authorId="0" shapeId="0" xr:uid="{1BCCD733-4870-4BA6-BAD4-6095EFC0A9F0}">
      <text>
        <r>
          <rPr>
            <sz val="11"/>
            <color theme="1"/>
            <rFont val="Calibri"/>
            <family val="2"/>
            <scheme val="minor"/>
          </rPr>
          <t xml:space="preserve">Period from January 1,2020 through January 31, 2020
</t>
        </r>
      </text>
    </comment>
    <comment ref="G82" authorId="0" shapeId="0" xr:uid="{0227382A-66AA-4253-805B-E86D6B5E2C22}">
      <text>
        <r>
          <rPr>
            <sz val="11"/>
            <color theme="1"/>
            <rFont val="Calibri"/>
            <family val="2"/>
            <scheme val="minor"/>
          </rPr>
          <t xml:space="preserve">Period from January 1,2020 through January 31, 2020
</t>
        </r>
      </text>
    </comment>
    <comment ref="G83" authorId="0" shapeId="0" xr:uid="{235E7292-6313-473A-ADAF-041337EC4FF6}">
      <text>
        <r>
          <rPr>
            <sz val="11"/>
            <color theme="1"/>
            <rFont val="Calibri"/>
            <family val="2"/>
            <scheme val="minor"/>
          </rPr>
          <t xml:space="preserve">Period from January 1,2020 through January 31, 2020
</t>
        </r>
      </text>
    </comment>
    <comment ref="F86" authorId="1" shapeId="0" xr:uid="{216D1B1E-2941-4B33-99F8-911157B1EF7A}">
      <text>
        <r>
          <rPr>
            <sz val="11"/>
            <color theme="1"/>
            <rFont val="Calibri"/>
            <family val="2"/>
            <scheme val="minor"/>
          </rPr>
          <t>Predecessor data</t>
        </r>
      </text>
    </comment>
    <comment ref="F87" authorId="1" shapeId="0" xr:uid="{80FC2E33-F950-47E7-9C4F-E498B9475EF7}">
      <text>
        <r>
          <rPr>
            <sz val="11"/>
            <color theme="1"/>
            <rFont val="Calibri"/>
            <family val="2"/>
            <scheme val="minor"/>
          </rPr>
          <t>Predecessor data</t>
        </r>
      </text>
    </comment>
    <comment ref="F88" authorId="1" shapeId="0" xr:uid="{C2897F8E-6F62-4D6E-A466-184EB1BCFD0D}">
      <text>
        <r>
          <rPr>
            <sz val="11"/>
            <color theme="1"/>
            <rFont val="Calibri"/>
            <family val="2"/>
            <scheme val="minor"/>
          </rPr>
          <t>Predecessor data</t>
        </r>
      </text>
    </comment>
    <comment ref="C91" authorId="1" shapeId="0" xr:uid="{C39C0961-D2DA-491F-BB41-BE34B65ECAE8}">
      <text>
        <r>
          <rPr>
            <sz val="11"/>
            <color theme="1"/>
            <rFont val="Calibri"/>
            <family val="2"/>
            <scheme val="minor"/>
          </rPr>
          <t>Predecessor data</t>
        </r>
      </text>
    </comment>
    <comment ref="D91" authorId="1" shapeId="0" xr:uid="{B7E2004A-7F94-4F08-97EC-8091F6F21427}">
      <text>
        <r>
          <rPr>
            <sz val="11"/>
            <color theme="1"/>
            <rFont val="Calibri"/>
            <family val="2"/>
            <scheme val="minor"/>
          </rPr>
          <t>Predecessor data</t>
        </r>
      </text>
    </comment>
    <comment ref="E91" authorId="1" shapeId="0" xr:uid="{B5E916EC-49F9-4498-95B1-4FEA38338F1C}">
      <text>
        <r>
          <rPr>
            <sz val="11"/>
            <color theme="1"/>
            <rFont val="Calibri"/>
            <family val="2"/>
            <scheme val="minor"/>
          </rPr>
          <t>Predecessor data</t>
        </r>
      </text>
    </comment>
    <comment ref="F91" authorId="1" shapeId="0" xr:uid="{4450926F-3EC6-4280-A048-92CA9FC39BFA}">
      <text>
        <r>
          <rPr>
            <sz val="11"/>
            <color theme="1"/>
            <rFont val="Calibri"/>
            <family val="2"/>
            <scheme val="minor"/>
          </rPr>
          <t>Predecessor data</t>
        </r>
      </text>
    </comment>
    <comment ref="G91" authorId="1" shapeId="0" xr:uid="{0C18C4E1-A572-45ED-91E0-0FDAB9FB5874}">
      <text>
        <r>
          <rPr>
            <sz val="11"/>
            <color theme="1"/>
            <rFont val="Calibri"/>
            <family val="2"/>
            <scheme val="minor"/>
          </rPr>
          <t>Period from February 1,2020 through March 31,2020</t>
        </r>
      </text>
    </comment>
    <comment ref="R91" authorId="1" shapeId="0" xr:uid="{51C9BCAF-E4D1-4EB5-B7C9-ADDA29E12080}">
      <text>
        <r>
          <rPr>
            <sz val="11"/>
            <color theme="1"/>
            <rFont val="Calibri"/>
            <family val="2"/>
            <scheme val="minor"/>
          </rPr>
          <t>Predecessor data</t>
        </r>
      </text>
    </comment>
    <comment ref="S91" authorId="0" shapeId="0" xr:uid="{289F6D5D-2FD4-4264-B7F8-536F89DA43B7}">
      <text>
        <r>
          <rPr>
            <sz val="11"/>
            <color theme="1"/>
            <rFont val="Calibri"/>
            <family val="2"/>
            <scheme val="minor"/>
          </rPr>
          <t xml:space="preserve">Period from February 1, 2020 through December 31, 2020
</t>
        </r>
      </text>
    </comment>
    <comment ref="G93" authorId="1" shapeId="0" xr:uid="{0A07FEF4-6736-4138-9F50-D55F0BEFA151}">
      <text>
        <r>
          <rPr>
            <sz val="11"/>
            <color theme="1"/>
            <rFont val="Calibri"/>
            <family val="2"/>
            <scheme val="minor"/>
          </rPr>
          <t>Period from February 1,2020 through March 31,2020</t>
        </r>
      </text>
    </comment>
    <comment ref="R93" authorId="1" shapeId="0" xr:uid="{653E1E88-73ED-4ADE-9EDA-C72880E35E34}">
      <text>
        <r>
          <rPr>
            <sz val="11"/>
            <color theme="1"/>
            <rFont val="Calibri"/>
            <family val="2"/>
            <scheme val="minor"/>
          </rPr>
          <t>Predecessor data</t>
        </r>
      </text>
    </comment>
    <comment ref="S93" authorId="0" shapeId="0" xr:uid="{FBF9FB36-5606-4C60-B5EE-CE6F4B6BBA9E}">
      <text>
        <r>
          <rPr>
            <sz val="11"/>
            <color theme="1"/>
            <rFont val="Calibri"/>
            <family val="2"/>
            <scheme val="minor"/>
          </rPr>
          <t xml:space="preserve">Period from February 1, 2020 through December 31, 2020
</t>
        </r>
      </text>
    </comment>
    <comment ref="G94" authorId="1" shapeId="0" xr:uid="{FF00AAD2-B98F-42EF-9D3C-63ECE3DF0D4A}">
      <text>
        <r>
          <rPr>
            <sz val="11"/>
            <color theme="1"/>
            <rFont val="Calibri"/>
            <family val="2"/>
            <scheme val="minor"/>
          </rPr>
          <t>Period from February 1,2020 through March 31,2020</t>
        </r>
      </text>
    </comment>
    <comment ref="R94" authorId="1" shapeId="0" xr:uid="{4D661FEC-13BA-488C-A1D9-B115BC612A5F}">
      <text>
        <r>
          <rPr>
            <sz val="11"/>
            <color theme="1"/>
            <rFont val="Calibri"/>
            <family val="2"/>
            <scheme val="minor"/>
          </rPr>
          <t>Predecessor data</t>
        </r>
      </text>
    </comment>
    <comment ref="S94" authorId="0" shapeId="0" xr:uid="{4E12951A-F0E3-4E76-8DDB-42D719EE7851}">
      <text>
        <r>
          <rPr>
            <sz val="11"/>
            <color theme="1"/>
            <rFont val="Calibri"/>
            <family val="2"/>
            <scheme val="minor"/>
          </rPr>
          <t xml:space="preserve">Period from February 1, 2020 through December 31, 2020
</t>
        </r>
      </text>
    </comment>
    <comment ref="G95" authorId="1" shapeId="0" xr:uid="{76F7D267-2549-45B1-947C-EE00EBE8F081}">
      <text>
        <r>
          <rPr>
            <sz val="11"/>
            <color theme="1"/>
            <rFont val="Calibri"/>
            <family val="2"/>
            <scheme val="minor"/>
          </rPr>
          <t>Period from February 1,2020 through March 31,2020</t>
        </r>
      </text>
    </comment>
    <comment ref="R95" authorId="1" shapeId="0" xr:uid="{7EDA8A77-BD30-429D-9CAB-4EE627E947B2}">
      <text>
        <r>
          <rPr>
            <sz val="11"/>
            <color theme="1"/>
            <rFont val="Calibri"/>
            <family val="2"/>
            <scheme val="minor"/>
          </rPr>
          <t>Predecessor data</t>
        </r>
      </text>
    </comment>
    <comment ref="S95" authorId="0" shapeId="0" xr:uid="{D844A673-9EED-4BE9-A962-119FDBA1879D}">
      <text>
        <r>
          <rPr>
            <sz val="11"/>
            <color theme="1"/>
            <rFont val="Calibri"/>
            <family val="2"/>
            <scheme val="minor"/>
          </rPr>
          <t xml:space="preserve">Period from February 1, 2020 through December 31, 2020
</t>
        </r>
      </text>
    </comment>
    <comment ref="G96" authorId="1" shapeId="0" xr:uid="{69D06638-66C3-498F-8E82-3217592207A3}">
      <text>
        <r>
          <rPr>
            <sz val="11"/>
            <color theme="1"/>
            <rFont val="Calibri"/>
            <family val="2"/>
            <scheme val="minor"/>
          </rPr>
          <t>Period from February 1,2020 through March 31,2020</t>
        </r>
      </text>
    </comment>
    <comment ref="R96" authorId="1" shapeId="0" xr:uid="{FE8F6E19-3ADC-470B-9762-B25AC62D7F9C}">
      <text>
        <r>
          <rPr>
            <sz val="11"/>
            <color theme="1"/>
            <rFont val="Calibri"/>
            <family val="2"/>
            <scheme val="minor"/>
          </rPr>
          <t>Predecessor data</t>
        </r>
      </text>
    </comment>
    <comment ref="S96" authorId="0" shapeId="0" xr:uid="{6797737D-2238-4000-81D0-17762FD640FA}">
      <text>
        <r>
          <rPr>
            <sz val="11"/>
            <color theme="1"/>
            <rFont val="Calibri"/>
            <family val="2"/>
            <scheme val="minor"/>
          </rPr>
          <t xml:space="preserve">Period from February 1, 2020 through December 31, 2020
</t>
        </r>
      </text>
    </comment>
    <comment ref="C97" authorId="1" shapeId="0" xr:uid="{82D6B496-D020-4A66-AE5C-05335921E76F}">
      <text>
        <r>
          <rPr>
            <sz val="11"/>
            <color theme="1"/>
            <rFont val="Calibri"/>
            <family val="2"/>
            <scheme val="minor"/>
          </rPr>
          <t>Predecessor data</t>
        </r>
      </text>
    </comment>
    <comment ref="D97" authorId="1" shapeId="0" xr:uid="{F7C6A523-C05D-4FAD-BC5E-A89D293D27AD}">
      <text>
        <r>
          <rPr>
            <sz val="11"/>
            <color theme="1"/>
            <rFont val="Calibri"/>
            <family val="2"/>
            <scheme val="minor"/>
          </rPr>
          <t>Predecessor data</t>
        </r>
      </text>
    </comment>
    <comment ref="E97" authorId="1" shapeId="0" xr:uid="{D9115E3E-EF99-412F-83AA-098718925563}">
      <text>
        <r>
          <rPr>
            <sz val="11"/>
            <color theme="1"/>
            <rFont val="Calibri"/>
            <family val="2"/>
            <scheme val="minor"/>
          </rPr>
          <t>Predecessor data</t>
        </r>
      </text>
    </comment>
    <comment ref="F97" authorId="1" shapeId="0" xr:uid="{DB3ACEF7-3769-4830-997C-4863C9FAC66C}">
      <text>
        <r>
          <rPr>
            <sz val="11"/>
            <color theme="1"/>
            <rFont val="Calibri"/>
            <family val="2"/>
            <scheme val="minor"/>
          </rPr>
          <t>Predecessor data</t>
        </r>
      </text>
    </comment>
    <comment ref="G97" authorId="1" shapeId="0" xr:uid="{48D98AE6-5CE2-4F32-8912-43B4FF924052}">
      <text>
        <r>
          <rPr>
            <sz val="11"/>
            <color theme="1"/>
            <rFont val="Calibri"/>
            <family val="2"/>
            <scheme val="minor"/>
          </rPr>
          <t>Period from February 1,2020 through March 31,2020</t>
        </r>
      </text>
    </comment>
    <comment ref="R97" authorId="1" shapeId="0" xr:uid="{F5986C25-01F8-4412-8EBB-402F003909F0}">
      <text>
        <r>
          <rPr>
            <sz val="11"/>
            <color theme="1"/>
            <rFont val="Calibri"/>
            <family val="2"/>
            <scheme val="minor"/>
          </rPr>
          <t>Predecessor data</t>
        </r>
      </text>
    </comment>
    <comment ref="S97" authorId="0" shapeId="0" xr:uid="{0E4CA63F-46C2-45A8-812B-829EC7E89115}">
      <text>
        <r>
          <rPr>
            <sz val="11"/>
            <color theme="1"/>
            <rFont val="Calibri"/>
            <family val="2"/>
            <scheme val="minor"/>
          </rPr>
          <t xml:space="preserve">Period from February 1, 2020 through December 31, 2020
</t>
        </r>
      </text>
    </comment>
    <comment ref="C99" authorId="1" shapeId="0" xr:uid="{81DC3A7E-62DA-4F73-9098-5F2668333653}">
      <text>
        <r>
          <rPr>
            <sz val="11"/>
            <color theme="1"/>
            <rFont val="Calibri"/>
            <family val="2"/>
            <scheme val="minor"/>
          </rPr>
          <t>Predecessor data</t>
        </r>
      </text>
    </comment>
    <comment ref="D99" authorId="1" shapeId="0" xr:uid="{22F9B4E1-5C10-414C-8952-5618BDAF7157}">
      <text>
        <r>
          <rPr>
            <sz val="11"/>
            <color theme="1"/>
            <rFont val="Calibri"/>
            <family val="2"/>
            <scheme val="minor"/>
          </rPr>
          <t>Predecessor data</t>
        </r>
      </text>
    </comment>
    <comment ref="E99" authorId="1" shapeId="0" xr:uid="{2A0A040D-8A16-4B1E-AD3B-563AEECCB8AE}">
      <text>
        <r>
          <rPr>
            <sz val="11"/>
            <color theme="1"/>
            <rFont val="Calibri"/>
            <family val="2"/>
            <scheme val="minor"/>
          </rPr>
          <t>Predecessor data</t>
        </r>
      </text>
    </comment>
    <comment ref="F99" authorId="1" shapeId="0" xr:uid="{C8741737-BBCB-46C7-A16C-7025D83EC5CD}">
      <text>
        <r>
          <rPr>
            <sz val="11"/>
            <color theme="1"/>
            <rFont val="Calibri"/>
            <family val="2"/>
            <scheme val="minor"/>
          </rPr>
          <t>Predecessor data</t>
        </r>
      </text>
    </comment>
    <comment ref="G99" authorId="1" shapeId="0" xr:uid="{2F84B3E9-B1C0-4F77-88E0-CCE08FC527B1}">
      <text>
        <r>
          <rPr>
            <sz val="11"/>
            <color theme="1"/>
            <rFont val="Calibri"/>
            <family val="2"/>
            <scheme val="minor"/>
          </rPr>
          <t>Period from February 1,2020 through March 31,2020</t>
        </r>
      </text>
    </comment>
    <comment ref="R99" authorId="1" shapeId="0" xr:uid="{99D7F6C8-85C3-4DF0-8E37-307C79C53DBD}">
      <text>
        <r>
          <rPr>
            <sz val="11"/>
            <color theme="1"/>
            <rFont val="Calibri"/>
            <family val="2"/>
            <scheme val="minor"/>
          </rPr>
          <t>Predecessor data</t>
        </r>
      </text>
    </comment>
    <comment ref="S99" authorId="0" shapeId="0" xr:uid="{E35441BB-EBE5-49A0-A703-10AC8A79BDB7}">
      <text>
        <r>
          <rPr>
            <sz val="11"/>
            <color theme="1"/>
            <rFont val="Calibri"/>
            <family val="2"/>
            <scheme val="minor"/>
          </rPr>
          <t xml:space="preserve">Period from February 1, 2020 through December 31, 2020
</t>
        </r>
      </text>
    </comment>
    <comment ref="G103" authorId="1" shapeId="0" xr:uid="{9D6F2BCD-204F-4FD2-8654-651D65F059F5}">
      <text>
        <r>
          <rPr>
            <sz val="11"/>
            <color theme="1"/>
            <rFont val="Calibri"/>
            <family val="2"/>
            <scheme val="minor"/>
          </rPr>
          <t>Period from February 1,2020 through March 31,2020</t>
        </r>
      </text>
    </comment>
    <comment ref="R103" authorId="1" shapeId="0" xr:uid="{452E89A8-66A3-4A1C-88AB-7BB9A4409F52}">
      <text>
        <r>
          <rPr>
            <sz val="11"/>
            <color theme="1"/>
            <rFont val="Calibri"/>
            <family val="2"/>
            <scheme val="minor"/>
          </rPr>
          <t>Predecessor data</t>
        </r>
      </text>
    </comment>
    <comment ref="S103" authorId="0" shapeId="0" xr:uid="{CC4A6954-8907-4285-9A42-EAABBFDC48DB}">
      <text>
        <r>
          <rPr>
            <sz val="11"/>
            <color theme="1"/>
            <rFont val="Calibri"/>
            <family val="2"/>
            <scheme val="minor"/>
          </rPr>
          <t xml:space="preserve">Period from February 1, 2020 through December 31, 2020
</t>
        </r>
      </text>
    </comment>
    <comment ref="G104" authorId="1" shapeId="0" xr:uid="{9B53346F-C3E7-4E62-88C2-524DD7F37E71}">
      <text>
        <r>
          <rPr>
            <sz val="11"/>
            <color theme="1"/>
            <rFont val="Calibri"/>
            <family val="2"/>
            <scheme val="minor"/>
          </rPr>
          <t>Period from February 1,2020 through March 31,2020</t>
        </r>
      </text>
    </comment>
    <comment ref="R104" authorId="1" shapeId="0" xr:uid="{C1DC4192-7796-47F1-8877-3C957197FC57}">
      <text>
        <r>
          <rPr>
            <sz val="11"/>
            <color theme="1"/>
            <rFont val="Calibri"/>
            <family val="2"/>
            <scheme val="minor"/>
          </rPr>
          <t>Predecessor data</t>
        </r>
      </text>
    </comment>
    <comment ref="S104" authorId="0" shapeId="0" xr:uid="{E505CF0B-8641-4255-8B85-4497ACA28BBA}">
      <text>
        <r>
          <rPr>
            <sz val="11"/>
            <color theme="1"/>
            <rFont val="Calibri"/>
            <family val="2"/>
            <scheme val="minor"/>
          </rPr>
          <t xml:space="preserve">Period from February 1, 2020 through December 31, 2020
</t>
        </r>
      </text>
    </comment>
    <comment ref="G105" authorId="1" shapeId="0" xr:uid="{18EEFAAA-0D97-40BD-AA37-C0D2FFFAE72D}">
      <text>
        <r>
          <rPr>
            <sz val="11"/>
            <color theme="1"/>
            <rFont val="Calibri"/>
            <family val="2"/>
            <scheme val="minor"/>
          </rPr>
          <t>Period from February 1,2020 through March 31,2020</t>
        </r>
      </text>
    </comment>
    <comment ref="S105" authorId="0" shapeId="0" xr:uid="{74ABDE89-409F-4AEF-B68A-25C84F3EF0E2}">
      <text>
        <r>
          <rPr>
            <sz val="11"/>
            <color theme="1"/>
            <rFont val="Calibri"/>
            <family val="2"/>
            <scheme val="minor"/>
          </rPr>
          <t xml:space="preserve">Period from February 1, 2020 through December 31, 2020
</t>
        </r>
      </text>
    </comment>
    <comment ref="C107" authorId="1" shapeId="0" xr:uid="{003322EA-AA74-4DFF-B180-627532C17B40}">
      <text>
        <r>
          <rPr>
            <sz val="11"/>
            <color theme="1"/>
            <rFont val="Calibri"/>
            <family val="2"/>
            <scheme val="minor"/>
          </rPr>
          <t>Predecessor data</t>
        </r>
      </text>
    </comment>
    <comment ref="D107" authorId="1" shapeId="0" xr:uid="{1E182C5F-CEF8-4C34-9366-9307D720C710}">
      <text>
        <r>
          <rPr>
            <sz val="11"/>
            <color theme="1"/>
            <rFont val="Calibri"/>
            <family val="2"/>
            <scheme val="minor"/>
          </rPr>
          <t>Predecessor data</t>
        </r>
      </text>
    </comment>
    <comment ref="E107" authorId="1" shapeId="0" xr:uid="{86A63A2E-1DA4-410A-8931-053048C67FE8}">
      <text>
        <r>
          <rPr>
            <sz val="11"/>
            <color theme="1"/>
            <rFont val="Calibri"/>
            <family val="2"/>
            <scheme val="minor"/>
          </rPr>
          <t>Predecessor data</t>
        </r>
      </text>
    </comment>
    <comment ref="F107" authorId="1" shapeId="0" xr:uid="{7C794D84-D4B8-4921-B89A-E335B4AE0699}">
      <text>
        <r>
          <rPr>
            <sz val="11"/>
            <color theme="1"/>
            <rFont val="Calibri"/>
            <family val="2"/>
            <scheme val="minor"/>
          </rPr>
          <t>Predecessor data</t>
        </r>
      </text>
    </comment>
    <comment ref="G107" authorId="1" shapeId="0" xr:uid="{E8C1F134-03CD-469B-98B4-BA4A98EE06FB}">
      <text>
        <r>
          <rPr>
            <sz val="11"/>
            <color theme="1"/>
            <rFont val="Calibri"/>
            <family val="2"/>
            <scheme val="minor"/>
          </rPr>
          <t>Period from February 1,2020 through March 31,2020</t>
        </r>
      </text>
    </comment>
    <comment ref="R107" authorId="1" shapeId="0" xr:uid="{33039283-3C4B-4CAB-A544-1DDC0D37A613}">
      <text>
        <r>
          <rPr>
            <sz val="11"/>
            <color theme="1"/>
            <rFont val="Calibri"/>
            <family val="2"/>
            <scheme val="minor"/>
          </rPr>
          <t>Predecessor data</t>
        </r>
      </text>
    </comment>
    <comment ref="S107" authorId="0" shapeId="0" xr:uid="{08815E85-23F1-4F29-BFB9-731E090D1141}">
      <text>
        <r>
          <rPr>
            <sz val="11"/>
            <color theme="1"/>
            <rFont val="Calibri"/>
            <family val="2"/>
            <scheme val="minor"/>
          </rPr>
          <t xml:space="preserve">Period from February 1, 2020 through December 31, 2020
</t>
        </r>
      </text>
    </comment>
    <comment ref="C109" authorId="1" shapeId="0" xr:uid="{37F57311-1C64-4DF5-A790-BE74D34249E7}">
      <text>
        <r>
          <rPr>
            <sz val="11"/>
            <color theme="1"/>
            <rFont val="Calibri"/>
            <family val="2"/>
            <scheme val="minor"/>
          </rPr>
          <t>Predecessor data</t>
        </r>
      </text>
    </comment>
    <comment ref="D109" authorId="1" shapeId="0" xr:uid="{42AE2AAE-27D8-46C9-9E23-E1FE82BADC9C}">
      <text>
        <r>
          <rPr>
            <sz val="11"/>
            <color theme="1"/>
            <rFont val="Calibri"/>
            <family val="2"/>
            <scheme val="minor"/>
          </rPr>
          <t>Predecessor data</t>
        </r>
      </text>
    </comment>
    <comment ref="E109" authorId="1" shapeId="0" xr:uid="{0E8DEF7A-91F6-4487-A88A-00D414B8CC0C}">
      <text>
        <r>
          <rPr>
            <sz val="11"/>
            <color theme="1"/>
            <rFont val="Calibri"/>
            <family val="2"/>
            <scheme val="minor"/>
          </rPr>
          <t>Predecessor data</t>
        </r>
      </text>
    </comment>
    <comment ref="F109" authorId="1" shapeId="0" xr:uid="{E7AD2D17-3267-45EE-A5B1-352B1A5E40FE}">
      <text>
        <r>
          <rPr>
            <sz val="11"/>
            <color theme="1"/>
            <rFont val="Calibri"/>
            <family val="2"/>
            <scheme val="minor"/>
          </rPr>
          <t>Predecessor data</t>
        </r>
      </text>
    </comment>
    <comment ref="G109" authorId="1" shapeId="0" xr:uid="{ECD35296-7839-4967-944E-B85E1011D7EA}">
      <text>
        <r>
          <rPr>
            <sz val="11"/>
            <color theme="1"/>
            <rFont val="Calibri"/>
            <family val="2"/>
            <scheme val="minor"/>
          </rPr>
          <t>Period from February 1,2020 through March 31,2020</t>
        </r>
      </text>
    </comment>
    <comment ref="R109" authorId="1" shapeId="0" xr:uid="{CCAC5C55-7504-46A8-85FA-963870BEC212}">
      <text>
        <r>
          <rPr>
            <sz val="11"/>
            <color theme="1"/>
            <rFont val="Calibri"/>
            <family val="2"/>
            <scheme val="minor"/>
          </rPr>
          <t>Predecessor data</t>
        </r>
      </text>
    </comment>
    <comment ref="S109" authorId="0" shapeId="0" xr:uid="{FB01BAA2-C4A8-4EE3-A9CD-2F0820A4E39A}">
      <text>
        <r>
          <rPr>
            <sz val="11"/>
            <color theme="1"/>
            <rFont val="Calibri"/>
            <family val="2"/>
            <scheme val="minor"/>
          </rPr>
          <t xml:space="preserve">Period from February 1, 2020 through December 31, 2020
</t>
        </r>
      </text>
    </comment>
    <comment ref="C111" authorId="1" shapeId="0" xr:uid="{31551DB0-D4EA-4672-9692-3454A76B60C7}">
      <text>
        <r>
          <rPr>
            <sz val="11"/>
            <color theme="1"/>
            <rFont val="Calibri"/>
            <family val="2"/>
            <scheme val="minor"/>
          </rPr>
          <t>Predecessor data</t>
        </r>
      </text>
    </comment>
    <comment ref="D111" authorId="1" shapeId="0" xr:uid="{8E77412F-B6CD-42B9-A464-B1B7223EB7A8}">
      <text>
        <r>
          <rPr>
            <sz val="11"/>
            <color theme="1"/>
            <rFont val="Calibri"/>
            <family val="2"/>
            <scheme val="minor"/>
          </rPr>
          <t>Predecessor data</t>
        </r>
      </text>
    </comment>
    <comment ref="E111" authorId="1" shapeId="0" xr:uid="{D1684555-D040-41E7-B166-DA60CB9EC706}">
      <text>
        <r>
          <rPr>
            <sz val="11"/>
            <color theme="1"/>
            <rFont val="Calibri"/>
            <family val="2"/>
            <scheme val="minor"/>
          </rPr>
          <t>Predecessor data</t>
        </r>
      </text>
    </comment>
    <comment ref="F111" authorId="1" shapeId="0" xr:uid="{1268D847-A040-41F8-82B3-E1C2E045E9AC}">
      <text>
        <r>
          <rPr>
            <sz val="11"/>
            <color theme="1"/>
            <rFont val="Calibri"/>
            <family val="2"/>
            <scheme val="minor"/>
          </rPr>
          <t>Predecessor data</t>
        </r>
      </text>
    </comment>
    <comment ref="G111" authorId="1" shapeId="0" xr:uid="{B7D48A0F-9C45-4FB8-BBD1-8E5361AE06C9}">
      <text>
        <r>
          <rPr>
            <sz val="11"/>
            <color theme="1"/>
            <rFont val="Calibri"/>
            <family val="2"/>
            <scheme val="minor"/>
          </rPr>
          <t>Period from February 1,2020 through March 31,2020</t>
        </r>
      </text>
    </comment>
    <comment ref="R111" authorId="1" shapeId="0" xr:uid="{EF8473BE-E366-45A3-8B30-E92F1CCBFBD2}">
      <text>
        <r>
          <rPr>
            <sz val="11"/>
            <color theme="1"/>
            <rFont val="Calibri"/>
            <family val="2"/>
            <scheme val="minor"/>
          </rPr>
          <t>Predecessor data</t>
        </r>
      </text>
    </comment>
    <comment ref="S111" authorId="0" shapeId="0" xr:uid="{E2B2C3AD-0458-4AE3-A38E-81D77B7ED185}">
      <text>
        <r>
          <rPr>
            <sz val="11"/>
            <color theme="1"/>
            <rFont val="Calibri"/>
            <family val="2"/>
            <scheme val="minor"/>
          </rPr>
          <t xml:space="preserve">Period from February 1, 2020 through December 31, 2020
</t>
        </r>
      </text>
    </comment>
    <comment ref="C112" authorId="1" shapeId="0" xr:uid="{EA7E0E54-976E-4400-8A2A-CA9E34F54235}">
      <text>
        <r>
          <rPr>
            <sz val="11"/>
            <color theme="1"/>
            <rFont val="Calibri"/>
            <family val="2"/>
            <scheme val="minor"/>
          </rPr>
          <t>Predecessor data</t>
        </r>
      </text>
    </comment>
    <comment ref="D112" authorId="1" shapeId="0" xr:uid="{597AC0C9-E3D2-45E1-B7C4-3B611435495D}">
      <text>
        <r>
          <rPr>
            <sz val="11"/>
            <color theme="1"/>
            <rFont val="Calibri"/>
            <family val="2"/>
            <scheme val="minor"/>
          </rPr>
          <t>Predecessor data</t>
        </r>
      </text>
    </comment>
    <comment ref="E112" authorId="1" shapeId="0" xr:uid="{3C73200A-957E-465F-BD89-641AA24F49B3}">
      <text>
        <r>
          <rPr>
            <sz val="11"/>
            <color theme="1"/>
            <rFont val="Calibri"/>
            <family val="2"/>
            <scheme val="minor"/>
          </rPr>
          <t>Predecessor data</t>
        </r>
      </text>
    </comment>
    <comment ref="F112" authorId="1" shapeId="0" xr:uid="{B16935C0-1974-437E-B3F6-DEF735D10FC7}">
      <text>
        <r>
          <rPr>
            <sz val="11"/>
            <color theme="1"/>
            <rFont val="Calibri"/>
            <family val="2"/>
            <scheme val="minor"/>
          </rPr>
          <t>Predecessor data</t>
        </r>
      </text>
    </comment>
    <comment ref="G112" authorId="1" shapeId="0" xr:uid="{2800F939-45E3-4B6F-880B-87170FA000C5}">
      <text>
        <r>
          <rPr>
            <sz val="11"/>
            <color theme="1"/>
            <rFont val="Calibri"/>
            <family val="2"/>
            <scheme val="minor"/>
          </rPr>
          <t>Period from February 1,2020 through March 31,2020</t>
        </r>
      </text>
    </comment>
    <comment ref="R112" authorId="1" shapeId="0" xr:uid="{9FDB03F7-744B-49B2-A893-023470DDD5BD}">
      <text>
        <r>
          <rPr>
            <sz val="11"/>
            <color theme="1"/>
            <rFont val="Calibri"/>
            <family val="2"/>
            <scheme val="minor"/>
          </rPr>
          <t>Predecessor data</t>
        </r>
      </text>
    </comment>
    <comment ref="S112" authorId="0" shapeId="0" xr:uid="{49386C78-5CFE-4356-8131-CBF344C3E28C}">
      <text>
        <r>
          <rPr>
            <sz val="11"/>
            <color theme="1"/>
            <rFont val="Calibri"/>
            <family val="2"/>
            <scheme val="minor"/>
          </rPr>
          <t xml:space="preserve">Period from February 1, 2020 through December 31, 2020
</t>
        </r>
      </text>
    </comment>
    <comment ref="G114" authorId="1" shapeId="0" xr:uid="{A745512C-8CB0-4F0E-B76F-F764D81FEEB7}">
      <text>
        <r>
          <rPr>
            <sz val="11"/>
            <color theme="1"/>
            <rFont val="Calibri"/>
            <family val="2"/>
            <scheme val="minor"/>
          </rPr>
          <t>Period from February 1,2020 through March 31,2020</t>
        </r>
      </text>
    </comment>
    <comment ref="R114" authorId="1" shapeId="0" xr:uid="{0A624319-3D83-433E-B603-FDFEEFC88627}">
      <text>
        <r>
          <rPr>
            <sz val="11"/>
            <color theme="1"/>
            <rFont val="Calibri"/>
            <family val="2"/>
            <scheme val="minor"/>
          </rPr>
          <t>Predecessor data</t>
        </r>
      </text>
    </comment>
    <comment ref="S114" authorId="0" shapeId="0" xr:uid="{03897666-3BCF-4F40-B9CA-91A937C24213}">
      <text>
        <r>
          <rPr>
            <sz val="11"/>
            <color theme="1"/>
            <rFont val="Calibri"/>
            <family val="2"/>
            <scheme val="minor"/>
          </rPr>
          <t xml:space="preserve">Period from February 1, 2020 through December 31, 2020
</t>
        </r>
      </text>
    </comment>
    <comment ref="G115" authorId="1" shapeId="0" xr:uid="{F01BD96C-5151-4F44-A292-69E2272FCA31}">
      <text>
        <r>
          <rPr>
            <sz val="11"/>
            <color theme="1"/>
            <rFont val="Calibri"/>
            <family val="2"/>
            <scheme val="minor"/>
          </rPr>
          <t>Period from February 1,2020 through March 31,2020</t>
        </r>
      </text>
    </comment>
    <comment ref="R115" authorId="1" shapeId="0" xr:uid="{CBCDB5E4-FCD9-4FA9-9C5D-45BE5B150935}">
      <text>
        <r>
          <rPr>
            <sz val="11"/>
            <color theme="1"/>
            <rFont val="Calibri"/>
            <family val="2"/>
            <scheme val="minor"/>
          </rPr>
          <t>Predecessor data</t>
        </r>
      </text>
    </comment>
    <comment ref="S115" authorId="0" shapeId="0" xr:uid="{0CB3689F-1163-49B0-B16F-66E68A76ED32}">
      <text>
        <r>
          <rPr>
            <sz val="11"/>
            <color theme="1"/>
            <rFont val="Calibri"/>
            <family val="2"/>
            <scheme val="minor"/>
          </rPr>
          <t xml:space="preserve">Period from February 1, 2020 through December 31, 2020
</t>
        </r>
      </text>
    </comment>
    <comment ref="G117" authorId="1" shapeId="0" xr:uid="{FBCD85E6-8290-4998-9D1D-BA97985ACE88}">
      <text>
        <r>
          <rPr>
            <sz val="11"/>
            <color theme="1"/>
            <rFont val="Calibri"/>
            <family val="2"/>
            <scheme val="minor"/>
          </rPr>
          <t>Period from February 1,2020 through March 31,2020</t>
        </r>
      </text>
    </comment>
    <comment ref="R117" authorId="1" shapeId="0" xr:uid="{EC6FB604-53E2-42A3-A586-C445B48ED485}">
      <text>
        <r>
          <rPr>
            <sz val="11"/>
            <color theme="1"/>
            <rFont val="Calibri"/>
            <family val="2"/>
            <scheme val="minor"/>
          </rPr>
          <t>Predecessor data</t>
        </r>
      </text>
    </comment>
    <comment ref="S117" authorId="0" shapeId="0" xr:uid="{6F3F3DEE-D131-4046-A75D-4DEDE4CB2720}">
      <text>
        <r>
          <rPr>
            <sz val="11"/>
            <color theme="1"/>
            <rFont val="Calibri"/>
            <family val="2"/>
            <scheme val="minor"/>
          </rPr>
          <t xml:space="preserve">Period from February 1, 2020 through December 31, 2020
</t>
        </r>
      </text>
    </comment>
    <comment ref="R118" authorId="1" shapeId="0" xr:uid="{F1F5EAAA-4F85-4443-AA93-F79ED52B28B0}">
      <text>
        <r>
          <rPr>
            <sz val="11"/>
            <color theme="1"/>
            <rFont val="Calibri"/>
            <family val="2"/>
            <scheme val="minor"/>
          </rPr>
          <t>Predecessor data</t>
        </r>
      </text>
    </comment>
    <comment ref="S118" authorId="0" shapeId="0" xr:uid="{92B9A5FC-6699-45DA-A090-FDD4C18D2F10}">
      <text>
        <r>
          <rPr>
            <sz val="11"/>
            <color theme="1"/>
            <rFont val="Calibri"/>
            <family val="2"/>
            <scheme val="minor"/>
          </rPr>
          <t xml:space="preserve">Period from February 1, 2020 through December 31, 2020
</t>
        </r>
      </text>
    </comment>
    <comment ref="G119" authorId="1" shapeId="0" xr:uid="{CDC9397A-5DF8-4BF0-B643-75E600D6E6C1}">
      <text>
        <r>
          <rPr>
            <sz val="11"/>
            <color theme="1"/>
            <rFont val="Calibri"/>
            <family val="2"/>
            <scheme val="minor"/>
          </rPr>
          <t>Period from February 1,2020 through March 31,2020</t>
        </r>
      </text>
    </comment>
    <comment ref="R119" authorId="1" shapeId="0" xr:uid="{E65D2C9B-092D-4ED2-8D12-4D9F58CFCBDE}">
      <text>
        <r>
          <rPr>
            <sz val="11"/>
            <color theme="1"/>
            <rFont val="Calibri"/>
            <family val="2"/>
            <scheme val="minor"/>
          </rPr>
          <t>Predecessor data</t>
        </r>
      </text>
    </comment>
    <comment ref="S119" authorId="0" shapeId="0" xr:uid="{DE207F49-1297-411E-8508-D84FE279BEDF}">
      <text>
        <r>
          <rPr>
            <sz val="11"/>
            <color theme="1"/>
            <rFont val="Calibri"/>
            <family val="2"/>
            <scheme val="minor"/>
          </rPr>
          <t xml:space="preserve">Period from February 1, 2020 through December 31, 2020
</t>
        </r>
      </text>
    </comment>
    <comment ref="R120" authorId="1" shapeId="0" xr:uid="{CC0E65A7-0E15-4DD6-ADBE-9912385A6EC2}">
      <text>
        <r>
          <rPr>
            <sz val="11"/>
            <color theme="1"/>
            <rFont val="Calibri"/>
            <family val="2"/>
            <scheme val="minor"/>
          </rPr>
          <t>Predecessor data</t>
        </r>
      </text>
    </comment>
    <comment ref="S120" authorId="0" shapeId="0" xr:uid="{15030E03-4491-49F7-B9BD-6C840379179F}">
      <text>
        <r>
          <rPr>
            <sz val="11"/>
            <color theme="1"/>
            <rFont val="Calibri"/>
            <family val="2"/>
            <scheme val="minor"/>
          </rPr>
          <t xml:space="preserve">Period from February 1, 2020 through December 31, 2020
</t>
        </r>
      </text>
    </comment>
    <comment ref="G121" authorId="1" shapeId="0" xr:uid="{C9039FF7-B81F-49DD-844F-1745E82530D4}">
      <text>
        <r>
          <rPr>
            <sz val="11"/>
            <color theme="1"/>
            <rFont val="Calibri"/>
            <family val="2"/>
            <scheme val="minor"/>
          </rPr>
          <t>Period from February 1,2020 through March 31,2020</t>
        </r>
      </text>
    </comment>
    <comment ref="R121" authorId="1" shapeId="0" xr:uid="{D64E5A12-36C2-4129-B544-C0546B1B9084}">
      <text>
        <r>
          <rPr>
            <sz val="11"/>
            <color theme="1"/>
            <rFont val="Calibri"/>
            <family val="2"/>
            <scheme val="minor"/>
          </rPr>
          <t>Predecessor data</t>
        </r>
      </text>
    </comment>
    <comment ref="S121" authorId="0" shapeId="0" xr:uid="{E7EED7A6-D1C9-4215-8F98-A968F2EB6A36}">
      <text>
        <r>
          <rPr>
            <sz val="11"/>
            <color theme="1"/>
            <rFont val="Calibri"/>
            <family val="2"/>
            <scheme val="minor"/>
          </rPr>
          <t xml:space="preserve">Period from February 1, 2020 through December 31, 2020
</t>
        </r>
      </text>
    </comment>
    <comment ref="G124" authorId="0" shapeId="0" xr:uid="{35A985BF-8C88-4131-901B-403B588C30E4}">
      <text>
        <r>
          <rPr>
            <sz val="11"/>
            <color theme="1"/>
            <rFont val="Calibri"/>
            <family val="2"/>
            <scheme val="minor"/>
          </rPr>
          <t xml:space="preserve">Period from January 1,2020 through January 31, 2020
</t>
        </r>
      </text>
    </comment>
    <comment ref="G126" authorId="0" shapeId="0" xr:uid="{1C5FBF20-AE6B-4E44-8D6F-C339A8EDA32A}">
      <text>
        <r>
          <rPr>
            <sz val="11"/>
            <color theme="1"/>
            <rFont val="Calibri"/>
            <family val="2"/>
            <scheme val="minor"/>
          </rPr>
          <t xml:space="preserve">Period from January 1,2020 through January 31, 2020
</t>
        </r>
      </text>
    </comment>
    <comment ref="G127" authorId="0" shapeId="0" xr:uid="{85BF12AE-8494-4611-AF45-683CB0CFB5AC}">
      <text>
        <r>
          <rPr>
            <sz val="11"/>
            <color theme="1"/>
            <rFont val="Calibri"/>
            <family val="2"/>
            <scheme val="minor"/>
          </rPr>
          <t xml:space="preserve">Period from January 1,2020 through January 31, 2020
</t>
        </r>
      </text>
    </comment>
    <comment ref="G128" authorId="0" shapeId="0" xr:uid="{66DE3FEC-BFEE-4822-B6CF-C54EDB4D1390}">
      <text>
        <r>
          <rPr>
            <sz val="11"/>
            <color theme="1"/>
            <rFont val="Calibri"/>
            <family val="2"/>
            <scheme val="minor"/>
          </rPr>
          <t xml:space="preserve">Period from January 1,2020 through January 31, 2020
</t>
        </r>
      </text>
    </comment>
    <comment ref="G129" authorId="0" shapeId="0" xr:uid="{42D67B40-055F-448F-AB64-71FA7EC9B533}">
      <text>
        <r>
          <rPr>
            <sz val="11"/>
            <color theme="1"/>
            <rFont val="Calibri"/>
            <family val="2"/>
            <scheme val="minor"/>
          </rPr>
          <t xml:space="preserve">Period from January 1,2020 through January 31, 2020
</t>
        </r>
      </text>
    </comment>
    <comment ref="G130" authorId="0" shapeId="0" xr:uid="{2A354979-8850-4AE6-8231-A7B1902196A1}">
      <text>
        <r>
          <rPr>
            <sz val="11"/>
            <color theme="1"/>
            <rFont val="Calibri"/>
            <family val="2"/>
            <scheme val="minor"/>
          </rPr>
          <t xml:space="preserve">Period from January 1,2020 through January 31, 2020
</t>
        </r>
      </text>
    </comment>
    <comment ref="G132" authorId="0" shapeId="0" xr:uid="{F5E8E1E3-0B82-4520-9EDB-D73562109D56}">
      <text>
        <r>
          <rPr>
            <sz val="11"/>
            <color theme="1"/>
            <rFont val="Calibri"/>
            <family val="2"/>
            <scheme val="minor"/>
          </rPr>
          <t xml:space="preserve">Period from January 1,2020 through January 31, 2020
</t>
        </r>
      </text>
    </comment>
    <comment ref="G135" authorId="0" shapeId="0" xr:uid="{9C783AEA-BF7F-46C0-8F20-5764AC91CD1A}">
      <text>
        <r>
          <rPr>
            <sz val="11"/>
            <color theme="1"/>
            <rFont val="Calibri"/>
            <family val="2"/>
            <scheme val="minor"/>
          </rPr>
          <t xml:space="preserve">Period from January 1,2020 through January 31, 2020
</t>
        </r>
      </text>
    </comment>
    <comment ref="G136" authorId="0" shapeId="0" xr:uid="{3D770885-7643-42DF-8B63-C2F106643EE2}">
      <text>
        <r>
          <rPr>
            <sz val="11"/>
            <color theme="1"/>
            <rFont val="Calibri"/>
            <family val="2"/>
            <scheme val="minor"/>
          </rPr>
          <t xml:space="preserve">Period from January 1,2020 through January 31, 2020
</t>
        </r>
      </text>
    </comment>
    <comment ref="G137" authorId="0" shapeId="0" xr:uid="{7A23D19D-7D39-4194-94A0-6A43D66AE3B7}">
      <text>
        <r>
          <rPr>
            <sz val="11"/>
            <color theme="1"/>
            <rFont val="Calibri"/>
            <family val="2"/>
            <scheme val="minor"/>
          </rPr>
          <t xml:space="preserve">Period from January 1,2020 through January 31, 2020
</t>
        </r>
      </text>
    </comment>
    <comment ref="G138" authorId="0" shapeId="0" xr:uid="{4A4A2638-EE12-410E-817F-772DE57E6BC0}">
      <text>
        <r>
          <rPr>
            <sz val="11"/>
            <color theme="1"/>
            <rFont val="Calibri"/>
            <family val="2"/>
            <scheme val="minor"/>
          </rPr>
          <t xml:space="preserve">Period from January 1,2020 through January 31, 2020
</t>
        </r>
      </text>
    </comment>
    <comment ref="G139" authorId="0" shapeId="0" xr:uid="{2A4D2D1C-BC34-46B4-91E4-05D81BD81CCB}">
      <text>
        <r>
          <rPr>
            <sz val="11"/>
            <color theme="1"/>
            <rFont val="Calibri"/>
            <family val="2"/>
            <scheme val="minor"/>
          </rPr>
          <t xml:space="preserve">Period from January 1,2020 through January 31, 2020
</t>
        </r>
      </text>
    </comment>
    <comment ref="G141" authorId="0" shapeId="0" xr:uid="{70837FE4-9C5A-43CB-AA6F-F898925CEA33}">
      <text>
        <r>
          <rPr>
            <sz val="11"/>
            <color theme="1"/>
            <rFont val="Calibri"/>
            <family val="2"/>
            <scheme val="minor"/>
          </rPr>
          <t xml:space="preserve">Period from January 1,2020 through January 31, 2020
</t>
        </r>
      </text>
    </comment>
    <comment ref="G143" authorId="0" shapeId="0" xr:uid="{18BD8A31-8773-4AE3-9B8B-E5D034F39B44}">
      <text>
        <r>
          <rPr>
            <sz val="11"/>
            <color theme="1"/>
            <rFont val="Calibri"/>
            <family val="2"/>
            <scheme val="minor"/>
          </rPr>
          <t xml:space="preserve">Period from January 1,2020 through January 31, 2020
</t>
        </r>
      </text>
    </comment>
    <comment ref="G144" authorId="0" shapeId="0" xr:uid="{2862D5CA-6765-4DBE-9C37-7EDC3F4D734A}">
      <text>
        <r>
          <rPr>
            <sz val="11"/>
            <color theme="1"/>
            <rFont val="Calibri"/>
            <family val="2"/>
            <scheme val="minor"/>
          </rPr>
          <t xml:space="preserve">Period from January 1,2020 through January 31, 2020
</t>
        </r>
      </text>
    </comment>
    <comment ref="G146" authorId="0" shapeId="0" xr:uid="{7C90353C-7A25-4FE8-9E71-8901D1D1A7E1}">
      <text>
        <r>
          <rPr>
            <sz val="11"/>
            <color theme="1"/>
            <rFont val="Calibri"/>
            <family val="2"/>
            <scheme val="minor"/>
          </rPr>
          <t xml:space="preserve">Period from January 1,2020 through January 31, 2020
</t>
        </r>
      </text>
    </comment>
    <comment ref="G147" authorId="0" shapeId="0" xr:uid="{DEFB9B6E-76CD-498E-B3E2-B0678B06CE7F}">
      <text>
        <r>
          <rPr>
            <sz val="11"/>
            <color theme="1"/>
            <rFont val="Calibri"/>
            <family val="2"/>
            <scheme val="minor"/>
          </rPr>
          <t xml:space="preserve">Period from January 1,2020 through January 31, 2020
</t>
        </r>
      </text>
    </comment>
    <comment ref="G149" authorId="0" shapeId="0" xr:uid="{F11D90A5-E332-4EF9-AF83-A8EB7B3070C4}">
      <text>
        <r>
          <rPr>
            <sz val="11"/>
            <color theme="1"/>
            <rFont val="Calibri"/>
            <family val="2"/>
            <scheme val="minor"/>
          </rPr>
          <t xml:space="preserve">Period from January 1,2020 through January 31, 2020
</t>
        </r>
      </text>
    </comment>
    <comment ref="G150" authorId="0" shapeId="0" xr:uid="{250C6F3C-EC00-47F6-84FF-25DEBB08102B}">
      <text>
        <r>
          <rPr>
            <sz val="11"/>
            <color theme="1"/>
            <rFont val="Calibri"/>
            <family val="2"/>
            <scheme val="minor"/>
          </rPr>
          <t xml:space="preserve">Period from January 1,2020 through January 31, 2020
</t>
        </r>
      </text>
    </comment>
    <comment ref="G151" authorId="0" shapeId="0" xr:uid="{608336A0-8C75-46DB-8931-D599DC42864F}">
      <text>
        <r>
          <rPr>
            <sz val="11"/>
            <color theme="1"/>
            <rFont val="Calibri"/>
            <family val="2"/>
            <scheme val="minor"/>
          </rPr>
          <t xml:space="preserve">Period from January 1,2020 through January 31, 2020
</t>
        </r>
      </text>
    </comment>
    <comment ref="G152" authorId="0" shapeId="0" xr:uid="{5138607E-9090-46FF-9ACE-DC4797FFEE75}">
      <text>
        <r>
          <rPr>
            <sz val="11"/>
            <color theme="1"/>
            <rFont val="Calibri"/>
            <family val="2"/>
            <scheme val="minor"/>
          </rPr>
          <t xml:space="preserve">Period from January 1,2020 through January 31, 2020
</t>
        </r>
      </text>
    </comment>
    <comment ref="G153" authorId="0" shapeId="0" xr:uid="{36AD012A-B559-43E9-8FC8-B29D285AF3A5}">
      <text>
        <r>
          <rPr>
            <sz val="11"/>
            <color theme="1"/>
            <rFont val="Calibri"/>
            <family val="2"/>
            <scheme val="minor"/>
          </rPr>
          <t xml:space="preserve">Period from January 1,2020 through January 31, 2020
</t>
        </r>
      </text>
    </comment>
    <comment ref="F158" authorId="1" shapeId="0" xr:uid="{1B2F449F-C28C-4FA1-89F0-1BEFF102C615}">
      <text>
        <r>
          <rPr>
            <sz val="11"/>
            <color theme="1"/>
            <rFont val="Calibri"/>
            <family val="2"/>
            <scheme val="minor"/>
          </rPr>
          <t>Predecessor data</t>
        </r>
      </text>
    </comment>
    <comment ref="F159" authorId="1" shapeId="0" xr:uid="{ED5386EC-8D95-4647-A486-4B63BAD3819A}">
      <text>
        <r>
          <rPr>
            <sz val="11"/>
            <color theme="1"/>
            <rFont val="Calibri"/>
            <family val="2"/>
            <scheme val="minor"/>
          </rPr>
          <t>Predecessor data</t>
        </r>
      </text>
    </comment>
    <comment ref="G160" authorId="0" shapeId="0" xr:uid="{D8B72461-ADFF-431B-9537-399C1307F443}">
      <text>
        <r>
          <rPr>
            <sz val="11"/>
            <color theme="1"/>
            <rFont val="Calibri"/>
            <family val="2"/>
            <scheme val="minor"/>
          </rPr>
          <t xml:space="preserve">Period from February 1,2020 through March 31,2020
</t>
        </r>
      </text>
    </comment>
    <comment ref="F161" authorId="1" shapeId="0" xr:uid="{79B67920-8AEB-423E-BCCD-40C123045CA6}">
      <text>
        <r>
          <rPr>
            <sz val="11"/>
            <color theme="1"/>
            <rFont val="Calibri"/>
            <family val="2"/>
            <scheme val="minor"/>
          </rPr>
          <t>Predecessor data</t>
        </r>
      </text>
    </comment>
    <comment ref="F162" authorId="1" shapeId="0" xr:uid="{C0096324-DC8B-4479-AEC0-9D0200C00019}">
      <text>
        <r>
          <rPr>
            <sz val="11"/>
            <color theme="1"/>
            <rFont val="Calibri"/>
            <family val="2"/>
            <scheme val="minor"/>
          </rPr>
          <t>Predecessor data</t>
        </r>
      </text>
    </comment>
    <comment ref="F163" authorId="1" shapeId="0" xr:uid="{E90E51F7-EFBA-4726-AB96-2001630E1318}">
      <text>
        <r>
          <rPr>
            <sz val="11"/>
            <color theme="1"/>
            <rFont val="Calibri"/>
            <family val="2"/>
            <scheme val="minor"/>
          </rPr>
          <t>Predecessor data</t>
        </r>
      </text>
    </comment>
    <comment ref="F164" authorId="1" shapeId="0" xr:uid="{61DEB02D-3A49-4850-91F2-18DBB0D353C0}">
      <text>
        <r>
          <rPr>
            <sz val="11"/>
            <color theme="1"/>
            <rFont val="Calibri"/>
            <family val="2"/>
            <scheme val="minor"/>
          </rPr>
          <t>Predecessor data</t>
        </r>
      </text>
    </comment>
    <comment ref="F165" authorId="1" shapeId="0" xr:uid="{75DDD355-DA56-4588-9606-F2787794F16D}">
      <text>
        <r>
          <rPr>
            <sz val="11"/>
            <color theme="1"/>
            <rFont val="Calibri"/>
            <family val="2"/>
            <scheme val="minor"/>
          </rPr>
          <t>Predecessor data</t>
        </r>
      </text>
    </comment>
    <comment ref="F167" authorId="1" shapeId="0" xr:uid="{F2AC7FC6-4DB7-4E72-A73B-301F28A3FCEB}">
      <text>
        <r>
          <rPr>
            <sz val="11"/>
            <color theme="1"/>
            <rFont val="Calibri"/>
            <family val="2"/>
            <scheme val="minor"/>
          </rPr>
          <t>Predecessor data</t>
        </r>
      </text>
    </comment>
    <comment ref="F168" authorId="1" shapeId="0" xr:uid="{0322B8AB-F114-4148-8235-3A177C6B9A97}">
      <text>
        <r>
          <rPr>
            <sz val="11"/>
            <color theme="1"/>
            <rFont val="Calibri"/>
            <family val="2"/>
            <scheme val="minor"/>
          </rPr>
          <t>Predecessor data</t>
        </r>
      </text>
    </comment>
    <comment ref="F169" authorId="1" shapeId="0" xr:uid="{D6053DBC-7766-4CF7-BCC3-04BE20A1C4B3}">
      <text>
        <r>
          <rPr>
            <sz val="11"/>
            <color theme="1"/>
            <rFont val="Calibri"/>
            <family val="2"/>
            <scheme val="minor"/>
          </rPr>
          <t>Predecessor data</t>
        </r>
      </text>
    </comment>
    <comment ref="F170" authorId="1" shapeId="0" xr:uid="{BC73982D-8A05-4514-A122-405D6FF8826F}">
      <text>
        <r>
          <rPr>
            <sz val="11"/>
            <color theme="1"/>
            <rFont val="Calibri"/>
            <family val="2"/>
            <scheme val="minor"/>
          </rPr>
          <t>Predecessor data</t>
        </r>
      </text>
    </comment>
    <comment ref="F171" authorId="1" shapeId="0" xr:uid="{801A16EF-DFF0-49E7-986E-3283E39A8745}">
      <text>
        <r>
          <rPr>
            <sz val="11"/>
            <color theme="1"/>
            <rFont val="Calibri"/>
            <family val="2"/>
            <scheme val="minor"/>
          </rPr>
          <t>Predecessor data</t>
        </r>
      </text>
    </comment>
    <comment ref="F172" authorId="1" shapeId="0" xr:uid="{22B35A45-63B7-4459-B0EF-5C53CE8C3E95}">
      <text>
        <r>
          <rPr>
            <sz val="11"/>
            <color theme="1"/>
            <rFont val="Calibri"/>
            <family val="2"/>
            <scheme val="minor"/>
          </rPr>
          <t>Predecessor data</t>
        </r>
      </text>
    </comment>
    <comment ref="F173" authorId="1" shapeId="0" xr:uid="{CACE2833-C5BF-4595-9D87-8A01CAB4C387}">
      <text>
        <r>
          <rPr>
            <sz val="11"/>
            <color theme="1"/>
            <rFont val="Calibri"/>
            <family val="2"/>
            <scheme val="minor"/>
          </rPr>
          <t>Predecessor data</t>
        </r>
      </text>
    </comment>
    <comment ref="G173" authorId="0" shapeId="0" xr:uid="{BA7ED370-8C99-4F5E-822C-E9E0275D7335}">
      <text>
        <r>
          <rPr>
            <sz val="11"/>
            <color theme="1"/>
            <rFont val="Calibri"/>
            <family val="2"/>
            <scheme val="minor"/>
          </rPr>
          <t xml:space="preserve">Period from February 1,2020 through March 31,2020
</t>
        </r>
      </text>
    </comment>
    <comment ref="F178" authorId="1" shapeId="0" xr:uid="{69A805F6-041F-462A-948D-BD451367AEF1}">
      <text>
        <r>
          <rPr>
            <sz val="11"/>
            <color theme="1"/>
            <rFont val="Calibri"/>
            <family val="2"/>
            <scheme val="minor"/>
          </rPr>
          <t>Predecessor data</t>
        </r>
      </text>
    </comment>
    <comment ref="F179" authorId="1" shapeId="0" xr:uid="{A7B853FF-EE7B-4862-8633-4405A11B2D14}">
      <text>
        <r>
          <rPr>
            <sz val="11"/>
            <color theme="1"/>
            <rFont val="Calibri"/>
            <family val="2"/>
            <scheme val="minor"/>
          </rPr>
          <t>Predecessor data</t>
        </r>
      </text>
    </comment>
    <comment ref="F180" authorId="1" shapeId="0" xr:uid="{863464DC-55FF-4AD1-B343-5E03E56EE1B7}">
      <text>
        <r>
          <rPr>
            <sz val="11"/>
            <color theme="1"/>
            <rFont val="Calibri"/>
            <family val="2"/>
            <scheme val="minor"/>
          </rPr>
          <t>Predecessor data</t>
        </r>
      </text>
    </comment>
    <comment ref="F183" authorId="1" shapeId="0" xr:uid="{8EC5CB3C-EF1B-4942-A5E8-70D60FF72D6C}">
      <text>
        <r>
          <rPr>
            <sz val="11"/>
            <color theme="1"/>
            <rFont val="Calibri"/>
            <family val="2"/>
            <scheme val="minor"/>
          </rPr>
          <t>Predecessor data</t>
        </r>
      </text>
    </comment>
    <comment ref="F184" authorId="1" shapeId="0" xr:uid="{6881864D-54CF-42CE-8EA5-A53C9146A1C6}">
      <text>
        <r>
          <rPr>
            <sz val="11"/>
            <color theme="1"/>
            <rFont val="Calibri"/>
            <family val="2"/>
            <scheme val="minor"/>
          </rPr>
          <t>Predecessor data</t>
        </r>
      </text>
    </comment>
    <comment ref="F185" authorId="1" shapeId="0" xr:uid="{1354F282-44CC-46A2-8294-8F607C44E10E}">
      <text>
        <r>
          <rPr>
            <sz val="11"/>
            <color theme="1"/>
            <rFont val="Calibri"/>
            <family val="2"/>
            <scheme val="minor"/>
          </rPr>
          <t>Predecessor data</t>
        </r>
      </text>
    </comment>
    <comment ref="F187" authorId="1" shapeId="0" xr:uid="{C72DF62D-9E77-4FB6-B25F-F9A9EF8806F9}">
      <text>
        <r>
          <rPr>
            <sz val="11"/>
            <color theme="1"/>
            <rFont val="Calibri"/>
            <family val="2"/>
            <scheme val="minor"/>
          </rPr>
          <t>Predecessor data</t>
        </r>
      </text>
    </comment>
    <comment ref="F188" authorId="1" shapeId="0" xr:uid="{E1947F78-A207-4BC1-9119-322B90CBBA55}">
      <text>
        <r>
          <rPr>
            <sz val="11"/>
            <color theme="1"/>
            <rFont val="Calibri"/>
            <family val="2"/>
            <scheme val="minor"/>
          </rPr>
          <t>Predecessor data</t>
        </r>
      </text>
    </comment>
    <comment ref="F190" authorId="1" shapeId="0" xr:uid="{63EAF271-FB5A-4527-B6FC-815C41F74999}">
      <text>
        <r>
          <rPr>
            <sz val="11"/>
            <color theme="1"/>
            <rFont val="Calibri"/>
            <family val="2"/>
            <scheme val="minor"/>
          </rPr>
          <t>Predecessor data</t>
        </r>
      </text>
    </comment>
    <comment ref="F191" authorId="1" shapeId="0" xr:uid="{073C6BDE-CAD0-4FE9-BCE2-EA7BCF320C51}">
      <text>
        <r>
          <rPr>
            <sz val="11"/>
            <color theme="1"/>
            <rFont val="Calibri"/>
            <family val="2"/>
            <scheme val="minor"/>
          </rPr>
          <t>Predecessor data</t>
        </r>
      </text>
    </comment>
    <comment ref="G191" authorId="0" shapeId="0" xr:uid="{0701C766-27EA-40D6-B730-28C4EE3376F0}">
      <text>
        <r>
          <rPr>
            <sz val="11"/>
            <color theme="1"/>
            <rFont val="Calibri"/>
            <family val="2"/>
            <scheme val="minor"/>
          </rPr>
          <t xml:space="preserve">Period from February 1,2020 through March 31,2020
</t>
        </r>
      </text>
    </comment>
    <comment ref="F196" authorId="1" shapeId="0" xr:uid="{29C09C44-32ED-408B-8F80-E678FF8BC5C5}">
      <text>
        <r>
          <rPr>
            <sz val="11"/>
            <color theme="1"/>
            <rFont val="Calibri"/>
            <family val="2"/>
            <scheme val="minor"/>
          </rPr>
          <t>Predecessor data</t>
        </r>
      </text>
    </comment>
    <comment ref="F197" authorId="1" shapeId="0" xr:uid="{726BE1AE-4DA0-4724-B81D-A02310912398}">
      <text>
        <r>
          <rPr>
            <sz val="11"/>
            <color theme="1"/>
            <rFont val="Calibri"/>
            <family val="2"/>
            <scheme val="minor"/>
          </rPr>
          <t>Predecessor data</t>
        </r>
      </text>
    </comment>
    <comment ref="F198" authorId="1" shapeId="0" xr:uid="{489CF682-09E6-4DAA-BBA9-1405D948DA0A}">
      <text>
        <r>
          <rPr>
            <sz val="11"/>
            <color theme="1"/>
            <rFont val="Calibri"/>
            <family val="2"/>
            <scheme val="minor"/>
          </rPr>
          <t>Predecessor data</t>
        </r>
      </text>
    </comment>
    <comment ref="F199" authorId="1" shapeId="0" xr:uid="{C288568B-C210-44F7-A5AB-3103886FF975}">
      <text>
        <r>
          <rPr>
            <sz val="11"/>
            <color theme="1"/>
            <rFont val="Calibri"/>
            <family val="2"/>
            <scheme val="minor"/>
          </rPr>
          <t>Predecessor data</t>
        </r>
      </text>
    </comment>
    <comment ref="F200" authorId="1" shapeId="0" xr:uid="{BB39DA1C-ABD2-4C5B-93FE-7C669BEEBD9A}">
      <text>
        <r>
          <rPr>
            <sz val="11"/>
            <color theme="1"/>
            <rFont val="Calibri"/>
            <family val="2"/>
            <scheme val="minor"/>
          </rPr>
          <t>Predecessor data</t>
        </r>
      </text>
    </comment>
    <comment ref="F201" authorId="1" shapeId="0" xr:uid="{E8CBE235-491D-42E3-A0D2-DFC69997B499}">
      <text>
        <r>
          <rPr>
            <sz val="11"/>
            <color theme="1"/>
            <rFont val="Calibri"/>
            <family val="2"/>
            <scheme val="minor"/>
          </rPr>
          <t>Predecessor data</t>
        </r>
      </text>
    </comment>
    <comment ref="G201" authorId="0" shapeId="0" xr:uid="{94BF8B43-9AFA-44B6-BFE5-1D5595179BEB}">
      <text>
        <r>
          <rPr>
            <sz val="11"/>
            <color theme="1"/>
            <rFont val="Calibri"/>
            <family val="2"/>
            <scheme val="minor"/>
          </rPr>
          <t xml:space="preserve">Period from February 1,2020 through March 31,2020
</t>
        </r>
      </text>
    </comment>
    <comment ref="F203" authorId="1" shapeId="0" xr:uid="{632177D5-10DD-485D-ADD5-CB8DF839C1B2}">
      <text>
        <r>
          <rPr>
            <sz val="11"/>
            <color theme="1"/>
            <rFont val="Calibri"/>
            <family val="2"/>
            <scheme val="minor"/>
          </rPr>
          <t>Predecessor data</t>
        </r>
      </text>
    </comment>
    <comment ref="F207" authorId="2" shapeId="0" xr:uid="{DD2A7704-E329-4EEB-AF82-4EFDAC002288}">
      <text>
        <r>
          <rPr>
            <sz val="11"/>
            <color theme="1"/>
            <rFont val="Calibri"/>
            <family val="2"/>
            <scheme val="minor"/>
          </rPr>
          <t>Predecessor data 
year to date number</t>
        </r>
      </text>
    </comment>
    <comment ref="G207" authorId="0" shapeId="0" xr:uid="{6A646811-F8F8-4A37-84EA-918F6A388661}">
      <text>
        <r>
          <rPr>
            <sz val="11"/>
            <color theme="1"/>
            <rFont val="Calibri"/>
            <family val="2"/>
            <scheme val="minor"/>
          </rPr>
          <t xml:space="preserve">Period from February 1,2020 through March 31,2020
</t>
        </r>
      </text>
    </comment>
    <comment ref="H207" authorId="2" shapeId="0" xr:uid="{EBF94850-F364-4F4B-9A17-D30EB2B4A22F}">
      <text>
        <r>
          <rPr>
            <sz val="11"/>
            <color theme="1"/>
            <rFont val="Calibri"/>
            <family val="2"/>
            <scheme val="minor"/>
          </rPr>
          <t>quarterized number</t>
        </r>
      </text>
    </comment>
    <comment ref="I207" authorId="2" shapeId="0" xr:uid="{41102E1E-BC6F-40E5-9C77-016096AEC528}">
      <text>
        <r>
          <rPr>
            <sz val="11"/>
            <color theme="1"/>
            <rFont val="Calibri"/>
            <family val="2"/>
            <scheme val="minor"/>
          </rPr>
          <t>quarterized number</t>
        </r>
      </text>
    </comment>
    <comment ref="J207" authorId="2" shapeId="0" xr:uid="{0D9A3E36-0347-4FCB-AA3A-200FE17F46CD}">
      <text>
        <r>
          <rPr>
            <sz val="11"/>
            <color theme="1"/>
            <rFont val="Calibri"/>
            <family val="2"/>
            <scheme val="minor"/>
          </rPr>
          <t>Period from February 1,2020 through December 31,2020
quarterized number</t>
        </r>
      </text>
    </comment>
    <comment ref="L207" authorId="2" shapeId="0" xr:uid="{B1DF00E7-0B0A-44C2-ABE1-F6409231EC13}">
      <text>
        <r>
          <rPr>
            <sz val="11"/>
            <color theme="1"/>
            <rFont val="Calibri"/>
            <family val="2"/>
            <scheme val="minor"/>
          </rPr>
          <t>quarterized number</t>
        </r>
      </text>
    </comment>
    <comment ref="M207" authorId="2" shapeId="0" xr:uid="{235EABC8-307B-445C-9739-4A1626D871A2}">
      <text>
        <r>
          <rPr>
            <sz val="11"/>
            <color theme="1"/>
            <rFont val="Calibri"/>
            <family val="2"/>
            <scheme val="minor"/>
          </rPr>
          <t>quarterized number</t>
        </r>
      </text>
    </comment>
    <comment ref="N207" authorId="2" shapeId="0" xr:uid="{310C6E93-0850-4943-AA6F-03A6557D59F4}">
      <text>
        <r>
          <rPr>
            <sz val="11"/>
            <color theme="1"/>
            <rFont val="Calibri"/>
            <family val="2"/>
            <scheme val="minor"/>
          </rPr>
          <t>quarterized number</t>
        </r>
      </text>
    </comment>
    <comment ref="P207" authorId="2" shapeId="0" xr:uid="{A6FB6653-4613-4151-B950-8DB2BFCA1368}">
      <text>
        <r>
          <rPr>
            <sz val="11"/>
            <color theme="1"/>
            <rFont val="Calibri"/>
            <family val="2"/>
            <scheme val="minor"/>
          </rPr>
          <t>quarterized number</t>
        </r>
      </text>
    </comment>
    <comment ref="F209" authorId="2" shapeId="0" xr:uid="{5B45B95A-2276-4BA8-8ABF-692E32F8FEB7}">
      <text>
        <r>
          <rPr>
            <sz val="11"/>
            <color theme="1"/>
            <rFont val="Calibri"/>
            <family val="2"/>
            <scheme val="minor"/>
          </rPr>
          <t>Predecessor data 
year to date number</t>
        </r>
      </text>
    </comment>
    <comment ref="G209" authorId="0" shapeId="0" xr:uid="{13CE3CF6-5FB7-4D08-A200-D7A44026513A}">
      <text>
        <r>
          <rPr>
            <sz val="11"/>
            <color theme="1"/>
            <rFont val="Calibri"/>
            <family val="2"/>
            <scheme val="minor"/>
          </rPr>
          <t xml:space="preserve">Period from February 1,2020 through March 31,2020
</t>
        </r>
      </text>
    </comment>
    <comment ref="H209" authorId="2" shapeId="0" xr:uid="{A1F70CDF-4D73-4D71-B36F-13EA293E66FC}">
      <text>
        <r>
          <rPr>
            <sz val="11"/>
            <color theme="1"/>
            <rFont val="Calibri"/>
            <family val="2"/>
            <scheme val="minor"/>
          </rPr>
          <t>quarterized number</t>
        </r>
      </text>
    </comment>
    <comment ref="I209" authorId="2" shapeId="0" xr:uid="{773AD40A-C0C2-48DF-9C64-DD8836CE89CC}">
      <text>
        <r>
          <rPr>
            <sz val="11"/>
            <color theme="1"/>
            <rFont val="Calibri"/>
            <family val="2"/>
            <scheme val="minor"/>
          </rPr>
          <t>quarterized number</t>
        </r>
      </text>
    </comment>
    <comment ref="J209" authorId="2" shapeId="0" xr:uid="{5CBF80BD-6DCA-4227-B77A-17EF6A370962}">
      <text>
        <r>
          <rPr>
            <sz val="11"/>
            <color theme="1"/>
            <rFont val="Calibri"/>
            <family val="2"/>
            <scheme val="minor"/>
          </rPr>
          <t>Period from February 1,2020 through December 31,2020
quarterized number</t>
        </r>
      </text>
    </comment>
    <comment ref="L209" authorId="2" shapeId="0" xr:uid="{00FB9DB7-9F55-45A7-8E35-1B3F063DC594}">
      <text>
        <r>
          <rPr>
            <sz val="11"/>
            <color theme="1"/>
            <rFont val="Calibri"/>
            <family val="2"/>
            <scheme val="minor"/>
          </rPr>
          <t>quarterized number</t>
        </r>
      </text>
    </comment>
    <comment ref="M209" authorId="2" shapeId="0" xr:uid="{5413934F-5389-4821-8572-E150E7B4508F}">
      <text>
        <r>
          <rPr>
            <sz val="11"/>
            <color theme="1"/>
            <rFont val="Calibri"/>
            <family val="2"/>
            <scheme val="minor"/>
          </rPr>
          <t>quarterized number</t>
        </r>
      </text>
    </comment>
    <comment ref="N209" authorId="2" shapeId="0" xr:uid="{A7A24F5B-E46F-4BDF-BBB3-02E7ADDACE53}">
      <text>
        <r>
          <rPr>
            <sz val="11"/>
            <color theme="1"/>
            <rFont val="Calibri"/>
            <family val="2"/>
            <scheme val="minor"/>
          </rPr>
          <t>quarterized number</t>
        </r>
      </text>
    </comment>
    <comment ref="P209" authorId="2" shapeId="0" xr:uid="{F876262B-3823-4CAF-B1EF-B88420BCE491}">
      <text>
        <r>
          <rPr>
            <sz val="11"/>
            <color theme="1"/>
            <rFont val="Calibri"/>
            <family val="2"/>
            <scheme val="minor"/>
          </rPr>
          <t>quarterized number</t>
        </r>
      </text>
    </comment>
    <comment ref="L210" authorId="2" shapeId="0" xr:uid="{57813BAF-EA42-4CB3-9A44-94CDAC1CD535}">
      <text>
        <r>
          <rPr>
            <sz val="11"/>
            <color theme="1"/>
            <rFont val="Calibri"/>
            <family val="2"/>
            <scheme val="minor"/>
          </rPr>
          <t>quarterized number</t>
        </r>
      </text>
    </comment>
    <comment ref="M210" authorId="2" shapeId="0" xr:uid="{2AA85C32-B858-49B8-8557-67A7A663EC56}">
      <text>
        <r>
          <rPr>
            <sz val="11"/>
            <color theme="1"/>
            <rFont val="Calibri"/>
            <family val="2"/>
            <scheme val="minor"/>
          </rPr>
          <t>quarterized number</t>
        </r>
      </text>
    </comment>
    <comment ref="N210" authorId="2" shapeId="0" xr:uid="{745539AD-9C45-43AB-9C9C-86CDF14DE75D}">
      <text>
        <r>
          <rPr>
            <sz val="11"/>
            <color theme="1"/>
            <rFont val="Calibri"/>
            <family val="2"/>
            <scheme val="minor"/>
          </rPr>
          <t>quarterized number</t>
        </r>
      </text>
    </comment>
    <comment ref="F211" authorId="2" shapeId="0" xr:uid="{4EAAACBF-27B7-4829-AE0B-C555C1E1E97A}">
      <text>
        <r>
          <rPr>
            <sz val="11"/>
            <color theme="1"/>
            <rFont val="Calibri"/>
            <family val="2"/>
            <scheme val="minor"/>
          </rPr>
          <t>Predecessor data 
year to date number</t>
        </r>
      </text>
    </comment>
    <comment ref="G211" authorId="0" shapeId="0" xr:uid="{09DCB06E-BFCC-4BED-97BC-0C0CF36051EC}">
      <text>
        <r>
          <rPr>
            <sz val="11"/>
            <color theme="1"/>
            <rFont val="Calibri"/>
            <family val="2"/>
            <scheme val="minor"/>
          </rPr>
          <t xml:space="preserve">Period from February 1,2020 through March 31,2020
</t>
        </r>
      </text>
    </comment>
    <comment ref="H211" authorId="2" shapeId="0" xr:uid="{5E3C4702-1D88-4BEE-99CC-453CB791C744}">
      <text>
        <r>
          <rPr>
            <sz val="11"/>
            <color theme="1"/>
            <rFont val="Calibri"/>
            <family val="2"/>
            <scheme val="minor"/>
          </rPr>
          <t>quarterized number</t>
        </r>
      </text>
    </comment>
    <comment ref="I211" authorId="2" shapeId="0" xr:uid="{CF113B5A-F208-48A2-8D3E-54A95F808737}">
      <text>
        <r>
          <rPr>
            <sz val="11"/>
            <color theme="1"/>
            <rFont val="Calibri"/>
            <family val="2"/>
            <scheme val="minor"/>
          </rPr>
          <t>quarterized number</t>
        </r>
      </text>
    </comment>
    <comment ref="J211" authorId="2" shapeId="0" xr:uid="{41528E60-64E9-4E94-9214-AAEEC594B797}">
      <text>
        <r>
          <rPr>
            <sz val="11"/>
            <color theme="1"/>
            <rFont val="Calibri"/>
            <family val="2"/>
            <scheme val="minor"/>
          </rPr>
          <t>Period from February 1,2020 through December 31,2020
quarterized number</t>
        </r>
      </text>
    </comment>
    <comment ref="L211" authorId="2" shapeId="0" xr:uid="{9C1C408D-AA91-4623-9F7E-DD60BA74A359}">
      <text>
        <r>
          <rPr>
            <sz val="11"/>
            <color theme="1"/>
            <rFont val="Calibri"/>
            <family val="2"/>
            <scheme val="minor"/>
          </rPr>
          <t>quarterized number</t>
        </r>
      </text>
    </comment>
    <comment ref="M211" authorId="2" shapeId="0" xr:uid="{2CEAC89D-EA4F-4ABA-8CC1-7898C805D56B}">
      <text>
        <r>
          <rPr>
            <sz val="11"/>
            <color theme="1"/>
            <rFont val="Calibri"/>
            <family val="2"/>
            <scheme val="minor"/>
          </rPr>
          <t>quarterized number</t>
        </r>
      </text>
    </comment>
    <comment ref="N211" authorId="2" shapeId="0" xr:uid="{79B7903C-78C5-4E3C-A8B5-A8CF7F8D1D9E}">
      <text>
        <r>
          <rPr>
            <sz val="11"/>
            <color theme="1"/>
            <rFont val="Calibri"/>
            <family val="2"/>
            <scheme val="minor"/>
          </rPr>
          <t>quarterized number</t>
        </r>
      </text>
    </comment>
    <comment ref="P211" authorId="2" shapeId="0" xr:uid="{B10392C1-558A-40AD-BFE9-DFE401808F4C}">
      <text>
        <r>
          <rPr>
            <sz val="11"/>
            <color theme="1"/>
            <rFont val="Calibri"/>
            <family val="2"/>
            <scheme val="minor"/>
          </rPr>
          <t>quarterized number</t>
        </r>
      </text>
    </comment>
    <comment ref="F212" authorId="2" shapeId="0" xr:uid="{52E3799C-B28F-4D60-9A34-6174E63C7E63}">
      <text>
        <r>
          <rPr>
            <sz val="11"/>
            <color theme="1"/>
            <rFont val="Calibri"/>
            <family val="2"/>
            <scheme val="minor"/>
          </rPr>
          <t>Predecessor data 
year to date number</t>
        </r>
      </text>
    </comment>
    <comment ref="G212" authorId="0" shapeId="0" xr:uid="{55BB3385-7E5E-454B-95E5-74B67CDC2DE0}">
      <text>
        <r>
          <rPr>
            <sz val="11"/>
            <color theme="1"/>
            <rFont val="Calibri"/>
            <family val="2"/>
            <scheme val="minor"/>
          </rPr>
          <t xml:space="preserve">Period from February 1,2020 through March 31,2020
</t>
        </r>
      </text>
    </comment>
    <comment ref="H212" authorId="2" shapeId="0" xr:uid="{DB67DEC2-3E6B-4B9F-AF57-B330DE1A0937}">
      <text>
        <r>
          <rPr>
            <sz val="11"/>
            <color theme="1"/>
            <rFont val="Calibri"/>
            <family val="2"/>
            <scheme val="minor"/>
          </rPr>
          <t>quarterized number</t>
        </r>
      </text>
    </comment>
    <comment ref="I212" authorId="2" shapeId="0" xr:uid="{72414CF3-E975-4AE8-ACB4-A5F275EAC80F}">
      <text>
        <r>
          <rPr>
            <sz val="11"/>
            <color theme="1"/>
            <rFont val="Calibri"/>
            <family val="2"/>
            <scheme val="minor"/>
          </rPr>
          <t>quarterized number</t>
        </r>
      </text>
    </comment>
    <comment ref="J212" authorId="2" shapeId="0" xr:uid="{A9CF15C7-19CF-425E-A351-88672E7FD123}">
      <text>
        <r>
          <rPr>
            <sz val="11"/>
            <color theme="1"/>
            <rFont val="Calibri"/>
            <family val="2"/>
            <scheme val="minor"/>
          </rPr>
          <t>Period from February 1,2020 through December 31,2020
quarterized number</t>
        </r>
      </text>
    </comment>
    <comment ref="L212" authorId="2" shapeId="0" xr:uid="{F39A85B6-0FB7-4C4A-A202-462E1D9C9D12}">
      <text>
        <r>
          <rPr>
            <sz val="11"/>
            <color theme="1"/>
            <rFont val="Calibri"/>
            <family val="2"/>
            <scheme val="minor"/>
          </rPr>
          <t>quarterized number</t>
        </r>
      </text>
    </comment>
    <comment ref="M212" authorId="2" shapeId="0" xr:uid="{BFF2C0BF-71F2-43E4-A805-6EFF231902FC}">
      <text>
        <r>
          <rPr>
            <sz val="11"/>
            <color theme="1"/>
            <rFont val="Calibri"/>
            <family val="2"/>
            <scheme val="minor"/>
          </rPr>
          <t>quarterized number</t>
        </r>
      </text>
    </comment>
    <comment ref="N212" authorId="2" shapeId="0" xr:uid="{BE5E6E7A-3424-4BE3-98D6-DE6F1AF6FFB4}">
      <text>
        <r>
          <rPr>
            <sz val="11"/>
            <color theme="1"/>
            <rFont val="Calibri"/>
            <family val="2"/>
            <scheme val="minor"/>
          </rPr>
          <t>quarterized number</t>
        </r>
      </text>
    </comment>
    <comment ref="P212" authorId="2" shapeId="0" xr:uid="{4DFA9E1C-B758-45D9-B080-8D69DFD74E97}">
      <text>
        <r>
          <rPr>
            <sz val="11"/>
            <color theme="1"/>
            <rFont val="Calibri"/>
            <family val="2"/>
            <scheme val="minor"/>
          </rPr>
          <t>quarterized number</t>
        </r>
      </text>
    </comment>
    <comment ref="F213" authorId="2" shapeId="0" xr:uid="{B06D9121-4BB9-4D85-AEE4-252BFE6FA966}">
      <text>
        <r>
          <rPr>
            <sz val="11"/>
            <color theme="1"/>
            <rFont val="Calibri"/>
            <family val="2"/>
            <scheme val="minor"/>
          </rPr>
          <t>Predecessor data 
year to date number</t>
        </r>
      </text>
    </comment>
    <comment ref="G213" authorId="0" shapeId="0" xr:uid="{71BB337C-C59B-4430-AFE4-13BB951497DF}">
      <text>
        <r>
          <rPr>
            <sz val="11"/>
            <color theme="1"/>
            <rFont val="Calibri"/>
            <family val="2"/>
            <scheme val="minor"/>
          </rPr>
          <t xml:space="preserve">Period from February 1,2020 through March 31,2020
</t>
        </r>
      </text>
    </comment>
    <comment ref="H213" authorId="2" shapeId="0" xr:uid="{5CC8435D-AFF5-4A33-B5A3-02A8AE8177F4}">
      <text>
        <r>
          <rPr>
            <sz val="11"/>
            <color theme="1"/>
            <rFont val="Calibri"/>
            <family val="2"/>
            <scheme val="minor"/>
          </rPr>
          <t>quarterized number</t>
        </r>
      </text>
    </comment>
    <comment ref="I213" authorId="2" shapeId="0" xr:uid="{7DF4CBC9-E9EF-4F13-9B75-D5A62ECA1921}">
      <text>
        <r>
          <rPr>
            <sz val="11"/>
            <color theme="1"/>
            <rFont val="Calibri"/>
            <family val="2"/>
            <scheme val="minor"/>
          </rPr>
          <t>quarterized number</t>
        </r>
      </text>
    </comment>
    <comment ref="J213" authorId="2" shapeId="0" xr:uid="{FA57BBA2-B86D-458A-9B62-27B472726B39}">
      <text>
        <r>
          <rPr>
            <sz val="11"/>
            <color theme="1"/>
            <rFont val="Calibri"/>
            <family val="2"/>
            <scheme val="minor"/>
          </rPr>
          <t>Period from February 1,2020 through December 31,2020
quarterized number</t>
        </r>
      </text>
    </comment>
    <comment ref="L213" authorId="2" shapeId="0" xr:uid="{30042F8D-3A9E-4CAB-BD17-B8FDD290352F}">
      <text>
        <r>
          <rPr>
            <sz val="11"/>
            <color theme="1"/>
            <rFont val="Calibri"/>
            <family val="2"/>
            <scheme val="minor"/>
          </rPr>
          <t>quarterized number</t>
        </r>
      </text>
    </comment>
    <comment ref="M213" authorId="2" shapeId="0" xr:uid="{EA1D0F84-4E8B-4B1C-A181-B0D820812B5C}">
      <text>
        <r>
          <rPr>
            <sz val="11"/>
            <color theme="1"/>
            <rFont val="Calibri"/>
            <family val="2"/>
            <scheme val="minor"/>
          </rPr>
          <t>quarterized number</t>
        </r>
      </text>
    </comment>
    <comment ref="N213" authorId="2" shapeId="0" xr:uid="{EDA8E445-F3E3-4D3A-B1D6-FE5E1C884395}">
      <text>
        <r>
          <rPr>
            <sz val="11"/>
            <color theme="1"/>
            <rFont val="Calibri"/>
            <family val="2"/>
            <scheme val="minor"/>
          </rPr>
          <t>quarterized number</t>
        </r>
      </text>
    </comment>
    <comment ref="P213" authorId="2" shapeId="0" xr:uid="{069DF670-A6A8-4213-807C-FB5438D3F77A}">
      <text>
        <r>
          <rPr>
            <sz val="11"/>
            <color theme="1"/>
            <rFont val="Calibri"/>
            <family val="2"/>
            <scheme val="minor"/>
          </rPr>
          <t>quarterized number</t>
        </r>
      </text>
    </comment>
    <comment ref="F214" authorId="2" shapeId="0" xr:uid="{5FC54866-8BFB-4F8C-897D-3F337B71C84D}">
      <text>
        <r>
          <rPr>
            <sz val="11"/>
            <color theme="1"/>
            <rFont val="Calibri"/>
            <family val="2"/>
            <scheme val="minor"/>
          </rPr>
          <t>Predecessor data 
year to date number</t>
        </r>
      </text>
    </comment>
    <comment ref="G214" authorId="0" shapeId="0" xr:uid="{6F05EDD9-E0EA-4F01-84FB-1E1981730C96}">
      <text>
        <r>
          <rPr>
            <sz val="11"/>
            <color theme="1"/>
            <rFont val="Calibri"/>
            <family val="2"/>
            <scheme val="minor"/>
          </rPr>
          <t xml:space="preserve">Period from February 1,2020 through March 31,2020
</t>
        </r>
      </text>
    </comment>
    <comment ref="H214" authorId="2" shapeId="0" xr:uid="{53786E21-795F-4C00-B721-D633CFFC8B3C}">
      <text>
        <r>
          <rPr>
            <sz val="11"/>
            <color theme="1"/>
            <rFont val="Calibri"/>
            <family val="2"/>
            <scheme val="minor"/>
          </rPr>
          <t>quarterized number</t>
        </r>
      </text>
    </comment>
    <comment ref="I214" authorId="2" shapeId="0" xr:uid="{83B57E64-44A4-47AE-8574-FEAB9391D654}">
      <text>
        <r>
          <rPr>
            <sz val="11"/>
            <color theme="1"/>
            <rFont val="Calibri"/>
            <family val="2"/>
            <scheme val="minor"/>
          </rPr>
          <t>quarterized number</t>
        </r>
      </text>
    </comment>
    <comment ref="J214" authorId="2" shapeId="0" xr:uid="{4E66C211-BD1E-464D-A50C-BD8D83335310}">
      <text>
        <r>
          <rPr>
            <sz val="11"/>
            <color theme="1"/>
            <rFont val="Calibri"/>
            <family val="2"/>
            <scheme val="minor"/>
          </rPr>
          <t>Period from February 1,2020 through December 31,2020
quarterized number</t>
        </r>
      </text>
    </comment>
    <comment ref="L214" authorId="2" shapeId="0" xr:uid="{0A853DB9-00D5-44EC-9EF6-B3653479C1F3}">
      <text>
        <r>
          <rPr>
            <sz val="11"/>
            <color theme="1"/>
            <rFont val="Calibri"/>
            <family val="2"/>
            <scheme val="minor"/>
          </rPr>
          <t>quarterized number</t>
        </r>
      </text>
    </comment>
    <comment ref="M214" authorId="2" shapeId="0" xr:uid="{DF836085-2BCB-4FBD-B733-EF1EA4A79569}">
      <text>
        <r>
          <rPr>
            <sz val="11"/>
            <color theme="1"/>
            <rFont val="Calibri"/>
            <family val="2"/>
            <scheme val="minor"/>
          </rPr>
          <t>quarterized number</t>
        </r>
      </text>
    </comment>
    <comment ref="N214" authorId="2" shapeId="0" xr:uid="{B36DF593-4215-4DDA-8520-3CE0433E83BF}">
      <text>
        <r>
          <rPr>
            <sz val="11"/>
            <color theme="1"/>
            <rFont val="Calibri"/>
            <family val="2"/>
            <scheme val="minor"/>
          </rPr>
          <t>quarterized number</t>
        </r>
      </text>
    </comment>
    <comment ref="P214" authorId="2" shapeId="0" xr:uid="{5CA652F2-63C1-47AD-99FD-66A822CD0F4B}">
      <text>
        <r>
          <rPr>
            <sz val="11"/>
            <color theme="1"/>
            <rFont val="Calibri"/>
            <family val="2"/>
            <scheme val="minor"/>
          </rPr>
          <t>quarterized number</t>
        </r>
      </text>
    </comment>
    <comment ref="F215" authorId="2" shapeId="0" xr:uid="{FA0E6BE3-53B5-4271-8B89-5B13AC3D0E65}">
      <text>
        <r>
          <rPr>
            <sz val="11"/>
            <color theme="1"/>
            <rFont val="Calibri"/>
            <family val="2"/>
            <scheme val="minor"/>
          </rPr>
          <t>Predecessor data 
year to date number</t>
        </r>
      </text>
    </comment>
    <comment ref="G215" authorId="0" shapeId="0" xr:uid="{8A8A07D2-896F-451E-80B5-C030B4794A5A}">
      <text>
        <r>
          <rPr>
            <sz val="11"/>
            <color theme="1"/>
            <rFont val="Calibri"/>
            <family val="2"/>
            <scheme val="minor"/>
          </rPr>
          <t xml:space="preserve">Period from February 1,2020 through March 31,2020
</t>
        </r>
      </text>
    </comment>
    <comment ref="H215" authorId="2" shapeId="0" xr:uid="{FE073EC9-1490-4D1F-A4A9-1A81652C16F1}">
      <text>
        <r>
          <rPr>
            <sz val="11"/>
            <color theme="1"/>
            <rFont val="Calibri"/>
            <family val="2"/>
            <scheme val="minor"/>
          </rPr>
          <t>quarterized number</t>
        </r>
      </text>
    </comment>
    <comment ref="I215" authorId="2" shapeId="0" xr:uid="{3A79E5ED-8D37-4EAA-88C6-C1BA9440B792}">
      <text>
        <r>
          <rPr>
            <sz val="11"/>
            <color theme="1"/>
            <rFont val="Calibri"/>
            <family val="2"/>
            <scheme val="minor"/>
          </rPr>
          <t>quarterized number</t>
        </r>
      </text>
    </comment>
    <comment ref="J215" authorId="2" shapeId="0" xr:uid="{211077A0-4459-4093-8C76-A9DAD0B5BF22}">
      <text>
        <r>
          <rPr>
            <sz val="11"/>
            <color theme="1"/>
            <rFont val="Calibri"/>
            <family val="2"/>
            <scheme val="minor"/>
          </rPr>
          <t>Period from February 1,2020 through December 31,2020
quarterized number</t>
        </r>
      </text>
    </comment>
    <comment ref="L215" authorId="2" shapeId="0" xr:uid="{266F6C08-23CB-4FFC-AB81-36C84226F0E7}">
      <text>
        <r>
          <rPr>
            <sz val="11"/>
            <color theme="1"/>
            <rFont val="Calibri"/>
            <family val="2"/>
            <scheme val="minor"/>
          </rPr>
          <t>quarterized number</t>
        </r>
      </text>
    </comment>
    <comment ref="M215" authorId="2" shapeId="0" xr:uid="{65FA9156-8D94-4B33-8484-8CE56D2F8468}">
      <text>
        <r>
          <rPr>
            <sz val="11"/>
            <color theme="1"/>
            <rFont val="Calibri"/>
            <family val="2"/>
            <scheme val="minor"/>
          </rPr>
          <t>quarterized number</t>
        </r>
      </text>
    </comment>
    <comment ref="N215" authorId="2" shapeId="0" xr:uid="{B2421153-856C-498D-BE9B-9B69FB5D55C8}">
      <text>
        <r>
          <rPr>
            <sz val="11"/>
            <color theme="1"/>
            <rFont val="Calibri"/>
            <family val="2"/>
            <scheme val="minor"/>
          </rPr>
          <t>quarterized number</t>
        </r>
      </text>
    </comment>
    <comment ref="P215" authorId="2" shapeId="0" xr:uid="{C40C3B5F-AAE6-4A0B-B262-D816D006DD19}">
      <text>
        <r>
          <rPr>
            <sz val="11"/>
            <color theme="1"/>
            <rFont val="Calibri"/>
            <family val="2"/>
            <scheme val="minor"/>
          </rPr>
          <t>quarterized number</t>
        </r>
      </text>
    </comment>
    <comment ref="F216" authorId="2" shapeId="0" xr:uid="{4C2A8353-0C61-4651-BC4A-F9DA7E8D46AD}">
      <text>
        <r>
          <rPr>
            <sz val="11"/>
            <color theme="1"/>
            <rFont val="Calibri"/>
            <family val="2"/>
            <scheme val="minor"/>
          </rPr>
          <t>Predecessor data 
year to date number</t>
        </r>
      </text>
    </comment>
    <comment ref="G216" authorId="0" shapeId="0" xr:uid="{7ED11F91-1F85-4253-B6AB-679EE2B4C6FD}">
      <text>
        <r>
          <rPr>
            <sz val="11"/>
            <color theme="1"/>
            <rFont val="Calibri"/>
            <family val="2"/>
            <scheme val="minor"/>
          </rPr>
          <t xml:space="preserve">Period from February 1,2020 through March 31,2020
</t>
        </r>
      </text>
    </comment>
    <comment ref="H216" authorId="2" shapeId="0" xr:uid="{75447574-FB71-4E29-AD94-E88EF627897A}">
      <text>
        <r>
          <rPr>
            <sz val="11"/>
            <color theme="1"/>
            <rFont val="Calibri"/>
            <family val="2"/>
            <scheme val="minor"/>
          </rPr>
          <t>quarterized number</t>
        </r>
      </text>
    </comment>
    <comment ref="I216" authorId="2" shapeId="0" xr:uid="{70B59329-BEAD-4328-8EC1-6DDE57B91D3F}">
      <text>
        <r>
          <rPr>
            <sz val="11"/>
            <color theme="1"/>
            <rFont val="Calibri"/>
            <family val="2"/>
            <scheme val="minor"/>
          </rPr>
          <t>quarterized number</t>
        </r>
      </text>
    </comment>
    <comment ref="J216" authorId="2" shapeId="0" xr:uid="{9BBB1792-4298-476F-A920-E21BE1D25BC3}">
      <text>
        <r>
          <rPr>
            <sz val="11"/>
            <color theme="1"/>
            <rFont val="Calibri"/>
            <family val="2"/>
            <scheme val="minor"/>
          </rPr>
          <t>Period from February 1,2020 through December 31,2020
quarterized number</t>
        </r>
      </text>
    </comment>
    <comment ref="L216" authorId="2" shapeId="0" xr:uid="{357F2453-687A-4FF4-A330-41A531E644B2}">
      <text>
        <r>
          <rPr>
            <sz val="11"/>
            <color theme="1"/>
            <rFont val="Calibri"/>
            <family val="2"/>
            <scheme val="minor"/>
          </rPr>
          <t>quarterized number</t>
        </r>
      </text>
    </comment>
    <comment ref="M216" authorId="2" shapeId="0" xr:uid="{375B656E-C271-40AA-8E46-839869444B0D}">
      <text>
        <r>
          <rPr>
            <sz val="11"/>
            <color theme="1"/>
            <rFont val="Calibri"/>
            <family val="2"/>
            <scheme val="minor"/>
          </rPr>
          <t>quarterized number</t>
        </r>
      </text>
    </comment>
    <comment ref="N216" authorId="2" shapeId="0" xr:uid="{9477CDCC-6E87-40A7-8769-E81B319F004C}">
      <text>
        <r>
          <rPr>
            <sz val="11"/>
            <color theme="1"/>
            <rFont val="Calibri"/>
            <family val="2"/>
            <scheme val="minor"/>
          </rPr>
          <t>quarterized number</t>
        </r>
      </text>
    </comment>
    <comment ref="P216" authorId="2" shapeId="0" xr:uid="{0837AB4D-1FD0-43DB-83E5-5B647CF7A1A5}">
      <text>
        <r>
          <rPr>
            <sz val="11"/>
            <color theme="1"/>
            <rFont val="Calibri"/>
            <family val="2"/>
            <scheme val="minor"/>
          </rPr>
          <t>quarterized number</t>
        </r>
      </text>
    </comment>
    <comment ref="G217" authorId="0" shapeId="0" xr:uid="{485DEACE-4D1D-43AF-9565-7B01994B52F0}">
      <text>
        <r>
          <rPr>
            <sz val="11"/>
            <color theme="1"/>
            <rFont val="Calibri"/>
            <family val="2"/>
            <scheme val="minor"/>
          </rPr>
          <t xml:space="preserve">Period from February 1,2020 through March 31,2020
</t>
        </r>
      </text>
    </comment>
    <comment ref="H217" authorId="2" shapeId="0" xr:uid="{8A7A9A10-0272-4D78-BA64-4ED71F05D530}">
      <text>
        <r>
          <rPr>
            <sz val="11"/>
            <color theme="1"/>
            <rFont val="Calibri"/>
            <family val="2"/>
            <scheme val="minor"/>
          </rPr>
          <t>quarterized number</t>
        </r>
      </text>
    </comment>
    <comment ref="I217" authorId="2" shapeId="0" xr:uid="{0F1289E6-8B2D-4FC4-962D-EA879C052F6F}">
      <text>
        <r>
          <rPr>
            <sz val="11"/>
            <color theme="1"/>
            <rFont val="Calibri"/>
            <family val="2"/>
            <scheme val="minor"/>
          </rPr>
          <t>quarterized number</t>
        </r>
      </text>
    </comment>
    <comment ref="J217" authorId="2" shapeId="0" xr:uid="{20D0FE56-7D4B-4794-BB1B-94FFC2B1E990}">
      <text>
        <r>
          <rPr>
            <sz val="11"/>
            <color theme="1"/>
            <rFont val="Calibri"/>
            <family val="2"/>
            <scheme val="minor"/>
          </rPr>
          <t>Period from February 1,2020 through December 31,2020
quarterized number</t>
        </r>
      </text>
    </comment>
    <comment ref="L217" authorId="2" shapeId="0" xr:uid="{8E072163-9BDA-4217-8270-3DDA89C6E2AC}">
      <text>
        <r>
          <rPr>
            <sz val="11"/>
            <color theme="1"/>
            <rFont val="Calibri"/>
            <family val="2"/>
            <scheme val="minor"/>
          </rPr>
          <t>quarterized number</t>
        </r>
      </text>
    </comment>
    <comment ref="M217" authorId="2" shapeId="0" xr:uid="{2B3DE0D9-D44A-4E02-9DE1-8DE981A6C032}">
      <text>
        <r>
          <rPr>
            <sz val="11"/>
            <color theme="1"/>
            <rFont val="Calibri"/>
            <family val="2"/>
            <scheme val="minor"/>
          </rPr>
          <t>quarterized number</t>
        </r>
      </text>
    </comment>
    <comment ref="N217" authorId="2" shapeId="0" xr:uid="{963C2681-C6FD-4869-8744-F64EED5A0286}">
      <text>
        <r>
          <rPr>
            <sz val="11"/>
            <color theme="1"/>
            <rFont val="Calibri"/>
            <family val="2"/>
            <scheme val="minor"/>
          </rPr>
          <t>quarterized number</t>
        </r>
      </text>
    </comment>
    <comment ref="P217" authorId="2" shapeId="0" xr:uid="{5F0810A9-1CF1-4A2D-8E52-3B3CF7193B70}">
      <text>
        <r>
          <rPr>
            <sz val="11"/>
            <color theme="1"/>
            <rFont val="Calibri"/>
            <family val="2"/>
            <scheme val="minor"/>
          </rPr>
          <t>quarterized number</t>
        </r>
      </text>
    </comment>
    <comment ref="F219" authorId="2" shapeId="0" xr:uid="{03590777-65EE-4D88-B97D-113F64D54831}">
      <text>
        <r>
          <rPr>
            <sz val="11"/>
            <color theme="1"/>
            <rFont val="Calibri"/>
            <family val="2"/>
            <scheme val="minor"/>
          </rPr>
          <t>Predecessor data 
year to date number</t>
        </r>
      </text>
    </comment>
    <comment ref="G219" authorId="0" shapeId="0" xr:uid="{38F9E249-BFC3-443C-9CB1-CF72513A17C5}">
      <text>
        <r>
          <rPr>
            <sz val="11"/>
            <color theme="1"/>
            <rFont val="Calibri"/>
            <family val="2"/>
            <scheme val="minor"/>
          </rPr>
          <t xml:space="preserve">Period from February 1,2020 through March 31,2020
</t>
        </r>
      </text>
    </comment>
    <comment ref="H219" authorId="2" shapeId="0" xr:uid="{13B9DF7C-5F07-48D5-BB2F-9C2DADD0F6AD}">
      <text>
        <r>
          <rPr>
            <sz val="11"/>
            <color theme="1"/>
            <rFont val="Calibri"/>
            <family val="2"/>
            <scheme val="minor"/>
          </rPr>
          <t>quarterized number</t>
        </r>
      </text>
    </comment>
    <comment ref="I219" authorId="2" shapeId="0" xr:uid="{18EFD1B7-C265-47EB-AA32-D3581AA017BF}">
      <text>
        <r>
          <rPr>
            <sz val="11"/>
            <color theme="1"/>
            <rFont val="Calibri"/>
            <family val="2"/>
            <scheme val="minor"/>
          </rPr>
          <t>quarterized number</t>
        </r>
      </text>
    </comment>
    <comment ref="J219" authorId="2" shapeId="0" xr:uid="{91B632CE-EFFF-4C5C-8106-6EFC3EFCB1C3}">
      <text>
        <r>
          <rPr>
            <sz val="11"/>
            <color theme="1"/>
            <rFont val="Calibri"/>
            <family val="2"/>
            <scheme val="minor"/>
          </rPr>
          <t>Period from February 1,2020 through December 31,2020
quarterized number</t>
        </r>
      </text>
    </comment>
    <comment ref="L219" authorId="2" shapeId="0" xr:uid="{013460A5-2E1D-471D-AF67-F09F3B5A9AF4}">
      <text>
        <r>
          <rPr>
            <sz val="11"/>
            <color theme="1"/>
            <rFont val="Calibri"/>
            <family val="2"/>
            <scheme val="minor"/>
          </rPr>
          <t>quarterized number</t>
        </r>
      </text>
    </comment>
    <comment ref="M219" authorId="2" shapeId="0" xr:uid="{7DF12891-7B92-4E0C-8506-5A3714403917}">
      <text>
        <r>
          <rPr>
            <sz val="11"/>
            <color theme="1"/>
            <rFont val="Calibri"/>
            <family val="2"/>
            <scheme val="minor"/>
          </rPr>
          <t>quarterized number</t>
        </r>
      </text>
    </comment>
    <comment ref="N219" authorId="2" shapeId="0" xr:uid="{E3948776-7726-4CA3-BA1F-3511C60CB939}">
      <text>
        <r>
          <rPr>
            <sz val="11"/>
            <color theme="1"/>
            <rFont val="Calibri"/>
            <family val="2"/>
            <scheme val="minor"/>
          </rPr>
          <t>quarterized number</t>
        </r>
      </text>
    </comment>
    <comment ref="P219" authorId="2" shapeId="0" xr:uid="{7BF87065-7E1F-40DD-9315-8855ECEC17CB}">
      <text>
        <r>
          <rPr>
            <sz val="11"/>
            <color theme="1"/>
            <rFont val="Calibri"/>
            <family val="2"/>
            <scheme val="minor"/>
          </rPr>
          <t>quarterized number</t>
        </r>
      </text>
    </comment>
    <comment ref="F220" authorId="2" shapeId="0" xr:uid="{2583EAD2-ACA8-4CC3-8C27-2E765475052A}">
      <text>
        <r>
          <rPr>
            <sz val="11"/>
            <color theme="1"/>
            <rFont val="Calibri"/>
            <family val="2"/>
            <scheme val="minor"/>
          </rPr>
          <t>Predecessor data 
year to date number</t>
        </r>
      </text>
    </comment>
    <comment ref="G220" authorId="0" shapeId="0" xr:uid="{0CF5FE59-FA6A-4124-A0A1-4507E5F774CB}">
      <text>
        <r>
          <rPr>
            <sz val="11"/>
            <color theme="1"/>
            <rFont val="Calibri"/>
            <family val="2"/>
            <scheme val="minor"/>
          </rPr>
          <t xml:space="preserve">Period from February 1,2020 through March 31,2020
</t>
        </r>
      </text>
    </comment>
    <comment ref="H220" authorId="2" shapeId="0" xr:uid="{6C205887-8354-4687-848D-B16836262C8E}">
      <text>
        <r>
          <rPr>
            <sz val="11"/>
            <color theme="1"/>
            <rFont val="Calibri"/>
            <family val="2"/>
            <scheme val="minor"/>
          </rPr>
          <t>quarterized number</t>
        </r>
      </text>
    </comment>
    <comment ref="I220" authorId="2" shapeId="0" xr:uid="{6DBC0B66-D29C-4BE3-9AD1-112640E8629A}">
      <text>
        <r>
          <rPr>
            <sz val="11"/>
            <color theme="1"/>
            <rFont val="Calibri"/>
            <family val="2"/>
            <scheme val="minor"/>
          </rPr>
          <t>quarterized number</t>
        </r>
      </text>
    </comment>
    <comment ref="J220" authorId="2" shapeId="0" xr:uid="{8DD177A6-B9FE-4A17-8FA1-CB76503DF235}">
      <text>
        <r>
          <rPr>
            <sz val="11"/>
            <color theme="1"/>
            <rFont val="Calibri"/>
            <family val="2"/>
            <scheme val="minor"/>
          </rPr>
          <t>Period from February 1,2020 through December 31,2020
quarterized number</t>
        </r>
      </text>
    </comment>
    <comment ref="L220" authorId="2" shapeId="0" xr:uid="{0D6BA552-DC10-4C51-BBD2-0CAE12F75C14}">
      <text>
        <r>
          <rPr>
            <sz val="11"/>
            <color theme="1"/>
            <rFont val="Calibri"/>
            <family val="2"/>
            <scheme val="minor"/>
          </rPr>
          <t>quarterized number</t>
        </r>
      </text>
    </comment>
    <comment ref="M220" authorId="2" shapeId="0" xr:uid="{826EEF78-9026-4E80-8449-DBF9B4B29E1D}">
      <text>
        <r>
          <rPr>
            <sz val="11"/>
            <color theme="1"/>
            <rFont val="Calibri"/>
            <family val="2"/>
            <scheme val="minor"/>
          </rPr>
          <t>quarterized number</t>
        </r>
      </text>
    </comment>
    <comment ref="N220" authorId="2" shapeId="0" xr:uid="{C8055A5A-47D6-48B4-8FB4-5632DD4F5576}">
      <text>
        <r>
          <rPr>
            <sz val="11"/>
            <color theme="1"/>
            <rFont val="Calibri"/>
            <family val="2"/>
            <scheme val="minor"/>
          </rPr>
          <t>quarterized number</t>
        </r>
      </text>
    </comment>
    <comment ref="P220" authorId="2" shapeId="0" xr:uid="{201F241C-E78C-4B72-828A-DF59D04240BC}">
      <text>
        <r>
          <rPr>
            <sz val="11"/>
            <color theme="1"/>
            <rFont val="Calibri"/>
            <family val="2"/>
            <scheme val="minor"/>
          </rPr>
          <t>quarterized number</t>
        </r>
      </text>
    </comment>
    <comment ref="F221" authorId="2" shapeId="0" xr:uid="{A4D8268E-527F-41FE-9D4A-B03BEE2D01E8}">
      <text>
        <r>
          <rPr>
            <sz val="11"/>
            <color theme="1"/>
            <rFont val="Calibri"/>
            <family val="2"/>
            <scheme val="minor"/>
          </rPr>
          <t>Predecessor data 
year to date number</t>
        </r>
      </text>
    </comment>
    <comment ref="G221" authorId="0" shapeId="0" xr:uid="{87D94A50-DF42-4BF3-B688-86F6467BE793}">
      <text>
        <r>
          <rPr>
            <sz val="11"/>
            <color theme="1"/>
            <rFont val="Calibri"/>
            <family val="2"/>
            <scheme val="minor"/>
          </rPr>
          <t xml:space="preserve">Period from February 1,2020 through March 31,2020
</t>
        </r>
      </text>
    </comment>
    <comment ref="H221" authorId="2" shapeId="0" xr:uid="{7812E3A8-FE6B-4FD8-B37D-3FDE77C9F8E1}">
      <text>
        <r>
          <rPr>
            <sz val="11"/>
            <color theme="1"/>
            <rFont val="Calibri"/>
            <family val="2"/>
            <scheme val="minor"/>
          </rPr>
          <t>quarterized number</t>
        </r>
      </text>
    </comment>
    <comment ref="I221" authorId="2" shapeId="0" xr:uid="{7C2FBCAB-3621-4A19-A11A-289A0A1192F0}">
      <text>
        <r>
          <rPr>
            <sz val="11"/>
            <color theme="1"/>
            <rFont val="Calibri"/>
            <family val="2"/>
            <scheme val="minor"/>
          </rPr>
          <t>quarterized number</t>
        </r>
      </text>
    </comment>
    <comment ref="J221" authorId="2" shapeId="0" xr:uid="{38818B86-426E-4D10-AD99-C6BB57EFD49A}">
      <text>
        <r>
          <rPr>
            <sz val="11"/>
            <color theme="1"/>
            <rFont val="Calibri"/>
            <family val="2"/>
            <scheme val="minor"/>
          </rPr>
          <t>Period from February 1,2020 through December 31,2020
quarterized number</t>
        </r>
      </text>
    </comment>
    <comment ref="L221" authorId="2" shapeId="0" xr:uid="{4492CED1-022D-4642-ADA3-E60E4CBCCEA5}">
      <text>
        <r>
          <rPr>
            <sz val="11"/>
            <color theme="1"/>
            <rFont val="Calibri"/>
            <family val="2"/>
            <scheme val="minor"/>
          </rPr>
          <t>quarterized number</t>
        </r>
      </text>
    </comment>
    <comment ref="M221" authorId="2" shapeId="0" xr:uid="{B28AE635-F61D-420E-B7C0-85921C7761AC}">
      <text>
        <r>
          <rPr>
            <sz val="11"/>
            <color theme="1"/>
            <rFont val="Calibri"/>
            <family val="2"/>
            <scheme val="minor"/>
          </rPr>
          <t>quarterized number</t>
        </r>
      </text>
    </comment>
    <comment ref="N221" authorId="2" shapeId="0" xr:uid="{4EBC41B4-799D-4980-8611-5F1FB4147678}">
      <text>
        <r>
          <rPr>
            <sz val="11"/>
            <color theme="1"/>
            <rFont val="Calibri"/>
            <family val="2"/>
            <scheme val="minor"/>
          </rPr>
          <t>quarterized number</t>
        </r>
      </text>
    </comment>
    <comment ref="F222" authorId="2" shapeId="0" xr:uid="{04F904AA-8E48-4AB5-BD3F-2BAAD61EA8BA}">
      <text>
        <r>
          <rPr>
            <sz val="11"/>
            <color theme="1"/>
            <rFont val="Calibri"/>
            <family val="2"/>
            <scheme val="minor"/>
          </rPr>
          <t>Predecessor data 
year to date number</t>
        </r>
      </text>
    </comment>
    <comment ref="G222" authorId="0" shapeId="0" xr:uid="{E4F67B38-99C9-4046-80E7-0F391731CBA6}">
      <text>
        <r>
          <rPr>
            <sz val="11"/>
            <color theme="1"/>
            <rFont val="Calibri"/>
            <family val="2"/>
            <scheme val="minor"/>
          </rPr>
          <t xml:space="preserve">Period from February 1,2020 through March 31,2020
</t>
        </r>
      </text>
    </comment>
    <comment ref="H222" authorId="2" shapeId="0" xr:uid="{85F5910F-B0C1-4559-ADDB-7CA1C1B11201}">
      <text>
        <r>
          <rPr>
            <sz val="11"/>
            <color theme="1"/>
            <rFont val="Calibri"/>
            <family val="2"/>
            <scheme val="minor"/>
          </rPr>
          <t>quarterized number</t>
        </r>
      </text>
    </comment>
    <comment ref="I222" authorId="2" shapeId="0" xr:uid="{4FACF7B4-7E6D-4BBA-8AC1-F61C4B4E4C66}">
      <text>
        <r>
          <rPr>
            <sz val="11"/>
            <color theme="1"/>
            <rFont val="Calibri"/>
            <family val="2"/>
            <scheme val="minor"/>
          </rPr>
          <t>quarterized number</t>
        </r>
      </text>
    </comment>
    <comment ref="J222" authorId="2" shapeId="0" xr:uid="{5E00D474-5B9A-4B65-9859-B2C3FE155141}">
      <text>
        <r>
          <rPr>
            <sz val="11"/>
            <color theme="1"/>
            <rFont val="Calibri"/>
            <family val="2"/>
            <scheme val="minor"/>
          </rPr>
          <t>Period from February 1,2020 through December 31,2020
quarterized number</t>
        </r>
      </text>
    </comment>
    <comment ref="L222" authorId="2" shapeId="0" xr:uid="{810F2904-FF8C-4BB9-A85F-92CF7470E304}">
      <text>
        <r>
          <rPr>
            <sz val="11"/>
            <color theme="1"/>
            <rFont val="Calibri"/>
            <family val="2"/>
            <scheme val="minor"/>
          </rPr>
          <t>quarterized number</t>
        </r>
      </text>
    </comment>
    <comment ref="M222" authorId="2" shapeId="0" xr:uid="{ED72D8CF-F89C-48A0-9177-26191461344B}">
      <text>
        <r>
          <rPr>
            <sz val="11"/>
            <color theme="1"/>
            <rFont val="Calibri"/>
            <family val="2"/>
            <scheme val="minor"/>
          </rPr>
          <t>quarterized number</t>
        </r>
      </text>
    </comment>
    <comment ref="N222" authorId="2" shapeId="0" xr:uid="{9F10417E-792C-4989-96E8-305523F3BA88}">
      <text>
        <r>
          <rPr>
            <sz val="11"/>
            <color theme="1"/>
            <rFont val="Calibri"/>
            <family val="2"/>
            <scheme val="minor"/>
          </rPr>
          <t>quarterized number</t>
        </r>
      </text>
    </comment>
    <comment ref="P222" authorId="2" shapeId="0" xr:uid="{55A1F376-86D6-481C-BACB-300B5E797544}">
      <text>
        <r>
          <rPr>
            <sz val="11"/>
            <color theme="1"/>
            <rFont val="Calibri"/>
            <family val="2"/>
            <scheme val="minor"/>
          </rPr>
          <t>quarterized number</t>
        </r>
      </text>
    </comment>
    <comment ref="F223" authorId="2" shapeId="0" xr:uid="{10F92EF8-4026-4988-9E84-D2F60163B0E6}">
      <text>
        <r>
          <rPr>
            <sz val="11"/>
            <color theme="1"/>
            <rFont val="Calibri"/>
            <family val="2"/>
            <scheme val="minor"/>
          </rPr>
          <t>Predecessor data 
year to date number</t>
        </r>
      </text>
    </comment>
    <comment ref="G223" authorId="0" shapeId="0" xr:uid="{5DF061A0-009A-4D13-88BC-DCCDCAFA5DC0}">
      <text>
        <r>
          <rPr>
            <sz val="11"/>
            <color theme="1"/>
            <rFont val="Calibri"/>
            <family val="2"/>
            <scheme val="minor"/>
          </rPr>
          <t xml:space="preserve">Period from February 1,2020 through March 31,2020
</t>
        </r>
      </text>
    </comment>
    <comment ref="H223" authorId="2" shapeId="0" xr:uid="{91DF9706-A20B-47FC-82CF-F36859C3EE0D}">
      <text>
        <r>
          <rPr>
            <sz val="11"/>
            <color theme="1"/>
            <rFont val="Calibri"/>
            <family val="2"/>
            <scheme val="minor"/>
          </rPr>
          <t>quarterized number</t>
        </r>
      </text>
    </comment>
    <comment ref="I223" authorId="2" shapeId="0" xr:uid="{0FBC3EDA-6C93-4385-8FE1-55F57563D013}">
      <text>
        <r>
          <rPr>
            <sz val="11"/>
            <color theme="1"/>
            <rFont val="Calibri"/>
            <family val="2"/>
            <scheme val="minor"/>
          </rPr>
          <t>quarterized number</t>
        </r>
      </text>
    </comment>
    <comment ref="J223" authorId="2" shapeId="0" xr:uid="{9FB6A6D7-3184-46C0-AC1C-F2DB76510B57}">
      <text>
        <r>
          <rPr>
            <sz val="11"/>
            <color theme="1"/>
            <rFont val="Calibri"/>
            <family val="2"/>
            <scheme val="minor"/>
          </rPr>
          <t>Period from February 1,2020 through December 31,2020
quarterized number</t>
        </r>
      </text>
    </comment>
    <comment ref="L223" authorId="2" shapeId="0" xr:uid="{07DBB19A-8687-4A75-9C9A-53EF1032449B}">
      <text>
        <r>
          <rPr>
            <sz val="11"/>
            <color theme="1"/>
            <rFont val="Calibri"/>
            <family val="2"/>
            <scheme val="minor"/>
          </rPr>
          <t>quarterized number</t>
        </r>
      </text>
    </comment>
    <comment ref="M223" authorId="2" shapeId="0" xr:uid="{1B91E877-33F4-484F-82DA-1232A1846AEC}">
      <text>
        <r>
          <rPr>
            <sz val="11"/>
            <color theme="1"/>
            <rFont val="Calibri"/>
            <family val="2"/>
            <scheme val="minor"/>
          </rPr>
          <t>quarterized number</t>
        </r>
      </text>
    </comment>
    <comment ref="N223" authorId="2" shapeId="0" xr:uid="{FF8EF9B6-FB8F-4239-8577-6F85726143DE}">
      <text>
        <r>
          <rPr>
            <sz val="11"/>
            <color theme="1"/>
            <rFont val="Calibri"/>
            <family val="2"/>
            <scheme val="minor"/>
          </rPr>
          <t>quarterized number</t>
        </r>
      </text>
    </comment>
    <comment ref="P223" authorId="2" shapeId="0" xr:uid="{F9116F08-3EB4-4284-B992-F1F70751B9C8}">
      <text>
        <r>
          <rPr>
            <sz val="11"/>
            <color theme="1"/>
            <rFont val="Calibri"/>
            <family val="2"/>
            <scheme val="minor"/>
          </rPr>
          <t>quarterized number</t>
        </r>
      </text>
    </comment>
    <comment ref="F224" authorId="2" shapeId="0" xr:uid="{169F53A9-6F29-438D-B633-4A5360B9ADE2}">
      <text>
        <r>
          <rPr>
            <sz val="11"/>
            <color theme="1"/>
            <rFont val="Calibri"/>
            <family val="2"/>
            <scheme val="minor"/>
          </rPr>
          <t>Predecessor data 
year to date number</t>
        </r>
      </text>
    </comment>
    <comment ref="G224" authorId="0" shapeId="0" xr:uid="{A5CB70CC-213A-4748-A37B-D500DFEEC424}">
      <text>
        <r>
          <rPr>
            <sz val="11"/>
            <color theme="1"/>
            <rFont val="Calibri"/>
            <family val="2"/>
            <scheme val="minor"/>
          </rPr>
          <t xml:space="preserve">Period from February 1,2020 through March 31,2020
</t>
        </r>
      </text>
    </comment>
    <comment ref="H224" authorId="2" shapeId="0" xr:uid="{9C0AF32B-AB94-4D86-92B2-B9A02A143E6D}">
      <text>
        <r>
          <rPr>
            <sz val="11"/>
            <color theme="1"/>
            <rFont val="Calibri"/>
            <family val="2"/>
            <scheme val="minor"/>
          </rPr>
          <t>quarterized number</t>
        </r>
      </text>
    </comment>
    <comment ref="I224" authorId="2" shapeId="0" xr:uid="{5FFACB5B-252D-4A95-990F-46E2417822B2}">
      <text>
        <r>
          <rPr>
            <sz val="11"/>
            <color theme="1"/>
            <rFont val="Calibri"/>
            <family val="2"/>
            <scheme val="minor"/>
          </rPr>
          <t>quarterized number</t>
        </r>
      </text>
    </comment>
    <comment ref="J224" authorId="2" shapeId="0" xr:uid="{8C366938-C9FA-41C3-AF14-773941F0DC7C}">
      <text>
        <r>
          <rPr>
            <sz val="11"/>
            <color theme="1"/>
            <rFont val="Calibri"/>
            <family val="2"/>
            <scheme val="minor"/>
          </rPr>
          <t>Period from February 1,2020 through December 31,2020
quarterized number</t>
        </r>
      </text>
    </comment>
    <comment ref="L224" authorId="2" shapeId="0" xr:uid="{B5B9E534-4F88-48BF-BF81-D901D35109F4}">
      <text>
        <r>
          <rPr>
            <sz val="11"/>
            <color theme="1"/>
            <rFont val="Calibri"/>
            <family val="2"/>
            <scheme val="minor"/>
          </rPr>
          <t>quarterized number</t>
        </r>
      </text>
    </comment>
    <comment ref="M224" authorId="2" shapeId="0" xr:uid="{1498DD98-7022-48AD-A23D-2F049BC18219}">
      <text>
        <r>
          <rPr>
            <sz val="11"/>
            <color theme="1"/>
            <rFont val="Calibri"/>
            <family val="2"/>
            <scheme val="minor"/>
          </rPr>
          <t>quarterized number</t>
        </r>
      </text>
    </comment>
    <comment ref="N224" authorId="2" shapeId="0" xr:uid="{5B7CB940-D891-41F8-8CFD-CAB9AF7A4612}">
      <text>
        <r>
          <rPr>
            <sz val="11"/>
            <color theme="1"/>
            <rFont val="Calibri"/>
            <family val="2"/>
            <scheme val="minor"/>
          </rPr>
          <t>quarterized number</t>
        </r>
      </text>
    </comment>
    <comment ref="P224" authorId="2" shapeId="0" xr:uid="{44820E53-283F-471B-8975-80D82CC3EEDC}">
      <text>
        <r>
          <rPr>
            <sz val="11"/>
            <color theme="1"/>
            <rFont val="Calibri"/>
            <family val="2"/>
            <scheme val="minor"/>
          </rPr>
          <t>quarterized number</t>
        </r>
      </text>
    </comment>
    <comment ref="P225" authorId="2" shapeId="0" xr:uid="{9DF23387-2EF9-49B5-9FFF-DFD1A17502C4}">
      <text>
        <r>
          <rPr>
            <sz val="11"/>
            <color theme="1"/>
            <rFont val="Calibri"/>
            <family val="2"/>
            <scheme val="minor"/>
          </rPr>
          <t>quarterized number</t>
        </r>
      </text>
    </comment>
    <comment ref="F226" authorId="2" shapeId="0" xr:uid="{940083C4-B5E1-419B-AD9A-8E734E5759C7}">
      <text>
        <r>
          <rPr>
            <sz val="11"/>
            <color theme="1"/>
            <rFont val="Calibri"/>
            <family val="2"/>
            <scheme val="minor"/>
          </rPr>
          <t>Predecessor data 
year to date number</t>
        </r>
      </text>
    </comment>
    <comment ref="G226" authorId="0" shapeId="0" xr:uid="{C59ABBA7-B096-4DDC-8C36-BD1BAA09CE58}">
      <text>
        <r>
          <rPr>
            <sz val="11"/>
            <color theme="1"/>
            <rFont val="Calibri"/>
            <family val="2"/>
            <scheme val="minor"/>
          </rPr>
          <t xml:space="preserve">Period from February 1,2020 through March 31,2020
</t>
        </r>
      </text>
    </comment>
    <comment ref="H226" authorId="2" shapeId="0" xr:uid="{F4C87F0A-CD85-4FA9-B002-019B24199DF2}">
      <text>
        <r>
          <rPr>
            <sz val="11"/>
            <color theme="1"/>
            <rFont val="Calibri"/>
            <family val="2"/>
            <scheme val="minor"/>
          </rPr>
          <t>quarterized number</t>
        </r>
      </text>
    </comment>
    <comment ref="I226" authorId="2" shapeId="0" xr:uid="{0038133E-EA84-4EED-8C4E-BB296302BB74}">
      <text>
        <r>
          <rPr>
            <sz val="11"/>
            <color theme="1"/>
            <rFont val="Calibri"/>
            <family val="2"/>
            <scheme val="minor"/>
          </rPr>
          <t>quarterized number</t>
        </r>
      </text>
    </comment>
    <comment ref="J226" authorId="2" shapeId="0" xr:uid="{4E2A87D2-6C11-4AB0-BB58-3CA1BFA12BAD}">
      <text>
        <r>
          <rPr>
            <sz val="11"/>
            <color theme="1"/>
            <rFont val="Calibri"/>
            <family val="2"/>
            <scheme val="minor"/>
          </rPr>
          <t>Period from February 1,2020 through December 31,2020
quarterized number</t>
        </r>
      </text>
    </comment>
    <comment ref="L226" authorId="2" shapeId="0" xr:uid="{A5C89B2C-30F4-4A5C-94DC-80542FC4F1A6}">
      <text>
        <r>
          <rPr>
            <sz val="11"/>
            <color theme="1"/>
            <rFont val="Calibri"/>
            <family val="2"/>
            <scheme val="minor"/>
          </rPr>
          <t>quarterized number</t>
        </r>
      </text>
    </comment>
    <comment ref="M226" authorId="2" shapeId="0" xr:uid="{30FA7992-DD3D-45EE-B3DF-32E8613FBC21}">
      <text>
        <r>
          <rPr>
            <sz val="11"/>
            <color theme="1"/>
            <rFont val="Calibri"/>
            <family val="2"/>
            <scheme val="minor"/>
          </rPr>
          <t>quarterized number</t>
        </r>
      </text>
    </comment>
    <comment ref="N226" authorId="2" shapeId="0" xr:uid="{96429CAA-E17D-4808-B862-5C2350216CFA}">
      <text>
        <r>
          <rPr>
            <sz val="11"/>
            <color theme="1"/>
            <rFont val="Calibri"/>
            <family val="2"/>
            <scheme val="minor"/>
          </rPr>
          <t>quarterized number</t>
        </r>
      </text>
    </comment>
    <comment ref="P226" authorId="2" shapeId="0" xr:uid="{70662EE9-A587-489A-A55E-48CF36EAFFB4}">
      <text>
        <r>
          <rPr>
            <sz val="11"/>
            <color theme="1"/>
            <rFont val="Calibri"/>
            <family val="2"/>
            <scheme val="minor"/>
          </rPr>
          <t>quarterized number</t>
        </r>
      </text>
    </comment>
    <comment ref="F227" authorId="2" shapeId="0" xr:uid="{5F4B7294-C6F7-4005-A5B8-E01F1354B5F4}">
      <text>
        <r>
          <rPr>
            <sz val="11"/>
            <color theme="1"/>
            <rFont val="Calibri"/>
            <family val="2"/>
            <scheme val="minor"/>
          </rPr>
          <t>Predecessor data 
year to date number</t>
        </r>
      </text>
    </comment>
    <comment ref="G227" authorId="0" shapeId="0" xr:uid="{0CC08648-372A-4E17-9A5D-D05C8FBB54EA}">
      <text>
        <r>
          <rPr>
            <sz val="11"/>
            <color theme="1"/>
            <rFont val="Calibri"/>
            <family val="2"/>
            <scheme val="minor"/>
          </rPr>
          <t xml:space="preserve">Period from February 1,2020 through March 31,2020
</t>
        </r>
      </text>
    </comment>
    <comment ref="H227" authorId="2" shapeId="0" xr:uid="{BBD74FEF-3166-4587-B1AF-488EE6A20561}">
      <text>
        <r>
          <rPr>
            <sz val="11"/>
            <color theme="1"/>
            <rFont val="Calibri"/>
            <family val="2"/>
            <scheme val="minor"/>
          </rPr>
          <t>quarterized number</t>
        </r>
      </text>
    </comment>
    <comment ref="I227" authorId="2" shapeId="0" xr:uid="{2E42854A-60A3-4B87-8A6D-8524BAA11099}">
      <text>
        <r>
          <rPr>
            <sz val="11"/>
            <color theme="1"/>
            <rFont val="Calibri"/>
            <family val="2"/>
            <scheme val="minor"/>
          </rPr>
          <t>quarterized number</t>
        </r>
      </text>
    </comment>
    <comment ref="J227" authorId="2" shapeId="0" xr:uid="{0AC520ED-60CE-4DBB-A943-CF766FBFDB51}">
      <text>
        <r>
          <rPr>
            <sz val="11"/>
            <color theme="1"/>
            <rFont val="Calibri"/>
            <family val="2"/>
            <scheme val="minor"/>
          </rPr>
          <t>Period from February 1,2020 through December 31,2020
quarterized number</t>
        </r>
      </text>
    </comment>
    <comment ref="L227" authorId="2" shapeId="0" xr:uid="{AA3E2D68-9381-4A4A-BE4F-31932854118E}">
      <text>
        <r>
          <rPr>
            <sz val="11"/>
            <color theme="1"/>
            <rFont val="Calibri"/>
            <family val="2"/>
            <scheme val="minor"/>
          </rPr>
          <t>quarterized number</t>
        </r>
      </text>
    </comment>
    <comment ref="M227" authorId="2" shapeId="0" xr:uid="{7F0F8FD1-DAC9-4371-81D5-7A770D105807}">
      <text>
        <r>
          <rPr>
            <sz val="11"/>
            <color theme="1"/>
            <rFont val="Calibri"/>
            <family val="2"/>
            <scheme val="minor"/>
          </rPr>
          <t>quarterized number</t>
        </r>
      </text>
    </comment>
    <comment ref="N227" authorId="2" shapeId="0" xr:uid="{DE51E275-42F1-4A4D-805B-E774629308F1}">
      <text>
        <r>
          <rPr>
            <sz val="11"/>
            <color theme="1"/>
            <rFont val="Calibri"/>
            <family val="2"/>
            <scheme val="minor"/>
          </rPr>
          <t>quarterized number</t>
        </r>
      </text>
    </comment>
    <comment ref="P227" authorId="2" shapeId="0" xr:uid="{89EB7039-9207-4E6D-A2C8-633D9DA8A67D}">
      <text>
        <r>
          <rPr>
            <sz val="11"/>
            <color theme="1"/>
            <rFont val="Calibri"/>
            <family val="2"/>
            <scheme val="minor"/>
          </rPr>
          <t>quarterized number</t>
        </r>
      </text>
    </comment>
    <comment ref="C228" authorId="1" shapeId="0" xr:uid="{AE1154CE-F545-43ED-9429-FF8A8EF2C187}">
      <text>
        <r>
          <rPr>
            <sz val="11"/>
            <color theme="1"/>
            <rFont val="Calibri"/>
            <family val="2"/>
            <scheme val="minor"/>
          </rPr>
          <t>Predecessor data</t>
        </r>
      </text>
    </comment>
    <comment ref="D228" authorId="2" shapeId="0" xr:uid="{C728709C-12F6-4058-BEF3-84228F005B78}">
      <text>
        <r>
          <rPr>
            <sz val="11"/>
            <color theme="1"/>
            <rFont val="Calibri"/>
            <family val="2"/>
            <scheme val="minor"/>
          </rPr>
          <t>Predecessor data
quarterized number</t>
        </r>
      </text>
    </comment>
    <comment ref="E228" authorId="2" shapeId="0" xr:uid="{6FF73296-FC50-41BA-A50C-C9C9062B5677}">
      <text>
        <r>
          <rPr>
            <sz val="11"/>
            <color theme="1"/>
            <rFont val="Calibri"/>
            <family val="2"/>
            <scheme val="minor"/>
          </rPr>
          <t>Predecessor data
quarterized number</t>
        </r>
      </text>
    </comment>
    <comment ref="F228" authorId="2" shapeId="0" xr:uid="{C0EF6764-19E2-4F51-B0DE-BBD8CEBD81B9}">
      <text>
        <r>
          <rPr>
            <sz val="11"/>
            <color theme="1"/>
            <rFont val="Calibri"/>
            <family val="2"/>
            <scheme val="minor"/>
          </rPr>
          <t>Predecessor data 
quarterized number</t>
        </r>
      </text>
    </comment>
    <comment ref="G228" authorId="0" shapeId="0" xr:uid="{FBD31765-EBB1-4126-8B15-560224690874}">
      <text>
        <r>
          <rPr>
            <sz val="11"/>
            <color theme="1"/>
            <rFont val="Calibri"/>
            <family val="2"/>
            <scheme val="minor"/>
          </rPr>
          <t xml:space="preserve">Period from February 1,2020 through March 31,2020
</t>
        </r>
      </text>
    </comment>
    <comment ref="H228" authorId="2" shapeId="0" xr:uid="{B1008747-0327-4141-A41D-0BE8F9002E29}">
      <text>
        <r>
          <rPr>
            <sz val="11"/>
            <color theme="1"/>
            <rFont val="Calibri"/>
            <family val="2"/>
            <scheme val="minor"/>
          </rPr>
          <t>quarterized number</t>
        </r>
      </text>
    </comment>
    <comment ref="I228" authorId="2" shapeId="0" xr:uid="{9D31DA8A-D56F-4C07-A33B-2178BD3B1550}">
      <text>
        <r>
          <rPr>
            <sz val="11"/>
            <color theme="1"/>
            <rFont val="Calibri"/>
            <family val="2"/>
            <scheme val="minor"/>
          </rPr>
          <t>quarterized number</t>
        </r>
      </text>
    </comment>
    <comment ref="J228" authorId="2" shapeId="0" xr:uid="{CBB67DB9-1971-4D88-B1C1-D71A5E0CE4F1}">
      <text>
        <r>
          <rPr>
            <sz val="11"/>
            <color theme="1"/>
            <rFont val="Calibri"/>
            <family val="2"/>
            <scheme val="minor"/>
          </rPr>
          <t>Period from February 1,2020 through December 31,2020
quarterized number</t>
        </r>
      </text>
    </comment>
    <comment ref="L228" authorId="2" shapeId="0" xr:uid="{95DA1D57-5B14-4356-AD8D-F99A6CAF2D92}">
      <text>
        <r>
          <rPr>
            <sz val="11"/>
            <color theme="1"/>
            <rFont val="Calibri"/>
            <family val="2"/>
            <scheme val="minor"/>
          </rPr>
          <t>quarterized number</t>
        </r>
      </text>
    </comment>
    <comment ref="M228" authorId="2" shapeId="0" xr:uid="{81D4394F-9102-4133-B9A1-A21FC77A2BBE}">
      <text>
        <r>
          <rPr>
            <sz val="11"/>
            <color theme="1"/>
            <rFont val="Calibri"/>
            <family val="2"/>
            <scheme val="minor"/>
          </rPr>
          <t>quarterized number</t>
        </r>
      </text>
    </comment>
    <comment ref="N228" authorId="2" shapeId="0" xr:uid="{60474EA2-3E4A-4E34-BECC-80F712229EF5}">
      <text>
        <r>
          <rPr>
            <sz val="11"/>
            <color theme="1"/>
            <rFont val="Calibri"/>
            <family val="2"/>
            <scheme val="minor"/>
          </rPr>
          <t>quarterized number</t>
        </r>
      </text>
    </comment>
    <comment ref="P228" authorId="2" shapeId="0" xr:uid="{41203E74-A368-4C38-8798-E187005D20E5}">
      <text>
        <r>
          <rPr>
            <sz val="11"/>
            <color theme="1"/>
            <rFont val="Calibri"/>
            <family val="2"/>
            <scheme val="minor"/>
          </rPr>
          <t>quarterized number</t>
        </r>
      </text>
    </comment>
    <comment ref="F231" authorId="2" shapeId="0" xr:uid="{52EEF706-1D82-44DA-A674-D08B5D2C4A98}">
      <text>
        <r>
          <rPr>
            <sz val="11"/>
            <color theme="1"/>
            <rFont val="Calibri"/>
            <family val="2"/>
            <scheme val="minor"/>
          </rPr>
          <t>Predecessor data 
year to date number</t>
        </r>
      </text>
    </comment>
    <comment ref="G231" authorId="0" shapeId="0" xr:uid="{1099980A-30AA-418F-8518-69D1E90AB6BB}">
      <text>
        <r>
          <rPr>
            <sz val="11"/>
            <color theme="1"/>
            <rFont val="Calibri"/>
            <family val="2"/>
            <scheme val="minor"/>
          </rPr>
          <t xml:space="preserve">Period from February 1,2020 through March 31,2020
</t>
        </r>
      </text>
    </comment>
    <comment ref="H231" authorId="2" shapeId="0" xr:uid="{FF15C951-E65D-44D3-B126-EFFDE2022C7D}">
      <text>
        <r>
          <rPr>
            <sz val="11"/>
            <color theme="1"/>
            <rFont val="Calibri"/>
            <family val="2"/>
            <scheme val="minor"/>
          </rPr>
          <t>quarterized number</t>
        </r>
      </text>
    </comment>
    <comment ref="I231" authorId="2" shapeId="0" xr:uid="{8D0137FE-AC8E-4A50-A6A5-C092330DFE73}">
      <text>
        <r>
          <rPr>
            <sz val="11"/>
            <color theme="1"/>
            <rFont val="Calibri"/>
            <family val="2"/>
            <scheme val="minor"/>
          </rPr>
          <t>quarterized number</t>
        </r>
      </text>
    </comment>
    <comment ref="J231" authorId="2" shapeId="0" xr:uid="{88F924FE-7D78-4167-A15C-4DA0F323B275}">
      <text>
        <r>
          <rPr>
            <sz val="11"/>
            <color theme="1"/>
            <rFont val="Calibri"/>
            <family val="2"/>
            <scheme val="minor"/>
          </rPr>
          <t>Period from February 1,2020 through December 31,2020
quarterized number</t>
        </r>
      </text>
    </comment>
    <comment ref="L231" authorId="2" shapeId="0" xr:uid="{280BCDF3-8055-411C-A486-19F955F7FC21}">
      <text>
        <r>
          <rPr>
            <sz val="11"/>
            <color theme="1"/>
            <rFont val="Calibri"/>
            <family val="2"/>
            <scheme val="minor"/>
          </rPr>
          <t>quarterized number</t>
        </r>
      </text>
    </comment>
    <comment ref="M231" authorId="2" shapeId="0" xr:uid="{2C1D3A7A-51A6-4EC7-A51E-8CFD95E117C1}">
      <text>
        <r>
          <rPr>
            <sz val="11"/>
            <color theme="1"/>
            <rFont val="Calibri"/>
            <family val="2"/>
            <scheme val="minor"/>
          </rPr>
          <t>quarterized number</t>
        </r>
      </text>
    </comment>
    <comment ref="N231" authorId="2" shapeId="0" xr:uid="{7B1C4C27-E52B-4BC6-BA49-7A6381392E18}">
      <text>
        <r>
          <rPr>
            <sz val="11"/>
            <color theme="1"/>
            <rFont val="Calibri"/>
            <family val="2"/>
            <scheme val="minor"/>
          </rPr>
          <t>quarterized number</t>
        </r>
      </text>
    </comment>
    <comment ref="L232" authorId="2" shapeId="0" xr:uid="{26232670-9434-49CB-A6EC-E08D8C1B72D2}">
      <text>
        <r>
          <rPr>
            <sz val="11"/>
            <color theme="1"/>
            <rFont val="Calibri"/>
            <family val="2"/>
            <scheme val="minor"/>
          </rPr>
          <t>quarterized number</t>
        </r>
      </text>
    </comment>
    <comment ref="M232" authorId="2" shapeId="0" xr:uid="{422F48C4-6EFB-43B5-8D71-3B7DBEC8E048}">
      <text>
        <r>
          <rPr>
            <sz val="11"/>
            <color theme="1"/>
            <rFont val="Calibri"/>
            <family val="2"/>
            <scheme val="minor"/>
          </rPr>
          <t>quarterized number</t>
        </r>
      </text>
    </comment>
    <comment ref="N232" authorId="2" shapeId="0" xr:uid="{D6583F17-059D-4051-9B54-A766954A1598}">
      <text>
        <r>
          <rPr>
            <sz val="11"/>
            <color theme="1"/>
            <rFont val="Calibri"/>
            <family val="2"/>
            <scheme val="minor"/>
          </rPr>
          <t>quarterized number</t>
        </r>
      </text>
    </comment>
    <comment ref="P232" authorId="2" shapeId="0" xr:uid="{AB63FC97-9BF1-4651-898C-902C5527F1A2}">
      <text>
        <r>
          <rPr>
            <sz val="11"/>
            <color theme="1"/>
            <rFont val="Calibri"/>
            <family val="2"/>
            <scheme val="minor"/>
          </rPr>
          <t>quarterized number</t>
        </r>
      </text>
    </comment>
    <comment ref="F233" authorId="2" shapeId="0" xr:uid="{CD96C8A9-EEFB-4D06-B0F7-D442273C000F}">
      <text>
        <r>
          <rPr>
            <sz val="11"/>
            <color theme="1"/>
            <rFont val="Calibri"/>
            <family val="2"/>
            <scheme val="minor"/>
          </rPr>
          <t>Predecessor data 
year to date number</t>
        </r>
      </text>
    </comment>
    <comment ref="P233" authorId="2" shapeId="0" xr:uid="{A414F4BF-083E-4D32-8543-041A152DB817}">
      <text>
        <r>
          <rPr>
            <sz val="11"/>
            <color theme="1"/>
            <rFont val="Calibri"/>
            <family val="2"/>
            <scheme val="minor"/>
          </rPr>
          <t>quarterized number</t>
        </r>
      </text>
    </comment>
    <comment ref="F234" authorId="2" shapeId="0" xr:uid="{41EAB6F2-8D94-49B3-BC16-B0AA26C8B114}">
      <text>
        <r>
          <rPr>
            <sz val="11"/>
            <color theme="1"/>
            <rFont val="Calibri"/>
            <family val="2"/>
            <scheme val="minor"/>
          </rPr>
          <t>Predecessor data 
year to date number</t>
        </r>
      </text>
    </comment>
    <comment ref="G234" authorId="0" shapeId="0" xr:uid="{483EF4BA-4095-4999-976C-F0FF9A138326}">
      <text>
        <r>
          <rPr>
            <sz val="11"/>
            <color theme="1"/>
            <rFont val="Calibri"/>
            <family val="2"/>
            <scheme val="minor"/>
          </rPr>
          <t xml:space="preserve">Period from February 1,2020 through March 31,2020
</t>
        </r>
      </text>
    </comment>
    <comment ref="H234" authorId="2" shapeId="0" xr:uid="{35D5B4D6-CF37-4394-8660-7BFE05A51454}">
      <text>
        <r>
          <rPr>
            <sz val="11"/>
            <color theme="1"/>
            <rFont val="Calibri"/>
            <family val="2"/>
            <scheme val="minor"/>
          </rPr>
          <t>quarterized number</t>
        </r>
      </text>
    </comment>
    <comment ref="I234" authorId="2" shapeId="0" xr:uid="{A3F2F7B5-24CF-4BB8-9DE0-213B405B4FB4}">
      <text>
        <r>
          <rPr>
            <sz val="11"/>
            <color theme="1"/>
            <rFont val="Calibri"/>
            <family val="2"/>
            <scheme val="minor"/>
          </rPr>
          <t>quarterized number</t>
        </r>
      </text>
    </comment>
    <comment ref="J234" authorId="2" shapeId="0" xr:uid="{2C548350-89B5-4657-B8FE-8251E3BF261F}">
      <text>
        <r>
          <rPr>
            <sz val="11"/>
            <color theme="1"/>
            <rFont val="Calibri"/>
            <family val="2"/>
            <scheme val="minor"/>
          </rPr>
          <t>Period from February 1,2020 through December 31,2020
quarterized number</t>
        </r>
      </text>
    </comment>
    <comment ref="L234" authorId="2" shapeId="0" xr:uid="{96B5FE1C-9171-4342-81EF-D8638D128D7E}">
      <text>
        <r>
          <rPr>
            <sz val="11"/>
            <color theme="1"/>
            <rFont val="Calibri"/>
            <family val="2"/>
            <scheme val="minor"/>
          </rPr>
          <t>quarterized number</t>
        </r>
      </text>
    </comment>
    <comment ref="M234" authorId="2" shapeId="0" xr:uid="{1A0D7AE7-F6CF-4D01-A4A6-69949C23E913}">
      <text>
        <r>
          <rPr>
            <sz val="11"/>
            <color theme="1"/>
            <rFont val="Calibri"/>
            <family val="2"/>
            <scheme val="minor"/>
          </rPr>
          <t>quarterized number</t>
        </r>
      </text>
    </comment>
    <comment ref="N234" authorId="2" shapeId="0" xr:uid="{0A6761AB-EDFE-4582-9ADB-0084214BA8A6}">
      <text>
        <r>
          <rPr>
            <sz val="11"/>
            <color theme="1"/>
            <rFont val="Calibri"/>
            <family val="2"/>
            <scheme val="minor"/>
          </rPr>
          <t>quarterized number</t>
        </r>
      </text>
    </comment>
    <comment ref="P234" authorId="2" shapeId="0" xr:uid="{2827A01D-5B5C-4303-BF21-02DDF9F3EA48}">
      <text>
        <r>
          <rPr>
            <sz val="11"/>
            <color theme="1"/>
            <rFont val="Calibri"/>
            <family val="2"/>
            <scheme val="minor"/>
          </rPr>
          <t>quarterized number</t>
        </r>
      </text>
    </comment>
    <comment ref="F235" authorId="2" shapeId="0" xr:uid="{2E195FAC-F727-4588-9908-62C168D919E2}">
      <text>
        <r>
          <rPr>
            <sz val="11"/>
            <color theme="1"/>
            <rFont val="Calibri"/>
            <family val="2"/>
            <scheme val="minor"/>
          </rPr>
          <t>Predecessor data 
year to date number</t>
        </r>
      </text>
    </comment>
    <comment ref="G235" authorId="0" shapeId="0" xr:uid="{5643E525-870E-4485-BAB7-1F26473E80B6}">
      <text>
        <r>
          <rPr>
            <sz val="11"/>
            <color theme="1"/>
            <rFont val="Calibri"/>
            <family val="2"/>
            <scheme val="minor"/>
          </rPr>
          <t xml:space="preserve">Period from February 1,2020 through March 31,2020
</t>
        </r>
      </text>
    </comment>
    <comment ref="H235" authorId="2" shapeId="0" xr:uid="{6A0BEB20-DBA0-4117-A005-89A0B37817E7}">
      <text>
        <r>
          <rPr>
            <sz val="11"/>
            <color theme="1"/>
            <rFont val="Calibri"/>
            <family val="2"/>
            <scheme val="minor"/>
          </rPr>
          <t>quarterized number</t>
        </r>
      </text>
    </comment>
    <comment ref="I235" authorId="2" shapeId="0" xr:uid="{51BC40FD-16B2-4AAD-BD5A-62235A48C050}">
      <text>
        <r>
          <rPr>
            <sz val="11"/>
            <color theme="1"/>
            <rFont val="Calibri"/>
            <family val="2"/>
            <scheme val="minor"/>
          </rPr>
          <t>quarterized number</t>
        </r>
      </text>
    </comment>
    <comment ref="J235" authorId="2" shapeId="0" xr:uid="{5EFB1F9E-4DF6-4A2F-BC41-333185F4BA2B}">
      <text>
        <r>
          <rPr>
            <sz val="11"/>
            <color theme="1"/>
            <rFont val="Calibri"/>
            <family val="2"/>
            <scheme val="minor"/>
          </rPr>
          <t>Period from February 1,2020 through December 31,2020
quarterized number</t>
        </r>
      </text>
    </comment>
    <comment ref="L235" authorId="2" shapeId="0" xr:uid="{D2529B4D-8B7D-4B8A-B89D-520E243CAFE3}">
      <text>
        <r>
          <rPr>
            <sz val="11"/>
            <color theme="1"/>
            <rFont val="Calibri"/>
            <family val="2"/>
            <scheme val="minor"/>
          </rPr>
          <t>quarterized number</t>
        </r>
      </text>
    </comment>
    <comment ref="M235" authorId="2" shapeId="0" xr:uid="{63BD2BAF-12ED-4BA5-8A86-885FE09AFA89}">
      <text>
        <r>
          <rPr>
            <sz val="11"/>
            <color theme="1"/>
            <rFont val="Calibri"/>
            <family val="2"/>
            <scheme val="minor"/>
          </rPr>
          <t>quarterized number</t>
        </r>
      </text>
    </comment>
    <comment ref="N235" authorId="2" shapeId="0" xr:uid="{14850355-EE4E-42F7-9C85-5529CED92EEF}">
      <text>
        <r>
          <rPr>
            <sz val="11"/>
            <color theme="1"/>
            <rFont val="Calibri"/>
            <family val="2"/>
            <scheme val="minor"/>
          </rPr>
          <t>quarterized number</t>
        </r>
      </text>
    </comment>
    <comment ref="P235" authorId="2" shapeId="0" xr:uid="{C0583F60-87BC-4D4F-9189-49A86DD1BD2E}">
      <text>
        <r>
          <rPr>
            <sz val="11"/>
            <color theme="1"/>
            <rFont val="Calibri"/>
            <family val="2"/>
            <scheme val="minor"/>
          </rPr>
          <t>quarterized number</t>
        </r>
      </text>
    </comment>
    <comment ref="F236" authorId="2" shapeId="0" xr:uid="{65C1AC0E-C180-4F65-AF7D-7CC2F77DE61C}">
      <text>
        <r>
          <rPr>
            <sz val="11"/>
            <color theme="1"/>
            <rFont val="Calibri"/>
            <family val="2"/>
            <scheme val="minor"/>
          </rPr>
          <t>Predecessor data 
year to date number</t>
        </r>
      </text>
    </comment>
    <comment ref="G236" authorId="0" shapeId="0" xr:uid="{0B780522-CA09-4B59-82A9-2152E97D7108}">
      <text>
        <r>
          <rPr>
            <sz val="11"/>
            <color theme="1"/>
            <rFont val="Calibri"/>
            <family val="2"/>
            <scheme val="minor"/>
          </rPr>
          <t xml:space="preserve">Period from February 1,2020 through March 31,2020
</t>
        </r>
      </text>
    </comment>
    <comment ref="H236" authorId="2" shapeId="0" xr:uid="{5A891406-98EB-445B-AE3F-F8703DF7F920}">
      <text>
        <r>
          <rPr>
            <sz val="11"/>
            <color theme="1"/>
            <rFont val="Calibri"/>
            <family val="2"/>
            <scheme val="minor"/>
          </rPr>
          <t>quarterized number</t>
        </r>
      </text>
    </comment>
    <comment ref="I236" authorId="2" shapeId="0" xr:uid="{155044C4-294B-4EF8-B153-ABBC02C370DA}">
      <text>
        <r>
          <rPr>
            <sz val="11"/>
            <color theme="1"/>
            <rFont val="Calibri"/>
            <family val="2"/>
            <scheme val="minor"/>
          </rPr>
          <t>quarterized number</t>
        </r>
      </text>
    </comment>
    <comment ref="J236" authorId="2" shapeId="0" xr:uid="{A1390DB3-29F3-48D0-A4E6-8FD6BF630838}">
      <text>
        <r>
          <rPr>
            <sz val="11"/>
            <color theme="1"/>
            <rFont val="Calibri"/>
            <family val="2"/>
            <scheme val="minor"/>
          </rPr>
          <t>Period from February 1,2020 through December 31,2020
quarterized number</t>
        </r>
      </text>
    </comment>
    <comment ref="L236" authorId="2" shapeId="0" xr:uid="{2A8F9049-CBC3-48EF-8F90-4BDAE3A4FA94}">
      <text>
        <r>
          <rPr>
            <sz val="11"/>
            <color theme="1"/>
            <rFont val="Calibri"/>
            <family val="2"/>
            <scheme val="minor"/>
          </rPr>
          <t>quarterized number</t>
        </r>
      </text>
    </comment>
    <comment ref="M236" authorId="2" shapeId="0" xr:uid="{4A1B4147-0506-475C-937F-B8D49C21660D}">
      <text>
        <r>
          <rPr>
            <sz val="11"/>
            <color theme="1"/>
            <rFont val="Calibri"/>
            <family val="2"/>
            <scheme val="minor"/>
          </rPr>
          <t>quarterized number</t>
        </r>
      </text>
    </comment>
    <comment ref="N236" authorId="2" shapeId="0" xr:uid="{5FA6123E-CA12-4FFF-A31E-8AA32AFEE1F6}">
      <text>
        <r>
          <rPr>
            <sz val="11"/>
            <color theme="1"/>
            <rFont val="Calibri"/>
            <family val="2"/>
            <scheme val="minor"/>
          </rPr>
          <t>quarterized number</t>
        </r>
      </text>
    </comment>
    <comment ref="P236" authorId="2" shapeId="0" xr:uid="{CF56B44A-B46E-4724-B2DF-4D8BDF3C8BCD}">
      <text>
        <r>
          <rPr>
            <sz val="11"/>
            <color theme="1"/>
            <rFont val="Calibri"/>
            <family val="2"/>
            <scheme val="minor"/>
          </rPr>
          <t>quarterized number</t>
        </r>
      </text>
    </comment>
    <comment ref="L239" authorId="2" shapeId="0" xr:uid="{5C52131C-822B-4D0A-B049-F6E24FADB455}">
      <text>
        <r>
          <rPr>
            <sz val="11"/>
            <color theme="1"/>
            <rFont val="Calibri"/>
            <family val="2"/>
            <scheme val="minor"/>
          </rPr>
          <t>quarterized number</t>
        </r>
      </text>
    </comment>
    <comment ref="M239" authorId="2" shapeId="0" xr:uid="{B815EFF4-22A1-4A25-9681-DCD12C29B32D}">
      <text>
        <r>
          <rPr>
            <sz val="11"/>
            <color theme="1"/>
            <rFont val="Calibri"/>
            <family val="2"/>
            <scheme val="minor"/>
          </rPr>
          <t>quarterized number</t>
        </r>
      </text>
    </comment>
    <comment ref="N239" authorId="2" shapeId="0" xr:uid="{F160EBF4-B14B-412F-A2D6-5DC199A539D2}">
      <text>
        <r>
          <rPr>
            <sz val="11"/>
            <color theme="1"/>
            <rFont val="Calibri"/>
            <family val="2"/>
            <scheme val="minor"/>
          </rPr>
          <t>quarterized number</t>
        </r>
      </text>
    </comment>
    <comment ref="L240" authorId="2" shapeId="0" xr:uid="{E8FD4E1C-837F-4B29-A602-C9FF5440CC38}">
      <text>
        <r>
          <rPr>
            <sz val="11"/>
            <color theme="1"/>
            <rFont val="Calibri"/>
            <family val="2"/>
            <scheme val="minor"/>
          </rPr>
          <t>quarterized number</t>
        </r>
      </text>
    </comment>
    <comment ref="M240" authorId="2" shapeId="0" xr:uid="{F5D20074-2626-4CC6-BC24-DAD99411782B}">
      <text>
        <r>
          <rPr>
            <sz val="11"/>
            <color theme="1"/>
            <rFont val="Calibri"/>
            <family val="2"/>
            <scheme val="minor"/>
          </rPr>
          <t>quarterized number</t>
        </r>
      </text>
    </comment>
    <comment ref="N240" authorId="2" shapeId="0" xr:uid="{958DE687-EEAD-46B4-9CCB-A32F2DDA33F1}">
      <text>
        <r>
          <rPr>
            <sz val="11"/>
            <color theme="1"/>
            <rFont val="Calibri"/>
            <family val="2"/>
            <scheme val="minor"/>
          </rPr>
          <t>quarterized number</t>
        </r>
      </text>
    </comment>
    <comment ref="L241" authorId="2" shapeId="0" xr:uid="{0AF6B8C3-6970-460A-B33B-3489DFC319B8}">
      <text>
        <r>
          <rPr>
            <sz val="11"/>
            <color theme="1"/>
            <rFont val="Calibri"/>
            <family val="2"/>
            <scheme val="minor"/>
          </rPr>
          <t>quarterized number</t>
        </r>
      </text>
    </comment>
    <comment ref="M241" authorId="2" shapeId="0" xr:uid="{D2FE314B-183D-4084-8E25-1B6F073DB680}">
      <text>
        <r>
          <rPr>
            <sz val="11"/>
            <color theme="1"/>
            <rFont val="Calibri"/>
            <family val="2"/>
            <scheme val="minor"/>
          </rPr>
          <t>quarterized number</t>
        </r>
      </text>
    </comment>
    <comment ref="N241" authorId="2" shapeId="0" xr:uid="{0C86CD99-C812-481C-9133-ECB1862D2E69}">
      <text>
        <r>
          <rPr>
            <sz val="11"/>
            <color theme="1"/>
            <rFont val="Calibri"/>
            <family val="2"/>
            <scheme val="minor"/>
          </rPr>
          <t>quarterized number</t>
        </r>
      </text>
    </comment>
    <comment ref="G242" authorId="0" shapeId="0" xr:uid="{1B3A8FB4-6052-4F9D-B1F2-CD95CD98639C}">
      <text>
        <r>
          <rPr>
            <sz val="11"/>
            <color theme="1"/>
            <rFont val="Calibri"/>
            <family val="2"/>
            <scheme val="minor"/>
          </rPr>
          <t xml:space="preserve">Period from February 1,2020 through March 31,2020
</t>
        </r>
      </text>
    </comment>
    <comment ref="H242" authorId="2" shapeId="0" xr:uid="{05B5C1F6-B8A7-4712-B845-8ADA04EB5097}">
      <text>
        <r>
          <rPr>
            <sz val="11"/>
            <color theme="1"/>
            <rFont val="Calibri"/>
            <family val="2"/>
            <scheme val="minor"/>
          </rPr>
          <t>quarterized number</t>
        </r>
      </text>
    </comment>
    <comment ref="I242" authorId="2" shapeId="0" xr:uid="{471FA50F-6AA6-45D9-9817-C1C6101F99DF}">
      <text>
        <r>
          <rPr>
            <sz val="11"/>
            <color theme="1"/>
            <rFont val="Calibri"/>
            <family val="2"/>
            <scheme val="minor"/>
          </rPr>
          <t>quarterized number</t>
        </r>
      </text>
    </comment>
    <comment ref="J242" authorId="2" shapeId="0" xr:uid="{17DF73E6-F810-42D7-B709-4AA5243EC3E7}">
      <text>
        <r>
          <rPr>
            <sz val="11"/>
            <color theme="1"/>
            <rFont val="Calibri"/>
            <family val="2"/>
            <scheme val="minor"/>
          </rPr>
          <t>Period from February 1,2020 through December 31,2020
quarterized number</t>
        </r>
      </text>
    </comment>
    <comment ref="L242" authorId="2" shapeId="0" xr:uid="{01BDC664-AC78-4006-A645-CB018F4DAF7B}">
      <text>
        <r>
          <rPr>
            <sz val="11"/>
            <color theme="1"/>
            <rFont val="Calibri"/>
            <family val="2"/>
            <scheme val="minor"/>
          </rPr>
          <t>quarterized number</t>
        </r>
      </text>
    </comment>
    <comment ref="M242" authorId="2" shapeId="0" xr:uid="{ADD7D842-F13A-40E3-9D2A-E613DD85DEA6}">
      <text>
        <r>
          <rPr>
            <sz val="11"/>
            <color theme="1"/>
            <rFont val="Calibri"/>
            <family val="2"/>
            <scheme val="minor"/>
          </rPr>
          <t>quarterized number</t>
        </r>
      </text>
    </comment>
    <comment ref="N242" authorId="2" shapeId="0" xr:uid="{ECFE1531-009F-44D1-B2E1-7B475A52186F}">
      <text>
        <r>
          <rPr>
            <sz val="11"/>
            <color theme="1"/>
            <rFont val="Calibri"/>
            <family val="2"/>
            <scheme val="minor"/>
          </rPr>
          <t>quarterized number</t>
        </r>
      </text>
    </comment>
    <comment ref="L243" authorId="2" shapeId="0" xr:uid="{4F4FB9B1-A5EC-46BD-81DB-B815DEAA652A}">
      <text>
        <r>
          <rPr>
            <sz val="11"/>
            <color theme="1"/>
            <rFont val="Calibri"/>
            <family val="2"/>
            <scheme val="minor"/>
          </rPr>
          <t>quarterized number</t>
        </r>
      </text>
    </comment>
    <comment ref="M243" authorId="2" shapeId="0" xr:uid="{8BB6DC7D-F507-4E65-8C72-1B7F5FA93332}">
      <text>
        <r>
          <rPr>
            <sz val="11"/>
            <color theme="1"/>
            <rFont val="Calibri"/>
            <family val="2"/>
            <scheme val="minor"/>
          </rPr>
          <t>quarterized number</t>
        </r>
      </text>
    </comment>
    <comment ref="N243" authorId="2" shapeId="0" xr:uid="{DB356D43-9218-475D-98DA-241EA92C8EEF}">
      <text>
        <r>
          <rPr>
            <sz val="11"/>
            <color theme="1"/>
            <rFont val="Calibri"/>
            <family val="2"/>
            <scheme val="minor"/>
          </rPr>
          <t>quarterized number</t>
        </r>
      </text>
    </comment>
    <comment ref="I244" authorId="2" shapeId="0" xr:uid="{35B2CCBD-CA6B-4C8F-B37E-0DDA53C65246}">
      <text>
        <r>
          <rPr>
            <sz val="11"/>
            <color theme="1"/>
            <rFont val="Calibri"/>
            <family val="2"/>
            <scheme val="minor"/>
          </rPr>
          <t>quarterized number</t>
        </r>
      </text>
    </comment>
    <comment ref="J244" authorId="2" shapeId="0" xr:uid="{461FA138-D25D-4C6D-8C7A-95818908EB06}">
      <text>
        <r>
          <rPr>
            <sz val="11"/>
            <color theme="1"/>
            <rFont val="Calibri"/>
            <family val="2"/>
            <scheme val="minor"/>
          </rPr>
          <t>Period from February 1,2020 through December 31,2020
quarterized number</t>
        </r>
      </text>
    </comment>
    <comment ref="L244" authorId="2" shapeId="0" xr:uid="{6B31E891-AD1D-4B70-BA83-5D01C1E289E7}">
      <text>
        <r>
          <rPr>
            <sz val="11"/>
            <color theme="1"/>
            <rFont val="Calibri"/>
            <family val="2"/>
            <scheme val="minor"/>
          </rPr>
          <t>quarterized number</t>
        </r>
      </text>
    </comment>
    <comment ref="M244" authorId="2" shapeId="0" xr:uid="{30DECC39-D9B7-4306-A2E9-493D5658C11A}">
      <text>
        <r>
          <rPr>
            <sz val="11"/>
            <color theme="1"/>
            <rFont val="Calibri"/>
            <family val="2"/>
            <scheme val="minor"/>
          </rPr>
          <t>quarterized number</t>
        </r>
      </text>
    </comment>
    <comment ref="N244" authorId="2" shapeId="0" xr:uid="{89956A8A-2082-4C00-8145-6C54F0B606EA}">
      <text>
        <r>
          <rPr>
            <sz val="11"/>
            <color theme="1"/>
            <rFont val="Calibri"/>
            <family val="2"/>
            <scheme val="minor"/>
          </rPr>
          <t>quarterized number</t>
        </r>
      </text>
    </comment>
    <comment ref="L245" authorId="2" shapeId="0" xr:uid="{7F3312CE-6C0B-417D-AD00-0967B5777512}">
      <text>
        <r>
          <rPr>
            <sz val="11"/>
            <color theme="1"/>
            <rFont val="Calibri"/>
            <family val="2"/>
            <scheme val="minor"/>
          </rPr>
          <t>quarterized number</t>
        </r>
      </text>
    </comment>
    <comment ref="M245" authorId="2" shapeId="0" xr:uid="{A4E6FB26-DA69-47A4-A573-9EF81B52FD8B}">
      <text>
        <r>
          <rPr>
            <sz val="11"/>
            <color theme="1"/>
            <rFont val="Calibri"/>
            <family val="2"/>
            <scheme val="minor"/>
          </rPr>
          <t>quarterized number</t>
        </r>
      </text>
    </comment>
    <comment ref="N245" authorId="2" shapeId="0" xr:uid="{42BC9BEF-E3E4-44F9-858B-9781076C3FDE}">
      <text>
        <r>
          <rPr>
            <sz val="11"/>
            <color theme="1"/>
            <rFont val="Calibri"/>
            <family val="2"/>
            <scheme val="minor"/>
          </rPr>
          <t>quarterized number</t>
        </r>
      </text>
    </comment>
    <comment ref="G246" authorId="0" shapeId="0" xr:uid="{C830D1E6-6439-4618-9630-3EAD701EE283}">
      <text>
        <r>
          <rPr>
            <sz val="11"/>
            <color theme="1"/>
            <rFont val="Calibri"/>
            <family val="2"/>
            <scheme val="minor"/>
          </rPr>
          <t xml:space="preserve">Period from February 1,2020 through March 31,2020
</t>
        </r>
      </text>
    </comment>
    <comment ref="H246" authorId="2" shapeId="0" xr:uid="{7FF0A95F-E5D2-42DB-9C26-06B050B36F7D}">
      <text>
        <r>
          <rPr>
            <sz val="11"/>
            <color theme="1"/>
            <rFont val="Calibri"/>
            <family val="2"/>
            <scheme val="minor"/>
          </rPr>
          <t>quarterized number</t>
        </r>
      </text>
    </comment>
    <comment ref="I246" authorId="2" shapeId="0" xr:uid="{B53C2F4B-6F08-45C6-B9B7-E49F635FFEB3}">
      <text>
        <r>
          <rPr>
            <sz val="11"/>
            <color theme="1"/>
            <rFont val="Calibri"/>
            <family val="2"/>
            <scheme val="minor"/>
          </rPr>
          <t>quarterized number</t>
        </r>
      </text>
    </comment>
    <comment ref="J246" authorId="2" shapeId="0" xr:uid="{138BCCE1-76D1-4D81-BC76-11FB418CF49A}">
      <text>
        <r>
          <rPr>
            <sz val="11"/>
            <color theme="1"/>
            <rFont val="Calibri"/>
            <family val="2"/>
            <scheme val="minor"/>
          </rPr>
          <t>Period from February 1,2020 through December 31,2020
quarterized number</t>
        </r>
      </text>
    </comment>
    <comment ref="G247" authorId="0" shapeId="0" xr:uid="{E31E2FBD-E0F6-4BB2-BA89-1AF6BFB5AFC4}">
      <text>
        <r>
          <rPr>
            <sz val="11"/>
            <color theme="1"/>
            <rFont val="Calibri"/>
            <family val="2"/>
            <scheme val="minor"/>
          </rPr>
          <t xml:space="preserve">Period from February 1,2020 through March 31,2020
</t>
        </r>
      </text>
    </comment>
    <comment ref="H247" authorId="2" shapeId="0" xr:uid="{429374F4-4466-44AF-B118-34CD7F3EE0D7}">
      <text>
        <r>
          <rPr>
            <sz val="11"/>
            <color theme="1"/>
            <rFont val="Calibri"/>
            <family val="2"/>
            <scheme val="minor"/>
          </rPr>
          <t>quarterized number</t>
        </r>
      </text>
    </comment>
    <comment ref="I247" authorId="2" shapeId="0" xr:uid="{78E6ABEC-12DD-437E-AF37-D3EE94BDD0AC}">
      <text>
        <r>
          <rPr>
            <sz val="11"/>
            <color theme="1"/>
            <rFont val="Calibri"/>
            <family val="2"/>
            <scheme val="minor"/>
          </rPr>
          <t>quarterized number</t>
        </r>
      </text>
    </comment>
    <comment ref="J247" authorId="2" shapeId="0" xr:uid="{8FF85EB9-76DC-4B7E-8A23-E6B424F54759}">
      <text>
        <r>
          <rPr>
            <sz val="11"/>
            <color theme="1"/>
            <rFont val="Calibri"/>
            <family val="2"/>
            <scheme val="minor"/>
          </rPr>
          <t>Period from February 1,2020 through December 31,2020
quarterized number</t>
        </r>
      </text>
    </comment>
    <comment ref="H248" authorId="2" shapeId="0" xr:uid="{3B5724DE-F0D4-443D-A9EA-B7A301EB552D}">
      <text>
        <r>
          <rPr>
            <sz val="11"/>
            <color theme="1"/>
            <rFont val="Calibri"/>
            <family val="2"/>
            <scheme val="minor"/>
          </rPr>
          <t>quarterized number</t>
        </r>
      </text>
    </comment>
    <comment ref="I248" authorId="2" shapeId="0" xr:uid="{64CD1768-A7F8-4951-AEB7-2EC5F7DC32E0}">
      <text>
        <r>
          <rPr>
            <sz val="11"/>
            <color theme="1"/>
            <rFont val="Calibri"/>
            <family val="2"/>
            <scheme val="minor"/>
          </rPr>
          <t>quarterized number</t>
        </r>
      </text>
    </comment>
    <comment ref="J248" authorId="2" shapeId="0" xr:uid="{C8CD885F-E001-498F-9BE6-3512F31D3EA5}">
      <text>
        <r>
          <rPr>
            <sz val="11"/>
            <color theme="1"/>
            <rFont val="Calibri"/>
            <family val="2"/>
            <scheme val="minor"/>
          </rPr>
          <t>Period from February 1,2020 through December 31,2020
quarterized number</t>
        </r>
      </text>
    </comment>
    <comment ref="G249" authorId="0" shapeId="0" xr:uid="{FED4AE39-4EF7-4D65-9D09-E45ED4950550}">
      <text>
        <r>
          <rPr>
            <sz val="11"/>
            <color theme="1"/>
            <rFont val="Calibri"/>
            <family val="2"/>
            <scheme val="minor"/>
          </rPr>
          <t xml:space="preserve">Period from February 1,2020 through March 31,2020
</t>
        </r>
      </text>
    </comment>
    <comment ref="H249" authorId="2" shapeId="0" xr:uid="{D4F7B7F8-68AB-463B-9D8E-D3DA2729F37C}">
      <text>
        <r>
          <rPr>
            <sz val="11"/>
            <color theme="1"/>
            <rFont val="Calibri"/>
            <family val="2"/>
            <scheme val="minor"/>
          </rPr>
          <t>quarterized number</t>
        </r>
      </text>
    </comment>
    <comment ref="I249" authorId="2" shapeId="0" xr:uid="{B39B58D1-B1D7-4A3D-96CA-D7311EE5C704}">
      <text>
        <r>
          <rPr>
            <sz val="11"/>
            <color theme="1"/>
            <rFont val="Calibri"/>
            <family val="2"/>
            <scheme val="minor"/>
          </rPr>
          <t>quarterized number</t>
        </r>
      </text>
    </comment>
    <comment ref="J249" authorId="2" shapeId="0" xr:uid="{FC34A47E-AFC6-4B01-A4C6-E37F74F1F4CE}">
      <text>
        <r>
          <rPr>
            <sz val="11"/>
            <color theme="1"/>
            <rFont val="Calibri"/>
            <family val="2"/>
            <scheme val="minor"/>
          </rPr>
          <t>Period from February 1,2020 through December 31,2020
quarterized number</t>
        </r>
      </text>
    </comment>
    <comment ref="L249" authorId="2" shapeId="0" xr:uid="{F1772EA4-808C-4D67-BF84-A89503BBF94A}">
      <text>
        <r>
          <rPr>
            <sz val="11"/>
            <color theme="1"/>
            <rFont val="Calibri"/>
            <family val="2"/>
            <scheme val="minor"/>
          </rPr>
          <t>quarterized number</t>
        </r>
      </text>
    </comment>
    <comment ref="M249" authorId="2" shapeId="0" xr:uid="{88ECAB94-DCDF-4B62-A922-74D882582CEE}">
      <text>
        <r>
          <rPr>
            <sz val="11"/>
            <color theme="1"/>
            <rFont val="Calibri"/>
            <family val="2"/>
            <scheme val="minor"/>
          </rPr>
          <t>quarterized number</t>
        </r>
      </text>
    </comment>
    <comment ref="N249" authorId="2" shapeId="0" xr:uid="{A3158736-2B85-41A3-A751-7EDFB55C395B}">
      <text>
        <r>
          <rPr>
            <sz val="11"/>
            <color theme="1"/>
            <rFont val="Calibri"/>
            <family val="2"/>
            <scheme val="minor"/>
          </rPr>
          <t>quarterized number</t>
        </r>
      </text>
    </comment>
    <comment ref="F250" authorId="2" shapeId="0" xr:uid="{C721A19C-0A4A-44E0-95A9-9BE57EFD8F73}">
      <text>
        <r>
          <rPr>
            <sz val="11"/>
            <color theme="1"/>
            <rFont val="Calibri"/>
            <family val="2"/>
            <scheme val="minor"/>
          </rPr>
          <t>Predecessor data 
year to date number</t>
        </r>
      </text>
    </comment>
    <comment ref="G250" authorId="0" shapeId="0" xr:uid="{9E3CD176-5733-4E2E-AA87-211EC998ABE2}">
      <text>
        <r>
          <rPr>
            <sz val="11"/>
            <color theme="1"/>
            <rFont val="Calibri"/>
            <family val="2"/>
            <scheme val="minor"/>
          </rPr>
          <t xml:space="preserve">Period from February 1,2020 through March 31,2020
</t>
        </r>
      </text>
    </comment>
    <comment ref="H250" authorId="2" shapeId="0" xr:uid="{F92335B7-4058-42E6-8522-502BCD89AB7E}">
      <text>
        <r>
          <rPr>
            <sz val="11"/>
            <color theme="1"/>
            <rFont val="Calibri"/>
            <family val="2"/>
            <scheme val="minor"/>
          </rPr>
          <t>quarterized number</t>
        </r>
      </text>
    </comment>
    <comment ref="I250" authorId="2" shapeId="0" xr:uid="{7A81F7DF-251A-4487-A4FB-2B0AB120AD06}">
      <text>
        <r>
          <rPr>
            <sz val="11"/>
            <color theme="1"/>
            <rFont val="Calibri"/>
            <family val="2"/>
            <scheme val="minor"/>
          </rPr>
          <t>quarterized number</t>
        </r>
      </text>
    </comment>
    <comment ref="J250" authorId="2" shapeId="0" xr:uid="{59C1BFB1-8601-42FE-A138-4764B510BF98}">
      <text>
        <r>
          <rPr>
            <sz val="11"/>
            <color theme="1"/>
            <rFont val="Calibri"/>
            <family val="2"/>
            <scheme val="minor"/>
          </rPr>
          <t>Period from February 1,2020 through December 31,2020
quarterized number</t>
        </r>
      </text>
    </comment>
    <comment ref="L250" authorId="2" shapeId="0" xr:uid="{13D66771-66A0-441B-88A2-E05BBABCBAD4}">
      <text>
        <r>
          <rPr>
            <sz val="11"/>
            <color theme="1"/>
            <rFont val="Calibri"/>
            <family val="2"/>
            <scheme val="minor"/>
          </rPr>
          <t>quarterized number</t>
        </r>
      </text>
    </comment>
    <comment ref="M250" authorId="2" shapeId="0" xr:uid="{8DB764CC-C24F-4927-A31B-7BE704F7B31A}">
      <text>
        <r>
          <rPr>
            <sz val="11"/>
            <color theme="1"/>
            <rFont val="Calibri"/>
            <family val="2"/>
            <scheme val="minor"/>
          </rPr>
          <t>quarterized number</t>
        </r>
      </text>
    </comment>
    <comment ref="N250" authorId="2" shapeId="0" xr:uid="{1EE8AA0A-57C6-4FA7-BB73-9127DFFBD9D7}">
      <text>
        <r>
          <rPr>
            <sz val="11"/>
            <color theme="1"/>
            <rFont val="Calibri"/>
            <family val="2"/>
            <scheme val="minor"/>
          </rPr>
          <t>quarterized number</t>
        </r>
      </text>
    </comment>
    <comment ref="P250" authorId="2" shapeId="0" xr:uid="{C2EAA0AA-7B9A-403E-BD6C-C691BB1B9B20}">
      <text>
        <r>
          <rPr>
            <sz val="11"/>
            <color theme="1"/>
            <rFont val="Calibri"/>
            <family val="2"/>
            <scheme val="minor"/>
          </rPr>
          <t>quarterized number</t>
        </r>
      </text>
    </comment>
    <comment ref="L251" authorId="2" shapeId="0" xr:uid="{0616B1D7-B315-45B7-A47C-73157A76287F}">
      <text>
        <r>
          <rPr>
            <sz val="11"/>
            <color theme="1"/>
            <rFont val="Calibri"/>
            <family val="2"/>
            <scheme val="minor"/>
          </rPr>
          <t>quarterized number</t>
        </r>
      </text>
    </comment>
    <comment ref="M251" authorId="2" shapeId="0" xr:uid="{636803DB-0782-4364-B9A1-B18BC2C30CA6}">
      <text>
        <r>
          <rPr>
            <sz val="11"/>
            <color theme="1"/>
            <rFont val="Calibri"/>
            <family val="2"/>
            <scheme val="minor"/>
          </rPr>
          <t>quarterized number</t>
        </r>
      </text>
    </comment>
    <comment ref="N251" authorId="2" shapeId="0" xr:uid="{542804DE-8242-4C74-9C1F-228B120D517B}">
      <text>
        <r>
          <rPr>
            <sz val="11"/>
            <color theme="1"/>
            <rFont val="Calibri"/>
            <family val="2"/>
            <scheme val="minor"/>
          </rPr>
          <t>quarterized number</t>
        </r>
      </text>
    </comment>
    <comment ref="P251" authorId="2" shapeId="0" xr:uid="{B0293663-7B27-4F6B-8ED1-0095DAFC494D}">
      <text>
        <r>
          <rPr>
            <sz val="11"/>
            <color theme="1"/>
            <rFont val="Calibri"/>
            <family val="2"/>
            <scheme val="minor"/>
          </rPr>
          <t>quarterized number</t>
        </r>
      </text>
    </comment>
    <comment ref="M252" authorId="2" shapeId="0" xr:uid="{43FF0837-7F0A-4D9A-9D0B-E32C6DAC7A8C}">
      <text>
        <r>
          <rPr>
            <sz val="11"/>
            <color theme="1"/>
            <rFont val="Calibri"/>
            <family val="2"/>
            <scheme val="minor"/>
          </rPr>
          <t>quarterized number</t>
        </r>
      </text>
    </comment>
    <comment ref="N252" authorId="2" shapeId="0" xr:uid="{B5A18EBD-D14F-4182-8E8B-804891A83166}">
      <text>
        <r>
          <rPr>
            <sz val="11"/>
            <color theme="1"/>
            <rFont val="Calibri"/>
            <family val="2"/>
            <scheme val="minor"/>
          </rPr>
          <t>quarterized number</t>
        </r>
      </text>
    </comment>
    <comment ref="P252" authorId="2" shapeId="0" xr:uid="{A77E6D51-A86B-4CDB-BE84-35193EBFFE3E}">
      <text>
        <r>
          <rPr>
            <sz val="11"/>
            <color theme="1"/>
            <rFont val="Calibri"/>
            <family val="2"/>
            <scheme val="minor"/>
          </rPr>
          <t>quarterized number</t>
        </r>
      </text>
    </comment>
    <comment ref="M253" authorId="2" shapeId="0" xr:uid="{91382328-169B-4A7E-9C52-B0CA0331BD83}">
      <text>
        <r>
          <rPr>
            <sz val="11"/>
            <color theme="1"/>
            <rFont val="Calibri"/>
            <family val="2"/>
            <scheme val="minor"/>
          </rPr>
          <t>quarterized number</t>
        </r>
      </text>
    </comment>
    <comment ref="N253" authorId="2" shapeId="0" xr:uid="{936EF9E3-A2C6-4A7F-B1AC-A48298DE5A6F}">
      <text>
        <r>
          <rPr>
            <sz val="11"/>
            <color theme="1"/>
            <rFont val="Calibri"/>
            <family val="2"/>
            <scheme val="minor"/>
          </rPr>
          <t>quarterized number</t>
        </r>
      </text>
    </comment>
    <comment ref="P254" authorId="2" shapeId="0" xr:uid="{CE0C8281-4892-4B95-A6AE-087421EBAA1A}">
      <text>
        <r>
          <rPr>
            <sz val="11"/>
            <color theme="1"/>
            <rFont val="Calibri"/>
            <family val="2"/>
            <scheme val="minor"/>
          </rPr>
          <t>quarterized number</t>
        </r>
      </text>
    </comment>
    <comment ref="F255" authorId="2" shapeId="0" xr:uid="{8AD2DFF4-10F4-4B28-964E-EA68539DEAC4}">
      <text>
        <r>
          <rPr>
            <sz val="11"/>
            <color theme="1"/>
            <rFont val="Calibri"/>
            <family val="2"/>
            <scheme val="minor"/>
          </rPr>
          <t>Predecessor data 
year to date number</t>
        </r>
      </text>
    </comment>
    <comment ref="G255" authorId="0" shapeId="0" xr:uid="{F867321C-7139-4E27-8419-EC792940AF82}">
      <text>
        <r>
          <rPr>
            <sz val="11"/>
            <color theme="1"/>
            <rFont val="Calibri"/>
            <family val="2"/>
            <scheme val="minor"/>
          </rPr>
          <t xml:space="preserve">Period from February 1,2020 through March 31,2020
</t>
        </r>
      </text>
    </comment>
    <comment ref="H255" authorId="2" shapeId="0" xr:uid="{E1F5200C-0614-4DAC-A3C0-EC7F1E510BB6}">
      <text>
        <r>
          <rPr>
            <sz val="11"/>
            <color theme="1"/>
            <rFont val="Calibri"/>
            <family val="2"/>
            <scheme val="minor"/>
          </rPr>
          <t>quarterized number</t>
        </r>
      </text>
    </comment>
    <comment ref="I255" authorId="2" shapeId="0" xr:uid="{0DE54779-621F-4A75-B0A6-A3A10DE53B04}">
      <text>
        <r>
          <rPr>
            <sz val="11"/>
            <color theme="1"/>
            <rFont val="Calibri"/>
            <family val="2"/>
            <scheme val="minor"/>
          </rPr>
          <t>quarterized number</t>
        </r>
      </text>
    </comment>
    <comment ref="J255" authorId="2" shapeId="0" xr:uid="{75522AFA-A3F8-448F-B312-9EB622B88BEC}">
      <text>
        <r>
          <rPr>
            <sz val="11"/>
            <color theme="1"/>
            <rFont val="Calibri"/>
            <family val="2"/>
            <scheme val="minor"/>
          </rPr>
          <t>Period from February 1,2020 through December 31,2020
quarterized number</t>
        </r>
      </text>
    </comment>
    <comment ref="L255" authorId="2" shapeId="0" xr:uid="{EEFC771F-689E-46BD-A9BC-619C701488AF}">
      <text>
        <r>
          <rPr>
            <sz val="11"/>
            <color theme="1"/>
            <rFont val="Calibri"/>
            <family val="2"/>
            <scheme val="minor"/>
          </rPr>
          <t>quarterized number</t>
        </r>
      </text>
    </comment>
    <comment ref="M255" authorId="2" shapeId="0" xr:uid="{69A9B3D3-7D97-49D8-AE6A-09FBF6C4DEA1}">
      <text>
        <r>
          <rPr>
            <sz val="11"/>
            <color theme="1"/>
            <rFont val="Calibri"/>
            <family val="2"/>
            <scheme val="minor"/>
          </rPr>
          <t>quarterized number</t>
        </r>
      </text>
    </comment>
    <comment ref="N255" authorId="2" shapeId="0" xr:uid="{46FEB19E-C983-4126-BAD5-5D7DFBDC49A4}">
      <text>
        <r>
          <rPr>
            <sz val="11"/>
            <color theme="1"/>
            <rFont val="Calibri"/>
            <family val="2"/>
            <scheme val="minor"/>
          </rPr>
          <t>quarterized number</t>
        </r>
      </text>
    </comment>
    <comment ref="P255" authorId="2" shapeId="0" xr:uid="{038BA274-1E82-4ADA-A596-87B0091B08DC}">
      <text>
        <r>
          <rPr>
            <sz val="11"/>
            <color theme="1"/>
            <rFont val="Calibri"/>
            <family val="2"/>
            <scheme val="minor"/>
          </rPr>
          <t>quarterized number</t>
        </r>
      </text>
    </comment>
    <comment ref="F257" authorId="2" shapeId="0" xr:uid="{4E30F670-89CC-4A68-AFA6-DE7621BE6959}">
      <text>
        <r>
          <rPr>
            <sz val="11"/>
            <color theme="1"/>
            <rFont val="Calibri"/>
            <family val="2"/>
            <scheme val="minor"/>
          </rPr>
          <t>Predecessor data 
year to date number</t>
        </r>
      </text>
    </comment>
    <comment ref="G257" authorId="0" shapeId="0" xr:uid="{8AA62DA2-9F6E-43E6-A2A0-F7B197ACB133}">
      <text>
        <r>
          <rPr>
            <sz val="11"/>
            <color theme="1"/>
            <rFont val="Calibri"/>
            <family val="2"/>
            <scheme val="minor"/>
          </rPr>
          <t xml:space="preserve">Period from February 1,2020 through March 31,2020
</t>
        </r>
      </text>
    </comment>
    <comment ref="H257" authorId="2" shapeId="0" xr:uid="{C8B827E7-0DAC-44E1-B7DC-80DC3B3D4805}">
      <text>
        <r>
          <rPr>
            <sz val="11"/>
            <color theme="1"/>
            <rFont val="Calibri"/>
            <family val="2"/>
            <scheme val="minor"/>
          </rPr>
          <t>quarterized number</t>
        </r>
      </text>
    </comment>
    <comment ref="I257" authorId="2" shapeId="0" xr:uid="{B588B208-A30F-47E4-8AE2-9452CDE41BF9}">
      <text>
        <r>
          <rPr>
            <sz val="11"/>
            <color theme="1"/>
            <rFont val="Calibri"/>
            <family val="2"/>
            <scheme val="minor"/>
          </rPr>
          <t>quarterized number</t>
        </r>
      </text>
    </comment>
    <comment ref="J257" authorId="2" shapeId="0" xr:uid="{4A7951AE-1373-4DBC-8907-3EBC5A60475A}">
      <text>
        <r>
          <rPr>
            <sz val="11"/>
            <color theme="1"/>
            <rFont val="Calibri"/>
            <family val="2"/>
            <scheme val="minor"/>
          </rPr>
          <t>Period from February 1,2020 through December 31,2020
quarterized number</t>
        </r>
      </text>
    </comment>
    <comment ref="L257" authorId="2" shapeId="0" xr:uid="{D6A482AA-A368-43E0-A6DC-5168049481F8}">
      <text>
        <r>
          <rPr>
            <sz val="11"/>
            <color theme="1"/>
            <rFont val="Calibri"/>
            <family val="2"/>
            <scheme val="minor"/>
          </rPr>
          <t>quarterized number</t>
        </r>
      </text>
    </comment>
    <comment ref="M257" authorId="2" shapeId="0" xr:uid="{55495542-14E0-47D9-B54B-F6E3FC3B69B6}">
      <text>
        <r>
          <rPr>
            <sz val="11"/>
            <color theme="1"/>
            <rFont val="Calibri"/>
            <family val="2"/>
            <scheme val="minor"/>
          </rPr>
          <t>quarterized number</t>
        </r>
      </text>
    </comment>
    <comment ref="N257" authorId="2" shapeId="0" xr:uid="{020548AA-E304-4EC6-92AC-F1D054151184}">
      <text>
        <r>
          <rPr>
            <sz val="11"/>
            <color theme="1"/>
            <rFont val="Calibri"/>
            <family val="2"/>
            <scheme val="minor"/>
          </rPr>
          <t>quarterized number</t>
        </r>
      </text>
    </comment>
    <comment ref="P257" authorId="2" shapeId="0" xr:uid="{35EB244E-E6D8-4361-AB86-800D05BFA9FA}">
      <text>
        <r>
          <rPr>
            <sz val="11"/>
            <color theme="1"/>
            <rFont val="Calibri"/>
            <family val="2"/>
            <scheme val="minor"/>
          </rPr>
          <t>quarterized number</t>
        </r>
      </text>
    </comment>
    <comment ref="F258" authorId="2" shapeId="0" xr:uid="{8D05627E-00E9-4BFF-9014-4DFBB70FBBF9}">
      <text>
        <r>
          <rPr>
            <sz val="11"/>
            <color theme="1"/>
            <rFont val="Calibri"/>
            <family val="2"/>
            <scheme val="minor"/>
          </rPr>
          <t>Predecessor data 
year to date number</t>
        </r>
      </text>
    </comment>
    <comment ref="G258" authorId="0" shapeId="0" xr:uid="{8CDE92DF-7868-4BC6-8DF0-BB5540FF5F11}">
      <text>
        <r>
          <rPr>
            <sz val="11"/>
            <color theme="1"/>
            <rFont val="Calibri"/>
            <family val="2"/>
            <scheme val="minor"/>
          </rPr>
          <t xml:space="preserve">Period from February 1,2020 through March 31,2020
</t>
        </r>
      </text>
    </comment>
    <comment ref="H258" authorId="2" shapeId="0" xr:uid="{A3B43571-B61C-4317-9C09-7DFDE20DD337}">
      <text>
        <r>
          <rPr>
            <sz val="11"/>
            <color theme="1"/>
            <rFont val="Calibri"/>
            <family val="2"/>
            <scheme val="minor"/>
          </rPr>
          <t>quarterized number</t>
        </r>
      </text>
    </comment>
    <comment ref="I258" authorId="2" shapeId="0" xr:uid="{5FA4285C-8038-4039-BD3E-8ADFEAC076B6}">
      <text>
        <r>
          <rPr>
            <sz val="11"/>
            <color theme="1"/>
            <rFont val="Calibri"/>
            <family val="2"/>
            <scheme val="minor"/>
          </rPr>
          <t>quarterized number</t>
        </r>
      </text>
    </comment>
    <comment ref="J258" authorId="2" shapeId="0" xr:uid="{E218BE93-4474-45E0-816E-3122B7576E23}">
      <text>
        <r>
          <rPr>
            <sz val="11"/>
            <color theme="1"/>
            <rFont val="Calibri"/>
            <family val="2"/>
            <scheme val="minor"/>
          </rPr>
          <t>Period from February 1,2020 through December 31,2020
quarterized number</t>
        </r>
      </text>
    </comment>
    <comment ref="L258" authorId="2" shapeId="0" xr:uid="{96860979-B742-4EB2-99D3-1DEC4FB31BF8}">
      <text>
        <r>
          <rPr>
            <sz val="11"/>
            <color theme="1"/>
            <rFont val="Calibri"/>
            <family val="2"/>
            <scheme val="minor"/>
          </rPr>
          <t>quarterized number</t>
        </r>
      </text>
    </comment>
    <comment ref="M258" authorId="2" shapeId="0" xr:uid="{24FCA66D-CBA0-48E0-8F18-6315987CA5DD}">
      <text>
        <r>
          <rPr>
            <sz val="11"/>
            <color theme="1"/>
            <rFont val="Calibri"/>
            <family val="2"/>
            <scheme val="minor"/>
          </rPr>
          <t>quarterized number</t>
        </r>
      </text>
    </comment>
    <comment ref="N258" authorId="2" shapeId="0" xr:uid="{E7008827-251D-40CD-9A0B-91079167980A}">
      <text>
        <r>
          <rPr>
            <sz val="11"/>
            <color theme="1"/>
            <rFont val="Calibri"/>
            <family val="2"/>
            <scheme val="minor"/>
          </rPr>
          <t>quarterized number</t>
        </r>
      </text>
    </comment>
    <comment ref="P258" authorId="2" shapeId="0" xr:uid="{1D6A1899-D67D-4843-9107-620A9BA6F8A4}">
      <text>
        <r>
          <rPr>
            <sz val="11"/>
            <color theme="1"/>
            <rFont val="Calibri"/>
            <family val="2"/>
            <scheme val="minor"/>
          </rPr>
          <t>quarterized number</t>
        </r>
      </text>
    </comment>
    <comment ref="F260" authorId="1" shapeId="0" xr:uid="{45F740EB-B9DD-4B01-8792-04F1D30572DC}">
      <text>
        <r>
          <rPr>
            <sz val="11"/>
            <color theme="1"/>
            <rFont val="Calibri"/>
            <family val="2"/>
            <scheme val="minor"/>
          </rPr>
          <t xml:space="preserve">Predecessor data </t>
        </r>
      </text>
    </comment>
    <comment ref="G260" authorId="0" shapeId="0" xr:uid="{25DD6EE1-F0A1-4736-9DF5-F75F2ECC83ED}">
      <text>
        <r>
          <rPr>
            <sz val="11"/>
            <color theme="1"/>
            <rFont val="Calibri"/>
            <family val="2"/>
            <scheme val="minor"/>
          </rPr>
          <t xml:space="preserve">Period from February 1,2020 through March 31,2020
</t>
        </r>
      </text>
    </comment>
    <comment ref="J260" authorId="0" shapeId="0" xr:uid="{E86BBA61-84C8-4555-8F7A-244EF51B81BF}">
      <text>
        <r>
          <rPr>
            <sz val="11"/>
            <color theme="1"/>
            <rFont val="Calibri"/>
            <family val="2"/>
            <scheme val="minor"/>
          </rPr>
          <t xml:space="preserve">Period from February 1,2020 through December 31,2020
</t>
        </r>
      </text>
    </comment>
    <comment ref="F261" authorId="1" shapeId="0" xr:uid="{332029A8-091D-41BC-9128-312F5FB1F925}">
      <text>
        <r>
          <rPr>
            <sz val="11"/>
            <color theme="1"/>
            <rFont val="Calibri"/>
            <family val="2"/>
            <scheme val="minor"/>
          </rPr>
          <t xml:space="preserve">Predecessor data </t>
        </r>
      </text>
    </comment>
    <comment ref="G261" authorId="0" shapeId="0" xr:uid="{C5D233D2-C9CF-42FB-BD56-D1D17FBE0917}">
      <text>
        <r>
          <rPr>
            <sz val="11"/>
            <color theme="1"/>
            <rFont val="Calibri"/>
            <family val="2"/>
            <scheme val="minor"/>
          </rPr>
          <t xml:space="preserve">Period from February 1,2020 through March 31,2020
</t>
        </r>
      </text>
    </comment>
    <comment ref="J261" authorId="0" shapeId="0" xr:uid="{8BCC30F3-67F8-4781-809A-9B723BD0CC13}">
      <text>
        <r>
          <rPr>
            <sz val="11"/>
            <color theme="1"/>
            <rFont val="Calibri"/>
            <family val="2"/>
            <scheme val="minor"/>
          </rPr>
          <t xml:space="preserve">Period from February 1,2020 through December 31,2020
</t>
        </r>
      </text>
    </comment>
    <comment ref="F264" authorId="2" shapeId="0" xr:uid="{BF10362B-C3EE-471F-BDE2-5192BF954BBC}">
      <text>
        <r>
          <rPr>
            <sz val="11"/>
            <color theme="1"/>
            <rFont val="Calibri"/>
            <family val="2"/>
            <scheme val="minor"/>
          </rPr>
          <t>Predecessor data 
year to date number</t>
        </r>
      </text>
    </comment>
    <comment ref="G264" authorId="0" shapeId="0" xr:uid="{E12ACE71-CDAE-4C24-B110-10BA87BD53B8}">
      <text>
        <r>
          <rPr>
            <sz val="11"/>
            <color theme="1"/>
            <rFont val="Calibri"/>
            <family val="2"/>
            <scheme val="minor"/>
          </rPr>
          <t xml:space="preserve">Period from February 1,2020 through March 31,2020
</t>
        </r>
      </text>
    </comment>
    <comment ref="H264" authorId="2" shapeId="0" xr:uid="{252CA643-F702-4646-ADF3-FC09FD60E475}">
      <text>
        <r>
          <rPr>
            <sz val="11"/>
            <color theme="1"/>
            <rFont val="Calibri"/>
            <family val="2"/>
            <scheme val="minor"/>
          </rPr>
          <t>quarterized number</t>
        </r>
      </text>
    </comment>
    <comment ref="I264" authorId="2" shapeId="0" xr:uid="{4B2A3502-0284-46E7-A247-218DF20756D1}">
      <text>
        <r>
          <rPr>
            <sz val="11"/>
            <color theme="1"/>
            <rFont val="Calibri"/>
            <family val="2"/>
            <scheme val="minor"/>
          </rPr>
          <t>quarterized number</t>
        </r>
      </text>
    </comment>
    <comment ref="J264" authorId="2" shapeId="0" xr:uid="{459F327C-EB1B-4F32-B90F-EB09B22661E6}">
      <text>
        <r>
          <rPr>
            <sz val="11"/>
            <color theme="1"/>
            <rFont val="Calibri"/>
            <family val="2"/>
            <scheme val="minor"/>
          </rPr>
          <t>Period from February 1,2020 through December 31,2020
quarterized number</t>
        </r>
      </text>
    </comment>
    <comment ref="L264" authorId="2" shapeId="0" xr:uid="{BA5EFB26-336F-47A6-87E1-710EBB289096}">
      <text>
        <r>
          <rPr>
            <sz val="11"/>
            <color theme="1"/>
            <rFont val="Calibri"/>
            <family val="2"/>
            <scheme val="minor"/>
          </rPr>
          <t>quarterized number</t>
        </r>
      </text>
    </comment>
    <comment ref="M264" authorId="2" shapeId="0" xr:uid="{829C70ED-2052-45DD-986F-E28F80FFE4A4}">
      <text>
        <r>
          <rPr>
            <sz val="11"/>
            <color theme="1"/>
            <rFont val="Calibri"/>
            <family val="2"/>
            <scheme val="minor"/>
          </rPr>
          <t>quarterized number</t>
        </r>
      </text>
    </comment>
    <comment ref="N264" authorId="2" shapeId="0" xr:uid="{2ABAB478-FDAF-4B64-B938-8320ACBDA4EF}">
      <text>
        <r>
          <rPr>
            <sz val="11"/>
            <color theme="1"/>
            <rFont val="Calibri"/>
            <family val="2"/>
            <scheme val="minor"/>
          </rPr>
          <t>quarterized number</t>
        </r>
      </text>
    </comment>
    <comment ref="P264" authorId="2" shapeId="0" xr:uid="{2BD868C1-F0DB-4045-A5C3-CD523A64463A}">
      <text>
        <r>
          <rPr>
            <sz val="11"/>
            <color theme="1"/>
            <rFont val="Calibri"/>
            <family val="2"/>
            <scheme val="minor"/>
          </rPr>
          <t>quarterized number</t>
        </r>
      </text>
    </comment>
    <comment ref="F265" authorId="2" shapeId="0" xr:uid="{3BD05C86-AFED-4A3D-8949-F0D735FF9E94}">
      <text>
        <r>
          <rPr>
            <sz val="11"/>
            <color theme="1"/>
            <rFont val="Calibri"/>
            <family val="2"/>
            <scheme val="minor"/>
          </rPr>
          <t>Predecessor data 
year to date number</t>
        </r>
      </text>
    </comment>
    <comment ref="G265" authorId="0" shapeId="0" xr:uid="{0E557736-71BF-4274-9107-7B96898CD9D3}">
      <text>
        <r>
          <rPr>
            <sz val="11"/>
            <color theme="1"/>
            <rFont val="Calibri"/>
            <family val="2"/>
            <scheme val="minor"/>
          </rPr>
          <t xml:space="preserve">Period from February 1,2020 through March 31,2020
</t>
        </r>
      </text>
    </comment>
    <comment ref="H265" authorId="2" shapeId="0" xr:uid="{E0CD4AB2-1C84-4283-93D9-F64667DDA019}">
      <text>
        <r>
          <rPr>
            <sz val="11"/>
            <color theme="1"/>
            <rFont val="Calibri"/>
            <family val="2"/>
            <scheme val="minor"/>
          </rPr>
          <t>quarterized number</t>
        </r>
      </text>
    </comment>
    <comment ref="I265" authorId="2" shapeId="0" xr:uid="{8FAADB50-0732-4BB1-A676-BACF52C22D08}">
      <text>
        <r>
          <rPr>
            <sz val="11"/>
            <color theme="1"/>
            <rFont val="Calibri"/>
            <family val="2"/>
            <scheme val="minor"/>
          </rPr>
          <t>quarterized number</t>
        </r>
      </text>
    </comment>
    <comment ref="J265" authorId="2" shapeId="0" xr:uid="{0779BCA1-6998-42C7-B0D3-A044EFCB7915}">
      <text>
        <r>
          <rPr>
            <sz val="11"/>
            <color theme="1"/>
            <rFont val="Calibri"/>
            <family val="2"/>
            <scheme val="minor"/>
          </rPr>
          <t>Period from February 1,2020 through December 31,2020
quarterized number</t>
        </r>
      </text>
    </comment>
    <comment ref="L265" authorId="2" shapeId="0" xr:uid="{C889FECA-49CF-43DA-8FEE-6A85E855B3B6}">
      <text>
        <r>
          <rPr>
            <sz val="11"/>
            <color theme="1"/>
            <rFont val="Calibri"/>
            <family val="2"/>
            <scheme val="minor"/>
          </rPr>
          <t>quarterized number</t>
        </r>
      </text>
    </comment>
    <comment ref="M265" authorId="2" shapeId="0" xr:uid="{A713CFC7-7A2A-4820-9352-A73BFC01701C}">
      <text>
        <r>
          <rPr>
            <sz val="11"/>
            <color theme="1"/>
            <rFont val="Calibri"/>
            <family val="2"/>
            <scheme val="minor"/>
          </rPr>
          <t>quarterized number</t>
        </r>
      </text>
    </comment>
    <comment ref="N265" authorId="2" shapeId="0" xr:uid="{209A90E2-AE8F-4D47-9603-76DEF65960F5}">
      <text>
        <r>
          <rPr>
            <sz val="11"/>
            <color theme="1"/>
            <rFont val="Calibri"/>
            <family val="2"/>
            <scheme val="minor"/>
          </rPr>
          <t>quarterized number</t>
        </r>
      </text>
    </comment>
    <comment ref="P265" authorId="2" shapeId="0" xr:uid="{E0B169A0-7A36-4776-9637-C4A996DFCB3C}">
      <text>
        <r>
          <rPr>
            <sz val="11"/>
            <color theme="1"/>
            <rFont val="Calibri"/>
            <family val="2"/>
            <scheme val="minor"/>
          </rPr>
          <t>quarterized number</t>
        </r>
      </text>
    </comment>
    <comment ref="F268" authorId="2" shapeId="0" xr:uid="{9D76FE71-24C5-43B5-BEAB-2D2ECE5E2272}">
      <text>
        <r>
          <rPr>
            <sz val="11"/>
            <color theme="1"/>
            <rFont val="Calibri"/>
            <family val="2"/>
            <scheme val="minor"/>
          </rPr>
          <t>Predecessor data 
year to date number</t>
        </r>
      </text>
    </comment>
    <comment ref="L269" authorId="2" shapeId="0" xr:uid="{ECE7E66C-CE79-4DA2-812A-3931D5A55D56}">
      <text>
        <r>
          <rPr>
            <sz val="11"/>
            <color theme="1"/>
            <rFont val="Calibri"/>
            <family val="2"/>
            <scheme val="minor"/>
          </rPr>
          <t>year to date number</t>
        </r>
      </text>
    </comment>
    <comment ref="M269" authorId="2" shapeId="0" xr:uid="{082ABB3B-42A3-48D8-9006-A473BA9DBB35}">
      <text>
        <r>
          <rPr>
            <sz val="11"/>
            <color theme="1"/>
            <rFont val="Calibri"/>
            <family val="2"/>
            <scheme val="minor"/>
          </rPr>
          <t>quarterized number</t>
        </r>
      </text>
    </comment>
    <comment ref="F270" authorId="2" shapeId="0" xr:uid="{255F0C39-548B-47A9-ADED-A2AEA2F07AED}">
      <text>
        <r>
          <rPr>
            <sz val="11"/>
            <color theme="1"/>
            <rFont val="Calibri"/>
            <family val="2"/>
            <scheme val="minor"/>
          </rPr>
          <t>Predecessor data 
year to date number</t>
        </r>
      </text>
    </comment>
    <comment ref="G270" authorId="0" shapeId="0" xr:uid="{8CF909D5-EADB-4DDF-AC8B-251E02CCCB8A}">
      <text>
        <r>
          <rPr>
            <sz val="11"/>
            <color theme="1"/>
            <rFont val="Calibri"/>
            <family val="2"/>
            <scheme val="minor"/>
          </rPr>
          <t xml:space="preserve">Period from February 1,2020 through March 31,2020
</t>
        </r>
      </text>
    </comment>
    <comment ref="H270" authorId="2" shapeId="0" xr:uid="{BC05EDEA-DC8C-4926-BC06-492768154249}">
      <text>
        <r>
          <rPr>
            <sz val="11"/>
            <color theme="1"/>
            <rFont val="Calibri"/>
            <family val="2"/>
            <scheme val="minor"/>
          </rPr>
          <t>quarterized number</t>
        </r>
      </text>
    </comment>
    <comment ref="I270" authorId="2" shapeId="0" xr:uid="{D952D9F0-4FD4-4470-8F1E-A934178B2D6A}">
      <text>
        <r>
          <rPr>
            <sz val="11"/>
            <color theme="1"/>
            <rFont val="Calibri"/>
            <family val="2"/>
            <scheme val="minor"/>
          </rPr>
          <t>quarterized number</t>
        </r>
      </text>
    </comment>
    <comment ref="J270" authorId="2" shapeId="0" xr:uid="{B44D7AF2-CB18-41E5-9F51-0A85CF3AEBA8}">
      <text>
        <r>
          <rPr>
            <sz val="11"/>
            <color theme="1"/>
            <rFont val="Calibri"/>
            <family val="2"/>
            <scheme val="minor"/>
          </rPr>
          <t>Period from February 1,2020 through December 31,2020
quarterized number</t>
        </r>
      </text>
    </comment>
    <comment ref="L270" authorId="2" shapeId="0" xr:uid="{A821633C-0A50-4F10-89EC-01DB855B57F9}">
      <text>
        <r>
          <rPr>
            <sz val="11"/>
            <color theme="1"/>
            <rFont val="Calibri"/>
            <family val="2"/>
            <scheme val="minor"/>
          </rPr>
          <t>quarterized number</t>
        </r>
      </text>
    </comment>
    <comment ref="M270" authorId="2" shapeId="0" xr:uid="{CDEC4A54-231B-428B-A578-169DBA5F4905}">
      <text>
        <r>
          <rPr>
            <sz val="11"/>
            <color theme="1"/>
            <rFont val="Calibri"/>
            <family val="2"/>
            <scheme val="minor"/>
          </rPr>
          <t>quarterized number</t>
        </r>
      </text>
    </comment>
    <comment ref="N270" authorId="2" shapeId="0" xr:uid="{A7FCC381-661D-4F58-BD90-E958116C95A1}">
      <text>
        <r>
          <rPr>
            <sz val="11"/>
            <color theme="1"/>
            <rFont val="Calibri"/>
            <family val="2"/>
            <scheme val="minor"/>
          </rPr>
          <t>quarterized number</t>
        </r>
      </text>
    </comment>
    <comment ref="P270" authorId="2" shapeId="0" xr:uid="{1028EF84-0C35-4E51-ACD9-A59F0E0C1639}">
      <text>
        <r>
          <rPr>
            <sz val="11"/>
            <color theme="1"/>
            <rFont val="Calibri"/>
            <family val="2"/>
            <scheme val="minor"/>
          </rPr>
          <t>quarterized number</t>
        </r>
      </text>
    </comment>
    <comment ref="G274" authorId="0" shapeId="0" xr:uid="{5C73EC3D-D953-4A62-BBE2-C1F6DE473270}">
      <text>
        <r>
          <rPr>
            <sz val="11"/>
            <color theme="1"/>
            <rFont val="Calibri"/>
            <family val="2"/>
            <scheme val="minor"/>
          </rPr>
          <t xml:space="preserve">Period from January 1,2020 through January 31,2020
</t>
        </r>
      </text>
    </comment>
    <comment ref="G276" authorId="0" shapeId="0" xr:uid="{099FDF54-75D2-4EE0-9B73-EFB6AC44DB71}">
      <text>
        <r>
          <rPr>
            <sz val="11"/>
            <color theme="1"/>
            <rFont val="Calibri"/>
            <family val="2"/>
            <scheme val="minor"/>
          </rPr>
          <t xml:space="preserve">Period from January 1,2020 through January 31,2020
</t>
        </r>
      </text>
    </comment>
    <comment ref="G277" authorId="0" shapeId="0" xr:uid="{AD327516-9B23-467E-9AA4-8062F39A913C}">
      <text>
        <r>
          <rPr>
            <sz val="11"/>
            <color theme="1"/>
            <rFont val="Calibri"/>
            <family val="2"/>
            <scheme val="minor"/>
          </rPr>
          <t xml:space="preserve">Period from January 1,2020 through January 31,2020
</t>
        </r>
      </text>
    </comment>
    <comment ref="G278" authorId="0" shapeId="0" xr:uid="{2F6E110C-5A63-4634-98C6-4BDEEFDE6740}">
      <text>
        <r>
          <rPr>
            <sz val="11"/>
            <color theme="1"/>
            <rFont val="Calibri"/>
            <family val="2"/>
            <scheme val="minor"/>
          </rPr>
          <t xml:space="preserve">Period from January 1,2020 through January 31,2020
</t>
        </r>
      </text>
    </comment>
    <comment ref="G279" authorId="0" shapeId="0" xr:uid="{93795F0D-8961-4C70-9E7D-3F3285958E5A}">
      <text>
        <r>
          <rPr>
            <sz val="11"/>
            <color theme="1"/>
            <rFont val="Calibri"/>
            <family val="2"/>
            <scheme val="minor"/>
          </rPr>
          <t xml:space="preserve">Period from January 1,2020 through January 31,2020
</t>
        </r>
      </text>
    </comment>
    <comment ref="G280" authorId="0" shapeId="0" xr:uid="{102AA725-5CC7-4ECE-8AD2-8882C97F46AA}">
      <text>
        <r>
          <rPr>
            <sz val="11"/>
            <color theme="1"/>
            <rFont val="Calibri"/>
            <family val="2"/>
            <scheme val="minor"/>
          </rPr>
          <t xml:space="preserve">Period from January 1,2020 through January 31,2020
</t>
        </r>
      </text>
    </comment>
    <comment ref="G281" authorId="0" shapeId="0" xr:uid="{DFA12F3E-0326-464B-8696-8D3B52D31529}">
      <text>
        <r>
          <rPr>
            <sz val="11"/>
            <color theme="1"/>
            <rFont val="Calibri"/>
            <family val="2"/>
            <scheme val="minor"/>
          </rPr>
          <t xml:space="preserve">Period from January 1,2020 through January 31,2020
</t>
        </r>
      </text>
    </comment>
    <comment ref="G282" authorId="0" shapeId="0" xr:uid="{C099CFED-FA5A-4029-B5A5-97983BA9580B}">
      <text>
        <r>
          <rPr>
            <sz val="11"/>
            <color theme="1"/>
            <rFont val="Calibri"/>
            <family val="2"/>
            <scheme val="minor"/>
          </rPr>
          <t xml:space="preserve">Period from January 1,2020 through January 31,2020
</t>
        </r>
      </text>
    </comment>
    <comment ref="G283" authorId="0" shapeId="0" xr:uid="{F2AC918E-E675-4EB0-8753-D3F85625DC65}">
      <text>
        <r>
          <rPr>
            <sz val="11"/>
            <color theme="1"/>
            <rFont val="Calibri"/>
            <family val="2"/>
            <scheme val="minor"/>
          </rPr>
          <t xml:space="preserve">Period from January 1,2020 through January 31,2020
</t>
        </r>
      </text>
    </comment>
    <comment ref="G285" authorId="0" shapeId="0" xr:uid="{6791DC31-F6E6-4C7E-A549-6BF589024A11}">
      <text>
        <r>
          <rPr>
            <sz val="11"/>
            <color theme="1"/>
            <rFont val="Calibri"/>
            <family val="2"/>
            <scheme val="minor"/>
          </rPr>
          <t xml:space="preserve">Period from January 1,2020 through January 31,2020
</t>
        </r>
      </text>
    </comment>
    <comment ref="G286" authorId="0" shapeId="0" xr:uid="{7FF235A1-1B26-417A-8103-65144041F250}">
      <text>
        <r>
          <rPr>
            <sz val="11"/>
            <color theme="1"/>
            <rFont val="Calibri"/>
            <family val="2"/>
            <scheme val="minor"/>
          </rPr>
          <t xml:space="preserve">Period from January 1,2020 through January 31,2020
</t>
        </r>
      </text>
    </comment>
    <comment ref="G287" authorId="0" shapeId="0" xr:uid="{10AA03CB-32E6-4702-8DFB-74C8E8F25A3D}">
      <text>
        <r>
          <rPr>
            <sz val="11"/>
            <color theme="1"/>
            <rFont val="Calibri"/>
            <family val="2"/>
            <scheme val="minor"/>
          </rPr>
          <t xml:space="preserve">Period from January 1,2020 through January 31,2020
</t>
        </r>
      </text>
    </comment>
    <comment ref="G288" authorId="0" shapeId="0" xr:uid="{8BF5241F-0D25-4279-B567-70D9209CD088}">
      <text>
        <r>
          <rPr>
            <sz val="11"/>
            <color theme="1"/>
            <rFont val="Calibri"/>
            <family val="2"/>
            <scheme val="minor"/>
          </rPr>
          <t xml:space="preserve">Period from January 1,2020 through January 31,2020
</t>
        </r>
      </text>
    </comment>
    <comment ref="G289" authorId="0" shapeId="0" xr:uid="{50C08B93-93D0-4CA1-BE5A-35B60BA530AD}">
      <text>
        <r>
          <rPr>
            <sz val="11"/>
            <color theme="1"/>
            <rFont val="Calibri"/>
            <family val="2"/>
            <scheme val="minor"/>
          </rPr>
          <t xml:space="preserve">Period from January 1,2020 through January 31,2020
</t>
        </r>
      </text>
    </comment>
    <comment ref="G290" authorId="0" shapeId="0" xr:uid="{7A7EC32C-D75C-4315-AE75-A5F88CDCD0B2}">
      <text>
        <r>
          <rPr>
            <sz val="11"/>
            <color theme="1"/>
            <rFont val="Calibri"/>
            <family val="2"/>
            <scheme val="minor"/>
          </rPr>
          <t xml:space="preserve">Period from January 1,2020 through January 31,2020
</t>
        </r>
      </text>
    </comment>
    <comment ref="G291" authorId="0" shapeId="0" xr:uid="{CE914E32-553E-443A-97F3-330EFDC45FAC}">
      <text>
        <r>
          <rPr>
            <sz val="11"/>
            <color theme="1"/>
            <rFont val="Calibri"/>
            <family val="2"/>
            <scheme val="minor"/>
          </rPr>
          <t xml:space="preserve">Period from January 1,2020 through January 31,2020
</t>
        </r>
      </text>
    </comment>
    <comment ref="G292" authorId="0" shapeId="0" xr:uid="{4ABEAA6D-EF08-449F-9281-07366228D513}">
      <text>
        <r>
          <rPr>
            <sz val="11"/>
            <color theme="1"/>
            <rFont val="Calibri"/>
            <family val="2"/>
            <scheme val="minor"/>
          </rPr>
          <t xml:space="preserve">Period from January 1,2020 through January 31,2020
</t>
        </r>
      </text>
    </comment>
    <comment ref="G293" authorId="0" shapeId="0" xr:uid="{B9A03A1D-87CB-4D1E-BBE6-4A381515C8CF}">
      <text>
        <r>
          <rPr>
            <sz val="11"/>
            <color theme="1"/>
            <rFont val="Calibri"/>
            <family val="2"/>
            <scheme val="minor"/>
          </rPr>
          <t xml:space="preserve">Period from January 1,2020 through January 31,2020
</t>
        </r>
      </text>
    </comment>
    <comment ref="G296" authorId="0" shapeId="0" xr:uid="{59710DB3-CFB3-445E-BE0D-3FD72DCD60BA}">
      <text>
        <r>
          <rPr>
            <sz val="11"/>
            <color theme="1"/>
            <rFont val="Calibri"/>
            <family val="2"/>
            <scheme val="minor"/>
          </rPr>
          <t xml:space="preserve">Period from January 1,2020 through January 31,2020
</t>
        </r>
      </text>
    </comment>
    <comment ref="G297" authorId="0" shapeId="0" xr:uid="{CB8E44A7-3173-496C-BF69-D6D6389812FA}">
      <text>
        <r>
          <rPr>
            <sz val="11"/>
            <color theme="1"/>
            <rFont val="Calibri"/>
            <family val="2"/>
            <scheme val="minor"/>
          </rPr>
          <t xml:space="preserve">Period from January 1,2020 through January 31,2020
</t>
        </r>
      </text>
    </comment>
    <comment ref="G298" authorId="0" shapeId="0" xr:uid="{7E960276-8019-4594-BA0C-3A6C342805C3}">
      <text>
        <r>
          <rPr>
            <sz val="11"/>
            <color theme="1"/>
            <rFont val="Calibri"/>
            <family val="2"/>
            <scheme val="minor"/>
          </rPr>
          <t xml:space="preserve">Period from January 1,2020 through January 31,2020
</t>
        </r>
      </text>
    </comment>
    <comment ref="G299" authorId="0" shapeId="0" xr:uid="{90BD1515-90CA-4212-83F2-CB1E01929F50}">
      <text>
        <r>
          <rPr>
            <sz val="11"/>
            <color theme="1"/>
            <rFont val="Calibri"/>
            <family val="2"/>
            <scheme val="minor"/>
          </rPr>
          <t xml:space="preserve">Period from January 1,2020 through January 31,2020
</t>
        </r>
      </text>
    </comment>
    <comment ref="G302" authorId="0" shapeId="0" xr:uid="{BDDC4180-51F5-4880-8A23-8F67FC8C0D7A}">
      <text>
        <r>
          <rPr>
            <sz val="11"/>
            <color theme="1"/>
            <rFont val="Calibri"/>
            <family val="2"/>
            <scheme val="minor"/>
          </rPr>
          <t xml:space="preserve">Period from January 1,2020 through January 31,2020
</t>
        </r>
      </text>
    </comment>
    <comment ref="G303" authorId="0" shapeId="0" xr:uid="{BAEDE4E9-20C6-4DC2-9CFE-B869E3941944}">
      <text>
        <r>
          <rPr>
            <sz val="11"/>
            <color theme="1"/>
            <rFont val="Calibri"/>
            <family val="2"/>
            <scheme val="minor"/>
          </rPr>
          <t xml:space="preserve">Period from January 1,2020 through January 31,2020
</t>
        </r>
      </text>
    </comment>
    <comment ref="G304" authorId="0" shapeId="0" xr:uid="{9AE9C00B-37EF-45B3-8498-2F941BC53ACB}">
      <text>
        <r>
          <rPr>
            <sz val="11"/>
            <color theme="1"/>
            <rFont val="Calibri"/>
            <family val="2"/>
            <scheme val="minor"/>
          </rPr>
          <t xml:space="preserve">Period from January 1,2020 through January 31,2020
</t>
        </r>
      </text>
    </comment>
    <comment ref="G305" authorId="0" shapeId="0" xr:uid="{1B130AE1-36EA-4F7C-A73A-52F2BA3DF4C5}">
      <text>
        <r>
          <rPr>
            <sz val="11"/>
            <color theme="1"/>
            <rFont val="Calibri"/>
            <family val="2"/>
            <scheme val="minor"/>
          </rPr>
          <t xml:space="preserve">Period from January 1,2020 through January 31,2020
</t>
        </r>
      </text>
    </comment>
    <comment ref="G306" authorId="0" shapeId="0" xr:uid="{C6FA335F-4D00-4D4B-94AD-6C63154CD23E}">
      <text>
        <r>
          <rPr>
            <sz val="11"/>
            <color theme="1"/>
            <rFont val="Calibri"/>
            <family val="2"/>
            <scheme val="minor"/>
          </rPr>
          <t xml:space="preserve">Period from January 1,2020 through January 31,2020
</t>
        </r>
      </text>
    </comment>
    <comment ref="G308" authorId="0" shapeId="0" xr:uid="{D3ABF99A-21B1-47E3-831F-E3C65C89BD6E}">
      <text>
        <r>
          <rPr>
            <sz val="11"/>
            <color theme="1"/>
            <rFont val="Calibri"/>
            <family val="2"/>
            <scheme val="minor"/>
          </rPr>
          <t xml:space="preserve">Period from January 1,2020 through January 31,2020
</t>
        </r>
      </text>
    </comment>
    <comment ref="G309" authorId="0" shapeId="0" xr:uid="{0E51022C-F93A-4318-911F-265A97FF5E26}">
      <text>
        <r>
          <rPr>
            <sz val="11"/>
            <color theme="1"/>
            <rFont val="Calibri"/>
            <family val="2"/>
            <scheme val="minor"/>
          </rPr>
          <t xml:space="preserve">Period from January 1,2020 through January 31,2020
</t>
        </r>
      </text>
    </comment>
    <comment ref="G311" authorId="0" shapeId="0" xr:uid="{6C131360-D0B7-4E55-8FC9-4695ADEB3277}">
      <text>
        <r>
          <rPr>
            <sz val="11"/>
            <color theme="1"/>
            <rFont val="Calibri"/>
            <family val="2"/>
            <scheme val="minor"/>
          </rPr>
          <t xml:space="preserve">Period from January 1,2020 through January 31,2020
</t>
        </r>
      </text>
    </comment>
    <comment ref="G312" authorId="0" shapeId="0" xr:uid="{D1B59916-44D5-47B4-AE27-82E067271FC0}">
      <text>
        <r>
          <rPr>
            <sz val="11"/>
            <color theme="1"/>
            <rFont val="Calibri"/>
            <family val="2"/>
            <scheme val="minor"/>
          </rPr>
          <t xml:space="preserve">Period from January 1,2020 through January 31,2020
</t>
        </r>
      </text>
    </comment>
    <comment ref="G315" authorId="0" shapeId="0" xr:uid="{606B880D-B793-4178-898A-40B65616D9EA}">
      <text>
        <r>
          <rPr>
            <sz val="11"/>
            <color theme="1"/>
            <rFont val="Calibri"/>
            <family val="2"/>
            <scheme val="minor"/>
          </rPr>
          <t xml:space="preserve">Period from January 1,2020 through January 31,2020
</t>
        </r>
      </text>
    </comment>
    <comment ref="G316" authorId="0" shapeId="0" xr:uid="{F435185D-F407-4C1D-AAF6-3C437BFCACE8}">
      <text>
        <r>
          <rPr>
            <sz val="11"/>
            <color theme="1"/>
            <rFont val="Calibri"/>
            <family val="2"/>
            <scheme val="minor"/>
          </rPr>
          <t xml:space="preserve">Period from January 1,2020 through January 31,2020
</t>
        </r>
      </text>
    </comment>
    <comment ref="G319" authorId="0" shapeId="0" xr:uid="{B21893C2-1842-40EB-89A6-FD5B2BC9D70F}">
      <text>
        <r>
          <rPr>
            <sz val="11"/>
            <color theme="1"/>
            <rFont val="Calibri"/>
            <family val="2"/>
            <scheme val="minor"/>
          </rPr>
          <t xml:space="preserve">Period from January 1,2020 through January 31,2020
</t>
        </r>
      </text>
    </comment>
    <comment ref="G320" authorId="0" shapeId="0" xr:uid="{C1D07022-6CB9-4794-9734-1C3E344EC2B1}">
      <text>
        <r>
          <rPr>
            <sz val="11"/>
            <color theme="1"/>
            <rFont val="Calibri"/>
            <family val="2"/>
            <scheme val="minor"/>
          </rPr>
          <t xml:space="preserve">Period from January 1,2020 through January 31,2020
</t>
        </r>
      </text>
    </comment>
    <comment ref="C324" authorId="1" shapeId="0" xr:uid="{FF724108-C96A-4B02-9BEB-13D5644BC7BA}">
      <text>
        <r>
          <rPr>
            <sz val="11"/>
            <color theme="1"/>
            <rFont val="Calibri"/>
            <family val="2"/>
            <scheme val="minor"/>
          </rPr>
          <t>Predecessor data</t>
        </r>
      </text>
    </comment>
    <comment ref="D324" authorId="1" shapeId="0" xr:uid="{5790BF22-BF71-4444-B4C2-C641B7F80576}">
      <text>
        <r>
          <rPr>
            <sz val="11"/>
            <color theme="1"/>
            <rFont val="Calibri"/>
            <family val="2"/>
            <scheme val="minor"/>
          </rPr>
          <t>Predecessor data</t>
        </r>
      </text>
    </comment>
    <comment ref="E324" authorId="1" shapeId="0" xr:uid="{F932B7D6-28DD-474D-8D66-4BA4319C6F0A}">
      <text>
        <r>
          <rPr>
            <sz val="11"/>
            <color theme="1"/>
            <rFont val="Calibri"/>
            <family val="2"/>
            <scheme val="minor"/>
          </rPr>
          <t>Predecessor data</t>
        </r>
      </text>
    </comment>
    <comment ref="F324" authorId="1" shapeId="0" xr:uid="{7EC89290-F289-4948-82E4-F0F6BBDA86C4}">
      <text>
        <r>
          <rPr>
            <sz val="11"/>
            <color theme="1"/>
            <rFont val="Calibri"/>
            <family val="2"/>
            <scheme val="minor"/>
          </rPr>
          <t>Predecessor data</t>
        </r>
      </text>
    </comment>
    <comment ref="G324" authorId="0" shapeId="0" xr:uid="{454F3082-9020-42E5-BEE0-25574D764E16}">
      <text>
        <r>
          <rPr>
            <sz val="11"/>
            <color theme="1"/>
            <rFont val="Calibri"/>
            <family val="2"/>
            <scheme val="minor"/>
          </rPr>
          <t xml:space="preserve">Period from February 1,2020 through March 31,2020
</t>
        </r>
      </text>
    </comment>
    <comment ref="R324" authorId="1" shapeId="0" xr:uid="{E565ABFE-D1F4-4634-9D15-E559DE249A12}">
      <text>
        <r>
          <rPr>
            <sz val="11"/>
            <color theme="1"/>
            <rFont val="Calibri"/>
            <family val="2"/>
            <scheme val="minor"/>
          </rPr>
          <t>Predecessor data</t>
        </r>
      </text>
    </comment>
    <comment ref="S324" authorId="0" shapeId="0" xr:uid="{6EE3C159-54FE-4D5A-8D75-CD1A3C53DB8F}">
      <text>
        <r>
          <rPr>
            <sz val="11"/>
            <color theme="1"/>
            <rFont val="Calibri"/>
            <family val="2"/>
            <scheme val="minor"/>
          </rPr>
          <t xml:space="preserve">Period from 
February 1, 2020 through December 31,2020
</t>
        </r>
      </text>
    </comment>
    <comment ref="C325" authorId="1" shapeId="0" xr:uid="{C1FD2392-DA8D-4B3E-A754-22310F09684F}">
      <text>
        <r>
          <rPr>
            <sz val="11"/>
            <color theme="1"/>
            <rFont val="Calibri"/>
            <family val="2"/>
            <scheme val="minor"/>
          </rPr>
          <t>Predecessor data</t>
        </r>
      </text>
    </comment>
    <comment ref="D325" authorId="1" shapeId="0" xr:uid="{49550574-32E9-4342-BDAB-D2F84491503F}">
      <text>
        <r>
          <rPr>
            <sz val="11"/>
            <color theme="1"/>
            <rFont val="Calibri"/>
            <family val="2"/>
            <scheme val="minor"/>
          </rPr>
          <t>Predecessor data</t>
        </r>
      </text>
    </comment>
    <comment ref="E325" authorId="1" shapeId="0" xr:uid="{71860E7F-45D8-4AB7-ACAF-76ACCA65FC03}">
      <text>
        <r>
          <rPr>
            <sz val="11"/>
            <color theme="1"/>
            <rFont val="Calibri"/>
            <family val="2"/>
            <scheme val="minor"/>
          </rPr>
          <t>Predecessor data</t>
        </r>
      </text>
    </comment>
    <comment ref="F325" authorId="1" shapeId="0" xr:uid="{F00DC9F8-A0E8-4210-B054-32316670DCEB}">
      <text>
        <r>
          <rPr>
            <sz val="11"/>
            <color theme="1"/>
            <rFont val="Calibri"/>
            <family val="2"/>
            <scheme val="minor"/>
          </rPr>
          <t>Predecessor data</t>
        </r>
      </text>
    </comment>
    <comment ref="G325" authorId="0" shapeId="0" xr:uid="{F059616E-0AFA-4194-911A-35C3A63A602A}">
      <text>
        <r>
          <rPr>
            <sz val="11"/>
            <color theme="1"/>
            <rFont val="Calibri"/>
            <family val="2"/>
            <scheme val="minor"/>
          </rPr>
          <t xml:space="preserve">Period from February 1,2020 through March 31,2020
</t>
        </r>
      </text>
    </comment>
    <comment ref="R325" authorId="1" shapeId="0" xr:uid="{59868DC4-9EA5-416A-8A0C-36C2D28A0A1A}">
      <text>
        <r>
          <rPr>
            <sz val="11"/>
            <color theme="1"/>
            <rFont val="Calibri"/>
            <family val="2"/>
            <scheme val="minor"/>
          </rPr>
          <t>Predecessor data</t>
        </r>
      </text>
    </comment>
    <comment ref="S325" authorId="0" shapeId="0" xr:uid="{6E458F7A-23E0-43BA-A0B5-8130333655D0}">
      <text>
        <r>
          <rPr>
            <sz val="11"/>
            <color theme="1"/>
            <rFont val="Calibri"/>
            <family val="2"/>
            <scheme val="minor"/>
          </rPr>
          <t xml:space="preserve">Period from 
February 1, 2020 through December 31,2020
</t>
        </r>
      </text>
    </comment>
    <comment ref="C326" authorId="1" shapeId="0" xr:uid="{2BF33D58-38C4-49AF-AE96-43082F40DADD}">
      <text>
        <r>
          <rPr>
            <sz val="11"/>
            <color theme="1"/>
            <rFont val="Calibri"/>
            <family val="2"/>
            <scheme val="minor"/>
          </rPr>
          <t>Predecessor data</t>
        </r>
      </text>
    </comment>
    <comment ref="D326" authorId="1" shapeId="0" xr:uid="{190245E7-0F12-4B74-9F42-144257DEA52A}">
      <text>
        <r>
          <rPr>
            <sz val="11"/>
            <color theme="1"/>
            <rFont val="Calibri"/>
            <family val="2"/>
            <scheme val="minor"/>
          </rPr>
          <t>Predecessor data</t>
        </r>
      </text>
    </comment>
    <comment ref="E326" authorId="1" shapeId="0" xr:uid="{C738EE28-5342-4BDF-BA26-1BA2AFEB3EB6}">
      <text>
        <r>
          <rPr>
            <sz val="11"/>
            <color theme="1"/>
            <rFont val="Calibri"/>
            <family val="2"/>
            <scheme val="minor"/>
          </rPr>
          <t>Predecessor data</t>
        </r>
      </text>
    </comment>
    <comment ref="F326" authorId="1" shapeId="0" xr:uid="{C5B16D87-7B7E-4482-AC84-93A01A8E859A}">
      <text>
        <r>
          <rPr>
            <sz val="11"/>
            <color theme="1"/>
            <rFont val="Calibri"/>
            <family val="2"/>
            <scheme val="minor"/>
          </rPr>
          <t>Predecessor data</t>
        </r>
      </text>
    </comment>
    <comment ref="G326" authorId="0" shapeId="0" xr:uid="{75F4751C-AC5A-4096-A64B-3992092DC2FB}">
      <text>
        <r>
          <rPr>
            <sz val="11"/>
            <color theme="1"/>
            <rFont val="Calibri"/>
            <family val="2"/>
            <scheme val="minor"/>
          </rPr>
          <t xml:space="preserve">Period from February 1,2020 through March 31,2020
</t>
        </r>
      </text>
    </comment>
    <comment ref="R326" authorId="1" shapeId="0" xr:uid="{1141A460-C26C-44EC-8EA6-6EAEB5C156BA}">
      <text>
        <r>
          <rPr>
            <sz val="11"/>
            <color theme="1"/>
            <rFont val="Calibri"/>
            <family val="2"/>
            <scheme val="minor"/>
          </rPr>
          <t>Predecessor data</t>
        </r>
      </text>
    </comment>
    <comment ref="S326" authorId="0" shapeId="0" xr:uid="{C4E88988-1290-41B3-A2CD-F0777048642B}">
      <text>
        <r>
          <rPr>
            <sz val="11"/>
            <color theme="1"/>
            <rFont val="Calibri"/>
            <family val="2"/>
            <scheme val="minor"/>
          </rPr>
          <t xml:space="preserve">Period from 
February 1, 2020 through December 31,2020
</t>
        </r>
      </text>
    </comment>
    <comment ref="C327" authorId="1" shapeId="0" xr:uid="{5F37A044-55C9-4161-BD4D-2626AE3E9837}">
      <text>
        <r>
          <rPr>
            <sz val="11"/>
            <color theme="1"/>
            <rFont val="Calibri"/>
            <family val="2"/>
            <scheme val="minor"/>
          </rPr>
          <t>Predecessor data</t>
        </r>
      </text>
    </comment>
    <comment ref="D327" authorId="1" shapeId="0" xr:uid="{7EF21F85-7F4D-4FD0-AEB8-ACC37D0C929B}">
      <text>
        <r>
          <rPr>
            <sz val="11"/>
            <color theme="1"/>
            <rFont val="Calibri"/>
            <family val="2"/>
            <scheme val="minor"/>
          </rPr>
          <t>Predecessor data</t>
        </r>
      </text>
    </comment>
    <comment ref="E327" authorId="1" shapeId="0" xr:uid="{193509F3-0377-4714-88DA-52A4DF3E341A}">
      <text>
        <r>
          <rPr>
            <sz val="11"/>
            <color theme="1"/>
            <rFont val="Calibri"/>
            <family val="2"/>
            <scheme val="minor"/>
          </rPr>
          <t>Predecessor data</t>
        </r>
      </text>
    </comment>
    <comment ref="F327" authorId="1" shapeId="0" xr:uid="{0058872F-1FC0-4971-BF77-EB305A3EFD19}">
      <text>
        <r>
          <rPr>
            <sz val="11"/>
            <color theme="1"/>
            <rFont val="Calibri"/>
            <family val="2"/>
            <scheme val="minor"/>
          </rPr>
          <t>Predecessor data</t>
        </r>
      </text>
    </comment>
    <comment ref="G327" authorId="0" shapeId="0" xr:uid="{F10DC507-F091-4505-B9C8-B360C95A3DE5}">
      <text>
        <r>
          <rPr>
            <sz val="11"/>
            <color theme="1"/>
            <rFont val="Calibri"/>
            <family val="2"/>
            <scheme val="minor"/>
          </rPr>
          <t xml:space="preserve">Period from February 1,2020 through March 31,2020
</t>
        </r>
      </text>
    </comment>
    <comment ref="R327" authorId="1" shapeId="0" xr:uid="{ABDF7320-DC7C-453E-A65A-08F5DC3E7559}">
      <text>
        <r>
          <rPr>
            <sz val="11"/>
            <color theme="1"/>
            <rFont val="Calibri"/>
            <family val="2"/>
            <scheme val="minor"/>
          </rPr>
          <t>Predecessor data</t>
        </r>
      </text>
    </comment>
    <comment ref="S327" authorId="0" shapeId="0" xr:uid="{B27219B3-F224-4908-9933-0BBA5F18149C}">
      <text>
        <r>
          <rPr>
            <sz val="11"/>
            <color theme="1"/>
            <rFont val="Calibri"/>
            <family val="2"/>
            <scheme val="minor"/>
          </rPr>
          <t xml:space="preserve">Period from 
February 1, 2020 through December 31,2020
</t>
        </r>
      </text>
    </comment>
    <comment ref="C329" authorId="1" shapeId="0" xr:uid="{BF6C5091-106F-49BB-A050-85814A8C12FA}">
      <text>
        <r>
          <rPr>
            <sz val="11"/>
            <color theme="1"/>
            <rFont val="Calibri"/>
            <family val="2"/>
            <scheme val="minor"/>
          </rPr>
          <t>Predecessor data</t>
        </r>
      </text>
    </comment>
    <comment ref="D329" authorId="1" shapeId="0" xr:uid="{A50CEA9C-36A2-4DA0-ACBF-010E02E4F23E}">
      <text>
        <r>
          <rPr>
            <sz val="11"/>
            <color theme="1"/>
            <rFont val="Calibri"/>
            <family val="2"/>
            <scheme val="minor"/>
          </rPr>
          <t>Predecessor data</t>
        </r>
      </text>
    </comment>
    <comment ref="E329" authorId="1" shapeId="0" xr:uid="{B31E4A4E-7BC5-42BA-A618-E74A01B4C77D}">
      <text>
        <r>
          <rPr>
            <sz val="11"/>
            <color theme="1"/>
            <rFont val="Calibri"/>
            <family val="2"/>
            <scheme val="minor"/>
          </rPr>
          <t>Predecessor data</t>
        </r>
      </text>
    </comment>
    <comment ref="F329" authorId="1" shapeId="0" xr:uid="{976A1CB1-2A8E-467C-9B75-0CA79CF6A04F}">
      <text>
        <r>
          <rPr>
            <sz val="11"/>
            <color theme="1"/>
            <rFont val="Calibri"/>
            <family val="2"/>
            <scheme val="minor"/>
          </rPr>
          <t>Predecessor data</t>
        </r>
      </text>
    </comment>
    <comment ref="G329" authorId="0" shapeId="0" xr:uid="{013E2622-8DC6-45FB-9E7D-66A3433D7498}">
      <text>
        <r>
          <rPr>
            <sz val="11"/>
            <color theme="1"/>
            <rFont val="Calibri"/>
            <family val="2"/>
            <scheme val="minor"/>
          </rPr>
          <t xml:space="preserve">Period from February 1,2020 through March 31,2020
</t>
        </r>
      </text>
    </comment>
    <comment ref="R329" authorId="1" shapeId="0" xr:uid="{2731D469-9410-4F5D-B949-2A93D151B2FA}">
      <text>
        <r>
          <rPr>
            <sz val="11"/>
            <color theme="1"/>
            <rFont val="Calibri"/>
            <family val="2"/>
            <scheme val="minor"/>
          </rPr>
          <t>Predecessor data</t>
        </r>
      </text>
    </comment>
    <comment ref="S329" authorId="0" shapeId="0" xr:uid="{8A6E1442-FE2F-4E4D-8AE3-854128291068}">
      <text>
        <r>
          <rPr>
            <sz val="11"/>
            <color theme="1"/>
            <rFont val="Calibri"/>
            <family val="2"/>
            <scheme val="minor"/>
          </rPr>
          <t xml:space="preserve">Period from 
February 1, 2020 through December 31,2020
</t>
        </r>
      </text>
    </comment>
    <comment ref="E330" authorId="1" shapeId="0" xr:uid="{0F527E45-F5E2-4B6E-9B1C-99E6F5D6FD62}">
      <text>
        <r>
          <rPr>
            <sz val="11"/>
            <color theme="1"/>
            <rFont val="Calibri"/>
            <family val="2"/>
            <scheme val="minor"/>
          </rPr>
          <t>Predecessor data</t>
        </r>
      </text>
    </comment>
    <comment ref="F330" authorId="1" shapeId="0" xr:uid="{871ED178-B643-4DAD-86DC-AEBA36E68884}">
      <text>
        <r>
          <rPr>
            <sz val="11"/>
            <color theme="1"/>
            <rFont val="Calibri"/>
            <family val="2"/>
            <scheme val="minor"/>
          </rPr>
          <t>Predecessor data</t>
        </r>
      </text>
    </comment>
    <comment ref="G330" authorId="0" shapeId="0" xr:uid="{C67172F7-DDDC-4D8B-9F2F-6F5A638CB98D}">
      <text>
        <r>
          <rPr>
            <sz val="11"/>
            <color theme="1"/>
            <rFont val="Calibri"/>
            <family val="2"/>
            <scheme val="minor"/>
          </rPr>
          <t xml:space="preserve">Period from February 1,2020 through March 31,2020
</t>
        </r>
      </text>
    </comment>
    <comment ref="R330" authorId="1" shapeId="0" xr:uid="{0F99A196-0F0E-4CA4-9E76-915DBC64DA97}">
      <text>
        <r>
          <rPr>
            <sz val="11"/>
            <color theme="1"/>
            <rFont val="Calibri"/>
            <family val="2"/>
            <scheme val="minor"/>
          </rPr>
          <t>Predecessor data</t>
        </r>
      </text>
    </comment>
    <comment ref="S330" authorId="0" shapeId="0" xr:uid="{B01E626C-22AF-4BA4-9B67-316EBF6A6F77}">
      <text>
        <r>
          <rPr>
            <sz val="11"/>
            <color theme="1"/>
            <rFont val="Calibri"/>
            <family val="2"/>
            <scheme val="minor"/>
          </rPr>
          <t xml:space="preserve">Period from 
February 1, 2020 through December 31,2020
</t>
        </r>
      </text>
    </comment>
    <comment ref="S331" authorId="0" shapeId="0" xr:uid="{76964F42-2BCE-4477-AD90-D44EC72558B3}">
      <text>
        <r>
          <rPr>
            <sz val="11"/>
            <color theme="1"/>
            <rFont val="Calibri"/>
            <family val="2"/>
            <scheme val="minor"/>
          </rPr>
          <t xml:space="preserve">Period from 
February 1, 2020 through December 31,2020
</t>
        </r>
      </text>
    </comment>
    <comment ref="C332" authorId="1" shapeId="0" xr:uid="{623B0005-21C5-4AD1-90BF-BB49C5D418BE}">
      <text>
        <r>
          <rPr>
            <sz val="11"/>
            <color theme="1"/>
            <rFont val="Calibri"/>
            <family val="2"/>
            <scheme val="minor"/>
          </rPr>
          <t>Predecessor data</t>
        </r>
      </text>
    </comment>
    <comment ref="D332" authorId="1" shapeId="0" xr:uid="{1E6BE9A8-1888-425B-B6F7-137A178846C4}">
      <text>
        <r>
          <rPr>
            <sz val="11"/>
            <color theme="1"/>
            <rFont val="Calibri"/>
            <family val="2"/>
            <scheme val="minor"/>
          </rPr>
          <t>Predecessor data</t>
        </r>
      </text>
    </comment>
    <comment ref="E332" authorId="1" shapeId="0" xr:uid="{C721FCFC-5611-44E9-9F75-5552833BD91F}">
      <text>
        <r>
          <rPr>
            <sz val="11"/>
            <color theme="1"/>
            <rFont val="Calibri"/>
            <family val="2"/>
            <scheme val="minor"/>
          </rPr>
          <t>Predecessor data</t>
        </r>
      </text>
    </comment>
    <comment ref="F332" authorId="1" shapeId="0" xr:uid="{2FA40411-BF79-426C-929F-47BB3221017A}">
      <text>
        <r>
          <rPr>
            <sz val="11"/>
            <color theme="1"/>
            <rFont val="Calibri"/>
            <family val="2"/>
            <scheme val="minor"/>
          </rPr>
          <t>Predecessor data</t>
        </r>
      </text>
    </comment>
    <comment ref="G332" authorId="0" shapeId="0" xr:uid="{330D9F02-169F-4F52-A278-D5F0E54B600E}">
      <text>
        <r>
          <rPr>
            <sz val="11"/>
            <color theme="1"/>
            <rFont val="Calibri"/>
            <family val="2"/>
            <scheme val="minor"/>
          </rPr>
          <t xml:space="preserve">Period from February 1,2020 through March 31,2020
</t>
        </r>
      </text>
    </comment>
    <comment ref="R332" authorId="1" shapeId="0" xr:uid="{C92882EB-372C-4D8D-AD16-2B18AFC73BF5}">
      <text>
        <r>
          <rPr>
            <sz val="11"/>
            <color theme="1"/>
            <rFont val="Calibri"/>
            <family val="2"/>
            <scheme val="minor"/>
          </rPr>
          <t>Predecessor data</t>
        </r>
      </text>
    </comment>
    <comment ref="S332" authorId="0" shapeId="0" xr:uid="{FD067AB4-F06B-437C-8942-6035E74BE4A3}">
      <text>
        <r>
          <rPr>
            <sz val="11"/>
            <color theme="1"/>
            <rFont val="Calibri"/>
            <family val="2"/>
            <scheme val="minor"/>
          </rPr>
          <t xml:space="preserve">Period from 
February 1, 2020 through December 31,2020
</t>
        </r>
      </text>
    </comment>
    <comment ref="C333" authorId="1" shapeId="0" xr:uid="{80503A64-C7DC-4F29-9916-93D150132D8B}">
      <text>
        <r>
          <rPr>
            <sz val="11"/>
            <color theme="1"/>
            <rFont val="Calibri"/>
            <family val="2"/>
            <scheme val="minor"/>
          </rPr>
          <t>Predecessor data</t>
        </r>
      </text>
    </comment>
    <comment ref="D333" authorId="1" shapeId="0" xr:uid="{5D9FDA06-519C-41C8-955E-412B56144F01}">
      <text>
        <r>
          <rPr>
            <sz val="11"/>
            <color theme="1"/>
            <rFont val="Calibri"/>
            <family val="2"/>
            <scheme val="minor"/>
          </rPr>
          <t>Predecessor data</t>
        </r>
      </text>
    </comment>
    <comment ref="E333" authorId="1" shapeId="0" xr:uid="{03AB35F4-5EAE-40C3-ABDF-37C35C86F5EE}">
      <text>
        <r>
          <rPr>
            <sz val="11"/>
            <color theme="1"/>
            <rFont val="Calibri"/>
            <family val="2"/>
            <scheme val="minor"/>
          </rPr>
          <t>Predecessor data</t>
        </r>
      </text>
    </comment>
    <comment ref="F333" authorId="1" shapeId="0" xr:uid="{1837B08F-506D-449E-8C9F-DB86F3E6260D}">
      <text>
        <r>
          <rPr>
            <sz val="11"/>
            <color theme="1"/>
            <rFont val="Calibri"/>
            <family val="2"/>
            <scheme val="minor"/>
          </rPr>
          <t>Predecessor data</t>
        </r>
      </text>
    </comment>
    <comment ref="G333" authorId="0" shapeId="0" xr:uid="{C18F721D-0740-41D7-BCB4-4F65A2B82658}">
      <text>
        <r>
          <rPr>
            <sz val="11"/>
            <color theme="1"/>
            <rFont val="Calibri"/>
            <family val="2"/>
            <scheme val="minor"/>
          </rPr>
          <t xml:space="preserve">Period from February 1,2020 through March 31,2020
</t>
        </r>
      </text>
    </comment>
    <comment ref="R333" authorId="1" shapeId="0" xr:uid="{85AB2A0A-0430-4513-8B5A-4B242513D422}">
      <text>
        <r>
          <rPr>
            <sz val="11"/>
            <color theme="1"/>
            <rFont val="Calibri"/>
            <family val="2"/>
            <scheme val="minor"/>
          </rPr>
          <t>Predecessor data</t>
        </r>
      </text>
    </comment>
    <comment ref="S333" authorId="0" shapeId="0" xr:uid="{8574B52B-DEC6-44CC-8998-F2019C43E802}">
      <text>
        <r>
          <rPr>
            <sz val="11"/>
            <color theme="1"/>
            <rFont val="Calibri"/>
            <family val="2"/>
            <scheme val="minor"/>
          </rPr>
          <t xml:space="preserve">Period from 
February 1, 2020 through December 31,2020
</t>
        </r>
      </text>
    </comment>
    <comment ref="G335" authorId="0" shapeId="0" xr:uid="{2EBD114D-1EAF-403E-8B88-906E4D15BBE4}">
      <text>
        <r>
          <rPr>
            <sz val="11"/>
            <color theme="1"/>
            <rFont val="Calibri"/>
            <family val="2"/>
            <scheme val="minor"/>
          </rPr>
          <t xml:space="preserve">Period from February 1,2020 through March 31,2020
</t>
        </r>
      </text>
    </comment>
    <comment ref="R335" authorId="1" shapeId="0" xr:uid="{DA7F2E69-753B-41AE-AC32-7134DC218322}">
      <text>
        <r>
          <rPr>
            <sz val="11"/>
            <color theme="1"/>
            <rFont val="Calibri"/>
            <family val="2"/>
            <scheme val="minor"/>
          </rPr>
          <t>Predecessor data</t>
        </r>
      </text>
    </comment>
    <comment ref="S335" authorId="0" shapeId="0" xr:uid="{A52D0937-5D35-48B9-8863-DAA112309B3B}">
      <text>
        <r>
          <rPr>
            <sz val="11"/>
            <color theme="1"/>
            <rFont val="Calibri"/>
            <family val="2"/>
            <scheme val="minor"/>
          </rPr>
          <t xml:space="preserve">Period from 
February 1, 2020 through December 31,2020
</t>
        </r>
      </text>
    </comment>
    <comment ref="C336" authorId="1" shapeId="0" xr:uid="{0ECF5340-89A4-4656-A096-33D77D795F78}">
      <text>
        <r>
          <rPr>
            <sz val="11"/>
            <color theme="1"/>
            <rFont val="Calibri"/>
            <family val="2"/>
            <scheme val="minor"/>
          </rPr>
          <t>Predecessor data</t>
        </r>
      </text>
    </comment>
    <comment ref="D336" authorId="1" shapeId="0" xr:uid="{16F266F7-FA3E-4A83-B31C-598BFDF86E8E}">
      <text>
        <r>
          <rPr>
            <sz val="11"/>
            <color theme="1"/>
            <rFont val="Calibri"/>
            <family val="2"/>
            <scheme val="minor"/>
          </rPr>
          <t>Predecessor data</t>
        </r>
      </text>
    </comment>
    <comment ref="E336" authorId="1" shapeId="0" xr:uid="{B64FD417-FF0B-44A0-AE6D-311D7DA9C90E}">
      <text>
        <r>
          <rPr>
            <sz val="11"/>
            <color theme="1"/>
            <rFont val="Calibri"/>
            <family val="2"/>
            <scheme val="minor"/>
          </rPr>
          <t>Predecessor data</t>
        </r>
      </text>
    </comment>
    <comment ref="F336" authorId="1" shapeId="0" xr:uid="{13CEA196-767B-4F1C-99A7-66DB7216B1FD}">
      <text>
        <r>
          <rPr>
            <sz val="11"/>
            <color theme="1"/>
            <rFont val="Calibri"/>
            <family val="2"/>
            <scheme val="minor"/>
          </rPr>
          <t>Predecessor data</t>
        </r>
      </text>
    </comment>
    <comment ref="G336" authorId="0" shapeId="0" xr:uid="{B4F66C8E-BFAF-4EAE-8A41-6BC5CCE0BC48}">
      <text>
        <r>
          <rPr>
            <sz val="11"/>
            <color theme="1"/>
            <rFont val="Calibri"/>
            <family val="2"/>
            <scheme val="minor"/>
          </rPr>
          <t xml:space="preserve">Period from February 1,2020 through March 31,2020
</t>
        </r>
      </text>
    </comment>
    <comment ref="C337" authorId="1" shapeId="0" xr:uid="{7E04EC1D-A5A9-4CD6-B2F4-49E9FCA9F79D}">
      <text>
        <r>
          <rPr>
            <sz val="11"/>
            <color theme="1"/>
            <rFont val="Calibri"/>
            <family val="2"/>
            <scheme val="minor"/>
          </rPr>
          <t>Predecessor data</t>
        </r>
      </text>
    </comment>
    <comment ref="D337" authorId="1" shapeId="0" xr:uid="{C4DF2CAF-CE03-4734-A0FD-6B0071A689B9}">
      <text>
        <r>
          <rPr>
            <sz val="11"/>
            <color theme="1"/>
            <rFont val="Calibri"/>
            <family val="2"/>
            <scheme val="minor"/>
          </rPr>
          <t>Predecessor data</t>
        </r>
      </text>
    </comment>
    <comment ref="E337" authorId="1" shapeId="0" xr:uid="{459B298B-F62C-4826-896F-819ACE524C02}">
      <text>
        <r>
          <rPr>
            <sz val="11"/>
            <color theme="1"/>
            <rFont val="Calibri"/>
            <family val="2"/>
            <scheme val="minor"/>
          </rPr>
          <t>Predecessor data</t>
        </r>
      </text>
    </comment>
    <comment ref="F337" authorId="1" shapeId="0" xr:uid="{965567D5-8A52-4512-B776-80D014C9264B}">
      <text>
        <r>
          <rPr>
            <sz val="11"/>
            <color theme="1"/>
            <rFont val="Calibri"/>
            <family val="2"/>
            <scheme val="minor"/>
          </rPr>
          <t>Predecessor data</t>
        </r>
      </text>
    </comment>
    <comment ref="G337" authorId="0" shapeId="0" xr:uid="{3F4CF91C-16B3-4E21-88F7-0BFB1964F2B6}">
      <text>
        <r>
          <rPr>
            <sz val="11"/>
            <color theme="1"/>
            <rFont val="Calibri"/>
            <family val="2"/>
            <scheme val="minor"/>
          </rPr>
          <t xml:space="preserve">Period from February 1,2020 through March 31,2020
</t>
        </r>
      </text>
    </comment>
    <comment ref="R337" authorId="1" shapeId="0" xr:uid="{A505BA0A-1E1E-4128-AF0C-B9A02BE55719}">
      <text>
        <r>
          <rPr>
            <sz val="11"/>
            <color theme="1"/>
            <rFont val="Calibri"/>
            <family val="2"/>
            <scheme val="minor"/>
          </rPr>
          <t>Predecessor data</t>
        </r>
      </text>
    </comment>
    <comment ref="S337" authorId="0" shapeId="0" xr:uid="{34AB21A9-38BE-4089-8698-71F464ABE8FC}">
      <text>
        <r>
          <rPr>
            <sz val="11"/>
            <color theme="1"/>
            <rFont val="Calibri"/>
            <family val="2"/>
            <scheme val="minor"/>
          </rPr>
          <t xml:space="preserve">Period from 
February 1, 2020 through December 31,2020
</t>
        </r>
      </text>
    </comment>
    <comment ref="G340" authorId="0" shapeId="0" xr:uid="{2DBA7A09-47FA-4500-867D-4D55C5C03FDB}">
      <text>
        <r>
          <rPr>
            <sz val="11"/>
            <color theme="1"/>
            <rFont val="Calibri"/>
            <family val="2"/>
            <scheme val="minor"/>
          </rPr>
          <t xml:space="preserve">Period from January 1,2020 through January 31,2020
</t>
        </r>
      </text>
    </comment>
    <comment ref="G341" authorId="0" shapeId="0" xr:uid="{EBEBCF06-DE98-4EB8-B75F-13CEFB9AD769}">
      <text>
        <r>
          <rPr>
            <sz val="11"/>
            <color theme="1"/>
            <rFont val="Calibri"/>
            <family val="2"/>
            <scheme val="minor"/>
          </rPr>
          <t xml:space="preserve">Period from January 1,2020 through January 31,2020
</t>
        </r>
      </text>
    </comment>
    <comment ref="G342" authorId="0" shapeId="0" xr:uid="{A39416D7-6DBA-459A-9346-E20106B6E48B}">
      <text>
        <r>
          <rPr>
            <sz val="11"/>
            <color theme="1"/>
            <rFont val="Calibri"/>
            <family val="2"/>
            <scheme val="minor"/>
          </rPr>
          <t xml:space="preserve">Period from January 1,2020 through January 31,2020
</t>
        </r>
      </text>
    </comment>
    <comment ref="G343" authorId="0" shapeId="0" xr:uid="{74C658A2-5631-4313-9515-FB9CCC3F5B21}">
      <text>
        <r>
          <rPr>
            <sz val="11"/>
            <color theme="1"/>
            <rFont val="Calibri"/>
            <family val="2"/>
            <scheme val="minor"/>
          </rPr>
          <t xml:space="preserve">Period from January 1,2020 through January 31,2020
</t>
        </r>
      </text>
    </comment>
    <comment ref="G344" authorId="0" shapeId="0" xr:uid="{B10186DE-21AA-47C4-AC76-EB7D649C96AB}">
      <text>
        <r>
          <rPr>
            <sz val="11"/>
            <color theme="1"/>
            <rFont val="Calibri"/>
            <family val="2"/>
            <scheme val="minor"/>
          </rPr>
          <t xml:space="preserve">Period from January 1,2020 through January 31,2020
</t>
        </r>
      </text>
    </comment>
    <comment ref="G345" authorId="0" shapeId="0" xr:uid="{C510BEAA-BA7E-425F-BA66-2ACE8C37732F}">
      <text>
        <r>
          <rPr>
            <sz val="11"/>
            <color theme="1"/>
            <rFont val="Calibri"/>
            <family val="2"/>
            <scheme val="minor"/>
          </rPr>
          <t xml:space="preserve">Period from January 1,2020 through January 31,2020
</t>
        </r>
      </text>
    </comment>
    <comment ref="G346" authorId="0" shapeId="0" xr:uid="{F4E534B2-E450-4804-AD7E-9C660E177F08}">
      <text>
        <r>
          <rPr>
            <sz val="11"/>
            <color theme="1"/>
            <rFont val="Calibri"/>
            <family val="2"/>
            <scheme val="minor"/>
          </rPr>
          <t xml:space="preserve">Period from January 1,2020 through January 31,2020
</t>
        </r>
      </text>
    </comment>
    <comment ref="G347" authorId="0" shapeId="0" xr:uid="{2147CF85-30EA-4356-83A4-56F58F56520D}">
      <text>
        <r>
          <rPr>
            <sz val="11"/>
            <color theme="1"/>
            <rFont val="Calibri"/>
            <family val="2"/>
            <scheme val="minor"/>
          </rPr>
          <t xml:space="preserve">Period from January 1,2020 through January 31,2020
</t>
        </r>
      </text>
    </comment>
    <comment ref="G348" authorId="0" shapeId="0" xr:uid="{F1F25338-DC89-40E4-B59E-34AB5670F25A}">
      <text>
        <r>
          <rPr>
            <sz val="11"/>
            <color theme="1"/>
            <rFont val="Calibri"/>
            <family val="2"/>
            <scheme val="minor"/>
          </rPr>
          <t xml:space="preserve">Period from January 1,2020 through January 31,2020
</t>
        </r>
      </text>
    </comment>
    <comment ref="G349" authorId="0" shapeId="0" xr:uid="{7C055804-2A70-45EE-B380-DCE840A3DE72}">
      <text>
        <r>
          <rPr>
            <sz val="11"/>
            <color theme="1"/>
            <rFont val="Calibri"/>
            <family val="2"/>
            <scheme val="minor"/>
          </rPr>
          <t xml:space="preserve">Period from January 1,2020 through January 31,2020
</t>
        </r>
      </text>
    </comment>
    <comment ref="G351" authorId="0" shapeId="0" xr:uid="{EC37253A-4976-46A1-A1D4-00D13920B1F1}">
      <text>
        <r>
          <rPr>
            <sz val="11"/>
            <color theme="1"/>
            <rFont val="Calibri"/>
            <family val="2"/>
            <scheme val="minor"/>
          </rPr>
          <t xml:space="preserve">Period from January 1,2020 through January 31,2020
</t>
        </r>
      </text>
    </comment>
    <comment ref="G352" authorId="0" shapeId="0" xr:uid="{7F7A792B-1ABD-46DA-9F14-05B407A56EFD}">
      <text>
        <r>
          <rPr>
            <sz val="11"/>
            <color theme="1"/>
            <rFont val="Calibri"/>
            <family val="2"/>
            <scheme val="minor"/>
          </rPr>
          <t xml:space="preserve">Period from January 1,2020 through January 31,2020
</t>
        </r>
      </text>
    </comment>
    <comment ref="G353" authorId="0" shapeId="0" xr:uid="{33721EBE-51C1-4094-9AB7-AB216E544377}">
      <text>
        <r>
          <rPr>
            <sz val="11"/>
            <color theme="1"/>
            <rFont val="Calibri"/>
            <family val="2"/>
            <scheme val="minor"/>
          </rPr>
          <t xml:space="preserve">Period from January 1,2020 through January 31,2020
</t>
        </r>
      </text>
    </comment>
    <comment ref="C358" authorId="1" shapeId="0" xr:uid="{47838777-1C33-4BC9-9307-2F47B6B66790}">
      <text>
        <r>
          <rPr>
            <sz val="11"/>
            <color theme="1"/>
            <rFont val="Calibri"/>
            <family val="2"/>
            <scheme val="minor"/>
          </rPr>
          <t>Predecessor data</t>
        </r>
      </text>
    </comment>
    <comment ref="D358" authorId="1" shapeId="0" xr:uid="{9CA653AF-020C-4C01-882C-35914EA1993B}">
      <text>
        <r>
          <rPr>
            <sz val="11"/>
            <color theme="1"/>
            <rFont val="Calibri"/>
            <family val="2"/>
            <scheme val="minor"/>
          </rPr>
          <t>Predecessor data</t>
        </r>
      </text>
    </comment>
    <comment ref="E358" authorId="1" shapeId="0" xr:uid="{26750D88-AD16-4615-852B-024CE19C74AE}">
      <text>
        <r>
          <rPr>
            <sz val="11"/>
            <color theme="1"/>
            <rFont val="Calibri"/>
            <family val="2"/>
            <scheme val="minor"/>
          </rPr>
          <t>Predecessor data</t>
        </r>
      </text>
    </comment>
    <comment ref="F358" authorId="1" shapeId="0" xr:uid="{13770F83-3FAE-4E9F-8924-000F6C11403E}">
      <text>
        <r>
          <rPr>
            <sz val="11"/>
            <color theme="1"/>
            <rFont val="Calibri"/>
            <family val="2"/>
            <scheme val="minor"/>
          </rPr>
          <t>Predecessor data</t>
        </r>
      </text>
    </comment>
    <comment ref="G358" authorId="0" shapeId="0" xr:uid="{1D2D0CD0-5B14-40D7-B7A9-C705B08E4F1B}">
      <text>
        <r>
          <rPr>
            <sz val="11"/>
            <color theme="1"/>
            <rFont val="Calibri"/>
            <family val="2"/>
            <scheme val="minor"/>
          </rPr>
          <t xml:space="preserve">Period from
February 1, 2020 through March 31, 2020
</t>
        </r>
      </text>
    </comment>
    <comment ref="R358" authorId="1" shapeId="0" xr:uid="{91E23E3D-ED4E-4AA4-90FE-C7B5379F1AF1}">
      <text>
        <r>
          <rPr>
            <sz val="11"/>
            <color theme="1"/>
            <rFont val="Calibri"/>
            <family val="2"/>
            <scheme val="minor"/>
          </rPr>
          <t>Predecessor data</t>
        </r>
      </text>
    </comment>
    <comment ref="S358" authorId="0" shapeId="0" xr:uid="{D3953183-1C96-4F68-9190-CCFCC85BA773}">
      <text>
        <r>
          <rPr>
            <sz val="11"/>
            <color theme="1"/>
            <rFont val="Calibri"/>
            <family val="2"/>
            <scheme val="minor"/>
          </rPr>
          <t xml:space="preserve">Period from February 1, 2020 through December 31, 2020
</t>
        </r>
      </text>
    </comment>
    <comment ref="C359" authorId="1" shapeId="0" xr:uid="{1CF114E1-6D0B-4461-950D-374C59215737}">
      <text>
        <r>
          <rPr>
            <sz val="11"/>
            <color theme="1"/>
            <rFont val="Calibri"/>
            <family val="2"/>
            <scheme val="minor"/>
          </rPr>
          <t>Predecessor data</t>
        </r>
      </text>
    </comment>
    <comment ref="D359" authorId="1" shapeId="0" xr:uid="{95E62428-B94F-458B-8165-D69CFDCA57F9}">
      <text>
        <r>
          <rPr>
            <sz val="11"/>
            <color theme="1"/>
            <rFont val="Calibri"/>
            <family val="2"/>
            <scheme val="minor"/>
          </rPr>
          <t>Predecessor data</t>
        </r>
      </text>
    </comment>
    <comment ref="E359" authorId="1" shapeId="0" xr:uid="{9DF1486A-1223-449A-B77E-3CAECE6F0101}">
      <text>
        <r>
          <rPr>
            <sz val="11"/>
            <color theme="1"/>
            <rFont val="Calibri"/>
            <family val="2"/>
            <scheme val="minor"/>
          </rPr>
          <t>Predecessor data</t>
        </r>
      </text>
    </comment>
    <comment ref="F359" authorId="1" shapeId="0" xr:uid="{54E00941-50A1-4E89-8FF9-617751A81F4A}">
      <text>
        <r>
          <rPr>
            <sz val="11"/>
            <color theme="1"/>
            <rFont val="Calibri"/>
            <family val="2"/>
            <scheme val="minor"/>
          </rPr>
          <t>Predecessor data</t>
        </r>
      </text>
    </comment>
    <comment ref="G359" authorId="0" shapeId="0" xr:uid="{D0609FC7-9C3E-44CD-AF85-A9EB569F61C1}">
      <text>
        <r>
          <rPr>
            <sz val="11"/>
            <color theme="1"/>
            <rFont val="Calibri"/>
            <family val="2"/>
            <scheme val="minor"/>
          </rPr>
          <t xml:space="preserve">Period from
February 1, 2020 through March 31, 2020
</t>
        </r>
      </text>
    </comment>
    <comment ref="R359" authorId="1" shapeId="0" xr:uid="{97E4906C-2B0F-40C0-93DB-75E2330E6AE8}">
      <text>
        <r>
          <rPr>
            <sz val="11"/>
            <color theme="1"/>
            <rFont val="Calibri"/>
            <family val="2"/>
            <scheme val="minor"/>
          </rPr>
          <t>Predecessor data</t>
        </r>
      </text>
    </comment>
    <comment ref="S359" authorId="0" shapeId="0" xr:uid="{11A4DB13-1B6B-43E3-B093-571DC1EEAB61}">
      <text>
        <r>
          <rPr>
            <sz val="11"/>
            <color theme="1"/>
            <rFont val="Calibri"/>
            <family val="2"/>
            <scheme val="minor"/>
          </rPr>
          <t xml:space="preserve">Period from February 1, 2020 through December 31, 2020
</t>
        </r>
      </text>
    </comment>
    <comment ref="C360" authorId="1" shapeId="0" xr:uid="{265B5B28-2EFA-46DB-A6B4-DB30745C8029}">
      <text>
        <r>
          <rPr>
            <sz val="11"/>
            <color theme="1"/>
            <rFont val="Calibri"/>
            <family val="2"/>
            <scheme val="minor"/>
          </rPr>
          <t>Predecessor data</t>
        </r>
      </text>
    </comment>
    <comment ref="D360" authorId="1" shapeId="0" xr:uid="{54C2C313-9D72-40F7-A7C3-853C576949DF}">
      <text>
        <r>
          <rPr>
            <sz val="11"/>
            <color theme="1"/>
            <rFont val="Calibri"/>
            <family val="2"/>
            <scheme val="minor"/>
          </rPr>
          <t>Predecessor data</t>
        </r>
      </text>
    </comment>
    <comment ref="E360" authorId="1" shapeId="0" xr:uid="{66A5A595-09D6-49B6-85E5-BA8619BC5704}">
      <text>
        <r>
          <rPr>
            <sz val="11"/>
            <color theme="1"/>
            <rFont val="Calibri"/>
            <family val="2"/>
            <scheme val="minor"/>
          </rPr>
          <t>Predecessor data</t>
        </r>
      </text>
    </comment>
    <comment ref="F360" authorId="1" shapeId="0" xr:uid="{BF96BE07-26FB-4604-85AA-105B0CE9F127}">
      <text>
        <r>
          <rPr>
            <sz val="11"/>
            <color theme="1"/>
            <rFont val="Calibri"/>
            <family val="2"/>
            <scheme val="minor"/>
          </rPr>
          <t>Predecessor data</t>
        </r>
      </text>
    </comment>
    <comment ref="G360" authorId="0" shapeId="0" xr:uid="{B7102A48-D8D0-4CA6-8527-E17E90C28FB1}">
      <text>
        <r>
          <rPr>
            <sz val="11"/>
            <color theme="1"/>
            <rFont val="Calibri"/>
            <family val="2"/>
            <scheme val="minor"/>
          </rPr>
          <t xml:space="preserve">Period from
February 1, 2020 through March 31, 2020
</t>
        </r>
      </text>
    </comment>
    <comment ref="R360" authorId="1" shapeId="0" xr:uid="{259A3D64-8EAA-444D-8AB1-C566FF291DC5}">
      <text>
        <r>
          <rPr>
            <sz val="11"/>
            <color theme="1"/>
            <rFont val="Calibri"/>
            <family val="2"/>
            <scheme val="minor"/>
          </rPr>
          <t>Predecessor data</t>
        </r>
      </text>
    </comment>
    <comment ref="S360" authorId="0" shapeId="0" xr:uid="{FD594129-717E-44D3-B644-30AE576B9CDD}">
      <text>
        <r>
          <rPr>
            <sz val="11"/>
            <color theme="1"/>
            <rFont val="Calibri"/>
            <family val="2"/>
            <scheme val="minor"/>
          </rPr>
          <t xml:space="preserve">Period from February 1, 2020 through December 31, 2020
</t>
        </r>
      </text>
    </comment>
    <comment ref="C362" authorId="1" shapeId="0" xr:uid="{EC1473FA-A1D7-4E9E-A63B-76F8CD2352F9}">
      <text>
        <r>
          <rPr>
            <sz val="11"/>
            <color theme="1"/>
            <rFont val="Calibri"/>
            <family val="2"/>
            <scheme val="minor"/>
          </rPr>
          <t>Predecessor data</t>
        </r>
      </text>
    </comment>
    <comment ref="D362" authorId="1" shapeId="0" xr:uid="{D69AE804-26AD-45F1-8B74-C897FE4FD267}">
      <text>
        <r>
          <rPr>
            <sz val="11"/>
            <color theme="1"/>
            <rFont val="Calibri"/>
            <family val="2"/>
            <scheme val="minor"/>
          </rPr>
          <t>Predecessor data</t>
        </r>
      </text>
    </comment>
    <comment ref="E362" authorId="1" shapeId="0" xr:uid="{07D410E6-2F54-4023-B0E0-98CCD3596760}">
      <text>
        <r>
          <rPr>
            <sz val="11"/>
            <color theme="1"/>
            <rFont val="Calibri"/>
            <family val="2"/>
            <scheme val="minor"/>
          </rPr>
          <t>Predecessor data</t>
        </r>
      </text>
    </comment>
    <comment ref="F362" authorId="1" shapeId="0" xr:uid="{658D324B-4E70-4A11-AB82-F17DFE1B6CC4}">
      <text>
        <r>
          <rPr>
            <sz val="11"/>
            <color theme="1"/>
            <rFont val="Calibri"/>
            <family val="2"/>
            <scheme val="minor"/>
          </rPr>
          <t>Predecessor data</t>
        </r>
      </text>
    </comment>
    <comment ref="G362" authorId="0" shapeId="0" xr:uid="{46703E5A-B34A-4BFC-AB4C-6411F600167B}">
      <text>
        <r>
          <rPr>
            <sz val="11"/>
            <color theme="1"/>
            <rFont val="Calibri"/>
            <family val="2"/>
            <scheme val="minor"/>
          </rPr>
          <t xml:space="preserve">Period from
February 1, 2020 through March 31, 2020
</t>
        </r>
      </text>
    </comment>
    <comment ref="R362" authorId="1" shapeId="0" xr:uid="{9219CCE1-3E15-453F-A086-443B49DA17FF}">
      <text>
        <r>
          <rPr>
            <sz val="11"/>
            <color theme="1"/>
            <rFont val="Calibri"/>
            <family val="2"/>
            <scheme val="minor"/>
          </rPr>
          <t>Predecessor data</t>
        </r>
      </text>
    </comment>
    <comment ref="S362" authorId="0" shapeId="0" xr:uid="{E3559147-9E85-49C0-B5A4-1E7ABF0419AD}">
      <text>
        <r>
          <rPr>
            <sz val="11"/>
            <color theme="1"/>
            <rFont val="Calibri"/>
            <family val="2"/>
            <scheme val="minor"/>
          </rPr>
          <t xml:space="preserve">Period from February 1, 2020 through December 31, 2020
</t>
        </r>
      </text>
    </comment>
    <comment ref="C363" authorId="1" shapeId="0" xr:uid="{053640C9-CF4D-4D21-91CB-175653D17985}">
      <text>
        <r>
          <rPr>
            <sz val="11"/>
            <color theme="1"/>
            <rFont val="Calibri"/>
            <family val="2"/>
            <scheme val="minor"/>
          </rPr>
          <t>Predecessor data</t>
        </r>
      </text>
    </comment>
    <comment ref="D363" authorId="1" shapeId="0" xr:uid="{B9FA7140-8C9E-43AB-9CD8-A46F61546A00}">
      <text>
        <r>
          <rPr>
            <sz val="11"/>
            <color theme="1"/>
            <rFont val="Calibri"/>
            <family val="2"/>
            <scheme val="minor"/>
          </rPr>
          <t>Predecessor data</t>
        </r>
      </text>
    </comment>
    <comment ref="E363" authorId="1" shapeId="0" xr:uid="{52676D5B-0A27-4EE3-88FF-3FECF394CCE0}">
      <text>
        <r>
          <rPr>
            <sz val="11"/>
            <color theme="1"/>
            <rFont val="Calibri"/>
            <family val="2"/>
            <scheme val="minor"/>
          </rPr>
          <t>Predecessor data</t>
        </r>
      </text>
    </comment>
    <comment ref="F363" authorId="1" shapeId="0" xr:uid="{281942CB-BE19-4911-949B-522F247646D9}">
      <text>
        <r>
          <rPr>
            <sz val="11"/>
            <color theme="1"/>
            <rFont val="Calibri"/>
            <family val="2"/>
            <scheme val="minor"/>
          </rPr>
          <t>Predecessor data</t>
        </r>
      </text>
    </comment>
    <comment ref="G363" authorId="0" shapeId="0" xr:uid="{5E3392AE-0093-4DA5-902D-C5FE57B211CA}">
      <text>
        <r>
          <rPr>
            <sz val="11"/>
            <color theme="1"/>
            <rFont val="Calibri"/>
            <family val="2"/>
            <scheme val="minor"/>
          </rPr>
          <t xml:space="preserve">Period from
February 1, 2020 through March 31, 2020
</t>
        </r>
      </text>
    </comment>
    <comment ref="R363" authorId="1" shapeId="0" xr:uid="{906E6070-7108-416C-9192-5718361C704E}">
      <text>
        <r>
          <rPr>
            <sz val="11"/>
            <color theme="1"/>
            <rFont val="Calibri"/>
            <family val="2"/>
            <scheme val="minor"/>
          </rPr>
          <t>Predecessor data</t>
        </r>
      </text>
    </comment>
    <comment ref="S363" authorId="0" shapeId="0" xr:uid="{EB55D2B7-6CF1-4F0B-8105-A2696C9F6979}">
      <text>
        <r>
          <rPr>
            <sz val="11"/>
            <color theme="1"/>
            <rFont val="Calibri"/>
            <family val="2"/>
            <scheme val="minor"/>
          </rPr>
          <t xml:space="preserve">Period from February 1, 2020 through December 31, 2020
</t>
        </r>
      </text>
    </comment>
    <comment ref="C364" authorId="1" shapeId="0" xr:uid="{213B05FA-735E-4110-B81F-0F4E4F78AE0D}">
      <text>
        <r>
          <rPr>
            <sz val="11"/>
            <color theme="1"/>
            <rFont val="Calibri"/>
            <family val="2"/>
            <scheme val="minor"/>
          </rPr>
          <t>Predecessor data</t>
        </r>
      </text>
    </comment>
    <comment ref="D364" authorId="1" shapeId="0" xr:uid="{B15AE847-2A74-4CF6-A7BE-FC89A9E84504}">
      <text>
        <r>
          <rPr>
            <sz val="11"/>
            <color theme="1"/>
            <rFont val="Calibri"/>
            <family val="2"/>
            <scheme val="minor"/>
          </rPr>
          <t>Predecessor data</t>
        </r>
      </text>
    </comment>
    <comment ref="E364" authorId="1" shapeId="0" xr:uid="{86A5DAE3-E7D5-4A2D-B08D-61145E10D4CC}">
      <text>
        <r>
          <rPr>
            <sz val="11"/>
            <color theme="1"/>
            <rFont val="Calibri"/>
            <family val="2"/>
            <scheme val="minor"/>
          </rPr>
          <t>Predecessor data</t>
        </r>
      </text>
    </comment>
    <comment ref="F364" authorId="1" shapeId="0" xr:uid="{1571D64A-B86E-42E0-9683-630F3155E55F}">
      <text>
        <r>
          <rPr>
            <sz val="11"/>
            <color theme="1"/>
            <rFont val="Calibri"/>
            <family val="2"/>
            <scheme val="minor"/>
          </rPr>
          <t>Predecessor data</t>
        </r>
      </text>
    </comment>
    <comment ref="G364" authorId="0" shapeId="0" xr:uid="{32892109-6C36-4C72-99C6-F6FDF150A1A6}">
      <text>
        <r>
          <rPr>
            <sz val="11"/>
            <color theme="1"/>
            <rFont val="Calibri"/>
            <family val="2"/>
            <scheme val="minor"/>
          </rPr>
          <t xml:space="preserve">Period from
February 1, 2020 through March 31, 2020
</t>
        </r>
      </text>
    </comment>
    <comment ref="R364" authorId="1" shapeId="0" xr:uid="{0A8B5209-BD8A-4906-ACAC-79DFBEF3370D}">
      <text>
        <r>
          <rPr>
            <sz val="11"/>
            <color theme="1"/>
            <rFont val="Calibri"/>
            <family val="2"/>
            <scheme val="minor"/>
          </rPr>
          <t>Predecessor data</t>
        </r>
      </text>
    </comment>
    <comment ref="S364" authorId="0" shapeId="0" xr:uid="{3FB07C63-3730-4FB5-9029-F16CCCB40D5D}">
      <text>
        <r>
          <rPr>
            <sz val="11"/>
            <color theme="1"/>
            <rFont val="Calibri"/>
            <family val="2"/>
            <scheme val="minor"/>
          </rPr>
          <t xml:space="preserve">Period from February 1, 2020 through December 31, 2020
</t>
        </r>
      </text>
    </comment>
    <comment ref="E365" authorId="1" shapeId="0" xr:uid="{A4758EFF-4632-4BEE-A8D4-4D356E717CDD}">
      <text>
        <r>
          <rPr>
            <sz val="11"/>
            <color theme="1"/>
            <rFont val="Calibri"/>
            <family val="2"/>
            <scheme val="minor"/>
          </rPr>
          <t>Predecessor data</t>
        </r>
      </text>
    </comment>
    <comment ref="F365" authorId="1" shapeId="0" xr:uid="{E45AC9F5-966D-431A-936D-08B795A1BE50}">
      <text>
        <r>
          <rPr>
            <sz val="11"/>
            <color theme="1"/>
            <rFont val="Calibri"/>
            <family val="2"/>
            <scheme val="minor"/>
          </rPr>
          <t>Predecessor data</t>
        </r>
      </text>
    </comment>
    <comment ref="G365" authorId="0" shapeId="0" xr:uid="{BF2EC984-20CE-4550-959E-5AB78309455A}">
      <text>
        <r>
          <rPr>
            <sz val="11"/>
            <color theme="1"/>
            <rFont val="Calibri"/>
            <family val="2"/>
            <scheme val="minor"/>
          </rPr>
          <t xml:space="preserve">Period from
February 1, 2020 through March 31, 2020
</t>
        </r>
      </text>
    </comment>
    <comment ref="R365" authorId="1" shapeId="0" xr:uid="{822FC687-7C89-4020-9388-9452F2D579BB}">
      <text>
        <r>
          <rPr>
            <sz val="11"/>
            <color theme="1"/>
            <rFont val="Calibri"/>
            <family val="2"/>
            <scheme val="minor"/>
          </rPr>
          <t>Predecessor data</t>
        </r>
      </text>
    </comment>
    <comment ref="S365" authorId="0" shapeId="0" xr:uid="{CD282349-9765-4EB5-91B4-E902E47D845B}">
      <text>
        <r>
          <rPr>
            <sz val="11"/>
            <color theme="1"/>
            <rFont val="Calibri"/>
            <family val="2"/>
            <scheme val="minor"/>
          </rPr>
          <t xml:space="preserve">Period from February 1, 2020 through December 31, 2020
</t>
        </r>
      </text>
    </comment>
    <comment ref="S366" authorId="0" shapeId="0" xr:uid="{33C0F25B-58F7-49EC-AB5D-FD0764A1C751}">
      <text>
        <r>
          <rPr>
            <sz val="11"/>
            <color theme="1"/>
            <rFont val="Calibri"/>
            <family val="2"/>
            <scheme val="minor"/>
          </rPr>
          <t xml:space="preserve">Period from February 1, 2020 through December 31, 2020
</t>
        </r>
      </text>
    </comment>
    <comment ref="C367" authorId="1" shapeId="0" xr:uid="{CD1351A7-7667-4555-B44A-1B3C96554020}">
      <text>
        <r>
          <rPr>
            <sz val="11"/>
            <color theme="1"/>
            <rFont val="Calibri"/>
            <family val="2"/>
            <scheme val="minor"/>
          </rPr>
          <t>Predecessor data</t>
        </r>
      </text>
    </comment>
    <comment ref="D367" authorId="1" shapeId="0" xr:uid="{B7DC0039-79A4-4008-8B3B-743616B25D3C}">
      <text>
        <r>
          <rPr>
            <sz val="11"/>
            <color theme="1"/>
            <rFont val="Calibri"/>
            <family val="2"/>
            <scheme val="minor"/>
          </rPr>
          <t>Predecessor data</t>
        </r>
      </text>
    </comment>
    <comment ref="E367" authorId="1" shapeId="0" xr:uid="{560B9786-33D1-483A-9A38-72BEE293C928}">
      <text>
        <r>
          <rPr>
            <sz val="11"/>
            <color theme="1"/>
            <rFont val="Calibri"/>
            <family val="2"/>
            <scheme val="minor"/>
          </rPr>
          <t>Predecessor data</t>
        </r>
      </text>
    </comment>
    <comment ref="F367" authorId="1" shapeId="0" xr:uid="{E3B0E732-B113-43C4-AF19-683546F0A52E}">
      <text>
        <r>
          <rPr>
            <sz val="11"/>
            <color theme="1"/>
            <rFont val="Calibri"/>
            <family val="2"/>
            <scheme val="minor"/>
          </rPr>
          <t>Predecessor data</t>
        </r>
      </text>
    </comment>
    <comment ref="G367" authorId="0" shapeId="0" xr:uid="{11B490ED-06E6-48F4-88CD-9C9BF4E77BE2}">
      <text>
        <r>
          <rPr>
            <sz val="11"/>
            <color theme="1"/>
            <rFont val="Calibri"/>
            <family val="2"/>
            <scheme val="minor"/>
          </rPr>
          <t xml:space="preserve">Period from
February 1, 2020 through March 31, 2020
</t>
        </r>
      </text>
    </comment>
    <comment ref="R367" authorId="1" shapeId="0" xr:uid="{F3D64F05-082A-4163-B62D-00C5864BC380}">
      <text>
        <r>
          <rPr>
            <sz val="11"/>
            <color theme="1"/>
            <rFont val="Calibri"/>
            <family val="2"/>
            <scheme val="minor"/>
          </rPr>
          <t>Predecessor data</t>
        </r>
      </text>
    </comment>
    <comment ref="S367" authorId="0" shapeId="0" xr:uid="{EEF8E363-52BA-4198-AC64-A05AC2044646}">
      <text>
        <r>
          <rPr>
            <sz val="11"/>
            <color theme="1"/>
            <rFont val="Calibri"/>
            <family val="2"/>
            <scheme val="minor"/>
          </rPr>
          <t xml:space="preserve">Period from February 1, 2020 through December 31, 2020
</t>
        </r>
      </text>
    </comment>
    <comment ref="C368" authorId="1" shapeId="0" xr:uid="{66D6372B-D4DB-4378-B68F-E458CFDF3D14}">
      <text>
        <r>
          <rPr>
            <sz val="11"/>
            <color theme="1"/>
            <rFont val="Calibri"/>
            <family val="2"/>
            <scheme val="minor"/>
          </rPr>
          <t>Predecessor data</t>
        </r>
      </text>
    </comment>
    <comment ref="D368" authorId="1" shapeId="0" xr:uid="{96E92B56-5C2C-4C32-91CA-BD3A305E1A95}">
      <text>
        <r>
          <rPr>
            <sz val="11"/>
            <color theme="1"/>
            <rFont val="Calibri"/>
            <family val="2"/>
            <scheme val="minor"/>
          </rPr>
          <t>Predecessor data</t>
        </r>
      </text>
    </comment>
    <comment ref="E368" authorId="1" shapeId="0" xr:uid="{897DDB6E-B4E1-4994-B742-7026EEDE9D4E}">
      <text>
        <r>
          <rPr>
            <sz val="11"/>
            <color theme="1"/>
            <rFont val="Calibri"/>
            <family val="2"/>
            <scheme val="minor"/>
          </rPr>
          <t>Predecessor data</t>
        </r>
      </text>
    </comment>
    <comment ref="F368" authorId="1" shapeId="0" xr:uid="{00262956-BED0-4370-A64E-2B5B37E37B18}">
      <text>
        <r>
          <rPr>
            <sz val="11"/>
            <color theme="1"/>
            <rFont val="Calibri"/>
            <family val="2"/>
            <scheme val="minor"/>
          </rPr>
          <t>Predecessor data</t>
        </r>
      </text>
    </comment>
    <comment ref="G368" authorId="0" shapeId="0" xr:uid="{B7A8FAAE-C792-4C79-BB3D-B047163A27BB}">
      <text>
        <r>
          <rPr>
            <sz val="11"/>
            <color theme="1"/>
            <rFont val="Calibri"/>
            <family val="2"/>
            <scheme val="minor"/>
          </rPr>
          <t xml:space="preserve">Period from
February 1, 2020 through March 31, 2020
</t>
        </r>
      </text>
    </comment>
    <comment ref="R368" authorId="1" shapeId="0" xr:uid="{2CB23C07-9C3C-40C0-B44C-32F2DC8FEC14}">
      <text>
        <r>
          <rPr>
            <sz val="11"/>
            <color theme="1"/>
            <rFont val="Calibri"/>
            <family val="2"/>
            <scheme val="minor"/>
          </rPr>
          <t>Predecessor data</t>
        </r>
      </text>
    </comment>
    <comment ref="S368" authorId="0" shapeId="0" xr:uid="{96D7C0A3-E16A-4731-B70E-E3717E1AB439}">
      <text>
        <r>
          <rPr>
            <sz val="11"/>
            <color theme="1"/>
            <rFont val="Calibri"/>
            <family val="2"/>
            <scheme val="minor"/>
          </rPr>
          <t xml:space="preserve">Period from February 1, 2020 through December 31, 2020
</t>
        </r>
      </text>
    </comment>
    <comment ref="C370" authorId="1" shapeId="0" xr:uid="{E7E558E1-DE11-4390-B368-FA1C10902E85}">
      <text>
        <r>
          <rPr>
            <sz val="11"/>
            <color theme="1"/>
            <rFont val="Calibri"/>
            <family val="2"/>
            <scheme val="minor"/>
          </rPr>
          <t>Predecessor data</t>
        </r>
      </text>
    </comment>
    <comment ref="D370" authorId="1" shapeId="0" xr:uid="{BC003E5B-EC1C-4D9A-A99F-37FF6B69F91C}">
      <text>
        <r>
          <rPr>
            <sz val="11"/>
            <color theme="1"/>
            <rFont val="Calibri"/>
            <family val="2"/>
            <scheme val="minor"/>
          </rPr>
          <t>Predecessor data</t>
        </r>
      </text>
    </comment>
    <comment ref="E370" authorId="1" shapeId="0" xr:uid="{D858D496-69CB-4508-8AC4-904CBF155AE1}">
      <text>
        <r>
          <rPr>
            <sz val="11"/>
            <color theme="1"/>
            <rFont val="Calibri"/>
            <family val="2"/>
            <scheme val="minor"/>
          </rPr>
          <t>Predecessor data</t>
        </r>
      </text>
    </comment>
    <comment ref="F370" authorId="1" shapeId="0" xr:uid="{B66336E3-2F9C-4F2F-A15B-D354DA6F1268}">
      <text>
        <r>
          <rPr>
            <sz val="11"/>
            <color theme="1"/>
            <rFont val="Calibri"/>
            <family val="2"/>
            <scheme val="minor"/>
          </rPr>
          <t>Predecessor data</t>
        </r>
      </text>
    </comment>
    <comment ref="G370" authorId="0" shapeId="0" xr:uid="{E60137F4-4F28-44C2-87C3-FDD9838B7A5A}">
      <text>
        <r>
          <rPr>
            <sz val="11"/>
            <color theme="1"/>
            <rFont val="Calibri"/>
            <family val="2"/>
            <scheme val="minor"/>
          </rPr>
          <t xml:space="preserve">Period from
February 1, 2020 through March 31, 2020
</t>
        </r>
      </text>
    </comment>
    <comment ref="R370" authorId="1" shapeId="0" xr:uid="{A8BC683C-1FFF-4AC3-8804-9562339535F7}">
      <text>
        <r>
          <rPr>
            <sz val="11"/>
            <color theme="1"/>
            <rFont val="Calibri"/>
            <family val="2"/>
            <scheme val="minor"/>
          </rPr>
          <t>Predecessor data</t>
        </r>
      </text>
    </comment>
    <comment ref="S370" authorId="0" shapeId="0" xr:uid="{58A14352-52AC-407C-B709-A55F4A16C5CD}">
      <text>
        <r>
          <rPr>
            <sz val="11"/>
            <color theme="1"/>
            <rFont val="Calibri"/>
            <family val="2"/>
            <scheme val="minor"/>
          </rPr>
          <t xml:space="preserve">Period from February 1, 2020 through December 31, 2020
</t>
        </r>
      </text>
    </comment>
    <comment ref="C371" authorId="1" shapeId="0" xr:uid="{C0356B47-7213-4513-8997-4F145D278184}">
      <text>
        <r>
          <rPr>
            <sz val="11"/>
            <color theme="1"/>
            <rFont val="Calibri"/>
            <family val="2"/>
            <scheme val="minor"/>
          </rPr>
          <t>Predecessor data</t>
        </r>
      </text>
    </comment>
    <comment ref="D371" authorId="1" shapeId="0" xr:uid="{8FE0A8EF-7D1F-43A0-A275-0FAC9C9A7950}">
      <text>
        <r>
          <rPr>
            <sz val="11"/>
            <color theme="1"/>
            <rFont val="Calibri"/>
            <family val="2"/>
            <scheme val="minor"/>
          </rPr>
          <t>Predecessor data</t>
        </r>
      </text>
    </comment>
    <comment ref="E371" authorId="1" shapeId="0" xr:uid="{F362565E-B303-4DD5-A2B5-5EB212C42A8A}">
      <text>
        <r>
          <rPr>
            <sz val="11"/>
            <color theme="1"/>
            <rFont val="Calibri"/>
            <family val="2"/>
            <scheme val="minor"/>
          </rPr>
          <t>Predecessor data</t>
        </r>
      </text>
    </comment>
    <comment ref="F371" authorId="1" shapeId="0" xr:uid="{7FF3DEC4-387C-40D5-924D-FE21B6E330AC}">
      <text>
        <r>
          <rPr>
            <sz val="11"/>
            <color theme="1"/>
            <rFont val="Calibri"/>
            <family val="2"/>
            <scheme val="minor"/>
          </rPr>
          <t>Predecessor data</t>
        </r>
      </text>
    </comment>
    <comment ref="G371" authorId="0" shapeId="0" xr:uid="{FADDC9F5-EAC9-402A-AC93-778D017C4BBE}">
      <text>
        <r>
          <rPr>
            <sz val="11"/>
            <color theme="1"/>
            <rFont val="Calibri"/>
            <family val="2"/>
            <scheme val="minor"/>
          </rPr>
          <t xml:space="preserve">Period from
February 1, 2020 through March 31, 2020
</t>
        </r>
      </text>
    </comment>
    <comment ref="R371" authorId="1" shapeId="0" xr:uid="{D79AC3E8-2462-4966-A819-B79509DF270D}">
      <text>
        <r>
          <rPr>
            <sz val="11"/>
            <color theme="1"/>
            <rFont val="Calibri"/>
            <family val="2"/>
            <scheme val="minor"/>
          </rPr>
          <t>Predecessor data</t>
        </r>
      </text>
    </comment>
    <comment ref="S371" authorId="0" shapeId="0" xr:uid="{E3564DD8-C445-4D81-9669-463333205694}">
      <text>
        <r>
          <rPr>
            <sz val="11"/>
            <color theme="1"/>
            <rFont val="Calibri"/>
            <family val="2"/>
            <scheme val="minor"/>
          </rPr>
          <t xml:space="preserve">Period from February 1, 2020 through December 31, 2020
</t>
        </r>
      </text>
    </comment>
    <comment ref="G375" authorId="0" shapeId="0" xr:uid="{72A2A6A7-7C8D-4358-8C45-B59D38D76AAB}">
      <text>
        <r>
          <rPr>
            <sz val="11"/>
            <color theme="1"/>
            <rFont val="Calibri"/>
            <family val="2"/>
            <scheme val="minor"/>
          </rPr>
          <t xml:space="preserve">Period from January 1, 2020 through January 31, 2020
</t>
        </r>
      </text>
    </comment>
    <comment ref="G376" authorId="0" shapeId="0" xr:uid="{ED2B3304-7C84-42EC-84C3-87EFA11FCE9C}">
      <text>
        <r>
          <rPr>
            <sz val="11"/>
            <color theme="1"/>
            <rFont val="Calibri"/>
            <family val="2"/>
            <scheme val="minor"/>
          </rPr>
          <t xml:space="preserve">Period from January 1, 2020 through January 31, 2020
</t>
        </r>
      </text>
    </comment>
    <comment ref="G377" authorId="0" shapeId="0" xr:uid="{0FA9B802-162A-46AF-8C51-1478A4057F3A}">
      <text>
        <r>
          <rPr>
            <sz val="11"/>
            <color theme="1"/>
            <rFont val="Calibri"/>
            <family val="2"/>
            <scheme val="minor"/>
          </rPr>
          <t xml:space="preserve">Period from January 1, 2020 through January 31, 2020
</t>
        </r>
      </text>
    </comment>
    <comment ref="G379" authorId="0" shapeId="0" xr:uid="{651BCBAE-16BB-4078-8F37-D9F5092D344E}">
      <text>
        <r>
          <rPr>
            <sz val="11"/>
            <color theme="1"/>
            <rFont val="Calibri"/>
            <family val="2"/>
            <scheme val="minor"/>
          </rPr>
          <t xml:space="preserve">Period from January 1, 2020 through January 31, 2020
</t>
        </r>
      </text>
    </comment>
    <comment ref="G380" authorId="0" shapeId="0" xr:uid="{0387FFC9-73E2-4AF7-AC86-745FF2543B32}">
      <text>
        <r>
          <rPr>
            <sz val="11"/>
            <color theme="1"/>
            <rFont val="Calibri"/>
            <family val="2"/>
            <scheme val="minor"/>
          </rPr>
          <t xml:space="preserve">Period from January 1, 2020 through January 31, 2020
</t>
        </r>
      </text>
    </comment>
    <comment ref="G381" authorId="0" shapeId="0" xr:uid="{E3C3934D-3DA2-4ABD-AFF0-4AD362580DBC}">
      <text>
        <r>
          <rPr>
            <sz val="11"/>
            <color theme="1"/>
            <rFont val="Calibri"/>
            <family val="2"/>
            <scheme val="minor"/>
          </rPr>
          <t xml:space="preserve">Period from January 1, 2020 through January 31, 2020
</t>
        </r>
      </text>
    </comment>
    <comment ref="G382" authorId="0" shapeId="0" xr:uid="{DE782EB9-8A48-4360-AD82-4F4DBD035BDA}">
      <text>
        <r>
          <rPr>
            <sz val="11"/>
            <color theme="1"/>
            <rFont val="Calibri"/>
            <family val="2"/>
            <scheme val="minor"/>
          </rPr>
          <t xml:space="preserve">Period from January 1, 2020 through January 31, 2020
</t>
        </r>
      </text>
    </comment>
    <comment ref="G383" authorId="0" shapeId="0" xr:uid="{F2DB920A-469B-4E39-B154-6412B2B96E0A}">
      <text>
        <r>
          <rPr>
            <sz val="11"/>
            <color theme="1"/>
            <rFont val="Calibri"/>
            <family val="2"/>
            <scheme val="minor"/>
          </rPr>
          <t xml:space="preserve">Period from January 1, 2020 through January 31, 2020
</t>
        </r>
      </text>
    </comment>
    <comment ref="G384" authorId="0" shapeId="0" xr:uid="{26E1E5D4-230B-48BD-A0DF-2C5B5298F398}">
      <text>
        <r>
          <rPr>
            <sz val="11"/>
            <color theme="1"/>
            <rFont val="Calibri"/>
            <family val="2"/>
            <scheme val="minor"/>
          </rPr>
          <t xml:space="preserve">Period from January 1, 2020 through January 31, 2020
</t>
        </r>
      </text>
    </comment>
    <comment ref="G385" authorId="0" shapeId="0" xr:uid="{EB10CA44-2D92-4DC1-A768-28F78DDF65C0}">
      <text>
        <r>
          <rPr>
            <sz val="11"/>
            <color theme="1"/>
            <rFont val="Calibri"/>
            <family val="2"/>
            <scheme val="minor"/>
          </rPr>
          <t xml:space="preserve">Period from January 1, 2020 through January 31, 2020
</t>
        </r>
      </text>
    </comment>
    <comment ref="G387" authorId="0" shapeId="0" xr:uid="{A3696910-D48D-4FC0-9D2E-968B48785418}">
      <text>
        <r>
          <rPr>
            <sz val="11"/>
            <color theme="1"/>
            <rFont val="Calibri"/>
            <family val="2"/>
            <scheme val="minor"/>
          </rPr>
          <t xml:space="preserve">Period from January 1, 2020 through January 31, 2020
</t>
        </r>
      </text>
    </comment>
    <comment ref="G388" authorId="0" shapeId="0" xr:uid="{CF581E3B-9856-436E-A067-B9D7923A9688}">
      <text>
        <r>
          <rPr>
            <sz val="11"/>
            <color theme="1"/>
            <rFont val="Calibri"/>
            <family val="2"/>
            <scheme val="minor"/>
          </rPr>
          <t xml:space="preserve">Period from January 1, 2020 through January 31, 2020
</t>
        </r>
      </text>
    </comment>
    <comment ref="R391" authorId="1" shapeId="0" xr:uid="{24D08342-CC74-434B-A84A-405781038BC6}">
      <text>
        <r>
          <rPr>
            <sz val="11"/>
            <color theme="1"/>
            <rFont val="Calibri"/>
            <family val="2"/>
            <scheme val="minor"/>
          </rPr>
          <t>Predecessor data</t>
        </r>
      </text>
    </comment>
    <comment ref="S391" authorId="0" shapeId="0" xr:uid="{1A052C24-500C-458F-A648-F577E23CC6C5}">
      <text>
        <r>
          <rPr>
            <sz val="11"/>
            <color theme="1"/>
            <rFont val="Calibri"/>
            <family val="2"/>
            <scheme val="minor"/>
          </rPr>
          <t xml:space="preserve">Period from February 1, 2020 through December 31, 2020
</t>
        </r>
      </text>
    </comment>
    <comment ref="T391" authorId="2" shapeId="0" xr:uid="{6D64F738-3905-4234-9FF9-BEF1A68E0447}">
      <text>
        <r>
          <rPr>
            <sz val="11"/>
            <color theme="1"/>
            <rFont val="Calibri"/>
            <family val="2"/>
            <scheme val="minor"/>
          </rPr>
          <t>summation mismatch 0.09000000000000001</t>
        </r>
      </text>
    </comment>
    <comment ref="R393" authorId="1" shapeId="0" xr:uid="{7DE0F65D-0E3E-4BFC-903A-F68F69E98C11}">
      <text>
        <r>
          <rPr>
            <sz val="11"/>
            <color theme="1"/>
            <rFont val="Calibri"/>
            <family val="2"/>
            <scheme val="minor"/>
          </rPr>
          <t>Predecessor data</t>
        </r>
      </text>
    </comment>
    <comment ref="S393" authorId="0" shapeId="0" xr:uid="{B999DC82-B7C5-4405-BCFA-B9FF731CEEC0}">
      <text>
        <r>
          <rPr>
            <sz val="11"/>
            <color theme="1"/>
            <rFont val="Calibri"/>
            <family val="2"/>
            <scheme val="minor"/>
          </rPr>
          <t xml:space="preserve">Period from February 1, 2020 through December 31, 2020
</t>
        </r>
      </text>
    </comment>
    <comment ref="T393" authorId="2" shapeId="0" xr:uid="{14CBAB8E-1862-4B48-89E9-BB1C59D76A70}">
      <text>
        <r>
          <rPr>
            <sz val="11"/>
            <color theme="1"/>
            <rFont val="Calibri"/>
            <family val="2"/>
            <scheme val="minor"/>
          </rPr>
          <t>summation mismatch 0.05</t>
        </r>
      </text>
    </comment>
    <comment ref="R394" authorId="1" shapeId="0" xr:uid="{23A18573-D808-4AB7-BAAA-ED8795A3D648}">
      <text>
        <r>
          <rPr>
            <sz val="11"/>
            <color theme="1"/>
            <rFont val="Calibri"/>
            <family val="2"/>
            <scheme val="minor"/>
          </rPr>
          <t>Predecessor data</t>
        </r>
      </text>
    </comment>
    <comment ref="S394" authorId="0" shapeId="0" xr:uid="{4EA5556A-0704-43AB-B20E-E89E90E45451}">
      <text>
        <r>
          <rPr>
            <sz val="11"/>
            <color theme="1"/>
            <rFont val="Calibri"/>
            <family val="2"/>
            <scheme val="minor"/>
          </rPr>
          <t xml:space="preserve">Period from February 1, 2020 through December 31, 2020
</t>
        </r>
      </text>
    </comment>
    <comment ref="R395" authorId="1" shapeId="0" xr:uid="{DCD01DDB-2E7F-4263-A128-D00C1C151ED8}">
      <text>
        <r>
          <rPr>
            <sz val="11"/>
            <color theme="1"/>
            <rFont val="Calibri"/>
            <family val="2"/>
            <scheme val="minor"/>
          </rPr>
          <t>Predecessor data</t>
        </r>
      </text>
    </comment>
    <comment ref="S395" authorId="0" shapeId="0" xr:uid="{B25008FA-806B-4546-BA20-5BADBE769632}">
      <text>
        <r>
          <rPr>
            <sz val="11"/>
            <color theme="1"/>
            <rFont val="Calibri"/>
            <family val="2"/>
            <scheme val="minor"/>
          </rPr>
          <t xml:space="preserve">Period from February 1, 2020 through December 31, 2020
</t>
        </r>
      </text>
    </comment>
    <comment ref="T395" authorId="2" shapeId="0" xr:uid="{88B9EA78-C8D9-40A7-BD28-69D79426D225}">
      <text>
        <r>
          <rPr>
            <sz val="11"/>
            <color theme="1"/>
            <rFont val="Calibri"/>
            <family val="2"/>
            <scheme val="minor"/>
          </rPr>
          <t>summation mismatch 0.9099999999999999</t>
        </r>
      </text>
    </comment>
    <comment ref="R396" authorId="1" shapeId="0" xr:uid="{A1949456-F4F8-4E9E-AF85-54E376D05134}">
      <text>
        <r>
          <rPr>
            <sz val="11"/>
            <color theme="1"/>
            <rFont val="Calibri"/>
            <family val="2"/>
            <scheme val="minor"/>
          </rPr>
          <t>Predecessor data</t>
        </r>
      </text>
    </comment>
    <comment ref="S396" authorId="0" shapeId="0" xr:uid="{C8043941-A13E-4A06-BEC9-89A8E20E11EE}">
      <text>
        <r>
          <rPr>
            <sz val="11"/>
            <color theme="1"/>
            <rFont val="Calibri"/>
            <family val="2"/>
            <scheme val="minor"/>
          </rPr>
          <t xml:space="preserve">Period from February 1, 2020 through December 31, 2020
</t>
        </r>
      </text>
    </comment>
    <comment ref="T396" authorId="2" shapeId="0" xr:uid="{FCC2C909-E00E-4C0D-8CD2-EC2A08F7B419}">
      <text>
        <r>
          <rPr>
            <sz val="11"/>
            <color theme="1"/>
            <rFont val="Calibri"/>
            <family val="2"/>
            <scheme val="minor"/>
          </rPr>
          <t>summation mismatch 0.06</t>
        </r>
      </text>
    </comment>
    <comment ref="R397" authorId="1" shapeId="0" xr:uid="{C392001B-5C24-4818-B4EF-15D3E0109D66}">
      <text>
        <r>
          <rPr>
            <sz val="11"/>
            <color theme="1"/>
            <rFont val="Calibri"/>
            <family val="2"/>
            <scheme val="minor"/>
          </rPr>
          <t>Predecessor data</t>
        </r>
      </text>
    </comment>
    <comment ref="S397" authorId="0" shapeId="0" xr:uid="{9328EFED-1801-49A8-A633-5B543F04D6DF}">
      <text>
        <r>
          <rPr>
            <sz val="11"/>
            <color theme="1"/>
            <rFont val="Calibri"/>
            <family val="2"/>
            <scheme val="minor"/>
          </rPr>
          <t xml:space="preserve">Period from February 1, 2020 through December 31, 2020
</t>
        </r>
      </text>
    </comment>
    <comment ref="T397" authorId="2" shapeId="0" xr:uid="{CF8065A2-0093-4E50-BD09-E4ECACD1E134}">
      <text>
        <r>
          <rPr>
            <sz val="11"/>
            <color theme="1"/>
            <rFont val="Calibri"/>
            <family val="2"/>
            <scheme val="minor"/>
          </rPr>
          <t>summation mismatch 0.06</t>
        </r>
      </text>
    </comment>
    <comment ref="S398" authorId="0" shapeId="0" xr:uid="{9051E458-2FA9-42F8-AB65-FDD4F9BC4358}">
      <text>
        <r>
          <rPr>
            <sz val="11"/>
            <color theme="1"/>
            <rFont val="Calibri"/>
            <family val="2"/>
            <scheme val="minor"/>
          </rPr>
          <t xml:space="preserve">Period from February 1, 2020 through December 31, 2020
</t>
        </r>
      </text>
    </comment>
    <comment ref="R399" authorId="1" shapeId="0" xr:uid="{F607BE9C-AEB8-4135-B365-F4D150D69F5C}">
      <text>
        <r>
          <rPr>
            <sz val="11"/>
            <color theme="1"/>
            <rFont val="Calibri"/>
            <family val="2"/>
            <scheme val="minor"/>
          </rPr>
          <t>Predecessor data</t>
        </r>
      </text>
    </comment>
    <comment ref="S399" authorId="0" shapeId="0" xr:uid="{D04572D9-6DB1-4EEE-90E1-C10D617463ED}">
      <text>
        <r>
          <rPr>
            <sz val="11"/>
            <color theme="1"/>
            <rFont val="Calibri"/>
            <family val="2"/>
            <scheme val="minor"/>
          </rPr>
          <t xml:space="preserve">Period from February 1, 2020 through December 31, 2020
</t>
        </r>
      </text>
    </comment>
    <comment ref="R400" authorId="1" shapeId="0" xr:uid="{A188155F-887F-43EE-BD7B-88A75971F746}">
      <text>
        <r>
          <rPr>
            <sz val="11"/>
            <color theme="1"/>
            <rFont val="Calibri"/>
            <family val="2"/>
            <scheme val="minor"/>
          </rPr>
          <t>Predecessor data</t>
        </r>
      </text>
    </comment>
    <comment ref="S400" authorId="0" shapeId="0" xr:uid="{8320DAC4-54BD-44A1-B105-01308D8CE30D}">
      <text>
        <r>
          <rPr>
            <sz val="11"/>
            <color theme="1"/>
            <rFont val="Calibri"/>
            <family val="2"/>
            <scheme val="minor"/>
          </rPr>
          <t xml:space="preserve">Period from February 1, 2020 through December 31, 2020
</t>
        </r>
      </text>
    </comment>
    <comment ref="T400" authorId="2" shapeId="0" xr:uid="{932C668D-F61A-4061-BDC3-79753D1432D3}">
      <text>
        <r>
          <rPr>
            <sz val="11"/>
            <color theme="1"/>
            <rFont val="Calibri"/>
            <family val="2"/>
            <scheme val="minor"/>
          </rPr>
          <t>summation mismatch -0.34</t>
        </r>
      </text>
    </comment>
    <comment ref="R401" authorId="1" shapeId="0" xr:uid="{63F2477D-4CAF-4F68-AD00-B708C14FAFD2}">
      <text>
        <r>
          <rPr>
            <sz val="11"/>
            <color theme="1"/>
            <rFont val="Calibri"/>
            <family val="2"/>
            <scheme val="minor"/>
          </rPr>
          <t>Predecessor data</t>
        </r>
      </text>
    </comment>
    <comment ref="S401" authorId="0" shapeId="0" xr:uid="{96C8944D-DC47-48EF-A6F8-E09C0AB4007B}">
      <text>
        <r>
          <rPr>
            <sz val="11"/>
            <color theme="1"/>
            <rFont val="Calibri"/>
            <family val="2"/>
            <scheme val="minor"/>
          </rPr>
          <t xml:space="preserve">Period from February 1, 2020 through December 31, 2020
</t>
        </r>
      </text>
    </comment>
    <comment ref="T401" authorId="2" shapeId="0" xr:uid="{44D21420-DD81-4C83-B350-A8D922102CE6}">
      <text>
        <r>
          <rPr>
            <sz val="11"/>
            <color theme="1"/>
            <rFont val="Calibri"/>
            <family val="2"/>
            <scheme val="minor"/>
          </rPr>
          <t>summation mismatch 1.0</t>
        </r>
      </text>
    </comment>
    <comment ref="R404" authorId="1" shapeId="0" xr:uid="{DEA018A3-6E83-41FC-9B62-258A77485FF4}">
      <text>
        <r>
          <rPr>
            <sz val="11"/>
            <color theme="1"/>
            <rFont val="Calibri"/>
            <family val="2"/>
            <scheme val="minor"/>
          </rPr>
          <t>Predecessor data</t>
        </r>
      </text>
    </comment>
    <comment ref="S404" authorId="0" shapeId="0" xr:uid="{2B17265A-D86A-4BF1-BE00-47766C6F499E}">
      <text>
        <r>
          <rPr>
            <sz val="11"/>
            <color theme="1"/>
            <rFont val="Calibri"/>
            <family val="2"/>
            <scheme val="minor"/>
          </rPr>
          <t xml:space="preserve">Period from February 1, 2020 through December 31, 2020
</t>
        </r>
      </text>
    </comment>
    <comment ref="S405" authorId="0" shapeId="0" xr:uid="{EED4FF49-23D5-4537-95B8-5E1745A27C93}">
      <text>
        <r>
          <rPr>
            <sz val="11"/>
            <color theme="1"/>
            <rFont val="Calibri"/>
            <family val="2"/>
            <scheme val="minor"/>
          </rPr>
          <t xml:space="preserve">Period from February 1, 2020 through December 31, 2020
</t>
        </r>
      </text>
    </comment>
    <comment ref="G409" authorId="1" shapeId="0" xr:uid="{CBAEA107-E846-465E-836E-5C0BCFD372AE}">
      <text>
        <r>
          <rPr>
            <sz val="11"/>
            <color theme="1"/>
            <rFont val="Calibri"/>
            <family val="2"/>
            <scheme val="minor"/>
          </rPr>
          <t>Predecessor data period from January 1, 2020 through January 31, 2020</t>
        </r>
      </text>
    </comment>
    <comment ref="G411" authorId="1" shapeId="0" xr:uid="{A763F71B-280A-4F18-95FC-9CB11B2077E4}">
      <text>
        <r>
          <rPr>
            <sz val="11"/>
            <color theme="1"/>
            <rFont val="Calibri"/>
            <family val="2"/>
            <scheme val="minor"/>
          </rPr>
          <t>Predecessor data period from January 1, 2020 through January 31, 2020</t>
        </r>
      </text>
    </comment>
    <comment ref="G412" authorId="1" shapeId="0" xr:uid="{4DD88443-1ABB-4355-9BE7-E8F0BDB109DF}">
      <text>
        <r>
          <rPr>
            <sz val="11"/>
            <color theme="1"/>
            <rFont val="Calibri"/>
            <family val="2"/>
            <scheme val="minor"/>
          </rPr>
          <t>Predecessor data period from January 1, 2020 through January 31, 2020</t>
        </r>
      </text>
    </comment>
    <comment ref="G413" authorId="1" shapeId="0" xr:uid="{C2B00425-CED0-4287-8E0C-1D0624F8FB02}">
      <text>
        <r>
          <rPr>
            <sz val="11"/>
            <color theme="1"/>
            <rFont val="Calibri"/>
            <family val="2"/>
            <scheme val="minor"/>
          </rPr>
          <t>Predecessor data period from January 1, 2020 through January 31, 2020</t>
        </r>
      </text>
    </comment>
    <comment ref="G414" authorId="1" shapeId="0" xr:uid="{F2B516AE-BE34-4396-9A7F-B193FFF1EC93}">
      <text>
        <r>
          <rPr>
            <sz val="11"/>
            <color theme="1"/>
            <rFont val="Calibri"/>
            <family val="2"/>
            <scheme val="minor"/>
          </rPr>
          <t>Predecessor data period from January 1, 2020 through January 31, 2020</t>
        </r>
      </text>
    </comment>
    <comment ref="G415" authorId="1" shapeId="0" xr:uid="{3F4A5D5D-0E57-4D15-9C33-ED0E34B24AAE}">
      <text>
        <r>
          <rPr>
            <sz val="11"/>
            <color theme="1"/>
            <rFont val="Calibri"/>
            <family val="2"/>
            <scheme val="minor"/>
          </rPr>
          <t>Predecessor data period from January 1, 2020 through January 31, 2020</t>
        </r>
      </text>
    </comment>
    <comment ref="G416" authorId="1" shapeId="0" xr:uid="{FB7DCB91-64EB-4161-859F-6149567D5F33}">
      <text>
        <r>
          <rPr>
            <sz val="11"/>
            <color theme="1"/>
            <rFont val="Calibri"/>
            <family val="2"/>
            <scheme val="minor"/>
          </rPr>
          <t>Predecessor data period from January 1, 2020 through January 31, 2020</t>
        </r>
      </text>
    </comment>
    <comment ref="G417" authorId="1" shapeId="0" xr:uid="{E8C30D0D-629B-430D-8819-8AEAA499DF2F}">
      <text>
        <r>
          <rPr>
            <sz val="11"/>
            <color theme="1"/>
            <rFont val="Calibri"/>
            <family val="2"/>
            <scheme val="minor"/>
          </rPr>
          <t>Predecessor data period from January 1, 2020 through January 31, 2020</t>
        </r>
      </text>
    </comment>
    <comment ref="G418" authorId="1" shapeId="0" xr:uid="{5AB9F888-9520-41A4-87CB-28D73CEAF530}">
      <text>
        <r>
          <rPr>
            <sz val="11"/>
            <color theme="1"/>
            <rFont val="Calibri"/>
            <family val="2"/>
            <scheme val="minor"/>
          </rPr>
          <t>Predecessor data period from January 1, 2020 through January 31, 2020</t>
        </r>
      </text>
    </comment>
    <comment ref="G419" authorId="1" shapeId="0" xr:uid="{3466F343-85A0-427C-B6E4-E9DD1109C4B2}">
      <text>
        <r>
          <rPr>
            <sz val="11"/>
            <color theme="1"/>
            <rFont val="Calibri"/>
            <family val="2"/>
            <scheme val="minor"/>
          </rPr>
          <t>Predecessor data period from January 1, 2020 through January 31, 2020</t>
        </r>
      </text>
    </comment>
    <comment ref="G422" authorId="1" shapeId="0" xr:uid="{3A943615-50BB-4FDA-9DDA-E42125CE4847}">
      <text>
        <r>
          <rPr>
            <sz val="11"/>
            <color theme="1"/>
            <rFont val="Calibri"/>
            <family val="2"/>
            <scheme val="minor"/>
          </rPr>
          <t>Predecessor data period from January 1, 2020 through January 31, 2020</t>
        </r>
      </text>
    </comment>
    <comment ref="G423" authorId="1" shapeId="0" xr:uid="{4951DBCF-1BEA-4AF3-A4AE-D29182D952BE}">
      <text>
        <r>
          <rPr>
            <sz val="11"/>
            <color theme="1"/>
            <rFont val="Calibri"/>
            <family val="2"/>
            <scheme val="minor"/>
          </rPr>
          <t>Predecessor data period from January 1, 2020 through January 31, 2020</t>
        </r>
      </text>
    </comment>
    <comment ref="F427" authorId="1" shapeId="0" xr:uid="{97EA888A-863F-4060-BEBB-EA64BA7DF060}">
      <text>
        <r>
          <rPr>
            <sz val="11"/>
            <color theme="1"/>
            <rFont val="Calibri"/>
            <family val="2"/>
            <scheme val="minor"/>
          </rPr>
          <t>Predecessor data</t>
        </r>
      </text>
    </comment>
    <comment ref="F428" authorId="1" shapeId="0" xr:uid="{E04B46F0-E385-471B-A9C7-45BAE214BE6C}">
      <text>
        <r>
          <rPr>
            <sz val="11"/>
            <color theme="1"/>
            <rFont val="Calibri"/>
            <family val="2"/>
            <scheme val="minor"/>
          </rPr>
          <t>Predecessor data</t>
        </r>
      </text>
    </comment>
    <comment ref="F429" authorId="1" shapeId="0" xr:uid="{BD679A29-D784-4AA1-BD38-A0B07599F97B}">
      <text>
        <r>
          <rPr>
            <sz val="11"/>
            <color theme="1"/>
            <rFont val="Calibri"/>
            <family val="2"/>
            <scheme val="minor"/>
          </rPr>
          <t>Predecessor data</t>
        </r>
      </text>
    </comment>
    <comment ref="F430" authorId="1" shapeId="0" xr:uid="{6C262622-64F7-4582-8C9C-B46AAB9940FE}">
      <text>
        <r>
          <rPr>
            <sz val="11"/>
            <color theme="1"/>
            <rFont val="Calibri"/>
            <family val="2"/>
            <scheme val="minor"/>
          </rPr>
          <t>Predecessor data</t>
        </r>
      </text>
    </comment>
    <comment ref="F431" authorId="1" shapeId="0" xr:uid="{EC449E79-A7B0-4CD3-9C8E-393CB0DA6538}">
      <text>
        <r>
          <rPr>
            <sz val="11"/>
            <color theme="1"/>
            <rFont val="Calibri"/>
            <family val="2"/>
            <scheme val="minor"/>
          </rPr>
          <t>Predecessor data</t>
        </r>
      </text>
    </comment>
    <comment ref="F433" authorId="1" shapeId="0" xr:uid="{3C2171E1-7270-405F-A9C7-E6DB5792B2C2}">
      <text>
        <r>
          <rPr>
            <sz val="11"/>
            <color theme="1"/>
            <rFont val="Calibri"/>
            <family val="2"/>
            <scheme val="minor"/>
          </rPr>
          <t>Predecessor data</t>
        </r>
      </text>
    </comment>
    <comment ref="F434" authorId="1" shapeId="0" xr:uid="{3946E762-6DAA-4D3A-AE1F-0C8540A44990}">
      <text>
        <r>
          <rPr>
            <sz val="11"/>
            <color theme="1"/>
            <rFont val="Calibri"/>
            <family val="2"/>
            <scheme val="minor"/>
          </rPr>
          <t>Predecessor data</t>
        </r>
      </text>
    </comment>
    <comment ref="R439" authorId="1" shapeId="0" xr:uid="{E1FF4FE0-EFEE-4399-910A-5C2E858644A6}">
      <text>
        <r>
          <rPr>
            <sz val="11"/>
            <color theme="1"/>
            <rFont val="Calibri"/>
            <family val="2"/>
            <scheme val="minor"/>
          </rPr>
          <t xml:space="preserve">Predecessor data
</t>
        </r>
      </text>
    </comment>
    <comment ref="S439" authorId="0" shapeId="0" xr:uid="{92CC8133-C899-4FC9-A30B-F2AA1938C653}">
      <text>
        <r>
          <rPr>
            <sz val="11"/>
            <color theme="1"/>
            <rFont val="Calibri"/>
            <family val="2"/>
            <scheme val="minor"/>
          </rPr>
          <t xml:space="preserve">Period from February 1, 2020 through December 31, 2020
</t>
        </r>
      </text>
    </comment>
    <comment ref="G440" authorId="0" shapeId="0" xr:uid="{53344FDE-920D-457B-86D1-9B99FC1D9C35}">
      <text>
        <r>
          <rPr>
            <sz val="11"/>
            <color theme="1"/>
            <rFont val="Calibri"/>
            <family val="2"/>
            <scheme val="minor"/>
          </rPr>
          <t xml:space="preserve">Period from January 1,2020 through January 31, 2020
</t>
        </r>
      </text>
    </comment>
    <comment ref="G441" authorId="0" shapeId="0" xr:uid="{DE4EC66B-815D-41DE-9602-CAA3405371AA}">
      <text>
        <r>
          <rPr>
            <sz val="11"/>
            <color theme="1"/>
            <rFont val="Calibri"/>
            <family val="2"/>
            <scheme val="minor"/>
          </rPr>
          <t xml:space="preserve">Period from February 1,2020 through March 31, 2020
</t>
        </r>
      </text>
    </comment>
    <comment ref="R441" authorId="1" shapeId="0" xr:uid="{67ACC177-D0EB-4C29-8BB1-F79B90600592}">
      <text>
        <r>
          <rPr>
            <sz val="11"/>
            <color theme="1"/>
            <rFont val="Calibri"/>
            <family val="2"/>
            <scheme val="minor"/>
          </rPr>
          <t>Predecessor data</t>
        </r>
      </text>
    </comment>
    <comment ref="S441" authorId="0" shapeId="0" xr:uid="{775B23B6-7967-4AF1-8AC9-683576CBE91B}">
      <text>
        <r>
          <rPr>
            <sz val="11"/>
            <color theme="1"/>
            <rFont val="Calibri"/>
            <family val="2"/>
            <scheme val="minor"/>
          </rPr>
          <t xml:space="preserve">Period from February 1, 2020 through December 31, 2020
</t>
        </r>
      </text>
    </comment>
    <comment ref="G442" authorId="0" shapeId="0" xr:uid="{F77BDEF6-542A-4C70-B333-9091DBAA2DC2}">
      <text>
        <r>
          <rPr>
            <sz val="11"/>
            <color theme="1"/>
            <rFont val="Calibri"/>
            <family val="2"/>
            <scheme val="minor"/>
          </rPr>
          <t xml:space="preserve">Period from January 1,2020 through January 31,2020
</t>
        </r>
      </text>
    </comment>
    <comment ref="G443" authorId="0" shapeId="0" xr:uid="{3E71EDD0-8FB8-4547-8600-923EEE94AA02}">
      <text>
        <r>
          <rPr>
            <sz val="11"/>
            <color theme="1"/>
            <rFont val="Calibri"/>
            <family val="2"/>
            <scheme val="minor"/>
          </rPr>
          <t xml:space="preserve">Period from February 1,2020 through March 31, 2020
</t>
        </r>
      </text>
    </comment>
    <comment ref="R443" authorId="1" shapeId="0" xr:uid="{B391C360-3996-4573-9B3D-458C702E6278}">
      <text>
        <r>
          <rPr>
            <sz val="11"/>
            <color theme="1"/>
            <rFont val="Calibri"/>
            <family val="2"/>
            <scheme val="minor"/>
          </rPr>
          <t xml:space="preserve">Predecessor data </t>
        </r>
      </text>
    </comment>
    <comment ref="S443" authorId="0" shapeId="0" xr:uid="{2EEBB2C5-1957-4705-9915-E8BD9843F7D3}">
      <text>
        <r>
          <rPr>
            <sz val="11"/>
            <color theme="1"/>
            <rFont val="Calibri"/>
            <family val="2"/>
            <scheme val="minor"/>
          </rPr>
          <t xml:space="preserve">Period from February 1, 2020 through December 31, 2020
</t>
        </r>
      </text>
    </comment>
    <comment ref="G444" authorId="0" shapeId="0" xr:uid="{75BB396D-6D8B-4833-BCE9-B5301FA1C255}">
      <text>
        <r>
          <rPr>
            <sz val="11"/>
            <color theme="1"/>
            <rFont val="Calibri"/>
            <family val="2"/>
            <scheme val="minor"/>
          </rPr>
          <t xml:space="preserve">Period from January 1,2020 through January 31,2020
</t>
        </r>
      </text>
    </comment>
    <comment ref="R447" authorId="1" shapeId="0" xr:uid="{FAAF9B60-43A9-4373-A835-EA8DF8C0B052}">
      <text>
        <r>
          <rPr>
            <sz val="11"/>
            <color theme="1"/>
            <rFont val="Calibri"/>
            <family val="2"/>
            <scheme val="minor"/>
          </rPr>
          <t>Predecessor data</t>
        </r>
      </text>
    </comment>
    <comment ref="S447" authorId="0" shapeId="0" xr:uid="{D1D7309D-7788-47B3-86FE-39F3BF243AF8}">
      <text>
        <r>
          <rPr>
            <sz val="11"/>
            <color theme="1"/>
            <rFont val="Calibri"/>
            <family val="2"/>
            <scheme val="minor"/>
          </rPr>
          <t xml:space="preserve">Period from February 1, 2020 through December 31, 2020
</t>
        </r>
      </text>
    </comment>
    <comment ref="R448" authorId="1" shapeId="0" xr:uid="{BD6E8E16-A477-48FE-BE33-2ACF310F7BC6}">
      <text>
        <r>
          <rPr>
            <sz val="11"/>
            <color theme="1"/>
            <rFont val="Calibri"/>
            <family val="2"/>
            <scheme val="minor"/>
          </rPr>
          <t>Predecessor data</t>
        </r>
      </text>
    </comment>
    <comment ref="S448" authorId="0" shapeId="0" xr:uid="{BA6090D0-D6C6-4984-B9C2-C7BD729F1C13}">
      <text>
        <r>
          <rPr>
            <sz val="11"/>
            <color theme="1"/>
            <rFont val="Calibri"/>
            <family val="2"/>
            <scheme val="minor"/>
          </rPr>
          <t xml:space="preserve">Period from February 1, 2020 through December 31, 2020
</t>
        </r>
      </text>
    </comment>
    <comment ref="R449" authorId="1" shapeId="0" xr:uid="{007A0C35-9316-470E-8F6C-AAF4ACB5D631}">
      <text>
        <r>
          <rPr>
            <sz val="11"/>
            <color theme="1"/>
            <rFont val="Calibri"/>
            <family val="2"/>
            <scheme val="minor"/>
          </rPr>
          <t>Predecessor data</t>
        </r>
      </text>
    </comment>
    <comment ref="S449" authorId="0" shapeId="0" xr:uid="{34A1B810-96C3-4F52-8037-FF093D6F2D7C}">
      <text>
        <r>
          <rPr>
            <sz val="11"/>
            <color theme="1"/>
            <rFont val="Calibri"/>
            <family val="2"/>
            <scheme val="minor"/>
          </rPr>
          <t xml:space="preserve">Period from February 1, 2020 through December 31, 2020
</t>
        </r>
      </text>
    </comment>
    <comment ref="R450" authorId="1" shapeId="0" xr:uid="{D658C651-CA08-4033-80A7-CE527B4DFF3D}">
      <text>
        <r>
          <rPr>
            <sz val="11"/>
            <color theme="1"/>
            <rFont val="Calibri"/>
            <family val="2"/>
            <scheme val="minor"/>
          </rPr>
          <t>Predecessor data</t>
        </r>
      </text>
    </comment>
    <comment ref="S450" authorId="0" shapeId="0" xr:uid="{1A1AD56F-5374-4D38-BD34-66352EA337EC}">
      <text>
        <r>
          <rPr>
            <sz val="11"/>
            <color theme="1"/>
            <rFont val="Calibri"/>
            <family val="2"/>
            <scheme val="minor"/>
          </rPr>
          <t xml:space="preserve">Period from February 1, 2020 through December 31, 2020
</t>
        </r>
      </text>
    </comment>
    <comment ref="G453" authorId="0" shapeId="0" xr:uid="{953B8834-F033-450C-84E2-AD7845BE450B}">
      <text>
        <r>
          <rPr>
            <sz val="11"/>
            <color theme="1"/>
            <rFont val="Calibri"/>
            <family val="2"/>
            <scheme val="minor"/>
          </rPr>
          <t xml:space="preserve">Period from January 1,2020 through January 31,2020
</t>
        </r>
      </text>
    </comment>
    <comment ref="G454" authorId="0" shapeId="0" xr:uid="{9FCF13D6-C5E2-4BA5-A785-939506F1CB79}">
      <text>
        <r>
          <rPr>
            <sz val="11"/>
            <color theme="1"/>
            <rFont val="Calibri"/>
            <family val="2"/>
            <scheme val="minor"/>
          </rPr>
          <t xml:space="preserve">Period from January 1,2020 through January 31,2020
</t>
        </r>
      </text>
    </comment>
    <comment ref="G455" authorId="0" shapeId="0" xr:uid="{EA60275A-1DB2-4E07-A021-0BBF7C07F862}">
      <text>
        <r>
          <rPr>
            <sz val="11"/>
            <color theme="1"/>
            <rFont val="Calibri"/>
            <family val="2"/>
            <scheme val="minor"/>
          </rPr>
          <t xml:space="preserve">Period from January 1,2020 through January 31,2020
</t>
        </r>
      </text>
    </comment>
    <comment ref="F459" authorId="1" shapeId="0" xr:uid="{1C7F18C8-511F-4364-B2B4-C1D201B074E6}">
      <text>
        <r>
          <rPr>
            <sz val="11"/>
            <color theme="1"/>
            <rFont val="Calibri"/>
            <family val="2"/>
            <scheme val="minor"/>
          </rPr>
          <t>Predecessor data</t>
        </r>
      </text>
    </comment>
    <comment ref="F460" authorId="1" shapeId="0" xr:uid="{80FA9547-53FC-4238-849D-F77E7EEB6B8E}">
      <text>
        <r>
          <rPr>
            <sz val="11"/>
            <color theme="1"/>
            <rFont val="Calibri"/>
            <family val="2"/>
            <scheme val="minor"/>
          </rPr>
          <t>Predecessor data</t>
        </r>
      </text>
    </comment>
    <comment ref="F461" authorId="1" shapeId="0" xr:uid="{E9A87E64-5E7E-4A2A-8E02-0E44C74516BA}">
      <text>
        <r>
          <rPr>
            <sz val="11"/>
            <color theme="1"/>
            <rFont val="Calibri"/>
            <family val="2"/>
            <scheme val="minor"/>
          </rPr>
          <t>Predecessor data</t>
        </r>
      </text>
    </comment>
    <comment ref="F462" authorId="1" shapeId="0" xr:uid="{31F93353-73F6-451B-B643-211101690D82}">
      <text>
        <r>
          <rPr>
            <sz val="11"/>
            <color theme="1"/>
            <rFont val="Calibri"/>
            <family val="2"/>
            <scheme val="minor"/>
          </rPr>
          <t>Predecessor data</t>
        </r>
      </text>
    </comment>
    <comment ref="F463" authorId="1" shapeId="0" xr:uid="{987E5AC6-596A-44F7-A790-5D3B6A9F397C}">
      <text>
        <r>
          <rPr>
            <sz val="11"/>
            <color theme="1"/>
            <rFont val="Calibri"/>
            <family val="2"/>
            <scheme val="minor"/>
          </rPr>
          <t>Predecessor data</t>
        </r>
      </text>
    </comment>
    <comment ref="F464" authorId="1" shapeId="0" xr:uid="{09E4C562-D958-471E-8CDD-7ACA34333768}">
      <text>
        <r>
          <rPr>
            <sz val="11"/>
            <color theme="1"/>
            <rFont val="Calibri"/>
            <family val="2"/>
            <scheme val="minor"/>
          </rPr>
          <t>Predecessor data</t>
        </r>
      </text>
    </comment>
    <comment ref="F465" authorId="1" shapeId="0" xr:uid="{AE6A958F-D23E-4215-8CF0-30CFE9A1AAF7}">
      <text>
        <r>
          <rPr>
            <sz val="11"/>
            <color theme="1"/>
            <rFont val="Calibri"/>
            <family val="2"/>
            <scheme val="minor"/>
          </rPr>
          <t>Predecessor data</t>
        </r>
      </text>
    </comment>
    <comment ref="F466" authorId="1" shapeId="0" xr:uid="{A675314A-DE03-4353-8C55-D2A0629AFAEC}">
      <text>
        <r>
          <rPr>
            <sz val="11"/>
            <color theme="1"/>
            <rFont val="Calibri"/>
            <family val="2"/>
            <scheme val="minor"/>
          </rPr>
          <t>Predecessor data</t>
        </r>
      </text>
    </comment>
    <comment ref="F467" authorId="1" shapeId="0" xr:uid="{0C50A1D4-32EB-492D-AB36-9949E19D7F05}">
      <text>
        <r>
          <rPr>
            <sz val="11"/>
            <color theme="1"/>
            <rFont val="Calibri"/>
            <family val="2"/>
            <scheme val="minor"/>
          </rPr>
          <t>Predecessor data</t>
        </r>
      </text>
    </comment>
    <comment ref="F468" authorId="1" shapeId="0" xr:uid="{56209153-CDD1-4DDF-B095-342DFDA42A2B}">
      <text>
        <r>
          <rPr>
            <sz val="11"/>
            <color theme="1"/>
            <rFont val="Calibri"/>
            <family val="2"/>
            <scheme val="minor"/>
          </rPr>
          <t>Predecessor data</t>
        </r>
      </text>
    </comment>
    <comment ref="F469" authorId="1" shapeId="0" xr:uid="{0E41BCFB-E137-4732-8A6D-2080938BB1EC}">
      <text>
        <r>
          <rPr>
            <sz val="11"/>
            <color theme="1"/>
            <rFont val="Calibri"/>
            <family val="2"/>
            <scheme val="minor"/>
          </rPr>
          <t>Predecessor data</t>
        </r>
      </text>
    </comment>
    <comment ref="F470" authorId="1" shapeId="0" xr:uid="{82CECB2C-B137-4D86-93F4-94B56B8CA637}">
      <text>
        <r>
          <rPr>
            <sz val="11"/>
            <color theme="1"/>
            <rFont val="Calibri"/>
            <family val="2"/>
            <scheme val="minor"/>
          </rPr>
          <t>Predecessor data</t>
        </r>
      </text>
    </comment>
    <comment ref="F471" authorId="1" shapeId="0" xr:uid="{C6666790-7AFB-4C04-84F8-BBDC444787AB}">
      <text>
        <r>
          <rPr>
            <sz val="11"/>
            <color theme="1"/>
            <rFont val="Calibri"/>
            <family val="2"/>
            <scheme val="minor"/>
          </rPr>
          <t>Predecessor data</t>
        </r>
      </text>
    </comment>
    <comment ref="F475" authorId="1" shapeId="0" xr:uid="{92D15854-ED56-465E-AB66-6D71A078277D}">
      <text>
        <r>
          <rPr>
            <sz val="11"/>
            <color theme="1"/>
            <rFont val="Calibri"/>
            <family val="2"/>
            <scheme val="minor"/>
          </rPr>
          <t>Predecessor data</t>
        </r>
      </text>
    </comment>
    <comment ref="F476" authorId="1" shapeId="0" xr:uid="{E64FC784-8FB8-48C6-843A-76D51F5FD35A}">
      <text>
        <r>
          <rPr>
            <sz val="11"/>
            <color theme="1"/>
            <rFont val="Calibri"/>
            <family val="2"/>
            <scheme val="minor"/>
          </rPr>
          <t>Predecessor data</t>
        </r>
      </text>
    </comment>
    <comment ref="F477" authorId="1" shapeId="0" xr:uid="{BEAAC8FA-CBB7-462A-A556-EF83BCCE8E08}">
      <text>
        <r>
          <rPr>
            <sz val="11"/>
            <color theme="1"/>
            <rFont val="Calibri"/>
            <family val="2"/>
            <scheme val="minor"/>
          </rPr>
          <t>Predecessor data</t>
        </r>
      </text>
    </comment>
    <comment ref="F478" authorId="1" shapeId="0" xr:uid="{2B56ADA0-8003-4D3E-B489-4CCC76F99AB0}">
      <text>
        <r>
          <rPr>
            <sz val="11"/>
            <color theme="1"/>
            <rFont val="Calibri"/>
            <family val="2"/>
            <scheme val="minor"/>
          </rPr>
          <t>Predecessor data</t>
        </r>
      </text>
    </comment>
    <comment ref="F480" authorId="1" shapeId="0" xr:uid="{5F4F2C85-B68D-4679-9A75-152DB7861A16}">
      <text>
        <r>
          <rPr>
            <sz val="11"/>
            <color theme="1"/>
            <rFont val="Calibri"/>
            <family val="2"/>
            <scheme val="minor"/>
          </rPr>
          <t>Predecessor data</t>
        </r>
      </text>
    </comment>
    <comment ref="F483" authorId="1" shapeId="0" xr:uid="{EC6F1A3C-B997-47CC-8E41-F2EB7E2796C0}">
      <text>
        <r>
          <rPr>
            <sz val="11"/>
            <color theme="1"/>
            <rFont val="Calibri"/>
            <family val="2"/>
            <scheme val="minor"/>
          </rPr>
          <t>Predecessor data</t>
        </r>
      </text>
    </comment>
    <comment ref="F484" authorId="1" shapeId="0" xr:uid="{3E1239E3-1CF6-4226-B8DC-F2A0A64F38A6}">
      <text>
        <r>
          <rPr>
            <sz val="11"/>
            <color theme="1"/>
            <rFont val="Calibri"/>
            <family val="2"/>
            <scheme val="minor"/>
          </rPr>
          <t>Predecessor data</t>
        </r>
      </text>
    </comment>
    <comment ref="F485" authorId="1" shapeId="0" xr:uid="{06727F8F-821B-48FC-9701-339D1471864B}">
      <text>
        <r>
          <rPr>
            <sz val="11"/>
            <color theme="1"/>
            <rFont val="Calibri"/>
            <family val="2"/>
            <scheme val="minor"/>
          </rPr>
          <t>Predecessor data</t>
        </r>
      </text>
    </comment>
    <comment ref="F486" authorId="1" shapeId="0" xr:uid="{74EC3CF7-4544-4382-94D0-E1AA458F7F88}">
      <text>
        <r>
          <rPr>
            <sz val="11"/>
            <color theme="1"/>
            <rFont val="Calibri"/>
            <family val="2"/>
            <scheme val="minor"/>
          </rPr>
          <t>Predecessor data</t>
        </r>
      </text>
    </comment>
    <comment ref="R489" authorId="1" shapeId="0" xr:uid="{D1844DBF-4A60-497F-B309-38BAA71BD666}">
      <text>
        <r>
          <rPr>
            <sz val="11"/>
            <color theme="1"/>
            <rFont val="Calibri"/>
            <family val="2"/>
            <scheme val="minor"/>
          </rPr>
          <t xml:space="preserve">Predecessor data
</t>
        </r>
      </text>
    </comment>
    <comment ref="S489" authorId="0" shapeId="0" xr:uid="{AEE84BE7-A1EA-4B2D-BDE9-9341600C7FE7}">
      <text>
        <r>
          <rPr>
            <sz val="11"/>
            <color theme="1"/>
            <rFont val="Calibri"/>
            <family val="2"/>
            <scheme val="minor"/>
          </rPr>
          <t xml:space="preserve">Period from February 1,2020 through December 31, 2020
</t>
        </r>
      </text>
    </comment>
    <comment ref="R490" authorId="1" shapeId="0" xr:uid="{88BC2622-62AD-4747-9BD9-79FFECA80F8E}">
      <text>
        <r>
          <rPr>
            <sz val="11"/>
            <color theme="1"/>
            <rFont val="Calibri"/>
            <family val="2"/>
            <scheme val="minor"/>
          </rPr>
          <t xml:space="preserve">Predecessor data
</t>
        </r>
      </text>
    </comment>
    <comment ref="S490" authorId="0" shapeId="0" xr:uid="{01BC0ABC-BB09-4A06-A69B-4A44E871DAC7}">
      <text>
        <r>
          <rPr>
            <sz val="11"/>
            <color theme="1"/>
            <rFont val="Calibri"/>
            <family val="2"/>
            <scheme val="minor"/>
          </rPr>
          <t xml:space="preserve">Period from February 1,2020 through December 31, 2020
</t>
        </r>
      </text>
    </comment>
    <comment ref="R491" authorId="1" shapeId="0" xr:uid="{F7D8D974-1AC5-4C30-9626-E45F6E10097C}">
      <text>
        <r>
          <rPr>
            <sz val="11"/>
            <color theme="1"/>
            <rFont val="Calibri"/>
            <family val="2"/>
            <scheme val="minor"/>
          </rPr>
          <t xml:space="preserve">Predecessor data
</t>
        </r>
      </text>
    </comment>
    <comment ref="S491" authorId="0" shapeId="0" xr:uid="{38BDD9B4-B436-470F-8CB9-8DCA5D36B6E2}">
      <text>
        <r>
          <rPr>
            <sz val="11"/>
            <color theme="1"/>
            <rFont val="Calibri"/>
            <family val="2"/>
            <scheme val="minor"/>
          </rPr>
          <t xml:space="preserve">Period from February 1,2020 through December 31, 2020
</t>
        </r>
      </text>
    </comment>
    <comment ref="G494" authorId="0" shapeId="0" xr:uid="{A5DAC4A7-7259-4068-9705-612ED974EDC8}">
      <text>
        <r>
          <rPr>
            <sz val="11"/>
            <color theme="1"/>
            <rFont val="Calibri"/>
            <family val="2"/>
            <scheme val="minor"/>
          </rPr>
          <t xml:space="preserve">Period from January 1,2020 through January 31, 2020
</t>
        </r>
      </text>
    </comment>
    <comment ref="G495" authorId="0" shapeId="0" xr:uid="{7A059E89-B391-4D77-96A3-FF23F1030670}">
      <text>
        <r>
          <rPr>
            <sz val="11"/>
            <color theme="1"/>
            <rFont val="Calibri"/>
            <family val="2"/>
            <scheme val="minor"/>
          </rPr>
          <t xml:space="preserve">Period from January 1,2020 through January 31, 2020
</t>
        </r>
      </text>
    </comment>
    <comment ref="G496" authorId="0" shapeId="0" xr:uid="{95090AE5-2C8B-4DA0-9344-6A6FFD087C2E}">
      <text>
        <r>
          <rPr>
            <sz val="11"/>
            <color theme="1"/>
            <rFont val="Calibri"/>
            <family val="2"/>
            <scheme val="minor"/>
          </rPr>
          <t xml:space="preserve">Period from January 1,2020 through January 31, 2020
</t>
        </r>
      </text>
    </comment>
    <comment ref="R500" authorId="1" shapeId="0" xr:uid="{8D4E3C18-128F-4A65-927B-73423FEADB06}">
      <text>
        <r>
          <rPr>
            <sz val="11"/>
            <color theme="1"/>
            <rFont val="Calibri"/>
            <family val="2"/>
            <scheme val="minor"/>
          </rPr>
          <t xml:space="preserve">Predecessor data
</t>
        </r>
      </text>
    </comment>
    <comment ref="S500" authorId="0" shapeId="0" xr:uid="{DCF1A6BD-D949-4E81-B342-DFDDEF17C81B}">
      <text>
        <r>
          <rPr>
            <sz val="11"/>
            <color theme="1"/>
            <rFont val="Calibri"/>
            <family val="2"/>
            <scheme val="minor"/>
          </rPr>
          <t xml:space="preserve">Period from February 1,2020 through December 31, 2020
</t>
        </r>
      </text>
    </comment>
    <comment ref="R501" authorId="1" shapeId="0" xr:uid="{0E725F11-81F8-4F16-8D1C-489D60A6245D}">
      <text>
        <r>
          <rPr>
            <sz val="11"/>
            <color theme="1"/>
            <rFont val="Calibri"/>
            <family val="2"/>
            <scheme val="minor"/>
          </rPr>
          <t xml:space="preserve">Predecessor data
</t>
        </r>
      </text>
    </comment>
    <comment ref="S501" authorId="0" shapeId="0" xr:uid="{D00B2343-27A3-4129-88D6-184C067FEFDC}">
      <text>
        <r>
          <rPr>
            <sz val="11"/>
            <color theme="1"/>
            <rFont val="Calibri"/>
            <family val="2"/>
            <scheme val="minor"/>
          </rPr>
          <t xml:space="preserve">Period from February 1,2020 through December 31, 2020
</t>
        </r>
      </text>
    </comment>
    <comment ref="R502" authorId="1" shapeId="0" xr:uid="{E560D4D3-F189-493F-86D7-DD57359C1AB9}">
      <text>
        <r>
          <rPr>
            <sz val="11"/>
            <color theme="1"/>
            <rFont val="Calibri"/>
            <family val="2"/>
            <scheme val="minor"/>
          </rPr>
          <t xml:space="preserve">Predecessor data
</t>
        </r>
      </text>
    </comment>
    <comment ref="S502" authorId="0" shapeId="0" xr:uid="{D7907F16-B262-4B5E-BCA1-579D8EFCE0C3}">
      <text>
        <r>
          <rPr>
            <sz val="11"/>
            <color theme="1"/>
            <rFont val="Calibri"/>
            <family val="2"/>
            <scheme val="minor"/>
          </rPr>
          <t xml:space="preserve">Period from February 1,2020 through December 31, 2020
</t>
        </r>
      </text>
    </comment>
    <comment ref="R503" authorId="1" shapeId="0" xr:uid="{F0D4AD62-F0F7-448D-ACBA-6B54F23144B3}">
      <text>
        <r>
          <rPr>
            <sz val="11"/>
            <color theme="1"/>
            <rFont val="Calibri"/>
            <family val="2"/>
            <scheme val="minor"/>
          </rPr>
          <t xml:space="preserve">Predecessor data
</t>
        </r>
      </text>
    </comment>
    <comment ref="S503" authorId="0" shapeId="0" xr:uid="{33AE3F48-D239-4799-917D-8DC1399EE0A7}">
      <text>
        <r>
          <rPr>
            <sz val="11"/>
            <color theme="1"/>
            <rFont val="Calibri"/>
            <family val="2"/>
            <scheme val="minor"/>
          </rPr>
          <t xml:space="preserve">Period from February 1,2020 through December 31, 2020
</t>
        </r>
      </text>
    </comment>
    <comment ref="R506" authorId="1" shapeId="0" xr:uid="{A9E90789-E04C-4F1C-8A85-A7F3F051AA61}">
      <text>
        <r>
          <rPr>
            <sz val="11"/>
            <color theme="1"/>
            <rFont val="Calibri"/>
            <family val="2"/>
            <scheme val="minor"/>
          </rPr>
          <t xml:space="preserve">Predecessor data
</t>
        </r>
      </text>
    </comment>
    <comment ref="S506" authorId="0" shapeId="0" xr:uid="{7CFD70F2-01BA-49EA-AEB6-E3D831D412DB}">
      <text>
        <r>
          <rPr>
            <sz val="11"/>
            <color theme="1"/>
            <rFont val="Calibri"/>
            <family val="2"/>
            <scheme val="minor"/>
          </rPr>
          <t xml:space="preserve">Period from February 1,2020 through December 31, 2020
</t>
        </r>
      </text>
    </comment>
    <comment ref="R507" authorId="1" shapeId="0" xr:uid="{52BC86F2-5D2A-43C7-94E2-A24618A52746}">
      <text>
        <r>
          <rPr>
            <sz val="11"/>
            <color theme="1"/>
            <rFont val="Calibri"/>
            <family val="2"/>
            <scheme val="minor"/>
          </rPr>
          <t xml:space="preserve">Predecessor data
</t>
        </r>
      </text>
    </comment>
    <comment ref="S507" authorId="0" shapeId="0" xr:uid="{F7DE9AD5-7F89-4730-B481-3690409D44AD}">
      <text>
        <r>
          <rPr>
            <sz val="11"/>
            <color theme="1"/>
            <rFont val="Calibri"/>
            <family val="2"/>
            <scheme val="minor"/>
          </rPr>
          <t xml:space="preserve">Period from February 1,2020 through December 31, 2020
</t>
        </r>
      </text>
    </comment>
    <comment ref="R508" authorId="1" shapeId="0" xr:uid="{7BB7AE91-0741-4001-A7E6-9AC126BC146F}">
      <text>
        <r>
          <rPr>
            <sz val="11"/>
            <color theme="1"/>
            <rFont val="Calibri"/>
            <family val="2"/>
            <scheme val="minor"/>
          </rPr>
          <t xml:space="preserve">Predecessor data
</t>
        </r>
      </text>
    </comment>
    <comment ref="S508" authorId="0" shapeId="0" xr:uid="{B30C4648-0081-4330-BB7B-00A4EB0BA100}">
      <text>
        <r>
          <rPr>
            <sz val="11"/>
            <color theme="1"/>
            <rFont val="Calibri"/>
            <family val="2"/>
            <scheme val="minor"/>
          </rPr>
          <t xml:space="preserve">Period from February 1,2020 through December 31, 2020
</t>
        </r>
      </text>
    </comment>
    <comment ref="R509" authorId="1" shapeId="0" xr:uid="{3DA69558-74FA-4186-A11F-C7E36C220907}">
      <text>
        <r>
          <rPr>
            <sz val="11"/>
            <color theme="1"/>
            <rFont val="Calibri"/>
            <family val="2"/>
            <scheme val="minor"/>
          </rPr>
          <t xml:space="preserve">Predecessor data
</t>
        </r>
      </text>
    </comment>
    <comment ref="S509" authorId="0" shapeId="0" xr:uid="{F5F7420B-919E-4820-B7FE-A185AB35C1BE}">
      <text>
        <r>
          <rPr>
            <sz val="11"/>
            <color theme="1"/>
            <rFont val="Calibri"/>
            <family val="2"/>
            <scheme val="minor"/>
          </rPr>
          <t xml:space="preserve">Period from February 1,2020 through December 31, 2020
</t>
        </r>
      </text>
    </comment>
    <comment ref="R511" authorId="1" shapeId="0" xr:uid="{E4506D70-292E-4C70-91F6-CA4859E1FE4A}">
      <text>
        <r>
          <rPr>
            <sz val="11"/>
            <color theme="1"/>
            <rFont val="Calibri"/>
            <family val="2"/>
            <scheme val="minor"/>
          </rPr>
          <t xml:space="preserve">Predecessor data
</t>
        </r>
      </text>
    </comment>
    <comment ref="S511" authorId="0" shapeId="0" xr:uid="{62782DD2-2E9B-4237-BE21-6DABB7B059ED}">
      <text>
        <r>
          <rPr>
            <sz val="11"/>
            <color theme="1"/>
            <rFont val="Calibri"/>
            <family val="2"/>
            <scheme val="minor"/>
          </rPr>
          <t xml:space="preserve">Period from February 1,2020 through December 31, 2020
</t>
        </r>
      </text>
    </comment>
    <comment ref="G515" authorId="0" shapeId="0" xr:uid="{44D3CFD8-B8B0-44F2-826B-30BA0D882581}">
      <text>
        <r>
          <rPr>
            <sz val="11"/>
            <color theme="1"/>
            <rFont val="Calibri"/>
            <family val="2"/>
            <scheme val="minor"/>
          </rPr>
          <t xml:space="preserve">Period from January 1,2020 through January 31, 2020
</t>
        </r>
      </text>
    </comment>
    <comment ref="G516" authorId="0" shapeId="0" xr:uid="{2B285FA0-A5AF-4B57-A068-CA86010FE6F9}">
      <text>
        <r>
          <rPr>
            <sz val="11"/>
            <color theme="1"/>
            <rFont val="Calibri"/>
            <family val="2"/>
            <scheme val="minor"/>
          </rPr>
          <t xml:space="preserve">Period from January 1,2020 through January 31, 2020
</t>
        </r>
      </text>
    </comment>
    <comment ref="G517" authorId="0" shapeId="0" xr:uid="{FDCA4E86-CB13-4FA3-A780-DF935C2DAB20}">
      <text>
        <r>
          <rPr>
            <sz val="11"/>
            <color theme="1"/>
            <rFont val="Calibri"/>
            <family val="2"/>
            <scheme val="minor"/>
          </rPr>
          <t xml:space="preserve">Period from January 1,2020 through January 31, 2020
</t>
        </r>
      </text>
    </comment>
    <comment ref="G518" authorId="0" shapeId="0" xr:uid="{F22FA36C-4478-42E6-B378-B038DD37B2C2}">
      <text>
        <r>
          <rPr>
            <sz val="11"/>
            <color theme="1"/>
            <rFont val="Calibri"/>
            <family val="2"/>
            <scheme val="minor"/>
          </rPr>
          <t xml:space="preserve">Period from January 1,2020 through January 31, 2020
</t>
        </r>
      </text>
    </comment>
    <comment ref="G521" authorId="0" shapeId="0" xr:uid="{4E5388B2-C12E-40BB-BF68-301D6976BA62}">
      <text>
        <r>
          <rPr>
            <sz val="11"/>
            <color theme="1"/>
            <rFont val="Calibri"/>
            <family val="2"/>
            <scheme val="minor"/>
          </rPr>
          <t xml:space="preserve">Period from January 1,2020 through January 31, 2020
</t>
        </r>
      </text>
    </comment>
    <comment ref="G522" authorId="0" shapeId="0" xr:uid="{B0CE58CD-380C-4A21-A3B2-FBD2F662C362}">
      <text>
        <r>
          <rPr>
            <sz val="11"/>
            <color theme="1"/>
            <rFont val="Calibri"/>
            <family val="2"/>
            <scheme val="minor"/>
          </rPr>
          <t xml:space="preserve">Period from January 1,2020 through January 31, 2020
</t>
        </r>
      </text>
    </comment>
    <comment ref="G523" authorId="0" shapeId="0" xr:uid="{B67D3F0E-E625-4245-9D80-DEF601ECA8C4}">
      <text>
        <r>
          <rPr>
            <sz val="11"/>
            <color theme="1"/>
            <rFont val="Calibri"/>
            <family val="2"/>
            <scheme val="minor"/>
          </rPr>
          <t xml:space="preserve">Period from January 1,2020 through January 31, 2020
</t>
        </r>
      </text>
    </comment>
    <comment ref="G524" authorId="0" shapeId="0" xr:uid="{991C3D0D-31F7-46AB-8FDC-894D2B3655FF}">
      <text>
        <r>
          <rPr>
            <sz val="11"/>
            <color theme="1"/>
            <rFont val="Calibri"/>
            <family val="2"/>
            <scheme val="minor"/>
          </rPr>
          <t xml:space="preserve">Period from January 1,2020 through January 31, 2020
</t>
        </r>
      </text>
    </comment>
    <comment ref="G526" authorId="0" shapeId="0" xr:uid="{DF8C11EE-26CF-4911-B329-84CCED2C4D7B}">
      <text>
        <r>
          <rPr>
            <sz val="11"/>
            <color theme="1"/>
            <rFont val="Calibri"/>
            <family val="2"/>
            <scheme val="minor"/>
          </rPr>
          <t xml:space="preserve">Period from January 1,2020 through January 31, 2020
</t>
        </r>
      </text>
    </comment>
    <comment ref="R529" authorId="1" shapeId="0" xr:uid="{4F20E616-8B5A-4FB1-B825-109CB29E0BCE}">
      <text>
        <r>
          <rPr>
            <sz val="11"/>
            <color theme="1"/>
            <rFont val="Calibri"/>
            <family val="2"/>
            <scheme val="minor"/>
          </rPr>
          <t xml:space="preserve">Predecessor data
</t>
        </r>
      </text>
    </comment>
    <comment ref="S529" authorId="0" shapeId="0" xr:uid="{28DA7B0C-82C7-46BE-8A9C-508ED2560569}">
      <text>
        <r>
          <rPr>
            <sz val="11"/>
            <color theme="1"/>
            <rFont val="Calibri"/>
            <family val="2"/>
            <scheme val="minor"/>
          </rPr>
          <t xml:space="preserve">Period from February 1,2020 through December 31, 2020
</t>
        </r>
      </text>
    </comment>
    <comment ref="R530" authorId="1" shapeId="0" xr:uid="{81933AD1-E691-41A1-8DF1-06C4193C61B1}">
      <text>
        <r>
          <rPr>
            <sz val="11"/>
            <color theme="1"/>
            <rFont val="Calibri"/>
            <family val="2"/>
            <scheme val="minor"/>
          </rPr>
          <t xml:space="preserve">Predecessor data
</t>
        </r>
      </text>
    </comment>
    <comment ref="S530" authorId="0" shapeId="0" xr:uid="{EF94E862-430C-476B-A783-13AE24938C90}">
      <text>
        <r>
          <rPr>
            <sz val="11"/>
            <color theme="1"/>
            <rFont val="Calibri"/>
            <family val="2"/>
            <scheme val="minor"/>
          </rPr>
          <t xml:space="preserve">Period from February 1,2020 through December 31, 2020
</t>
        </r>
      </text>
    </comment>
    <comment ref="R531" authorId="1" shapeId="0" xr:uid="{FBAC182B-1DAE-4877-AA0A-C61AA8099F0C}">
      <text>
        <r>
          <rPr>
            <sz val="11"/>
            <color theme="1"/>
            <rFont val="Calibri"/>
            <family val="2"/>
            <scheme val="minor"/>
          </rPr>
          <t xml:space="preserve">Predecessor data
</t>
        </r>
      </text>
    </comment>
    <comment ref="S531" authorId="0" shapeId="0" xr:uid="{FB3752D4-273D-4615-A454-CB84DC87AB0F}">
      <text>
        <r>
          <rPr>
            <sz val="11"/>
            <color theme="1"/>
            <rFont val="Calibri"/>
            <family val="2"/>
            <scheme val="minor"/>
          </rPr>
          <t xml:space="preserve">Period from February 1,2020 through December 31, 2020
</t>
        </r>
      </text>
    </comment>
    <comment ref="R532" authorId="1" shapeId="0" xr:uid="{D73491A9-3B03-414F-9A41-1D33FA857C02}">
      <text>
        <r>
          <rPr>
            <sz val="11"/>
            <color theme="1"/>
            <rFont val="Calibri"/>
            <family val="2"/>
            <scheme val="minor"/>
          </rPr>
          <t xml:space="preserve">Predecessor data
</t>
        </r>
      </text>
    </comment>
    <comment ref="S532" authorId="0" shapeId="0" xr:uid="{F3C4FAE5-E9A2-4B4E-9044-AD9133AE944C}">
      <text>
        <r>
          <rPr>
            <sz val="11"/>
            <color theme="1"/>
            <rFont val="Calibri"/>
            <family val="2"/>
            <scheme val="minor"/>
          </rPr>
          <t xml:space="preserve">Period from February 1,2020 through December 31, 2020
</t>
        </r>
      </text>
    </comment>
    <comment ref="R533" authorId="1" shapeId="0" xr:uid="{7F5E6F9B-057B-463B-9B2C-03E878822AF9}">
      <text>
        <r>
          <rPr>
            <sz val="11"/>
            <color theme="1"/>
            <rFont val="Calibri"/>
            <family val="2"/>
            <scheme val="minor"/>
          </rPr>
          <t xml:space="preserve">Predecessor data
</t>
        </r>
      </text>
    </comment>
    <comment ref="S533" authorId="0" shapeId="0" xr:uid="{AB2A4768-8831-43A0-B26C-271D10CFFE33}">
      <text>
        <r>
          <rPr>
            <sz val="11"/>
            <color theme="1"/>
            <rFont val="Calibri"/>
            <family val="2"/>
            <scheme val="minor"/>
          </rPr>
          <t xml:space="preserve">Period from February 1,2020 through December 31, 2020
</t>
        </r>
      </text>
    </comment>
    <comment ref="S534" authorId="0" shapeId="0" xr:uid="{74E1A23E-D5EE-414E-94D9-64F1A874AFCA}">
      <text>
        <r>
          <rPr>
            <sz val="11"/>
            <color theme="1"/>
            <rFont val="Calibri"/>
            <family val="2"/>
            <scheme val="minor"/>
          </rPr>
          <t xml:space="preserve">Period from February 1,2020 through December 31, 2020
</t>
        </r>
      </text>
    </comment>
    <comment ref="R535" authorId="1" shapeId="0" xr:uid="{50C97FEF-D9AA-4C8A-A284-16595FCA4356}">
      <text>
        <r>
          <rPr>
            <sz val="11"/>
            <color theme="1"/>
            <rFont val="Calibri"/>
            <family val="2"/>
            <scheme val="minor"/>
          </rPr>
          <t xml:space="preserve">Predecessor data
</t>
        </r>
      </text>
    </comment>
    <comment ref="S535" authorId="0" shapeId="0" xr:uid="{5BC4E6D4-AD11-458B-A479-C39DAA09F99E}">
      <text>
        <r>
          <rPr>
            <sz val="11"/>
            <color theme="1"/>
            <rFont val="Calibri"/>
            <family val="2"/>
            <scheme val="minor"/>
          </rPr>
          <t xml:space="preserve">Period from February 1,2020 through December 31, 2020
</t>
        </r>
      </text>
    </comment>
    <comment ref="R536" authorId="1" shapeId="0" xr:uid="{01F12B66-D448-4B36-BE1E-79BAA37F65C0}">
      <text>
        <r>
          <rPr>
            <sz val="11"/>
            <color theme="1"/>
            <rFont val="Calibri"/>
            <family val="2"/>
            <scheme val="minor"/>
          </rPr>
          <t xml:space="preserve">Predecessor data
</t>
        </r>
      </text>
    </comment>
    <comment ref="R537" authorId="1" shapeId="0" xr:uid="{D87DB753-6E1A-49F2-814B-86816A766235}">
      <text>
        <r>
          <rPr>
            <sz val="11"/>
            <color theme="1"/>
            <rFont val="Calibri"/>
            <family val="2"/>
            <scheme val="minor"/>
          </rPr>
          <t xml:space="preserve">Predecessor data
</t>
        </r>
      </text>
    </comment>
    <comment ref="S537" authorId="0" shapeId="0" xr:uid="{5385B182-60D0-4998-B9D8-E7EEB037348C}">
      <text>
        <r>
          <rPr>
            <sz val="11"/>
            <color theme="1"/>
            <rFont val="Calibri"/>
            <family val="2"/>
            <scheme val="minor"/>
          </rPr>
          <t xml:space="preserve">Period from February 1,2020 through December 31, 2020
</t>
        </r>
      </text>
    </comment>
    <comment ref="R538" authorId="1" shapeId="0" xr:uid="{245953EA-C82E-4E2F-ADBE-F80F63B8B595}">
      <text>
        <r>
          <rPr>
            <sz val="11"/>
            <color theme="1"/>
            <rFont val="Calibri"/>
            <family val="2"/>
            <scheme val="minor"/>
          </rPr>
          <t xml:space="preserve">Predecessor data
</t>
        </r>
      </text>
    </comment>
    <comment ref="S538" authorId="0" shapeId="0" xr:uid="{CFFD67E2-4EE5-4E25-B382-E304A831788E}">
      <text>
        <r>
          <rPr>
            <sz val="11"/>
            <color theme="1"/>
            <rFont val="Calibri"/>
            <family val="2"/>
            <scheme val="minor"/>
          </rPr>
          <t xml:space="preserve">Period from February 1,2020 through December 31, 2020
</t>
        </r>
      </text>
    </comment>
    <comment ref="R539" authorId="1" shapeId="0" xr:uid="{6A317826-6D98-4122-8967-FE8B0906DB8C}">
      <text>
        <r>
          <rPr>
            <sz val="11"/>
            <color theme="1"/>
            <rFont val="Calibri"/>
            <family val="2"/>
            <scheme val="minor"/>
          </rPr>
          <t xml:space="preserve">Predecessor data
</t>
        </r>
      </text>
    </comment>
    <comment ref="S539" authorId="0" shapeId="0" xr:uid="{FC09DF2F-CB08-4E80-A081-13C5FF0C70AC}">
      <text>
        <r>
          <rPr>
            <sz val="11"/>
            <color theme="1"/>
            <rFont val="Calibri"/>
            <family val="2"/>
            <scheme val="minor"/>
          </rPr>
          <t xml:space="preserve">Period from February 1,2020 through December 31, 2020
</t>
        </r>
      </text>
    </comment>
    <comment ref="R540" authorId="1" shapeId="0" xr:uid="{E8B82D74-FC89-40C7-8C61-AF76FB23CD16}">
      <text>
        <r>
          <rPr>
            <sz val="11"/>
            <color theme="1"/>
            <rFont val="Calibri"/>
            <family val="2"/>
            <scheme val="minor"/>
          </rPr>
          <t xml:space="preserve">Predecessor data
</t>
        </r>
      </text>
    </comment>
    <comment ref="S540" authorId="0" shapeId="0" xr:uid="{CC0DC3D5-EDDB-4EB0-95F9-4F6B7713E686}">
      <text>
        <r>
          <rPr>
            <sz val="11"/>
            <color theme="1"/>
            <rFont val="Calibri"/>
            <family val="2"/>
            <scheme val="minor"/>
          </rPr>
          <t xml:space="preserve">Period from February 1,2020 through December 31, 2020
</t>
        </r>
      </text>
    </comment>
    <comment ref="G543" authorId="0" shapeId="0" xr:uid="{F044F115-467E-4905-9EC9-C819BF1ECEA8}">
      <text>
        <r>
          <rPr>
            <sz val="11"/>
            <color theme="1"/>
            <rFont val="Calibri"/>
            <family val="2"/>
            <scheme val="minor"/>
          </rPr>
          <t xml:space="preserve">Period from January 1,2020 through January 31, 2020
</t>
        </r>
      </text>
    </comment>
    <comment ref="G544" authorId="0" shapeId="0" xr:uid="{41B25515-39A8-4ECC-A554-A669F51007A1}">
      <text>
        <r>
          <rPr>
            <sz val="11"/>
            <color theme="1"/>
            <rFont val="Calibri"/>
            <family val="2"/>
            <scheme val="minor"/>
          </rPr>
          <t xml:space="preserve">Period from January 1,2020 through January 31, 2020
</t>
        </r>
      </text>
    </comment>
    <comment ref="G545" authorId="0" shapeId="0" xr:uid="{6CB8459E-5D85-4028-9A15-814FBC6BEDE1}">
      <text>
        <r>
          <rPr>
            <sz val="11"/>
            <color theme="1"/>
            <rFont val="Calibri"/>
            <family val="2"/>
            <scheme val="minor"/>
          </rPr>
          <t xml:space="preserve">Period from January 1,2020 through January 31, 2020
</t>
        </r>
      </text>
    </comment>
    <comment ref="G546" authorId="0" shapeId="0" xr:uid="{FC411BE0-627C-4358-8595-CD13CAA5283B}">
      <text>
        <r>
          <rPr>
            <sz val="11"/>
            <color theme="1"/>
            <rFont val="Calibri"/>
            <family val="2"/>
            <scheme val="minor"/>
          </rPr>
          <t xml:space="preserve">Period from January 1,2020 through January 31, 2020
</t>
        </r>
      </text>
    </comment>
    <comment ref="G547" authorId="0" shapeId="0" xr:uid="{2E74A2B4-BBCA-41F2-B907-FF640D525701}">
      <text>
        <r>
          <rPr>
            <sz val="11"/>
            <color theme="1"/>
            <rFont val="Calibri"/>
            <family val="2"/>
            <scheme val="minor"/>
          </rPr>
          <t xml:space="preserve">Period from January 1,2020 through January 31, 2020
</t>
        </r>
      </text>
    </comment>
    <comment ref="G548" authorId="0" shapeId="0" xr:uid="{7F12E0DA-4930-41EA-AB8F-32AA052A5DFE}">
      <text>
        <r>
          <rPr>
            <sz val="11"/>
            <color theme="1"/>
            <rFont val="Calibri"/>
            <family val="2"/>
            <scheme val="minor"/>
          </rPr>
          <t xml:space="preserve">Period from January 1,2020 through January 31, 2020
</t>
        </r>
      </text>
    </comment>
    <comment ref="G549" authorId="0" shapeId="0" xr:uid="{9F6EFC33-C94A-4309-890F-898EF7A24022}">
      <text>
        <r>
          <rPr>
            <sz val="11"/>
            <color theme="1"/>
            <rFont val="Calibri"/>
            <family val="2"/>
            <scheme val="minor"/>
          </rPr>
          <t xml:space="preserve">Period from January 1,2020 through January 31, 2020
</t>
        </r>
      </text>
    </comment>
    <comment ref="G550" authorId="0" shapeId="0" xr:uid="{5A2C7C8D-4D6D-4B0B-91F4-CD351CB8E17E}">
      <text>
        <r>
          <rPr>
            <sz val="11"/>
            <color theme="1"/>
            <rFont val="Calibri"/>
            <family val="2"/>
            <scheme val="minor"/>
          </rPr>
          <t xml:space="preserve">Period from January 1,2020 through January 31, 2020
</t>
        </r>
      </text>
    </comment>
    <comment ref="G551" authorId="0" shapeId="0" xr:uid="{32CA502B-B843-4F89-BCE9-56513CB82696}">
      <text>
        <r>
          <rPr>
            <sz val="11"/>
            <color theme="1"/>
            <rFont val="Calibri"/>
            <family val="2"/>
            <scheme val="minor"/>
          </rPr>
          <t xml:space="preserve">Period from January 1,2020 through January 31, 2020
</t>
        </r>
      </text>
    </comment>
    <comment ref="G552" authorId="0" shapeId="0" xr:uid="{FFB627EE-411C-4A8F-8E97-67FA75B9E445}">
      <text>
        <r>
          <rPr>
            <sz val="11"/>
            <color theme="1"/>
            <rFont val="Calibri"/>
            <family val="2"/>
            <scheme val="minor"/>
          </rPr>
          <t xml:space="preserve">Period from January 1,2020 through January 31, 2020
</t>
        </r>
      </text>
    </comment>
    <comment ref="F608" authorId="1" shapeId="0" xr:uid="{5667B389-7DA9-4DEA-BF00-E8FF3F473119}">
      <text>
        <r>
          <rPr>
            <sz val="11"/>
            <color theme="1"/>
            <rFont val="Calibri"/>
            <family val="2"/>
            <scheme val="minor"/>
          </rPr>
          <t>Predecessor data</t>
        </r>
      </text>
    </comment>
    <comment ref="F609" authorId="1" shapeId="0" xr:uid="{6685CEFC-C5FE-4D18-8B26-35BB18874E9C}">
      <text>
        <r>
          <rPr>
            <sz val="11"/>
            <color theme="1"/>
            <rFont val="Calibri"/>
            <family val="2"/>
            <scheme val="minor"/>
          </rPr>
          <t>Predecessor data</t>
        </r>
      </text>
    </comment>
    <comment ref="F610" authorId="1" shapeId="0" xr:uid="{3CC5E989-86D3-4BA7-B46A-E2459A2928A1}">
      <text>
        <r>
          <rPr>
            <sz val="11"/>
            <color theme="1"/>
            <rFont val="Calibri"/>
            <family val="2"/>
            <scheme val="minor"/>
          </rPr>
          <t>Predecessor data</t>
        </r>
      </text>
    </comment>
    <comment ref="F614" authorId="1" shapeId="0" xr:uid="{232F5D89-B93C-4881-91C3-D394ADEB3D30}">
      <text>
        <r>
          <rPr>
            <sz val="11"/>
            <color theme="1"/>
            <rFont val="Calibri"/>
            <family val="2"/>
            <scheme val="minor"/>
          </rPr>
          <t>Predecessor data</t>
        </r>
      </text>
    </comment>
    <comment ref="F615" authorId="1" shapeId="0" xr:uid="{0FA698E9-BD60-48F3-9628-746ACCE345E0}">
      <text>
        <r>
          <rPr>
            <sz val="11"/>
            <color theme="1"/>
            <rFont val="Calibri"/>
            <family val="2"/>
            <scheme val="minor"/>
          </rPr>
          <t>Predecessor data</t>
        </r>
      </text>
    </comment>
    <comment ref="F618" authorId="1" shapeId="0" xr:uid="{4CE1263F-556C-4BEA-8739-0BD92BEEC89F}">
      <text>
        <r>
          <rPr>
            <sz val="11"/>
            <color theme="1"/>
            <rFont val="Calibri"/>
            <family val="2"/>
            <scheme val="minor"/>
          </rPr>
          <t>Predecessor data</t>
        </r>
      </text>
    </comment>
    <comment ref="F619" authorId="1" shapeId="0" xr:uid="{FC8606BC-A7B4-4BE3-8743-1EFB66CD3CEE}">
      <text>
        <r>
          <rPr>
            <sz val="11"/>
            <color theme="1"/>
            <rFont val="Calibri"/>
            <family val="2"/>
            <scheme val="minor"/>
          </rPr>
          <t>Predecessor data</t>
        </r>
      </text>
    </comment>
    <comment ref="F620" authorId="1" shapeId="0" xr:uid="{1A2C1FD7-242B-4B29-9877-A85620419CC8}">
      <text>
        <r>
          <rPr>
            <sz val="11"/>
            <color theme="1"/>
            <rFont val="Calibri"/>
            <family val="2"/>
            <scheme val="minor"/>
          </rPr>
          <t>Predecessor data</t>
        </r>
      </text>
    </comment>
    <comment ref="F623" authorId="1" shapeId="0" xr:uid="{5B666E93-6E19-424D-90AE-8CA28591814E}">
      <text>
        <r>
          <rPr>
            <sz val="11"/>
            <color theme="1"/>
            <rFont val="Calibri"/>
            <family val="2"/>
            <scheme val="minor"/>
          </rPr>
          <t>Predecessor data</t>
        </r>
      </text>
    </comment>
    <comment ref="F624" authorId="1" shapeId="0" xr:uid="{0694AB57-5B06-48AA-AB4A-06A47EA6AEBB}">
      <text>
        <r>
          <rPr>
            <sz val="11"/>
            <color theme="1"/>
            <rFont val="Calibri"/>
            <family val="2"/>
            <scheme val="minor"/>
          </rPr>
          <t>Predecessor data</t>
        </r>
      </text>
    </comment>
    <comment ref="F625" authorId="1" shapeId="0" xr:uid="{6C862B10-798D-4DFB-A51B-E3E414502C97}">
      <text>
        <r>
          <rPr>
            <sz val="11"/>
            <color theme="1"/>
            <rFont val="Calibri"/>
            <family val="2"/>
            <scheme val="minor"/>
          </rPr>
          <t>Predecessor data</t>
        </r>
      </text>
    </comment>
    <comment ref="F628" authorId="1" shapeId="0" xr:uid="{5E71409F-9E9E-46EE-9CEC-48BBA198762B}">
      <text>
        <r>
          <rPr>
            <sz val="11"/>
            <color theme="1"/>
            <rFont val="Calibri"/>
            <family val="2"/>
            <scheme val="minor"/>
          </rPr>
          <t>Predecessor data</t>
        </r>
      </text>
    </comment>
    <comment ref="F630" authorId="1" shapeId="0" xr:uid="{3561D499-C900-415A-9D55-4A71558F909A}">
      <text>
        <r>
          <rPr>
            <sz val="11"/>
            <color theme="1"/>
            <rFont val="Calibri"/>
            <family val="2"/>
            <scheme val="minor"/>
          </rPr>
          <t>Predecessor data</t>
        </r>
      </text>
    </comment>
    <comment ref="F631" authorId="1" shapeId="0" xr:uid="{DD30CC9E-C812-48E6-BE61-C0CBC12CBC93}">
      <text>
        <r>
          <rPr>
            <sz val="11"/>
            <color theme="1"/>
            <rFont val="Calibri"/>
            <family val="2"/>
            <scheme val="minor"/>
          </rPr>
          <t>Predecessor data</t>
        </r>
      </text>
    </comment>
    <comment ref="S634" authorId="0" shapeId="0" xr:uid="{422110EA-BEA2-41F3-A63D-076FFCFC30E7}">
      <text>
        <r>
          <rPr>
            <sz val="11"/>
            <color theme="1"/>
            <rFont val="Calibri"/>
            <family val="2"/>
            <scheme val="minor"/>
          </rPr>
          <t xml:space="preserve">Period from February 1,2020 through December 31,2020
</t>
        </r>
      </text>
    </comment>
    <comment ref="S635" authorId="0" shapeId="0" xr:uid="{9FDCAD56-3CC1-4017-AA2F-212389D095F2}">
      <text>
        <r>
          <rPr>
            <sz val="11"/>
            <color theme="1"/>
            <rFont val="Calibri"/>
            <family val="2"/>
            <scheme val="minor"/>
          </rPr>
          <t xml:space="preserve">Period from February 1,2020 through December 31,2020
</t>
        </r>
      </text>
    </comment>
    <comment ref="S637" authorId="0" shapeId="0" xr:uid="{E3FC2820-5DE7-4844-8E7B-B6591CCC4392}">
      <text>
        <r>
          <rPr>
            <sz val="11"/>
            <color theme="1"/>
            <rFont val="Calibri"/>
            <family val="2"/>
            <scheme val="minor"/>
          </rPr>
          <t xml:space="preserve">Period from February 1,2020 through December 31,2020
</t>
        </r>
      </text>
    </comment>
    <comment ref="S640" authorId="0" shapeId="0" xr:uid="{B0889180-376D-4055-ADAB-60F27B8E4FEA}">
      <text>
        <r>
          <rPr>
            <sz val="11"/>
            <color theme="1"/>
            <rFont val="Calibri"/>
            <family val="2"/>
            <scheme val="minor"/>
          </rPr>
          <t xml:space="preserve">Period from February 1,2020 through December 31,2020
</t>
        </r>
      </text>
    </comment>
    <comment ref="S649" authorId="0" shapeId="0" xr:uid="{F6348232-1AE5-4B56-897D-1055E93658AC}">
      <text>
        <r>
          <rPr>
            <sz val="11"/>
            <color theme="1"/>
            <rFont val="Calibri"/>
            <family val="2"/>
            <scheme val="minor"/>
          </rPr>
          <t xml:space="preserve">Period from February 1,2020 through December 31,2020
</t>
        </r>
      </text>
    </comment>
    <comment ref="S651" authorId="0" shapeId="0" xr:uid="{51703FD4-8EC1-4196-923A-13E32CBD12BB}">
      <text>
        <r>
          <rPr>
            <sz val="11"/>
            <color theme="1"/>
            <rFont val="Calibri"/>
            <family val="2"/>
            <scheme val="minor"/>
          </rPr>
          <t xml:space="preserve">Period from February 1,2020 through December 31,2020
</t>
        </r>
      </text>
    </comment>
    <comment ref="S652" authorId="0" shapeId="0" xr:uid="{643DABF6-6995-4B7F-A627-03026F9BE490}">
      <text>
        <r>
          <rPr>
            <sz val="11"/>
            <color theme="1"/>
            <rFont val="Calibri"/>
            <family val="2"/>
            <scheme val="minor"/>
          </rPr>
          <t xml:space="preserve">Period from February 1,2020 through December 31,2020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<sst xmlns="http://schemas.openxmlformats.org/spreadsheetml/2006/main" count="4572" uniqueCount="1847">
  <si>
    <t>BAABTAVMT0NBTAFI/////wFQGAAAACFDSVFBVkcuJFVTREdCUC5JUV9MQVNUU0FMRVBSSUNFLi4BAAAAAu1aAAIAAAAKMS4yMzQzMzkzMgDoD8UliS/bCJYgyFc/MNsIIUNJUUFWRy4kVVNERVVSLklRX0xBU1RTQUxFUFJJQ0UuLgEAAAAC7VoAAgAAAAsxLjA4NDI0NTkwNwDoD8UliS/bCJYgyFc/MNsIMkNJUUFWRy4kVVNEQVVELklRX0xBU1RTQUxFUFJJQ0UuMS8xLzIwMjMuMy8yNy8yMDIzAQAAAALtWgACAAAAETAuNjg0MTY4NTg4MjU1ODE0AKL2qVc/MNsI10okmEMw2wgyQ0lRQVZHLiRVU0RDQUQuSVFfTEFTVFNBTEVQUklDRS4xLzEvMjAyMy4zLzI3LzIwMjMBAAAAAu1aAAIAAAARMC43Mzk0Mzk1MjQ0NTM0ODgAovapVz8w2wjXSiSYQzDbCDJDSVFBVkcuJFVTREVVUi5JUV9MQVNUU0FMRVBSSUNFLjEvMS8yMDIzLjMvMjcvMjAyMwEAAAAC7VoAAgAAABAxLjA3MTgxMzQwMjgyNTU4AKL2qVc/MNsI10okmEMw2wgzQ0lRQVZHLiRVU0RDQUQuSVFfTEFTVFNBTEVQUklDRS4zLzI3LzIwMjMuMy8yOC8yMDIzAQAAAALtWgACAAAACzAuNzMyMDg5MTMyAKL2qVc/MNsIAyQkmEMw2wgzQ0lRQVZHLiRVU0RBVUQuSVFfTEFTVFNBTEVQUklDRS4zLzI3LzIwMjMuMy8yOC8yMDIzAQAAAALtWgACAAAACzAuNjY3MjgxOTc0AKL2qVc/MNsIAyQkmEMw2wgyQ0lRQVZHLiRVU0RHQlAuSVFfTEFTVFNBTEVQUklD</t>
  </si>
  <si>
    <t>RS4xLzEvMjAyMy4zLzI3LzIwMjMBAAAAAu1aAAIAAAAQMS4yMTM0MDk0NTM2ODYwNQCi9qlXPzDbCNdKJJhDMNsIM0NJUUFWRy4kVVNER0JQLklRX0xBU1RTQUxFUFJJQ0UuMy8yNy8yMDIzLjMvMjgvMjAyMwEAAAAC7VoAAgAAAAsxLjIzMDU3NjI3NQCi9qlXPzDbCAMkJJhDMNsIM0NJUUFWRy4kVVNERVVSLklRX0xBU1RTQUxFUFJJQ0UuMy8yNy8yMDIzLjMvMjgvMjAyMwEAAAAC7VoAAgAAAAwxLjA4MTIwNjUxMTUAovapVz8w2wgDJCSYQzDbCDJDSVFBVkcuJFVTREdCUC5JUV9MQVNUU0FMRVBSSUNFLjEvMS8yMDIzLjMvMjYvMjAyMwEAAAAC7VoAAgAAAAwxLjIxMzI1MTc2MjIA6A/FJYkv2wjTFV51pC/bCDJDSVFBVkcuJFVTRENBRC5JUV9MQVNUU0FMRVBSSUNFLjEvMS8yMDIzLjMvMjYvMjAyMwEAAAAC7VoAAgAAABEwLjczOTU1MDU1ODc4ODIzNQDoD8UliS/bCNMVXnWkL9sIM0NJUUFWRy4kVVNEQ0FELklRX0xBU1RTQUxFUFJJQ0UuMy8yNi8yMDIzLjMvMjcvMjAyMwEAAAAC7VoAAgAAAAwwLjcyODU5NzUwMTUA6A/FJYkv2wjTFV51pC/bCDJDSVFBVkcuJFVTREFVRC5JUV9MQVNUU0FMRVBSSUNFLjEvMS8yMDIzLjMvMjYvMjAyMwEAAAAC7VoAAgAAABEwLjY4NDQwNDE4NDMwNTg4MgDoD8UliS/bCNMVXnWkL9sIMkNJUUFWRy4kVVNERVVSLklRX0xBU1RTQUxFUFJJQ0UuMS8xLzIwMjMuMy8y</t>
  </si>
  <si>
    <t>Ni8yMDIzAQAAAALtWgACAAAAEDEuMDcxNzM4NjUzMjU4ODIA6A/FJYkv2wjTFV51pC/bCDNDSVFBVkcuJFVTREFVRC5JUV9MQVNUU0FMRVBSSUNFLjMvMjYvMjAyMy4zLzI3LzIwMjMBAAAAAu1aAAIAAAAKMC42NjQwNTQ3MwDoD8UliS/bCNMVXnWkL9sIM0NJUUFWRy4kVVNERVVSLklRX0xBU1RTQUxFUFJJQ0UuMy8yNi8yMDIzLjMvMjcvMjAyMwEAAAAC7VoAAgAAAAwxLjA3Njk0OTMwNjUA6A/FJYkv2wjW7l11pC/bCDNDSVFBVkcuJFVTREdCUC5JUV9MQVNUU0FMRVBSSUNFLjMvMjYvMjAyMy4zLzI3LzIwMjMBAAAAAu1aAAIAAAAMMS4yMjQ2NjEwMzE1AOgPxSWJL9sI1u5ddaQv2wgpQ0lRQVZHLiRVU0RBVUQuSVFfTEFTVFNBTEVQUklDRS4xLzEvMjAyMy4BAAAAAu1aAAIAAAARMC42ODQwMTA1NzAyNzU4NjIA6A/FJYkv2wiWIMhXPzDbCClDSVFBVkcuJFVTRENBRC5JUV9MQVNUU0FMRVBSSUNFLjEvMS8yMDIzLgEAAAAC7VoAAgAAABEwLjczOTM3OTAzMTczNTYzMgDoD8UliS/bCJYgyFc/MNsIIUNJUUFWRy4kVVNEQVVELklRX0xBU1RTQUxFUFJJQ0UuLgEAAAAC7VoAAgAAAAswLjY3MDQyMTAyNADoD8UliS/bCJYgyFc/MNsIIUNJUUFWRy4kVVNEQ0FELklRX0xBU1RTQUxFUFJJQ0UuLgEAAAAC7VoAAgAAAAswLjczNDE3NjY1OADoD8UliS/bCJYgyFc/MNsIKUNJUUFWRy4kVVNERVVSLklRX0xB</t>
  </si>
  <si>
    <t>U1RTQUxFUFJJQ0UuMS8xLzIwMjMuAQAAAALtWgACAAAAEDEuMDcxOTU2MzA1MTcyNDEA6A/FJYkv2wiWIMhXPzDbCClDSVFBVkcuJFVTREdCUC5JUV9MQVNUU0FMRVBSSUNFLjEvMS8yMDIzLgEAAAAC7VoAAgAAABAxLjIxMzY1MDAyNjg2MjA3AOgPxSWJL9sIliDIVz8w2wg=</t>
  </si>
  <si>
    <t>FA - Pro Forma</t>
  </si>
  <si>
    <t>FA + STER PF Simple Model</t>
  </si>
  <si>
    <t>(USD in mm)</t>
  </si>
  <si>
    <t>FYE December 31st,</t>
  </si>
  <si>
    <t>FY19a</t>
  </si>
  <si>
    <t>FY20a</t>
  </si>
  <si>
    <t>FY21a</t>
  </si>
  <si>
    <t>FY22a</t>
  </si>
  <si>
    <t>FY23a</t>
  </si>
  <si>
    <t>FY24e</t>
  </si>
  <si>
    <t>FY25e</t>
  </si>
  <si>
    <t>FY26e</t>
  </si>
  <si>
    <t>FY27e</t>
  </si>
  <si>
    <t>FY28e</t>
  </si>
  <si>
    <t>FY29e</t>
  </si>
  <si>
    <t>FY30e</t>
  </si>
  <si>
    <t>FY31e</t>
  </si>
  <si>
    <t>FY32e</t>
  </si>
  <si>
    <t>FY33e</t>
  </si>
  <si>
    <t>FY34e</t>
  </si>
  <si>
    <t>FY35e</t>
  </si>
  <si>
    <t>FY36e</t>
  </si>
  <si>
    <t>x</t>
  </si>
  <si>
    <t>Financials</t>
  </si>
  <si>
    <t>Revenue</t>
  </si>
  <si>
    <t>% Growth</t>
  </si>
  <si>
    <t>% Organic CC</t>
  </si>
  <si>
    <t/>
  </si>
  <si>
    <t>Adj. EBITDA  pre-synergy</t>
  </si>
  <si>
    <t>% Margin</t>
  </si>
  <si>
    <t xml:space="preserve">% Incremental </t>
  </si>
  <si>
    <t>Synergies</t>
  </si>
  <si>
    <t>Adj. EBITDA  post-synergy</t>
  </si>
  <si>
    <t>SBC</t>
  </si>
  <si>
    <t>CRC EBITDA post-synergy</t>
  </si>
  <si>
    <t>% Incremental</t>
  </si>
  <si>
    <t>Capex</t>
  </si>
  <si>
    <t>% of Sales</t>
  </si>
  <si>
    <t>CRC EBITDA - Capex</t>
  </si>
  <si>
    <t xml:space="preserve">D&amp;A </t>
  </si>
  <si>
    <t>Interest</t>
  </si>
  <si>
    <t>% Rate (on Net Debt)</t>
  </si>
  <si>
    <t>Taxes</t>
  </si>
  <si>
    <t>% Rate</t>
  </si>
  <si>
    <t>Recurring FCF</t>
  </si>
  <si>
    <t>Integration Costs (1x synergies after tax)</t>
  </si>
  <si>
    <t>WC / Other</t>
  </si>
  <si>
    <t>Realized FCF</t>
  </si>
  <si>
    <t>Net Debt</t>
  </si>
  <si>
    <t>x CRC EBITDA</t>
  </si>
  <si>
    <t>FCF to Equity</t>
  </si>
  <si>
    <t>% of Mkt. Cap</t>
  </si>
  <si>
    <t>Cum. FCF to Equity</t>
  </si>
  <si>
    <t>Market Cap / LTM FCF</t>
  </si>
  <si>
    <t>TEV / Revenue</t>
  </si>
  <si>
    <t>TEV / EBITDA</t>
  </si>
  <si>
    <t>TEV / EBITDA - Capex</t>
  </si>
  <si>
    <t>P/E</t>
  </si>
  <si>
    <t>Basis Multiple</t>
  </si>
  <si>
    <t>P/E (incl. PF synergies)</t>
  </si>
  <si>
    <t>Basis Multiple (incl. PF synergies)</t>
  </si>
  <si>
    <t>Returns</t>
  </si>
  <si>
    <t>Ten-Year Exit</t>
  </si>
  <si>
    <t>Forward FCF Multiple</t>
  </si>
  <si>
    <t>Equity Value</t>
  </si>
  <si>
    <t>Cash Flows</t>
  </si>
  <si>
    <t>IRR</t>
  </si>
  <si>
    <t>Capitalization</t>
  </si>
  <si>
    <t>Amount</t>
  </si>
  <si>
    <t>$ / Share</t>
  </si>
  <si>
    <t>Equity</t>
  </si>
  <si>
    <t>PF Net Debt</t>
  </si>
  <si>
    <t>TEV</t>
  </si>
  <si>
    <t>Shares</t>
  </si>
  <si>
    <t>PF FA + STER Combined Historical Financials and Forecast</t>
  </si>
  <si>
    <t>1QFY-2024</t>
  </si>
  <si>
    <t>2QFY-2024</t>
  </si>
  <si>
    <t>4QFY-2024</t>
  </si>
  <si>
    <t>1QFY-2025</t>
  </si>
  <si>
    <t>2QFY-2025</t>
  </si>
  <si>
    <t>3QFY-2025</t>
  </si>
  <si>
    <t>4QFY-2025</t>
  </si>
  <si>
    <t>1Q19</t>
  </si>
  <si>
    <t>2Q19</t>
  </si>
  <si>
    <t>3Q19</t>
  </si>
  <si>
    <t>4Q19</t>
  </si>
  <si>
    <t>1Q20</t>
  </si>
  <si>
    <t>2Q20</t>
  </si>
  <si>
    <t>3Q20</t>
  </si>
  <si>
    <t>4Q20</t>
  </si>
  <si>
    <t>1Q21</t>
  </si>
  <si>
    <t>2Q21</t>
  </si>
  <si>
    <t>3Q21</t>
  </si>
  <si>
    <t>4Q21</t>
  </si>
  <si>
    <t>1Q22</t>
  </si>
  <si>
    <t>2Q22</t>
  </si>
  <si>
    <t>3Q22</t>
  </si>
  <si>
    <t>4Q22</t>
  </si>
  <si>
    <t>1Q23</t>
  </si>
  <si>
    <t>2Q23</t>
  </si>
  <si>
    <t>3Q23</t>
  </si>
  <si>
    <t>4Q23</t>
  </si>
  <si>
    <t>1Q24</t>
  </si>
  <si>
    <t>2Q24</t>
  </si>
  <si>
    <t>3Q24</t>
  </si>
  <si>
    <t>4Q24e</t>
  </si>
  <si>
    <t>1Q25e</t>
  </si>
  <si>
    <t>2Q25e</t>
  </si>
  <si>
    <t>3Q25e</t>
  </si>
  <si>
    <t>4Q25e</t>
  </si>
  <si>
    <t>FY18</t>
  </si>
  <si>
    <t>FY19</t>
  </si>
  <si>
    <t>FY20</t>
  </si>
  <si>
    <t>FY21</t>
  </si>
  <si>
    <t>FY22</t>
  </si>
  <si>
    <t>FY23</t>
  </si>
  <si>
    <t>Financial Summary</t>
  </si>
  <si>
    <t>Growth %</t>
  </si>
  <si>
    <t>Organic CC %</t>
  </si>
  <si>
    <t>QoQ %</t>
  </si>
  <si>
    <t>QoQ Organic CC %</t>
  </si>
  <si>
    <t>Adj. GP</t>
  </si>
  <si>
    <t>NA</t>
  </si>
  <si>
    <t>Margin %</t>
  </si>
  <si>
    <t>Adj. EBITDA pre-synergy</t>
  </si>
  <si>
    <t>Incr. Margin %</t>
  </si>
  <si>
    <t>Already actioned synergies (annualized)</t>
  </si>
  <si>
    <t>Actioned synergies in-period (annualized)</t>
  </si>
  <si>
    <t>Actioned synergies (annualized)</t>
  </si>
  <si>
    <t>/ 4</t>
  </si>
  <si>
    <t>Actioned synergies (quarterized)</t>
  </si>
  <si>
    <t>Realized synergies (avg actioned)</t>
  </si>
  <si>
    <t>Adj. EBITDA post-synergy</t>
  </si>
  <si>
    <t xml:space="preserve">EBITDA </t>
  </si>
  <si>
    <t>EBITDA - Capex</t>
  </si>
  <si>
    <t>D&amp;A (ex-acquisition-related)</t>
  </si>
  <si>
    <t>EBIT</t>
  </si>
  <si>
    <t xml:space="preserve">% Growth </t>
  </si>
  <si>
    <t>PBT</t>
  </si>
  <si>
    <t>Taxes @ 25%</t>
  </si>
  <si>
    <t>Net Income (Loss)</t>
  </si>
  <si>
    <t>EBITDA</t>
  </si>
  <si>
    <t>Less: Capex</t>
  </si>
  <si>
    <t>Less: Interest</t>
  </si>
  <si>
    <t>Less: Taxes</t>
  </si>
  <si>
    <t>Other CF Items</t>
  </si>
  <si>
    <t>CFO</t>
  </si>
  <si>
    <t>Share Buybacks, net</t>
  </si>
  <si>
    <t xml:space="preserve">Acquisitions </t>
  </si>
  <si>
    <t>PF Balance Sheet Summary</t>
  </si>
  <si>
    <t>Assets</t>
  </si>
  <si>
    <t>Cash and cash equivalents</t>
  </si>
  <si>
    <t>Other current assets</t>
  </si>
  <si>
    <t>Current Assets</t>
  </si>
  <si>
    <t>Goodwill</t>
  </si>
  <si>
    <t>LT Assets</t>
  </si>
  <si>
    <t>Total Assets</t>
  </si>
  <si>
    <t>Liabilities and Shareholder Equity</t>
  </si>
  <si>
    <t>Other current liabilities</t>
  </si>
  <si>
    <t>Current Liabilities</t>
  </si>
  <si>
    <t>LT Liabilities</t>
  </si>
  <si>
    <t>Total Liabilities</t>
  </si>
  <si>
    <t>Shareholder Equity</t>
  </si>
  <si>
    <t>Total Liabilities and Shareholder Equity</t>
  </si>
  <si>
    <t>x LTM CRC EBITDA</t>
  </si>
  <si>
    <t>Valuation</t>
  </si>
  <si>
    <t>2024e</t>
  </si>
  <si>
    <t>TEV / Sales</t>
  </si>
  <si>
    <t>P / Recurring FCF</t>
  </si>
  <si>
    <t>PF FA + STER Basic Historical Financials and Forecast - Pre-Synergy</t>
  </si>
  <si>
    <t>FA</t>
  </si>
  <si>
    <t>STER</t>
  </si>
  <si>
    <t>PF Revenue</t>
  </si>
  <si>
    <t>PF Adj. GP</t>
  </si>
  <si>
    <t>PF Adj. EBITDA pre-synergy</t>
  </si>
  <si>
    <t>PF SBC</t>
  </si>
  <si>
    <t>EBITDA pre-synergy</t>
  </si>
  <si>
    <t>PF EBITDA pre-synergy</t>
  </si>
  <si>
    <t>PF Capex</t>
  </si>
  <si>
    <t>EBITDA - Capex pre-synergy</t>
  </si>
  <si>
    <t>PF EBITDA - Capex pre-synergy</t>
  </si>
  <si>
    <t>PF D&amp;A (ex-acquisition-related)</t>
  </si>
  <si>
    <t>PF EBIT</t>
  </si>
  <si>
    <t>PF Interest</t>
  </si>
  <si>
    <t>CRC EBITDA</t>
  </si>
  <si>
    <t>FA CFO</t>
  </si>
  <si>
    <t>STER CFO</t>
  </si>
  <si>
    <t>PF CFO</t>
  </si>
  <si>
    <t>FA Acquisitions</t>
  </si>
  <si>
    <t>STER Acquisitions</t>
  </si>
  <si>
    <t xml:space="preserve">PF Acquisitions </t>
  </si>
  <si>
    <t>Pro Forma Interest</t>
  </si>
  <si>
    <t>Pre Acquisition</t>
  </si>
  <si>
    <t>PF Post Acquisition</t>
  </si>
  <si>
    <t>Margin</t>
  </si>
  <si>
    <t>&lt;&lt; 3.00-3.25%</t>
  </si>
  <si>
    <t>1M SOFR</t>
  </si>
  <si>
    <t>Debt</t>
  </si>
  <si>
    <t>Swap 1</t>
  </si>
  <si>
    <t>Swap 2</t>
  </si>
  <si>
    <t>Swap 3</t>
  </si>
  <si>
    <t>Swap 4</t>
  </si>
  <si>
    <t>Swap 5</t>
  </si>
  <si>
    <t>Unhedged</t>
  </si>
  <si>
    <t>Cash</t>
  </si>
  <si>
    <t>Net Interest</t>
  </si>
  <si>
    <t>Source: IR</t>
  </si>
  <si>
    <t>FA Financials</t>
  </si>
  <si>
    <t>Historical Financials and Forecast Pre-Synergy</t>
  </si>
  <si>
    <t>Americas</t>
  </si>
  <si>
    <t>International</t>
  </si>
  <si>
    <t>Eliminations</t>
  </si>
  <si>
    <t>Total Revenue</t>
  </si>
  <si>
    <t>% Growth ex-M&amp;A</t>
  </si>
  <si>
    <t>% Growth ex-FX</t>
  </si>
  <si>
    <t>% Sequential Growth</t>
  </si>
  <si>
    <t>% Organic - CC</t>
  </si>
  <si>
    <t>Note: International % CC</t>
  </si>
  <si>
    <t>Growth % Bridge</t>
  </si>
  <si>
    <t>Adj. Gross Profit</t>
  </si>
  <si>
    <t>Adj. Opex ex-D&amp;A</t>
  </si>
  <si>
    <t xml:space="preserve">Product and Technology </t>
  </si>
  <si>
    <t>SG&amp;A</t>
  </si>
  <si>
    <t>Total Adj. Opex ex-D&amp;A</t>
  </si>
  <si>
    <t>% Sequential</t>
  </si>
  <si>
    <t>% of Revenue</t>
  </si>
  <si>
    <t>R&amp;D</t>
  </si>
  <si>
    <t>Note:</t>
  </si>
  <si>
    <t>Rest., Integration and Tx Related Costs</t>
  </si>
  <si>
    <t>Adj. EBITDA</t>
  </si>
  <si>
    <t>Transaction and acquisition-related charges</t>
  </si>
  <si>
    <t>Integration, restructuring, and other charges</t>
  </si>
  <si>
    <t>% Incr. Margin</t>
  </si>
  <si>
    <t>CRC EBIT</t>
  </si>
  <si>
    <t>FDSO</t>
  </si>
  <si>
    <t>EPS</t>
  </si>
  <si>
    <t>Cash Tax Benefit</t>
  </si>
  <si>
    <t>Cash + ST Investments</t>
  </si>
  <si>
    <t>CFO (YTD)</t>
  </si>
  <si>
    <t>Cash Taxes</t>
  </si>
  <si>
    <t>Share Issuance</t>
  </si>
  <si>
    <t>Share Buybacks</t>
  </si>
  <si>
    <t>Dividends</t>
  </si>
  <si>
    <t>Americas Revenue</t>
  </si>
  <si>
    <t xml:space="preserve">% Organic Growth </t>
  </si>
  <si>
    <t>International Revenue</t>
  </si>
  <si>
    <t>M&amp;A</t>
  </si>
  <si>
    <t xml:space="preserve">GBG (closed 3/31/21) &amp; Others  - Int'l </t>
  </si>
  <si>
    <t>Multi-Latin (closed 11/30/21) - Americas</t>
  </si>
  <si>
    <t>Corporate Screening Services (closed 11/30/21) - Americas</t>
  </si>
  <si>
    <t>Form I-9 (acquired 1/11/22) - Americas</t>
  </si>
  <si>
    <t>Infinite ID - Americas</t>
  </si>
  <si>
    <t xml:space="preserve">M&amp;A Total </t>
  </si>
  <si>
    <t>QoQ Impact of M&amp;A</t>
  </si>
  <si>
    <t>Opex</t>
  </si>
  <si>
    <t>GAAP Opex</t>
  </si>
  <si>
    <t>D&amp;A</t>
  </si>
  <si>
    <t>Total GAAP Opex</t>
  </si>
  <si>
    <t>Adjustments in SGA</t>
  </si>
  <si>
    <t>Total Adjustments in SGA</t>
  </si>
  <si>
    <t>SBC in Opex</t>
  </si>
  <si>
    <t>Total SBC in Opex</t>
  </si>
  <si>
    <t>Adj. Opex</t>
  </si>
  <si>
    <t>Total Adj. Opex</t>
  </si>
  <si>
    <t>$ Sequential</t>
  </si>
  <si>
    <t>Product and Tech + Cap SW</t>
  </si>
  <si>
    <t>Adj. Product and Technology Expense</t>
  </si>
  <si>
    <t>Adj. Product and Technology + Cap SW</t>
  </si>
  <si>
    <t>EBITDA Segmentation</t>
  </si>
  <si>
    <t>Adj. Opex and COGS ex-D&amp;A</t>
  </si>
  <si>
    <t>Total Adj. Opex and COGS ex-D&amp;A</t>
  </si>
  <si>
    <t>Total Adj. EBITDA</t>
  </si>
  <si>
    <t xml:space="preserve">Net Interest Expense </t>
  </si>
  <si>
    <t>Cash Interest Income</t>
  </si>
  <si>
    <t>Cash EoP</t>
  </si>
  <si>
    <t>Cash AoP</t>
  </si>
  <si>
    <t>Total Cash Interest Earned</t>
  </si>
  <si>
    <t>Cash Interest Expense</t>
  </si>
  <si>
    <t>Interest on $300M Capped Debt (1.5% 1-month LIBOR Cap) - thru Feb 2024</t>
  </si>
  <si>
    <t>1-Month LIBOR Cap</t>
  </si>
  <si>
    <t>Fixed Portion of Rate</t>
  </si>
  <si>
    <t>Amount AoP</t>
  </si>
  <si>
    <t xml:space="preserve">Interest on $100M Fixed Rate Debt Via Swap </t>
  </si>
  <si>
    <t>% Rate Swap</t>
  </si>
  <si>
    <t>Other Debt</t>
  </si>
  <si>
    <t xml:space="preserve">1-Month LIBOR </t>
  </si>
  <si>
    <t>Debt related charges</t>
  </si>
  <si>
    <t>Interest Expense (implied)</t>
  </si>
  <si>
    <t>Total Cash Interest Expense</t>
  </si>
  <si>
    <t>Net Interest Expense</t>
  </si>
  <si>
    <t>GAAP M2M on rate swaps and other</t>
  </si>
  <si>
    <t>EQUAL CHECK (avoid circular reference so hard coding)</t>
  </si>
  <si>
    <t xml:space="preserve">Debt </t>
  </si>
  <si>
    <t>First Lien Credit Facility  (2.75% + LIBOR)</t>
  </si>
  <si>
    <t xml:space="preserve">Revolver </t>
  </si>
  <si>
    <t>Total Debt</t>
  </si>
  <si>
    <t>FX</t>
  </si>
  <si>
    <t>QTD</t>
  </si>
  <si>
    <t>Spot</t>
  </si>
  <si>
    <t>Start Date</t>
  </si>
  <si>
    <t>End Date</t>
  </si>
  <si>
    <t>USD</t>
  </si>
  <si>
    <t>GBP</t>
  </si>
  <si>
    <t>EUR</t>
  </si>
  <si>
    <t>INR</t>
  </si>
  <si>
    <t>HKD</t>
  </si>
  <si>
    <t>% of International Mix</t>
  </si>
  <si>
    <t xml:space="preserve">GBP </t>
  </si>
  <si>
    <t xml:space="preserve">EUR </t>
  </si>
  <si>
    <t xml:space="preserve">INR </t>
  </si>
  <si>
    <t xml:space="preserve">HKD </t>
  </si>
  <si>
    <t>WA International FX % Growth</t>
  </si>
  <si>
    <t>International % of Revenue</t>
  </si>
  <si>
    <t>YoY FX impact % (calculated)</t>
  </si>
  <si>
    <t>YoY FX impact % (reported)</t>
  </si>
  <si>
    <t>% QoQ</t>
  </si>
  <si>
    <t xml:space="preserve">WA International FX % QoQ </t>
  </si>
  <si>
    <t>QoQ FX impact % (calculated)</t>
  </si>
  <si>
    <t>Acquisition</t>
  </si>
  <si>
    <t>Date</t>
  </si>
  <si>
    <t>Cash Con</t>
  </si>
  <si>
    <t>GB Group's screening business</t>
  </si>
  <si>
    <t>MultiLatin</t>
  </si>
  <si>
    <t>LSD mm</t>
  </si>
  <si>
    <t>Corporate Screening</t>
  </si>
  <si>
    <t>15 - LSD mm</t>
  </si>
  <si>
    <t>Form I-9 Compliance</t>
  </si>
  <si>
    <t>Detailed Disclosures</t>
  </si>
  <si>
    <t>FY15</t>
  </si>
  <si>
    <t>FY16</t>
  </si>
  <si>
    <t>FY17</t>
  </si>
  <si>
    <t>Income Statement - GAAP</t>
  </si>
  <si>
    <t>Sept LTM</t>
  </si>
  <si>
    <t>~510</t>
  </si>
  <si>
    <t>Income Statement - Non-GAAP</t>
  </si>
  <si>
    <t>Operating expenses:</t>
  </si>
  <si>
    <t>Cost of services (exclusive of depreciation and amortization below)</t>
  </si>
  <si>
    <t>Product and technology expense</t>
  </si>
  <si>
    <t>Selling, general and administrative expense (excl restructuring and integration 1x costs)</t>
  </si>
  <si>
    <t>Depreciation and amortization</t>
  </si>
  <si>
    <t>Total operating expenses</t>
  </si>
  <si>
    <t>Income (loss) from operations</t>
  </si>
  <si>
    <t>Other (income) expense:</t>
  </si>
  <si>
    <t>Interest (income) expense, net</t>
  </si>
  <si>
    <t>Loss on extinguishment of debt</t>
  </si>
  <si>
    <t>Total other (income) expense</t>
  </si>
  <si>
    <t>Income (loss) before provision for income taxes</t>
  </si>
  <si>
    <t>Provision for income taxes</t>
  </si>
  <si>
    <t>Net income (loss)</t>
  </si>
  <si>
    <t>Foreign currency translation (loss) income</t>
  </si>
  <si>
    <t>Comprehensive income (loss)</t>
  </si>
  <si>
    <t>Bridges and Reconciliations</t>
  </si>
  <si>
    <t>COGS</t>
  </si>
  <si>
    <t>Selling, general and administrative expense</t>
  </si>
  <si>
    <t>Total SBC</t>
  </si>
  <si>
    <t>Interest income (expense), net</t>
  </si>
  <si>
    <t>Provision (benefit) for income taxes</t>
  </si>
  <si>
    <t>Share-based compensation</t>
  </si>
  <si>
    <t>Integration, restructuring and other charges</t>
  </si>
  <si>
    <t>Other</t>
  </si>
  <si>
    <t>Adjusted EBITDA</t>
  </si>
  <si>
    <t>Adj. Net Income</t>
  </si>
  <si>
    <t>Segmentation</t>
  </si>
  <si>
    <t>Growth Drivers</t>
  </si>
  <si>
    <t>Change in Existing Customers</t>
  </si>
  <si>
    <t>New Customer Contribution</t>
  </si>
  <si>
    <t>Acquisition Contribution</t>
  </si>
  <si>
    <t>YoY Change in Revenue</t>
  </si>
  <si>
    <t>Growth Bridge %</t>
  </si>
  <si>
    <t xml:space="preserve">Organic </t>
  </si>
  <si>
    <t>Organic Growth Bridge %</t>
  </si>
  <si>
    <t>Upsell / Cross Sell</t>
  </si>
  <si>
    <t>New Logos</t>
  </si>
  <si>
    <t>Attrition</t>
  </si>
  <si>
    <t>Base Growth</t>
  </si>
  <si>
    <t>FX Translation and M&amp;A Impact</t>
  </si>
  <si>
    <t>Americas - Reported</t>
  </si>
  <si>
    <t>FX Translation Impact</t>
  </si>
  <si>
    <t>Americas - CC</t>
  </si>
  <si>
    <t>M&amp;A Impact</t>
  </si>
  <si>
    <t>Americas - Organic</t>
  </si>
  <si>
    <t>International - Reported</t>
  </si>
  <si>
    <t>International - CC</t>
  </si>
  <si>
    <t>International - Organic</t>
  </si>
  <si>
    <t>Eliminations - Reported</t>
  </si>
  <si>
    <t>Eliminations - CC</t>
  </si>
  <si>
    <t>Eliminations - Organic</t>
  </si>
  <si>
    <t>Total Revenue - Reported</t>
  </si>
  <si>
    <t>Total Revenue - CC</t>
  </si>
  <si>
    <t>Total Revenue - Organic</t>
  </si>
  <si>
    <t>Adj. EBITDA - Reported</t>
  </si>
  <si>
    <t>Adj. EBITDA - CC</t>
  </si>
  <si>
    <t>KPIs</t>
  </si>
  <si>
    <t>Customers</t>
  </si>
  <si>
    <t xml:space="preserve">US Top Ten Private Sector Employees </t>
  </si>
  <si>
    <t>Fortune 100</t>
  </si>
  <si>
    <t>&gt;50%</t>
  </si>
  <si>
    <t>Fortune 500</t>
  </si>
  <si>
    <t>&gt;33%</t>
  </si>
  <si>
    <t>~33%</t>
  </si>
  <si>
    <t>Average Tenure of Top 100 Customers  (yrs)</t>
  </si>
  <si>
    <t>Gross Retention</t>
  </si>
  <si>
    <t>&gt;96%</t>
  </si>
  <si>
    <t>Enterprise Customers (1)</t>
  </si>
  <si>
    <t>Total Customers</t>
  </si>
  <si>
    <t>&gt;30,000</t>
  </si>
  <si>
    <t>&gt;33,000</t>
  </si>
  <si>
    <t>Largest Customer % of Revenue</t>
  </si>
  <si>
    <t>&lt;10%</t>
  </si>
  <si>
    <t>&lt; 10%</t>
  </si>
  <si>
    <t>~10%</t>
  </si>
  <si>
    <t>Employees</t>
  </si>
  <si>
    <t>Sales and Solutions Engineers</t>
  </si>
  <si>
    <t>&gt;100</t>
  </si>
  <si>
    <t>Customer Success Team Members</t>
  </si>
  <si>
    <t>&gt;200</t>
  </si>
  <si>
    <t>Total Employees</t>
  </si>
  <si>
    <t>HCM Integrations</t>
  </si>
  <si>
    <t>&gt;65</t>
  </si>
  <si>
    <t>&gt;70</t>
  </si>
  <si>
    <t>&gt;75</t>
  </si>
  <si>
    <t>API's and Bots Deployed</t>
  </si>
  <si>
    <t>&gt;3,900</t>
  </si>
  <si>
    <t>RPA Bots Deployed</t>
  </si>
  <si>
    <t>&gt;2,200</t>
  </si>
  <si>
    <t>&gt;2,750</t>
  </si>
  <si>
    <t>&gt;2,875</t>
  </si>
  <si>
    <t>&gt;3,000</t>
  </si>
  <si>
    <t>Screens</t>
  </si>
  <si>
    <t>~93M</t>
  </si>
  <si>
    <t>~100M</t>
  </si>
  <si>
    <t>&gt;100M</t>
  </si>
  <si>
    <t>100M</t>
  </si>
  <si>
    <t>&gt;200M</t>
  </si>
  <si>
    <t>75M</t>
  </si>
  <si>
    <t>Proprietary Databases</t>
  </si>
  <si>
    <t>Integrated 3rd Party Data Providers</t>
  </si>
  <si>
    <t>&gt;600</t>
  </si>
  <si>
    <t>&gt;850</t>
  </si>
  <si>
    <t>&gt;925</t>
  </si>
  <si>
    <t>&gt;935</t>
  </si>
  <si>
    <t>Records in Proprietary Database</t>
  </si>
  <si>
    <t>&gt;480M</t>
  </si>
  <si>
    <t>&gt;600M</t>
  </si>
  <si>
    <t>&gt;616M</t>
  </si>
  <si>
    <t>&gt;650M</t>
  </si>
  <si>
    <t>&gt;690M</t>
  </si>
  <si>
    <t>&gt;700M</t>
  </si>
  <si>
    <t>&gt;730M</t>
  </si>
  <si>
    <t>&gt;745M</t>
  </si>
  <si>
    <t>&gt;746M</t>
  </si>
  <si>
    <t>&gt;765M</t>
  </si>
  <si>
    <t>YoY SGA Increase</t>
  </si>
  <si>
    <t>Professional Service Fees and Insurance Expenses Related to Public Company Expenses</t>
  </si>
  <si>
    <t>Commissions and Bonus Related Expenses</t>
  </si>
  <si>
    <t>Personnel Related Expenses</t>
  </si>
  <si>
    <t>Share Based Compensation</t>
  </si>
  <si>
    <t>Legal Expenses</t>
  </si>
  <si>
    <t>Total YoY SGA Increase</t>
  </si>
  <si>
    <t>Advertising Costs within SGA</t>
  </si>
  <si>
    <t>Notes</t>
  </si>
  <si>
    <t>1) “Enterprise customers” means our customers who contribute $500,000 or more to our revenues in a calendar year</t>
  </si>
  <si>
    <t>Balance Sheet</t>
  </si>
  <si>
    <t>Restricted cash</t>
  </si>
  <si>
    <t>Short-term investments</t>
  </si>
  <si>
    <t xml:space="preserve">Accounts receivable </t>
  </si>
  <si>
    <t>Prepaid expenses and other current assets</t>
  </si>
  <si>
    <t>Income tax receivable</t>
  </si>
  <si>
    <t>Total current assets</t>
  </si>
  <si>
    <t>Property and equipment, net</t>
  </si>
  <si>
    <t>Trade name, net</t>
  </si>
  <si>
    <t>Customer lists, net</t>
  </si>
  <si>
    <t>Deferred tax asset, net</t>
  </si>
  <si>
    <t>Other assets</t>
  </si>
  <si>
    <t>Total assets</t>
  </si>
  <si>
    <t>Liabilities and (deficit) equity</t>
  </si>
  <si>
    <t>Accounts payable</t>
  </si>
  <si>
    <t>Accrued compensation</t>
  </si>
  <si>
    <t>Accrued liabilities</t>
  </si>
  <si>
    <t>Current portion of long-term debt</t>
  </si>
  <si>
    <t>Income tax payable and Operating Lease Liability</t>
  </si>
  <si>
    <t>Current portion of operating lease liability</t>
  </si>
  <si>
    <t>Deferred revenues</t>
  </si>
  <si>
    <t>Total current liabilities</t>
  </si>
  <si>
    <t xml:space="preserve">Long-term debt, net </t>
  </si>
  <si>
    <t>Deferred tax liability, net</t>
  </si>
  <si>
    <t>Other and Operating lease liability, less current portion</t>
  </si>
  <si>
    <t>Total liabilities</t>
  </si>
  <si>
    <t>Total equity (deficit)</t>
  </si>
  <si>
    <t>Total liabilities and equity</t>
  </si>
  <si>
    <t>NOLs</t>
  </si>
  <si>
    <t>Federal</t>
  </si>
  <si>
    <t>State</t>
  </si>
  <si>
    <t xml:space="preserve">Foreign Income </t>
  </si>
  <si>
    <t>Total NOLs</t>
  </si>
  <si>
    <t>Balance Sheet Metrics</t>
  </si>
  <si>
    <t>AR</t>
  </si>
  <si>
    <t>Inventory</t>
  </si>
  <si>
    <t>Prepaid Expenses</t>
  </si>
  <si>
    <t>Total Current Assets</t>
  </si>
  <si>
    <t>AP and Accrued Liabilities</t>
  </si>
  <si>
    <t>Total Current Liabilities</t>
  </si>
  <si>
    <t>Net Working Capital</t>
  </si>
  <si>
    <t>Seq. Change</t>
  </si>
  <si>
    <t>Memo: WC Drivers</t>
  </si>
  <si>
    <t>Costs</t>
  </si>
  <si>
    <t>DSO</t>
  </si>
  <si>
    <t>DPO</t>
  </si>
  <si>
    <t>PP&amp;E</t>
  </si>
  <si>
    <t>Other Intangibles</t>
  </si>
  <si>
    <t>Total LT Assets</t>
  </si>
  <si>
    <t>Invested Capital</t>
  </si>
  <si>
    <t>ROIC</t>
  </si>
  <si>
    <t>Cash Flow Statement</t>
  </si>
  <si>
    <t>Cash flow operating activities</t>
  </si>
  <si>
    <t>Amortization of deferred financing costs</t>
  </si>
  <si>
    <t>Bad debt (recovery) expense</t>
  </si>
  <si>
    <t>Deferred taxes</t>
  </si>
  <si>
    <t>Loss (gain) on foreign currency exchange rates</t>
  </si>
  <si>
    <t>Loss (gain) on disposal of fixed assets</t>
  </si>
  <si>
    <t>Change in fair value of interest rate swaps</t>
  </si>
  <si>
    <t>Accounts receivable</t>
  </si>
  <si>
    <t>Prepaid expenses and other assets</t>
  </si>
  <si>
    <t>Accrued compensation and accrued liabilities</t>
  </si>
  <si>
    <t>Deferred revenue</t>
  </si>
  <si>
    <t>Other and Operating lease liabilities</t>
  </si>
  <si>
    <t>Other liabilities</t>
  </si>
  <si>
    <t>Net cash provided by (used in) operating activities</t>
  </si>
  <si>
    <t>Cash flow from investing activities</t>
  </si>
  <si>
    <t>Changes in short-term investments</t>
  </si>
  <si>
    <t>Acquisitions of businesses, net of cash acquired</t>
  </si>
  <si>
    <t>Proceeds from disposal of property and equipment</t>
  </si>
  <si>
    <t>Purchase of property and equipment</t>
  </si>
  <si>
    <t>Capitalized software development costs</t>
  </si>
  <si>
    <t>Net cash provided by (used in) investing activities</t>
  </si>
  <si>
    <t>Cash flow from financing activities</t>
  </si>
  <si>
    <t>Proceeds from issuance of common stock in initial public offering, net of underwriting discounts and commissions</t>
  </si>
  <si>
    <t>Payments of initial public offering issuance costs</t>
  </si>
  <si>
    <t>Shareholder distribution</t>
  </si>
  <si>
    <t>Capital contributions</t>
  </si>
  <si>
    <t>Borrowings from first lien credit facility</t>
  </si>
  <si>
    <t>Repayments of  first lien credit facility</t>
  </si>
  <si>
    <t>Repayment of second lien credit facility</t>
  </si>
  <si>
    <t>Distributions to members and option holders</t>
  </si>
  <si>
    <t>Borrowings on revolver</t>
  </si>
  <si>
    <t>Repayments on revolver</t>
  </si>
  <si>
    <t>Payments of debt issuance costs</t>
  </si>
  <si>
    <t>Cash dividends paid</t>
  </si>
  <si>
    <t>Payments on capital and finance lease obligations</t>
  </si>
  <si>
    <t>Payments on deferred purchase agreements</t>
  </si>
  <si>
    <t>Share repurchase</t>
  </si>
  <si>
    <t>Proceeds from stock option exercises</t>
  </si>
  <si>
    <t>Net settlement of stock option exercises</t>
  </si>
  <si>
    <t>Taxes paid for net settlements of restricted stock units</t>
  </si>
  <si>
    <t>Net cash provided by (used in) financing activities</t>
  </si>
  <si>
    <t>Effect of exchange rate on cash, cash equivalents and restricted cash</t>
  </si>
  <si>
    <t>Increase (decrease) in cash, cash equivalents and restricted cash</t>
  </si>
  <si>
    <t>Cash, cash equivalents and restricted cash at beginning of period</t>
  </si>
  <si>
    <t>Cash, cash equivalents and restricted cash at end of period</t>
  </si>
  <si>
    <t>Supplemental disclosures of cash flow information</t>
  </si>
  <si>
    <t>Cash paid for interest</t>
  </si>
  <si>
    <t>Cash paid for income taxes, net of refunds received</t>
  </si>
  <si>
    <t>Delta to Cash Taxes</t>
  </si>
  <si>
    <t>STER Financials</t>
  </si>
  <si>
    <t>STER - Standalone</t>
  </si>
  <si>
    <t>G = 170-185</t>
  </si>
  <si>
    <t>N+D = 108-118</t>
  </si>
  <si>
    <t>United States</t>
  </si>
  <si>
    <t>N+D = 22-26</t>
  </si>
  <si>
    <t>United States Revenue</t>
  </si>
  <si>
    <t>United States - Reported</t>
  </si>
  <si>
    <t>EBI (11/30/21)</t>
  </si>
  <si>
    <t>Socrates (1/4/23)</t>
  </si>
  <si>
    <t>A-Check Global (3/1/23)</t>
  </si>
  <si>
    <t>Vault Workforce Screening (1/2/24)</t>
  </si>
  <si>
    <t xml:space="preserve">GAAP Opex </t>
  </si>
  <si>
    <t xml:space="preserve">Total GAAP Opex </t>
  </si>
  <si>
    <t>Weighted average number of shares outstanding</t>
  </si>
  <si>
    <t>Revenue Growth Metrics</t>
  </si>
  <si>
    <t>Inorganic revenue growth</t>
  </si>
  <si>
    <t>Impact from foreign currency exchange</t>
  </si>
  <si>
    <t>Organic constant currency revenue (decline) growth</t>
  </si>
  <si>
    <t>Reported revenue (decline) growth</t>
  </si>
  <si>
    <t>Countries and territories where Sterling has screening capabilities</t>
  </si>
  <si>
    <t>Average tenure for top 100 clients</t>
  </si>
  <si>
    <t>Clients</t>
  </si>
  <si>
    <t>Background checks annually</t>
  </si>
  <si>
    <t>Platform integrations</t>
  </si>
  <si>
    <t>ASSETS</t>
  </si>
  <si>
    <t>CURRENT ASSETS:</t>
  </si>
  <si>
    <t>CASH FLOWS FROM OPERATING ACTIVITIES</t>
  </si>
  <si>
    <t>Adjustments to reconcile net (loss) income net cash provided by operations</t>
  </si>
  <si>
    <t>Changes in operating assets and liabilities, net of acquisitions</t>
  </si>
  <si>
    <t>CASH FLOWS FROM INVESTING ACTIVITIES</t>
  </si>
  <si>
    <t>CASH FLOWS FROM FINANCING ACTIVITIES</t>
  </si>
  <si>
    <t>CASH AND CASH EQUIVALENTS</t>
  </si>
  <si>
    <t>SUPPLEMENTAL DISCLOSURES OF CASH FLOW INFORMATION</t>
  </si>
  <si>
    <t>Benchmarking and Guidance Commentary</t>
  </si>
  <si>
    <t>Peer Benchmarking</t>
  </si>
  <si>
    <t xml:space="preserve">1Q23 </t>
  </si>
  <si>
    <t xml:space="preserve">2Q23 </t>
  </si>
  <si>
    <t xml:space="preserve">3Q23 </t>
  </si>
  <si>
    <t>HRT</t>
  </si>
  <si>
    <t>Net Revenue Retention</t>
  </si>
  <si>
    <t>T6M</t>
  </si>
  <si>
    <t>T9M</t>
  </si>
  <si>
    <t>LTM</t>
  </si>
  <si>
    <t>Average Tenure of Top 100 Customers (yrs)</t>
  </si>
  <si>
    <t>&gt;6,000</t>
  </si>
  <si>
    <t>Finanical Summary</t>
  </si>
  <si>
    <t>EFX - Verification Services</t>
  </si>
  <si>
    <t>EFX - Employer Services</t>
  </si>
  <si>
    <t>EFX - EWS</t>
  </si>
  <si>
    <t>% Organic CC (2yr CAGR)</t>
  </si>
  <si>
    <t>% Organic (3yr CAGR)</t>
  </si>
  <si>
    <t>4 yr organic cagr</t>
  </si>
  <si>
    <t>Gross Profit</t>
  </si>
  <si>
    <t>Total Gross Profit</t>
  </si>
  <si>
    <t xml:space="preserve">% Margin </t>
  </si>
  <si>
    <t>Total EBITDA</t>
  </si>
  <si>
    <t>Total Capex</t>
  </si>
  <si>
    <t>Opex Breakouts</t>
  </si>
  <si>
    <t>SGA</t>
  </si>
  <si>
    <t>Total SGA</t>
  </si>
  <si>
    <t>Total R&amp;D</t>
  </si>
  <si>
    <t>FCF</t>
  </si>
  <si>
    <t>Total FCF</t>
  </si>
  <si>
    <t>Total CFO</t>
  </si>
  <si>
    <t>Peer Commentary</t>
  </si>
  <si>
    <t>Commentary</t>
  </si>
  <si>
    <t xml:space="preserve">Screening companies all describe a weakening macro environment creating uncertainty among their existing base of customers, resulting in slowing of hiring across verticals and industries. Some verticals remain outperformers (healthcare, transport, and industrials cited) while others are demonstrating particular weakness (technology, staffing, and areas of financial services).  Slowdowns and revenue impacts appear most concentrated on 'Base' growth from existing customers -- companies all cite active pipelines and optimism for new business growth heading into FY23 (note however this may result in pricing pressure for incumbents). Other topics discussed by multiple copmanies included price increases from third party vendors affecting end-customer price sensitivity, a heightened focus on margin expansion initiatives, and optimism for their M&amp;A pipelines. </t>
  </si>
  <si>
    <t xml:space="preserve">First Advantage's jobs market tailwinds are driven by factors including frequent job switching, low unemployment rates, high demand for workers and elevated levels of job churn. These factors continue to fuel our customers' hiring needs, resulting in sustained demand for our products and solutions, particularly in North America. </t>
  </si>
  <si>
    <t>Our differentiated go-to-market strategy and verticalized enterprise sales force have enabled us to win an impressive 11 new logo enterprise customers in the third quarter and 29 new logo enterprise customers in the past 12 months</t>
  </si>
  <si>
    <t>Growth and resiliency in our Americas business remains strong, offset in part by significant foreign currency headwinds and macro-related softness in our International segment</t>
  </si>
  <si>
    <t>Looking at our verticals this quarter we saw continued strength in transportation and healthcare with roughly flat performance in business services and retail, which were cycling over exceptionally strong comps. This was offset by declines in financial services and staffing verticals.</t>
  </si>
  <si>
    <t>In our Americas segment, revenues of $176.1 million were up 10.8% from Q3 2021, driven by strong new business growth and acquisitions. The third quarter of 2022 would have been even stronger except for a delayed start to seasonal hiring, which picked up in the beginning of October this year compared to mid-September in 2021 and which is more consistent with historical timing patterns. In total, Americas represented 85% of consolidated revenues in the quarter</t>
  </si>
  <si>
    <t xml:space="preserve">In our International segment, revenues of $31.6 million were down 11.1% from Q3 2021. On a constant currency basis, our revenues would have been $3.3 million higher or only down 1.8% year-over-year. </t>
  </si>
  <si>
    <t>Additional headwinds, which we identified and discussed last quarter included year-over-year increases in insurance premiums and third-party verification costs, additional investments in technology and sales and the mix impact of integrating acquisitions with historically lower margins.</t>
  </si>
  <si>
    <t>We will continue to monitor the macroeconomic environment closely and moved swiftly to reduce costs as necessary as we did in Q2 of 2020 during the COVID-related downturn</t>
  </si>
  <si>
    <t>Through November 4, we repurchased $21.6 million of common stock or approximately 1.6 million shares under the program. We believe it is important to maintain a strong balance sheet with a conservative capital structure and a flexible leverage profile. We expect to fund potential future acquisitions, first, from available cash on the balance sheet. We continually evaluate our capital allocation priorities and believe that a balance between M&amp;A, returning capital to our stockholders and investing in the continued growth of the company will maximize shareholder value</t>
  </si>
  <si>
    <t>During the third quarter, a portion of the outperformance from the first half was essentially given back to due to increasing strong foreign currency headwinds, macro-related declines in our International segment and more moderate but still positive organic growth in our Americas business</t>
  </si>
  <si>
    <t>tech, staffing, finserv</t>
  </si>
  <si>
    <t>We currently are experiencing a continuation of similar trends so far in Q4 with October revenues growing, albeit at moderate levels, both year-over-year and sequentially month-over-month, which we have now incorporated into our revised guidance</t>
  </si>
  <si>
    <t>existing business - new business pipelines seem to still be viable (which may pressure pricing across incumbents)</t>
  </si>
  <si>
    <t>Considering the factors I just spoke about, we are taking actions with our cost structure to enable us to continue to be nimble heading into 2023 as well as actioning selective price increases and other revenue growth initiatives. We have successfully managed through challenging times in the past, notably during the 2020 COVID-related downturn and have a strong operating discipline around doing sales. We maintain a flexible cost structure and have confidence in our ability to retain customers, grow share, win new business and upsell and cross-sell.</t>
  </si>
  <si>
    <t>strength in healtcare and transport and industrials</t>
  </si>
  <si>
    <t>Even with the headwinds cited, we would expect to achieve growth for full year 2023, albeit below our long-term target ranges. Note that the comparison is most difficult early in the year as we grew revenue by nearly 30% in the first half of 2022. Of course, we plan to provide more specific 2023 guidance next quarter, which also will take into account any further degradation or improvement in the macro environment.</t>
  </si>
  <si>
    <t>We do believe that growth for the full year (2023) will be less than our long-term targets, which we have previously provided as being in the 8% to 10% organic range. Relative to what we're seeing in Q4 and currently, we are seeing a slowdown in international, both from a macroeconomic perspective and clearly, from an FX perspective. FX headwinds were greater than we anticipated. We have now baked that into our guidance. The North America segment while moderating has continued to grow</t>
  </si>
  <si>
    <t>I think most of the slowdown we're seeing is actually in APAC, EMEA. EMEA is actually doing okay...But clearly, from a softness standpoint, we're primarily seeing it only in APAC.</t>
  </si>
  <si>
    <t>So I think the job market continues to be resilient yet softening from the historic levels we saw earlier in the year. But we think that these numbers are still favorable to our business. And given this new era of high velocity hiring, we also feel these fundamental changes in the job market are here to stay</t>
  </si>
  <si>
    <t>You're talking about 2 industries (financial services and staffing) that did a lot of hiring in 2021 as COVID bounce back. So this is really those 2 industries sort of getting back to more moderated hiring levels and pulling back on hiring</t>
  </si>
  <si>
    <t>Keep in mind, we can pass through third-party price increases, so all our contracts have that. So we passed any increases we get from third-parties, we do pass through. We -- the area that's most affected is verification. And we do have some customer unhappiness with price increases on third-party data providers for verifications, which is why we've been moving to alternative solutions for quite some time now</t>
  </si>
  <si>
    <t>So international, clearly, as Scott said earlier, we've seen some slowdown in APAC. We're anticipating that, that's going to continue through Q4. We saw a little bit of a pullback in India, but to a lesser extent, in EMEA is still pretty strong for us, put the FX impact on top of that. And it's clearly a drag on our earnings and our growth rate. And as we said earlier, North America, while it's moderating has continued to grow</t>
  </si>
  <si>
    <t>I think a lot of that also points to our go-to-market strategy of diversifying cost, what we consider high-volume, high-velocity customers. So I think that helps us with our numbers</t>
  </si>
  <si>
    <t>North America, we did see our peak season start a little bit later this year, but it did pick up in early October as opposed to mid-September. Last year, it ran all the way through the end of December. This year, we think it's going to end earlier, probably between December 10 and December 15. That's also why our guidance reflects that by the way. But we're still seeing our clients hiring, we're still getting a good flow of orders. There is still seasonal demand. It's just been moderated somewhat</t>
  </si>
  <si>
    <t>What we're hearing from our customers is a return to somewhere between moderated and normal hiring. We're getting strong, buying signals from our customers. But obviously, you have to overlay the macro potential headwinds there. But we're still -- like I said, I think we see a return to moderated yet still positive growth over the next couple of quarters based on what our customers are saying today</t>
  </si>
  <si>
    <t>Our Q4 is generally our largest quarter because of that seasonal hiring. As I mentioned, it did start a little bit later this year, and we think it's going to end a little bit earlier this year, but there is some seasonality in Q4</t>
  </si>
  <si>
    <t>Even though order volumes in the U.K. were up 15%, the dramatic fall of the British pound had a nearly USD2 million negative impact on revenue during the quarter, resulting in EMEA revenue being flat year-over-year</t>
  </si>
  <si>
    <t>One of our largest customers discontinued their verification products due to a substantial price increase from one of our suppliers. This impact was approximately USD6 million in the quarter</t>
  </si>
  <si>
    <t>We began to experience a noticeable decline in volumes from many of our enterprise customers during the back half. Account reviews and ongoing dialogs with many of them are starting to reflect a genuine nervousness about the macroenvironment and its impacts on their own business outlook. This uncertainty is causing some of our customers to slow the pace of hiring. To be clear, we are not observing a cessation in hiring nor have we seen a significant drop-off in new business and our pipeline remains very strong. Rather, the pace of hiring with existing customers has slowed, and we expect that pressure to be felt until such time companies have a more confident economic outlook.</t>
  </si>
  <si>
    <t>This focus on speed, precision, and innovation played a significant role in adding 44 new logos</t>
  </si>
  <si>
    <t>Most importantly, new logos in the quarter were distributed across all of our key focus verticals. ...Regarding our vertical and geographic success, healthcare has continued to be one of our strongest performers, growing nearly  11% over the prior year period. Transportation also showed strength during the quarter growing more than 14% year-over-year</t>
  </si>
  <si>
    <t>Canada also continues its strong year with 34% growth. While international growth has slowed similar to the U.S., our investments in our international operations positions us to be the global leader in the space, where we continue to support our customers by leveraging our unified global platform.</t>
  </si>
  <si>
    <t>Despite some early signs of the macroeconomic slowdown, our healthcare vertical continued to outperform both industry and company averages and achieved double-digit yearon-year growth. Transportation, which had been the slowest of our core 4 verticals to recover from the pandemic, was our leading growth vertical during the quarter, growing 14%. And while manufacturing and distribution is not a core focus for us, that vertical also grew in excess of 13% during the quarter</t>
  </si>
  <si>
    <t>Financial services showed modest growth. However, it had particular exposure to the weakened pound, as we have tremendous market share among the large U.K.-based banks. Technology was the first vertical
to demonstrate hiring softness, declining a few points year-over-year. Revenue from all core verticals of technology, healthcare, transportation, and financial services, as a percentage of our total revenue dipped
slightly during the quarter to 57%. Services, manufacturing, and distribution, each represented approximately 10% of revenue during the quarter</t>
  </si>
  <si>
    <t>International markets began to show impacts from the macro changes sooner than the U.S. did, particularly in markets such as India where many of our technology clients have a significant presence. This, coupled with the FX headwinds, led our international markets to slightly underperform the U.S. One continued bright spot in the international markets was Canada, which continued to grow at double-digit rates</t>
  </si>
  <si>
    <t xml:space="preserve">With the remaining year-over-year decline attributed to lower volumes resulting from the changes in the macroenvironment. Finally, with respect to 2023 guidance, we are finalizing our 2023 operating budget, taking into consideration the headwinds of potential recessionary macro operating environment, domestically and internationally; incremental interest actions by the Federal Reserve; [ quit rates ], available job openings, and the pent-up demand for talent and will provide full year 2023 guidance when we release our year-end results. However, I will comment that our commitment and focus on margin improvement will continue regardless of the demand environment. And much of the margin improvement actions we are taking through technology with our vendor and operations are not volume dependent. </t>
  </si>
  <si>
    <t>Q3, the back half of the quarter, we started to see some volumes move downward and are projecting that through the fourth quarter, which is why our annual guidance was moved down. But I can tell you it's an interesting trend because it's -- in fact, I would classify it as an inch deep and a mile wide, right? It's not a huge drop in volume. It's modest drops in volume, but it's modest drops in volumes everywhere. And in our conversations with our clients, what we're hearing is what you saw today announced by Amazon and Lyft is just general nervousness and outlook on macroeconomic conditions is making people adjust their hiring for perhaps the rest of this year, so that would certainly have an impact on the background screening industry as a whole</t>
  </si>
  <si>
    <t>And it's interesting because as I said on the call after Q2, we weren't -- even though there were reports in the media that technology was going to slow hiring, we were not seeing that in our volumes in the second quarter. But in the third -- in this quarter reported, we started to see a slowdown in ordering patterns. Again, across the board, I would tell you, every -- all the major technology players are clients of ours, and every single one of them had dips in their volumes</t>
  </si>
  <si>
    <t>Your question on long-term guidance, there's a reason why we're not giving long-term guidance, right and the reason why -- what you see reflected in our rest of year guidance is us trying to trend line a phenomenon that's only existed for about five or six weeks, right? So as I characterize it is leading to half-inch deep and a mile wide and it's just difficult to say what that trend will be going out -- even going out the next several months</t>
  </si>
  <si>
    <t>So if you look at, it's all of our verticals, I mean and I mean everyone, everything from energy, manufacturing, distribution, financial services, technology. The reason why I characterize this as an inch deep and a mile wide, is we're seeing drops modest drops in volume from almost everybody, right and obviously there are some clients that are up and some that are down, but as industries go, it's a very small number but because it's across every industry is obviously going to be an impact. So, as there is no trend in a specific industry, other than of course we quarter-over-quarter from the third quarter, some industries outperform doubles, but that was the third quarter, you don't know what we're going to see in the fourth quarter. And it's generally broad-based geographically as well, we're seeing it overseas as well</t>
  </si>
  <si>
    <t>The one proxy we have is the pandemic and in pandemic we have very, very strong sales pipeline and new wins even during that time. We're not seeing a slowdown certainly and the opportunities are in front of us, there's no slowdowns in the RPs, there's no slowdowns in the wins that we have. We've got a very, very robust pipeline, it was adding almost literally weekly. And it's when I say pipeline, I mean both new logos, cross-sells, upsells, we continue to have good strong performance and we've made some investments on those teams over the last year to grow their numbers and we don't see that that necessarily will be an impact.</t>
  </si>
  <si>
    <t xml:space="preserve"> I would tell you that in our conversations with our clients, the decisions to slow the pace of hiring seem to be more associated with just general uncertainty and nervousness about their business, not necessarily the actual performance of their business. So I would just quickly and classify the markets in our -- for our clients to just be uncertain and that uncertainty as it might with most companies generally the first thing people do is maybe pause or slowdown the pace of hiring because it's the ultimate controllable expense, but doesn't necessarily have to be long lasting. So I guess it's a roundabout way for us both to say we don't know</t>
  </si>
  <si>
    <t>The fundamentals for our industry, none of that has changed, right, but you still see the job openings and the quit rates in the long-term those will continue to drive we think good healthy growth beyond what traditional growth for the industry used to be. The big unknown though clearly for forward growth rates is just this recession and what impact it's going to have.</t>
  </si>
  <si>
    <t>We don't talk about where we take business from, but it's generally coming from the whole industry.</t>
  </si>
  <si>
    <t>Guy remarked, we are very comfortable and actually pretty excited about how our pipeline looks going into 2023. Some of that will close and go live in Q4, but 2023 is shaping up, it's a pretty strong year from a new logo perspective. So excited about that, not only from a new logo, but also from an upsell opportunity</t>
  </si>
  <si>
    <t>The SMB market as we had mentioned on previous quarters had been one of the slower ones to recover and frankly we're still kind of in recovery mode. So what I would say is that nothing has really changed
there, we still are slightly up on that sector of our business, but it's definitely been a lagging sector for us frankly for the last 18 months, it's been the slowest to recover from the pandemic and that hasn't
changed.</t>
  </si>
  <si>
    <t>I think as I said earlier, our view of the long-term fundamentals on the employment market are very bullish for the reasons we discussed. And what we're seeing right now which is really a six-week trend, right? So and it's a lumpy one, right, it's not necessarily just precipitous decline by any stretch of the imagination. But the softness seems to be reflected in general nervousness about our clients' businesses and in prudence and then managing costs, they are slowing down their pace of hiring. It doesn't mean that the demand for jobs for those businesses isn't still there, it just means they're not filling those jobs for some period of time here and it may be temporary, it may be a few quarters, who knows, but right now the visibility that we have is only borne over the last six weeks and the conversations we've had with our top 100 enterprise clients, who were all reflecting just that sense of uncertainty</t>
  </si>
  <si>
    <t>We saw our base growth moderating in the back half of the year to our long-term 2% to 3% target. This moderation happened a bit earlier than we expected as many clients tempered their hiring due to macroeconomic uncertainty and are now operating in a holding pattern as they assess the macro environment and establish their plans for next year</t>
  </si>
  <si>
    <t>Given the uncertain macro environment, we have acted quickly to execute on our low growth playbook, taking steps to rightsize our business from the extremely high-growth environment we've been operating in for nearly 2 years….As we now transition into a lower growth or recessionary environment, we are acting quickly to rightsize the company, a strategy that will drive cost of revenue and OpEx savings starting in the fourth quarter and increasing in 2023</t>
  </si>
  <si>
    <t>We are seeing significant success in the areas of our business most within our control, including strong growth from new clients and cross-sell upsell as well as maintaining industryleading revenue retention rates. We are most focused on these areas, and we feel that our momentum in winning market share and expanding wallet share with clients can help offset any unpredictability of base growth. As Josh described, our base growth moderated a bit earlier than expected in Q3, which drove approximately $6 million less in revenue and approximately 100 basis points less in adjusted EBITDA margin versus our expectations</t>
  </si>
  <si>
    <t>Revenue in our international business grew 11% on an organic constant currency basis. International growth was led by the APAC region, which continues to exhibit broad-based strength, including Australia
and Singapore due to new client wins and strong underlying performance</t>
  </si>
  <si>
    <t>We continue to see good performance from the revenue drivers in our control, including new business, upsell crosssell and retention. Our industry diversification is providing us some protection against the verticals, both impacted by the current environment. Health care, industrials and APAC region are all showing growth so far in Q4, helping offset declines in U.K., gig, retail, contingent and technology</t>
  </si>
  <si>
    <t>As we think about next year, I -- we're not in a position to give guidance, obviously, as you reflected in your question, Shlomo, and it is a cloudy macro out there. But our expectation is that if the macro remains as we're seeing it now, we expect to grow next year</t>
  </si>
  <si>
    <t>You should think of our Asia Pacific business as being heavy in financial services and also in gig in Australia, in particular, and those are areas that we're continuing to see good performance. And then I think in Europe, we also have heavy financial services and other general broad-based industries. But we do have a very heavy gig business in the U.K.</t>
  </si>
  <si>
    <t>In terms of our visibility, while we won't share the specifics at any given time with you, we do see our revenues on an hourly basis in our platform on a daily basis. in terms of our billings and have very good visibility into changes and trends in what we're seeing, and what we wanted to share was more of that in Q3. We saw that reversion to our long-term target on base growth happened a little bit earlier than we had expected</t>
  </si>
  <si>
    <t>I would just add to that. We've not seen an additional any kind of step down from what we saw kind of in that moderation of base growth. at the end of Q3. The business has continued to perform based on that run rate, and that's what gives us confidence in sharing Q4 guidance that we will grow revenue in totality and then we will grow organic constant currency revenue in Q4 and also the 2023 high-level comments
Josh just provided.</t>
  </si>
  <si>
    <t>So actually, just to give a little more color, our raw dollars of new business in Q3 of 2022 were higher than our raw dollars of new business in Q3 of 2021, and we continue to see a strong pipeline, both of deals that have already closed and just not started to onboard yet and in deals that are in our pipeline that we would expect to win our ordinary percentage of that gives us confidence to continue to perform at least on our long-term targets, if not higher</t>
  </si>
  <si>
    <t>So when we think about our low growth playbook, right, focusing on M&amp;A is a key part of that. And we are seeing multiples moderating in the market. We are also seeing sellers kind of being more flexible
about how to structure payments for acquiring those M&amp;A deals. So I would say our pipeline is very robust and full. And we do think this is an opportunity for us to pick up some quality assets during a lower growth environment.</t>
  </si>
  <si>
    <t>Our view on the long term is that in a low growth environment, we actually think it's the perfect time for us to take more business which actually is what happened during 2020 during COVID. So while you saw us perform at our long-term target, in terms of the actual annual client value that we took, it was much higher, and it's something that then benefited us going through last year. So we think actually a lot of clients will want to shop in the market, and we're seeing a lot more RFPs coming our way from competitors giving us confidence that we'll be able to continue to gain market share, which is why I made those comments in my prepared remarks</t>
  </si>
  <si>
    <t>This is purely as the hiring has slowed, and I wouldn't even say pausing. People say pausing, they're still hiring for essential roles. We don't really have any clients who are not hiring anyone that's material. It's just that the hiring that they were doing, they've slowed on. That happened faster than we expected, as Peter shared. But we are not seeing anybody trading down. We're not seeing anyone stopping, doing verifications, doing lesser criminal checks, stopping health screenings if they were doing it. We haven't seen any of those behaviors occur.</t>
  </si>
  <si>
    <t xml:space="preserve">Then when we look at Q4, we do not give guidance around our specific revenue growth drivers. But I think the way you should think about the low single-digit growth rate on organic constant currency revenue in Q4 is that we've got high confidence that we can deliver within the target ranges for new business. crosssell, upsell and attrition and that strong performance there will offset the declines in base growth. </t>
  </si>
  <si>
    <t>I shared in opening remarks in terms of when we look at October, we're seeing the well diversification of our business playing out to a positive in this environment where health care, industrials and APAC are continuing to perform strong. And then we are seeing some softness in U.K. gig and then in the U.S. in contingent technology and retai</t>
  </si>
  <si>
    <t>Overall, 90% of our revenues sit in the pre-hire screening. 10% are in the post-hire monitoring and identity space. Our long-term targets assume that, that mix stays the same, but we are very optimistic on the identity space that that's something that can help us actually accelerate upselling and actually expand us into new categories</t>
  </si>
  <si>
    <t>FA - Standalone and Pro-Forma</t>
  </si>
  <si>
    <t>Guidance Commentary</t>
  </si>
  <si>
    <t>Period</t>
  </si>
  <si>
    <t>Outlook Commentary</t>
  </si>
  <si>
    <t>"We also experienced a delayed start to seasonal hiring in September, but based on October results, we have seen seasonal hiring pick up"</t>
  </si>
  <si>
    <t>"While our stand-alone guidance ranges are unchanged in light of the current macro conditions and base growth coming in lower than we had previously anticipated in the third quarter, we anticipate First Advantage stand-alone 2024 revenues and adjusted EBITDA to come in above the low end of the stand-alone range, but below the stand-alone midpoint"
"Our early read on stand-alone October results gives us confidence in the fourth quarter shaping up, as I have outlined. Looking closer at our expectations for Sterling's contributions in Q4, we are expecting full fourth quarter revenues to come in between $170 million and $185 million"</t>
  </si>
  <si>
    <t>"Looking at the quarterly phasing, we expect sequential top line improvement as we move through the remainder of 2024. We expect third quarter revenues to reflect modest positive growth, with that trend continuing sequentially into Q4. The midpoint of our guidance range also assumes continued macro-driven base declines, though improving sequentially through the year and getting to essentially flat plus or minus in Q4. We continue to expect quarterly EBITDA -- adjusted EBITDA margins of at least 30% in the second half of the year with upside potential."</t>
  </si>
  <si>
    <t>" Our second quarter actual results position us well to achieve the midpoint of our full year guidance. We still expect sequential quarter-over-quarter growth for revenues, adjusted EBITDA and adjusted EBITDA margins similar to 2023. For 2024, we expect to generate full year revenues in the range of $750 million to $800 million. Based on the midpoint of $775 million, this results in slightly positive year-over-year organic revenue growth. This includes revenues related to Infinite ID, which is expected to contribute approximately $7 million in the first 8 months of the year, as we cycle over the anniversary of that acquisition."</t>
  </si>
  <si>
    <t>"Looking at the quarterly phasing, we expect sequential top line improvement as we move through 2024. We expect second quarter revenues to trend from negative toward relatively flat year-over-year with positive overall growth in the second half of the year, more heavily weighted toward Q4.
The midpoint of our guidance range also assumes continued macro-driven base declines with base remaining negative in Q2, down in the mid- to high-single-digits, though improving from Q1, which was down 11%. We still expect base growth to improve sequentially through the year, turning positive in Q4. We continue to expect adjusted EBITDA margins of approximately 30% in the second quarter, with further improvement in the second half of the year"</t>
  </si>
  <si>
    <t>"For 2024, we expect to generate full year revenues in the range of $750 million to $800 million. Based on the midpoint of $775 million, this results in slightly positive year-over-year organic revenue growth. This includes revenues related to Infinite ID, which is expected to contribute approximately $7 million in the
first 8 months of the year as we cycle over the anniversary of that acquisition.
We expect customer retention to remain in line with our strong historical performance of around 97%. We also expect continued execution of up-sell, cross-sell and new logo growth, consistent with historical trends and long-term targets. We expect to maintain full year adjusted EBITDA margins of approximately 31% at the midpoint and adjusted EBITDA in the range of $228 million to $248 million. This reflects the strength of our flexible model, disciplined cost management and investments in automation."</t>
  </si>
  <si>
    <t>"In developing our stand-alone guidance for 2024, we considered many factors. The first was the current macroeconomic environment, including the softening and hiring trends and the reduction in employee churn. However, these dynamics were partially offset by discussions with their customers, who are becoming more optimistic and seem ready to start investing in new growth opportunities. On top of this, the Sterling acquisition announced today will require significant amounts of management time and resources to complete and integrate."</t>
  </si>
  <si>
    <t>"As such, the midpoint of our guidance reflects a conservative posture towards growth and profitability in 2024. For First Advantage on a standalone basis, throughout 2024, we expect sequential quarter-over-quarter growth for revenues, adjusted EBITDA, and adjusted EBITDA margins, similar to 2023. We expect customer retention to remain in line with their strong historical performance of around 97%."</t>
  </si>
  <si>
    <t>4Q23e</t>
  </si>
  <si>
    <t>"For the fourth quarter, we expect sequential quarterly revenue and adjusted EBITDA growth, though revenue will still slightly decline on a year over year basis due to our international segment performance. We anticipate base growth to remain negative, but improving. Additionally, we expect our Q4 adjusted EBITDA margins to be approximately 33%."</t>
  </si>
  <si>
    <t>FY23e</t>
  </si>
  <si>
    <t>"Now moving to slide 12, and our outlook today, we are reaffirming our previous guidance ranges expecting to perform at the low end of these ranges to remind you. The low end of these ranges represent revenues of $770 million adjusted EBITDA of $240 million."</t>
  </si>
  <si>
    <t>3Q23e</t>
  </si>
  <si>
    <t>"For Q3, we expect sequential quarterly revenue and adjusted EBITDA growth, the revenue will still slightly decline on a year-over-year basis"</t>
  </si>
  <si>
    <t>"We have already taken measures to reduce our costs to stay in line with previous guidance and to maintain our adjusted EBITDA margins above the 30% level on a full year basis."
"We're committed to maintaining a 30% plus EBITDA margin. We've proven that now time and time again over the past 3 years, and we're very confident that we can continue that"</t>
  </si>
  <si>
    <t>2Q23e</t>
  </si>
  <si>
    <t xml:space="preserve">"In Q2, we expect sequential revenue growth, though it will still be negative on a year-over-year basis"
</t>
  </si>
  <si>
    <t>"Our outlook for adjusted EBITDA is also unchanged….Adjusted EBITDA margins above 30% starting in Q2 and improving in the second half of the year following a similar pattern to 2022"</t>
  </si>
  <si>
    <t>1Q23e</t>
  </si>
  <si>
    <t>"Based on actual financial results to date, we expect Q1 year-over-year consolidated revenues to decline 8% to 11% as the macroeconomic headwinds previously described continue and we cycle over Q1 2022, which saw exceptionally high revenue growth of 44%. We do have seasonality in our business. And historically, the first quarter has typically been our slowest quarter of each fiscal year"
"Regarding the phasing of adjusted EBITDA margins, we expect Q1 adjusted EBITDA margins to be between 27% and 28%, consistent with Q1 of the prior 2 years. Please keep in mind that Q1 typically represents their lowest margin quarter as a result of seasonality"</t>
  </si>
  <si>
    <t>"In Q2, we expect sequential revenue growth, though it will still be negative on a year-over-year basis. We will also be cycling over a double-digit revenue growth in Q2"
"Starting with Q2, we expect adjusted EBITDA margins above 30% and to improve in the second half of the year following a similar pattern to 2022."</t>
  </si>
  <si>
    <t>"Based on the current environment and discussions with our customers, our 2023 guidance assumes that existing macroeconomic conditions, foreign currency headwinds and hiring trends that we are currently experiencing will continue through most of 2023 with modest improvement in the second half of the year, along with easier year-over-year comps. We expect to generate full year 2023 revenues in the range of $770 million to $810 million resulting in flat to negative 5% year-over-year growth, all of which is organic. On a constant currency basis, we expect revenues of $774 million to $814 million, with the high end of the range exceeding prior year results."
"We anticipate full year 2023 adjusted EBITDA margin expansion to slightly over 31%. We expect 2023 adjusted EBITDA in the range of $240 million to $255 million, representing negative 4% to positive 2% year-over-year growth"</t>
  </si>
  <si>
    <t>FA / STER Merger Math</t>
  </si>
  <si>
    <t>($ in mm)</t>
  </si>
  <si>
    <t>Deal</t>
  </si>
  <si>
    <t>Pro-Forma Pre-Synergy</t>
  </si>
  <si>
    <t>Pro-Forma Post-Synergy</t>
  </si>
  <si>
    <t>Share Price</t>
  </si>
  <si>
    <t>FA Debt</t>
  </si>
  <si>
    <t>FA Cash</t>
  </si>
  <si>
    <t>STER Debt</t>
  </si>
  <si>
    <t>STER Cash</t>
  </si>
  <si>
    <t xml:space="preserve">STER Pre-Deal Equity </t>
  </si>
  <si>
    <t>STER Pre-Deal Net Debt</t>
  </si>
  <si>
    <t>TEV / Adj. EBITDA</t>
  </si>
  <si>
    <t>TEV / Adj. EBITDA - Capex</t>
  </si>
  <si>
    <t>TEV / EBITDA-Capex</t>
  </si>
  <si>
    <t>Adj. P/E</t>
  </si>
  <si>
    <t>With FY24e PF Interest Cost &gt;&gt;</t>
  </si>
  <si>
    <t>P / E</t>
  </si>
  <si>
    <t>P / rFCF</t>
  </si>
  <si>
    <t>Net Debt / PF Adj. EBITDA</t>
  </si>
  <si>
    <t>Net Debt / PF EBITDA</t>
  </si>
  <si>
    <t>Growth</t>
  </si>
  <si>
    <t>Organic Revenue</t>
  </si>
  <si>
    <t>3-Year CAGR</t>
  </si>
  <si>
    <t>4-Year CAGR</t>
  </si>
  <si>
    <t>5-Year CAGR</t>
  </si>
  <si>
    <t>Organic EBITDA</t>
  </si>
  <si>
    <t>3 yr</t>
  </si>
  <si>
    <t>4 yr</t>
  </si>
  <si>
    <t>5 yr</t>
  </si>
  <si>
    <t>Statistics</t>
  </si>
  <si>
    <t>EBITDA margin</t>
  </si>
  <si>
    <t xml:space="preserve">FY23 </t>
  </si>
  <si>
    <t>Adj. EBITDA - Capex</t>
  </si>
  <si>
    <t>EBITDA-Capex</t>
  </si>
  <si>
    <t>Using FY24e PF Interest</t>
  </si>
  <si>
    <t>of 2.5x FY23 AE-Capex Coverage</t>
  </si>
  <si>
    <t>Net Income</t>
  </si>
  <si>
    <t>CRC EBITDA-Capex</t>
  </si>
  <si>
    <t>Total PF Net Debt</t>
  </si>
  <si>
    <t>Legacy FA Rate</t>
  </si>
  <si>
    <t>PF Rate</t>
  </si>
  <si>
    <t>FA - Standalone</t>
  </si>
  <si>
    <t>Base Case</t>
  </si>
  <si>
    <t>Simple Model</t>
  </si>
  <si>
    <t>G = 750-800</t>
  </si>
  <si>
    <t>G = 228-248</t>
  </si>
  <si>
    <t>NOLs Used</t>
  </si>
  <si>
    <t>Taxes Avoided</t>
  </si>
  <si>
    <t>P/E (cons)</t>
  </si>
  <si>
    <t>LTM FCF</t>
  </si>
  <si>
    <t>Insiders</t>
  </si>
  <si>
    <t>Silverlake</t>
  </si>
  <si>
    <t>Staples</t>
  </si>
  <si>
    <t>Jaeger</t>
  </si>
  <si>
    <t>Gamsey</t>
  </si>
  <si>
    <t>flota</t>
  </si>
  <si>
    <t>Upside</t>
  </si>
  <si>
    <t>Risk Case</t>
  </si>
  <si>
    <t>(USD in '000s)</t>
  </si>
  <si>
    <t>Revenues</t>
  </si>
  <si>
    <t>Cost of revenues (exclusive of depreciation and amortization below)</t>
  </si>
  <si>
    <t>Corporate technology and production systems</t>
  </si>
  <si>
    <t>Selling, general and administrative</t>
  </si>
  <si>
    <t>Impairments and disposals of long-lived assets</t>
  </si>
  <si>
    <t>Operating income</t>
  </si>
  <si>
    <t>Interest expense, net</t>
  </si>
  <si>
    <t>Gain on interest rate swaps</t>
  </si>
  <si>
    <t>Other income</t>
  </si>
  <si>
    <t>Total other expense, net</t>
  </si>
  <si>
    <t>Income before income taxes</t>
  </si>
  <si>
    <t>Income tax provision</t>
  </si>
  <si>
    <t>Net (loss) income</t>
  </si>
  <si>
    <t>Basic</t>
  </si>
  <si>
    <t>Diluted</t>
  </si>
  <si>
    <t>Screening services</t>
  </si>
  <si>
    <t>Other services</t>
  </si>
  <si>
    <t>Total revenue</t>
  </si>
  <si>
    <t>All other countries</t>
  </si>
  <si>
    <t>Organic Growth Revenue Growth</t>
  </si>
  <si>
    <t xml:space="preserve">Upsell / Cross Sell </t>
  </si>
  <si>
    <t>Churn</t>
  </si>
  <si>
    <t>Base</t>
  </si>
  <si>
    <t>Stock-based compensation</t>
  </si>
  <si>
    <t>Transaction expenses</t>
  </si>
  <si>
    <t>Restructuring</t>
  </si>
  <si>
    <t>Technology Transformation</t>
  </si>
  <si>
    <t>Settlements impacting comparability</t>
  </si>
  <si>
    <t>Amortization of acquired intangible assets</t>
  </si>
  <si>
    <t>Adjusted Net Income before income tax effect</t>
  </si>
  <si>
    <t>Income tax effect</t>
  </si>
  <si>
    <t>Adjusted Net Income</t>
  </si>
  <si>
    <t>Accounts receivable (net of allowance for credit losses of $2,816 and $2,304 at December 31, 2023 and 2022, respectively)</t>
  </si>
  <si>
    <t>Insurance receivable</t>
  </si>
  <si>
    <t>Prepaid expenses</t>
  </si>
  <si>
    <t>Operating leases right-of-use asset</t>
  </si>
  <si>
    <t>Intangible assets, net</t>
  </si>
  <si>
    <t>Deferred tax assets</t>
  </si>
  <si>
    <t>Other noncurrent assets, net</t>
  </si>
  <si>
    <t>TOTAL ASSETS</t>
  </si>
  <si>
    <t>LIABILITIES AND STOCKHOLDERS' EQUITY</t>
  </si>
  <si>
    <t>CURRENT LIABILITIES:</t>
  </si>
  <si>
    <t>Litigation settlement obligation</t>
  </si>
  <si>
    <t>Accrued expenses</t>
  </si>
  <si>
    <t>Operating leases liability, current portion</t>
  </si>
  <si>
    <t>Income tax payable, current portion</t>
  </si>
  <si>
    <t>Long-term debt, net</t>
  </si>
  <si>
    <t>Deferred tax liabilities</t>
  </si>
  <si>
    <t>Long-term operating leases liability, net of current portion</t>
  </si>
  <si>
    <t xml:space="preserve">COMMITMENTS AND CONTINGENCIES </t>
  </si>
  <si>
    <t>STOCKHOLDERS' EQUITY:</t>
  </si>
  <si>
    <t>Preferred stock ($0.01 par value; 100,000,000 shares authorized; no shares issued or outstanding)</t>
  </si>
  <si>
    <t>Common stock ($0.01 par value; 1,000,000,000 shares authorized; 99,966,158 shares issued and 93,194,403 shares outstanding at December 31, 2023; 97,765,120 shares issued and 96,717,883 shares outstanding at December 31, 2022)</t>
  </si>
  <si>
    <t>Additional paid-in capital</t>
  </si>
  <si>
    <t>Common stock held in treasury (6,771,755 and 1,047,237 shares at December 31, 2023 and 2022, respectively)</t>
  </si>
  <si>
    <t>Accumulated deficit</t>
  </si>
  <si>
    <t>Accumulated other comprehensive loss</t>
  </si>
  <si>
    <t>Total stockholders' equity</t>
  </si>
  <si>
    <t>TOTAL LIABILITIES AND STOCKHOLDERS' EQUITY</t>
  </si>
  <si>
    <t>Deferred income taxes</t>
  </si>
  <si>
    <t>Provision for bad debts</t>
  </si>
  <si>
    <t>Amortization of financing fees</t>
  </si>
  <si>
    <t>Amortization of debt discount</t>
  </si>
  <si>
    <t>Deferred rent</t>
  </si>
  <si>
    <t>Noncash impact of lease accounting under ASC 842</t>
  </si>
  <si>
    <t>Unrealized translation gain (loss) on investment in foreign subsidiaries</t>
  </si>
  <si>
    <t>Interest rate swap settlements</t>
  </si>
  <si>
    <t>Changes in fair value of derivatives</t>
  </si>
  <si>
    <t>Change in fair value of contingent consideration, net</t>
  </si>
  <si>
    <t>Excess payment on contingent consideration for acquisition</t>
  </si>
  <si>
    <t>Net cash provided by operations</t>
  </si>
  <si>
    <t>Purchases of property and equipment</t>
  </si>
  <si>
    <t>Purchases of intangible assets and capitalized software</t>
  </si>
  <si>
    <t>Investment in minority interest</t>
  </si>
  <si>
    <t>Acquisitions, net of cash acquired</t>
  </si>
  <si>
    <t>Proceeds from disposition of property and equipment</t>
  </si>
  <si>
    <t>Net cash used in investing activities</t>
  </si>
  <si>
    <t>Issuance of common stock</t>
  </si>
  <si>
    <t>Proceeds from exercise of employee stock options</t>
  </si>
  <si>
    <t>Cash paid for withholding on exercise of employee stock options</t>
  </si>
  <si>
    <t>Proceeds from employee stock purchase plan</t>
  </si>
  <si>
    <t>Repurchases of common stock</t>
  </si>
  <si>
    <t>Proceeds from issuance of common stock in IPO, net of underwriting discounts and commissions</t>
  </si>
  <si>
    <t>Cash paid for tax withholding on vesting of restricted shares</t>
  </si>
  <si>
    <t>Capital contribution from certain stockholders</t>
  </si>
  <si>
    <t>Payments of long-term debt</t>
  </si>
  <si>
    <t>Proceeds from term loan borrowings</t>
  </si>
  <si>
    <t>Repayments of revolving credit facility</t>
  </si>
  <si>
    <t>Borrowings on revolving credit facility</t>
  </si>
  <si>
    <t>Payment of contingent consideration for acquisition</t>
  </si>
  <si>
    <t>Payments of finance lease obligations</t>
  </si>
  <si>
    <t>Net cash used in financing activities</t>
  </si>
  <si>
    <t>EFFECT OF EXCHANGE RATE CHANGES ON CASH AND CASH EQUIVALENTS</t>
  </si>
  <si>
    <t>NET CHANGE IN CASH AND CASH EQUIVALENTS</t>
  </si>
  <si>
    <t>Beginning of period</t>
  </si>
  <si>
    <t>Cash and cash equivalents at end of period</t>
  </si>
  <si>
    <t>Interest, net of capitalized amounts of $437, $378 and $322, respectively</t>
  </si>
  <si>
    <t>Income taxes</t>
  </si>
  <si>
    <t>Sterling Check Corp</t>
  </si>
  <si>
    <t>FY2009</t>
  </si>
  <si>
    <t>Growth Analysis</t>
  </si>
  <si>
    <t>Screening services revenue growth, %</t>
  </si>
  <si>
    <t>Other services revenue growth, %</t>
  </si>
  <si>
    <t>Total Revenue Growth, %</t>
  </si>
  <si>
    <t>Revenue growth from New customer, %</t>
  </si>
  <si>
    <t>Revenue growth from Base customers growth, %</t>
  </si>
  <si>
    <t>Revenue growth from APAC, %</t>
  </si>
  <si>
    <t>Segmented Results - Revenue Breakdown (FS)</t>
  </si>
  <si>
    <t>6-month</t>
  </si>
  <si>
    <t>Screening services, mm</t>
  </si>
  <si>
    <t>Other services, mm</t>
  </si>
  <si>
    <t>Total Revenue, mm</t>
  </si>
  <si>
    <t>Segmented Results - Geographic Breakdown (FS)</t>
  </si>
  <si>
    <t>United States revenue, mm</t>
  </si>
  <si>
    <t>All other countries revenue, mm</t>
  </si>
  <si>
    <t>Operating Stats - Retention rate, Clients and Searches (IP)</t>
  </si>
  <si>
    <t>Clients - BoP, # of clients</t>
  </si>
  <si>
    <t>Increase (decrease) in clients,  # of clients</t>
  </si>
  <si>
    <t>Clients - EoP, # of clients</t>
  </si>
  <si>
    <t>Average Clients, # of clients</t>
  </si>
  <si>
    <t>YoY growth in paid enterprise customers, %</t>
  </si>
  <si>
    <t>Revenue per client, $</t>
  </si>
  <si>
    <t>YoY growth in quarterly revenue per client, %</t>
  </si>
  <si>
    <t>Gross retention rate, %</t>
  </si>
  <si>
    <t>Number of searches, mm</t>
  </si>
  <si>
    <t>Key Metrics - Split of US revenue by vertical (S-1)</t>
  </si>
  <si>
    <t>Technology, Media, Entertainment and Hospitality vertical share of US revenue, %</t>
  </si>
  <si>
    <t>Healthcare vertical share of US revenue, %</t>
  </si>
  <si>
    <t>Industrials, Government and Education vertical share of US revenue, %</t>
  </si>
  <si>
    <t>Financial &amp; Business Services vertical share of US revenue, %</t>
  </si>
  <si>
    <t>Retail vertical share of US revenue, %</t>
  </si>
  <si>
    <t>Contingent vertical share of US revenue, %</t>
  </si>
  <si>
    <t>Gig, Consumer and Volunteers vertical share of US revenue, %</t>
  </si>
  <si>
    <t>Key Metrics - Total Addressable Market (S-1)</t>
  </si>
  <si>
    <t>Identity verification, bn</t>
  </si>
  <si>
    <t>Pre-Hire Background Screening, bn</t>
  </si>
  <si>
    <t>Post-Hire Background Screening, bn</t>
  </si>
  <si>
    <t>Total TAM, bn</t>
  </si>
  <si>
    <t>North America share of TAM, %</t>
  </si>
  <si>
    <t>Europe share of TAM, %</t>
  </si>
  <si>
    <t>Asia Pacific share of TAM, %</t>
  </si>
  <si>
    <t>Middle East &amp; Africa share of TAM, %</t>
  </si>
  <si>
    <t>Latin America share of TAM, %</t>
  </si>
  <si>
    <t>US Gig Workers, mm</t>
  </si>
  <si>
    <t>US Voluntary Turnover, mm</t>
  </si>
  <si>
    <t>Y/Y Cost Granularity (S-1)</t>
  </si>
  <si>
    <t>Previous COGS, mm</t>
  </si>
  <si>
    <t>COGS Change due to increased volume, mm</t>
  </si>
  <si>
    <t>COGS Change due to the EBI platform migration, mm</t>
  </si>
  <si>
    <t>COGS Change due to facilities costs, mm</t>
  </si>
  <si>
    <t>COGS Change due to change in business mix and increased cloud expenses, mm</t>
  </si>
  <si>
    <t>COGS Change due to SBC, mm</t>
  </si>
  <si>
    <t>COGS Change due to COVID-19, mm</t>
  </si>
  <si>
    <t>COGS Change due to other, mm</t>
  </si>
  <si>
    <t>Current COGS, mm</t>
  </si>
  <si>
    <t>Previous R&amp;D, mm</t>
  </si>
  <si>
    <t>R&amp;D Change due to change in platform and product initiatives developments, mm</t>
  </si>
  <si>
    <t>R&amp;D Change due to maintaining production systems, mm</t>
  </si>
  <si>
    <t>R&amp;D Change due to maintaining corporate information technology infrastructure, mm</t>
  </si>
  <si>
    <t>R&amp;D Change due to SBC, mm</t>
  </si>
  <si>
    <t>R&amp;D Change due to personnel-related costs, mm</t>
  </si>
  <si>
    <t>R&amp;D Change due to other, mm</t>
  </si>
  <si>
    <t>Current R&amp;D, mm</t>
  </si>
  <si>
    <t>Previous S&amp;M, mm</t>
  </si>
  <si>
    <t>S&amp;M Change due to payroll and related taxes and benefits expense, mm</t>
  </si>
  <si>
    <t>S&amp;M Change due contractual compensation payment to a former executive, mm</t>
  </si>
  <si>
    <t>S&amp;M Change due investor management fees, mm</t>
  </si>
  <si>
    <t>S&amp;M Change due to costs related to the IPO, mm</t>
  </si>
  <si>
    <t>S&amp;M Change due to costs related to transactions, mm</t>
  </si>
  <si>
    <t>S&amp;M Change due to SBC, mm</t>
  </si>
  <si>
    <t>S&amp;M Change due to professional fees, mm</t>
  </si>
  <si>
    <t>S&amp;M Change due to restructuring-related charges, mm</t>
  </si>
  <si>
    <t>S&amp;M Change due to strategy refresh, mm</t>
  </si>
  <si>
    <t>S&amp;M Change due to bonus expenses, mm</t>
  </si>
  <si>
    <t>S&amp;M Change due to legal settlements, mm</t>
  </si>
  <si>
    <t>S&amp;M Change due to reassessing fair value of contingent consideration, mm</t>
  </si>
  <si>
    <t>S&amp;M Change due to severance expenses, mm</t>
  </si>
  <si>
    <t>S&amp;M Change due to rent and facilities expenses, mm</t>
  </si>
  <si>
    <t>S&amp;M Change due to other, mm</t>
  </si>
  <si>
    <t>Current S&amp;M, mm</t>
  </si>
  <si>
    <t>Previous D&amp;A, mm</t>
  </si>
  <si>
    <t>D&amp;A Change due to intangible asset amortization, mm</t>
  </si>
  <si>
    <t>D&amp;A Change due to amortization of intangible asset acquired, mm</t>
  </si>
  <si>
    <t>D&amp;A Change due to fixed asset depreciation, mm</t>
  </si>
  <si>
    <t>D&amp;A Change due to other, mm</t>
  </si>
  <si>
    <t>Current D&amp;A, mm</t>
  </si>
  <si>
    <t>Margin Analysis</t>
  </si>
  <si>
    <t>COGS Margin, %</t>
  </si>
  <si>
    <t>Gross Margin, %</t>
  </si>
  <si>
    <t>Consensus Estimates - Gross Margin, %</t>
  </si>
  <si>
    <t>R&amp;D Margin, %</t>
  </si>
  <si>
    <t>SG&amp;A Margin (adj. for SBC), %</t>
  </si>
  <si>
    <t>EBITDA Margin, %</t>
  </si>
  <si>
    <t>Adjusted EBITDA Margin, %</t>
  </si>
  <si>
    <t>Consensus Estimates - Adjusted EBITDA Margin, %</t>
  </si>
  <si>
    <t>Income Statement - As Reported</t>
  </si>
  <si>
    <t>Cost of revenues</t>
  </si>
  <si>
    <t>Impairments of long-lived assets</t>
  </si>
  <si>
    <t>Operating loss</t>
  </si>
  <si>
    <t>Loss on interest rate swap</t>
  </si>
  <si>
    <t>Loss Before Income Taxes</t>
  </si>
  <si>
    <t>Income tax benefit</t>
  </si>
  <si>
    <t>IS Check</t>
  </si>
  <si>
    <t>Adjusted Numbers - As Reported</t>
  </si>
  <si>
    <t>Restated</t>
  </si>
  <si>
    <t>(Benefit from) provision for income taxes</t>
  </si>
  <si>
    <t>Depreciation &amp; amortization</t>
  </si>
  <si>
    <t>Technology transformation</t>
  </si>
  <si>
    <t>Loss/gain on interest swap</t>
  </si>
  <si>
    <t>Provision for (benefit from) income taxes</t>
  </si>
  <si>
    <t>(Loss) income before income taxes</t>
  </si>
  <si>
    <t>Current income tax provision</t>
  </si>
  <si>
    <t>Deferred income tax provision</t>
  </si>
  <si>
    <t>Total tax</t>
  </si>
  <si>
    <t>Depreciation of property and equipment</t>
  </si>
  <si>
    <t>Amortization of intangible assets</t>
  </si>
  <si>
    <t>Total Depreciation &amp; Amortization</t>
  </si>
  <si>
    <t>Revised Income Statement</t>
  </si>
  <si>
    <t>Net Revenue</t>
  </si>
  <si>
    <t>SG&amp;A (adj. for SBC)</t>
  </si>
  <si>
    <t>Amortization of Intangibles</t>
  </si>
  <si>
    <t>Interest expense</t>
  </si>
  <si>
    <t>Interest income</t>
  </si>
  <si>
    <t>Income from equity method investments</t>
  </si>
  <si>
    <t>Other items</t>
  </si>
  <si>
    <t>One-time item</t>
  </si>
  <si>
    <t>EBT</t>
  </si>
  <si>
    <t>Current tax</t>
  </si>
  <si>
    <t>Deferred tax</t>
  </si>
  <si>
    <t>Net Income from Continued Operation</t>
  </si>
  <si>
    <t>Discontinued Operations</t>
  </si>
  <si>
    <t>Net Income to NCI</t>
  </si>
  <si>
    <t>Earnings to Preferred and Other Securities</t>
  </si>
  <si>
    <t>Net Income to Common Shareholders</t>
  </si>
  <si>
    <t>Adjustments for Convertible Securities</t>
  </si>
  <si>
    <t>Diluted Net Income to Common Shareholders</t>
  </si>
  <si>
    <t>Non-GAAP Adjustments</t>
  </si>
  <si>
    <t>Non-GAAP Adjustments for Dilutive Securities</t>
  </si>
  <si>
    <t>Current tax rate</t>
  </si>
  <si>
    <t>Deferred tax rate</t>
  </si>
  <si>
    <t>Earnings Per Share - WAB</t>
  </si>
  <si>
    <t>Earnings Per Share - WAD</t>
  </si>
  <si>
    <t>Adjusted Earnings Per Share - WAD</t>
  </si>
  <si>
    <t>Shares Outstanding - WAB</t>
  </si>
  <si>
    <t>Shares Outstanding - WAD</t>
  </si>
  <si>
    <t>Adjusted Shares Outstanding - WAD</t>
  </si>
  <si>
    <t>Share Count Analysis</t>
  </si>
  <si>
    <t>Last Working Day, date</t>
  </si>
  <si>
    <t>End of Period Stock Price, $/share</t>
  </si>
  <si>
    <t>EoP Common Stock Outstanding, mm shares</t>
  </si>
  <si>
    <t>EoP Common stock outstanding excl. Restricted Stock, mm shares</t>
  </si>
  <si>
    <t>Q/Q basic share expansion from dilutive securities, %</t>
  </si>
  <si>
    <t>Y/Y basic share expansion from dilutive securities, %</t>
  </si>
  <si>
    <t>Q/Q basic share expansion from share issuance (buyback), %</t>
  </si>
  <si>
    <t>Y/Y basic share expansion from share issuance (buyback), %</t>
  </si>
  <si>
    <t>Q/Q basic share expansion - EoP, %</t>
  </si>
  <si>
    <t>Y/Y basic share expansion - EoP, %</t>
  </si>
  <si>
    <t>Dilutive Shares, mm shares</t>
  </si>
  <si>
    <t>Diluted share count to basic share count ratio, x</t>
  </si>
  <si>
    <t>EoP Total Diluted Common Stock Outstanding, mm shares</t>
  </si>
  <si>
    <t>Cumulative BoP Total Service-Based Vesting Stock Plan Options Outstanding, mm options</t>
  </si>
  <si>
    <t>Cumulative Granted Service-Based Vesting Stock Plan Options, mm options</t>
  </si>
  <si>
    <t>Cumulative Exercised Service-Based Vesting Stock Plan Options, mm options</t>
  </si>
  <si>
    <t>Cumulative Forfeited and Canceled Service-Based Vesting Stock Plan Options, mm options</t>
  </si>
  <si>
    <t>Cumulative EoP Total Service-Based Vesting Stock Plan Options Outstanding, mm options</t>
  </si>
  <si>
    <t>BoP Total Service-Based Vesting Stock Plan Options Outstanding, mm options</t>
  </si>
  <si>
    <t>Granted Service-Based Vesting Stock Plan Options, mm options</t>
  </si>
  <si>
    <t>Exercised Service-Based Vesting Stock Plan Options, mm options</t>
  </si>
  <si>
    <t>Forfeited and Canceled Service-Based Vesting Stock Plan Options, mm options</t>
  </si>
  <si>
    <t>EoP Total Service-Based Vesting Stock Plan Options Outstanding, mm options</t>
  </si>
  <si>
    <t>Cumulative BoP Service-Based Vesting Stock Plan Weighted Average Exercise Price, $/share</t>
  </si>
  <si>
    <t>Cumulative Granted Service-Based Vesting Stock Plan Average Exercise Price, $/share</t>
  </si>
  <si>
    <t>Cumulative Exercised Service-Based Vesting Stock Plan Average Exercise Price, $/share</t>
  </si>
  <si>
    <t>Cumulative Forfeited and Canceled Service-Based Vesting Stock Plan Average Exercise Price, $/share</t>
  </si>
  <si>
    <t>Cumulative EoP Weighted Average Exercise Price, $/share</t>
  </si>
  <si>
    <t>BoP Service-Based Vesting Stock Plan Weighted Average Exercise Price, $/share</t>
  </si>
  <si>
    <t>Granted Service-Based Vesting Stock Plan Average Exercise Price, $/share</t>
  </si>
  <si>
    <t>Exercised Service-Based Vesting Stock Plan Average Exercise Price, $/share</t>
  </si>
  <si>
    <t>Forfeited and Canceled Service-Based Vesting Stock Plan Average Exercise Price, $/share</t>
  </si>
  <si>
    <t>EoP Service-Based Vesting Stock Plan Weighted Average Exercise Price, $/share</t>
  </si>
  <si>
    <t>EoP Total Service-Based Vesting Stock Plan Options Exercisable, mm options</t>
  </si>
  <si>
    <t>EoP Service-Based Vesting Stock Plan Weighted Average Exercisable Option Exercise Price, $/share</t>
  </si>
  <si>
    <t>Cumulative BoP Total Performance-Based Vesting Stock Plan Options Outstanding, mm options</t>
  </si>
  <si>
    <t>Cumulative Granted Performance-Based Vesting Stock Plan Options, mm options</t>
  </si>
  <si>
    <t>Cumulative Exercised Performance-Based Vesting Stock Plan Options, mm options</t>
  </si>
  <si>
    <t>Cumulative Forfeited and Canceled Performance-Based Vesting Stock Plan Options, mm options</t>
  </si>
  <si>
    <t>Cumulative EoP Total Performance-Based Vesting Stock Plan Options Outstanding, mm options</t>
  </si>
  <si>
    <t>BoP Total Performance-Based Vesting Stock Plan Options Outstanding, mm options</t>
  </si>
  <si>
    <t>Granted Performance-Based Vesting Stock Plan Options, mm options</t>
  </si>
  <si>
    <t>Exercised Performance-Based Vesting Stock Plan Options, mm options</t>
  </si>
  <si>
    <t>Forfeited and Canceled Performance-Based Vesting Stock Plan Options, mm options</t>
  </si>
  <si>
    <t>EoP Total Performance-Based Vesting Stock Plan Options Outstanding, mm options</t>
  </si>
  <si>
    <t>Cumulative BoP Performance-Based Vesting Stock Plan Weighted Average Exercise Price, $/share</t>
  </si>
  <si>
    <t>Cumulative Granted Performance-Based Vesting Stock Plan Average Exercise Price, $/share</t>
  </si>
  <si>
    <t>Cumulative Exercised Performance-Based Vesting Stock Plan Average Exercise Price, $/share</t>
  </si>
  <si>
    <t>Cumulative Forfeited and Canceled Performance-Based Vesting Stock Plan Average Exercise Price, $/share</t>
  </si>
  <si>
    <t>BoP Performance-Based Vesting Stock Plan Weighted Average Exercise Price, $/share</t>
  </si>
  <si>
    <t>Granted Performance-Based Vesting Stock Plan Average Exercise Price, $/share</t>
  </si>
  <si>
    <t>Exercised Performance-Based Vesting Stock Plan Average Exercise Price, $/share</t>
  </si>
  <si>
    <t>Forfeited and Canceled Performance-Based Vesting Stock Plan Average Exercise Price, $/share</t>
  </si>
  <si>
    <t>EoP Performance-Based Vesting Stock Plan Weighted Average Exercise Price, $/share</t>
  </si>
  <si>
    <t>EoP Total Performance-Based Vesting Stock Plan Options Exercisable, mm options</t>
  </si>
  <si>
    <t>EoP Performance-Based Vesting Stock Plan Weighted Average Exercisable Option Exercise Price, $/share</t>
  </si>
  <si>
    <t>Cumulative BoP Total 2021 Omnibus Incentive Plan Options Outstanding, mm options</t>
  </si>
  <si>
    <t>Cumulative Granted 2021 Omnibus Incentive Plan Options, mm options</t>
  </si>
  <si>
    <t>Cumulative Exercised 2021 Omnibus Incentive Plan Options, mm options</t>
  </si>
  <si>
    <t>Cumulative Forfeited and Canceled 2021 Omnibus Incentive Plan Options, mm options</t>
  </si>
  <si>
    <t>Cumulative EoP Total 2021 Omnibus Incentive Plan Options Outstanding, mm options</t>
  </si>
  <si>
    <t>BoP Total 2021 Omnibus Incentive Plan Options Outstanding, mm options</t>
  </si>
  <si>
    <t>Granted 2021 Omnibus Incentive Plan Options, mm options</t>
  </si>
  <si>
    <t>Exercised 2021 Omnibus Incentive Plan Options, mm options</t>
  </si>
  <si>
    <t>Forfeited and Canceled 2021 Omnibus Incentive Plan Options, mm options</t>
  </si>
  <si>
    <t>EoP Total 2021 Omnibus Incentive Plan Options Outstanding, mm options</t>
  </si>
  <si>
    <t>Cumulative BoP 2021 Omnibus Incentive Plan Weighted Average Exercise Price, $/share</t>
  </si>
  <si>
    <t>Cumulative Granted 2021 Omnibus Incentive Plan Average Exercise Price, $/share</t>
  </si>
  <si>
    <t>Cumulative Exercised 2021 Omnibus Incentive Plan Average Exercise Price, $/share</t>
  </si>
  <si>
    <t>Cumulative Forfeited and Canceled 2021 Omnibus Incentive Plan Average Exercise Price, $/share</t>
  </si>
  <si>
    <t>BoP 2021 Omnibus Incentive Plan Weighted Average Exercise Price, $/share</t>
  </si>
  <si>
    <t>Granted 2021 Omnibus Incentive Plan Average Exercise Price, $/share</t>
  </si>
  <si>
    <t>Exercised 2021 Omnibus Incentive Plan Average Exercise Price, $/share</t>
  </si>
  <si>
    <t>Forfeited and Canceled 2021 Omnibus Incentive Plan Average Exercise Price, $/share</t>
  </si>
  <si>
    <t>EoP 2021 Omnibus Incentive Plan Weighted Average Exercise Price, $/share</t>
  </si>
  <si>
    <t>EoP Total 2021 Omnibus Incentive Plan Options Exercisable, mm options</t>
  </si>
  <si>
    <t>EoP 2021 Omnibus Incentive Plan Weighted Average Exercisable Option Exercise Price, $/share</t>
  </si>
  <si>
    <t>EoP Total Stock Options Outstanding, mm options</t>
  </si>
  <si>
    <t>EoP 2021 Weighted Average Exercise Price, $/share</t>
  </si>
  <si>
    <t>Dilutive Shares from Exercised Options (Treasury Method), mm shares</t>
  </si>
  <si>
    <t>EoP Total Stock Options Exercisable, mm options</t>
  </si>
  <si>
    <t>EoP Weighted Average Exercisable Option Exercise Price, $/share</t>
  </si>
  <si>
    <t>EoP Unvested RSUs, mm shares</t>
  </si>
  <si>
    <t>EoP Unvested RSU Price, $/share</t>
  </si>
  <si>
    <t>EoP ESPP Obligations, mm shares</t>
  </si>
  <si>
    <t>EoP Unvested Restricted Stock, mm shares</t>
  </si>
  <si>
    <t>EoP Unvested Restricted Stock Price, $/share</t>
  </si>
  <si>
    <t>EoP Others, mm shares</t>
  </si>
  <si>
    <t>EoP Potentially Dilutive Securities, mm shares</t>
  </si>
  <si>
    <t>Canalyst EoP Fully Diluted Shares Outstanding, mm shares</t>
  </si>
  <si>
    <t>Cover Page Common Stock Outstanding, mm shares</t>
  </si>
  <si>
    <t>Date of Cover Page Share Count, date</t>
  </si>
  <si>
    <t>Canalyst Cover Page Fully Diluted Shares Outstanding, mm shares</t>
  </si>
  <si>
    <t>Cash Flow Summary</t>
  </si>
  <si>
    <t>Operating Cash Flow before WC</t>
  </si>
  <si>
    <t>Change in Working Capital</t>
  </si>
  <si>
    <t>Operating Cash Flow after WC</t>
  </si>
  <si>
    <t>Cash Flow Per Diluted Share before WC</t>
  </si>
  <si>
    <t>Cash Flow Per Diluted Share</t>
  </si>
  <si>
    <t>Consensus Estimates - Cash Flow Per Diluted Share</t>
  </si>
  <si>
    <t>Acquisitions</t>
  </si>
  <si>
    <t>Divestiture</t>
  </si>
  <si>
    <t>Dividend Paid</t>
  </si>
  <si>
    <t>Dividend Per Share</t>
  </si>
  <si>
    <t>Net Debt Issuance (Repayment)</t>
  </si>
  <si>
    <t>Net Share Issuance (Buybacks)</t>
  </si>
  <si>
    <t>FCF (before WC), Pre Div</t>
  </si>
  <si>
    <t>FCF (before WC), Post Div, Pre A/D</t>
  </si>
  <si>
    <t>FCF (before WC), Post Div, Post A/D</t>
  </si>
  <si>
    <t>FCF (before WC), Post Div, Debt, Buyback, A/D</t>
  </si>
  <si>
    <t>FCF, Pre Div</t>
  </si>
  <si>
    <t>FCF, Post Div, Pre A/D</t>
  </si>
  <si>
    <t>FCF, Post Div, Post A/D</t>
  </si>
  <si>
    <t>FCF, Post Div, Debt, Buyback, A/D</t>
  </si>
  <si>
    <t>Balance Sheet Summary</t>
  </si>
  <si>
    <t>ST Debt</t>
  </si>
  <si>
    <t>LT Debt</t>
  </si>
  <si>
    <t>Operating Lease Liabilities</t>
  </si>
  <si>
    <t>Interest Expense</t>
  </si>
  <si>
    <t>Effective Interest Rate on Debt</t>
  </si>
  <si>
    <t>Interest Income</t>
  </si>
  <si>
    <t>Effective Interest Rate on Cash</t>
  </si>
  <si>
    <t>Net Interest Expense (Income)</t>
  </si>
  <si>
    <t>Effective Net Interest Rate on Debt</t>
  </si>
  <si>
    <t>EBITDA / Net Interest Expense</t>
  </si>
  <si>
    <t>Net Debt / EBITDA</t>
  </si>
  <si>
    <t>Net Debt / Cash Flow</t>
  </si>
  <si>
    <t>EoP</t>
  </si>
  <si>
    <t>Enterprise Value Components</t>
  </si>
  <si>
    <t>Noncontrolling Interest</t>
  </si>
  <si>
    <t>Preferred Shares</t>
  </si>
  <si>
    <t>Other EV Components</t>
  </si>
  <si>
    <t>Cumulative Cash Flow Statement</t>
  </si>
  <si>
    <t>Net loss</t>
  </si>
  <si>
    <t>Unrealized translation loss (gain) on investment in foreign subsidiaries</t>
  </si>
  <si>
    <t>Gain on disposition of property and equipment</t>
  </si>
  <si>
    <t>CFO before WC</t>
  </si>
  <si>
    <t>Net CFO</t>
  </si>
  <si>
    <t>CFI</t>
  </si>
  <si>
    <t>Net CFI</t>
  </si>
  <si>
    <t>CFF</t>
  </si>
  <si>
    <t>Proceeds from issuance of common stock in IPO net of underwriting discounts and commissions</t>
  </si>
  <si>
    <t>Payments of IPO issuance costs</t>
  </si>
  <si>
    <t>Repurchase of common stock</t>
  </si>
  <si>
    <t>Repayment of term loan borrowings</t>
  </si>
  <si>
    <t>Cash paid for tax withholding on RSA vestings</t>
  </si>
  <si>
    <t>Payments on equipment capital lease obligations</t>
  </si>
  <si>
    <t>Dividends paid</t>
  </si>
  <si>
    <t>Net CFF</t>
  </si>
  <si>
    <t>Net Change in Cash Balance</t>
  </si>
  <si>
    <t>Beginning Cash Balance</t>
  </si>
  <si>
    <t>Ending Cash Balance</t>
  </si>
  <si>
    <t>Cash paid during the period for	 interest, net of capitalized amounts</t>
  </si>
  <si>
    <t>Cash paid during the period for	 income taxes</t>
  </si>
  <si>
    <t>CF Check</t>
  </si>
  <si>
    <t>D&amp;A Forecasting</t>
  </si>
  <si>
    <t>PP&amp;E BoP, mm</t>
  </si>
  <si>
    <t>Depreciation of fixed assets, mm</t>
  </si>
  <si>
    <t>Capex of PP&amp;E, mm</t>
  </si>
  <si>
    <t>Other net additions to PP&amp;E, mm</t>
  </si>
  <si>
    <t>PP&amp;E EoP, mm</t>
  </si>
  <si>
    <t>Intangibles BoP, mm</t>
  </si>
  <si>
    <t>Amortization of intangibles, mm</t>
  </si>
  <si>
    <t>Capex of intangibles, mm</t>
  </si>
  <si>
    <t>Other net additions to intangibles, mm</t>
  </si>
  <si>
    <t>Intangibles EoP, mm</t>
  </si>
  <si>
    <t>Depreciation as percentage of PP&amp;E BoP, %</t>
  </si>
  <si>
    <t>Amortization as percentage of Intangibles BoP, %</t>
  </si>
  <si>
    <t>Implied life of fixed assets, yr</t>
  </si>
  <si>
    <t>Implied life of intangibles, yr</t>
  </si>
  <si>
    <t>Total D&amp;A, mm</t>
  </si>
  <si>
    <t>Total Capex, mm</t>
  </si>
  <si>
    <t>Percentage of capex allocated to intangible assets, %</t>
  </si>
  <si>
    <t>Working Capital Forecasting</t>
  </si>
  <si>
    <t>Accounts receivable, net, % of LTM Sales</t>
  </si>
  <si>
    <t>Accounts payable, % of LTM Sales</t>
  </si>
  <si>
    <t>Prepaid expenses, % of LTM Sales</t>
  </si>
  <si>
    <t>Accrued expenses, % of LTM Sales</t>
  </si>
  <si>
    <t>Accounts receivable, net, Y/Y Change, %</t>
  </si>
  <si>
    <t>Accounts payable, Y/Y Change, %</t>
  </si>
  <si>
    <t>Prepaid expenses, Y/Y Change, %</t>
  </si>
  <si>
    <t>Accrued expenses, Y/Y Change, %</t>
  </si>
  <si>
    <t>Accounts receivable, net</t>
  </si>
  <si>
    <t>Non-Current Assets</t>
  </si>
  <si>
    <t>Total Non-Current Assets</t>
  </si>
  <si>
    <t>Income taxes payable, current portion</t>
  </si>
  <si>
    <t>Non-Current Liabilities</t>
  </si>
  <si>
    <t>Total Non-Current liabilities</t>
  </si>
  <si>
    <t>Shareholders' Equity</t>
  </si>
  <si>
    <t>Common stock</t>
  </si>
  <si>
    <t>Common stock held in treasury</t>
  </si>
  <si>
    <t>Accumulated other comprehensive (loss) income</t>
  </si>
  <si>
    <t>Total SE</t>
  </si>
  <si>
    <t>NCI</t>
  </si>
  <si>
    <t>Total Liabilities &amp; SE</t>
  </si>
  <si>
    <t>BS Check</t>
  </si>
  <si>
    <t>Model Checks</t>
  </si>
  <si>
    <t>Net Income on Revised IS = NI on CF statement</t>
  </si>
  <si>
    <t>Net Income on Reported IS = NI on Revised</t>
  </si>
  <si>
    <t>Segmented Revenue = Revenue</t>
  </si>
  <si>
    <t>Cash Flow is not Repeated</t>
  </si>
  <si>
    <t>Income Statement is not Repeated</t>
  </si>
  <si>
    <t>Balance Sheet is not Repeated</t>
  </si>
  <si>
    <t>Ending CF = Ending Cumulative CF</t>
  </si>
  <si>
    <t>Capex is Updated</t>
  </si>
  <si>
    <t>Margin is Updated</t>
  </si>
  <si>
    <t>Adjusted Numbers FY = Sum of Qs</t>
  </si>
  <si>
    <t>*Margin adds up to 100%</t>
  </si>
  <si>
    <t>*Cash Flow Summary Signs are Correct</t>
  </si>
  <si>
    <t>*RIS NI FY = Sum of Qs</t>
  </si>
  <si>
    <t>*RIS Adjusted NI FY = Sum of Qs</t>
  </si>
  <si>
    <t>*CFO Before WC subtotal FY = Sum of Qs</t>
  </si>
  <si>
    <t>*CFO subtotal FY = Sum of Qs</t>
  </si>
  <si>
    <t>*CFI subtotal FY = Sum of Qs</t>
  </si>
  <si>
    <t>*CFF subtotal FY = Sum of Qs</t>
  </si>
  <si>
    <t>*CF Summary FY = Sum of Qs</t>
  </si>
  <si>
    <t>Other Tables</t>
  </si>
  <si>
    <t>Ticker Symbol</t>
  </si>
  <si>
    <t>STER_US</t>
  </si>
  <si>
    <t>STER US</t>
  </si>
  <si>
    <t>NASDAQ:STER</t>
  </si>
  <si>
    <t>STER-US</t>
  </si>
  <si>
    <t>STER.OQ</t>
  </si>
  <si>
    <t>Valuation Toggle Table</t>
  </si>
  <si>
    <t>High</t>
  </si>
  <si>
    <t>Low</t>
  </si>
  <si>
    <t>Avg</t>
  </si>
  <si>
    <t>Key Outputs</t>
  </si>
  <si>
    <t>KPI Data</t>
  </si>
  <si>
    <t>MO_RIS_REV</t>
  </si>
  <si>
    <t>MO_RIS_NI_NONGAAP_Diluted</t>
  </si>
  <si>
    <t>MO_RIS_EPS_WAD_Adj</t>
  </si>
  <si>
    <t>MO_RIS_EBITDA_Adj</t>
  </si>
  <si>
    <t>MO_MA_EBITDA_Adj</t>
  </si>
  <si>
    <t>Quarterly Guidance Table</t>
  </si>
  <si>
    <t>Reporting Date</t>
  </si>
  <si>
    <t>Applicable Period</t>
  </si>
  <si>
    <t>Annual Guidance Table</t>
  </si>
  <si>
    <t>Is Latest</t>
  </si>
  <si>
    <t>Consensus Estimate Table</t>
  </si>
  <si>
    <t>FY or FQ</t>
  </si>
  <si>
    <t>Stock Price Table</t>
  </si>
  <si>
    <t>Fiscal Period Start Date</t>
  </si>
  <si>
    <t>Is Historical Period</t>
  </si>
  <si>
    <t>Real-Time Off Source</t>
  </si>
  <si>
    <t>Bloomberg</t>
  </si>
  <si>
    <t>Capital IQ</t>
  </si>
  <si>
    <t>FactSet</t>
  </si>
  <si>
    <t>Refinitiv</t>
  </si>
  <si>
    <t>Last Working Day In Period</t>
  </si>
  <si>
    <t>Stock Price EoP</t>
  </si>
  <si>
    <t>FX EoP</t>
  </si>
  <si>
    <t>General Table</t>
  </si>
  <si>
    <t>Last Price</t>
  </si>
  <si>
    <t>Last Price Date</t>
  </si>
  <si>
    <t>Real-Time Stock Price</t>
  </si>
  <si>
    <t>Last Price Formula</t>
  </si>
  <si>
    <t>Apply Trade Currency Scaling</t>
  </si>
  <si>
    <t>Trade Currency</t>
  </si>
  <si>
    <t>Trade Currency Hardcoded</t>
  </si>
  <si>
    <t>Model Sheet Currency Hardcoded</t>
  </si>
  <si>
    <t>Most Recent FX</t>
  </si>
  <si>
    <t>Most Recent FX Hardcoded</t>
  </si>
  <si>
    <t>MRFP Column Number</t>
  </si>
  <si>
    <t>Most Recent Fiscal Period (MRFP)</t>
  </si>
  <si>
    <t>Q2-2024</t>
  </si>
  <si>
    <t>Current Fiscal Year</t>
  </si>
  <si>
    <t>First Forecast Fiscal Year</t>
  </si>
  <si>
    <t>KPI Count</t>
  </si>
  <si>
    <t>Data Source Index</t>
  </si>
  <si>
    <t>Tegus</t>
  </si>
  <si>
    <t>Rates Analysis</t>
  </si>
  <si>
    <t>Latest Q/K</t>
  </si>
  <si>
    <t>Fiscal Year</t>
  </si>
  <si>
    <t>Debt Outstanding</t>
  </si>
  <si>
    <t>Net Debt Analysis</t>
  </si>
  <si>
    <t>First Lien Credit Facility  (2.75% + LIBOR) thru 2026</t>
  </si>
  <si>
    <t xml:space="preserve">Total Existing Debt </t>
  </si>
  <si>
    <t>Total Refis</t>
  </si>
  <si>
    <t>New Debt</t>
  </si>
  <si>
    <t>Total Debt ex Hedges</t>
  </si>
  <si>
    <t xml:space="preserve">Net Debt </t>
  </si>
  <si>
    <t>Interest Rate Collar (0.48% - 1.47%) thru Feb 2024</t>
  </si>
  <si>
    <t>Interest Rate Swap (3.86%) thru Dec 2026</t>
  </si>
  <si>
    <t>Interest Rate Swap (3.76%) thru Dec 2026</t>
  </si>
  <si>
    <t>Interest Rate Swap (4.32%) thru Feb 2026</t>
  </si>
  <si>
    <t>Total Existing Hedges</t>
  </si>
  <si>
    <t>Rates, Spreads, and Interest</t>
  </si>
  <si>
    <t>LIBOR - 3 Month</t>
  </si>
  <si>
    <t>Spreads</t>
  </si>
  <si>
    <t>New Debt &amp; Refis</t>
  </si>
  <si>
    <t>Total Debt ex-Hedges and Cash</t>
  </si>
  <si>
    <t>Total Cash</t>
  </si>
  <si>
    <t>Rates</t>
  </si>
  <si>
    <t>Interest Costs</t>
  </si>
  <si>
    <t>Total Net Interest</t>
  </si>
  <si>
    <t>Paste Values</t>
  </si>
  <si>
    <t>Double Risk Case</t>
  </si>
  <si>
    <t>&gt;&gt; Begin decel from "LT Organic Growth Target of 8-10%"</t>
  </si>
  <si>
    <t xml:space="preserve">% Organic </t>
  </si>
  <si>
    <t>FY22e</t>
  </si>
  <si>
    <t>% Organic ex-M&amp;A, ex-FX</t>
  </si>
  <si>
    <t>NTM</t>
  </si>
  <si>
    <t>FCF yield</t>
  </si>
  <si>
    <t>Recurring FCF growth</t>
  </si>
  <si>
    <t>IRR proxy</t>
  </si>
  <si>
    <t>Silver Lake Returns Analysis</t>
  </si>
  <si>
    <t>$ (mm)</t>
  </si>
  <si>
    <t>Note</t>
  </si>
  <si>
    <t>Deal Size</t>
  </si>
  <si>
    <t>Sliver Lake Purchase of  FA Equity Interests</t>
  </si>
  <si>
    <t>Management Contribution of FA Equity Interest Purchase</t>
  </si>
  <si>
    <t>Total Deal Size</t>
  </si>
  <si>
    <t>Silver Lake Share Position</t>
  </si>
  <si>
    <t>Silver Lake Shares</t>
  </si>
  <si>
    <t>Silver Lake IPO Sales</t>
  </si>
  <si>
    <t>@ $14.03</t>
  </si>
  <si>
    <t>Silver Lake Secondary</t>
  </si>
  <si>
    <t>@ $19.30</t>
  </si>
  <si>
    <t>Silver Lake Remaining Shares</t>
  </si>
  <si>
    <t>Silver Lake Equity Return</t>
  </si>
  <si>
    <t>Silver Lake Equity Purchase</t>
  </si>
  <si>
    <t>FA Change in Net Debt from Predecessor to Successor</t>
  </si>
  <si>
    <t>Silver Lake Equity Returned at IPO</t>
  </si>
  <si>
    <t>Silver Lake Equity Returned at Secondary</t>
  </si>
  <si>
    <t>Silver Lake Outstanding Basis</t>
  </si>
  <si>
    <t>% of investment already returned</t>
  </si>
  <si>
    <t>Silver Lake Hypothetical MOIC</t>
  </si>
  <si>
    <t>Current Share Price</t>
  </si>
  <si>
    <t>Silver Lake Existing Equity Position</t>
  </si>
  <si>
    <t>Silver Lake Realized Proceeds</t>
  </si>
  <si>
    <t>Silver Lake Hypothetical MO</t>
  </si>
  <si>
    <t>Recession Historicals</t>
  </si>
  <si>
    <t>1Q07</t>
  </si>
  <si>
    <t>2Q07</t>
  </si>
  <si>
    <t>3Q07</t>
  </si>
  <si>
    <t>4Q07</t>
  </si>
  <si>
    <t>1Q08</t>
  </si>
  <si>
    <t>2Q08</t>
  </si>
  <si>
    <t>3Q08</t>
  </si>
  <si>
    <t>4Q08</t>
  </si>
  <si>
    <t>1Q09</t>
  </si>
  <si>
    <t>2Q09</t>
  </si>
  <si>
    <t>3Q09</t>
  </si>
  <si>
    <t>2006a</t>
  </si>
  <si>
    <t>2007a</t>
  </si>
  <si>
    <t>2008a</t>
  </si>
  <si>
    <t>LTM 9/08</t>
  </si>
  <si>
    <t>LTM 9/09</t>
  </si>
  <si>
    <t>Employer Services</t>
  </si>
  <si>
    <t>Data Services</t>
  </si>
  <si>
    <t>Multifamily Services</t>
  </si>
  <si>
    <t>Investigative and Litigation Support Services</t>
  </si>
  <si>
    <t>Corporate</t>
  </si>
  <si>
    <t>Credit Services</t>
  </si>
  <si>
    <t xml:space="preserve">  Total Revenues</t>
  </si>
  <si>
    <t>Employer Services segment includes employment background screening, occupational health services, tax incentive services and hiring solutions. Products and services relating to employment background screening include criminal records searches, employment and education verification, social security number verification and credit reporting. Occupational health services include drug-free workplace programs, physical examinations and employee assistance programs. Hiring solutions include applicant tracking software, recruiting services and outsourced management of payroll and human resource functions. Tax incentive services include services related to the administration of employment-based and location-based tax credit and incentive programs, and fleet asset management programs.</t>
  </si>
  <si>
    <t>The Data Services segment includes business lines that provide transportation credit reporting, motor vehicle record reporting, fleet management, criminal records reselling, specialty credit reporting, consumer credit reporting services, and lead generation services</t>
  </si>
  <si>
    <t>Multifamily Services segment includes resident screening and software services. Resident screening services include criminal background and eviction searches, credit reporting, employment verification and lease performance and payment histories</t>
  </si>
  <si>
    <t>Investigative and Litigation Support Services segment includes all investigative services. Products and services offered by the Investigative and Litigation Support Services segment include computer forensics, electronic discovery, due diligence reports and other high level investigations.</t>
  </si>
  <si>
    <t>Credit Services includes a Lender Services segment that offers lenders credit reporting solutions for mortgage and home equity needs, and a Dealer Services business segment that serves the automotive dealer marketplace by delivering consolidated consumer credit reports and automotive lead generation services</t>
  </si>
  <si>
    <t>Operating Profit Before Tax</t>
  </si>
  <si>
    <t xml:space="preserve">  Total Operating Profit Before Tax</t>
  </si>
  <si>
    <t>Depreciation &amp; Amortization</t>
  </si>
  <si>
    <t xml:space="preserve">  Total Depreciation &amp; Amortization</t>
  </si>
  <si>
    <t>Macro Drivers</t>
  </si>
  <si>
    <t>4Q22 Guide</t>
  </si>
  <si>
    <t>FY22 Guide</t>
  </si>
  <si>
    <t>Avg Employees ('000s)</t>
  </si>
  <si>
    <t>Revenue Build</t>
  </si>
  <si>
    <t>Hires per 1,000 Employee</t>
  </si>
  <si>
    <t>Screen per Hire</t>
  </si>
  <si>
    <t>Screens per 1,000 Employees</t>
  </si>
  <si>
    <t xml:space="preserve">Screens </t>
  </si>
  <si>
    <t>Revenue per Screen ($)</t>
  </si>
  <si>
    <t xml:space="preserve">Revenue </t>
  </si>
  <si>
    <t>Shares Outstanding</t>
  </si>
  <si>
    <t>Current</t>
  </si>
  <si>
    <t>Class A Shares</t>
  </si>
  <si>
    <t>Basic Common Shares Outstanding</t>
  </si>
  <si>
    <t>Stock Options</t>
  </si>
  <si>
    <t>Unvested RSUs</t>
  </si>
  <si>
    <t>Diluted Common Shares Outstanding</t>
  </si>
  <si>
    <t>Stock Options Outstanding</t>
  </si>
  <si>
    <t>Wtd. Avg. Exercise Price</t>
  </si>
  <si>
    <t>Treasury Stock Method Shares</t>
  </si>
  <si>
    <t>Unvested RSUs and Restricted Stock</t>
  </si>
  <si>
    <t>https://www.bls.gov/jlt/#data</t>
  </si>
  <si>
    <t>https://fred.stlouisfed.org/series/JTSHIL</t>
  </si>
  <si>
    <t>&lt;-- same data as BLS</t>
  </si>
  <si>
    <t>Job Openings and Labor Turnover Survey</t>
  </si>
  <si>
    <t>Original Data Value</t>
  </si>
  <si>
    <t>Series Id:</t>
  </si>
  <si>
    <t>JTS000000000000000HIL</t>
  </si>
  <si>
    <t>Seasonally adjusted</t>
  </si>
  <si>
    <t>Industry:</t>
  </si>
  <si>
    <t>Total nonfarm</t>
  </si>
  <si>
    <t>State/Region:</t>
  </si>
  <si>
    <t>Total US</t>
  </si>
  <si>
    <t>Area:</t>
  </si>
  <si>
    <t>All areas</t>
  </si>
  <si>
    <t>Data Element:</t>
  </si>
  <si>
    <t>Hires</t>
  </si>
  <si>
    <t>Size Class:</t>
  </si>
  <si>
    <t>All size classes</t>
  </si>
  <si>
    <t>Rate/Level:</t>
  </si>
  <si>
    <t>Level - In Thousands</t>
  </si>
  <si>
    <t>Years:</t>
  </si>
  <si>
    <t>2012 to 2022</t>
  </si>
  <si>
    <t>Year</t>
  </si>
  <si>
    <t>Jan</t>
  </si>
  <si>
    <t>Feb</t>
  </si>
  <si>
    <t>Mar</t>
  </si>
  <si>
    <t>Apr</t>
  </si>
  <si>
    <t>May</t>
  </si>
  <si>
    <t>Jun</t>
  </si>
  <si>
    <t>Jul</t>
  </si>
  <si>
    <t>Aug</t>
  </si>
  <si>
    <t>Sep</t>
  </si>
  <si>
    <t>Oct</t>
  </si>
  <si>
    <t>Nov</t>
  </si>
  <si>
    <t>Dec</t>
  </si>
  <si>
    <t>Q1</t>
  </si>
  <si>
    <t>Q2</t>
  </si>
  <si>
    <t>Q3</t>
  </si>
  <si>
    <t>Q4</t>
  </si>
  <si>
    <t>BLS Hires vs. FA</t>
  </si>
  <si>
    <t>3Q22e</t>
  </si>
  <si>
    <t>4Q22e</t>
  </si>
  <si>
    <t>Summary Financials</t>
  </si>
  <si>
    <t>BLS Hires (#)</t>
  </si>
  <si>
    <t>% Organic Growth</t>
  </si>
  <si>
    <t>BLS Hires Growth %</t>
  </si>
  <si>
    <t>FA Organic Revenue Growth %</t>
  </si>
  <si>
    <t>Calendar</t>
  </si>
  <si>
    <t>2019Q1</t>
  </si>
  <si>
    <t>2019Q2</t>
  </si>
  <si>
    <t>2019Q3</t>
  </si>
  <si>
    <t>2019Q4</t>
  </si>
  <si>
    <t>2020Q1</t>
  </si>
  <si>
    <t>2020Q2</t>
  </si>
  <si>
    <t>2020Q3</t>
  </si>
  <si>
    <t>2020Q4</t>
  </si>
  <si>
    <t>2021Q1</t>
  </si>
  <si>
    <t>2021Q2</t>
  </si>
  <si>
    <t>2021Q3</t>
  </si>
  <si>
    <t>2021Q4</t>
  </si>
  <si>
    <t>2022Q1</t>
  </si>
  <si>
    <t>2022Q2</t>
  </si>
  <si>
    <t>2019FY</t>
  </si>
  <si>
    <t>2020FY</t>
  </si>
  <si>
    <t>2021FY</t>
  </si>
  <si>
    <t>Fiscal</t>
  </si>
  <si>
    <t>Fiscal date</t>
  </si>
  <si>
    <t>Documents</t>
  </si>
  <si>
    <t>10-K</t>
  </si>
  <si>
    <t>10-Q</t>
  </si>
  <si>
    <t>8-K</t>
  </si>
  <si>
    <t>EX-99.1</t>
  </si>
  <si>
    <t>Guidance</t>
  </si>
  <si>
    <t>Adjusted net income (loss)</t>
  </si>
  <si>
    <t>Capital expenditure</t>
  </si>
  <si>
    <t>KPI</t>
  </si>
  <si>
    <t>Our customers</t>
  </si>
  <si>
    <t>Gross retention rate</t>
  </si>
  <si>
    <t>Our technology</t>
  </si>
  <si>
    <t>Core global platform</t>
  </si>
  <si>
    <t>Automated and/or integrated data providers</t>
  </si>
  <si>
    <t>Robotic process automation bots currently deployed</t>
  </si>
  <si>
    <t>Human capital management software integrations</t>
  </si>
  <si>
    <t>Records in proprietary databases</t>
  </si>
  <si>
    <t>Organic growth</t>
  </si>
  <si>
    <t>Acquisition-related growth</t>
  </si>
  <si>
    <t>Constant currency basis revenue</t>
  </si>
  <si>
    <t>Favorable FX impact on revenues</t>
  </si>
  <si>
    <t>Constant currency</t>
  </si>
  <si>
    <t>Revenues, as reported (GAAP)</t>
  </si>
  <si>
    <t>Foreign currency translation impact</t>
  </si>
  <si>
    <t>Revenues, constant currency adjusted</t>
  </si>
  <si>
    <t>Changes in revenue</t>
  </si>
  <si>
    <t>Change in existing customer revenues</t>
  </si>
  <si>
    <t>Change in revenue due to attributable to the Company's acquisitions in the Americas and International segments</t>
  </si>
  <si>
    <t>Changes in revenue due to attributable to new customers in both Americas and International segment</t>
  </si>
  <si>
    <t>Change in revenue due to attributable to acquisitions</t>
  </si>
  <si>
    <t>Change in revenue due to attributable to the UK screening business acquisition</t>
  </si>
  <si>
    <t>Segmental breakdown</t>
  </si>
  <si>
    <t>Total</t>
  </si>
  <si>
    <t>Geographical breakdown</t>
  </si>
  <si>
    <t>North America</t>
  </si>
  <si>
    <t>Total revenues</t>
  </si>
  <si>
    <t>Revenues- Predecessor</t>
  </si>
  <si>
    <t>Long-lived assets, net</t>
  </si>
  <si>
    <t>United States, country of domicile</t>
  </si>
  <si>
    <t>All other countries/ International</t>
  </si>
  <si>
    <t>Total long-lived assets, net</t>
  </si>
  <si>
    <t>Income statement</t>
  </si>
  <si>
    <t>Transaction expenses, change in control</t>
  </si>
  <si>
    <t>Basic net income (loss) per share</t>
  </si>
  <si>
    <t>Diluted net income (loss) per share</t>
  </si>
  <si>
    <t>Weighted average number of shares outstanding-basic</t>
  </si>
  <si>
    <t>Weighted average number of shares outstanding-diluted</t>
  </si>
  <si>
    <t>Income statement- Predecessor</t>
  </si>
  <si>
    <t>Selling general and administrative expense</t>
  </si>
  <si>
    <t>Other expenses:</t>
  </si>
  <si>
    <t>Loss on extinguishment of predecessor debt</t>
  </si>
  <si>
    <t>Basic net income (loss) per unit</t>
  </si>
  <si>
    <t>Diluted net income (loss) per unit</t>
  </si>
  <si>
    <t>Weighted average number of units outstanding basic</t>
  </si>
  <si>
    <t>Weighted average number of units outstanding diluted</t>
  </si>
  <si>
    <t>Balance sheet</t>
  </si>
  <si>
    <t>Current assets</t>
  </si>
  <si>
    <t>Cash and cash equivalents and restricted cash</t>
  </si>
  <si>
    <t>Liabilities</t>
  </si>
  <si>
    <t>Current liabilities</t>
  </si>
  <si>
    <t>Income tax payable</t>
  </si>
  <si>
    <t>Operating lease liability, less current portion</t>
  </si>
  <si>
    <t xml:space="preserve">Common stock </t>
  </si>
  <si>
    <t>Additional paid-in-capital</t>
  </si>
  <si>
    <t>Class A units</t>
  </si>
  <si>
    <t>Class B units</t>
  </si>
  <si>
    <t>Class C units</t>
  </si>
  <si>
    <t>Accumulated other comprehensive (loss)</t>
  </si>
  <si>
    <t>Cash flow statement</t>
  </si>
  <si>
    <t>Adjustments to reconcile net income (loss) to net cash provided by operating activities:</t>
  </si>
  <si>
    <t>Changes in operating assets and liabilities:</t>
  </si>
  <si>
    <t>Operating lease liabilities</t>
  </si>
  <si>
    <t>Income taxes receivable and payable, net</t>
  </si>
  <si>
    <t>Non-cash investing and financing activities:</t>
  </si>
  <si>
    <t>Capital lease obligations</t>
  </si>
  <si>
    <t>Offering costs included in accounts payable and accrued liabilities</t>
  </si>
  <si>
    <t>Property and equipment acquired on account</t>
  </si>
  <si>
    <t>Cash flow statement- Predecessor</t>
  </si>
  <si>
    <t>Share based compensation</t>
  </si>
  <si>
    <t>(Gain) on foreign currency exchange rates</t>
  </si>
  <si>
    <t>Loss on disposal of fixed assets</t>
  </si>
  <si>
    <t>Income taxes receivable and payable net</t>
  </si>
  <si>
    <t>Repayments of successor first lien credit facility</t>
  </si>
  <si>
    <t>Distributions to predecessor members and option holders</t>
  </si>
  <si>
    <t>Payments on capital lease obligations</t>
  </si>
  <si>
    <t>Non-cash property and equipment additions</t>
  </si>
  <si>
    <t>Distributions declared to option holders but not paid</t>
  </si>
  <si>
    <t>Net income (loss) margin</t>
  </si>
  <si>
    <t>Adjusted EBITDA margin</t>
  </si>
  <si>
    <t>Adjusted EBITDA- Predecessor</t>
  </si>
  <si>
    <t>Integration and restructuring charges</t>
  </si>
  <si>
    <t xml:space="preserve">GAAP to Non-GAAP </t>
  </si>
  <si>
    <t>Net income (loss) to adjusted net income (loss)</t>
  </si>
  <si>
    <t>Debt-related charges</t>
  </si>
  <si>
    <t>Acquisition-related depreciation and amortization</t>
  </si>
  <si>
    <t>Adjusted net income (loss) before income tax effect</t>
  </si>
  <si>
    <t>Adjusted net income (loss)- Predecessor</t>
  </si>
  <si>
    <t>Diluted net income per share (GAAP) to adjusted diluted earnings per share (Non-GAAP)</t>
  </si>
  <si>
    <t>Diluted net income (loss) per share (GAAP)</t>
  </si>
  <si>
    <t>Adjusted net income (loss) adjustments per share:</t>
  </si>
  <si>
    <t>Adjusted income taxes</t>
  </si>
  <si>
    <t>Adjusted diluted earnings per share (Non-GAAP)</t>
  </si>
  <si>
    <t>Weighted average number of shares outstanding used in computation of adjusted diluted earnings per share:</t>
  </si>
  <si>
    <t>Weighted average number of shares outstanding diluted (GAAP)</t>
  </si>
  <si>
    <t>Adjusted weighted average number of shares outstanding diluted (Non-GAAP)</t>
  </si>
  <si>
    <t>Weighted average number of shares outstanding diluted (GAAP &amp; Non-GAAP)</t>
  </si>
  <si>
    <t>Diluted net income per share (GAAP) to adjusted diluted earnings per share (Non-GAAP)- Predecessor</t>
  </si>
  <si>
    <t>Debt-related costs</t>
  </si>
  <si>
    <t>Property and equipment</t>
  </si>
  <si>
    <t>Furniture and equipment</t>
  </si>
  <si>
    <t>Capitalized software for internal use, acquired by business combination</t>
  </si>
  <si>
    <t>Capitalized software for internal use, developed internally or otherwise purchased</t>
  </si>
  <si>
    <t>Leasehold improvements</t>
  </si>
  <si>
    <t>Total property and equipment</t>
  </si>
  <si>
    <t>Less: Accumulated depreciation and amortization</t>
  </si>
  <si>
    <t>Other breakdown</t>
  </si>
  <si>
    <t>Outstanding shares</t>
  </si>
  <si>
    <t>Depreciation and amortization- Predecessor</t>
  </si>
  <si>
    <t>Depreciation and amortization expense of property and equipment</t>
  </si>
  <si>
    <t>Depreciation and amortization expense of property and equipment- Predecessor</t>
  </si>
  <si>
    <t>Amortization expense of trade name and customer lists</t>
  </si>
  <si>
    <t>Amortization expense of trade name and customer lists- Predecessor</t>
  </si>
  <si>
    <t>Cost of services</t>
  </si>
  <si>
    <t>Total share-based compensation expense</t>
  </si>
  <si>
    <t>Share-based compensation- Predecessor</t>
  </si>
  <si>
    <t>Deferred tax assets and liabilities</t>
  </si>
  <si>
    <t>Federal net operating loss carryforwards</t>
  </si>
  <si>
    <t>State net operating loss carryforwards</t>
  </si>
  <si>
    <t>Foreign net operating loss carryforwards</t>
  </si>
  <si>
    <t>Bad debt reserves</t>
  </si>
  <si>
    <t>Employee benefits</t>
  </si>
  <si>
    <t>Accrued expenses and loss reserves</t>
  </si>
  <si>
    <t>Interest subject to IRC section 163(j)</t>
  </si>
  <si>
    <t>Other deferred tax assets</t>
  </si>
  <si>
    <t>Depreciable and other amortizable assets</t>
  </si>
  <si>
    <t>Less valuation allowance</t>
  </si>
  <si>
    <t>Total deferred tax asset</t>
  </si>
  <si>
    <t>Trade name</t>
  </si>
  <si>
    <t>Other deferred liabilities</t>
  </si>
  <si>
    <t>Total deferred tax liability</t>
  </si>
  <si>
    <t>Net deferred tax liability</t>
  </si>
  <si>
    <t>Net operating loss carry forward</t>
  </si>
  <si>
    <t>Foreign</t>
  </si>
  <si>
    <t xml:space="preserve">Income (loss) before provision for income taxes </t>
  </si>
  <si>
    <t>Income (loss) before provision for income taxes from United States operations</t>
  </si>
  <si>
    <t>Income (loss) before provision for income taxes from foreign operations</t>
  </si>
  <si>
    <t>Net income (loss) before provision for income taxes</t>
  </si>
  <si>
    <t>Income (loss) before provision for income taxes- Predecessor</t>
  </si>
  <si>
    <t>Total current</t>
  </si>
  <si>
    <t>Deferred:</t>
  </si>
  <si>
    <t>Total deferred</t>
  </si>
  <si>
    <t xml:space="preserve">Provision for income taxes- Predecessor </t>
  </si>
  <si>
    <t>Deferred</t>
  </si>
  <si>
    <t>Effective tax rate</t>
  </si>
  <si>
    <t>U.S. federal statutory rate</t>
  </si>
  <si>
    <t>State and local income taxes net of federal tax benefits</t>
  </si>
  <si>
    <t>Foreign rate difference</t>
  </si>
  <si>
    <t>Change in valuation allowance</t>
  </si>
  <si>
    <t>GILTI inclusion</t>
  </si>
  <si>
    <t>Transaction cost</t>
  </si>
  <si>
    <t>Rate change impact</t>
  </si>
  <si>
    <t>Us research and development credit</t>
  </si>
  <si>
    <t>Withholding tax</t>
  </si>
  <si>
    <t>Effective rate</t>
  </si>
  <si>
    <t>Effective tax rate- Predecessor</t>
  </si>
  <si>
    <t>Lease costs</t>
  </si>
  <si>
    <t>Operating lease costs</t>
  </si>
  <si>
    <t>Fixed</t>
  </si>
  <si>
    <t>Short-term</t>
  </si>
  <si>
    <t>Variable</t>
  </si>
  <si>
    <t>Sub-leases</t>
  </si>
  <si>
    <t>Total operating lease costs</t>
  </si>
  <si>
    <t>Finance lease costs</t>
  </si>
  <si>
    <t>Amortization of leased assets</t>
  </si>
  <si>
    <t>Interest on lease liabilities</t>
  </si>
  <si>
    <t>Total finance lease costs</t>
  </si>
  <si>
    <t>Total lease cost</t>
  </si>
  <si>
    <t>Maturities of lease liabilities</t>
  </si>
  <si>
    <t>Finance leases/capital leases</t>
  </si>
  <si>
    <t>For the year 2021</t>
  </si>
  <si>
    <t>Remaining for the year 2022</t>
  </si>
  <si>
    <t>For the year 2022</t>
  </si>
  <si>
    <t>For the year 2023</t>
  </si>
  <si>
    <t>Total minimum lease payments</t>
  </si>
  <si>
    <t>Less: Imputed interest</t>
  </si>
  <si>
    <t>Present value of minimum lease payments</t>
  </si>
  <si>
    <t>Less: Current portion of capital lease liability</t>
  </si>
  <si>
    <t>Total long-term capital lease liability</t>
  </si>
  <si>
    <t>Operating leases</t>
  </si>
  <si>
    <t>For the year 2024</t>
  </si>
  <si>
    <t>For the year 2025</t>
  </si>
  <si>
    <t>For the year 2026</t>
  </si>
  <si>
    <t>Thereafter</t>
  </si>
  <si>
    <t>Trade name and customer lists</t>
  </si>
  <si>
    <t>Gross carrying value</t>
  </si>
  <si>
    <t>Customer lists</t>
  </si>
  <si>
    <t>Accumulated amortization</t>
  </si>
  <si>
    <t>Net carrying value</t>
  </si>
  <si>
    <t>Long-term debt</t>
  </si>
  <si>
    <t>First lien credit facility</t>
  </si>
  <si>
    <t>Second lien credit facility</t>
  </si>
  <si>
    <t>Total debt</t>
  </si>
  <si>
    <t>Less: Current portion of long-term debt</t>
  </si>
  <si>
    <t>Total long-term debt</t>
  </si>
  <si>
    <t>Less: Deferred financing costs</t>
  </si>
  <si>
    <t>Changes in cost of services</t>
  </si>
  <si>
    <t>Change in personnel related expenses</t>
  </si>
  <si>
    <t>Change in variable third-party data expenses</t>
  </si>
  <si>
    <t>Foreign currency exchange gains (loss)</t>
  </si>
  <si>
    <t>Change in travel-related expenses</t>
  </si>
  <si>
    <t>Changes in product &amp; technology expenses</t>
  </si>
  <si>
    <t xml:space="preserve">Change in personnel-related expenses </t>
  </si>
  <si>
    <t>Change in professional service fee expenses</t>
  </si>
  <si>
    <t>Change in personnel-related and professional service fee expenses</t>
  </si>
  <si>
    <t>Change in software licensing related expenses</t>
  </si>
  <si>
    <t>Change in third-party fees</t>
  </si>
  <si>
    <t>Changes in selling, general and administrative expenses</t>
  </si>
  <si>
    <t>Change in professional service fees and insurance expenses</t>
  </si>
  <si>
    <t>Change in share-based compensation expenses</t>
  </si>
  <si>
    <t>Change in commissions and bonus related expenses</t>
  </si>
  <si>
    <t>Change in legal expenses</t>
  </si>
  <si>
    <t>Change in travel and marketing related expenses</t>
  </si>
  <si>
    <t>Change in liability insurance related expenses</t>
  </si>
  <si>
    <t>Change in expenses related to litigation activities in the ordinary course of business</t>
  </si>
  <si>
    <t>First Advantage</t>
  </si>
  <si>
    <t>JPMorgan</t>
  </si>
  <si>
    <t>2019A</t>
  </si>
  <si>
    <t>2020A</t>
  </si>
  <si>
    <t>2021A</t>
  </si>
  <si>
    <t>2022E</t>
  </si>
  <si>
    <t>2023E</t>
  </si>
  <si>
    <t>2024E</t>
  </si>
  <si>
    <t>$ in millions</t>
  </si>
  <si>
    <t>2017A</t>
  </si>
  <si>
    <t>2018A</t>
  </si>
  <si>
    <t>1Q19A</t>
  </si>
  <si>
    <t>2Q19A</t>
  </si>
  <si>
    <t>3Q19A</t>
  </si>
  <si>
    <t>4Q19A</t>
  </si>
  <si>
    <t>1Q20A</t>
  </si>
  <si>
    <t>2Q20A</t>
  </si>
  <si>
    <t>3Q20A</t>
  </si>
  <si>
    <t>4Q20A</t>
  </si>
  <si>
    <t>1Q21A</t>
  </si>
  <si>
    <t>2Q21A</t>
  </si>
  <si>
    <t>3Q21A</t>
  </si>
  <si>
    <t>4Q21A</t>
  </si>
  <si>
    <t>1Q22A</t>
  </si>
  <si>
    <t>2Q22A</t>
  </si>
  <si>
    <t>3Q22E</t>
  </si>
  <si>
    <t>4Q22E</t>
  </si>
  <si>
    <t>1Q23E</t>
  </si>
  <si>
    <t>2Q23E</t>
  </si>
  <si>
    <t>3Q23E</t>
  </si>
  <si>
    <t>4Q23E</t>
  </si>
  <si>
    <t>1Q24E</t>
  </si>
  <si>
    <t>2Q24E</t>
  </si>
  <si>
    <t>3Q24E</t>
  </si>
  <si>
    <t>4Q24E</t>
  </si>
  <si>
    <t>Income Statement</t>
  </si>
  <si>
    <t>y/y growth</t>
  </si>
  <si>
    <t>y/y growth - M&amp;A</t>
  </si>
  <si>
    <t>y/y growth - organic</t>
  </si>
  <si>
    <t>y/y growth - FX</t>
  </si>
  <si>
    <t>y/y growth - organic, constant currency</t>
  </si>
  <si>
    <t>Seq. growth</t>
  </si>
  <si>
    <t>% of Revenues</t>
  </si>
  <si>
    <t>y/y bps</t>
  </si>
  <si>
    <t>Gross Margin</t>
  </si>
  <si>
    <t xml:space="preserve"> </t>
  </si>
  <si>
    <t>Adj. EBITDA (pre SBC) - Company Method</t>
  </si>
  <si>
    <t>Adj. EBITDA Margin (pre SBC) - Company Method</t>
  </si>
  <si>
    <t>Incremental margin</t>
  </si>
  <si>
    <t>Operating Income (pre SBC)</t>
  </si>
  <si>
    <t>Transaction and acquisition related charges</t>
  </si>
  <si>
    <t>Other non-recurring expense</t>
  </si>
  <si>
    <t>INCOME (LOSS) BEFORE PROVISION FOR INCOME TAXES</t>
  </si>
  <si>
    <t>Tax Rate</t>
  </si>
  <si>
    <t>NET INCOME (LOSS)</t>
  </si>
  <si>
    <t>NM</t>
  </si>
  <si>
    <t>Reconciliation of Net Income to Adj. Net Income</t>
  </si>
  <si>
    <t>ADJUSTED INCOME BEFORE TAXES</t>
  </si>
  <si>
    <t xml:space="preserve">Adjusted income taxes </t>
  </si>
  <si>
    <t>Adjusted Tax Rate</t>
  </si>
  <si>
    <t>ADJUSTED NET INCOME (pre SBC) - Company Method</t>
  </si>
  <si>
    <t>ADJUSTED EPS (pre SBC) - Company Method</t>
  </si>
  <si>
    <t>Diluted Shares Oustanding</t>
  </si>
  <si>
    <t>Adj. EBITDA - post SBC - JPM Method</t>
  </si>
  <si>
    <t>margin - post SBC</t>
  </si>
  <si>
    <t>Adj. Net Income - post SBC</t>
  </si>
  <si>
    <t>Adj. EPS - post SBC - JPM Method</t>
  </si>
  <si>
    <t>Short term investments</t>
  </si>
  <si>
    <t>Income taxes receivable</t>
  </si>
  <si>
    <t>Prepaid expenses &amp; other</t>
  </si>
  <si>
    <t>Fixed assets, net</t>
  </si>
  <si>
    <t>Goodwill, net</t>
  </si>
  <si>
    <t>Trademarks, net</t>
  </si>
  <si>
    <t>Deferred tax asset</t>
  </si>
  <si>
    <t>Accrued legal settlements</t>
  </si>
  <si>
    <t>Accrued interest</t>
  </si>
  <si>
    <t>ST capital leases</t>
  </si>
  <si>
    <t>Deferred income</t>
  </si>
  <si>
    <t>Income taxes payable &amp; Operating Lease Liablities</t>
  </si>
  <si>
    <t>Current portion of long term debt</t>
  </si>
  <si>
    <t>Deferred financing fees</t>
  </si>
  <si>
    <t>Long-term debt, net of deferred financing fees</t>
  </si>
  <si>
    <t>Total Liabilities &amp; Equity</t>
  </si>
  <si>
    <t>Check</t>
  </si>
  <si>
    <t>YTD</t>
  </si>
  <si>
    <t>Net Income (loss)</t>
  </si>
  <si>
    <t>Bad debt expense (recovery)</t>
  </si>
  <si>
    <t>(Gain) loss on foreign currency exchange rates</t>
  </si>
  <si>
    <t>(Gain) loss on disposal of fixed assets</t>
  </si>
  <si>
    <t>Change in Assets &amp; Liabilities</t>
  </si>
  <si>
    <t>Accounts Receivable</t>
  </si>
  <si>
    <t>Change in income tax accounts - net</t>
  </si>
  <si>
    <t>Net Cash Provided by Operating Activities</t>
  </si>
  <si>
    <t>Purchases of businesses, net of cash acquired</t>
  </si>
  <si>
    <t>Net Cash Used in Investing Activities</t>
  </si>
  <si>
    <t>Mandatory debt payments</t>
  </si>
  <si>
    <t>Optional debt pre-payment</t>
  </si>
  <si>
    <t>Distributions to predecessor members and optionholders</t>
  </si>
  <si>
    <t>Proceeds from borrowings</t>
  </si>
  <si>
    <t>Proceeds from stock issuance/option excercises</t>
  </si>
  <si>
    <t>Buybacks</t>
  </si>
  <si>
    <t>Net Cash Used in Financing Activities</t>
  </si>
  <si>
    <t>Effect of exchange rates on cash, cash equiv. &amp; restricted cash</t>
  </si>
  <si>
    <t>Beginning Cash</t>
  </si>
  <si>
    <t>Increase in cash, cash equiv. &amp; restricted cash</t>
  </si>
  <si>
    <t>Ending Cash</t>
  </si>
  <si>
    <t>Free Cash Flow</t>
  </si>
  <si>
    <t>FCF conversion</t>
  </si>
  <si>
    <t>Supporting drivers</t>
  </si>
  <si>
    <t xml:space="preserve">M&amp;A: GBG (closed 3/31/21) &amp; Others </t>
  </si>
  <si>
    <t>Multi-Latin (closed 11/30/21)</t>
  </si>
  <si>
    <t>Corporate Screening Services (closed 11/30/21)</t>
  </si>
  <si>
    <t>M&amp;A: Form I-9 (acquired 1/11/22)</t>
  </si>
  <si>
    <t>M&amp;A Total</t>
  </si>
  <si>
    <t>Capex - PP&amp;E</t>
  </si>
  <si>
    <t>Capex - software</t>
  </si>
  <si>
    <t>Capex - total</t>
  </si>
  <si>
    <t>D&amp;A - acq-related total</t>
  </si>
  <si>
    <t>D&amp;A - acq-related to trade name and customer lists (per FN6 of AFS)</t>
  </si>
  <si>
    <t>D&amp;A - acq-related from amort of step-up in capitalized software</t>
  </si>
  <si>
    <t>D&amp;A - operational</t>
  </si>
  <si>
    <t>D&amp;A - total</t>
  </si>
  <si>
    <t>D&amp;A - % of revs</t>
  </si>
  <si>
    <t>Beginning fixed assets</t>
  </si>
  <si>
    <t>D&amp;A - amort of step up in capitalized software</t>
  </si>
  <si>
    <t>Ending fixed assets</t>
  </si>
  <si>
    <t xml:space="preserve">Ck. </t>
  </si>
  <si>
    <t>DSOs</t>
  </si>
  <si>
    <t>Prepaid % of revs</t>
  </si>
  <si>
    <t>Accrued comp % of revs</t>
  </si>
  <si>
    <t>Accrued liabilities % of revs</t>
  </si>
  <si>
    <t>LTM EBITDA</t>
  </si>
  <si>
    <t>Net Debt/LTM EBITDA</t>
  </si>
  <si>
    <t>Debt issued/(paid)</t>
  </si>
  <si>
    <t>Interest Rate</t>
  </si>
  <si>
    <t>Gross leverage</t>
  </si>
  <si>
    <t>% Growth - Organic CC</t>
  </si>
  <si>
    <t>允䅁䍁䅁䅁䍁䅁䅁䅁䥁䅁䅁杄䅁䍁䅍兒卂䙁䅉睔卂䅁䅁兄䅁䍁䅧䅁橁䕁䅫杔坂䕁䅅䅔䩂䕁䅑䅉䑂䕁䄸兔兂䕁䅅杔婂䍁䅁兓䕂䅁䅁睈䅁䅁䅷䅁橁䙁䅁兒佂䕁䅑䅁偁䅁䅁䅅䅁䍁䅑兒噂䙁䅉兑䙂䕁䅑䅁坁䅁䅁䅅䅁䍁䅑兒噂䙁䅉睑䥂䕁䅙䅁奁䅁䅁䅅䅁䍁䅑兒噂䙁䅉睑佂䙁䅫䅁十䅁䅁䅅䅁䍁䅑兒噂䙁䅉睒䍂䙁䅁䅁塁䅁䅁䅅䅁䍁䅑兒噂䙁䅉䅓䱂䕁䅑䅁呁䅁䅁䅅䅁䍁䅑兒噂䙁䅉杓兂䙁䅫䅁剁䅁䅁䅅䅁䍁䅑兒噂䙁䅉杕䍂䕁䅷䅁啁䅁䅁䅅䅁䍁䅑兒噂䙁䅉杕噂䕁䅉䅁婁䅁䅁䅅䅁䍁䅑兒噂䙁䅉兖呂䕁䅑䅁允䅁䅁䅅䅁䍁䅑兖呂䕁䅑兑噂䕁䅑䅁䑁䅁䅁䅅䅁䍁䅑兖呂䕁䅑睑䉂䕁䅑䅁䙁䅁䅁䅅䅁䍁䅑兖呂䕁䅑兒噂䙁䅉䅁䅁䅁䅁䅅䅁䍁䅑兖呂䕁䅑睒䍂䙁䅁䅁䍁䅁䅁䅅䅁䍁䅑兖呂䕁䅑䅓䱂䕁䅑䅁䵁䅁䅁䅅䅁䍁䅑兖呂䕁䅑兓佂䙁䅉䅁䱁䅁䅁䅅䅁䍁䅑兖呂䕁䅑兖呂䕁䅑䅁扁䅁䅁杋䅁䍁䅧兓畂䡁䅙兙獂䝁䅫䅚杁䕁䅫䅚求䝁䄴䅤灂䝁䅙兡求䡁䅉克䅁䉁䅕䅁十䅁䅁免癁䑁䅅睌祁䑁䅁免㑁䅁䅁䅂䅁䉁䅙䅁硁䑁䅉睌穁䑁䅅睌祁䑁䅁䅍㕁䅁䅁䅈䅁䉁䅙䅁硁䑁䅉睌穁䑁䅅睌祁䑁䅁杍祁䅁䅁杂䅁䉁䅑䅁㉁䍁䄸睍睁䍁䄸杍睁䑁䅉杍䅁䅁䅣䅁䝁䅁䅁杒䉂䅁䅁元䅁䍁䅁䅁䝂䕁䅅䅉瑁䍁䅁睕あ䝁䅅杢歂䝁䅅䅢療䝁䄴党䅁䉁䄰䅁楁䅁䅁兓剂䙁䄸䅔䉂䙁䅍䅖呂䕁䅅䅔䙂䙁䅁杕䩂䕁䅍兒䅁䅁䅯䅁䝁䅁䅁杔䉂䅁䅁杄䅁䉁䅧䅁佂䕁䅅睕䕂䕁䅅兕㙁䙁䅍䅖䙂䙁䅉䅁慁䅁䅁杈䅁䙁䅍䅕時䙁䅁杕䩂䕁䅍兒時䕁䅍䅔偂䙁䅍兒䅁䉁䄴䅁楁䅁䅁兡硂䙁䄸䅢桂䡁䅍䅤穂䝁䅅䅢求䡁䅁杣灂䝁䅍党䅁䅁䅅䅁牂允䅁䍄䉁䅁䅁兂䅁䅁䅍杚䅁䅁䅯杇䅁䅁䅯权䅁䅁䅕䅁䅁䵁㉃唵䙁䅁䅁䅁杁畷䅖允䅁䅁䅅䅁䭁䉁䅕䅁䵁䅉䅅䅁䙁䅁䅁睁湂䅁䅁权䍁䅁䅁权䉁䅁䅁兂䅁䅁䅁䕧汔䅑䅕䅁䅁䵁偂唵䉁䅁䅁允䅁䅁䅕⽅㝮㉙兇䐹䴸䅉䅅䅁䙁䅁䅁睁湂䅁䅁权䵁䅁䅁权䉁䅁䅁权䕁䅁䅁兂䅁䅁䅁䑉汮䅑䅅䅁䉁䅁䅁兂敄电剰䘯䅔睐杷允䅁䅁䅕䅁䑁䝁䅣䅁䭁䅁䅉䅁䭁䅁䅅䅁䙁䅁䅁䅁䅂敏䅖兂䅁䅁䅁䕙汔䅑䅅䅁䉁䅁䅁兂扁乸㥫摅じ睐杷允䅁䅁䅕䅁䑁䝁䅣䅁䭁䅁䅉䅁䭁䅁䅅䅁䙁䅁䅁䅁䅃敺䅖权䡁䅁䅁允䅁䅁䅅䅁䙁䍁潢椫瘸⽇⽑䍄䉁䅁䅁兂䅁䅁䅍睚䅁䅁䅯睃䅁䅁䅯允䅁䅁䅕䅁䅁佁浂唵䙁䅁䅁䅁杁畣䅖允䅁䅁䅅䅁䙁䙁塬焳义㑑⽷䍄䉁䅁䅁兂䅁䅁䅍睚䅁䅁䅯䅁䅁䅁䅯允䅁䅁䅕䅁䅁䭁㥂唵䙁䅁䅁䅁䅁敩䅖允䅁䅁䅅䅁䙁䍁嘹⬲眷⽳⽉䍄䉁䅁䅁兂䅁䅁䅍睚䅁䅁䅯䅄䅁䅁䅯允䅁䅁䅕䅁䅁佁浂唵䙁䅁䅁䅁杁畣䅖允䅁䅁䅅䅁䙁乁䙸㙳奮䵥⽁䍄䉁䅁䅁兂䅁䅁䅍睚䅁䅁䅯杁䅁䅁䅯允䅁䅁䅕䅁䅁佁浂唵䙁䅁䅁䅁杁畣䅖允䅁䅁䅅䅁䙁䵁䉌煉祰晦⽑䍄䉁䅁䅁兂䅁䅁䅍睚䅁䅁䅯杁䅁䅁䅯允䅁䅁䅕䅁䅁佁晃唵䙁䅁䅁䅁杁⭱䅖允䅁䅁䅅䅁䙁䑁煘潮偃偘⽙䍄䉁䅁䅁兂䅁䅁䅍睚䅁䅁䅯䅄䅁䅁䅯允䅁䅁䅕䅁䅁䥁摁欵䙁䅁䅁䅁䅄佋䅚允䅁䅁䅅䅁䙁䵁䱅䕧估獘⽁䍄䉁䅁䅁兂䅁䅁䅍睚䅁䅁䅯睃䅁䅁䅯允䅁䅁䅕䅁䅁䵁㉃唵䙁䅁䅁䅁杁畷䅖允䅁䅁䅅䅁䙁䩁即癲䙙䥖⽳䍄䉁䅁䅁兂䅁䅁䅍杚䅁䅁䅯杇䅁䅁䅯权䅁䅁䅕䅁䅁䅁敄䔵䙁䅁䅁䅁杁收䅒允䅁䅁䅅䅁䭁䉁䅕䅁䵁䅉䅅䅁䙁䅁䅁睁湂䅁䅁权䅁䅁䅁权䉁䅁䅁兂䅁䅁䅁临汪䅑䅕䅁䅁䝁歄唵䉁䅁䅁允䅁䅁䅕浨杄䡅晕䐸䴸䅉䅅䅁䙁䅁䅁睁湂䅁䅁权䱁䅁䅁权䉁䅁䅁兂䅁䅁䅁䡑汌䅑䅕䅁䅁䥁㥂唵䉁䅁䅁允䅁䅁䅕䐹㝢䵑㡐橩䴸䅉䅅䅁䙁䅁䅁睁浂䅁䅁权慁䅁䅁权䭁䅁䅁兂䅁䅁䅁䙙汶䅑䅕䅁䅁䵁浂唵䉁䅁䅁允䅁䅁䅯兆䅁䅁杷允䅁䅁䅕䅁䑁䝁䅣䅁䭁䅁䅳䅁䭁䅁䅅䅁䭁䅁䅧䅁䭁䅁䅧䅁䉁䅁䅁允䅁䅁䅕併䰫歋硦穨䴸䅉䅅䅁䙁䅁䅁睁湂䅁䅁权䵁䅁䅁权䉁䅁䅁兂䅁䅁䅁伴氯䅑䅕䅁䅁䅁㝄唵䉁䅁䅁允䅁䅁䅕吵癧䵉啚䑷䴸䅉䅅䅁䙁䅁䅁睁湂䅁䅁权䍁䅁䅁权䉁䅁䅁兂䅁䅁䅁䭑汶䅑䅕䅁䅁䭁㉃唵䉁䅁䅁允䅁䅁䅕潏煔娯乫樹䴸䅉䅅䅁䙁䅁䅁睁湂䅁䅁权䵁䅁䅁权䉁䅁䅁兂䅁䅁䅁䜴汢䅑䅕䅁䅁䥁啃唵䉁䅁䅁允䅁䅁䅕䅡摰搶䅇䑷䴸䅉䅅䅁䙁䅁䅁睁湂䅁䅁权䅁䅁䅁权䉁䅁䅁兂䅁䅁䅁䉧洳䅑䅕䅁䅁䵁潁欵䉁䅁䅁允䅁䅁䅕浐塏䥗攱吸䴸䅉䅅䅁䙁䅁䅁睁湂䅁䅁权䍁䅁䅁权䉁䅁䅁兂䅁䅁䅁䔴氯䅑䅕䅁䅁䍁扂唵䉁䅁䅁允䅁䅁䅕浹⭁八㘫稸䴸䅉䅅䅁䙁䅁䅁睁浂䅁䅁权慁䅁䅁权䭁䅁䅁兂䅁䅁䅁䩯汔䅑䅕䅁䅁䵁晃唵䉁䅁䅁允䅁䅁䅯兆䅁䅁杷允䅁䅁䅕䅁䑁䝁䅙䅁䭁䉁䅯䅁䭁䅁䅯䅁䙁䅁䅁䅁䅃效䅚兂䅁䅁䅁䍷浪䅑䅅䅁䉁䅁䅁权噁䅁䅁䍄䉁䅁䅁兂䅁䅁䅍睚䅁䅁䅯䅁䅁䅁䅯允䅁䅁䅕䅁䅁䍁䩃唵䙁䅁䅁䅁䅃佬䅖允䅁䅁䅅䅁䙁䩁祮㐫䅍晆⽍䍄䉁䅁䅁兂䅁䅁䅍睚䅁䅁䅯睇䅁䅁䅯权䅁䅁䅕䅁䅁䵁㉃唵䙁䅁䅁䅁杁畷䅖允䅁䅁䅅䅁䙁䅁䅁䅁䅁偁⽁䍄䉁䅁䅁兂䅁䅁䅍睚䅁䅁䅯䅁䅁䅁䅯允䅁䅁䅕䅁䅁䥁乄唵䭁䅁䅣䅁䉁䅁䅁允䅁䅁䅕歁潰婑䭕吸䴸䅉䅅䅁䙁䅁䅁睁湂䅁䅁权䱁䅁䅁权䉁䅁䅁兂䅁䅁䅁䅧浢䅑䅕䅁䅁佁剁欵䉁䅁䅁允䅁䅁䅕䉗奉㠴䙘䑩䴸䅉䅅䅁䙁䅁䅁睁湂䅁䅁权䍁䅁䅁权䉁䅁䅁兂䅁䅁䅁䑧洯䅑䅕䅁䅁䭁⽁欵䉁䅁䅁允䅁䅁䅕㌸塙ㅎ硒吹䴸䅉䅅䅁䙁䅁䅁睁湂䅁䅁权䱁䅁䅁权䉁䅁䅁兂䅁䅁䅁䡯氳䅑䅕䅁䅁䅁䩃唵䉁䅁䅁允䅁䅁䅕㕂㉪睦之穩䴸䅉䅅䅁䙁䅁䅁睁湂䅁䅁权慁䅁䅁权䭁䅁䅁兂䅁䅁䅁䱑歄䅑䅕䅁䅁䥁㝃䔵䉁䅁䅁允䅁䅁䅯兆䅁䅁杷允䅁䅁䅕䅁䑁䝁䅣䅁䭁䅁䅁䅁䭁䅁䅅䅁䙁䅁䅁䅁权佬䅖兂䅁䅁䅁䩷氯䅑䅅䅁䉁䅁䅁兂㍂愳㤳䕶穪睐杷允䅁䅁䅕䅁䑁䝁䅣䅁䭁䅁䅳䅁䭁䅁䅅䅁䙁䅁䅁䅁䅃敺䅖权䡁䅁䅁允䅁䅁䅅䅁䙁䭁湮栴乘㑨⽯䍄䉁䅁䅁兂䅁䅁䅍睚䅁䅁䅯睃䅁䅁䅯允䅁䅁䅕䅁䅁䝁歄唵䭁䅁䅙䅁䉁䅁䅁允䅁䅁䅕⭒㙫癵瘯䑩䴸䅉䅅䅁䙁䅁䅁睁湂䅁䅁权慁䅁䅁权䭁䅁䅁兂䅁䅁䅁䍷氳䅑䅕䅁䅁䍁㕁唵䉁䅁䅁允䅁䅁䅯兆䅁䅁杷允䅁䅁䅕䅁䑁䝁䅣䅁䭁䅁䅁䅁䭁䅁䅅䅁䙁䅁䅁䅁杄畚䅖兂䅁䅁䅁䡉汌䅑䅅䅁䉁䅁䅁兂ぃ䜱⽥䭉硐睐杷允䅁䅁䅕䅁䑁䝁䅣䅁䭁䅁䅁䅁䭁䅁䅅䅁䙁䅁䅁䅁杄⭮䅖兂䅁䅁䅁䭉汶䅑䅅䅁䉁䅁䅁兂浄圴瑪で穢睐杷允䅁䅁䅕䅁䑁䝁䅣䅁䭁䅁䅉䅁䭁䅁䅅䅁䙁䅁䅁䅁䅂⭗䅖兂䅁䅁䅁䝷汢䅑䅅䅁䉁䅁䅁兂䅂佲瘯灔の睐杷允䅁䅁䅕䅁䑁䝁䅙䅁䭁䉁䅯䅁䭁䅁䅯䅁䙁䅁䅁䅁杂⭊䅒兂䅁䅁䅁䘴歔䅑䅅䅁䉁䅁䅁权噁䅁䅁䍄䉁䅁䅁兂䅁䅁䅍睚䅁䅁䅯䅁䅁䅁䅯允䅁䅁䅕䅁䅁䕁䍄唵䙁䅁䅁䅁杂敺䅖允䅁䅁䅅䅁䙁䕁䕤㉐㑍昹⽅䍄䉁䅁䅁兂䅁䅁䅍睚䅁䅁䅯杁䅁䅁䅯允䅁䅁䅕䅁䅁䕁祂唵䙁䅁䅁䅁䅃敦䅖允䅁䅁䅅䅁䙁佁䝰晳⭔瘲⽍䍄䉁䅁䅁兂䅁䅁䅍睚䅁䅁䅯䅄䅁䅁䅯允䅁䅁䅕䅁䅁䭁啃唵䙁䅁䅁䅁杁畷䅖允䅁䅁䅅䅁䙁偁睄䥙䑐㡤⽁䍄䉁䅁䅁兂䅁䅁䅍杚䅁䅁䅯杇䅁䅁䅯权䅁䅁䅕䅁䅁䥁摁欵䙁䅁䅁䅁杁⭓䅚允䅁䅁䅅䅁䭁䉁䅕䅁䵁䅉䅅䅁䙁䅁䅁睁湂䅁䅁权䍁䅁䅁权䉁䅁䅁兂䅁䅁䅁余汔䅑䅯杂䅁䅁䅅䅁䉁䅁䅁兂⽄㐸啹䵆祪睐杷允䅁䅁䅕䅁䑁䝁䅣䅁䭁䉁䅳䅁䭁䅁䅯䅁䙁䅁䅁䅁杂⭊䅒兂䅁䅁䅁䘴歔䅑䅅䅁䉁䅁䅁兂䅁䅁䅁䅁睄睐杷允䅁䅁䅕䅁䑁䝁䅣䅁䭁䅁䅳䅁䭁䅁䅅䅁䙁䅁䅁䅁杄伲䅖兂䅁䅁䅁余汔䅑䅅䅁䉁䅁䅁兂婄剮䝕愱䩹睐杷允䅁䅁䅕䅁䑁䝁䅣䅁䭁䅁䅁䅁䭁䅁䅅䅁䙁䅁䅁䅁杁⬫䅖兂䅁䅁䅁䅙浢䅑䅅䅁䉁䅁䅁兂乂䅶敍浥硲睐杷允䅁䅁䅕䅁䑁䝁䅣䅁䭁䅁䅉䅁䭁䅁䅅䅁䙁䅁䅁䅁权敦䅖兂䅁䅁䅁䥁汮䅑䅅䅁䉁䅁䅁兂睁扑瑌㘲ひ睐杷允䅁䅁䅕䅁䑁䝁䅣䅁䭁䅁䅁䅁䭁䅁䅅䅁䙁䅁䅁䅁杂伵䅖权䝁䅁䅁允䅁䅁䅅䅁䙁䱁浸栴䜵⽖⽁䍄䉁䅁䅁兂䅁䅁䅍睚䅁䅁䅯杁䅁䅁䅯允䅁䅁䅕䅁䅁䍁䩃唵䙁䅁䅁䅁䅃佬䅖允䅁䅁䅅䅁䙁䡁呵煋嘰⽉⽕䍄䉁䅁䅁兂䅁䅁䅍睚䅁䅁䅯杁䅁䅁䅯允䅁䅁䅕䅁䅁䭁啃唵䙁䅁䅁䅁䅄⭮䅖允䅁䅁䅅䅁䙁䙁祶汚噃癄⽙䍄䉁䅁䅁兂䅁䅁䅍杚䅁䅁䅯杇䅁䅁䅯权䅁䅁䅕䅁䅁佁㑂欵䙁䅁䅁䅁杂異䅚允䅁䅁䅅䅁䭁䉁䅕䅁䵁䅉䅅䅁䙁䅁䅁睁湂䅁䅁权䍁䅁䅁权䉁䅁䅁兂䅁䅁䅁䉁浌䅑䅕䅁䅁䝁摁欵䉁䅁䅁允䅁䅁䅕呵䕒⽹敦稸䴸䅉䅅䅁䙁䅁䅁睁湂䅁䅁权䅁䅁䅁权䉁䅁䅁兂䅁䅁䅁䑑汮䅑䅕䅁䅁䝁䕂唵䉁䅁䅁允䅁䅁䅕卉敫砲牷樸䴸䅉䅅䅁䙁䅁䅁睁湂䅁䅁权䅁䅁䅁权䉁䅁䅁兂䅁䅁䅁䑑汮䅑䅕䅁䅁䵁浂唵䉁䅁䅁允䅁䅁䅕䍧㘲䥧灐吸䴸䅉䅅䅁䙁䅁䅁睁湂䅁䅁权扁䅁䅁权䭁䅁䅁兂䅁䅁䅁䍑汌䅑䅕䅁䅁䭁瑁唵䉁䅁䅁允䅁䅁䅕䅁䅁䅁䅁䐸䴸䅉䅅䅁䙁䅁䅁睁湂䅁䅁权䍁䅁䅁权䉁䅁䅁兂䅁䅁䅁䱷汢䅑䅕䅁䅁䍁䍄唵䉁䅁䅁允䅁䅁䅕摷䥃煂則吹䴸䅉䅅䅁䙁䅁䅁睁湂䅁䅁权䅁䅁䅁权䉁䅁䅁兂䅁䅁䅁䭑汶䅑䅕䅁䅁䭁㉃唵䉁䅁䅁允䅁䅁䅕偏稯佴换樸䴸䅉䅅䅁䙁䅁䅁睁湂䅁䅁权䍁䅁䅁权䉁䅁䅁兂䅁䅁䅁䵑汌䅑䅕䅁䅁䝁乄唵䉁䅁䅁允䅁䅁䅕㕊挫䍘㑖吹䴸䅉䅅䅁䙁䅁䅁睁湂䅁䅁权䅁䅁䅁权䉁䅁䅁兂䅁䅁䅁䔴氯䅑䅕䅁䅁䍁扂唵䉁䅁䅁允䅁䅁䅕唶桒㡲䭦吸䴸䅉䅅䅁䙁䅁䅁睁湂䅁䅁权䍁䅁䅁权䉁䅁䅁兂䅁䅁䅁伴氯䅑䅕䅁䅁䅁㝄唵䉁䅁䅁允䅁䅁䅕䕈䱊档畖稸䴸䅉䅅䅁䙁䅁䅁睁湂䅁䅁权䅁䅁䅁权䉁䅁䅁兂䅁䅁䅁䜴汢䅑䅕䅁䅁䥁啃唵䉁䅁䅁允䅁䅁䅕㍫㈰灹䑒樸䴸䅉䅅䅁䙁䅁䅁睁湂䅁䅁权䍁䅁䅁权䉁䅁䅁兂䅁䅁䅁临汪䅑䅕䅁䅁䝁歄唵䉁䅁䅁允䅁䅁䅕牐呹䱨啪樸䴸䅉䅅䅁䙁䅁䅁睁湂䅁䅁权䅁䅁䅁权䉁䅁䅁兂䅁䅁䅁䑑浔䅑䅕䅁䅁䭁⽁欵䉁䅁䅁允䅁䅁䅕⭃婐乘噡吸䴸䅉䅅䅁䙁䅁䅁睁湂䅁䅁权䍁䅁䅁权䉁䅁䅁兂䅁䅁䅁䉧洳䅑䅕䅁䅁䵁潁欵䉁䅁䅁允䅁䅁䅕樷獄⭂䨵䐹䴸䅉䅅䅁䙁䅁䅁睁湂䅁䅁权䅁䅁䅁权䉁䅁䅁兂䅁䅁䅁䱷汢䅑䅕䅁䅁䍁䍄唵䉁䅁䅁允䅁䅁䅕䕊ㅎび䴹樸䴸䅉䅅䅁䙁䅁䅁睁湂䅁䅁权䱁䅁䅁权䉁䅁䅁兂䅁䅁䅁伴氯䅑䅕䅁䅁䅁㝄唵䉁䅁䅁允䅁䅁䅕焳渶剭牌䑩䴸䅉䅅䅁䙁䅁䅁睁湂䅁䅁权䍁䅁䅁权䉁䅁䅁兂䅁䅁䅁偉汶䅑䅕䅁䅁䝁䝁欵䉁䅁䅁允䅁䅁䅕㡵啴硱䡣䐹䴸䅉䅅䅁䙁䅁䅁睁湂䅁䅁权慁䅁䅁权䭁䅁䅁兂䅁䅁䅁䡯氳䅑䅕䅁䅁䅁䩃唵䉁䅁䅁允䅁䅁䅯兆䅁䅁杷允䅁䅁䅕䅁䑁䝁䅣䅁䭁䅁䅳䅁䭁䅁䅅䅁䙁䅁䅁䅁䅂⭗䅖兂䅁䅁䅁䝷汢䅑䅅䅁䉁䅁䅁兂剄灩䅙獷䵋睐杷允䅁䅁䅕䅁䑁䝁䅣䅁䭁䅁䅳䅁䭁䅁䅅䅁䙁䅁䅁䅁䅃效䅚兂䅁䅁䅁䍷浪䅑䅅䅁䉁䅁䅁兂䑃瀹摊煷䥭睐杷允䅁䅁䅕䅁䑁䝁䅣䅁䭁䉁䅯䅁䭁䅁䅯䅁䙁䅁䅁䅁䅁申䅒兂䅁䅁䅁䅧汶䅑䅅䅁䉁䅁䅁权噁䅁䅁䍄䉁䅁䅁兂䅁䅁䅍睚䅁䅁䅯䅄䅁䅁䅯允䅁䅁䅕䅁䅁䕁䍄唵䙁䅁䅁䅁杂敺䅖允䅁䅁䅅䅁䙁䝁汧䝱灬獚⽁䍄䉁䅁䅁兂䅁䅁䅍睚䅁䅁䅯䅄䅁䅁䅯允䅁䅁䅕䅁䅁䥁⽁欵䙁䅁䅁䅁权⭐䅚允䅁䅁䅅䅁䙁䵁䅫卪浩䵥⽁䍄䉁䅁䅁兂䅁䅁䅍睚䅁䅁䅯杁䅁䅁䅯允䅁䅁䅕䅁䅁䥁䝁欵䙁䅁䅁䅁杄故䅚允䅁䅁䅅䅁䙁䅁偪㉋䈵癑⽑䍄䉁䅁䅁兂䅁䅁䅍睚䅁䅁䅯䅄䅁䅁䅯允䅁䅁䅕䅁䅁䅁十欵䙁䅁䅁䅁杂效䅚允䅁䅁䅅䅁䙁䕁畯灐噊捙⽁䍄䉁䅁䅁兂䅁䅁䅍党䅁䅁䅯杇䅁䅁䅯权䅁䅁䅕䅁䅁佁癄唵䙁䅁䅁䅁杂效䅚允䅁䅁䅅䅁䭁䉁䅕䅁䵁䅉䅅䅁䙁䅁䅁睁湂䅁䅁权䱁䅁䅁权䉁䅁䅁兂䅁䅁䅁䥉汮䅑䅕䅁䅁䥁啃唵䉁䅁䅁允䅁䅁䅕㕩汏䰹䄳穩䴸䅉䅅䅁䙁䅁䅁睁湂䅁䅁权慁䅁䅁权䭁䅁䅁兂䅁䅁䅁䅯汶䅑䅕䅁䅁䍁㕁唵䉁䅁䅁允䅁䅁䅯兆䅁䅁杷允䅁䅁䅕䅁䑁䝁䅣䅁䭁䅁䅁䅁䭁䅁䅅䅁䙁䅁䅁䅁䅃佒䅖兂䅁䅁䅁䕷氯䅑䅅䅁䉁䅁䅁兂睂穤慓晏硶睐杷允䅁䅁䅕䅁䑁䝁䅣䅁䭁䅁䅳䅁䭁䅁䅅䅁䙁䅁䅁䅁䅄⭐䅚兂䅁䅁䅁䙧浺䅑䅅䅁䉁䅁䅁兂䑂䅱楧癋䡡睐杷允䅁䅁䅕䅁䑁䝁䅣䅁䭁䅁䅁䅁䭁䅁䅅䅁䙁䅁䅁䅁䅂⭗䅖兂䅁䅁䅁䝷汢䅑䅅䅁䉁䅁䅁兂㑄浄氳扸硢睐杷允䅁䅁䅕䅁䑁䝁䅣䅁䭁䅁䅁䅁䭁䅁䅅䅁䙁䅁䅁䅁䅂畣䅖兂䅁䅁䅁䡧氳䅑䅅䅁䉁䅁䅁兂煃⭯㝗㕴砷睐杷允䅁䅁䅕䅁䑁䝁䅙䅁䭁䉁䅯䅁䭁䅁䅯䅁䙁䅁䅁䅁䅂⭓䅚兂䅁䅁䅁䡷浪䅑䅅䅁䉁䅁䅁权噁䅁䅁䍄䉁䅁䅁兂䅁䅁䅍睚䅁䅁䅯䅁䅁䅁䅯允䅁䅁䅕䅁䅁佁癄唵䙁䅁䅁䅁䅁⬫䅖允䅁䅁䅅䅁䙁䍁児汍䉮偋⽅䍄䉁䅁䅁兂䅁䅁䅍党䅁䅁䅯杇䅁䅁䅯权䅁䅁䅕䅁䅁䕁睃䔵䙁䅁䅁䅁杄攳䅒允䅁䅁䅅䅁䭁䉁䅕䅁䵁䅉䅅䅁䙁䅁䅁睁求䅁䅁权慁䅁䅁权䭁䅁䅁兂䅁䅁䅁䱷汢䅑䅕䅁䅁䍁䍄唵䉁䅁䅁允䅁䅁䅯兆䅁䅁杷允䅁䅁䅕䅁䑁䝁䅣䅁䭁䅁䅁䅁䭁䅁䅅䅁䙁䅁䅁䅁䅃畂䅚兂䅁䅁䅁䈴浈䅑䅅䅁䉁䅁䅁兂䍁坆浧浕硲睐杷允䅁䅁䅕䅁䑁䝁䅕䅁䭁䉁䅯䅁䭁䅁䅯䅁䙁䅁䅁䅁䅂畣䅖兂䅁䅁䅁䡧氳䅑䅅䅁䉁䅁䅁权噁䅁䅁䍄䉁䅁䅁兂䅁䅁䅍睚䅁䅁䅯䅁䅁䅁䅯允䅁䅁䅕䅁䅁䅁十欵䙁䅁䅁䅁杂效䅚允䅁䅁䅅䅁䙁䑁散㝳户偏⽅䍄䉁䅁䅁兂䅁䅁䅍睚䅁䅁䅯睇䅁䅁䅯权䅁䅁䅕䅁䅁䕁祂唵䙁䅁䅁䅁䅃敦䅖允䅁䅁䅅䅁䙁䅁䅁䅁䅁偁⽁䍄䉁䅁䅁兂䅁䅁䅍睚䅁䅁䅯睃䅁䅁䅯允䅁䅁䅕䅁䅁䥁䕂唵䙁䅁䅁䅁䅄⭔䅖允䅁䅁䅅䅁䙁䍁氫呸畷䥤⼰䍄䉁䅁䅁兂䅁䅁䅍睚䅁䅁䅯睃䅁䅁䅯允䅁䅁䅕䅁䅁佁偂唵䙁䅁䅁䅁杁⭗䅖允䅁䅁䅅䅁䙁䩁潊䭫䍓奈⼰䍄䉁䅁䅁兂䅁䅁䅍睚䅁䅁䅯睃䅁䅁䅯允䅁䅁䅕䅁䅁䭁啃唵䙁䅁䅁䅁䅄⭮䅖允䅁䅁䅅䅁䙁䩁䉐汪告奆⽷䍄䉁䅁䅁兂䅁䅁䅍杚䅁䅁䅯杇䅁䅁䅯权䅁䅁䅕䅁䅁䥁乄唵䙁䅁䅁䅁䅄伲䅖允䅁䅁䅅䅁䭁䉁䅕䅁䵁䅉䅅䅁䙁䅁䅁睁湂䅁䅁权䱁䅁䅁权䉁䅁䅁兂䅁䅁䅁䨴氯䅑䅕䅁䅁䍁牃唵䉁䅁䅁允䅁䅁䅕㑴ㅢ乘䙪穩䴸䅉䅅䅁䙁䅁䅁睁湂䅁䅁权慁䅁䅁权䭁䅁䅁兂䅁䅁䅁偯橮䅑䅕䅁䅁䕁湁䔵䉁䅁䅁允䅁䅁䅯兆䅁䅁杷允䅁䅁䅕䅁䑁䝁䅣䅁䭁䅁䅳䅁䭁䅁䅅䅁䙁䅁䅁䅁䅂⭱䅖兂䅁䅁䅁䱯汢䅑䅅䅁䉁䅁䅁兂ぁ味硆煍䱗睐杷允䅁䅁䅕䅁䑁䝁䅣䅁䭁䅁䅷䅁䭁䅁䅅䅁䙁䅁䅁䅁杁敩䅖兂䅁䅁䅁䩧汔䅑䅅䅁䉁䅁䅁兂畁娰㉧奌䅐睐杷允䅁䅁䅕䅁䑁䝁䅣䅁䭁䅁䅳䅁䭁䅁䅅䅁䙁䅁䅁䅁䅂畷䅖兂䅁䅁䅁䵙氳䅑䅅䅁䉁䅁䅁兂䉄噮歮穣䱱睐杷允䅁䅁䅕䅁䑁䝁䅣䅁䭁䅁䅳䅁䭁䅁䅅䅁䙁䅁䅁䅁杁⬫䅖兂䅁䅁䅁䅙浢䅑䅅䅁䉁䅁䅁兂慃敩瑥畯䤲睐杷允䅁䅁䅕䅁䑁䝁䅕䅁䭁䉁䅯䅁䭁䅁䅯䅁䙁䅁䅁䅁䅃效䅚兂䅁䅁䅁䍷浪䅑䅅䅁䉁䅁䅁权噁䅁䅁䍄䉁䅁䅁兂䅁䅁䅍杚䅁䅁䅯杇䅁䅁䅯权䅁䅁䅕䅁䅁䭁㝃䔵䙁䅁䅁䅁杄畸䅒允䅁䅁䅅䅁䭁䉁䅕䅁䵁䅉䅅䅁䙁䅁䅁睁湂䅁䅁权䱁䅁䅁权䉁䅁䅁兂䅁䅁䅁䉁浌䅑䅕䅁䅁䝁摁欵䉁䅁䅁允䅁䅁䅕㕏噰灔慱䑩䴸䅉䅅䅁䙁䅁䅁睁湂䅁䅁权䵁䅁䅁权䉁䅁䅁权䥁䅁䅁权䥁䅁䅁允䅁䅁䅅䅁䙁䭁剨假啭獗⽁䍄䉁䅁䅁兂䅁䅁䅍睚䅁䅁䅯䅄䅁䅁䅯允䅁䅁䅕䅁䅁䥁䕂唵䙁䅁䅁䅁䅄⭔䅖允䅁䅁䅅䅁䙁䥁䡷啯㉹㡕⽁䍄䉁䅁䅁兂䅁䅁䅍睚䅁䅁䅯䅄䅁䅁䅯允䅁䅁䅕䅁䅁佁偂唵䙁䅁䅁䅁杁⭗䅖允䅁䅁䅅䅁䙁䝁啒剆⽅捗⽁䍄䉁䅁䅁兂䅁䅁䅍睚䅁䅁䅯睇䅁䅁䅯权䅁䅁䅕䅁䅁佁浂唵䙁䅁䅁䅁杁畣䅖允䅁䅁䅅䅁䙁䅁䅁䅁䅁偁⽁䍄䉁䅁䅁兂䅁䅁䅍睚䅁䅁䅯䅄䅁䅁䅯允䅁䅁䅕䅁䅁䕁扂唵䙁䅁䅁䅁䅄畚䅖允䅁䅁䅅䅁䙁佁䝣䱣婩㡗⽁䍄䉁䅁䅁兂䅁䅁䅍睚䅁䅁䅯䅄䅁䅁䅯允䅁䅁䅕䅁䅁䕁祂唵䙁䅁䅁䅁䅃敦䅖允䅁䅁䅅䅁䙁䙁潷瑂橤㡧⽁䍄䉁䅁䅁兂䅁䅁䅍睚䅁䅁䅯䅄䅁䅁䅯允䅁䅁䅕䅁䅁䭁㥂唵䙁䅁䅁䅁䅁敩䅖允䅁䅁䅅䅁䙁偁睩伵佔㡧⽁䍄䉁䅁䅁兂䅁䅁䅍睚䅁䅁䅯䅄䅁䅁䅯允䅁䅁䅕䅁䅁䭁啃唵䙁䅁䅁䅁䅄⭮䅖允䅁䅁䅅䅁䙁䝁癭睷䥧䵧⽁䍄䉁䅁䅁兂䅁䅁䅍睚䅁䅁䅯䅄䅁䅁䅯允䅁䅁䅕䅁䅁佁晃唵䙁䅁䅁䅁杁⭱䅖允䅁䅁䅅䅁䙁䩁䡤兩祡㡥⽁䍄䉁䅁䅁兂䅁䅁䅍杚䅁䅁䅯杇䅁䅁䅯权䅁䅁䅕䅁䅁䭁㕄〴䙁䅁䅁䅁䅂⭊䅒允䅁䅁䅅䅁䭁䉁䅕䅁䵁䅉䅅䅁䙁䅁䅁睁浂䅁䅁权慁䅁䅁权䭁䅁䅁兂䅁䅁䅁䩯汔䅑䅕䅁䅁䍁䍄唵䉁䅁䅁允䅁䅁䅯兆䅁䅁杷允䅁䅁䅕䅁䑁䝁䅣䅁䭁䅁䅷䅁䭁䅁䅅䅁䙁䅁䅁䅁䅂⭱䅖兂䅁䅁䅁䱯汢䅑䅅䅁䉁䅁䅁兂啃䌶器㌯䅔睐杷允䅁䅁䅕䅁䑁䝁䅣䅁䭁䅁䅷䅁䭁䅁䅅䅁䙁䅁䅁䅁䅄畴䅖兂䅁䅁䅁䵉汌䅑䅅䅁䉁䅁䅁兂䍁煆挫坪䄷睐杷允䅁䅁䅕䅁䑁䝁䅣䅁䭁䅁䅷䅁䭁䅁䅅䅁䙁䅁䅁䅁䅃敺䅖权䡁䅁䅁允䅁䅁䅅䅁䙁䍁橍歕祅䵕⽁䍄䉁䅁䅁兂䅁䅁䅍睚䅁䅁䅯䅄䅁䅁䅯允䅁䅁䅕䅁䅁佁奄唵䙁䅁䅁䅁杂伵䅖允䅁䅁䅅䅁䙁䩁橂伸㍷㡔⽁䍄䉁䅁䅁兂䅁䅁䅍睚䅁䅁䅯杇䅁䅁䅯权䅁䅁䅕䅁䅁䭁啃唵䙁䅁䅁䅁䅄⭮䅖允䅁䅁䅅䅁䭁䉁䅕䅁䵁䅉䅅䅁䙁䅁䅁睁湂䅁䅁权䵁䅁䅁权䉁䅁䅁兂䅁䅁䅁余汔䅑䅯杂䅁䅁䅅䅁䉁䅁䅁兂偁末㕋汁䄳睐杷允䅁䅁䅕䅁䑁䝁䅣䅁䭁䅁䅷䅁䭁䅁䅅䅁䙁䅁䅁䅁杁⬫䅖兂䅁䅁䅁䅙浢䅑䅅䅁䉁䅁䅁兂桃硊啸䘫䅐睐杷允䅁䅁䅕䅁䑁䝁䅣䅁䭁䅁䅷䅁䭁䅁䅅䅁䙁䅁䅁䅁䅃畂䅚兂䅁䅁䅁䈴浈䅑䅅䅁䉁䅁䅁兂䝃䬰汅ㄱ䅶睐杷允䅁䅁䅕䅁䑁䝁䅣䅁䭁䅁䅉䅁䭁䅁䅅䅁䭁䅁䅑䅁䙁䅁䅁䅁杁敏䅖允䅁䅁䅅䅁䙁䅁橂佃㝪⽗⽕䍄䉁䅁䅁兂䅁䅁䅍睚䅁䅁䅯杁䅁䅁䅯允䅁䅁䅕䅁䅁䕁㕁唵䙁䅁䅁䅁䅄畚䅖允䅁䅁䅅䅁䙁偁癎㕗潯癢⽑䍄䉁䅁䅁兂䅁䅁䅍党䅁䅁䅯杇䅁䅁䅯权䅁䅁䅕䅁䅁佁坁唵䙁䅁䅁䅁杁畉䅖允䅁䅁䅅䅁䭁䉁䅕䅁䵁䅉䅅䅁䙁䅁䅁睁求䅁䅁权慁䅁䅁权䭁䅁䅁兂䅁䅁䅁䭑汶䅑䅕䅁䅁䭁㉃唵䉁䅁䅁允䅁䅁䅯兆䅁䅁杷允䅁䅁䅕䅁䑁䝁䅣䅁䭁䅁䅉䅁䭁䅁䅅䅁䙁䅁䅁䅁杄畚䅖兂䅁䅁䅁䩧汔䅑䅅䅁䉁䅁䅁兂啄佩瑒㑇ひ睐杷允䅁䅁䅕䅁䑁䝁䅣䅁䭁䉁䅯䅁䭁䅁䅯䅁䙁䅁䅁䅁䅂⭱䅖兂䅁䅁䅁䱯汢䅑䅅䅁䉁䅁䅁权噁䅁䅁䍄䉁䅁䅁兂䅁䅁䅍杚䅁䅁䅯杇䅁䅁䅯权䅁䅁䅕䅁䅁䕁睃䔵䙁䅁䅁䅁杄攳䅒允䅁䅁䅅䅁䭁䉁䅕䅁䵁䅉䅅䅁䙁䅁䅁睁湂䅁䅁权䍁䅁䅁权䉁䅁䅁兂䅁䅁䅁䩯汔䅑䅕䅁䅁䍁䍄唵䉁䅁䅁允䅁䅁䅕兤㝅歃䍧樹䴸䅉䅅䅁䙁䅁䅁睁湂䅁䅁权慁䅁䅁权䭁䅁䅁兂䅁䅁䅁䑑汮䅑䅕䅁䅁䝁䕂唵䉁䅁䅁允䅁䅁䅯兆䅁䅁杷允䅁䅁䅕䅁䑁䝁䅣䅁䭁䅁䅉䅁䭁䅁䅅䅁䙁䅁䅁䅁䅂畷䅖兂䅁䅁䅁佷氯䅑䅅䅁䉁䅁䅁兂瑄䑋卨䵌穲睐杷允䅁䅁䅕䅁䑁䝁䅣䅁䭁䅁䅁䅁䭁䅁䅅䅁䭁䅁䅑䅁䙁䅁䅁䅁杁敏䅖允䅁䅁䅅䅁䙁䑁琹⽋含倵⽉䍄䉁䅁䅁兂䅁䅁䅍党䅁䅁䅯杇䅁䅁䅯权䅁䅁䅕䅁䅁䕁楁唵䙁䅁䅁䅁权敌䅖允䅁䅁䅅䅁䭁䉁䅕䅁䵁䅉䅅䅁䙁䅁䅁睁浂䅁䅁权慁䅁䅁权䭁䅁䅁兂䅁䅁䅁乧歌䅑䅕䅁䅁佁摄䔵䉁䅁䅁允䅁䅁䅯兆䅁䅁杷允䅁䅁䅕䅁䑁䝁䅣䅁䭁䅁䅁䅁䭁䅁䅅䅁䙁䅁䅁䅁权佬䅖兂䅁䅁䅁䵉汌䅑䅅䅁䉁䅁䅁兂䱃䜴㉹余礳睐杷允䅁䅁䅕䅁䑁䝁䅣䅁䭁䅁䅁䅁䭁䅁䅅䅁䙁䅁䅁䅁䅂畷䅖兂䅁䅁䅁佷氯䅑䅅䅁䉁䅁䅁兂慃灬嘵乓睺睐杷允䅁䅁䅕䅁䑁䝁䅣䅁䭁䅁䅳䅁䭁䅁䅅䅁䭁䅁䅑䅁䙁䅁䅁䅁杁敏䅖允䅁䅁䅅䅁䙁䑁䴴㝇⭩䥁⼴䍄䉁䅁䅁兂䅁䅁䅍睚䅁䅁䅯杇䅁䅁䅯权䅁䅁䅕䅁䅁佁奄唵䙁䅁䅁䅁䅂伵䅖允䅁䅁䅅䅁䭁䉁䅕䅁䵁䅉䅅䅁䙁䅁䅁睁湂䅁䅁权慁䅁䅁权䭁䅁䅁兂䅁䅁䅁䭧浢䅑䅕䅁䅁䅁啄欵䉁䅁䅁允䅁䅁䅯兆䅁䅁杷允䅁䅁䅕䅁䑁䝁䅣䅁䭁䅁䅳䅁䭁䅁䅅䅁䙁䅁䅁䅁䅂敏䅖兂䅁䅁䅁䝷汢䅑䅅䅁䉁䅁䅁兂灁䵍橌䉎乭睐杷允䅁䅁䅕䅁䑁䝁䅕䅁䭁䉁䅯䅁䭁䅁䅯䅁䙁䅁䅁䅁权伹䅒兂䅁䅁䅁䅁汄䅑䅅䅁䉁䅁䅁权噁䅁䅁䍄䉁䅁䅁兂䅁䅁䅍睚䅁䅁䅯睃䅁䅁䅯允䅁䅁䅕䅁䅁佁浂唵䙁䅁䅁䅁䅃佬䅖允䅁䅁䅅䅁䙁䕁䑘呹灖㑯⽳䍄䉁䅁䅁兂䅁䅁䅍睚䅁䅁䅯杇䅁䅁䅯权䅁䅁䅕䅁䅁䭁㝃䔵䙁䅁䅁䅁杄畸䅒允䅁䅁䅅䅁䭁䉁䅕䅁䵁䅉䅅䅁䙁䅁䅁睁湂䅁䅁权扁䅁䅁权䭁䅁䅁兂䅁䅁䅁偯歔䅑䅕䅁䅁䅁䅁唵䉁䅁䅁允䅁䅁䅕䅁䅁䅁䅁䐸䴸䅉䅅䅁䙁䅁䅁睁湂䅁䅁权䱁䅁䅁权䉁䅁䅁兂䅁䅁䅁䩯汔䅑䅕䅁䅁䍁䍄唵䉁䅁䅁允䅁䅁䅕䜯呂㑓ち穩䴸䅉䅅䅁䙁䅁䅁睁求䅁䅁权慁䅁䅁权䭁䅁䅁兂䅁䅁䅁乁欷䅑䅕䅁䅁䍁灄䔵䉁䅁䅁允䅁䅁䅯兆䅁䅁杷允䅁䅁䅕䅁䑁䝁䅣䅁䭁䅁䅳䅁䭁䅁䅅䅁䙁䅁䅁䅁䅂畷䅖兂䅁䅁䅁佷氯䅑䅅䅁䉁䅁䅁兂坂癡㙉桏䭡睐杷允䅁䅁䅕䅁䑁䝁䅣䅁䭁䉁䅳䅁䭁䅁䅯䅁䙁䅁䅁䅁权⭵䅒兂䅁䅁䅁䴴止䅑䅅䅁䉁䅁䅁兂䅁䅁䅁䅁睄睐杷允䅁䅁䅕䅁䑁䝁䅣䅁䭁䅁䅳䅁䭁䅁䅅䅁䙁䅁䅁䅁䅃⭐䅚兂䅁䅁䅁䑯洯䅑䅅䅁䉁䅁䅁兂癁䥵橆䡇䥗睐杷允䅁䅁䅕䅁䑁䝁䅣䅁䭁䅁䅷䅁䭁䅁䅅䅁䙁䅁䅁䅁䅂敏䅖兂䅁䅁䅁䝷汢䅑䅅䅁䉁䅁䅁兂瑂爯浆汓䅢睐杷允䅁䅁䅕䅁䑁䝁䅣䅁䭁䅁䅷䅁䭁䅁䅅䅁䙁䅁䅁䅁䅂畷䅖兂䅁䅁䅁佷氯䅑䅅䅁䉁䅁䅁兂䉃卐㙐䙱䅪睐杷允䅁䅁䅕䅁䑁䝁䅣䅁䭁䅁䅳䅁䭁䅁䅅䅁䙁䅁䅁䅁杄佋䅚兂䅁䅁䅁䑉浔䅑䅅䅁䉁䅁䅁兂兂畎朳㐫䥹睐杷允䅁䅁䅕䅁䑁䝁䅣䅁䭁䅁䅷䅁䭁䅁䅅䅁䙁䅁䅁䅁杄佋䅚兂䅁䅁䅁䑉浔䅑䅅䅁䉁䅁䅁兂⭂乌䡪ㅫ䄯睐杷允䅁䅁䅕䅁䑁䝁䅣䅁䭁䉁䅳䅁䭁䅁䅯䅁䙁䅁䅁䅁䅂⭱䅖兂䅁䅁䅁䱯汢䅑䅅䅁䉁䅁䅁兂䅁䅁䅁䅁睄睐杷允䅁䅁䅕䅁䑁䝁䅣䅁䭁䅁䅉䅁䭁䅁䅅䅁䙁䅁䅁䅁杄佋䅚兂䅁䅁䅁䑉浔䅑䅅䅁䉁䅁䅁兂㡃㑅㔲祇〯睐杷允䅁䅁䅕䅁䑁䝁䅣䅁䭁䉁䅯䅁䭁䅁䅯䅁䙁䅁䅁䅁杁⬫䅖兂䅁䅁䅁䅙浢䅑䅅䅁䉁䅁䅁权噁䅁䅁䍄䉁䅁䅁兂䅁䅁䅍睚䅁䅁䅯䅁䅁䅁䅯允䅁䅁䅕䅁䅁佁潁欵䙁䅁䅁䅁杁低䅚允䅁䅁䅅䅁䙁䉁䅃扡牗偏⽅䍄䉁䅁䅁兂䅁䅁䅍睚䅁䅁䅯杁䅁䅁䅯允䅁䅁䅕䅁䅁䕁ぁ欵䙁䅁䅁䅁权⭐䅚允䅁䅁䅅䅁䙁佁⽣砯䄫倰⽑䍄䉁䅁䅁兂䅁䅁䅍睚䅁䅁䅯睃䅁䅁䅯允䅁䅁䅕䅁䅁䕁ぁ欵䙁䅁䅁䅁权⭐䅚允䅁䅁䅅䅁䙁偁橳堸湊㑣⽧䍄䉁䅁䅁兂䅁䅁䅍睚䅁䅁䅯杇䅁䅁䅯权䅁䅁䅕䅁䅁䕁䱂欵䙁䅁䅁䅁䅄佥䅚允䅁䅁䅅䅁䭁䉁䅕䅁䵁䅉䅅䅁䙁䅁䅁睁浂䅁䅁权慁䅁䅁权䭁䅁䅁兂䅁䅁䅁䵑汌䅑䅕䅁䅁䵁癄唵䉁䅁䅁允䅁䅁䅯兆䅁䅁杷允䅁䅁䅕䅁䑁䝁䅣䅁䭁䅁䅷䅁䭁䅁䅅䅁䙁䅁䅁䅁䅂低䅚兂䅁䅁䅁䑯洯䅑䅅䅁䉁䅁䅁兂䍃位塗浡䅮睐杷允䅁䅁䅕䅁䑁䝁䅕䅁䭁䉁䅯䅁䭁䅁䅯䅁䙁䅁䅁䅁权⭃䅖兂䅁䅁䅁䉷汢䅑䅅䅁䉁䅁䅁权噁䅁䅁䍄䉁䅁䅁兂䅁䅁䅍党䅁䅁䅯杇䅁䅁䅯权䅁䅁䅕䅁䅁䝁扂唵䙁䅁䅁䅁䅄畚䅖允䅁䅁䅅䅁䭁䉁䅕䅁䵁䅉䅅䅁䙁䅁䅁睁湂䅁䅁权慁䅁䅁权䭁䅁䅁兂䅁䅁䅁伴氯䅑䅕䅁䅁䅁㝄唵䉁䅁䅁允䅁䅁䅯兆䅁䅁杷允䅁䅁䅕䅁䑁䝁䅣䅁䭁䉁䅯䅁䭁䅁䅯䅁䙁䅁䅁䅁䅂收䅒兂䅁䅁䅁偧歔䅑䅅䅁䉁䅁䅁权噁䅁䅁䍄䉁䅁䅁兂䅁䅁䅍睚䅁䅁䅯杇䅁䅁䅯权䅁䅁䅕䅁䅁䍁啄欵䙁䅁䅁䅁䅄敁䅤允䅁䅁䅅䅁䭁䉁䅕䅁䵁䅉䅅䅁䙁䅁䅁睁浂䅁䅁权慁䅁䅁权䭁䅁䅁兂䅁䅁䅁䜴浈䅑䅕䅁䅁䕁瑂欵䉁䅁䅁允䅁䅁䅯兆䅁䅁杷允䅁䅁䅕䅁䑁䝁䅣䅁䭁䉁䅳䅁䭁䅁䅯䅁䙁䅁䅁䅁䅁畅䅚兂䅁䅁䅁䉙洳䅑䅅䅁䉁䅁䅁兂䅁䅁䅁䅁睄睐杷允䅁䅁䅕䅁䑁䝁䅣䅁䭁䉁䅳䅁䭁䅁䅯䅁䙁䅁䅁䅁䅁佺䅎兂䅁䅁䅁偧橮䅑䅅䅁䉁䅁䅁兂䅁䅁䅁䅁睄睐杷允䅁䅁䅕䅁䑁䝁䅣䅁䭁䉁䅯䅁䭁䅁䅯䅁䙁䅁䅁䅁杄畚䅖兂䅁䅁䅁䡉汌䅑䅅䅁䉁䅁䅁权噁䅁䅁䍄䉁䅁䅁兂䅁䅁䅍睚䅁䅁䅯睇䅁䅁䅯权䅁䅁䅕䅁䅁䥁䝁欵䙁䅁䅁䅁杄故䅚允䅁䅁䅅䅁䙁䅁䅁䅁䅁偁⽁䍄䉁䅁䅁兂䅁䅁䅍睚䅁䅁䅯杇䅁䅁䅯权䅁䅁䅕䅁䅁䝁湁䔵䙁䅁䅁䅁杄佖䅒允䅁䅁䅅䅁䭁䉁䅕䅁䵁䅉䅅䅁䙁䅁䅁睁浂䅁䅁权慁䅁䅁权䭁䅁䅁兂䅁䅁䅁䕧汔䅑䅕䅁䅁䵁偂唵䉁䅁䅁允䅁䅁䅯兆䅁䅁杷允䅁䅁䅕䅁䑁䝁䅙䅁䭁䉁䅯䅁䭁䅁䅯䅁䙁䅁䅁䅁杄⭮䅖兂䅁䅁䅁䭉汶䅑䅅䅁䉁䅁䅁权噁䅁䅁䍄䉁䅁䅁兂䅁䅁䅍睚䅁䅁䅯䅄䅁䅁䅯允䅁䅁䅕䅁䅁䝁捂欵䙁䅁䅁䅁䅃佘䅚允䅁䅁䅅䅁䙁䱁䡓畦㡸㡘⽁䍄䉁䅁䅁兂䅁䅁䅍睚䅁䅁䅯睇䅁䅁䅯权䅁䅁䅕䅁䅁䍁䅁唵䙁䅁䅁䅁䅃⭃䅖允䅁䅁䅅䅁䙁䅁䅁䅁䅁偁⽁䍄䉁䅁䅁兂䅁䅁䅍党䅁䅁䅯杇䅁䅁䅯权䅁䅁䅕䅁䅁䥁摁欵䙁䅁䅁䅁杁⭓䅚允䅁䅁䅅䅁䭁䉁䅕䅁䵁䅉䅅䅁䙁䅁䅁睁湂䅁䅁权慁䅁䅁权䭁䅁䅁兂䅁䅁䅁䵧氳䅑䅕䅁䅁䵁奄唵䉁䅁䅁允䅁䅁䅯兆䅁䅁杷允䅁䅁䅕䅁䑁䝁䅕䅁䭁䉁䅯䅁䭁䅁䅯䅁䙁䅁䅁䅁杄佋䅚兂䅁䅁䅁䑉浔䅑䅅䅁䉁䅁䅁权噁䅁䅁䍄䉁䅁䅁兂䅁䅁䅍党䅁䅁䅯杇䅁䅁䅯权䅁䅁䅕䅁䅁䭁䍃䔵䙁䅁䅁䅁杁佳䅒允䅁䅁䅅䅁䭁䉁䅕䅁䵁䅉䅅䅁䙁䅁䅁睁湂䅁䅁权䱁䅁䅁权䉁䅁䅁兂䅁䅁䅁䙙浺䅑䅕䅁䅁䥁捂欵䉁䅁䅁允䅁䅁䅕敄浭㙧祶穨䴸䅉䅅䅁䙁䅁䅁睁湂䅁䅁权慁䅁䅁权䭁䅁䅁兂䅁䅁䅁䉧洳䅑䅕䅁䅁䵁潁欵䉁䅁䅁允䅁䅁䅯兆䅁䅁杷允䅁䅁䅕䅁䑁䝁䅣䅁䭁䉁䅳䅁䭁䅁䅯䅁䙁䅁䅁䅁杄伲䅖兂䅁䅁䅁佑汔䅑䅅䅁䉁䅁䅁兂䅁䅁䅁䅁睄睐杷允䅁䅁䅕䅁䑁䝁䅕䅁䭁䉁䅯䅁䭁䅁䅯䅁䙁䅁䅁䅁权攫䅎兂䅁䅁䅁䍑武䅑䅅䅁䉁䅁䅁权噁䅁䅁䍄䉁䅁䅁兂䅁䅁䅍睚䅁䅁䅯睇䅁䅁䅯权䅁䅁䅕䅁䅁䕁䍄唵䙁䅁䅁䅁䅄⬷䅖允䅁䅁䅅䅁䙁䅁䅁䅁䅁偁⽁䍄䉁䅁䅁睁䅁䅁䅍䅚䅁䅁䅯睇䅁䅁䅯权䅁䅁䅅䅁䉁䅁䅁兂䅁䅁䅁䅁睄睐杷允䅁䅁䅕䅁䑁䝁䅙䅁䭁䉁䅯䅁䭁䅁䅯䅁䙁䅁䅁䅁杁敩䅖兂䅁䅁䅁䩧汔䅑䅅䅁䉁䅁䅁权噁䅁䅁䍄䉁䅁䅁兂䅁䅁䅍杚䅁䅁䅯杇䅁䅁䅯权䅁䅁䅕䅁䅁䕁牃唵䙁䅁䅁䅁权畴䅖允䅁䅁䅅䅁䭁䉁䅕䅁䵁䅉䅅䅁䙁䅁䅁睁浂䅁䅁权慁䅁䅁权䭁䅁䅁兂䅁䅁䅁䍷氳䅑䅕䅁䅁䍁㕁唵䉁䅁䅁允䅁䅁䅯兆䅁䅁杷允䅁䅁䅕䅁䑁䝁䅕䅁䭁䉁䅯䅁䭁䅁䅯䅁䙁䅁䅁䅁杁佁䅖兂䅁䅁䅁䅧汶䅑䅅䅁䉁䅁䅁权噁䅁䅁䍄䉁䅁䅁兂䅁䅁䅍党䅁䅁䅯杇䅁䅁䅯权䅁䅁䅕䅁䅁䅁䡄䔵䙁䅁䅁䅁杂田䅒允䅁䅁䅅䅁䭁䉁䅕䅁䵁䅉䅅䅁䙁䅁䅁睁湂䅁䅁权慁䅁䅁权䭁䅁䅁兂䅁䅁䅁䱑歄䅑䅕䅁䅁佁摄䔵䉁䅁䅁允䅁䅁䅯兆䅁䅁杷允䅁䅁䅕䅁䑁䝁䅣䅁䭁䉁䅯䅁䭁䅁䅯䅁䙁䅁䅁䅁杁佁䅖兂䅁䅁䅁䅧汶䅑䅅䅁䉁䅁䅁权噁䅁䅁䍄䉁䅁䅁兂䅁䅁䅍睚䅁䅁䅯睇䅁䅁䅯权䅁䅁䅕䅁䅁䭁䱁唵䙁䅁䅁䅁䅄畆䅖允䅁䅁䅅䅁䙁䅁䅁䅁䅁偁⽁䍄䉁䅁䅁兂䅁䅁䅍党䅁䅁䅯杇䅁䅁䅯权䅁䅁䅕䅁䅁䵁瑁唵䙁䅁䅁䅁杁敏䅖允䅁䅁䅅䅁䭁䉁䅕䅁䵁䅉䅅䅁䙁䅁䅁睁湂䅁䅁权慁䅁䅁权䭁䅁䅁兂䅁䅁䅁䩙樷䅑䅕䅁䅁佁䱄〴䉁䅁䅁允䅁䅁䅯兆䅁䅁杷允䅁䅁䅕䅁䑁䝁䅣䅁䭁䉁䅳䅁䭁䅁䅯䅁䙁䅁䅁䅁䅂佳䅒兂䅁䅁䅁䱧歶䅑䅅䅁䉁䅁䅁兂䅁䅁䅁䅁睄睐杷允䅁䅁䅕䅁䑁䝁䅣䅁䭁䉁䅯䅁䭁䅁䅯䅁䙁䅁䅁䅁杄畆䅖兂䅁䅁䅁䍉汌䅑䅅䅁䉁䅁䅁权噁䅁䅁䍄䉁䅁䅁兂䅁䅁䅍睚䅁䅁䅯杇䅁䅁䅯权䅁䅁䅕䅁䅁䝁瑂欵䙁䅁䅁䅁䅄佥䅚允䅁䅁䅅䅁䭁䉁䅕䅁䵁䅉䅅䅁䙁䅁䅁睁求䅁䅁权慁䅁䅁权䭁䅁䅁兂䅁䅁䅁䑑汮䅑䅕䅁䅁䝁䕂唵䉁䅁䅁允䅁䅁䅯兆䅁䅁杷允䅁䅁䅕䅁䑁䝁䅕䅁䭁䉁䅯䅁䭁䅁䅯䅁䙁䅁䅁䅁杄⭮䅖兂䅁䅁䅁䭉汶䅑䅅䅁䉁䅁䅁权噁䅁䅁䍄䉁䅁䅁兂䅁䅁䅍杚䅁䅁䅯杇䅁䅁䅯权䅁䅁䅕䅁䅁䍁䅁唵䙁䅁䅁䅁䅃⭃䅖允䅁䅁䅅䅁䭁䉁䅕䅁䵁䅉䅅䅁䙁䅁䅁睁湂䅁䅁权扁䅁䅁权䭁䅁䅁兂䅁䅁䅁䡯氳䅑䅕䅁䅁䅁䩃唵䉁䅁䅁允䅁䅁䅕䅁䅁䅁䅁䐸䴸䅉䅅䅁䙁䅁䅁睁湂䅁䅁权扁䅁䅁权䭁䅁䅁兂䅁䅁䅁乁欷䅑䅕䅁䅁䥁䱁唵䉁䅁䅁允䅁䅁䅕䅁䅁䅁䅁䐸䴸䅉䅅䅁䙁䅁䅁睁求䅁䅁权慁䅁䅁权䭁䅁䅁兂䅁䅁䅁伴氯䅑䅕䅁䅁䅁㝄唵䉁䅁䅁允䅁䅁䅯兆䅁䅁杷允䅁䅁䅕䅁䑁䝁䅣䅁䭁䉁䅳䅁䭁䅁䅯䅁䙁䅁䅁䅁䅁⭸䅒兂䅁䅁䅁乙歌䅑䅅䅁䉁䅁䅁兂䅁䅁䅁䅁睄睐杷允䅁䅁䅕䅁䑁䝁䅕䅁䭁䉁䅯䅁䭁䅁䅯䅁䙁䅁䅁䅁䅁申䅒兂䅁䅁䅁䅧汶䅑䅅䅁䉁䅁䅁权噁䅁䅁䍄䉁䅁䅁兂䅁䅁䅍睚䅁䅁䅯睇䅁䅁䅯权䅁䅁䅕䅁䅁䍁䩃唵䙁䅁䅁䅁䅃佬䅖允䅁䅁䅅䅁䙁䅁䅁䅁䅁偁⽁䍄䉁䅁䅁兂䅁䅁䅍党䅁䅁䅯杇䅁䅁䅯权䅁䅁䅕䅁䅁䭁㥂唵䙁䅁䅁䅁䅁敩䅖允䅁䅁䅅䅁䭁䉁䅕䅁䵁䅉䅅䅁䙁䅁䅁睁浂䅁䅁权慁䅁䅁权䭁䅁䅁兂䅁䅁䅁䥯歌䅑䅕䅁䅁䍁睃䔵䉁䅁䅁允䅁䅁䅯兆䅁䅁杷允䅁䅁䅕䅁䑁䝁䅙䅁䭁䉁䅯䅁䭁䅁䅯䅁䙁䅁䅁䅁权敦䅖兂䅁䅁䅁䥁汮䅑䅅䅁䉁䅁䅁权噁䅁䅁䍄䉁䅁䅁兂䅁䅁䅍睚䅁䅁䅯杇䅁䅁䅯权䅁䅁䅕䅁䅁䥁䕂唵䙁䅁䅁䅁䅄⭔䅖允䅁䅁䅅䅁䭁䉁䅕䅁䵁䅉䅅䅁䙁䅁䅁睁湂䅁䅁权慁䅁䅁权䭁䅁䅁兂䅁䅁䅁䵑汌䅑䅕䅁䅁䵁癄唵䉁䅁䅁允䅁䅁䅯兆䅁䅁杷允䅁䅁䅕䅁䑁䝁䅣䅁䭁䉁䅯䅁䭁䅁䅯䅁䙁䅁䅁䅁䅄畴䅖兂䅁䅁䅁䵉汌䅑䅅䅁䉁䅁䅁权噁䅁䅁䍄䉁䅁䅁兂䅁䅁䅍睚䅁䅁䅯杇䅁䅁䅯权䅁䅁䅕䅁䅁䵁⽁欵䙁䅁䅁䅁杁⭓䅚允䅁䅁䅅䅁䭁䉁䅕䅁䵁䅉䅅䅁䙁䅁䅁睁湂䅁䅁权慁䅁䅁权䭁䅁䅁兂䅁䅁䅁䕑浶䅑䅕䅁䅁䝁坂欵䉁䅁䅁允䅁䅁䅯兆䅁䅁杷允䅁䅁䅕䅁䑁䝁䅕䅁䭁䉁䅯䅁䭁䅁䅯䅁䙁䅁䅁䅁䅂佳䅒兂䅁䅁䅁䱧歶䅑䅅䅁䉁䅁䅁权噁䅁䅁䍄䉁䅁䅁兂䅁䅁䅍党䅁䅁䅯杇䅁䅁䅯权䅁䅁䅕䅁䅁䭁㝃䔵䙁䅁䅁䅁杄畸䅒允䅁䅁䅅䅁䭁䉁䅕䅁䵁䅉䅅䅁䙁䅁䅁睁浂䅁䅁权慁䅁䅁权䭁䅁䅁兂䅁䅁䅁䜴汢䅑䅕䅁䅁䍁祂唵䉁䅁䅁允䅁䅁䅯兆䅁䅁杷允䅁䅁䅕䅁䑁䝁䅕䅁䭁䉁䅯䅁䭁䅁䅯䅁䙁䅁䅁䅁䅃田䅒兂䅁䅁䅁临欳䅑䅅䅁䉁䅁䅁权噁䅁䅁䍄䉁䅁䅁兂䅁䅁䅍杚䅁䅁䅯杇䅁䅁䅯权䅁䅁䅕䅁䅁䕁䱂欵䙁䅁䅁䅁杂畖䅚允䅁䅁䅅䅁䭁䉁䅕䅁䵁䅉䅅䅁䙁䅁䅁睁求䅁䅁权慁䅁䅁权䭁䅁䅁兂䅁䅁䅁佑歮䅑䅕䅁䅁䥁い䔵䉁䅁䅁允䅁䅁䅯兆䅁䅁杷允䅁䅁䅕䅁䑁䝁䅕䅁䭁䉁䅯䅁䭁䅁䅯䅁䙁䅁䅁䅁䅃佒䅖兂䅁䅁䅁䕷氯䅑䅅䅁䉁䅁䅁权噁䅁䅁䍄䉁䅁䅁兂䅁䅁䅍党䅁䅁䅯杇䅁䅁䅯权䅁䅁䅕䅁䅁佁偂唵䙁䅁䅁䅁䅂⭗䅖允䅁䅁䅅䅁䭁䉁䅕䅁䵁䅉䅅䅁䙁䅁䅁睁浂䅁䅁权慁䅁䅁权䭁䅁䅁兂䅁䅁䅁乁欷䅑䅕䅁䅁䥁䱁唵䉁䅁䅁允䅁䅁䅯兆䅁䅁杷允䅁䅁䅕䅁䑁䝁䅣䅁䭁䉁䅯䅁䭁䅁䅯䅁䙁䅁䅁䅁权畧䅒兂䅁䅁䅁䱉歄䅑䅅䅁䉁䅁䅁权噁䅁䅁䍄䉁䅁䅁兂䅁䅁䅍睚䅁䅁䅯睇䅁䅁䅯权䅁䅁䅕䅁䅁䝁扂唵䙁䅁䅁䅁䅄畚䅖允䅁䅁䅅䅁䙁䅁䅁䅁䅁偁⽁䍄䉁䅁䅁兂䅁䅁䅍党䅁䅁䅯杇䅁䅁䅯权䅁䅁䅕䅁䅁佁浂唵䙁䅁䅁䅁杁畣䅖允䅁䅁䅅䅁䭁䉁䅕䅁䵁䅉䅅䅁䙁䅁䅁睁浂䅁䅁权慁䅁䅁权䭁䅁䅁兂䅁䅁䅁䉁浌䅑䅕䅁䅁䝁摁欵䉁䅁䅁允䅁䅁䅯兆䅁䅁杷允䅁䅁䅕䅁䑁䝁䅕䅁䭁䉁䅯䅁䭁䅁䅯䅁䙁䅁䅁䅁杁敩䅖兂䅁䅁䅁䩧汔䅑䅅䅁䉁䅁䅁权噁䅁䅁䍄䉁䅁䅁兂䅁䅁䅍睚䅁䅁䅯睇䅁䅁䅯权䅁䅁䅕䅁䅁䕁睃䔵䙁䅁䅁䅁杄攳䅒允䅁䅁䅅䅁䙁䅁䅁䅁䅁偁⽁䍄䉁䅁䅁兂䅁䅁䅍党䅁䅁䅯杇䅁䅁䅯权䅁䅁䅕䅁䅁䭁啃唵䙁䅁䅁䅁䅄⭮䅖允䅁䅁䅅䅁䭁䉁䅕䅁䵁䅉䅅䅁䙁䅁䅁睁浂䅁䅁权慁䅁䅁权䭁䅁䅁兂䅁䅁䅁䵁武䅑䅕䅁䅁䝁卄䔵䉁䅁䅁允䅁䅁䅯兆䅁䅁杷允䅁䅁䅕䅁䑁䝁䅣䅁䭁䉁䅳䅁䭁䅁䅯䅁䙁䅁䅁䅁䅂敏䅖兂䅁䅁䅁䕙汔䅑䅅䅁䉁䅁䅁兂䅁䅁䅁䅁睄睐杷允䅁䅁䅕䅁䑁䝁䅕䅁䭁䉁䅯䅁䭁䅁䅯䅁䙁䅁䅁䅁䅂畷䅖兂䅁䅁䅁䵙氳䅑䅅䅁䉁䅁䅁权噁䅁䅁䍄䉁䅁䅁兂䅁䅁䅍杚䅁䅁䅯杇䅁䅁䅯权䅁䅁䅕䅁䅁䕁睃䔵䙁䅁䅁䅁䅃⭵䅒允䅁䅁䅅䅁䭁䉁䅕䅁䵁䅉䅅䅁䙁䅁䅁睁湂䅁䅁权扁䅁䅁权䭁䅁䅁兂䅁䅁䅁䑑汮䅑䅕䅁䅁䵁浂唵䉁䅁䅁允䅁䅁䅕䅁䅁䅁䅁䐸䴸䅉䅅䅁䙁䅁䅁睁求䅁䅁权慁䅁䅁权䭁䅁䅁兂䅁䅁䅁䵧氳䅑䅕䅁䅁䵁奄唵䉁䅁䅁允䅁䅁䅯兆䅁䅁杷允䅁䅁䅕䅁䑁䝁䅕䅁䭁䉁䅯䅁䭁䅁䅯䅁䙁䅁䅁䅁杄伲䅖兂䅁䅁䅁佑汔䅑䅅䅁䉁䅁䅁权噁䅁䅁䍄䉁䅁䅁兂䅁䅁䅍杚䅁䅁䅯杇䅁䅁䅯权䅁䅁䅕䅁䅁佁癄唵䙁䅁䅁䅁䅁⬫䅖允䅁䅁䅅䅁䭁䉁䅕䅁䵁䅉䅅䅁䙁䅁䅁睁求䅁䅁权慁䅁䅁权䭁䅁䅁兂䅁䅁䅁余汔䅑䅕䅁䅁䵁癄唵䉁䅁䅁允䅁䅁䅯兆䅁䅁杷允䅁䅁䅕䅁䑁䝁䅕䅁䭁䉁䅯䅁䭁䅁䅯䅁䙁䅁䅁䅁杁⬫䅖兂䅁䅁䅁䅙浢䅑䅅䅁䉁䅁䅁权噁䅁䅁䍄䉁䅁䅁兂䅁䅁䅍党䅁䅁䅯杇䅁䅁䅯权䅁䅁䅕䅁䅁䥁䝁欵䙁䅁䅁䅁杄故䅚允䅁䅁䅅䅁䭁䉁䅕䅁䵁䅉䅅䅁䙁䅁䅁睁求䅁䅁权慁䅁䅁权䭁䅁䅁兂䅁䅁䅁䉁浌䅑䅕䅁䅁䝁摁欵䉁䅁䅁允䅁䅁䅯兆䅁䅁杷允䅁䅁䅕䅁䑁䝁䅙䅁䭁䉁䅯䅁䭁䅁䅯䅁䙁䅁䅁䅁杂畮䅎兂䅁䅁䅁䴴橶䅑䅅䅁䉁䅁䅁权噁䅁䅁䍄䉁䅁䅁兂䅁䅁䅍睚䅁䅁䅯杇䅁䅁䅯权䅁䅁䅕䅁䅁䥁摁欵䙁䅁䅁䅁杁⭓䅚允䅁䅁䅅䅁䭁䉁䅕䅁䵁䅉䅅䅁䙁䅁䅁睁湂䅁䅁权扁䅁䅁权䭁䅁䅁兂䅁䅁䅁余汔䅑䅕䅁䅁䵁癄唵䉁䅁䅁允䅁䅁䅕䅁䅁䅁䅁䐸䴸䅉䅅䅁䙁䅁䅁睁求䅁䅁权慁䅁䅁权䭁䅁䅁兂䅁䅁䅁䑑浔䅑䅕䅁䅁䭁⽁欵䉁䅁䅁允䅁䅁䅯兆䅁䅁杷允䅁䅁䅕䅁䑁䝁䅕䅁䭁䉁䅯䅁䭁䅁䅯䅁䙁䅁䅁䅁䅄⭐䅚兂䅁䅁䅁䕉浶䅑䅅䅁䉁䅁䅁权噁䅁䅁䍄䉁䅁䅁兂䅁䅁䅍睚䅁䅁䅯睇䅁䅁䅯权䅁䅁䅕䅁䅁䍁㝄唵䙁䅁䅁䅁杂畂䅚允䅁䅁䅅䅁䙁䅁䅁䅁䅁偁⽁䍄䉁䅁䅁兂䅁䅁䅍党䅁䅁䅯杇䅁䅁䅯权䅁䅁䅕䅁䅁䕁䱂欵䙁䅁䅁䅁杂畖䅚允䅁䅁䅅䅁䭁䉁䅕䅁䵁䅉䅅䅁䙁䅁䅁睁浂䅁䅁权慁䅁䅁权䭁䅁䅁兂䅁䅁䅁䑷洯䅑䅕䅁䅁䍁䱂欵䉁䅁䅁允䅁䅁䅯兆䅁䅁杷允䅁䅁䅕䅁䑁䝁䅣䅁䭁䉁䅳䅁䭁䅁䅯䅁䙁䅁䅁䅁䅃效䅚兂䅁䅁䅁䕉浶䅑䅅䅁䉁䅁䅁兂䅁䅁䅁䅁睄睐杷允䅁䅁䅕䅁䑁䝁䅣䅁䭁䉁䅳䅁䭁䅁䅯䅁䙁䅁䅁䅁䅂收䅒兂䅁䅁䅁偧歔䅑䅅䅁䉁䅁䅁兂䅁䅁䅁䅁睄睐杷允䅁䅁䅕䅁䑁䝁䅕䅁䭁䉁䅯䅁䭁䅁䅯䅁䙁䅁䅁䅁䅃畖䅚兂䅁䅁䅁䝷浈䅑䅅䅁䉁䅁䅁权噁䅁䅁䍄䉁䅁䅁兂䅁䅁䅍睚䅁䅁䅯杇䅁䅁䅯权䅁䅁䅕䅁䅁䍁䩃唵䙁䅁䅁䅁䅃佬䅖允䅁䅁䅅䅁䭁䉁䅕䅁䵁䅉䅅䅁䙁䅁䅁睁求䅁䅁权慁䅁䅁权䭁䅁䅁兂䅁䅁䅁䜴浈䅑䅕䅁䅁䕁瑂欵䉁䅁䅁允䅁䅁䅯兆䅁䅁杷允䅁䅁䅕䅁䑁䝁䅣䅁䭁䉁䅳䅁䭁䅁䅯䅁䙁䅁䅁䅁杂畮䅎兂䅁䅁䅁䴴橶䅑䅅䅁䉁䅁䅁兂䅁䅁䅁䅁睄睐杷允䅁䅁䅕䅁䑁䝁䅣䅁䭁䉁䅳䅁䭁䅁䅯䅁䙁䅁䅁䅁杄畚䅖兂䅁䅁䅁䩧汔䅑䅅䅁䉁䅁䅁兂䅁䅁䅁䅁睄睐杷允䅁䅁䅕䅁䑁䝁䅕䅁䭁䉁䅯䅁䭁䅁䅯䅁䙁䅁䅁䅁杂敢䅚兂䅁䅁䅁䡷浪䅑䅅䅁䉁䅁䅁权噁䅁䅁䍄䉁䅁䅁兂䅁䅁䅍杚䅁䅁䅯杇䅁䅁䅯权䅁䅁䅕䅁䅁䅁䵄〴䙁䅁䅁䅁䅃攫䅎允䅁䅁䅅䅁䭁䉁䅕䅁䵁䅉䅅䅁䙁䅁䅁睁求䅁䅁权慁䅁䅁权䭁䅁䅁兂䅁䅁䅁䡷橄䅑䅯䅈䅁䅁䅅䅁䉁䅁䅁权噁䅁䅁䍄䉁䅁䅁兂䅁䅁䅍党䅁䅁䅯杇䅁䅁䅯权䅁䅁䅕䅁䅁䝁敃〴䙁䅁䅁䅁杄⭹䅎允䅁䅁䅅䅁䭁䉁䅕䅁䵁䅉䅅䅁䙁䅁䅁睁求䅁䅁权慁䅁䅁权䭁䅁䅁兂䅁䅁䅁䵁橺䅑䅕䅁䅁䥁㕄〴䉁䅁䅁允䅁䅁䅯兆䅁䅁杷允䅁䅁䅕䅁䑁䝁䅙䅁䭁䉁䅯䅁䭁䅁䅯䅁䙁䅁䅁䅁䅂畣䅖兂䅁䅁䅁䡧氳䅑䅅䅁䉁䅁䅁权噁䅁䅁䍄䉁䅁䅁兂䅁䅁䅍党䅁䅁䅯杇䅁䅁䅯权䅁䅁䅕䅁䅁䝁湁䔵䙁䅁䅁䅁杄佖䅒允䅁䅁䅅䅁䭁䉁䅕䅁䵁䅉䅅䅁䙁䅁䅁睁求䅁䅁权慁䅁䅁权䭁䅁䅁兂䅁䅁䅁䙁歘䅑䅕䅁䅁䥁䍃䔵䉁䅁䅁允䅁䅁䅯兆䅁䅁杷允䅁䅁䅕䅁䑁䝁䅣䅁䭁䉁䅯䅁䭁䅁䅯䅁䙁䅁䅁䅁䅃畖䅚兂䅁䅁䅁䝷浈䅑䅅䅁䉁䅁䅁权噁䅁䅁䍄䉁䅁䅁兂䅁䅁䅍睚䅁䅁䅯睇䅁䅁䅯权䅁䅁䅕䅁䅁佁坁唵䙁䅁䅁䅁杁畉䅖允䅁䅁䅅䅁䙁䅁䅁䅁䅁偁⽁䍄䉁䅁䅁兂䅁䅁䅍睚䅁䅁䅯杇䅁䅁䅯权䅁䅁䅕䅁䅁䭁䱁唵䙁䅁䅁䅁䅄畆䅖允䅁䅁䅅䅁䭁䉁䅕䅁䵁䅉䅅䅁䙁䅁䅁睁求䅁䅁权慁䅁䅁权䭁䅁䅁兂䅁䅁䅁䅯汶䅑䅕䅁䅁䍁㕁唵䉁䅁䅁允䅁䅁䅯兆䅁䅁杷允䅁䅁䅕䅁䑁䝁䅣䅁䭁䉁䅳䅁䭁䅁䅯䅁䙁䅁䅁䅁䅂畷䅖兂䅁䅁䅁䵙氳䅑䅅䅁䉁䅁䅁兂䅁䅁䅁䅁睄睐杷允䅁䅁䅕䅁䑁䝁䅕䅁䭁䉁䅯䅁䭁䅁䅯䅁䙁䅁䅁䅁䅂敏䅖兂䅁䅁䅁䝷汢䅑䅅䅁䉁䅁䅁权噁䅁䅁䍄䉁䅁䅁兂䅁䅁䅍睚䅁䅁䅯睇䅁䅁䅯权䅁䅁䅕䅁䅁佁癄唵䙁䅁䅁䅁杂效䅚允䅁䅁䅅䅁䙁䅁䅁䅁䅁偁⽁䍄䉁䅁䅁兂䅁䅁䅍睚䅁䅁䅯睇䅁䅁䅯权䅁䅁䅕䅁䅁䥁摁欵䙁䅁䅁䅁䅄佋䅚允䅁䅁䅅䅁䙁䅁䅁䅁䅁偁⽁䍄䉁䅁䅁兂䅁䅁䅍党䅁䅁䅯杇䅁䅁䅯权䅁䅁䅕䅁䅁佁浂唵䙁䅁䅁䅁䅃佬䅖允䅁䅁䅅䅁䭁䉁䅕䅁䵁䅉䅅䅁䙁䅁䅁睁求䅁䅁权慁䅁䅁权䭁䅁䅁兂䅁䅁䅁䩯汔䅑䅕䅁䅁䍁䍄唵䉁䅁䅁允䅁䅁䅯兆䅁䅁杷允䅁䅁䅕䅁䑁䝁䅣䅁䭁䉁䅳䅁䭁䅁䅯䅁䙁䅁䅁䅁权攫䅎兂䅁䅁䅁䍑武䅑䅅䅁䉁䅁䅁兂䅁䅁䅁䅁睄睐杷允䅁䅁䅕䅁䑁䝁䅕䅁䭁䉁䅯䅁䭁䅁䅯䅁䙁䅁䅁䅁䅂畷䅖兂䅁䅁䅁佷氯䅑䅅䅁䉁䅁䅁权噁䅁䅁䍄䉁䅁䅁兂䅁䅁䅍睚䅁䅁䅯杁䅁䅁䅯允䅁䅁䅕䅁䅁䵁⽁欵䙁䅁䅁䅁䅃佘䅚允䅁䅁䅅䅁䙁䩁㌯浌夰⽦⽑䍄䉁䅁䅁兂䅁䅁䅍党䅁䅁䅯杇䅁䅁䅯权䅁䅁䅕䅁䅁䕁䱂欵䙁䅁䅁䅁䅄佥䅚允䅁䅁䅅䅁䭁䉁䅕䅁䵁䅉䅅䅁䙁䅁䅁睁求䅁䅁权慁䅁䅁权䭁䅁䅁兂䅁䅁䅁䠴浪䅑䅕䅁䅁䝁浃欵䉁䅁䅁允䅁䅁䅯兆䅁䅁杷允䅁䅁䅕䅁䑁䝁䅕䅁䭁䉁䅯䅁䭁䅁䅯䅁䙁䅁䅁䅁䅃異䅚兂䅁䅁䅁乁浔䅑䅅䅁䉁䅁䅁权噁䅁䅁䍄䉁䅁䅁兂䅁䅁䅍党䅁䅁䅯杇䅁䅁䅯权䅁䅁䅕䅁䅁䍁啄欵䙁䅁䅁䅁䅄敁䅤允䅁䅁䅅䅁䭁䉁䅕䅁䵁䅉䅅䅁䙁䅁䅁睁浂䅁䅁权慁䅁䅁权䭁䅁䅁兂䅁䅁䅁䈴汢䅑䅕䅁䅁䍁楁唵䉁䅁䅁允䅁䅁䅯兆䅁䅁杷允䅁䅁䅕䅁䑁䝁䅣䅁䭁䉁䅯䅁䭁䅁䅯䅁䙁䅁䅁䅁䅂畷䅖兂䅁䅁䅁䵙氳䅑䅅䅁䉁䅁䅁权噁䅁䅁䍄䉁䅁䅁兂䅁䅁䅍杚䅁䅁䅯杇䅁䅁䅯权䅁䅁䅕䅁䅁䕁灄䔵䙁䅁䅁䅁䅃伹䅒允䅁䅁䅅䅁䭁䉁䅕䅁䵁䅉䅅䅁䙁䅁䅁睁浂䅁䅁权慁䅁䅁权䭁䅁䅁兂䅁䅁䅁偯歔䅑䅕䅁䅁䅁䅁唵䉁䅁䅁允䅁䅁䅯兆䅁䅁杷允䅁䅁䅕䅁䑁䝁䅙䅁䭁䉁䅯䅁䭁䅁䅯䅁䙁䅁䅁䅁权⭃䅖兂䅁䅁䅁䉷汢䅑䅅䅁䉁䅁䅁权噁䅁䅁䍄䉁䅁䅁兂䅁䅁䅍杚䅁䅁䅯杇䅁䅁䅯权䅁䅁䅕䅁䅁䕁楁唵䙁䅁䅁䅁权敌䅖允䅁䅁䅅䅁䭁䉁䅕䅁䵁䅉䅅䅁䙁䅁䅁睁浂䅁䅁权慁䅁䅁权䭁䅁䅁兂䅁䅁䅁䑑汮䅑䅕䅁䅁䝁䕂唵䉁䅁䅁允䅁䅁䅯兆䅁䅁杷允䅁䅁䅕䅁䑁䝁䅙䅁䭁䉁䅯䅁䭁䅁䅯䅁䙁䅁䅁䅁杄伲䅖兂䅁䅁䅁佑汔䅑䅅䅁䉁䅁䅁权噁䅁䅁䍄䉁䅁䅁兂䅁䅁䅍杚䅁䅁䅯杇䅁䅁䅯权䅁䅁䅕䅁䅁佁偂唵䙁䅁䅁䅁䅂⭗䅖允䅁䅁䅅䅁䭁䉁䅕䅁䵁䅉䅅䅁䙁䅁䅁睁湂䅁䅁权慁䅁䅁权䭁䅁䅁兂䅁䅁䅁乁欷䅑䅕䅁䅁䍁灄䔵䉁䅁䅁允䅁䅁䅯兆䅁䅁杷允䅁䅁䅕䅁䑁䝁䅣䅁䭁䉁䅳䅁䭁䅁䅯䅁䙁䅁䅁䅁权畧䅒兂䅁䅁䅁䱉歄䅑䅅䅁䉁䅁䅁兂䅁䅁䅁䅁睄睐杷允䅁䅁䅕䅁䑁䝁䅙䅁䭁䉁䅯䅁䭁䅁䅯䅁䙁䅁䅁䅁䅂畷䅖兂䅁䅁䅁䵙氳䅑䅅䅁䉁䅁䅁权噁䅁䅁䍄䉁䅁䅁兂䅁䅁䅍杚䅁䅁䅯杇䅁䅁䅯权䅁䅁䅕䅁䅁䵁睂〴䭁䉁䅷䅁䉁䅁䅁允䅁䅁䅯兆䅁䅁杷允䅁䅁䅕䅁䑁䝁䅙䅁䭁䉁䅯䅁䭁䅁䅯䅁䙁䅁䅁䅁杂伵䅖兂䅁䅁䅁佷氯䅑䅅䅁䉁䅁䅁权噁䅁䅁䍄䉁䅁䅁兂䅁䅁䅍杚䅁䅁䅯杇䅁䅁䅯权䅁䅁䅕䅁䅁䍁㝄唵䙁䅁䅁䅁杂畂䅚允䅁䅁䅅䅁䭁䉁䅕䅁䵁䅉䅅䅁䙁䅁䅁睁浂䅁䅁权慁䅁䅁权䭁䅁䅁兂䅁䅁䅁䅧浢䅑䅕䅁䅁佁剁欵䉁䅁䅁允䅁䅁䅯兆䅁䅁杷允䅁䅁䅕䅁䑁䝁䅙䅁䭁䉁䅯䅁䭁䅁䅯䅁䙁䅁䅁䅁杄畚䅖兂䅁䅁䅁䩧汔䅑䅅䅁䉁䅁䅁权噁䅁䅁䍄䉁䅁䅁兂䅁䅁䅍杚䅁䅁䅯杇䅁䅁䅯权䅁䅁䅕䅁䅁佁潁欵䙁䅁䅁䅁杁低䅚允䅁䅁䅅䅁䭁䉁䅕䅁䵁䅉䅅䅁䙁䅁䅁睁浂䅁䅁权慁䅁䅁权䭁䅁䅁兂䅁䅁䅁䑑浔䅑䅕䅁䅁䭁⽁欵䉁䅁䅁允䅁䅁䅯兆䅁䅁杷允䅁䅁䅕䅁䑁䝁䅙䅁䭁䉁䅯䅁䭁䅁䅯䅁䙁䅁䅁䅁䅃畖䅚兂䅁䅁䅁䝷浈䅑䅅䅁䉁䅁䅁权噁䅁䅁䍄䉁䅁䅁兂䅁䅁䅍杚䅁䅁䅯杇䅁䅁䅯权䅁䅁䅕䅁䅁䝁瑂欵䙁䅁䅁䅁䅄佥䅚允䅁䅁䅅䅁䭁䉁䅕䅁䵁䅉䅅䅁䙁䅁䅁睁浂䅁䅁权慁䅁䅁权䭁䅁䅁兂䅁䅁䅁䙁歘䅑䅕䅁䅁䥁䍃䔵䉁䅁䅁允䅁䅁䅯兆䅁䅁杷允䅁䅁䅕䅁䑁䝁䅣䅁䭁䉁䅯䅁䭁䅁䅯䅁䙁䅁䅁䅁䅂敏䅖兂䅁䅁䅁䝷汢䅑䅅䅁䉁䅁䅁权噁䅁䅁䍄䉁䅁䅁兂䅁䅁䅍杚䅁䅁䅯杇䅁䅁䅯权䅁䅁䅕䅁䅁䭁䱁唵䙁䅁䅁䅁杁敏䅖允䅁䅁䅅䅁䭁䉁䅕䅁䵁䅉䅅䅁䙁䅁䅁睁湂䅁䅁权慁䅁䅁权䭁䅁䅁兂䅁䅁䅁䙙汶䅑䅕䅁䅁䵁浂唵䉁䅁䅁允䅁䅁䅯兆䅁䅁杷允䅁䅁䅕䅁䑁䝁䅙䅁䭁䉁䅯䅁䭁䅁䅯䅁䙁䅁䅁䅁䅂敏䅖兂䅁䅁䅁䝷汢䅑䅅䅁䉁䅁䅁权噁䅁䅁䍄䉁䅁䅁兂䅁䅁䅍睚䅁䅁䅯睇䅁䅁䅯权䅁䅁䅕䅁䅁䵁睂〴䭁䉁䅷䅁䉁䅁䅁允䅁䅁䅕䅁䅁䅁䅁䐸䴸䅉䅅䅁䙁䅁䅁睁湂䅁䅁权慁䅁䅁权䭁䅁䅁兂䅁䅁䅁䡷橄䅑䅯䅈䅁䅁䅅䅁䉁䅁䅁权噁䅁䅁䍄䉁䅁䅁兂䅁䅁䅍杚䅁䅁䅯杇䅁䅁䅯权䅁䅁䅕䅁䅁佁癄唵䙁䅁䅁䅁杂效䅚允䅁䅁䅅䅁䭁䉁䅕䅁䵁䅉䅅䅁䙁䅁䅁睁浂䅁䅁权慁䅁䅁权䭁䅁䅁兂䅁䅁䅁䭧浢䅑䅕䅁䅁䅁啄欵䉁䅁䅁允䅁䅁䅯兆䅁䅁杷允䅁䅁䅕䅁䑁䝁䅙䅁䭁䉁䅯䅁䭁䅁䅯䅁䙁䅁䅁䅁杁伱䅚兂䅁䅁䅁䅷湈䅑䅅䅁䉁䅁䅁权噁䅁䅁䍄䉁䅁䅁兂䅁䅁䅍睚䅁䅁䅯杇䅁䅁䅯权䅁䅁䅕䅁䅁䅁䡄䔵䙁䅁䅁䅁杂田䅒允䅁䅁䅅䅁䭁䉁䅕䅁䵁䅉䅅䅁䙁䅁䅁睁湂䅁䅁权慁䅁䅁权䭁䅁䅁兂䅁䅁䅁乧歌䅑䅕䅁䅁佁摄䔵䉁䅁䅁允䅁䅁䅯兆䅁䅁杷允䅁䅁䅕䅁䑁䝁䅣䅁䭁䉁䅳䅁䭁䅁䅯䅁䙁䅁䅁䅁䅃佒䅖兂䅁䅁䅁䕷氯䅑䅅䅁䉁䅁䅁兂䅁䅁䅁䅁睄睐杷允䅁䅁䅕䅁䑁䝁䅣䅁䭁䉁䅯䅁䭁䅁䅯䅁䙁䅁䅁䅁权伹䅒兂䅁䅁䅁䅁汄䅑䅅䅁䉁䅁䅁权噁䅁䅁䍄䉁䅁䅁兂䅁䅁䅍睚䅁䅁䅯杇䅁䅁䅯权䅁䅁䅕䅁䅁佁癄唵䙁䅁䅁䅁杂效䅚允䅁䅁䅅䅁䭁䉁䅕䅁䵁䅉䅅䅁䙁䅁䅁睁湂䅁䅁权慁䅁䅁权䭁䅁䅁兂䅁䅁䅁䍑汌䅑䅕䅁䅁䭁瑁唵䉁䅁䅁允䅁䅁䅯兆䅁䅁杷允䅁䅁䅕䅁䑁䝁䅣䅁䭁䉁䅯䅁䭁䅁䅯䅁䙁䅁䅁䅁杄⭔䅖兂䅁䅁䅁䙑汶䅑䅅䅁䉁䅁䅁权噁䅁䅁䍄䉁䅁䅁兂䅁䅁䅍睚䅁䅁䅯杇䅁䅁䅯权䅁䅁䅕䅁䅁䕁祂唵䙁䅁䅁䅁䅃敦䅖允䅁䅁䅅䅁䭁䉁䅕䅁䵁䅉䅅䅁䙁䅁䅁睁湂䅁䅁权慁䅁䅁权䭁䅁䅁兂䅁䅁䅁䨴氯䅑䅕䅁䅁䍁牃唵䉁䅁䅁允䅁䅁䅯兆䅁䅁杷允䅁䅁䅕䅁䑁䝁䅣䅁䭁䉁䅯䅁䭁䅁䅯䅁䙁䅁䅁䅁杂伵䅖兂䅁䅁䅁佷氯䅑䅅䅁䉁䅁䅁权噁䅁䅁䍄䉁䅁䅁兂䅁䅁䅍睚䅁䅁䅯杇䅁䅁䅯权䅁䅁䅕䅁䅁䥁䝁欵䙁䅁䅁䅁杄故䅚允䅁䅁䅅䅁䭁䉁䅕䅁䵁䅉䅅䅁䙁䅁䅁睁湂䅁䅁权慁䅁䅁权䭁䅁䅁兂䅁䅁䅁䉁浌䅑䅕䅁䅁䝁摁欵䉁䅁䅁允䅁䅁䅯兆䅁䅁杷允䅁䅁䅕䅁䑁䝁䅣䅁䭁䅁䅷䅁䭁䅁䅅䅁䙁䅁䅁䅁䅄⭐䅚兂䅁䅁䅁䙧浺䅑䅅䅁䉁䅁䅁兂穃戶塳䡊䅢睐杷允䅁䅁䅕䅁䑁䝁䅣䅁䭁䉁䅯䅁䭁䅁䅯䅁䙁䅁䅁䅁杄佋䅚兂䅁䅁䅁䑉浔䅑䅅䅁䉁䅁䅁权噁䅁䅁䍄䉁䅁䅁兂䅁䅁䅍睚䅁䅁䅯杇䅁䅁䅯权䅁䅁䅕䅁䅁䕁ぁ欵䙁䅁䅁䅁权⭐䅚允䅁䅁䅅䅁䭁䉁䅕䅁䵁䅉䅅䅁䙁䅁䅁睁湂䅁䅁权慁䅁䅁权䭁䅁䅁兂䅁䅁䅁䜴浈䅑䅕䅁䅁䕁瑂欵䉁䅁䅁允䅁䅁䅯兆䅁䅁杷允䅁䅁䅕䅁䑁䝁䅣䅁䭁䉁䅯䅁䭁䅁䅯䅁䙁䅁䅁䅁䅁佺䅎兂䅁䅁䅁偧橮䅑䅅䅁䉁䅁䅁权噁䅁䅁䍄䉁䅁䅁兂䅁䅁䅍睚䅁䅁䅯杇䅁䅁䅯权䅁䅁䅕䅁䅁䅁噂䔵䙁䅁䅁䅁䅃畧䅒允䅁䅁䅅䅁䭁䉁䅕䅁䵁䅉䅅䅁䙁䅁䅁睁湂䅁䅁权慁䅁䅁权䭁䅁䅁兂䅁䅁䅁䜴汢䅑䅕䅁䅁䥁啃唵䉁䅁䅁允䅁䅁䅯兆䅁䅁杷允䅁䅁䅕䅁䑁䝁䅣䅁䭁䉁䅯䅁䭁䅁䅯䅁䙁䅁䅁䅁权佬䅖兂䅁䅁䅁䵉汌䅑䅅䅁䉁䅁䅁权噁䅁䅁䍄䉁䅁䅁兂䅁䅁䅍睚䅁䅁䅯睇䅁䅁䅯权䅁䅁䅕䅁䅁佁晃唵䙁䅁䅁䅁杁⭱䅖允䅁䅁䅅䅁䙁䅁䅁䅁䅁偁⽁䍄䉁䅁䅁兂䅁䅁䅍睚䅁䅁䅯杇䅁䅁䅯权䅁䅁䅕䅁䅁佁㑂欵䙁䅁䅁䅁杂異䅚允䅁䅁䅅䅁䭁䉁䅕䅁䵁䅉䅅䅁䙁䅁䅁睁湂䅁䅁权扁䅁䅁权䭁䅁䅁兂䅁䅁䅁乧歌䅑䅕䅁䅁佁摄䔵䉁䅁䅁允䅁䅁䅕䅁䅁䅁䅁䐸䴸䅉䅅䅁䙁䅁䅁睁湂䅁䅁权扁䅁䅁权䭁䅁䅁兂䅁䅁䅁乁欷䅑䅕䅁䅁䍁灄䔵䉁䅁䅁允䅁䅁䅕䅁䅁䅁䅁䐸䴸䅉䅅䅁䙁䅁䅁睁湂䅁䅁权扁䅁䅁权䭁䅁䅁兂䅁䅁䅁䍷氳䅑䅕䅁䅁䍁㕁唵䉁䅁䅁允䅁䅁䅕䅁䅁䅁䅁䐸䴸䅉䅅䅁䙁䅁䅁睁湂䅁䅁权扁䅁䅁权䭁䅁䅁兂䅁䅁䅁䔴氯䅑䅕䅁䅁䕁扂唵䉁䅁䅁允䅁䅁䅕䅁䅁䅁䅁䐸䴸䅉䅅䅁䙁䅁䅁睁湂䅁䅁权扁䅁䅁权䭁䅁䅁兂䅁䅁䅁䩯汔䅑䅕䅁䅁䵁晃唵䉁䅁䅁允䅁䅁䅕䅁䅁䅁䅁䐸䴸䅉䅅䅁䙁䅁䅁睁湂䅁䅁权扁䅁䅁权䭁䅁䅁兂䅁䅁䅁䵧氳䅑䅕䅁䅁䵁奄唵䉁䅁䅁允䅁䅁䅕䅁䅁䅁䅁䐸䴸䅉䅅䅁䙁䅁䅁睁湂䅁䅁权扁䅁䅁权䭁䅁䅁兂䅁䅁䅁伴氯䅑䅕䅁䅁䅁㝄唵䉁䅁䅁允䅁䅁䅕䅁䅁䅁䅁䐸䴸䅉䅅䅁䙁䅁䅁睁湂䅁䅁权扁䅁䅁权䭁䅁䅁兂䅁䅁䅁䌴浪䅑䅕䅁䅁䍁ぁ欵䉁䅁䅁允䅁䅁䅕䅁䅁䅁䅁䐸䴸䅉䅅䅁䙁䅁䅁睁湂䅁䅁权扁䅁䅁权䭁䅁䅁兂䅁䅁䅁䑑浔䅑䅕䅁䅁䭁⽁欵䉁䅁䅁允䅁䅁䅕䅁䅁䅁䅁䐸䴸䅉䅅䅁䙁䅁䅁睁湂䅁䅁权扁䅁䅁权䭁䅁䅁兂䅁䅁䅁䙁歘䅑䅕䅁䅁䥁䍃䔵䉁䅁䅁允䅁䅁䅕䅁䅁䅁䅁䐸䴸䅉䅅䅁䙁䅁䅁睁湂䅁䅁权扁䅁䅁权䭁䅁䅁兂䅁䅁䅁䅯汶䅑䅕䅁䅁䍁㕁唵䉁䅁䅁允䅁䅁䅕䅁䅁䅁䅁䐸䴸䅉䅅䅁䙁䅁䅁睁湂䅁䅁权扁䅁䅁权䭁䅁䅁兂䅁䅁䅁䩯汔䅑䅕䅁䅁䍁䍄唵䉁䅁䅁允䅁䅁䅕䅁䅁䅁䅁䐸䴸䅉䅅䅁䙁䅁䅁睁湂䅁䅁权扁䅁䅁权䭁䅁䅁兂䅁䅁䅁䑷洯䅑䅕䅁䅁䍁䱂欵䉁䅁䅁允䅁䅁䅕䅁䅁䅁䅁䐸䴸䅉䅅䅁䙁䅁䅁睁湂䅁䅁权扁䅁䅁权䭁䅁䅁兂䅁䅁䅁䕑浶䅑䅕䅁䅁䝁坂欵䉁䅁䅁允䅁䅁䅕䅁䅁䅁䅁䐸䴸䅉䅅䅁䙁䅁䅁睁湂䅁䅁权䍁䅁䅁权䉁䅁䅁兂䅁䅁䅁䙙浺䅑䅕䅁䅁䥁捂欵䉁䅁䅁允䅁䅁䅕㍔唸灥䴹吹䴸䅉䅅䅁䙁䅁䅁睁湂䅁䅁权䅁䅁䅁权䉁䅁䅁兂䅁䅁䅁䙙浺䅑䅕䅁䅁䥁捂欵䉁䅁䅁允䅁䅁䅕桭漵穫獄吸䴸䅉䅅䅁䙁䅁䅁睁湂䅁䅁权䅁䅁䅁权䉁䅁䅁兂䅁䅁䅁䑷洯䅑䅕䅁䅁䥁捂欵䉁䅁䅁允䅁䅁䅕歱獇汸獅吸䴸䅉䅅䅁䕁䅁䅁睁䵁䅁䅁权䥁䅁䅁权敁䅁䅁权䥁䅁䅁允䅁䅁䅅䅁䭁䉁䄸䅁䵁䅉䅅䅁䕁䅁䅁睁䵁䅁䅁权䩁䅁䅁权敁䅁䅁兂䅁䅁䅁䕉浶䅑䅅䅁䉁䅁䅁兂㝂䭆䠵戴祯䅑杷允䅁䅁䅑䅁䑁䅁䅷䅁䭁䅁䅫䅁䭁䉁䄴䅁䙁䅁䅁䅁权⭐䅚允䅁䅁䅅䅁䙁䩁婱婭婭吲䅎䍄䉁䅁䅁兂䅁䅁䅍睚䅁䅁䅯䅁䅁䅁䅯允䅁䅁䅕䅁䅁䥁⽁欵䙁䅁䅁䅁权⭐䅚允䅁䅁䅅䅁䙁䕁䝓桫焫瘲⽅䍄䉁䅁䅁䅂䅁䅁䅍䅚䅁䅁䅯元䅁䅁䅯权䅁䅁䅯睂䅁䅁䅅䅁䉁䅁䅁兂塄㍯㥁汃灣䅑杷允䅁䅁䅍䅁䑁䝁䅑䅁䭁䅁䅫䅁䭁䅁䅯䅁䉁䅁䅁允䅁䅁䅕捺䵺䵺獷歍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</si>
</sst>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5">
    <numFmt numFmtId="5" formatCode="&quot;$&quot;#,##0_);\(&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
    <numFmt numFmtId="165" formatCode="_(* #,##0.0%_);_(* \(#,##0.0%\);_(* &quot;-&quot;_);_(@_)"/>
    <numFmt numFmtId="166" formatCode="#,##0.0\x_);\(#,##0.0\x\)"/>
    <numFmt numFmtId="167" formatCode="#,##0%_);\(#,##0%\)"/>
    <numFmt numFmtId="168" formatCode="m/d/yy;@"/>
    <numFmt numFmtId="169" formatCode="_(* #,##0.00_);_(* \(#,##0.00\);_(* &quot;-&quot;_);_(@_)"/>
    <numFmt numFmtId="170" formatCode="0.0%"/>
    <numFmt numFmtId="171" formatCode="#,##0.0_);[Red]\(#,##0.0\)"/>
    <numFmt numFmtId="172" formatCode="#0"/>
    <numFmt numFmtId="173" formatCode="#,##0.0%_);\(#,##0.0%\)"/>
    <numFmt numFmtId="174" formatCode="_(* #,##0_);_(* \(#,##0\);_(* &quot;-&quot;??_);_(@_)"/>
    <numFmt numFmtId="175" formatCode="_(* #,##0.0_);_(* \(#,##0.0\);_(* &quot;-&quot;??_);_(@_)"/>
    <numFmt numFmtId="176" formatCode="mm/dd/yy;@"/>
    <numFmt numFmtId="177" formatCode="yyyy&quot;A&quot;"/>
    <numFmt numFmtId="178" formatCode="yyyy&quot;E&quot;"/>
    <numFmt numFmtId="179" formatCode="_([$$]#,##0.0_);\([$$]#,##0.0\);_(&quot;–&quot;_);_(@_)"/>
    <numFmt numFmtId="180" formatCode="_([$$]#,##0_);\([$$]#,##0\);_(&quot;–&quot;_);_(@_)"/>
    <numFmt numFmtId="181" formatCode="[$$-540A]#,##0.00_);\([$$-540A]#,##0.00\)"/>
    <numFmt numFmtId="182" formatCode="_(#,##0%_);\(#,##0%\);_(&quot;–&quot;_)_%;_(@_)_%"/>
    <numFmt numFmtId="183" formatCode="_(#,##0.0%_);\(#,##0.0%\);_(&quot;–&quot;_)_%;_(@_)_%"/>
    <numFmt numFmtId="184" formatCode="&quot;$&quot;#,##0.00"/>
    <numFmt numFmtId="185" formatCode="#,##0_);\(#,##0\);\-\-_)"/>
    <numFmt numFmtId="186" formatCode="[$$-540A]#,##0.0_);\([$$-540A]#,##0.0\)"/>
    <numFmt numFmtId="187" formatCode="&quot;$&quot;#,##0.0_);\(&quot;$&quot;#,##0.0\)"/>
    <numFmt numFmtId="188" formatCode="_([$$]#,##0.00_);\([$$]#,##0.00\);_(&quot;–&quot;_);_(@_)"/>
    <numFmt numFmtId="189" formatCode="#,##0.0"/>
    <numFmt numFmtId="190" formatCode="0.0"/>
    <numFmt numFmtId="191" formatCode="_([$$]#,##0.000_);\([$$]#,##0.000\);_(&quot;–&quot;_);_(@_)"/>
    <numFmt numFmtId="192" formatCode="0.0\x"/>
    <numFmt numFmtId="193" formatCode="_(* #,##0.0_);_(* \(#,##0.0\);_(* &quot;-&quot;?_);_(@_)"/>
    <numFmt numFmtId="194" formatCode="mm/dd/yyyy"/>
    <numFmt numFmtId="195" formatCode="\$#,##0.00_);\(\$#,##0.00\)"/>
    <numFmt numFmtId="196" formatCode="_(* #,##0.000_);_(* \(#,##0.000\);_(* &quot;-&quot;??_);_(@_)"/>
    <numFmt numFmtId="197" formatCode="_(* #,##0.000_);_(* \(#,##0.000\);_(* &quot;-&quot;_);_(@_)"/>
    <numFmt numFmtId="198" formatCode="_(* #,##0.0%_);_(* \(#,##0.0%\);_(* &quot;-&quot;?_);_(* @_)"/>
    <numFmt numFmtId="199" formatCode="_(* #,##0.0_);_(* \(#,##0.0\);_(* &quot;-&quot;_);_(@_)"/>
    <numFmt numFmtId="200" formatCode="_(* #,##0%_);_(* \(#,##0%\);_(* &quot;-&quot;_);_(@_)"/>
    <numFmt numFmtId="201" formatCode="_(* #,##0.00%_);_(* \(#,##0.00%\);_(* &quot;-&quot;??_);_(* @_)"/>
    <numFmt numFmtId="202" formatCode="_(* #,##0.00%_);_(* \(#,##0.00%\);_(* &quot;-&quot;_);_(@_)"/>
    <numFmt numFmtId="203" formatCode="_(* #,##0.0\x_);_(* \(#,##0.0\x\);_(* &quot;-&quot;?_);_(* @_)"/>
    <numFmt numFmtId="204" formatCode="_(* #,##0.0_);_(* \(#,##0.0\);_(* &quot;-&quot;??_);@"/>
    <numFmt numFmtId="205" formatCode="_(* #,##0.0_);_(* \(#,##0.0\);_(* &quot;-&quot;??_);_(&quot;Ticker :   &quot;@_)"/>
    <numFmt numFmtId="206" formatCode="_(* #,##0.0_);_(* \(#,##0.0\);_(* &quot; - &quot;??_);_(&quot;Last Price (&quot;@&quot;) &quot;_)"/>
    <numFmt numFmtId="207" formatCode="_(&quot;$&quot;* 0.00_);_(&quot;$&quot;* \(0.00\);_(&quot;$&quot;* &quot;-&quot;??_);_(@_)"/>
    <numFmt numFmtId="208" formatCode="_(* #,##0.0_);_(* \(#,##0.0\);_(* &quot;-&quot;??_);_(&quot;Real-Time Stock Price :   &quot;@_)"/>
    <numFmt numFmtId="209" formatCode="_(* #,##0.0_);_(* \(#,##0.0\);_(* &quot;-&quot;??_);_(&quot;Model Sheet Currency :   &quot;@_)"/>
    <numFmt numFmtId="210" formatCode="_(* 0.0%_);_(* \-0.0%_);_(* &quot;-&quot;??_);_(@_)"/>
    <numFmt numFmtId="211" formatCode="_(&quot;$&quot;* #,##0_);_(&quot;$&quot;* \(#,##0\);_(&quot;$&quot;* &quot;-&quot;??_);_(@_)"/>
    <numFmt numFmtId="212" formatCode="m/dd/yy;@"/>
    <numFmt numFmtId="213" formatCode="_(&quot;$&quot;* #,##0.00_);_(&quot;$&quot;* \(#,##0.00\);_(&quot;$&quot;* &quot; - &quot;??_);_(@_)"/>
    <numFmt numFmtId="214" formatCode="_(* 0.000\ \x_);\ _(* &quot;n/a&quot;_);_(* &quot;-&quot;??_);_(@_)"/>
    <numFmt numFmtId="215" formatCode="_(&quot;$&quot;* 0.00_);_(&quot;$&quot;* \(0.00\);_(&quot;$&quot;* \&quot;\ \-\ \&quot;??_);_(@_)"/>
    <numFmt numFmtId="216" formatCode="_(&quot;$&quot;* 0.00_);_(&quot;$&quot;* \(0.00\);_(&quot;$&quot;* &quot; - &quot;??_);_(@_)"/>
    <numFmt numFmtId="217" formatCode="_(* 0.0\ \x_);\ _(* &quot;n/a&quot;_);_(* &quot;-&quot;??_);_(@_)"/>
    <numFmt numFmtId="218" formatCode="m\-d\-yy"/>
    <numFmt numFmtId="219" formatCode="_(&quot;$&quot;* 0.000_);_(&quot;$&quot;* \(0.000\);_(&quot;$&quot;* &quot;-&quot;??_);_(@_)"/>
    <numFmt numFmtId="220" formatCode="_(\$* 0.00_);_(\$* \(0.00\);_(\$* &quot;-&quot;??_);_(@\ * \ &quot;Toggle  &gt;&gt;&gt;&quot;_)"/>
    <numFmt numFmtId="221" formatCode="_(\$* 0.00_);_(\$* \(0.00\);_(\$* &quot; - &quot;??_);_(@_)"/>
    <numFmt numFmtId="222" formatCode="_(* #,##0.0_);_(* \(#,##0.0\);_(* &quot;-&quot;??_);_(&quot;Tegus Ticker &gt;&gt; &quot;@_)"/>
    <numFmt numFmtId="223" formatCode="_(* #,##0.0_);_(* \(#,##0.0\);_(* &quot;-&quot;??_);_(&quot;Bloomberg &gt;&gt; &quot;@_)"/>
    <numFmt numFmtId="224" formatCode="_(* #,##0.0_);_(* \(#,##0.0\);_(* &quot;-&quot;??_);_(&quot;Capital IQ &gt;&gt; &quot;@_)"/>
    <numFmt numFmtId="225" formatCode="_(* #,##0.0_);_(* \(#,##0.0\);_(* &quot;-&quot;??_);_(&quot;FactSet &gt;&gt; &quot;@_)"/>
    <numFmt numFmtId="226" formatCode="_(* #,##0.0_);_(* \(#,##0.0\);_(* &quot; -&quot;??_);_(&quot;Refinitiv &gt;&gt; &quot;@_)"/>
    <numFmt numFmtId="227" formatCode="m/d/yy"/>
    <numFmt numFmtId="228" formatCode="_(&quot;$&quot;* #,##0.000_);_(&quot;$&quot;* \(#,##0.000\);_(&quot;$&quot;* &quot;-&quot;??_);_(@_)"/>
    <numFmt numFmtId="229" formatCode="yyyy\-mm\-dd"/>
    <numFmt numFmtId="230" formatCode="_(#,##0.0%_);_(\(#,##0.0\)%;_(&quot;-&quot;\%_);@"/>
    <numFmt numFmtId="231" formatCode="_(#,##0%_);_(\(#,##0\)%;_(&quot;-&quot;\%_);@"/>
    <numFmt numFmtId="232" formatCode="&quot;$&quot;#,##0.000_);\(&quot;$&quot;#,##0.000\)"/>
  </numFmts>
  <fonts count="253" x14ac:knownFonts="1">
    <font>
      <sz val="11"/>
      <color theme="1"/>
      <name val="Calibri"/>
      <family val="2"/>
      <scheme val="minor"/>
    </font>
    <font>
      <sz val="11"/>
      <color theme="1"/>
      <name val="Arial"/>
      <family val="2"/>
    </font>
    <font>
      <sz val="8"/>
      <color theme="1"/>
      <name val="Arial"/>
      <family val="2"/>
    </font>
    <font>
      <i/>
      <sz val="8"/>
      <color theme="1"/>
      <name val="Arial"/>
      <family val="2"/>
    </font>
    <font>
      <b/>
      <sz val="8"/>
      <color theme="1"/>
      <name val="Arial"/>
      <family val="2"/>
    </font>
    <font>
      <sz val="8"/>
      <color theme="0"/>
      <name val="Arial"/>
      <family val="2"/>
    </font>
    <font>
      <b/>
      <u val="singleAccounting"/>
      <sz val="8"/>
      <color theme="1"/>
      <name val="Arial"/>
      <family val="2"/>
    </font>
    <font>
      <sz val="8"/>
      <color rgb="FF00B050"/>
      <name val="Arial"/>
      <family val="2"/>
    </font>
    <font>
      <sz val="8"/>
      <name val="Arial"/>
      <family val="2"/>
    </font>
    <font>
      <i/>
      <sz val="8"/>
      <color rgb="FF0070C0"/>
      <name val="Arial"/>
      <family val="2"/>
    </font>
    <font>
      <i/>
      <sz val="8"/>
      <name val="Arial"/>
      <family val="2"/>
    </font>
    <font>
      <u val="singleAccounting"/>
      <sz val="8"/>
      <color theme="1"/>
      <name val="Arial"/>
      <family val="2"/>
    </font>
    <font>
      <u val="singleAccounting"/>
      <sz val="8"/>
      <name val="Arial"/>
      <family val="2"/>
    </font>
    <font>
      <u val="singleAccounting"/>
      <sz val="8"/>
      <color rgb="FF0070C0"/>
      <name val="Arial"/>
      <family val="2"/>
    </font>
    <font>
      <i/>
      <sz val="8"/>
      <color rgb="FF00B050"/>
      <name val="Arial"/>
      <family val="2"/>
    </font>
    <font>
      <b/>
      <u/>
      <sz val="8"/>
      <color theme="1"/>
      <name val="Arial"/>
      <family val="2"/>
    </font>
    <font>
      <b/>
      <sz val="9"/>
      <color indexed="81"/>
      <name val="Tahoma"/>
      <family val="2"/>
    </font>
    <font>
      <sz val="9"/>
      <color indexed="81"/>
      <name val="Tahoma"/>
      <family val="2"/>
    </font>
    <font>
      <sz val="8"/>
      <color rgb="FF0070C0"/>
      <name val="Arial"/>
      <family val="2"/>
    </font>
    <font>
      <b/>
      <sz val="8"/>
      <name val="Arial"/>
      <family val="2"/>
    </font>
    <font>
      <u val="singleAccounting"/>
      <sz val="8"/>
      <color rgb="FF00B050"/>
      <name val="Arial"/>
      <family val="2"/>
    </font>
    <font>
      <sz val="11"/>
      <color theme="1"/>
      <name val="Calibri"/>
      <family val="2"/>
      <scheme val="minor"/>
    </font>
    <font>
      <i/>
      <sz val="8"/>
      <color rgb="FFFF0000"/>
      <name val="Arial"/>
      <family val="2"/>
    </font>
    <font>
      <sz val="8"/>
      <color rgb="FFFF0000"/>
      <name val="Arial"/>
      <family val="2"/>
    </font>
    <font>
      <u val="singleAccounting"/>
      <sz val="8"/>
      <color rgb="FFFF0000"/>
      <name val="Arial"/>
      <family val="2"/>
    </font>
    <font>
      <sz val="10"/>
      <name val="Arial"/>
      <family val="2"/>
    </font>
    <font>
      <sz val="1"/>
      <color indexed="9"/>
      <name val="Symbol"/>
      <family val="1"/>
      <charset val="2"/>
    </font>
    <font>
      <u/>
      <sz val="8"/>
      <color theme="1"/>
      <name val="Arial"/>
      <family val="2"/>
    </font>
    <font>
      <sz val="11"/>
      <color indexed="8"/>
      <name val="Calibri"/>
      <family val="2"/>
      <scheme val="minor"/>
    </font>
    <font>
      <b/>
      <sz val="12"/>
      <color indexed="8"/>
      <name val="Arial"/>
      <family val="2"/>
    </font>
    <font>
      <b/>
      <sz val="10"/>
      <color indexed="8"/>
      <name val="Arial"/>
      <family val="2"/>
    </font>
    <font>
      <sz val="10"/>
      <color indexed="8"/>
      <name val="Arial"/>
      <family val="2"/>
    </font>
    <font>
      <b/>
      <sz val="11"/>
      <color indexed="8"/>
      <name val="Calibri"/>
      <family val="2"/>
      <scheme val="minor"/>
    </font>
    <font>
      <sz val="11"/>
      <color rgb="FF0070C0"/>
      <name val="Calibri"/>
      <family val="2"/>
      <scheme val="minor"/>
    </font>
    <font>
      <sz val="8"/>
      <color theme="0" tint="-0.34998626667073579"/>
      <name val="Arial"/>
      <family val="2"/>
    </font>
    <font>
      <b/>
      <sz val="11"/>
      <color rgb="FFC00000"/>
      <name val="Arial"/>
      <family val="2"/>
    </font>
    <font>
      <b/>
      <sz val="10"/>
      <color rgb="FFFF0000"/>
      <name val="Arial"/>
      <family val="2"/>
    </font>
    <font>
      <b/>
      <sz val="10"/>
      <color theme="0"/>
      <name val="Arial"/>
      <family val="2"/>
    </font>
    <font>
      <sz val="11"/>
      <color rgb="FF0000FF"/>
      <name val="Arial Narrow"/>
      <family val="2"/>
    </font>
    <font>
      <sz val="11"/>
      <name val="Arial Narrow"/>
      <family val="2"/>
    </font>
    <font>
      <b/>
      <sz val="10"/>
      <name val="Arial Narrow"/>
      <family val="2"/>
    </font>
    <font>
      <b/>
      <u val="singleAccounting"/>
      <sz val="10"/>
      <color rgb="FFFFFFFF"/>
      <name val="Arial"/>
      <family val="2"/>
    </font>
    <font>
      <b/>
      <u val="singleAccounting"/>
      <sz val="10"/>
      <color theme="0"/>
      <name val="Arial"/>
      <family val="2"/>
    </font>
    <font>
      <b/>
      <sz val="11"/>
      <color rgb="FFFFFFFF"/>
      <name val="Arial"/>
      <family val="2"/>
    </font>
    <font>
      <b/>
      <sz val="11"/>
      <name val="Arial Narrow"/>
      <family val="2"/>
    </font>
    <font>
      <sz val="10"/>
      <color theme="1"/>
      <name val="Arial"/>
      <family val="2"/>
    </font>
    <font>
      <i/>
      <sz val="10"/>
      <color rgb="FF000000"/>
      <name val="Arial"/>
      <family val="2"/>
    </font>
    <font>
      <b/>
      <u val="singleAccounting"/>
      <sz val="10"/>
      <color rgb="FF000000"/>
      <name val="Arial"/>
      <family val="2"/>
    </font>
    <font>
      <b/>
      <sz val="14"/>
      <color rgb="FFC00000"/>
      <name val="Arial"/>
      <family val="2"/>
    </font>
    <font>
      <i/>
      <sz val="10"/>
      <color rgb="FFC00000"/>
      <name val="Arial"/>
      <family val="2"/>
    </font>
    <font>
      <b/>
      <sz val="10"/>
      <color theme="1"/>
      <name val="Arial"/>
      <family val="2"/>
    </font>
    <font>
      <sz val="10"/>
      <color theme="0"/>
      <name val="Arial"/>
      <family val="2"/>
    </font>
    <font>
      <b/>
      <sz val="10"/>
      <color rgb="FF0000FF"/>
      <name val="Arial"/>
      <family val="2"/>
    </font>
    <font>
      <b/>
      <sz val="10"/>
      <color rgb="FF000000"/>
      <name val="Arial"/>
      <family val="2"/>
    </font>
    <font>
      <i/>
      <sz val="10"/>
      <color theme="1"/>
      <name val="Arial"/>
      <family val="2"/>
    </font>
    <font>
      <i/>
      <sz val="10"/>
      <color rgb="FF0000FF"/>
      <name val="Arial"/>
      <family val="2"/>
    </font>
    <font>
      <i/>
      <sz val="10"/>
      <name val="Arial"/>
      <family val="2"/>
    </font>
    <font>
      <b/>
      <i/>
      <sz val="10"/>
      <color theme="1"/>
      <name val="Arial"/>
      <family val="2"/>
    </font>
    <font>
      <b/>
      <i/>
      <sz val="10"/>
      <color rgb="FF000000"/>
      <name val="Arial"/>
      <family val="2"/>
    </font>
    <font>
      <b/>
      <i/>
      <sz val="10"/>
      <color rgb="FF0000FF"/>
      <name val="Arial"/>
      <family val="2"/>
    </font>
    <font>
      <b/>
      <i/>
      <sz val="10"/>
      <name val="Arial"/>
      <family val="2"/>
    </font>
    <font>
      <sz val="10"/>
      <color rgb="FF0000FF"/>
      <name val="Arial"/>
      <family val="2"/>
    </font>
    <font>
      <sz val="10"/>
      <color rgb="FF000000"/>
      <name val="Arial"/>
      <family val="2"/>
    </font>
    <font>
      <b/>
      <sz val="10"/>
      <name val="Arial"/>
      <family val="2"/>
    </font>
    <font>
      <sz val="10"/>
      <color rgb="FF008000"/>
      <name val="Arial"/>
      <family val="2"/>
    </font>
    <font>
      <sz val="10"/>
      <color rgb="FF0033CC"/>
      <name val="Arial"/>
      <family val="2"/>
    </font>
    <font>
      <u/>
      <sz val="10"/>
      <color rgb="FF000000"/>
      <name val="Arial"/>
      <family val="2"/>
    </font>
    <font>
      <b/>
      <i/>
      <sz val="11"/>
      <color theme="1"/>
      <name val="Arial"/>
      <family val="2"/>
    </font>
    <font>
      <i/>
      <sz val="11"/>
      <color theme="1"/>
      <name val="Arial"/>
      <family val="2"/>
    </font>
    <font>
      <b/>
      <sz val="11"/>
      <color theme="1"/>
      <name val="Arial"/>
      <family val="2"/>
    </font>
    <font>
      <sz val="10"/>
      <color theme="0" tint="-0.499984740745262"/>
      <name val="Arial"/>
      <family val="2"/>
    </font>
    <font>
      <sz val="11"/>
      <color theme="0" tint="-0.499984740745262"/>
      <name val="Arial"/>
      <family val="2"/>
    </font>
    <font>
      <sz val="10"/>
      <color theme="0" tint="-0.34998626667073579"/>
      <name val="Arial"/>
      <family val="2"/>
    </font>
    <font>
      <sz val="11"/>
      <color theme="0" tint="-0.34998626667073579"/>
      <name val="Arial"/>
      <family val="2"/>
    </font>
    <font>
      <i/>
      <sz val="10"/>
      <color theme="0" tint="-0.499984740745262"/>
      <name val="Arial"/>
      <family val="2"/>
    </font>
    <font>
      <i/>
      <sz val="11"/>
      <color theme="0" tint="-0.499984740745262"/>
      <name val="Arial"/>
      <family val="2"/>
    </font>
    <font>
      <sz val="11"/>
      <color rgb="FF0000FF"/>
      <name val="Arial"/>
      <family val="2"/>
    </font>
    <font>
      <b/>
      <u/>
      <sz val="10"/>
      <color theme="1"/>
      <name val="Arial"/>
      <family val="2"/>
    </font>
    <font>
      <b/>
      <sz val="8"/>
      <color theme="0"/>
      <name val="Arial"/>
      <family val="2"/>
    </font>
    <font>
      <b/>
      <u val="singleAccounting"/>
      <sz val="10"/>
      <color theme="1"/>
      <name val="Arial"/>
      <family val="2"/>
    </font>
    <font>
      <u val="singleAccounting"/>
      <sz val="10"/>
      <color theme="1"/>
      <name val="Arial"/>
      <family val="2"/>
    </font>
    <font>
      <u val="singleAccounting"/>
      <sz val="10"/>
      <color indexed="8"/>
      <name val="Arial"/>
      <family val="2"/>
    </font>
    <font>
      <b/>
      <u/>
      <sz val="10"/>
      <color indexed="8"/>
      <name val="Arial"/>
      <family val="2"/>
    </font>
    <font>
      <i/>
      <u/>
      <sz val="10"/>
      <color theme="1"/>
      <name val="Arial"/>
      <family val="2"/>
    </font>
    <font>
      <b/>
      <sz val="9"/>
      <color theme="0"/>
      <name val="Arial"/>
      <family val="2"/>
    </font>
    <font>
      <sz val="9"/>
      <color theme="1"/>
      <name val="Arial"/>
      <family val="2"/>
    </font>
    <font>
      <u/>
      <sz val="9"/>
      <color theme="10"/>
      <name val="Arial"/>
      <family val="2"/>
    </font>
    <font>
      <b/>
      <sz val="9"/>
      <color theme="1"/>
      <name val="Arial"/>
      <family val="2"/>
    </font>
    <font>
      <sz val="9"/>
      <color rgb="FF0000FF"/>
      <name val="Arial"/>
      <family val="2"/>
    </font>
    <font>
      <b/>
      <sz val="9"/>
      <color rgb="FF0000FF"/>
      <name val="Arial"/>
      <family val="2"/>
    </font>
    <font>
      <b/>
      <sz val="9"/>
      <color rgb="FF000000"/>
      <name val="Arial"/>
      <family val="2"/>
    </font>
    <font>
      <sz val="9"/>
      <name val="Arial"/>
      <family val="2"/>
    </font>
    <font>
      <sz val="9"/>
      <color rgb="FF000066"/>
      <name val="Arial"/>
      <family val="2"/>
    </font>
    <font>
      <sz val="9"/>
      <color rgb="FF000000"/>
      <name val="Arial"/>
      <family val="2"/>
    </font>
    <font>
      <u/>
      <sz val="10"/>
      <color theme="1"/>
      <name val="Arial"/>
      <family val="2"/>
    </font>
    <font>
      <sz val="11"/>
      <color rgb="FFFF0000"/>
      <name val="Calibri"/>
      <family val="2"/>
      <scheme val="minor"/>
    </font>
    <font>
      <b/>
      <sz val="11"/>
      <color theme="1"/>
      <name val="Calibri"/>
      <family val="2"/>
      <scheme val="minor"/>
    </font>
    <font>
      <b/>
      <sz val="8"/>
      <color rgb="FF00B050"/>
      <name val="Arial"/>
      <family val="2"/>
    </font>
    <font>
      <u val="singleAccounting"/>
      <sz val="11"/>
      <color theme="1"/>
      <name val="Calibri"/>
      <family val="2"/>
      <scheme val="minor"/>
    </font>
    <font>
      <u/>
      <sz val="11"/>
      <color theme="1"/>
      <name val="Calibri"/>
      <family val="2"/>
      <scheme val="minor"/>
    </font>
    <font>
      <i/>
      <sz val="11"/>
      <color theme="1"/>
      <name val="Calibri"/>
      <family val="2"/>
      <scheme val="minor"/>
    </font>
    <font>
      <b/>
      <u/>
      <sz val="11"/>
      <color theme="1"/>
      <name val="Calibri"/>
      <family val="2"/>
      <scheme val="minor"/>
    </font>
    <font>
      <sz val="10"/>
      <color rgb="FF0070C0"/>
      <name val="Arial"/>
      <family val="2"/>
    </font>
    <font>
      <u val="singleAccounting"/>
      <sz val="10"/>
      <name val="Arial"/>
      <family val="2"/>
    </font>
    <font>
      <u val="singleAccounting"/>
      <sz val="10"/>
      <color rgb="FF0070C0"/>
      <name val="Arial"/>
      <family val="2"/>
    </font>
    <font>
      <i/>
      <sz val="10"/>
      <color rgb="FFFF0000"/>
      <name val="Arial"/>
      <family val="2"/>
    </font>
    <font>
      <i/>
      <u/>
      <sz val="10"/>
      <color rgb="FFFF0000"/>
      <name val="Arial"/>
      <family val="2"/>
    </font>
    <font>
      <u/>
      <sz val="10"/>
      <color rgb="FFFF0000"/>
      <name val="Arial"/>
      <family val="2"/>
    </font>
    <font>
      <i/>
      <sz val="9"/>
      <color theme="1"/>
      <name val="Arial"/>
      <family val="2"/>
    </font>
    <font>
      <i/>
      <u/>
      <sz val="10"/>
      <name val="Arial"/>
      <family val="2"/>
    </font>
    <font>
      <sz val="11"/>
      <name val="Arial"/>
      <family val="2"/>
    </font>
    <font>
      <i/>
      <sz val="11"/>
      <name val="Arial"/>
      <family val="2"/>
    </font>
    <font>
      <b/>
      <sz val="11"/>
      <name val="Arial"/>
      <family val="2"/>
    </font>
    <font>
      <b/>
      <u/>
      <sz val="11"/>
      <name val="Arial"/>
      <family val="2"/>
    </font>
    <font>
      <b/>
      <u val="singleAccounting"/>
      <sz val="9"/>
      <color theme="1"/>
      <name val="Arial"/>
      <family val="2"/>
    </font>
    <font>
      <i/>
      <sz val="9"/>
      <color rgb="FFFF0000"/>
      <name val="Arial"/>
      <family val="2"/>
    </font>
    <font>
      <b/>
      <u/>
      <sz val="9"/>
      <color theme="1"/>
      <name val="Arial"/>
      <family val="2"/>
    </font>
    <font>
      <sz val="9"/>
      <color rgb="FF0070C0"/>
      <name val="Arial"/>
      <family val="2"/>
    </font>
    <font>
      <sz val="9"/>
      <color rgb="FFFF0000"/>
      <name val="Arial"/>
      <family val="2"/>
    </font>
    <font>
      <u val="singleAccounting"/>
      <sz val="9"/>
      <color rgb="FF0070C0"/>
      <name val="Arial"/>
      <family val="2"/>
    </font>
    <font>
      <u val="singleAccounting"/>
      <sz val="9"/>
      <name val="Arial"/>
      <family val="2"/>
    </font>
    <font>
      <u val="singleAccounting"/>
      <sz val="9"/>
      <color rgb="FFFF0000"/>
      <name val="Arial"/>
      <family val="2"/>
    </font>
    <font>
      <b/>
      <sz val="9"/>
      <name val="Arial"/>
      <family val="2"/>
    </font>
    <font>
      <b/>
      <i/>
      <sz val="9"/>
      <color theme="1"/>
      <name val="Arial"/>
      <family val="2"/>
    </font>
    <font>
      <b/>
      <i/>
      <sz val="9"/>
      <color rgb="FF0070C0"/>
      <name val="Arial"/>
      <family val="2"/>
    </font>
    <font>
      <b/>
      <i/>
      <sz val="9"/>
      <name val="Arial"/>
      <family val="2"/>
    </font>
    <font>
      <i/>
      <sz val="9"/>
      <color rgb="FF0070C0"/>
      <name val="Arial"/>
      <family val="2"/>
    </font>
    <font>
      <i/>
      <u/>
      <sz val="9"/>
      <color theme="1"/>
      <name val="Arial"/>
      <family val="2"/>
    </font>
    <font>
      <u/>
      <sz val="9"/>
      <name val="Arial"/>
      <family val="2"/>
    </font>
    <font>
      <u/>
      <sz val="9"/>
      <color theme="1"/>
      <name val="Arial"/>
      <family val="2"/>
    </font>
    <font>
      <i/>
      <u val="singleAccounting"/>
      <sz val="9"/>
      <name val="Arial"/>
      <family val="2"/>
    </font>
    <font>
      <i/>
      <u/>
      <sz val="9"/>
      <color rgb="FFFF0000"/>
      <name val="Arial"/>
      <family val="2"/>
    </font>
    <font>
      <i/>
      <sz val="9"/>
      <name val="Arial"/>
      <family val="2"/>
    </font>
    <font>
      <i/>
      <u/>
      <sz val="9"/>
      <name val="Arial"/>
      <family val="2"/>
    </font>
    <font>
      <u val="singleAccounting"/>
      <sz val="9"/>
      <color theme="1"/>
      <name val="Arial"/>
      <family val="2"/>
    </font>
    <font>
      <u val="singleAccounting"/>
      <sz val="9"/>
      <color theme="0" tint="-0.34998626667073579"/>
      <name val="Arial"/>
      <family val="2"/>
    </font>
    <font>
      <sz val="9"/>
      <color rgb="FF00B050"/>
      <name val="Arial"/>
      <family val="2"/>
    </font>
    <font>
      <u/>
      <sz val="9"/>
      <color rgb="FFFF0000"/>
      <name val="Arial"/>
      <family val="2"/>
    </font>
    <font>
      <i/>
      <sz val="9"/>
      <color theme="4"/>
      <name val="Arial"/>
      <family val="2"/>
    </font>
    <font>
      <u/>
      <sz val="9"/>
      <color rgb="FF0070C0"/>
      <name val="Arial"/>
      <family val="2"/>
    </font>
    <font>
      <sz val="9"/>
      <color theme="0"/>
      <name val="Arial"/>
      <family val="2"/>
    </font>
    <font>
      <i/>
      <sz val="9"/>
      <color rgb="FF000000"/>
      <name val="Arial"/>
      <family val="2"/>
    </font>
    <font>
      <u/>
      <sz val="9"/>
      <color rgb="FF000000"/>
      <name val="Arial"/>
      <family val="2"/>
    </font>
    <font>
      <i/>
      <sz val="10"/>
      <color indexed="8"/>
      <name val="Arial"/>
      <family val="2"/>
    </font>
    <font>
      <b/>
      <i/>
      <u/>
      <sz val="10"/>
      <color indexed="8"/>
      <name val="Arial"/>
      <family val="2"/>
    </font>
    <font>
      <i/>
      <u val="singleAccounting"/>
      <sz val="8"/>
      <color theme="1"/>
      <name val="Arial"/>
      <family val="2"/>
    </font>
    <font>
      <i/>
      <u val="singleAccounting"/>
      <sz val="8"/>
      <name val="Arial"/>
      <family val="2"/>
    </font>
    <font>
      <i/>
      <u val="singleAccounting"/>
      <sz val="9"/>
      <color theme="1"/>
      <name val="Arial"/>
      <family val="2"/>
    </font>
    <font>
      <b/>
      <sz val="9"/>
      <color rgb="FF0070C0"/>
      <name val="Arial"/>
      <family val="2"/>
    </font>
    <font>
      <b/>
      <u/>
      <sz val="10"/>
      <color rgb="FF0000FF"/>
      <name val="Arial"/>
      <family val="2"/>
    </font>
    <font>
      <u/>
      <sz val="10"/>
      <color rgb="FF0000FF"/>
      <name val="Arial"/>
      <family val="2"/>
    </font>
    <font>
      <u val="singleAccounting"/>
      <sz val="10"/>
      <color rgb="FF0000FF"/>
      <name val="Arial"/>
      <family val="2"/>
    </font>
    <font>
      <b/>
      <u val="singleAccounting"/>
      <sz val="9"/>
      <name val="Arial"/>
      <family val="2"/>
    </font>
    <font>
      <i/>
      <u val="singleAccounting"/>
      <sz val="9"/>
      <color indexed="8"/>
      <name val="Arial"/>
      <family val="2"/>
    </font>
    <font>
      <b/>
      <i/>
      <sz val="9"/>
      <color indexed="8"/>
      <name val="Arial"/>
      <family val="2"/>
    </font>
    <font>
      <b/>
      <sz val="9"/>
      <color theme="1"/>
      <name val="Calibri"/>
      <family val="2"/>
      <scheme val="minor"/>
    </font>
    <font>
      <sz val="9"/>
      <color theme="1"/>
      <name val="Calibri"/>
      <family val="2"/>
      <scheme val="minor"/>
    </font>
    <font>
      <i/>
      <u val="singleAccounting"/>
      <sz val="9"/>
      <color rgb="FFFF0000"/>
      <name val="Arial"/>
      <family val="2"/>
    </font>
    <font>
      <sz val="9"/>
      <color theme="0" tint="-0.249977111117893"/>
      <name val="Arial"/>
      <family val="2"/>
    </font>
    <font>
      <i/>
      <sz val="9"/>
      <color theme="0" tint="-0.249977111117893"/>
      <name val="Arial"/>
      <family val="2"/>
    </font>
    <font>
      <sz val="8"/>
      <color theme="0" tint="-0.249977111117893"/>
      <name val="Arial"/>
      <family val="2"/>
    </font>
    <font>
      <sz val="12"/>
      <color theme="1"/>
      <name val="Calibri"/>
      <family val="2"/>
      <scheme val="minor"/>
    </font>
    <font>
      <b/>
      <sz val="12"/>
      <color theme="1"/>
      <name val="Calibri"/>
      <family val="2"/>
      <scheme val="minor"/>
    </font>
    <font>
      <i/>
      <sz val="12"/>
      <color theme="1"/>
      <name val="Calibri"/>
      <family val="2"/>
      <scheme val="minor"/>
    </font>
    <font>
      <b/>
      <u val="singleAccounting"/>
      <sz val="12"/>
      <color theme="1"/>
      <name val="Calibri"/>
      <family val="2"/>
      <scheme val="minor"/>
    </font>
    <font>
      <b/>
      <u/>
      <sz val="12"/>
      <color theme="1"/>
      <name val="Calibri"/>
      <family val="2"/>
      <scheme val="minor"/>
    </font>
    <font>
      <sz val="12"/>
      <color rgb="FFFF0000"/>
      <name val="Calibri"/>
      <family val="2"/>
      <scheme val="minor"/>
    </font>
    <font>
      <u val="singleAccounting"/>
      <sz val="12"/>
      <color theme="1"/>
      <name val="Calibri"/>
      <family val="2"/>
      <scheme val="minor"/>
    </font>
    <font>
      <u val="singleAccounting"/>
      <sz val="12"/>
      <color rgb="FF00B050"/>
      <name val="Calibri"/>
      <family val="2"/>
      <scheme val="minor"/>
    </font>
    <font>
      <u val="singleAccounting"/>
      <sz val="12"/>
      <color theme="4"/>
      <name val="Calibri"/>
      <family val="2"/>
      <scheme val="minor"/>
    </font>
    <font>
      <u val="singleAccounting"/>
      <sz val="12"/>
      <color rgb="FFFF0000"/>
      <name val="Calibri"/>
      <family val="2"/>
      <scheme val="minor"/>
    </font>
    <font>
      <b/>
      <sz val="12"/>
      <name val="Calibri"/>
      <family val="2"/>
      <scheme val="minor"/>
    </font>
    <font>
      <sz val="12"/>
      <color rgb="FF00B050"/>
      <name val="Calibri"/>
      <family val="2"/>
      <scheme val="minor"/>
    </font>
    <font>
      <sz val="12"/>
      <name val="Calibri"/>
      <family val="2"/>
      <scheme val="minor"/>
    </font>
    <font>
      <u val="singleAccounting"/>
      <sz val="12"/>
      <name val="Calibri"/>
      <family val="2"/>
      <scheme val="minor"/>
    </font>
    <font>
      <u/>
      <sz val="12"/>
      <color theme="1"/>
      <name val="Calibri"/>
      <family val="2"/>
      <scheme val="minor"/>
    </font>
    <font>
      <i/>
      <sz val="12"/>
      <color rgb="FF00B050"/>
      <name val="Calibri"/>
      <family val="2"/>
      <scheme val="minor"/>
    </font>
    <font>
      <i/>
      <sz val="12"/>
      <name val="Calibri"/>
      <family val="2"/>
      <scheme val="minor"/>
    </font>
    <font>
      <b/>
      <sz val="12"/>
      <color rgb="FFFF0000"/>
      <name val="Calibri"/>
      <family val="2"/>
      <scheme val="minor"/>
    </font>
    <font>
      <sz val="12"/>
      <color rgb="FF0070C0"/>
      <name val="Calibri"/>
      <family val="2"/>
      <scheme val="minor"/>
    </font>
    <font>
      <u val="singleAccounting"/>
      <sz val="12"/>
      <color rgb="FF0070C0"/>
      <name val="Calibri"/>
      <family val="2"/>
      <scheme val="minor"/>
    </font>
    <font>
      <b/>
      <sz val="12"/>
      <color rgb="FF0070C0"/>
      <name val="Calibri"/>
      <family val="2"/>
      <scheme val="minor"/>
    </font>
    <font>
      <b/>
      <sz val="12"/>
      <color rgb="FF00B050"/>
      <name val="Calibri"/>
      <family val="2"/>
      <scheme val="minor"/>
    </font>
    <font>
      <i/>
      <sz val="12"/>
      <color rgb="FFFF0000"/>
      <name val="Calibri"/>
      <family val="2"/>
      <scheme val="minor"/>
    </font>
    <font>
      <sz val="8"/>
      <color theme="1"/>
      <name val="Calibri"/>
      <family val="2"/>
      <scheme val="minor"/>
    </font>
    <font>
      <b/>
      <i/>
      <u/>
      <sz val="9"/>
      <color theme="1"/>
      <name val="Arial"/>
      <family val="2"/>
    </font>
    <font>
      <u val="singleAccounting"/>
      <sz val="9"/>
      <color rgb="FF003399"/>
      <name val="Arial"/>
      <family val="2"/>
    </font>
    <font>
      <sz val="12"/>
      <color theme="1"/>
      <name val="Arial"/>
      <family val="2"/>
    </font>
    <font>
      <i/>
      <sz val="12"/>
      <color theme="1"/>
      <name val="Arial"/>
      <family val="2"/>
    </font>
    <font>
      <b/>
      <sz val="12"/>
      <color theme="1"/>
      <name val="Arial"/>
      <family val="2"/>
    </font>
    <font>
      <sz val="12"/>
      <color theme="0"/>
      <name val="Arial"/>
      <family val="2"/>
    </font>
    <font>
      <sz val="12"/>
      <name val="Arial"/>
      <family val="2"/>
    </font>
    <font>
      <b/>
      <u val="singleAccounting"/>
      <sz val="12"/>
      <color theme="1"/>
      <name val="Arial"/>
      <family val="2"/>
    </font>
    <font>
      <b/>
      <u/>
      <sz val="12"/>
      <color theme="1"/>
      <name val="Arial"/>
      <family val="2"/>
    </font>
    <font>
      <u val="singleAccounting"/>
      <sz val="12"/>
      <color theme="1"/>
      <name val="Arial"/>
      <family val="2"/>
    </font>
    <font>
      <u val="singleAccounting"/>
      <sz val="12"/>
      <name val="Arial"/>
      <family val="2"/>
    </font>
    <font>
      <b/>
      <sz val="12"/>
      <name val="Arial"/>
      <family val="2"/>
    </font>
    <font>
      <i/>
      <u/>
      <sz val="12"/>
      <color theme="1"/>
      <name val="Arial"/>
      <family val="2"/>
    </font>
    <font>
      <u/>
      <sz val="12"/>
      <color theme="1"/>
      <name val="Arial"/>
      <family val="2"/>
    </font>
    <font>
      <b/>
      <i/>
      <sz val="12"/>
      <color theme="1"/>
      <name val="Arial"/>
      <family val="2"/>
    </font>
    <font>
      <i/>
      <sz val="12"/>
      <name val="Arial"/>
      <family val="2"/>
    </font>
    <font>
      <i/>
      <u/>
      <sz val="12"/>
      <name val="Arial"/>
      <family val="2"/>
    </font>
    <font>
      <u val="singleAccounting"/>
      <sz val="12"/>
      <color rgb="FFFF0000"/>
      <name val="Arial"/>
      <family val="2"/>
    </font>
    <font>
      <sz val="12"/>
      <color rgb="FF0070C0"/>
      <name val="Arial"/>
      <family val="2"/>
    </font>
    <font>
      <u/>
      <sz val="12"/>
      <name val="Arial"/>
      <family val="2"/>
    </font>
    <font>
      <i/>
      <u val="singleAccounting"/>
      <sz val="12"/>
      <name val="Arial"/>
      <family val="2"/>
    </font>
    <font>
      <b/>
      <u/>
      <sz val="12"/>
      <name val="Arial"/>
      <family val="2"/>
    </font>
    <font>
      <u val="singleAccounting"/>
      <sz val="8"/>
      <color theme="0" tint="-0.249977111117893"/>
      <name val="Arial"/>
      <family val="2"/>
    </font>
    <font>
      <u val="singleAccounting"/>
      <sz val="10"/>
      <color rgb="FFFF0000"/>
      <name val="Arial"/>
      <family val="2"/>
    </font>
    <font>
      <b/>
      <sz val="9"/>
      <color rgb="FF003399"/>
      <name val="Arial"/>
      <family val="2"/>
    </font>
    <font>
      <u/>
      <sz val="10"/>
      <color rgb="FF0070C0"/>
      <name val="Arial"/>
      <family val="2"/>
    </font>
    <font>
      <u/>
      <sz val="11"/>
      <color theme="10"/>
      <name val="Calibri"/>
      <family val="2"/>
      <scheme val="minor"/>
    </font>
    <font>
      <sz val="11"/>
      <color rgb="FF006100"/>
      <name val="Calibri"/>
      <family val="2"/>
      <scheme val="minor"/>
    </font>
    <font>
      <u/>
      <sz val="26"/>
      <color theme="10"/>
      <name val="Calibri"/>
      <family val="2"/>
      <scheme val="minor"/>
    </font>
    <font>
      <sz val="11"/>
      <name val="Calibri"/>
      <family val="2"/>
    </font>
    <font>
      <sz val="11"/>
      <color rgb="FF000000"/>
      <name val="Calibri"/>
      <family val="2"/>
    </font>
    <font>
      <sz val="11"/>
      <color rgb="FF000000"/>
      <name val="Calibri"/>
      <family val="2"/>
      <scheme val="minor"/>
    </font>
    <font>
      <i/>
      <sz val="11"/>
      <color rgb="FF000000"/>
      <name val="Calibri"/>
      <family val="2"/>
    </font>
    <font>
      <b/>
      <sz val="11"/>
      <color rgb="FF000000"/>
      <name val="Calibri"/>
      <family val="2"/>
      <scheme val="minor"/>
    </font>
    <font>
      <b/>
      <sz val="11"/>
      <name val="Calibri"/>
      <family val="2"/>
    </font>
    <font>
      <b/>
      <sz val="11"/>
      <color rgb="FF000000"/>
      <name val="Calibri"/>
      <family val="2"/>
    </font>
    <font>
      <b/>
      <i/>
      <sz val="11"/>
      <color rgb="FF000000"/>
      <name val="Calibri"/>
      <family val="2"/>
      <scheme val="minor"/>
    </font>
    <font>
      <b/>
      <i/>
      <sz val="11"/>
      <name val="Calibri"/>
      <family val="2"/>
      <scheme val="minor"/>
    </font>
    <font>
      <b/>
      <i/>
      <sz val="11"/>
      <color rgb="FF0000FC"/>
      <name val="Calibri"/>
      <family val="2"/>
    </font>
    <font>
      <b/>
      <sz val="11"/>
      <name val="Calibri"/>
      <family val="2"/>
      <scheme val="minor"/>
    </font>
    <font>
      <b/>
      <sz val="11"/>
      <color rgb="FF0000FC"/>
      <name val="Calibri"/>
      <family val="2"/>
    </font>
    <font>
      <b/>
      <sz val="11"/>
      <color rgb="FFFFFFFF"/>
      <name val="Calibri"/>
      <family val="2"/>
    </font>
    <font>
      <sz val="11"/>
      <color rgb="FFFFFFFF"/>
      <name val="Calibri"/>
      <family val="2"/>
    </font>
    <font>
      <sz val="11"/>
      <color rgb="FF0000FC"/>
      <name val="Calibri"/>
      <family val="2"/>
    </font>
    <font>
      <i/>
      <sz val="11"/>
      <color rgb="FFFFFFFF"/>
      <name val="Calibri"/>
      <family val="2"/>
    </font>
    <font>
      <sz val="11"/>
      <color rgb="FFFF0000"/>
      <name val="Calibri"/>
      <family val="2"/>
    </font>
    <font>
      <i/>
      <sz val="11"/>
      <name val="Calibri"/>
      <family val="2"/>
    </font>
    <font>
      <i/>
      <sz val="11"/>
      <color rgb="FF0000FC"/>
      <name val="Calibri"/>
      <family val="2"/>
    </font>
    <font>
      <i/>
      <sz val="11"/>
      <color rgb="FFFF0000"/>
      <name val="Calibri"/>
      <family val="2"/>
    </font>
    <font>
      <b/>
      <sz val="11"/>
      <color theme="0"/>
      <name val="Calibri"/>
      <family val="2"/>
    </font>
    <font>
      <b/>
      <sz val="11"/>
      <color rgb="FFFF0000"/>
      <name val="Calibri"/>
      <family val="2"/>
    </font>
    <font>
      <i/>
      <sz val="11"/>
      <color rgb="FF000000"/>
      <name val="Calibri"/>
      <family val="2"/>
      <scheme val="minor"/>
    </font>
    <font>
      <b/>
      <i/>
      <sz val="11"/>
      <color rgb="FF000000"/>
      <name val="Calibri"/>
      <family val="2"/>
    </font>
    <font>
      <b/>
      <i/>
      <sz val="11"/>
      <color rgb="FFFF0000"/>
      <name val="Calibri"/>
      <family val="2"/>
    </font>
    <font>
      <b/>
      <sz val="11"/>
      <color rgb="FFFFFFFF"/>
      <name val="Calibri"/>
      <family val="2"/>
      <scheme val="minor"/>
    </font>
    <font>
      <sz val="11"/>
      <color rgb="FF0000FC"/>
      <name val="Calibri"/>
      <family val="2"/>
      <scheme val="minor"/>
    </font>
    <font>
      <b/>
      <sz val="9"/>
      <name val="Tahoma"/>
      <family val="2"/>
    </font>
    <font>
      <sz val="9"/>
      <name val="Tahoma"/>
      <family val="2"/>
    </font>
    <font>
      <u/>
      <sz val="10"/>
      <name val="Arial"/>
      <family val="2"/>
    </font>
    <font>
      <i/>
      <u val="singleAccounting"/>
      <sz val="12"/>
      <color theme="1"/>
      <name val="Arial"/>
      <family val="2"/>
    </font>
    <font>
      <sz val="12"/>
      <color rgb="FFFF0000"/>
      <name val="Arial"/>
      <family val="2"/>
    </font>
    <font>
      <sz val="12"/>
      <color rgb="FF00B050"/>
      <name val="Arial"/>
      <family val="2"/>
    </font>
    <font>
      <sz val="10"/>
      <color rgb="FFFF0000"/>
      <name val="Arial"/>
      <family val="2"/>
    </font>
    <font>
      <b/>
      <sz val="9"/>
      <color rgb="FFFF0000"/>
      <name val="Arial"/>
      <family val="2"/>
    </font>
    <font>
      <sz val="11"/>
      <color rgb="FF003399"/>
      <name val="Calibri"/>
      <family val="2"/>
      <scheme val="minor"/>
    </font>
    <font>
      <b/>
      <sz val="48"/>
      <color theme="1"/>
      <name val="Calibri"/>
      <family val="2"/>
      <scheme val="minor"/>
    </font>
    <font>
      <u/>
      <sz val="12"/>
      <color rgb="FFFF0000"/>
      <name val="Arial"/>
      <family val="2"/>
    </font>
    <font>
      <u/>
      <sz val="8"/>
      <color rgb="FF00B050"/>
      <name val="Arial"/>
      <family val="2"/>
    </font>
  </fonts>
  <fills count="1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C000"/>
        <bgColor indexed="64"/>
      </patternFill>
    </fill>
    <fill>
      <patternFill patternType="solid">
        <fgColor theme="1"/>
        <bgColor indexed="64"/>
      </patternFill>
    </fill>
    <fill>
      <patternFill patternType="solid">
        <fgColor rgb="FF000066"/>
        <bgColor indexed="64"/>
      </patternFill>
    </fill>
    <fill>
      <patternFill patternType="solid">
        <fgColor rgb="FF002060"/>
        <bgColor indexed="64"/>
      </patternFill>
    </fill>
    <fill>
      <patternFill patternType="solid">
        <fgColor rgb="FF00B050"/>
        <bgColor indexed="64"/>
      </patternFill>
    </fill>
    <fill>
      <patternFill patternType="solid">
        <fgColor rgb="FFFFFFFF"/>
        <bgColor indexed="64"/>
      </patternFill>
    </fill>
    <fill>
      <patternFill patternType="solid">
        <fgColor rgb="FFF2F2F2"/>
        <bgColor indexed="64"/>
      </patternFill>
    </fill>
    <fill>
      <patternFill patternType="solid">
        <fgColor rgb="FF000000"/>
        <bgColor indexed="64"/>
      </patternFill>
    </fill>
    <fill>
      <patternFill patternType="solid">
        <fgColor rgb="FFC6EFCE"/>
        <bgColor indexed="64"/>
      </patternFill>
    </fill>
  </fills>
  <borders count="73">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auto="1"/>
      </bottom>
      <diagonal/>
    </border>
    <border>
      <left/>
      <right style="dashed">
        <color indexed="64"/>
      </right>
      <top style="thin">
        <color indexed="64"/>
      </top>
      <bottom/>
      <diagonal/>
    </border>
    <border>
      <left/>
      <right style="dashed">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style="dashed">
        <color indexed="64"/>
      </right>
      <top style="thin">
        <color indexed="64"/>
      </top>
      <bottom/>
      <diagonal/>
    </border>
    <border>
      <left style="thin">
        <color indexed="64"/>
      </left>
      <right style="dashed">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top/>
      <bottom/>
      <diagonal/>
    </border>
    <border>
      <left style="thin">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rgb="FF444444"/>
      </top>
      <bottom style="medium">
        <color rgb="FF444444"/>
      </bottom>
      <diagonal/>
    </border>
    <border>
      <left style="thin">
        <color indexed="64"/>
      </left>
      <right style="thin">
        <color indexed="64"/>
      </right>
      <top style="thin">
        <color rgb="FF444444"/>
      </top>
      <bottom style="medium">
        <color rgb="FF444444"/>
      </bottom>
      <diagonal/>
    </border>
    <border>
      <left style="thin">
        <color indexed="64"/>
      </left>
      <right style="thin">
        <color indexed="64"/>
      </right>
      <top style="thin">
        <color rgb="FF444444"/>
      </top>
      <bottom/>
      <diagonal/>
    </border>
    <border>
      <left/>
      <right/>
      <top style="thin">
        <color rgb="FF444444"/>
      </top>
      <bottom/>
      <diagonal/>
    </border>
    <border>
      <left/>
      <right/>
      <top/>
      <bottom style="double">
        <color indexed="64"/>
      </bottom>
      <diagonal/>
    </border>
    <border>
      <left style="thin">
        <color indexed="64"/>
      </left>
      <right style="thin">
        <color indexed="64"/>
      </right>
      <top/>
      <bottom style="double">
        <color indexed="64"/>
      </bottom>
      <diagonal/>
    </border>
    <border>
      <left/>
      <right style="thin">
        <color rgb="FF000000"/>
      </right>
      <top/>
      <bottom/>
      <diagonal/>
    </border>
    <border>
      <left/>
      <right style="thin">
        <color rgb="FF000000"/>
      </right>
      <top style="thin">
        <color indexed="64"/>
      </top>
      <bottom/>
      <diagonal/>
    </border>
    <border>
      <left/>
      <right style="thin">
        <color rgb="FF000000"/>
      </right>
      <top style="thin">
        <color indexed="64"/>
      </top>
      <bottom style="medium">
        <color indexed="64"/>
      </bottom>
      <diagonal/>
    </border>
    <border>
      <left style="thin">
        <color indexed="64"/>
      </left>
      <right/>
      <top style="thin">
        <color indexed="64"/>
      </top>
      <bottom/>
      <diagonal/>
    </border>
    <border>
      <left/>
      <right style="thin">
        <color rgb="FF000000"/>
      </right>
      <top/>
      <bottom style="thin">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ck">
        <color auto="1"/>
      </right>
      <top/>
      <bottom/>
      <diagonal/>
    </border>
    <border>
      <left/>
      <right style="thick">
        <color auto="1"/>
      </right>
      <top style="thin">
        <color auto="1"/>
      </top>
      <bottom/>
      <diagonal/>
    </border>
    <border>
      <left/>
      <right style="thick">
        <color auto="1"/>
      </right>
      <top/>
      <bottom style="thin">
        <color auto="1"/>
      </bottom>
      <diagonal/>
    </border>
    <border>
      <left/>
      <right style="thick">
        <color auto="1"/>
      </right>
      <top style="thin">
        <color auto="1"/>
      </top>
      <bottom style="thin">
        <color auto="1"/>
      </bottom>
      <diagonal/>
    </border>
    <border>
      <left/>
      <right/>
      <top style="thin">
        <color rgb="FF000000"/>
      </top>
      <bottom/>
      <diagonal/>
    </border>
    <border>
      <left/>
      <right style="thick">
        <color auto="1"/>
      </right>
      <top style="thin">
        <color rgb="FF000000"/>
      </top>
      <bottom/>
      <diagonal/>
    </border>
    <border>
      <left/>
      <right/>
      <top/>
      <bottom style="thin">
        <color rgb="FF000000"/>
      </bottom>
      <diagonal/>
    </border>
    <border>
      <left/>
      <right style="thick">
        <color auto="1"/>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auto="1"/>
      </bottom>
      <diagonal/>
    </border>
    <border>
      <left style="dashed">
        <color indexed="64"/>
      </left>
      <right style="thin">
        <color indexed="64"/>
      </right>
      <top style="thin">
        <color indexed="64"/>
      </top>
      <bottom/>
      <diagonal/>
    </border>
    <border>
      <left style="dashed">
        <color auto="1"/>
      </left>
      <right style="thin">
        <color indexed="64"/>
      </right>
      <top/>
      <bottom/>
      <diagonal/>
    </border>
  </borders>
  <cellStyleXfs count="16">
    <xf numFmtId="0" fontId="0" fillId="0" borderId="0"/>
    <xf numFmtId="0" fontId="1" fillId="0" borderId="0"/>
    <xf numFmtId="9" fontId="1" fillId="0" borderId="0" applyFont="0" applyFill="0" applyBorder="0" applyAlignment="0" applyProtection="0"/>
    <xf numFmtId="9" fontId="21" fillId="0" borderId="0" applyFont="0" applyFill="0" applyBorder="0" applyAlignment="0" applyProtection="0"/>
    <xf numFmtId="0" fontId="25" fillId="0" borderId="0"/>
    <xf numFmtId="0" fontId="26" fillId="0" borderId="0" applyAlignment="0"/>
    <xf numFmtId="0" fontId="28" fillId="0" borderId="0"/>
    <xf numFmtId="9" fontId="2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0" fontId="211" fillId="0" borderId="0" applyNumberFormat="0" applyFill="0" applyBorder="0" applyAlignment="0" applyProtection="0"/>
    <xf numFmtId="0" fontId="214" fillId="0" borderId="0"/>
    <xf numFmtId="44" fontId="214" fillId="0" borderId="0" applyFont="0" applyFill="0" applyBorder="0" applyAlignment="0" applyProtection="0"/>
    <xf numFmtId="0" fontId="212" fillId="13" borderId="0" applyNumberFormat="0" applyBorder="0" applyAlignment="0" applyProtection="0"/>
    <xf numFmtId="0" fontId="21" fillId="0" borderId="0"/>
  </cellStyleXfs>
  <cellXfs count="2378">
    <xf numFmtId="0" fontId="0" fillId="0" borderId="0" xfId="0"/>
    <xf numFmtId="0" fontId="2" fillId="0" borderId="0" xfId="0" applyFont="1"/>
    <xf numFmtId="14" fontId="3" fillId="0" borderId="0" xfId="0" applyNumberFormat="1" applyFont="1"/>
    <xf numFmtId="0" fontId="4" fillId="0" borderId="0" xfId="0" applyFont="1"/>
    <xf numFmtId="0" fontId="2" fillId="0" borderId="1" xfId="0" applyFont="1" applyBorder="1"/>
    <xf numFmtId="0" fontId="3" fillId="0" borderId="1" xfId="0" applyFont="1" applyBorder="1"/>
    <xf numFmtId="14" fontId="5" fillId="0" borderId="1" xfId="0" applyNumberFormat="1" applyFont="1" applyBorder="1"/>
    <xf numFmtId="0" fontId="4" fillId="0" borderId="0" xfId="0" applyFont="1" applyAlignment="1">
      <alignment horizontal="centerContinuous"/>
    </xf>
    <xf numFmtId="0" fontId="2" fillId="0" borderId="0" xfId="0" applyFont="1" applyAlignment="1">
      <alignment horizontal="centerContinuous"/>
    </xf>
    <xf numFmtId="0" fontId="6" fillId="0" borderId="1" xfId="0" applyFont="1" applyBorder="1" applyAlignment="1">
      <alignment horizontal="center"/>
    </xf>
    <xf numFmtId="164" fontId="2" fillId="0" borderId="0" xfId="0" applyNumberFormat="1" applyFont="1"/>
    <xf numFmtId="0" fontId="4" fillId="0" borderId="2" xfId="0" applyFont="1" applyBorder="1"/>
    <xf numFmtId="165" fontId="2" fillId="0" borderId="0" xfId="0" applyNumberFormat="1" applyFont="1"/>
    <xf numFmtId="0" fontId="3" fillId="0" borderId="0" xfId="0" applyFont="1" applyAlignment="1">
      <alignment horizontal="left" indent="1"/>
    </xf>
    <xf numFmtId="165" fontId="3" fillId="0" borderId="0" xfId="0" applyNumberFormat="1" applyFont="1" applyAlignment="1">
      <alignment horizontal="left" indent="1"/>
    </xf>
    <xf numFmtId="165" fontId="3" fillId="0" borderId="0" xfId="0" applyNumberFormat="1" applyFont="1" applyAlignment="1">
      <alignment horizontal="right"/>
    </xf>
    <xf numFmtId="165" fontId="10" fillId="0" borderId="0" xfId="0" applyNumberFormat="1" applyFont="1" applyAlignment="1">
      <alignment horizontal="right"/>
    </xf>
    <xf numFmtId="165" fontId="10" fillId="0" borderId="0" xfId="0" quotePrefix="1" applyNumberFormat="1" applyFont="1" applyAlignment="1">
      <alignment horizontal="right"/>
    </xf>
    <xf numFmtId="0" fontId="2" fillId="0" borderId="0" xfId="0" applyFont="1" applyAlignment="1">
      <alignment horizontal="left"/>
    </xf>
    <xf numFmtId="165" fontId="3" fillId="0" borderId="0" xfId="0" applyNumberFormat="1" applyFont="1"/>
    <xf numFmtId="0" fontId="8" fillId="0" borderId="0" xfId="0" applyFont="1"/>
    <xf numFmtId="0" fontId="2" fillId="0" borderId="0" xfId="0" applyFont="1" applyAlignment="1">
      <alignment wrapText="1"/>
    </xf>
    <xf numFmtId="0" fontId="2" fillId="0" borderId="0" xfId="0" applyFont="1" applyAlignment="1">
      <alignment horizontal="left" indent="1"/>
    </xf>
    <xf numFmtId="7" fontId="2" fillId="0" borderId="0" xfId="0" applyNumberFormat="1" applyFont="1"/>
    <xf numFmtId="0" fontId="3" fillId="0" borderId="0" xfId="0" applyFont="1" applyAlignment="1">
      <alignment horizontal="left" indent="2"/>
    </xf>
    <xf numFmtId="165" fontId="3" fillId="0" borderId="0" xfId="0" applyNumberFormat="1" applyFont="1" applyAlignment="1">
      <alignment horizontal="left" indent="2"/>
    </xf>
    <xf numFmtId="0" fontId="15" fillId="0" borderId="0" xfId="0" applyFont="1"/>
    <xf numFmtId="0" fontId="4" fillId="2" borderId="3" xfId="0" applyFont="1" applyFill="1" applyBorder="1" applyAlignment="1">
      <alignment horizontal="left" indent="1"/>
    </xf>
    <xf numFmtId="0" fontId="4" fillId="2" borderId="4" xfId="0" applyFont="1" applyFill="1" applyBorder="1" applyAlignment="1">
      <alignment horizontal="left" indent="1"/>
    </xf>
    <xf numFmtId="167" fontId="4" fillId="2" borderId="5" xfId="0" applyNumberFormat="1" applyFont="1" applyFill="1" applyBorder="1"/>
    <xf numFmtId="0" fontId="4" fillId="0" borderId="3" xfId="0" applyFont="1" applyBorder="1" applyAlignment="1">
      <alignment horizontal="centerContinuous"/>
    </xf>
    <xf numFmtId="0" fontId="4" fillId="0" borderId="4" xfId="0" applyFont="1" applyBorder="1" applyAlignment="1">
      <alignment horizontal="centerContinuous"/>
    </xf>
    <xf numFmtId="0" fontId="4" fillId="0" borderId="0" xfId="0" applyFont="1" applyAlignment="1">
      <alignment horizontal="left" indent="1"/>
    </xf>
    <xf numFmtId="5" fontId="18" fillId="0" borderId="0" xfId="0" applyNumberFormat="1" applyFont="1"/>
    <xf numFmtId="165" fontId="9" fillId="0" borderId="0" xfId="0" applyNumberFormat="1" applyFont="1"/>
    <xf numFmtId="166" fontId="3" fillId="0" borderId="0" xfId="0" applyNumberFormat="1" applyFont="1" applyAlignment="1">
      <alignment horizontal="right"/>
    </xf>
    <xf numFmtId="41" fontId="13" fillId="0" borderId="0" xfId="0" applyNumberFormat="1" applyFont="1"/>
    <xf numFmtId="5" fontId="2" fillId="0" borderId="0" xfId="0" applyNumberFormat="1" applyFont="1"/>
    <xf numFmtId="166" fontId="9" fillId="0" borderId="0" xfId="0" applyNumberFormat="1" applyFont="1" applyAlignment="1">
      <alignment horizontal="right"/>
    </xf>
    <xf numFmtId="166" fontId="14" fillId="0" borderId="0" xfId="0" applyNumberFormat="1" applyFont="1" applyAlignment="1">
      <alignment horizontal="right"/>
    </xf>
    <xf numFmtId="41" fontId="2" fillId="0" borderId="0" xfId="0" applyNumberFormat="1" applyFont="1"/>
    <xf numFmtId="166" fontId="2" fillId="0" borderId="0" xfId="0" applyNumberFormat="1" applyFont="1"/>
    <xf numFmtId="0" fontId="6" fillId="0" borderId="0" xfId="0" applyFont="1" applyAlignment="1">
      <alignment horizontal="center"/>
    </xf>
    <xf numFmtId="0" fontId="2" fillId="0" borderId="4" xfId="0" applyFont="1" applyBorder="1" applyAlignment="1">
      <alignment horizontal="centerContinuous"/>
    </xf>
    <xf numFmtId="0" fontId="2" fillId="0" borderId="5" xfId="0" applyFont="1" applyBorder="1" applyAlignment="1">
      <alignment horizontal="centerContinuous"/>
    </xf>
    <xf numFmtId="0" fontId="15" fillId="0" borderId="0" xfId="0" applyFont="1" applyAlignment="1">
      <alignment horizontal="right"/>
    </xf>
    <xf numFmtId="43" fontId="11" fillId="0" borderId="0" xfId="0" applyNumberFormat="1" applyFont="1"/>
    <xf numFmtId="168" fontId="6" fillId="0" borderId="0" xfId="0" applyNumberFormat="1" applyFont="1" applyAlignment="1">
      <alignment horizontal="center"/>
    </xf>
    <xf numFmtId="41" fontId="18" fillId="0" borderId="0" xfId="0" applyNumberFormat="1" applyFont="1"/>
    <xf numFmtId="41" fontId="8" fillId="0" borderId="0" xfId="0" applyNumberFormat="1" applyFont="1"/>
    <xf numFmtId="41" fontId="12" fillId="0" borderId="0" xfId="0" applyNumberFormat="1" applyFont="1"/>
    <xf numFmtId="41" fontId="4" fillId="0" borderId="0" xfId="0" applyNumberFormat="1" applyFont="1"/>
    <xf numFmtId="37" fontId="2" fillId="0" borderId="0" xfId="0" applyNumberFormat="1" applyFont="1"/>
    <xf numFmtId="41" fontId="11" fillId="0" borderId="0" xfId="0" applyNumberFormat="1" applyFont="1"/>
    <xf numFmtId="41" fontId="20" fillId="0" borderId="0" xfId="0" applyNumberFormat="1" applyFont="1"/>
    <xf numFmtId="0" fontId="2" fillId="0" borderId="0" xfId="0" applyFont="1" applyAlignment="1">
      <alignment horizontal="center"/>
    </xf>
    <xf numFmtId="14" fontId="18" fillId="0" borderId="1" xfId="0" applyNumberFormat="1" applyFont="1" applyBorder="1"/>
    <xf numFmtId="170" fontId="2" fillId="0" borderId="0" xfId="3" applyNumberFormat="1" applyFont="1"/>
    <xf numFmtId="171" fontId="2" fillId="0" borderId="0" xfId="0" applyNumberFormat="1" applyFont="1"/>
    <xf numFmtId="165" fontId="22" fillId="0" borderId="0" xfId="0" applyNumberFormat="1" applyFont="1" applyAlignment="1">
      <alignment horizontal="right"/>
    </xf>
    <xf numFmtId="41" fontId="24" fillId="0" borderId="0" xfId="0" applyNumberFormat="1" applyFont="1"/>
    <xf numFmtId="41" fontId="23" fillId="0" borderId="0" xfId="0" applyNumberFormat="1" applyFont="1"/>
    <xf numFmtId="43" fontId="18" fillId="0" borderId="0" xfId="0" applyNumberFormat="1" applyFont="1"/>
    <xf numFmtId="39" fontId="4" fillId="0" borderId="0" xfId="0" applyNumberFormat="1" applyFont="1"/>
    <xf numFmtId="37" fontId="8" fillId="0" borderId="0" xfId="0" applyNumberFormat="1" applyFont="1"/>
    <xf numFmtId="37" fontId="4" fillId="0" borderId="0" xfId="0" applyNumberFormat="1" applyFont="1"/>
    <xf numFmtId="169" fontId="18" fillId="0" borderId="0" xfId="0" applyNumberFormat="1" applyFont="1"/>
    <xf numFmtId="43" fontId="8" fillId="0" borderId="0" xfId="0" applyNumberFormat="1" applyFont="1"/>
    <xf numFmtId="169" fontId="7" fillId="0" borderId="0" xfId="0" applyNumberFormat="1" applyFont="1"/>
    <xf numFmtId="169" fontId="8" fillId="0" borderId="0" xfId="0" applyNumberFormat="1" applyFont="1"/>
    <xf numFmtId="41" fontId="7" fillId="0" borderId="0" xfId="0" applyNumberFormat="1" applyFont="1"/>
    <xf numFmtId="9" fontId="2" fillId="0" borderId="0" xfId="3" applyFont="1"/>
    <xf numFmtId="0" fontId="27" fillId="0" borderId="0" xfId="0" applyFont="1"/>
    <xf numFmtId="165" fontId="27" fillId="0" borderId="0" xfId="0" applyNumberFormat="1" applyFont="1"/>
    <xf numFmtId="0" fontId="28" fillId="0" borderId="0" xfId="6"/>
    <xf numFmtId="0" fontId="30" fillId="0" borderId="0" xfId="6" applyFont="1" applyAlignment="1">
      <alignment horizontal="left" vertical="top" wrapText="1"/>
    </xf>
    <xf numFmtId="0" fontId="30" fillId="0" borderId="6" xfId="6" applyFont="1" applyBorder="1" applyAlignment="1">
      <alignment horizontal="center" wrapText="1"/>
    </xf>
    <xf numFmtId="0" fontId="30" fillId="0" borderId="0" xfId="6" applyFont="1" applyAlignment="1">
      <alignment horizontal="left"/>
    </xf>
    <xf numFmtId="172" fontId="31" fillId="0" borderId="0" xfId="6" applyNumberFormat="1" applyFont="1" applyAlignment="1">
      <alignment horizontal="right"/>
    </xf>
    <xf numFmtId="0" fontId="32" fillId="0" borderId="0" xfId="6" applyFont="1"/>
    <xf numFmtId="172" fontId="28" fillId="0" borderId="0" xfId="6" applyNumberFormat="1"/>
    <xf numFmtId="0" fontId="33" fillId="0" borderId="0" xfId="6" applyFont="1"/>
    <xf numFmtId="0" fontId="11" fillId="0" borderId="0" xfId="0" applyFont="1"/>
    <xf numFmtId="0" fontId="8" fillId="0" borderId="0" xfId="0" applyFont="1" applyAlignment="1">
      <alignment horizontal="left"/>
    </xf>
    <xf numFmtId="0" fontId="19" fillId="0" borderId="0" xfId="0" applyFont="1"/>
    <xf numFmtId="165" fontId="10" fillId="0" borderId="0" xfId="0" applyNumberFormat="1" applyFont="1"/>
    <xf numFmtId="165" fontId="22" fillId="0" borderId="0" xfId="0" applyNumberFormat="1" applyFont="1"/>
    <xf numFmtId="43" fontId="23" fillId="0" borderId="0" xfId="0" applyNumberFormat="1" applyFont="1"/>
    <xf numFmtId="0" fontId="22" fillId="0" borderId="0" xfId="0" applyFont="1"/>
    <xf numFmtId="0" fontId="22" fillId="0" borderId="0" xfId="0" applyFont="1" applyAlignment="1">
      <alignment horizontal="right"/>
    </xf>
    <xf numFmtId="166" fontId="34" fillId="0" borderId="0" xfId="0" applyNumberFormat="1" applyFont="1"/>
    <xf numFmtId="166" fontId="24" fillId="0" borderId="0" xfId="0" applyNumberFormat="1" applyFont="1"/>
    <xf numFmtId="43" fontId="12" fillId="0" borderId="0" xfId="0" applyNumberFormat="1" applyFont="1"/>
    <xf numFmtId="37" fontId="19" fillId="0" borderId="0" xfId="0" applyNumberFormat="1" applyFont="1"/>
    <xf numFmtId="39" fontId="19" fillId="0" borderId="0" xfId="0" applyNumberFormat="1" applyFont="1"/>
    <xf numFmtId="41" fontId="10" fillId="0" borderId="0" xfId="0" applyNumberFormat="1" applyFont="1"/>
    <xf numFmtId="173" fontId="2" fillId="0" borderId="0" xfId="0" applyNumberFormat="1" applyFont="1"/>
    <xf numFmtId="0" fontId="10" fillId="0" borderId="0" xfId="0" applyFont="1" applyAlignment="1">
      <alignment horizontal="left" indent="1"/>
    </xf>
    <xf numFmtId="0" fontId="6" fillId="0" borderId="11" xfId="0" applyFont="1" applyBorder="1" applyAlignment="1">
      <alignment horizontal="center"/>
    </xf>
    <xf numFmtId="164" fontId="2" fillId="0" borderId="12" xfId="0" applyNumberFormat="1" applyFont="1" applyBorder="1"/>
    <xf numFmtId="0" fontId="2" fillId="0" borderId="12" xfId="0" applyFont="1" applyBorder="1"/>
    <xf numFmtId="41" fontId="7" fillId="0" borderId="12" xfId="0" applyNumberFormat="1" applyFont="1" applyBorder="1"/>
    <xf numFmtId="165" fontId="3" fillId="0" borderId="12" xfId="0" applyNumberFormat="1" applyFont="1" applyBorder="1" applyAlignment="1">
      <alignment horizontal="right"/>
    </xf>
    <xf numFmtId="165" fontId="10" fillId="0" borderId="12" xfId="0" applyNumberFormat="1" applyFont="1" applyBorder="1" applyAlignment="1">
      <alignment horizontal="right"/>
    </xf>
    <xf numFmtId="0" fontId="8" fillId="0" borderId="12" xfId="0" applyFont="1" applyBorder="1"/>
    <xf numFmtId="165" fontId="3" fillId="0" borderId="12" xfId="0" applyNumberFormat="1" applyFont="1" applyBorder="1"/>
    <xf numFmtId="41" fontId="8" fillId="0" borderId="12" xfId="0" applyNumberFormat="1" applyFont="1" applyBorder="1"/>
    <xf numFmtId="165" fontId="22" fillId="0" borderId="12" xfId="0" applyNumberFormat="1" applyFont="1" applyBorder="1"/>
    <xf numFmtId="41" fontId="2" fillId="0" borderId="12" xfId="0" applyNumberFormat="1" applyFont="1" applyBorder="1"/>
    <xf numFmtId="41" fontId="20" fillId="0" borderId="12" xfId="0" applyNumberFormat="1" applyFont="1" applyBorder="1"/>
    <xf numFmtId="37" fontId="8" fillId="0" borderId="12" xfId="0" applyNumberFormat="1" applyFont="1" applyBorder="1"/>
    <xf numFmtId="5" fontId="8" fillId="0" borderId="12" xfId="0" applyNumberFormat="1" applyFont="1" applyBorder="1"/>
    <xf numFmtId="166" fontId="3" fillId="0" borderId="12" xfId="0" applyNumberFormat="1" applyFont="1" applyBorder="1" applyAlignment="1">
      <alignment horizontal="right"/>
    </xf>
    <xf numFmtId="166" fontId="14" fillId="0" borderId="12" xfId="0" applyNumberFormat="1" applyFont="1" applyBorder="1" applyAlignment="1">
      <alignment horizontal="right"/>
    </xf>
    <xf numFmtId="5" fontId="2" fillId="0" borderId="12" xfId="0" applyNumberFormat="1" applyFont="1" applyBorder="1"/>
    <xf numFmtId="166" fontId="2" fillId="0" borderId="12" xfId="0" applyNumberFormat="1" applyFont="1" applyBorder="1"/>
    <xf numFmtId="166" fontId="22" fillId="0" borderId="0" xfId="0" applyNumberFormat="1" applyFont="1" applyAlignment="1">
      <alignment horizontal="right"/>
    </xf>
    <xf numFmtId="0" fontId="35" fillId="0" borderId="0" xfId="0" applyFont="1"/>
    <xf numFmtId="0" fontId="1" fillId="0" borderId="0" xfId="0" applyFont="1"/>
    <xf numFmtId="0" fontId="1" fillId="0" borderId="0" xfId="0" applyFont="1" applyAlignment="1">
      <alignment horizontal="center"/>
    </xf>
    <xf numFmtId="0" fontId="36" fillId="0" borderId="0" xfId="0" applyFont="1"/>
    <xf numFmtId="0" fontId="37" fillId="0" borderId="0" xfId="0" applyFont="1"/>
    <xf numFmtId="175" fontId="38" fillId="3" borderId="13" xfId="9" applyNumberFormat="1" applyFont="1" applyFill="1" applyBorder="1"/>
    <xf numFmtId="176" fontId="39" fillId="0" borderId="0" xfId="0" applyNumberFormat="1" applyFont="1" applyAlignment="1">
      <alignment horizontal="center"/>
    </xf>
    <xf numFmtId="0" fontId="40" fillId="3" borderId="13" xfId="1" applyFont="1" applyFill="1" applyBorder="1" applyAlignment="1">
      <alignment horizontal="center"/>
    </xf>
    <xf numFmtId="0" fontId="41" fillId="0" borderId="0" xfId="0" applyFont="1" applyAlignment="1">
      <alignment horizontal="centerContinuous"/>
    </xf>
    <xf numFmtId="0" fontId="42" fillId="0" borderId="0" xfId="0" applyFont="1" applyAlignment="1">
      <alignment horizontal="centerContinuous"/>
    </xf>
    <xf numFmtId="0" fontId="42" fillId="0" borderId="0" xfId="0" applyFont="1" applyAlignment="1">
      <alignment horizontal="center"/>
    </xf>
    <xf numFmtId="0" fontId="43" fillId="0" borderId="0" xfId="0" applyFont="1" applyAlignment="1">
      <alignment horizontal="center"/>
    </xf>
    <xf numFmtId="175" fontId="38" fillId="3" borderId="14" xfId="9" applyNumberFormat="1" applyFont="1" applyFill="1" applyBorder="1"/>
    <xf numFmtId="0" fontId="44" fillId="0" borderId="15" xfId="0" applyFont="1" applyBorder="1" applyAlignment="1">
      <alignment horizontal="centerContinuous"/>
    </xf>
    <xf numFmtId="0" fontId="39" fillId="0" borderId="15" xfId="0" applyFont="1" applyBorder="1" applyAlignment="1">
      <alignment horizontal="centerContinuous"/>
    </xf>
    <xf numFmtId="0" fontId="45" fillId="0" borderId="0" xfId="0" applyFont="1"/>
    <xf numFmtId="0" fontId="46" fillId="0" borderId="0" xfId="0" applyFont="1"/>
    <xf numFmtId="175" fontId="44" fillId="3" borderId="14" xfId="9" applyNumberFormat="1" applyFont="1" applyFill="1" applyBorder="1" applyAlignment="1">
      <alignment horizontal="center"/>
    </xf>
    <xf numFmtId="0" fontId="44" fillId="0" borderId="4" xfId="0" applyFont="1" applyBorder="1" applyAlignment="1">
      <alignment horizontal="center"/>
    </xf>
    <xf numFmtId="177" fontId="47" fillId="0" borderId="0" xfId="0" applyNumberFormat="1" applyFont="1" applyAlignment="1">
      <alignment horizontal="center"/>
    </xf>
    <xf numFmtId="178" fontId="47" fillId="0" borderId="0" xfId="0" applyNumberFormat="1" applyFont="1" applyAlignment="1">
      <alignment horizontal="center"/>
    </xf>
    <xf numFmtId="177" fontId="47" fillId="0" borderId="0" xfId="0" quotePrefix="1" applyNumberFormat="1" applyFont="1" applyAlignment="1">
      <alignment horizontal="center"/>
    </xf>
    <xf numFmtId="0" fontId="48" fillId="0" borderId="0" xfId="0" applyFont="1"/>
    <xf numFmtId="0" fontId="49" fillId="0" borderId="0" xfId="0" applyFont="1"/>
    <xf numFmtId="177" fontId="47" fillId="3" borderId="14" xfId="0" applyNumberFormat="1" applyFont="1" applyFill="1" applyBorder="1" applyAlignment="1">
      <alignment horizontal="center"/>
    </xf>
    <xf numFmtId="177" fontId="47" fillId="0" borderId="1" xfId="0" quotePrefix="1" applyNumberFormat="1" applyFont="1" applyBorder="1" applyAlignment="1">
      <alignment horizontal="center"/>
    </xf>
    <xf numFmtId="0" fontId="50" fillId="0" borderId="16" xfId="0" applyFont="1" applyBorder="1" applyAlignment="1">
      <alignment vertical="center"/>
    </xf>
    <xf numFmtId="0" fontId="51" fillId="0" borderId="16" xfId="0" applyFont="1" applyBorder="1"/>
    <xf numFmtId="179" fontId="52" fillId="3" borderId="17" xfId="9" applyNumberFormat="1" applyFont="1" applyFill="1" applyBorder="1"/>
    <xf numFmtId="179" fontId="52" fillId="0" borderId="16" xfId="9" applyNumberFormat="1" applyFont="1" applyFill="1" applyBorder="1"/>
    <xf numFmtId="179" fontId="53" fillId="3" borderId="17" xfId="9" applyNumberFormat="1" applyFont="1" applyFill="1" applyBorder="1"/>
    <xf numFmtId="179" fontId="53" fillId="0" borderId="16" xfId="9" applyNumberFormat="1" applyFont="1" applyFill="1" applyBorder="1"/>
    <xf numFmtId="180" fontId="53" fillId="0" borderId="0" xfId="9" applyNumberFormat="1" applyFont="1" applyFill="1" applyBorder="1"/>
    <xf numFmtId="181" fontId="0" fillId="0" borderId="0" xfId="0" applyNumberFormat="1"/>
    <xf numFmtId="182" fontId="53" fillId="0" borderId="0" xfId="9" applyNumberFormat="1" applyFont="1" applyFill="1" applyBorder="1"/>
    <xf numFmtId="183" fontId="53" fillId="0" borderId="0" xfId="9" applyNumberFormat="1" applyFont="1" applyFill="1" applyBorder="1"/>
    <xf numFmtId="0" fontId="54" fillId="0" borderId="0" xfId="0" applyFont="1" applyAlignment="1">
      <alignment horizontal="left" indent="1"/>
    </xf>
    <xf numFmtId="183" fontId="46" fillId="3" borderId="14" xfId="10" applyNumberFormat="1" applyFont="1" applyFill="1" applyBorder="1"/>
    <xf numFmtId="183" fontId="55" fillId="0" borderId="0" xfId="10" applyNumberFormat="1" applyFont="1" applyFill="1"/>
    <xf numFmtId="170" fontId="46" fillId="3" borderId="14" xfId="3" applyNumberFormat="1" applyFont="1" applyFill="1" applyBorder="1"/>
    <xf numFmtId="183" fontId="56" fillId="0" borderId="0" xfId="10" applyNumberFormat="1" applyFont="1" applyFill="1"/>
    <xf numFmtId="182" fontId="46" fillId="0" borderId="0" xfId="10" applyNumberFormat="1" applyFont="1" applyFill="1" applyBorder="1" applyAlignment="1">
      <alignment horizontal="right"/>
    </xf>
    <xf numFmtId="9" fontId="0" fillId="0" borderId="0" xfId="3" applyFont="1"/>
    <xf numFmtId="182" fontId="54" fillId="0" borderId="0" xfId="10" applyNumberFormat="1" applyFont="1" applyFill="1" applyBorder="1"/>
    <xf numFmtId="183" fontId="46" fillId="0" borderId="0" xfId="10" applyNumberFormat="1" applyFont="1" applyFill="1" applyBorder="1" applyAlignment="1">
      <alignment horizontal="right"/>
    </xf>
    <xf numFmtId="183" fontId="55" fillId="3" borderId="14" xfId="10" applyNumberFormat="1" applyFont="1" applyFill="1" applyBorder="1"/>
    <xf numFmtId="0" fontId="50" fillId="0" borderId="0" xfId="0" applyFont="1"/>
    <xf numFmtId="0" fontId="57" fillId="0" borderId="0" xfId="0" applyFont="1" applyAlignment="1">
      <alignment horizontal="left" indent="1"/>
    </xf>
    <xf numFmtId="183" fontId="58" fillId="3" borderId="14" xfId="10" applyNumberFormat="1" applyFont="1" applyFill="1" applyBorder="1"/>
    <xf numFmtId="183" fontId="59" fillId="0" borderId="0" xfId="10" applyNumberFormat="1" applyFont="1" applyFill="1"/>
    <xf numFmtId="183" fontId="60" fillId="0" borderId="0" xfId="10" applyNumberFormat="1" applyFont="1" applyFill="1"/>
    <xf numFmtId="182" fontId="58" fillId="0" borderId="0" xfId="10" applyNumberFormat="1" applyFont="1" applyFill="1" applyBorder="1" applyAlignment="1">
      <alignment horizontal="right"/>
    </xf>
    <xf numFmtId="182" fontId="57" fillId="0" borderId="0" xfId="10" applyNumberFormat="1" applyFont="1" applyFill="1" applyBorder="1"/>
    <xf numFmtId="183" fontId="58" fillId="0" borderId="0" xfId="10" applyNumberFormat="1" applyFont="1" applyFill="1" applyBorder="1" applyAlignment="1">
      <alignment horizontal="right"/>
    </xf>
    <xf numFmtId="183" fontId="55" fillId="3" borderId="14" xfId="10" applyNumberFormat="1" applyFont="1" applyFill="1" applyBorder="1" applyAlignment="1">
      <alignment horizontal="right"/>
    </xf>
    <xf numFmtId="183" fontId="56" fillId="3" borderId="14" xfId="10" applyNumberFormat="1" applyFont="1" applyFill="1" applyBorder="1"/>
    <xf numFmtId="184" fontId="46" fillId="0" borderId="0" xfId="10" applyNumberFormat="1" applyFont="1" applyFill="1" applyBorder="1" applyAlignment="1">
      <alignment horizontal="right"/>
    </xf>
    <xf numFmtId="0" fontId="57" fillId="0" borderId="18" xfId="0" applyFont="1" applyBorder="1" applyAlignment="1">
      <alignment horizontal="left" indent="1"/>
    </xf>
    <xf numFmtId="0" fontId="50" fillId="0" borderId="19" xfId="0" applyFont="1" applyBorder="1"/>
    <xf numFmtId="183" fontId="59" fillId="3" borderId="20" xfId="10" applyNumberFormat="1" applyFont="1" applyFill="1" applyBorder="1"/>
    <xf numFmtId="183" fontId="60" fillId="0" borderId="19" xfId="10" applyNumberFormat="1" applyFont="1" applyFill="1" applyBorder="1"/>
    <xf numFmtId="183" fontId="59" fillId="0" borderId="19" xfId="10" applyNumberFormat="1" applyFont="1" applyFill="1" applyBorder="1"/>
    <xf numFmtId="183" fontId="60" fillId="3" borderId="20" xfId="10" applyNumberFormat="1" applyFont="1" applyFill="1" applyBorder="1" applyAlignment="1">
      <alignment horizontal="right"/>
    </xf>
    <xf numFmtId="183" fontId="58" fillId="3" borderId="20" xfId="10" applyNumberFormat="1" applyFont="1" applyFill="1" applyBorder="1"/>
    <xf numFmtId="183" fontId="58" fillId="3" borderId="21" xfId="10" applyNumberFormat="1" applyFont="1" applyFill="1" applyBorder="1"/>
    <xf numFmtId="183" fontId="59" fillId="3" borderId="14" xfId="10" applyNumberFormat="1" applyFont="1" applyFill="1" applyBorder="1"/>
    <xf numFmtId="9" fontId="61" fillId="3" borderId="14" xfId="3" applyFont="1" applyFill="1" applyBorder="1"/>
    <xf numFmtId="0" fontId="61" fillId="0" borderId="0" xfId="0" applyFont="1"/>
    <xf numFmtId="0" fontId="61" fillId="3" borderId="14" xfId="0" applyFont="1" applyFill="1" applyBorder="1"/>
    <xf numFmtId="9" fontId="45" fillId="0" borderId="0" xfId="3" applyFont="1" applyFill="1"/>
    <xf numFmtId="0" fontId="45" fillId="3" borderId="14" xfId="0" applyFont="1" applyFill="1" applyBorder="1"/>
    <xf numFmtId="182" fontId="45" fillId="0" borderId="0" xfId="0" applyNumberFormat="1" applyFont="1"/>
    <xf numFmtId="0" fontId="62" fillId="0" borderId="0" xfId="0" applyFont="1"/>
    <xf numFmtId="175" fontId="62" fillId="3" borderId="14" xfId="9" applyNumberFormat="1" applyFont="1" applyFill="1" applyBorder="1"/>
    <xf numFmtId="175" fontId="61" fillId="0" borderId="0" xfId="9" applyNumberFormat="1" applyFont="1" applyFill="1"/>
    <xf numFmtId="175" fontId="61" fillId="3" borderId="14" xfId="9" applyNumberFormat="1" applyFont="1" applyFill="1" applyBorder="1"/>
    <xf numFmtId="175" fontId="61" fillId="0" borderId="0" xfId="9" applyNumberFormat="1" applyFont="1" applyFill="1" applyBorder="1"/>
    <xf numFmtId="175" fontId="62" fillId="0" borderId="0" xfId="9" applyNumberFormat="1" applyFont="1" applyFill="1"/>
    <xf numFmtId="185" fontId="62" fillId="0" borderId="0" xfId="9" applyNumberFormat="1" applyFont="1" applyFill="1" applyBorder="1"/>
    <xf numFmtId="182" fontId="62" fillId="0" borderId="0" xfId="9" applyNumberFormat="1" applyFont="1" applyFill="1" applyBorder="1"/>
    <xf numFmtId="183" fontId="62" fillId="0" borderId="0" xfId="9" applyNumberFormat="1" applyFont="1" applyFill="1" applyBorder="1"/>
    <xf numFmtId="0" fontId="46" fillId="0" borderId="0" xfId="0" applyFont="1" applyAlignment="1">
      <alignment horizontal="left" indent="1"/>
    </xf>
    <xf numFmtId="0" fontId="54" fillId="0" borderId="0" xfId="0" applyFont="1"/>
    <xf numFmtId="37" fontId="46" fillId="3" borderId="14" xfId="10" applyNumberFormat="1" applyFont="1" applyFill="1" applyBorder="1"/>
    <xf numFmtId="37" fontId="56" fillId="0" borderId="0" xfId="10" applyNumberFormat="1" applyFont="1" applyFill="1" applyBorder="1"/>
    <xf numFmtId="37" fontId="55" fillId="0" borderId="0" xfId="10" applyNumberFormat="1" applyFont="1" applyFill="1"/>
    <xf numFmtId="185" fontId="61" fillId="0" borderId="0" xfId="0" applyNumberFormat="1" applyFont="1"/>
    <xf numFmtId="185" fontId="45" fillId="0" borderId="0" xfId="0" applyNumberFormat="1" applyFont="1"/>
    <xf numFmtId="185" fontId="45" fillId="3" borderId="14" xfId="0" applyNumberFormat="1" applyFont="1" applyFill="1" applyBorder="1"/>
    <xf numFmtId="183" fontId="45" fillId="0" borderId="0" xfId="0" applyNumberFormat="1" applyFont="1"/>
    <xf numFmtId="186" fontId="50" fillId="3" borderId="14" xfId="0" applyNumberFormat="1" applyFont="1" applyFill="1" applyBorder="1"/>
    <xf numFmtId="187" fontId="63" fillId="0" borderId="0" xfId="9" applyNumberFormat="1" applyFont="1" applyFill="1"/>
    <xf numFmtId="183" fontId="53" fillId="3" borderId="14" xfId="10" applyNumberFormat="1" applyFont="1" applyFill="1" applyBorder="1"/>
    <xf numFmtId="183" fontId="53" fillId="0" borderId="0" xfId="10" applyNumberFormat="1" applyFont="1" applyFill="1"/>
    <xf numFmtId="37" fontId="46" fillId="0" borderId="0" xfId="10" applyNumberFormat="1" applyFont="1" applyFill="1"/>
    <xf numFmtId="182" fontId="46" fillId="0" borderId="0" xfId="10" applyNumberFormat="1" applyFont="1" applyFill="1" applyBorder="1"/>
    <xf numFmtId="183" fontId="46" fillId="0" borderId="0" xfId="10" applyNumberFormat="1" applyFont="1" applyFill="1" applyBorder="1"/>
    <xf numFmtId="182" fontId="64" fillId="0" borderId="0" xfId="0" applyNumberFormat="1" applyFont="1"/>
    <xf numFmtId="174" fontId="61" fillId="3" borderId="14" xfId="9" applyNumberFormat="1" applyFont="1" applyFill="1" applyBorder="1"/>
    <xf numFmtId="174" fontId="61" fillId="0" borderId="0" xfId="9" applyNumberFormat="1" applyFont="1" applyFill="1" applyBorder="1"/>
    <xf numFmtId="174" fontId="45" fillId="0" borderId="0" xfId="9" applyNumberFormat="1" applyFont="1" applyFill="1" applyBorder="1"/>
    <xf numFmtId="174" fontId="45" fillId="3" borderId="14" xfId="9" applyNumberFormat="1" applyFont="1" applyFill="1" applyBorder="1"/>
    <xf numFmtId="182" fontId="45" fillId="0" borderId="0" xfId="9" applyNumberFormat="1" applyFont="1" applyFill="1" applyBorder="1"/>
    <xf numFmtId="0" fontId="50" fillId="0" borderId="22" xfId="0" applyFont="1" applyBorder="1"/>
    <xf numFmtId="0" fontId="50" fillId="0" borderId="23" xfId="0" applyFont="1" applyBorder="1"/>
    <xf numFmtId="179" fontId="52" fillId="3" borderId="24" xfId="9" applyNumberFormat="1" applyFont="1" applyFill="1" applyBorder="1"/>
    <xf numFmtId="179" fontId="52" fillId="0" borderId="23" xfId="9" applyNumberFormat="1" applyFont="1" applyFill="1" applyBorder="1"/>
    <xf numFmtId="179" fontId="53" fillId="3" borderId="24" xfId="9" applyNumberFormat="1" applyFont="1" applyFill="1" applyBorder="1"/>
    <xf numFmtId="179" fontId="53" fillId="0" borderId="23" xfId="9" applyNumberFormat="1" applyFont="1" applyFill="1" applyBorder="1"/>
    <xf numFmtId="179" fontId="53" fillId="3" borderId="25" xfId="9" applyNumberFormat="1" applyFont="1" applyFill="1" applyBorder="1"/>
    <xf numFmtId="179" fontId="52" fillId="0" borderId="25" xfId="9" applyNumberFormat="1" applyFont="1" applyFill="1" applyBorder="1"/>
    <xf numFmtId="179" fontId="53" fillId="0" borderId="26" xfId="9" applyNumberFormat="1" applyFont="1" applyFill="1" applyBorder="1"/>
    <xf numFmtId="179" fontId="53" fillId="3" borderId="27" xfId="9" applyNumberFormat="1" applyFont="1" applyFill="1" applyBorder="1"/>
    <xf numFmtId="0" fontId="57" fillId="0" borderId="28" xfId="0" applyFont="1" applyBorder="1" applyAlignment="1">
      <alignment horizontal="left" indent="1"/>
    </xf>
    <xf numFmtId="183" fontId="59" fillId="0" borderId="0" xfId="10" applyNumberFormat="1" applyFont="1" applyFill="1" applyBorder="1"/>
    <xf numFmtId="170" fontId="58" fillId="3" borderId="14" xfId="3" applyNumberFormat="1" applyFont="1" applyFill="1" applyBorder="1"/>
    <xf numFmtId="183" fontId="58" fillId="0" borderId="0" xfId="10" applyNumberFormat="1" applyFont="1" applyFill="1" applyBorder="1"/>
    <xf numFmtId="183" fontId="58" fillId="3" borderId="29" xfId="10" applyNumberFormat="1" applyFont="1" applyFill="1" applyBorder="1"/>
    <xf numFmtId="183" fontId="59" fillId="0" borderId="29" xfId="10" applyNumberFormat="1" applyFont="1" applyFill="1" applyBorder="1"/>
    <xf numFmtId="183" fontId="58" fillId="0" borderId="10" xfId="10" applyNumberFormat="1" applyFont="1" applyFill="1" applyBorder="1"/>
    <xf numFmtId="183" fontId="58" fillId="3" borderId="30" xfId="10" applyNumberFormat="1" applyFont="1" applyFill="1" applyBorder="1"/>
    <xf numFmtId="0" fontId="50" fillId="0" borderId="28" xfId="0" applyFont="1" applyBorder="1" applyAlignment="1">
      <alignment vertical="center"/>
    </xf>
    <xf numFmtId="183" fontId="52" fillId="0" borderId="0" xfId="10" applyNumberFormat="1" applyFont="1" applyFill="1" applyBorder="1"/>
    <xf numFmtId="183" fontId="53" fillId="0" borderId="0" xfId="10" applyNumberFormat="1" applyFont="1" applyFill="1" applyBorder="1"/>
    <xf numFmtId="183" fontId="53" fillId="3" borderId="29" xfId="10" applyNumberFormat="1" applyFont="1" applyFill="1" applyBorder="1"/>
    <xf numFmtId="183" fontId="52" fillId="0" borderId="29" xfId="10" applyNumberFormat="1" applyFont="1" applyFill="1" applyBorder="1"/>
    <xf numFmtId="183" fontId="53" fillId="0" borderId="10" xfId="10" applyNumberFormat="1" applyFont="1" applyFill="1" applyBorder="1"/>
    <xf numFmtId="183" fontId="53" fillId="3" borderId="30" xfId="10" applyNumberFormat="1" applyFont="1" applyFill="1" applyBorder="1"/>
    <xf numFmtId="182" fontId="62" fillId="0" borderId="0" xfId="10" applyNumberFormat="1" applyFont="1" applyFill="1" applyBorder="1"/>
    <xf numFmtId="182" fontId="45" fillId="0" borderId="0" xfId="10" applyNumberFormat="1" applyFont="1" applyFill="1" applyBorder="1"/>
    <xf numFmtId="0" fontId="58" fillId="0" borderId="31" xfId="0" applyFont="1" applyBorder="1" applyAlignment="1">
      <alignment horizontal="left" indent="1"/>
    </xf>
    <xf numFmtId="0" fontId="50" fillId="0" borderId="32" xfId="0" applyFont="1" applyBorder="1"/>
    <xf numFmtId="37" fontId="58" fillId="3" borderId="33" xfId="10" applyNumberFormat="1" applyFont="1" applyFill="1" applyBorder="1"/>
    <xf numFmtId="183" fontId="59" fillId="0" borderId="32" xfId="10" applyNumberFormat="1" applyFont="1" applyFill="1" applyBorder="1"/>
    <xf numFmtId="183" fontId="59" fillId="3" borderId="33" xfId="10" applyNumberFormat="1" applyFont="1" applyFill="1" applyBorder="1"/>
    <xf numFmtId="37" fontId="58" fillId="0" borderId="32" xfId="10" applyNumberFormat="1" applyFont="1" applyFill="1" applyBorder="1"/>
    <xf numFmtId="37" fontId="58" fillId="3" borderId="34" xfId="10" applyNumberFormat="1" applyFont="1" applyFill="1" applyBorder="1"/>
    <xf numFmtId="183" fontId="59" fillId="0" borderId="34" xfId="10" applyNumberFormat="1" applyFont="1" applyFill="1" applyBorder="1"/>
    <xf numFmtId="37" fontId="58" fillId="0" borderId="35" xfId="10" applyNumberFormat="1" applyFont="1" applyFill="1" applyBorder="1"/>
    <xf numFmtId="37" fontId="58" fillId="3" borderId="36" xfId="10" applyNumberFormat="1" applyFont="1" applyFill="1" applyBorder="1"/>
    <xf numFmtId="170" fontId="25" fillId="3" borderId="14" xfId="3" applyNumberFormat="1" applyFont="1" applyFill="1" applyBorder="1"/>
    <xf numFmtId="183" fontId="56" fillId="0" borderId="0" xfId="10" applyNumberFormat="1" applyFont="1" applyFill="1" applyBorder="1"/>
    <xf numFmtId="170" fontId="25" fillId="3" borderId="29" xfId="3" applyNumberFormat="1" applyFont="1" applyFill="1" applyBorder="1"/>
    <xf numFmtId="175" fontId="61" fillId="0" borderId="25" xfId="9" applyNumberFormat="1" applyFont="1" applyFill="1" applyBorder="1"/>
    <xf numFmtId="183" fontId="46" fillId="0" borderId="0" xfId="10" applyNumberFormat="1" applyFont="1" applyFill="1" applyBorder="1" applyAlignment="1">
      <alignment horizontal="center"/>
    </xf>
    <xf numFmtId="0" fontId="45" fillId="0" borderId="0" xfId="0" applyFont="1" applyAlignment="1">
      <alignment horizontal="center"/>
    </xf>
    <xf numFmtId="182" fontId="62" fillId="0" borderId="0" xfId="10" applyNumberFormat="1" applyFont="1" applyFill="1" applyBorder="1" applyAlignment="1">
      <alignment horizontal="center"/>
    </xf>
    <xf numFmtId="175" fontId="25" fillId="0" borderId="0" xfId="9" applyNumberFormat="1" applyFont="1" applyFill="1"/>
    <xf numFmtId="187" fontId="63" fillId="3" borderId="14" xfId="9" applyNumberFormat="1" applyFont="1" applyFill="1" applyBorder="1"/>
    <xf numFmtId="187" fontId="52" fillId="0" borderId="0" xfId="9" applyNumberFormat="1" applyFont="1" applyFill="1"/>
    <xf numFmtId="187" fontId="53" fillId="3" borderId="14" xfId="9" applyNumberFormat="1" applyFont="1" applyFill="1" applyBorder="1"/>
    <xf numFmtId="187" fontId="63" fillId="0" borderId="0" xfId="9" applyNumberFormat="1" applyFont="1" applyFill="1" applyBorder="1"/>
    <xf numFmtId="187" fontId="53" fillId="0" borderId="0" xfId="9" applyNumberFormat="1" applyFont="1" applyFill="1"/>
    <xf numFmtId="0" fontId="54" fillId="0" borderId="0" xfId="0" applyFont="1" applyAlignment="1">
      <alignment horizontal="center"/>
    </xf>
    <xf numFmtId="183" fontId="46" fillId="0" borderId="0" xfId="10" applyNumberFormat="1" applyFont="1" applyFill="1"/>
    <xf numFmtId="175" fontId="65" fillId="0" borderId="0" xfId="9" applyNumberFormat="1" applyFont="1" applyFill="1"/>
    <xf numFmtId="175" fontId="25" fillId="3" borderId="14" xfId="9" applyNumberFormat="1" applyFont="1" applyFill="1" applyBorder="1"/>
    <xf numFmtId="183" fontId="55" fillId="0" borderId="0" xfId="10" applyNumberFormat="1" applyFont="1" applyFill="1" applyAlignment="1">
      <alignment horizontal="right"/>
    </xf>
    <xf numFmtId="183" fontId="55" fillId="0" borderId="0" xfId="10" applyNumberFormat="1" applyFont="1" applyFill="1" applyBorder="1" applyAlignment="1">
      <alignment horizontal="right"/>
    </xf>
    <xf numFmtId="183" fontId="46" fillId="0" borderId="0" xfId="10" applyNumberFormat="1" applyFont="1" applyFill="1" applyAlignment="1">
      <alignment horizontal="right"/>
    </xf>
    <xf numFmtId="183" fontId="46" fillId="3" borderId="14" xfId="10" applyNumberFormat="1" applyFont="1" applyFill="1" applyBorder="1" applyAlignment="1">
      <alignment horizontal="right"/>
    </xf>
    <xf numFmtId="183" fontId="55" fillId="0" borderId="0" xfId="10" applyNumberFormat="1" applyFont="1" applyFill="1" applyBorder="1"/>
    <xf numFmtId="0" fontId="66" fillId="0" borderId="0" xfId="0" applyFont="1"/>
    <xf numFmtId="43" fontId="0" fillId="0" borderId="0" xfId="0" applyNumberFormat="1"/>
    <xf numFmtId="0" fontId="50" fillId="0" borderId="37" xfId="0" applyFont="1" applyBorder="1"/>
    <xf numFmtId="179" fontId="53" fillId="3" borderId="38" xfId="9" applyNumberFormat="1" applyFont="1" applyFill="1" applyBorder="1"/>
    <xf numFmtId="179" fontId="52" fillId="0" borderId="37" xfId="9" applyNumberFormat="1" applyFont="1" applyFill="1" applyBorder="1"/>
    <xf numFmtId="179" fontId="53" fillId="0" borderId="37" xfId="9" applyNumberFormat="1" applyFont="1" applyFill="1" applyBorder="1"/>
    <xf numFmtId="0" fontId="50" fillId="0" borderId="18" xfId="0" applyFont="1" applyBorder="1"/>
    <xf numFmtId="179" fontId="53" fillId="3" borderId="20" xfId="9" applyNumberFormat="1" applyFont="1" applyFill="1" applyBorder="1"/>
    <xf numFmtId="179" fontId="52" fillId="0" borderId="19" xfId="9" applyNumberFormat="1" applyFont="1" applyFill="1" applyBorder="1"/>
    <xf numFmtId="188" fontId="53" fillId="0" borderId="19" xfId="9" applyNumberFormat="1" applyFont="1" applyFill="1" applyBorder="1"/>
    <xf numFmtId="188" fontId="53" fillId="3" borderId="20" xfId="9" applyNumberFormat="1" applyFont="1" applyFill="1" applyBorder="1"/>
    <xf numFmtId="188" fontId="63" fillId="3" borderId="20" xfId="9" applyNumberFormat="1" applyFont="1" applyFill="1" applyBorder="1"/>
    <xf numFmtId="188" fontId="53" fillId="3" borderId="21" xfId="9" applyNumberFormat="1" applyFont="1" applyFill="1" applyBorder="1"/>
    <xf numFmtId="175" fontId="55" fillId="0" borderId="0" xfId="10" applyNumberFormat="1" applyFont="1" applyFill="1"/>
    <xf numFmtId="2" fontId="46" fillId="0" borderId="0" xfId="10" applyNumberFormat="1" applyFont="1" applyFill="1"/>
    <xf numFmtId="0" fontId="46" fillId="0" borderId="0" xfId="10" applyNumberFormat="1" applyFont="1" applyFill="1"/>
    <xf numFmtId="0" fontId="46" fillId="3" borderId="14" xfId="10" applyNumberFormat="1" applyFont="1" applyFill="1" applyBorder="1"/>
    <xf numFmtId="0" fontId="63" fillId="0" borderId="22" xfId="0" applyFont="1" applyBorder="1"/>
    <xf numFmtId="0" fontId="67" fillId="0" borderId="0" xfId="0" applyFont="1"/>
    <xf numFmtId="0" fontId="60" fillId="0" borderId="28" xfId="0" applyFont="1" applyBorder="1" applyAlignment="1">
      <alignment horizontal="left" indent="1"/>
    </xf>
    <xf numFmtId="0" fontId="57" fillId="0" borderId="0" xfId="0" applyFont="1"/>
    <xf numFmtId="179" fontId="58" fillId="3" borderId="14" xfId="9" applyNumberFormat="1" applyFont="1" applyFill="1" applyBorder="1"/>
    <xf numFmtId="179" fontId="59" fillId="0" borderId="0" xfId="9" applyNumberFormat="1" applyFont="1" applyFill="1" applyBorder="1"/>
    <xf numFmtId="170" fontId="58" fillId="0" borderId="0" xfId="3" applyNumberFormat="1" applyFont="1" applyFill="1" applyBorder="1"/>
    <xf numFmtId="170" fontId="58" fillId="3" borderId="30" xfId="3" applyNumberFormat="1" applyFont="1" applyFill="1" applyBorder="1"/>
    <xf numFmtId="170" fontId="67" fillId="0" borderId="0" xfId="3" applyNumberFormat="1" applyFont="1" applyFill="1" applyBorder="1"/>
    <xf numFmtId="0" fontId="67" fillId="0" borderId="0" xfId="0" applyFont="1" applyAlignment="1">
      <alignment horizontal="center"/>
    </xf>
    <xf numFmtId="0" fontId="25" fillId="0" borderId="28" xfId="0" applyFont="1" applyBorder="1"/>
    <xf numFmtId="179" fontId="62" fillId="3" borderId="14" xfId="9" applyNumberFormat="1" applyFont="1" applyFill="1" applyBorder="1"/>
    <xf numFmtId="179" fontId="61" fillId="0" borderId="0" xfId="9" applyNumberFormat="1" applyFont="1" applyFill="1" applyBorder="1"/>
    <xf numFmtId="179" fontId="62" fillId="0" borderId="0" xfId="9" applyNumberFormat="1" applyFont="1" applyFill="1" applyBorder="1"/>
    <xf numFmtId="179" fontId="62" fillId="3" borderId="30" xfId="9" applyNumberFormat="1" applyFont="1" applyFill="1" applyBorder="1"/>
    <xf numFmtId="0" fontId="50" fillId="0" borderId="31" xfId="0" applyFont="1" applyBorder="1"/>
    <xf numFmtId="179" fontId="53" fillId="3" borderId="33" xfId="9" applyNumberFormat="1" applyFont="1" applyFill="1" applyBorder="1"/>
    <xf numFmtId="179" fontId="52" fillId="0" borderId="32" xfId="9" applyNumberFormat="1" applyFont="1" applyFill="1" applyBorder="1"/>
    <xf numFmtId="184" fontId="53" fillId="0" borderId="32" xfId="9" applyNumberFormat="1" applyFont="1" applyFill="1" applyBorder="1"/>
    <xf numFmtId="184" fontId="53" fillId="3" borderId="33" xfId="9" applyNumberFormat="1" applyFont="1" applyFill="1" applyBorder="1"/>
    <xf numFmtId="184" fontId="53" fillId="3" borderId="36" xfId="9" applyNumberFormat="1" applyFont="1" applyFill="1" applyBorder="1"/>
    <xf numFmtId="0" fontId="63" fillId="0" borderId="0" xfId="0" applyFont="1"/>
    <xf numFmtId="179" fontId="53" fillId="3" borderId="14" xfId="9" applyNumberFormat="1" applyFont="1" applyFill="1" applyBorder="1"/>
    <xf numFmtId="179" fontId="52" fillId="0" borderId="0" xfId="9" applyNumberFormat="1" applyFont="1" applyFill="1" applyBorder="1"/>
    <xf numFmtId="179" fontId="53" fillId="0" borderId="0" xfId="9" applyNumberFormat="1" applyFont="1" applyFill="1" applyBorder="1"/>
    <xf numFmtId="0" fontId="68" fillId="0" borderId="0" xfId="0" applyFont="1"/>
    <xf numFmtId="3" fontId="1" fillId="0" borderId="0" xfId="0" applyNumberFormat="1" applyFont="1"/>
    <xf numFmtId="0" fontId="53" fillId="0" borderId="1" xfId="0" applyFont="1" applyBorder="1"/>
    <xf numFmtId="0" fontId="69" fillId="0" borderId="0" xfId="0" applyFont="1"/>
    <xf numFmtId="179" fontId="53" fillId="3" borderId="39" xfId="9" applyNumberFormat="1" applyFont="1" applyFill="1" applyBorder="1"/>
    <xf numFmtId="179" fontId="52" fillId="0" borderId="40" xfId="9" applyNumberFormat="1" applyFont="1" applyFill="1" applyBorder="1"/>
    <xf numFmtId="179" fontId="52" fillId="3" borderId="39" xfId="9" applyNumberFormat="1" applyFont="1" applyFill="1" applyBorder="1"/>
    <xf numFmtId="179" fontId="53" fillId="0" borderId="40" xfId="9" applyNumberFormat="1" applyFont="1" applyFill="1" applyBorder="1"/>
    <xf numFmtId="188" fontId="53" fillId="0" borderId="40" xfId="9" applyNumberFormat="1" applyFont="1" applyFill="1" applyBorder="1"/>
    <xf numFmtId="43" fontId="1" fillId="0" borderId="0" xfId="0" applyNumberFormat="1" applyFont="1"/>
    <xf numFmtId="179" fontId="52" fillId="3" borderId="38" xfId="9" applyNumberFormat="1" applyFont="1" applyFill="1" applyBorder="1"/>
    <xf numFmtId="179" fontId="63" fillId="3" borderId="38" xfId="9" applyNumberFormat="1" applyFont="1" applyFill="1" applyBorder="1"/>
    <xf numFmtId="179" fontId="63" fillId="0" borderId="37" xfId="9" applyNumberFormat="1" applyFont="1" applyFill="1" applyBorder="1"/>
    <xf numFmtId="0" fontId="70" fillId="0" borderId="0" xfId="0" applyFont="1" applyAlignment="1">
      <alignment horizontal="left" indent="1"/>
    </xf>
    <xf numFmtId="0" fontId="71" fillId="0" borderId="0" xfId="0" applyFont="1"/>
    <xf numFmtId="175" fontId="70" fillId="3" borderId="14" xfId="9" applyNumberFormat="1" applyFont="1" applyFill="1" applyBorder="1"/>
    <xf numFmtId="179" fontId="63" fillId="3" borderId="39" xfId="9" applyNumberFormat="1" applyFont="1" applyFill="1" applyBorder="1"/>
    <xf numFmtId="179" fontId="63" fillId="0" borderId="40" xfId="9" applyNumberFormat="1" applyFont="1" applyFill="1" applyBorder="1"/>
    <xf numFmtId="0" fontId="72" fillId="0" borderId="0" xfId="0" applyFont="1" applyAlignment="1">
      <alignment horizontal="left" indent="1"/>
    </xf>
    <xf numFmtId="0" fontId="73" fillId="0" borderId="0" xfId="0" applyFont="1"/>
    <xf numFmtId="175" fontId="72" fillId="3" borderId="14" xfId="9" applyNumberFormat="1" applyFont="1" applyFill="1" applyBorder="1"/>
    <xf numFmtId="175" fontId="72" fillId="0" borderId="0" xfId="9" applyNumberFormat="1" applyFont="1" applyFill="1"/>
    <xf numFmtId="0" fontId="74" fillId="0" borderId="0" xfId="0" applyFont="1"/>
    <xf numFmtId="0" fontId="75" fillId="0" borderId="0" xfId="0" applyFont="1"/>
    <xf numFmtId="175" fontId="55" fillId="3" borderId="14" xfId="9" applyNumberFormat="1" applyFont="1" applyFill="1" applyBorder="1" applyAlignment="1">
      <alignment horizontal="center"/>
    </xf>
    <xf numFmtId="175" fontId="55" fillId="0" borderId="0" xfId="9" applyNumberFormat="1" applyFont="1" applyFill="1" applyAlignment="1">
      <alignment horizontal="center"/>
    </xf>
    <xf numFmtId="175" fontId="55" fillId="0" borderId="0" xfId="9" applyNumberFormat="1" applyFont="1" applyFill="1"/>
    <xf numFmtId="175" fontId="55" fillId="0" borderId="0" xfId="9" applyNumberFormat="1" applyFont="1" applyFill="1" applyBorder="1" applyAlignment="1">
      <alignment horizontal="center"/>
    </xf>
    <xf numFmtId="175" fontId="74" fillId="0" borderId="0" xfId="9" applyNumberFormat="1" applyFont="1" applyFill="1" applyAlignment="1">
      <alignment horizontal="center"/>
    </xf>
    <xf numFmtId="175" fontId="74" fillId="3" borderId="14" xfId="9" applyNumberFormat="1" applyFont="1" applyFill="1" applyBorder="1" applyAlignment="1">
      <alignment horizontal="center"/>
    </xf>
    <xf numFmtId="0" fontId="69" fillId="0" borderId="0" xfId="0" applyFont="1" applyAlignment="1">
      <alignment horizontal="centerContinuous"/>
    </xf>
    <xf numFmtId="0" fontId="1" fillId="0" borderId="0" xfId="0" applyFont="1" applyAlignment="1">
      <alignment horizontal="centerContinuous"/>
    </xf>
    <xf numFmtId="0" fontId="53" fillId="0" borderId="0" xfId="0" applyFont="1"/>
    <xf numFmtId="179" fontId="52" fillId="3" borderId="14" xfId="9" applyNumberFormat="1" applyFont="1" applyFill="1" applyBorder="1"/>
    <xf numFmtId="179" fontId="52" fillId="0" borderId="0" xfId="9" applyNumberFormat="1" applyFont="1" applyFill="1"/>
    <xf numFmtId="179" fontId="63" fillId="0" borderId="0" xfId="9" applyNumberFormat="1" applyFont="1" applyFill="1"/>
    <xf numFmtId="179" fontId="53" fillId="0" borderId="0" xfId="9" applyNumberFormat="1" applyFont="1" applyFill="1"/>
    <xf numFmtId="189" fontId="76" fillId="0" borderId="0" xfId="0" applyNumberFormat="1" applyFont="1"/>
    <xf numFmtId="0" fontId="62" fillId="0" borderId="0" xfId="0" applyFont="1" applyAlignment="1">
      <alignment horizontal="left" indent="1"/>
    </xf>
    <xf numFmtId="0" fontId="76" fillId="0" borderId="0" xfId="0" applyFont="1"/>
    <xf numFmtId="0" fontId="62" fillId="0" borderId="0" xfId="0" applyFont="1" applyAlignment="1">
      <alignment horizontal="left"/>
    </xf>
    <xf numFmtId="175" fontId="53" fillId="3" borderId="39" xfId="9" applyNumberFormat="1" applyFont="1" applyFill="1" applyBorder="1"/>
    <xf numFmtId="190" fontId="76" fillId="0" borderId="0" xfId="0" applyNumberFormat="1" applyFont="1"/>
    <xf numFmtId="191" fontId="53" fillId="0" borderId="40" xfId="9" applyNumberFormat="1" applyFont="1" applyFill="1" applyBorder="1"/>
    <xf numFmtId="184" fontId="25" fillId="0" borderId="0" xfId="9" applyNumberFormat="1" applyFont="1" applyFill="1"/>
    <xf numFmtId="179" fontId="61" fillId="3" borderId="14" xfId="9" applyNumberFormat="1" applyFont="1" applyFill="1" applyBorder="1"/>
    <xf numFmtId="179" fontId="61" fillId="0" borderId="0" xfId="9" applyNumberFormat="1" applyFont="1" applyFill="1"/>
    <xf numFmtId="0" fontId="53" fillId="0" borderId="41" xfId="0" applyFont="1" applyBorder="1" applyAlignment="1">
      <alignment horizontal="left"/>
    </xf>
    <xf numFmtId="0" fontId="69" fillId="0" borderId="41" xfId="0" applyFont="1" applyBorder="1"/>
    <xf numFmtId="179" fontId="63" fillId="3" borderId="42" xfId="9" applyNumberFormat="1" applyFont="1" applyFill="1" applyBorder="1"/>
    <xf numFmtId="179" fontId="52" fillId="0" borderId="41" xfId="9" applyNumberFormat="1" applyFont="1" applyFill="1" applyBorder="1"/>
    <xf numFmtId="175" fontId="61" fillId="0" borderId="41" xfId="9" applyNumberFormat="1" applyFont="1" applyFill="1" applyBorder="1"/>
    <xf numFmtId="175" fontId="62" fillId="0" borderId="41" xfId="9" applyNumberFormat="1" applyFont="1" applyFill="1" applyBorder="1"/>
    <xf numFmtId="0" fontId="77" fillId="0" borderId="0" xfId="0" applyFont="1"/>
    <xf numFmtId="14" fontId="1" fillId="0" borderId="0" xfId="0" applyNumberFormat="1" applyFont="1"/>
    <xf numFmtId="14" fontId="1" fillId="0" borderId="0" xfId="0" applyNumberFormat="1" applyFont="1" applyAlignment="1">
      <alignment horizontal="center"/>
    </xf>
    <xf numFmtId="0" fontId="50" fillId="0" borderId="1" xfId="0" applyFont="1" applyBorder="1"/>
    <xf numFmtId="0" fontId="45" fillId="0" borderId="1" xfId="0" applyFont="1" applyBorder="1"/>
    <xf numFmtId="175" fontId="61" fillId="0" borderId="1" xfId="9" applyNumberFormat="1" applyFont="1" applyFill="1" applyBorder="1"/>
    <xf numFmtId="179" fontId="53" fillId="0" borderId="1" xfId="9" applyNumberFormat="1" applyFont="1" applyFill="1" applyBorder="1"/>
    <xf numFmtId="175" fontId="25" fillId="0" borderId="1" xfId="9" applyNumberFormat="1" applyFont="1" applyFill="1" applyBorder="1"/>
    <xf numFmtId="170" fontId="45" fillId="0" borderId="0" xfId="3" applyNumberFormat="1" applyFont="1" applyFill="1"/>
    <xf numFmtId="170" fontId="61" fillId="0" borderId="0" xfId="3" applyNumberFormat="1" applyFont="1" applyFill="1"/>
    <xf numFmtId="0" fontId="45" fillId="0" borderId="0" xfId="0" applyFont="1" applyAlignment="1">
      <alignment horizontal="left" indent="2"/>
    </xf>
    <xf numFmtId="186" fontId="45" fillId="0" borderId="0" xfId="0" applyNumberFormat="1" applyFont="1"/>
    <xf numFmtId="181" fontId="45" fillId="0" borderId="0" xfId="0" applyNumberFormat="1" applyFont="1"/>
    <xf numFmtId="179" fontId="25" fillId="0" borderId="0" xfId="9" applyNumberFormat="1" applyFont="1" applyFill="1" applyBorder="1"/>
    <xf numFmtId="179" fontId="65" fillId="0" borderId="0" xfId="9" applyNumberFormat="1" applyFont="1" applyFill="1" applyBorder="1"/>
    <xf numFmtId="175" fontId="25" fillId="0" borderId="0" xfId="9" applyNumberFormat="1" applyFont="1" applyFill="1" applyBorder="1"/>
    <xf numFmtId="170" fontId="25" fillId="0" borderId="0" xfId="3" applyNumberFormat="1" applyFont="1" applyFill="1" applyBorder="1"/>
    <xf numFmtId="170" fontId="61" fillId="0" borderId="0" xfId="3" applyNumberFormat="1" applyFont="1" applyFill="1" applyBorder="1"/>
    <xf numFmtId="192" fontId="53" fillId="0" borderId="0" xfId="9" applyNumberFormat="1" applyFont="1" applyFill="1" applyBorder="1"/>
    <xf numFmtId="0" fontId="50" fillId="0" borderId="0" xfId="0" applyFont="1" applyAlignment="1">
      <alignment horizontal="center"/>
    </xf>
    <xf numFmtId="0" fontId="8" fillId="2" borderId="0" xfId="0" applyFont="1" applyFill="1"/>
    <xf numFmtId="0" fontId="19" fillId="2" borderId="0" xfId="0" applyFont="1" applyFill="1"/>
    <xf numFmtId="0" fontId="5" fillId="4" borderId="0" xfId="0" applyFont="1" applyFill="1"/>
    <xf numFmtId="0" fontId="78" fillId="4" borderId="0" xfId="0" applyFont="1" applyFill="1"/>
    <xf numFmtId="0" fontId="8" fillId="5" borderId="0" xfId="0" applyFont="1" applyFill="1"/>
    <xf numFmtId="0" fontId="19" fillId="5" borderId="0" xfId="0" applyFont="1" applyFill="1"/>
    <xf numFmtId="14" fontId="54" fillId="0" borderId="0" xfId="0" applyNumberFormat="1" applyFont="1"/>
    <xf numFmtId="170" fontId="45" fillId="0" borderId="0" xfId="3" applyNumberFormat="1" applyFont="1"/>
    <xf numFmtId="0" fontId="54" fillId="0" borderId="1" xfId="0" applyFont="1" applyBorder="1"/>
    <xf numFmtId="0" fontId="50" fillId="0" borderId="0" xfId="0" applyFont="1" applyAlignment="1">
      <alignment horizontal="centerContinuous"/>
    </xf>
    <xf numFmtId="0" fontId="45" fillId="0" borderId="0" xfId="0" applyFont="1" applyAlignment="1">
      <alignment horizontal="centerContinuous"/>
    </xf>
    <xf numFmtId="0" fontId="79" fillId="0" borderId="1" xfId="0" applyFont="1" applyBorder="1" applyAlignment="1">
      <alignment horizontal="center"/>
    </xf>
    <xf numFmtId="0" fontId="79" fillId="0" borderId="9" xfId="0" applyFont="1" applyBorder="1" applyAlignment="1">
      <alignment horizontal="center"/>
    </xf>
    <xf numFmtId="0" fontId="45" fillId="0" borderId="10" xfId="0" applyFont="1" applyBorder="1"/>
    <xf numFmtId="0" fontId="30" fillId="0" borderId="0" xfId="0" applyFont="1" applyAlignment="1">
      <alignment horizontal="left" vertical="top"/>
    </xf>
    <xf numFmtId="0" fontId="31" fillId="0" borderId="0" xfId="0" applyFont="1" applyAlignment="1">
      <alignment horizontal="left" vertical="top"/>
    </xf>
    <xf numFmtId="174" fontId="31" fillId="0" borderId="0" xfId="8" applyNumberFormat="1" applyFont="1" applyAlignment="1">
      <alignment horizontal="right" vertical="top" wrapText="1"/>
    </xf>
    <xf numFmtId="174" fontId="31" fillId="0" borderId="10" xfId="8" applyNumberFormat="1" applyFont="1" applyBorder="1" applyAlignment="1">
      <alignment horizontal="right" vertical="top" wrapText="1"/>
    </xf>
    <xf numFmtId="174" fontId="31" fillId="0" borderId="0" xfId="8" applyNumberFormat="1" applyFont="1" applyBorder="1" applyAlignment="1">
      <alignment horizontal="right" vertical="top" wrapText="1"/>
    </xf>
    <xf numFmtId="0" fontId="80" fillId="0" borderId="0" xfId="0" applyFont="1"/>
    <xf numFmtId="174" fontId="81" fillId="0" borderId="0" xfId="8" applyNumberFormat="1" applyFont="1" applyAlignment="1">
      <alignment horizontal="right" vertical="top" wrapText="1"/>
    </xf>
    <xf numFmtId="174" fontId="81" fillId="0" borderId="10" xfId="8" applyNumberFormat="1" applyFont="1" applyBorder="1" applyAlignment="1">
      <alignment horizontal="right" vertical="top" wrapText="1"/>
    </xf>
    <xf numFmtId="174" fontId="81" fillId="0" borderId="0" xfId="8" applyNumberFormat="1" applyFont="1" applyBorder="1" applyAlignment="1">
      <alignment horizontal="right" vertical="top" wrapText="1"/>
    </xf>
    <xf numFmtId="174" fontId="30" fillId="0" borderId="0" xfId="8" applyNumberFormat="1" applyFont="1" applyAlignment="1">
      <alignment horizontal="right" vertical="top" wrapText="1"/>
    </xf>
    <xf numFmtId="174" fontId="30" fillId="0" borderId="10" xfId="8" applyNumberFormat="1" applyFont="1" applyBorder="1" applyAlignment="1">
      <alignment horizontal="right" vertical="top" wrapText="1"/>
    </xf>
    <xf numFmtId="174" fontId="30" fillId="0" borderId="0" xfId="8" applyNumberFormat="1" applyFont="1" applyBorder="1" applyAlignment="1">
      <alignment horizontal="right" vertical="top" wrapText="1"/>
    </xf>
    <xf numFmtId="0" fontId="45" fillId="0" borderId="0" xfId="0" applyFont="1" applyAlignment="1">
      <alignment wrapText="1"/>
    </xf>
    <xf numFmtId="0" fontId="82" fillId="0" borderId="0" xfId="0" applyFont="1" applyAlignment="1">
      <alignment horizontal="left" vertical="top"/>
    </xf>
    <xf numFmtId="0" fontId="31" fillId="0" borderId="0" xfId="0" applyFont="1" applyAlignment="1">
      <alignment horizontal="left" vertical="top" wrapText="1"/>
    </xf>
    <xf numFmtId="0" fontId="50" fillId="0" borderId="10" xfId="0" applyFont="1" applyBorder="1"/>
    <xf numFmtId="0" fontId="77" fillId="0" borderId="0" xfId="0" applyFont="1" applyAlignment="1">
      <alignment horizontal="left" indent="1"/>
    </xf>
    <xf numFmtId="0" fontId="45" fillId="0" borderId="0" xfId="0" applyFont="1" applyAlignment="1">
      <alignment horizontal="left" indent="1"/>
    </xf>
    <xf numFmtId="0" fontId="50" fillId="0" borderId="0" xfId="0" applyFont="1" applyAlignment="1">
      <alignment horizontal="left" indent="1"/>
    </xf>
    <xf numFmtId="0" fontId="50" fillId="0" borderId="0" xfId="0" applyFont="1" applyAlignment="1">
      <alignment horizontal="left" indent="2"/>
    </xf>
    <xf numFmtId="0" fontId="30" fillId="0" borderId="0" xfId="0" applyFont="1" applyAlignment="1">
      <alignment horizontal="left" vertical="top" indent="1"/>
    </xf>
    <xf numFmtId="0" fontId="31" fillId="2" borderId="0" xfId="0" applyFont="1" applyFill="1" applyAlignment="1">
      <alignment horizontal="left" vertical="top"/>
    </xf>
    <xf numFmtId="0" fontId="45" fillId="2" borderId="0" xfId="0" applyFont="1" applyFill="1"/>
    <xf numFmtId="174" fontId="31" fillId="2" borderId="0" xfId="8" applyNumberFormat="1" applyFont="1" applyFill="1" applyAlignment="1">
      <alignment horizontal="right" vertical="top" wrapText="1"/>
    </xf>
    <xf numFmtId="174" fontId="31" fillId="2" borderId="10" xfId="8" applyNumberFormat="1" applyFont="1" applyFill="1" applyBorder="1" applyAlignment="1">
      <alignment horizontal="right" vertical="top" wrapText="1"/>
    </xf>
    <xf numFmtId="174" fontId="31" fillId="2" borderId="0" xfId="8" applyNumberFormat="1" applyFont="1" applyFill="1" applyBorder="1" applyAlignment="1">
      <alignment horizontal="right" vertical="top" wrapText="1"/>
    </xf>
    <xf numFmtId="0" fontId="45" fillId="2" borderId="0" xfId="0" applyFont="1" applyFill="1" applyAlignment="1">
      <alignment horizontal="left" indent="1"/>
    </xf>
    <xf numFmtId="0" fontId="45" fillId="2" borderId="10" xfId="0" applyFont="1" applyFill="1" applyBorder="1"/>
    <xf numFmtId="0" fontId="45" fillId="2" borderId="0" xfId="0" applyFont="1" applyFill="1" applyAlignment="1">
      <alignment wrapText="1"/>
    </xf>
    <xf numFmtId="43" fontId="45" fillId="0" borderId="0" xfId="0" applyNumberFormat="1" applyFont="1"/>
    <xf numFmtId="0" fontId="79" fillId="0" borderId="0" xfId="0" applyFont="1" applyAlignment="1">
      <alignment horizontal="center"/>
    </xf>
    <xf numFmtId="165" fontId="54" fillId="2" borderId="0" xfId="0" applyNumberFormat="1" applyFont="1" applyFill="1"/>
    <xf numFmtId="165" fontId="54" fillId="2" borderId="10" xfId="0" applyNumberFormat="1" applyFont="1" applyFill="1" applyBorder="1"/>
    <xf numFmtId="165" fontId="54" fillId="0" borderId="0" xfId="0" applyNumberFormat="1" applyFont="1"/>
    <xf numFmtId="165" fontId="54" fillId="0" borderId="10" xfId="0" applyNumberFormat="1" applyFont="1" applyBorder="1"/>
    <xf numFmtId="165" fontId="83" fillId="0" borderId="0" xfId="0" applyNumberFormat="1" applyFont="1"/>
    <xf numFmtId="165" fontId="83" fillId="0" borderId="10" xfId="0" applyNumberFormat="1" applyFont="1" applyBorder="1"/>
    <xf numFmtId="165" fontId="57" fillId="0" borderId="0" xfId="0" applyNumberFormat="1" applyFont="1"/>
    <xf numFmtId="165" fontId="57" fillId="0" borderId="10" xfId="0" applyNumberFormat="1" applyFont="1" applyBorder="1"/>
    <xf numFmtId="0" fontId="84" fillId="6" borderId="0" xfId="0" applyFont="1" applyFill="1" applyAlignment="1">
      <alignment horizontal="left"/>
    </xf>
    <xf numFmtId="193" fontId="84" fillId="6" borderId="0" xfId="0" applyNumberFormat="1" applyFont="1" applyFill="1" applyAlignment="1">
      <alignment horizontal="center" vertical="center"/>
    </xf>
    <xf numFmtId="193" fontId="84" fillId="6" borderId="43" xfId="0" applyNumberFormat="1" applyFont="1" applyFill="1" applyBorder="1" applyAlignment="1">
      <alignment horizontal="center" vertical="center"/>
    </xf>
    <xf numFmtId="193" fontId="84" fillId="6" borderId="14" xfId="0" applyNumberFormat="1" applyFont="1" applyFill="1" applyBorder="1" applyAlignment="1">
      <alignment horizontal="center" vertical="center"/>
    </xf>
    <xf numFmtId="0" fontId="84" fillId="6" borderId="0" xfId="0" applyFont="1" applyFill="1"/>
    <xf numFmtId="194" fontId="84" fillId="6" borderId="0" xfId="0" applyNumberFormat="1" applyFont="1" applyFill="1" applyAlignment="1">
      <alignment horizontal="center" vertical="center"/>
    </xf>
    <xf numFmtId="194" fontId="84" fillId="6" borderId="43" xfId="0" applyNumberFormat="1" applyFont="1" applyFill="1" applyBorder="1" applyAlignment="1">
      <alignment horizontal="center" vertical="center"/>
    </xf>
    <xf numFmtId="194" fontId="84" fillId="6" borderId="14" xfId="0" applyNumberFormat="1" applyFont="1" applyFill="1" applyBorder="1" applyAlignment="1">
      <alignment horizontal="center" vertical="center"/>
    </xf>
    <xf numFmtId="0" fontId="84" fillId="7" borderId="0" xfId="0" applyFont="1" applyFill="1"/>
    <xf numFmtId="194" fontId="84" fillId="7" borderId="0" xfId="0" applyNumberFormat="1" applyFont="1" applyFill="1" applyAlignment="1">
      <alignment horizontal="center" vertical="center"/>
    </xf>
    <xf numFmtId="194" fontId="84" fillId="7" borderId="43" xfId="0" applyNumberFormat="1" applyFont="1" applyFill="1" applyBorder="1" applyAlignment="1">
      <alignment horizontal="center" vertical="center"/>
    </xf>
    <xf numFmtId="193" fontId="85" fillId="7" borderId="43" xfId="0" applyNumberFormat="1" applyFont="1" applyFill="1" applyBorder="1" applyAlignment="1">
      <alignment horizontal="center" vertical="center"/>
    </xf>
    <xf numFmtId="194" fontId="84" fillId="7" borderId="14" xfId="0" applyNumberFormat="1" applyFont="1" applyFill="1" applyBorder="1" applyAlignment="1">
      <alignment horizontal="center" vertical="center"/>
    </xf>
    <xf numFmtId="0" fontId="85" fillId="0" borderId="0" xfId="0" applyFont="1"/>
    <xf numFmtId="0" fontId="85" fillId="0" borderId="43" xfId="0" applyFont="1" applyBorder="1"/>
    <xf numFmtId="0" fontId="86" fillId="0" borderId="0" xfId="0" applyFont="1" applyAlignment="1">
      <alignment horizontal="left"/>
    </xf>
    <xf numFmtId="0" fontId="86" fillId="0" borderId="43" xfId="0" applyFont="1" applyBorder="1" applyAlignment="1">
      <alignment horizontal="left"/>
    </xf>
    <xf numFmtId="0" fontId="85" fillId="0" borderId="14" xfId="0" applyFont="1" applyBorder="1"/>
    <xf numFmtId="0" fontId="86" fillId="0" borderId="0" xfId="0" applyFont="1"/>
    <xf numFmtId="0" fontId="86" fillId="0" borderId="43" xfId="0" applyFont="1" applyBorder="1"/>
    <xf numFmtId="193" fontId="85" fillId="7" borderId="0" xfId="0" applyNumberFormat="1" applyFont="1" applyFill="1"/>
    <xf numFmtId="193" fontId="85" fillId="7" borderId="43" xfId="0" applyNumberFormat="1" applyFont="1" applyFill="1" applyBorder="1"/>
    <xf numFmtId="193" fontId="85" fillId="7" borderId="14" xfId="0" applyNumberFormat="1" applyFont="1" applyFill="1" applyBorder="1"/>
    <xf numFmtId="0" fontId="87" fillId="0" borderId="0" xfId="0" applyFont="1"/>
    <xf numFmtId="193" fontId="88" fillId="0" borderId="0" xfId="0" applyNumberFormat="1" applyFont="1"/>
    <xf numFmtId="193" fontId="88" fillId="0" borderId="43" xfId="0" applyNumberFormat="1" applyFont="1" applyBorder="1"/>
    <xf numFmtId="193" fontId="88" fillId="0" borderId="14" xfId="0" applyNumberFormat="1" applyFont="1" applyBorder="1"/>
    <xf numFmtId="0" fontId="85" fillId="0" borderId="0" xfId="0" applyFont="1" applyAlignment="1">
      <alignment horizontal="left" indent="1"/>
    </xf>
    <xf numFmtId="175" fontId="88" fillId="0" borderId="0" xfId="0" applyNumberFormat="1" applyFont="1"/>
    <xf numFmtId="175" fontId="88" fillId="0" borderId="43" xfId="0" applyNumberFormat="1" applyFont="1" applyBorder="1"/>
    <xf numFmtId="0" fontId="0" fillId="0" borderId="43" xfId="0" applyBorder="1"/>
    <xf numFmtId="193" fontId="85" fillId="0" borderId="14" xfId="0" applyNumberFormat="1" applyFont="1" applyBorder="1"/>
    <xf numFmtId="0" fontId="84" fillId="8" borderId="0" xfId="0" applyFont="1" applyFill="1"/>
    <xf numFmtId="170" fontId="88" fillId="0" borderId="43" xfId="0" applyNumberFormat="1" applyFont="1" applyBorder="1"/>
    <xf numFmtId="170" fontId="88" fillId="0" borderId="0" xfId="0" applyNumberFormat="1" applyFont="1"/>
    <xf numFmtId="170" fontId="88" fillId="0" borderId="14" xfId="0" applyNumberFormat="1" applyFont="1" applyBorder="1"/>
    <xf numFmtId="175" fontId="88" fillId="0" borderId="14" xfId="0" applyNumberFormat="1" applyFont="1" applyBorder="1"/>
    <xf numFmtId="0" fontId="87" fillId="0" borderId="1" xfId="0" applyFont="1" applyBorder="1"/>
    <xf numFmtId="193" fontId="89" fillId="0" borderId="1" xfId="0" applyNumberFormat="1" applyFont="1" applyBorder="1"/>
    <xf numFmtId="193" fontId="89" fillId="0" borderId="44" xfId="0" applyNumberFormat="1" applyFont="1" applyBorder="1"/>
    <xf numFmtId="193" fontId="90" fillId="0" borderId="1" xfId="0" applyNumberFormat="1" applyFont="1" applyBorder="1"/>
    <xf numFmtId="193" fontId="90" fillId="0" borderId="44" xfId="0" applyNumberFormat="1" applyFont="1" applyBorder="1"/>
    <xf numFmtId="193" fontId="89" fillId="0" borderId="13" xfId="0" applyNumberFormat="1" applyFont="1" applyBorder="1"/>
    <xf numFmtId="0" fontId="85" fillId="0" borderId="0" xfId="0" applyFont="1" applyAlignment="1">
      <alignment horizontal="left" wrapText="1" indent="1"/>
    </xf>
    <xf numFmtId="0" fontId="87" fillId="0" borderId="44" xfId="0" applyFont="1" applyBorder="1"/>
    <xf numFmtId="193" fontId="90" fillId="0" borderId="13" xfId="0" applyNumberFormat="1" applyFont="1" applyBorder="1"/>
    <xf numFmtId="193" fontId="87" fillId="0" borderId="1" xfId="0" applyNumberFormat="1" applyFont="1" applyBorder="1"/>
    <xf numFmtId="193" fontId="87" fillId="0" borderId="44" xfId="0" applyNumberFormat="1" applyFont="1" applyBorder="1"/>
    <xf numFmtId="193" fontId="87" fillId="0" borderId="13" xfId="0" applyNumberFormat="1" applyFont="1" applyBorder="1"/>
    <xf numFmtId="175" fontId="89" fillId="0" borderId="1" xfId="0" applyNumberFormat="1" applyFont="1" applyBorder="1"/>
    <xf numFmtId="175" fontId="89" fillId="0" borderId="44" xfId="0" applyNumberFormat="1" applyFont="1" applyBorder="1"/>
    <xf numFmtId="0" fontId="87" fillId="0" borderId="16" xfId="0" applyFont="1" applyBorder="1"/>
    <xf numFmtId="193" fontId="90" fillId="0" borderId="16" xfId="0" applyNumberFormat="1" applyFont="1" applyBorder="1"/>
    <xf numFmtId="193" fontId="90" fillId="0" borderId="45" xfId="0" applyNumberFormat="1" applyFont="1" applyBorder="1"/>
    <xf numFmtId="193" fontId="90" fillId="0" borderId="17" xfId="0" applyNumberFormat="1" applyFont="1" applyBorder="1"/>
    <xf numFmtId="195" fontId="88" fillId="0" borderId="0" xfId="0" applyNumberFormat="1" applyFont="1"/>
    <xf numFmtId="195" fontId="88" fillId="0" borderId="43" xfId="0" applyNumberFormat="1" applyFont="1" applyBorder="1"/>
    <xf numFmtId="195" fontId="88" fillId="0" borderId="14" xfId="0" applyNumberFormat="1" applyFont="1" applyBorder="1"/>
    <xf numFmtId="0" fontId="87" fillId="0" borderId="0" xfId="0" applyFont="1" applyAlignment="1">
      <alignment horizontal="left" indent="1"/>
    </xf>
    <xf numFmtId="0" fontId="85" fillId="0" borderId="0" xfId="0" applyFont="1" applyAlignment="1">
      <alignment horizontal="left" indent="2"/>
    </xf>
    <xf numFmtId="0" fontId="87" fillId="0" borderId="1" xfId="0" applyFont="1" applyBorder="1" applyAlignment="1">
      <alignment horizontal="left" indent="1"/>
    </xf>
    <xf numFmtId="193" fontId="85" fillId="0" borderId="1" xfId="0" applyNumberFormat="1" applyFont="1" applyBorder="1"/>
    <xf numFmtId="193" fontId="85" fillId="0" borderId="44" xfId="0" applyNumberFormat="1" applyFont="1" applyBorder="1"/>
    <xf numFmtId="193" fontId="85" fillId="0" borderId="13" xfId="0" applyNumberFormat="1" applyFont="1" applyBorder="1"/>
    <xf numFmtId="0" fontId="87" fillId="0" borderId="1" xfId="0" applyFont="1" applyBorder="1" applyAlignment="1">
      <alignment horizontal="left"/>
    </xf>
    <xf numFmtId="0" fontId="85" fillId="0" borderId="0" xfId="0" applyFont="1" applyAlignment="1">
      <alignment horizontal="left"/>
    </xf>
    <xf numFmtId="0" fontId="87" fillId="0" borderId="0" xfId="0" applyFont="1" applyAlignment="1">
      <alignment horizontal="left"/>
    </xf>
    <xf numFmtId="0" fontId="87" fillId="0" borderId="16" xfId="0" applyFont="1" applyBorder="1" applyAlignment="1">
      <alignment horizontal="left"/>
    </xf>
    <xf numFmtId="193" fontId="87" fillId="0" borderId="16" xfId="0" applyNumberFormat="1" applyFont="1" applyBorder="1"/>
    <xf numFmtId="193" fontId="87" fillId="0" borderId="45" xfId="0" applyNumberFormat="1" applyFont="1" applyBorder="1"/>
    <xf numFmtId="193" fontId="87" fillId="0" borderId="17" xfId="0" applyNumberFormat="1" applyFont="1" applyBorder="1"/>
    <xf numFmtId="0" fontId="87" fillId="0" borderId="13" xfId="0" applyFont="1" applyBorder="1"/>
    <xf numFmtId="175" fontId="89" fillId="0" borderId="46" xfId="0" applyNumberFormat="1" applyFont="1" applyBorder="1"/>
    <xf numFmtId="193" fontId="85" fillId="0" borderId="43" xfId="0" applyNumberFormat="1" applyFont="1" applyBorder="1"/>
    <xf numFmtId="0" fontId="87" fillId="0" borderId="0" xfId="0" applyFont="1" applyAlignment="1">
      <alignment horizontal="left" indent="2"/>
    </xf>
    <xf numFmtId="0" fontId="85" fillId="0" borderId="0" xfId="0" applyFont="1" applyAlignment="1">
      <alignment horizontal="left" indent="3"/>
    </xf>
    <xf numFmtId="0" fontId="87" fillId="0" borderId="1" xfId="0" applyFont="1" applyBorder="1" applyAlignment="1">
      <alignment horizontal="left" indent="2"/>
    </xf>
    <xf numFmtId="193" fontId="87" fillId="0" borderId="0" xfId="0" applyNumberFormat="1" applyFont="1"/>
    <xf numFmtId="193" fontId="87" fillId="0" borderId="43" xfId="0" applyNumberFormat="1" applyFont="1" applyBorder="1"/>
    <xf numFmtId="193" fontId="89" fillId="0" borderId="0" xfId="0" applyNumberFormat="1" applyFont="1"/>
    <xf numFmtId="193" fontId="89" fillId="0" borderId="43" xfId="0" applyNumberFormat="1" applyFont="1" applyBorder="1"/>
    <xf numFmtId="193" fontId="87" fillId="0" borderId="14" xfId="0" applyNumberFormat="1" applyFont="1" applyBorder="1"/>
    <xf numFmtId="193" fontId="85" fillId="0" borderId="0" xfId="0" applyNumberFormat="1" applyFont="1"/>
    <xf numFmtId="193" fontId="91" fillId="0" borderId="0" xfId="0" applyNumberFormat="1" applyFont="1"/>
    <xf numFmtId="193" fontId="89" fillId="0" borderId="16" xfId="0" applyNumberFormat="1" applyFont="1" applyBorder="1"/>
    <xf numFmtId="175" fontId="89" fillId="0" borderId="45" xfId="0" applyNumberFormat="1" applyFont="1" applyBorder="1"/>
    <xf numFmtId="175" fontId="89" fillId="0" borderId="16" xfId="0" applyNumberFormat="1" applyFont="1" applyBorder="1"/>
    <xf numFmtId="193" fontId="89" fillId="0" borderId="17" xfId="0" applyNumberFormat="1" applyFont="1" applyBorder="1"/>
    <xf numFmtId="193" fontId="85" fillId="0" borderId="16" xfId="0" applyNumberFormat="1" applyFont="1" applyBorder="1"/>
    <xf numFmtId="193" fontId="85" fillId="0" borderId="45" xfId="0" applyNumberFormat="1" applyFont="1" applyBorder="1"/>
    <xf numFmtId="193" fontId="85" fillId="0" borderId="17" xfId="0" applyNumberFormat="1" applyFont="1" applyBorder="1"/>
    <xf numFmtId="193" fontId="92" fillId="0" borderId="0" xfId="0" applyNumberFormat="1" applyFont="1"/>
    <xf numFmtId="193" fontId="90" fillId="0" borderId="46" xfId="0" applyNumberFormat="1" applyFont="1" applyBorder="1"/>
    <xf numFmtId="193" fontId="89" fillId="0" borderId="14" xfId="0" applyNumberFormat="1" applyFont="1" applyBorder="1"/>
    <xf numFmtId="0" fontId="85" fillId="0" borderId="1" xfId="0" applyFont="1" applyBorder="1"/>
    <xf numFmtId="195" fontId="89" fillId="0" borderId="1" xfId="0" applyNumberFormat="1" applyFont="1" applyBorder="1"/>
    <xf numFmtId="195" fontId="89" fillId="0" borderId="44" xfId="0" applyNumberFormat="1" applyFont="1" applyBorder="1"/>
    <xf numFmtId="195" fontId="90" fillId="0" borderId="1" xfId="0" applyNumberFormat="1" applyFont="1" applyBorder="1"/>
    <xf numFmtId="195" fontId="90" fillId="0" borderId="44" xfId="0" applyNumberFormat="1" applyFont="1" applyBorder="1"/>
    <xf numFmtId="195" fontId="89" fillId="0" borderId="13" xfId="0" applyNumberFormat="1" applyFont="1" applyBorder="1"/>
    <xf numFmtId="193" fontId="88" fillId="0" borderId="1" xfId="0" applyNumberFormat="1" applyFont="1" applyBorder="1"/>
    <xf numFmtId="193" fontId="88" fillId="0" borderId="44" xfId="0" applyNumberFormat="1" applyFont="1" applyBorder="1"/>
    <xf numFmtId="193" fontId="88" fillId="0" borderId="13" xfId="0" applyNumberFormat="1" applyFont="1" applyBorder="1"/>
    <xf numFmtId="0" fontId="87" fillId="0" borderId="46" xfId="0" applyFont="1" applyBorder="1"/>
    <xf numFmtId="193" fontId="91" fillId="0" borderId="43" xfId="0" applyNumberFormat="1" applyFont="1" applyBorder="1"/>
    <xf numFmtId="0" fontId="90" fillId="0" borderId="0" xfId="0" applyFont="1" applyAlignment="1">
      <alignment horizontal="left"/>
    </xf>
    <xf numFmtId="0" fontId="90" fillId="0" borderId="0" xfId="0" applyFont="1" applyAlignment="1">
      <alignment horizontal="left" indent="1"/>
    </xf>
    <xf numFmtId="170" fontId="89" fillId="0" borderId="13" xfId="0" applyNumberFormat="1" applyFont="1" applyBorder="1"/>
    <xf numFmtId="170" fontId="90" fillId="0" borderId="13" xfId="0" applyNumberFormat="1" applyFont="1" applyBorder="1"/>
    <xf numFmtId="170" fontId="89" fillId="0" borderId="1" xfId="0" applyNumberFormat="1" applyFont="1" applyBorder="1"/>
    <xf numFmtId="9" fontId="87" fillId="0" borderId="0" xfId="0" applyNumberFormat="1" applyFont="1"/>
    <xf numFmtId="0" fontId="93" fillId="0" borderId="0" xfId="0" applyFont="1" applyAlignment="1">
      <alignment horizontal="left" indent="1"/>
    </xf>
    <xf numFmtId="0" fontId="85" fillId="0" borderId="15" xfId="0" applyFont="1" applyBorder="1" applyAlignment="1">
      <alignment horizontal="left" indent="1"/>
    </xf>
    <xf numFmtId="193" fontId="85" fillId="0" borderId="15" xfId="0" applyNumberFormat="1" applyFont="1" applyBorder="1"/>
    <xf numFmtId="193" fontId="85" fillId="0" borderId="47" xfId="0" applyNumberFormat="1" applyFont="1" applyBorder="1"/>
    <xf numFmtId="175" fontId="88" fillId="0" borderId="47" xfId="0" applyNumberFormat="1" applyFont="1" applyBorder="1"/>
    <xf numFmtId="193" fontId="85" fillId="0" borderId="48" xfId="0" applyNumberFormat="1" applyFont="1" applyBorder="1"/>
    <xf numFmtId="0" fontId="79" fillId="0" borderId="7" xfId="0" applyFont="1" applyBorder="1" applyAlignment="1">
      <alignment horizontal="center"/>
    </xf>
    <xf numFmtId="0" fontId="94" fillId="0" borderId="0" xfId="0" applyFont="1"/>
    <xf numFmtId="0" fontId="45" fillId="0" borderId="0" xfId="0" applyFont="1" applyAlignment="1">
      <alignment horizontal="right"/>
    </xf>
    <xf numFmtId="9" fontId="45" fillId="0" borderId="0" xfId="0" applyNumberFormat="1" applyFont="1" applyAlignment="1">
      <alignment horizontal="right"/>
    </xf>
    <xf numFmtId="174" fontId="45" fillId="0" borderId="0" xfId="8" applyNumberFormat="1" applyFont="1" applyAlignment="1">
      <alignment horizontal="right"/>
    </xf>
    <xf numFmtId="0" fontId="50" fillId="0" borderId="3" xfId="0" applyFont="1" applyBorder="1"/>
    <xf numFmtId="0" fontId="50" fillId="0" borderId="5" xfId="0" applyFont="1" applyBorder="1"/>
    <xf numFmtId="174" fontId="45" fillId="0" borderId="0" xfId="8" applyNumberFormat="1" applyFont="1"/>
    <xf numFmtId="174" fontId="94" fillId="0" borderId="0" xfId="8" applyNumberFormat="1" applyFont="1"/>
    <xf numFmtId="174" fontId="50" fillId="0" borderId="0" xfId="8" applyNumberFormat="1" applyFont="1"/>
    <xf numFmtId="0" fontId="83" fillId="0" borderId="0" xfId="0" applyFont="1" applyAlignment="1">
      <alignment horizontal="left" indent="1"/>
    </xf>
    <xf numFmtId="174" fontId="54" fillId="0" borderId="0" xfId="8" applyNumberFormat="1" applyFont="1"/>
    <xf numFmtId="0" fontId="57" fillId="0" borderId="0" xfId="0" applyFont="1" applyAlignment="1">
      <alignment horizontal="left" indent="2"/>
    </xf>
    <xf numFmtId="174" fontId="57" fillId="0" borderId="0" xfId="8" applyNumberFormat="1" applyFont="1"/>
    <xf numFmtId="0" fontId="83" fillId="0" borderId="0" xfId="0" applyFont="1"/>
    <xf numFmtId="174" fontId="83" fillId="0" borderId="0" xfId="8" applyNumberFormat="1" applyFont="1"/>
    <xf numFmtId="3" fontId="45" fillId="0" borderId="0" xfId="0" applyNumberFormat="1" applyFont="1" applyAlignment="1">
      <alignment horizontal="right"/>
    </xf>
    <xf numFmtId="0" fontId="45" fillId="0" borderId="10" xfId="0" applyFont="1" applyBorder="1" applyAlignment="1">
      <alignment horizontal="right"/>
    </xf>
    <xf numFmtId="9" fontId="45" fillId="0" borderId="10" xfId="0" applyNumberFormat="1" applyFont="1" applyBorder="1" applyAlignment="1">
      <alignment horizontal="right"/>
    </xf>
    <xf numFmtId="174" fontId="45" fillId="0" borderId="0" xfId="8" applyNumberFormat="1" applyFont="1" applyBorder="1" applyAlignment="1">
      <alignment horizontal="right"/>
    </xf>
    <xf numFmtId="3" fontId="45" fillId="0" borderId="10" xfId="0" applyNumberFormat="1" applyFont="1" applyBorder="1" applyAlignment="1">
      <alignment horizontal="right"/>
    </xf>
    <xf numFmtId="41" fontId="25" fillId="0" borderId="0" xfId="0" applyNumberFormat="1" applyFont="1"/>
    <xf numFmtId="41" fontId="22" fillId="0" borderId="12" xfId="0" applyNumberFormat="1" applyFont="1" applyBorder="1" applyAlignment="1">
      <alignment horizontal="right"/>
    </xf>
    <xf numFmtId="166" fontId="10" fillId="0" borderId="0" xfId="0" applyNumberFormat="1" applyFont="1" applyAlignment="1">
      <alignment horizontal="right"/>
    </xf>
    <xf numFmtId="174" fontId="45" fillId="0" borderId="10" xfId="8" applyNumberFormat="1" applyFont="1" applyBorder="1" applyAlignment="1">
      <alignment horizontal="right"/>
    </xf>
    <xf numFmtId="174" fontId="94" fillId="0" borderId="0" xfId="8" applyNumberFormat="1" applyFont="1" applyAlignment="1">
      <alignment horizontal="right"/>
    </xf>
    <xf numFmtId="174" fontId="94" fillId="0" borderId="10" xfId="8" applyNumberFormat="1" applyFont="1" applyBorder="1" applyAlignment="1">
      <alignment horizontal="right"/>
    </xf>
    <xf numFmtId="174" fontId="94" fillId="0" borderId="0" xfId="8" applyNumberFormat="1" applyFont="1" applyBorder="1" applyAlignment="1">
      <alignment horizontal="right"/>
    </xf>
    <xf numFmtId="174" fontId="50" fillId="0" borderId="0" xfId="8" applyNumberFormat="1" applyFont="1" applyAlignment="1">
      <alignment horizontal="right"/>
    </xf>
    <xf numFmtId="174" fontId="50" fillId="0" borderId="10" xfId="8" applyNumberFormat="1" applyFont="1" applyBorder="1" applyAlignment="1">
      <alignment horizontal="right"/>
    </xf>
    <xf numFmtId="174" fontId="50" fillId="0" borderId="0" xfId="8" applyNumberFormat="1" applyFont="1" applyBorder="1" applyAlignment="1">
      <alignment horizontal="right"/>
    </xf>
    <xf numFmtId="165" fontId="54" fillId="0" borderId="0" xfId="0" applyNumberFormat="1" applyFont="1" applyAlignment="1">
      <alignment horizontal="right"/>
    </xf>
    <xf numFmtId="165" fontId="54" fillId="0" borderId="10" xfId="0" applyNumberFormat="1" applyFont="1" applyBorder="1" applyAlignment="1">
      <alignment horizontal="right"/>
    </xf>
    <xf numFmtId="174" fontId="54" fillId="0" borderId="0" xfId="8" applyNumberFormat="1" applyFont="1" applyAlignment="1">
      <alignment horizontal="right"/>
    </xf>
    <xf numFmtId="174" fontId="54" fillId="0" borderId="10" xfId="8" applyNumberFormat="1" applyFont="1" applyBorder="1" applyAlignment="1">
      <alignment horizontal="right"/>
    </xf>
    <xf numFmtId="174" fontId="54" fillId="0" borderId="0" xfId="8" applyNumberFormat="1" applyFont="1" applyBorder="1" applyAlignment="1">
      <alignment horizontal="right"/>
    </xf>
    <xf numFmtId="174" fontId="83" fillId="0" borderId="0" xfId="8" applyNumberFormat="1" applyFont="1" applyAlignment="1">
      <alignment horizontal="right"/>
    </xf>
    <xf numFmtId="174" fontId="83" fillId="0" borderId="10" xfId="8" applyNumberFormat="1" applyFont="1" applyBorder="1" applyAlignment="1">
      <alignment horizontal="right"/>
    </xf>
    <xf numFmtId="174" fontId="83" fillId="0" borderId="0" xfId="8" applyNumberFormat="1" applyFont="1" applyBorder="1" applyAlignment="1">
      <alignment horizontal="right"/>
    </xf>
    <xf numFmtId="165" fontId="83" fillId="0" borderId="0" xfId="0" applyNumberFormat="1" applyFont="1" applyAlignment="1">
      <alignment horizontal="right"/>
    </xf>
    <xf numFmtId="165" fontId="83" fillId="0" borderId="10" xfId="0" applyNumberFormat="1" applyFont="1" applyBorder="1" applyAlignment="1">
      <alignment horizontal="right"/>
    </xf>
    <xf numFmtId="174" fontId="57" fillId="0" borderId="0" xfId="8" applyNumberFormat="1" applyFont="1" applyAlignment="1">
      <alignment horizontal="right"/>
    </xf>
    <xf numFmtId="174" fontId="57" fillId="0" borderId="10" xfId="8" applyNumberFormat="1" applyFont="1" applyBorder="1" applyAlignment="1">
      <alignment horizontal="right"/>
    </xf>
    <xf numFmtId="165" fontId="57" fillId="0" borderId="0" xfId="0" applyNumberFormat="1" applyFont="1" applyAlignment="1">
      <alignment horizontal="right"/>
    </xf>
    <xf numFmtId="165" fontId="57" fillId="0" borderId="10" xfId="0" applyNumberFormat="1" applyFont="1" applyBorder="1" applyAlignment="1">
      <alignment horizontal="right"/>
    </xf>
    <xf numFmtId="174" fontId="57" fillId="0" borderId="0" xfId="8" applyNumberFormat="1" applyFont="1" applyBorder="1" applyAlignment="1">
      <alignment horizontal="right"/>
    </xf>
    <xf numFmtId="175" fontId="45" fillId="0" borderId="0" xfId="8" applyNumberFormat="1" applyFont="1" applyBorder="1" applyAlignment="1">
      <alignment horizontal="right"/>
    </xf>
    <xf numFmtId="41" fontId="45" fillId="0" borderId="0" xfId="8" applyNumberFormat="1" applyFont="1" applyBorder="1" applyAlignment="1">
      <alignment horizontal="right"/>
    </xf>
    <xf numFmtId="41" fontId="80" fillId="0" borderId="0" xfId="8" applyNumberFormat="1" applyFont="1" applyBorder="1" applyAlignment="1">
      <alignment horizontal="right"/>
    </xf>
    <xf numFmtId="174" fontId="80" fillId="0" borderId="0" xfId="8" applyNumberFormat="1" applyFont="1" applyAlignment="1">
      <alignment horizontal="right"/>
    </xf>
    <xf numFmtId="174" fontId="80" fillId="0" borderId="0" xfId="8" applyNumberFormat="1" applyFont="1"/>
    <xf numFmtId="41" fontId="50" fillId="0" borderId="0" xfId="8" applyNumberFormat="1" applyFont="1" applyBorder="1" applyAlignment="1">
      <alignment horizontal="right"/>
    </xf>
    <xf numFmtId="41" fontId="45" fillId="0" borderId="10" xfId="8" applyNumberFormat="1" applyFont="1" applyBorder="1" applyAlignment="1">
      <alignment horizontal="right"/>
    </xf>
    <xf numFmtId="41" fontId="80" fillId="0" borderId="10" xfId="8" applyNumberFormat="1" applyFont="1" applyBorder="1" applyAlignment="1">
      <alignment horizontal="right"/>
    </xf>
    <xf numFmtId="41" fontId="50" fillId="0" borderId="10" xfId="8" applyNumberFormat="1" applyFont="1" applyBorder="1" applyAlignment="1">
      <alignment horizontal="right"/>
    </xf>
    <xf numFmtId="41" fontId="97" fillId="0" borderId="0" xfId="0" applyNumberFormat="1" applyFont="1"/>
    <xf numFmtId="37" fontId="19" fillId="0" borderId="12" xfId="0" applyNumberFormat="1" applyFont="1" applyBorder="1"/>
    <xf numFmtId="14" fontId="0" fillId="0" borderId="0" xfId="0" applyNumberFormat="1"/>
    <xf numFmtId="0" fontId="0" fillId="0" borderId="0" xfId="0" applyAlignment="1">
      <alignment horizontal="left" indent="1"/>
    </xf>
    <xf numFmtId="174" fontId="0" fillId="0" borderId="0" xfId="8" applyNumberFormat="1" applyFont="1"/>
    <xf numFmtId="174" fontId="98" fillId="0" borderId="0" xfId="8" applyNumberFormat="1" applyFont="1"/>
    <xf numFmtId="0" fontId="0" fillId="0" borderId="0" xfId="0" quotePrefix="1"/>
    <xf numFmtId="174" fontId="0" fillId="0" borderId="0" xfId="0" applyNumberFormat="1"/>
    <xf numFmtId="43" fontId="99" fillId="0" borderId="0" xfId="8" applyFont="1"/>
    <xf numFmtId="0" fontId="100" fillId="0" borderId="0" xfId="0" applyFont="1"/>
    <xf numFmtId="9" fontId="100" fillId="0" borderId="0" xfId="3" applyFont="1"/>
    <xf numFmtId="0" fontId="100" fillId="0" borderId="0" xfId="0" applyFont="1" applyAlignment="1">
      <alignment horizontal="left" indent="2"/>
    </xf>
    <xf numFmtId="0" fontId="96" fillId="0" borderId="0" xfId="0" applyFont="1"/>
    <xf numFmtId="0" fontId="101" fillId="0" borderId="0" xfId="0" applyFont="1"/>
    <xf numFmtId="0" fontId="0" fillId="0" borderId="15" xfId="0" applyBorder="1"/>
    <xf numFmtId="0" fontId="96" fillId="0" borderId="15" xfId="0" applyFont="1" applyBorder="1"/>
    <xf numFmtId="174" fontId="98" fillId="0" borderId="0" xfId="0" applyNumberFormat="1" applyFont="1"/>
    <xf numFmtId="0" fontId="96" fillId="0" borderId="0" xfId="0" applyFont="1" applyAlignment="1">
      <alignment horizontal="left" indent="1"/>
    </xf>
    <xf numFmtId="14" fontId="96" fillId="0" borderId="0" xfId="0" applyNumberFormat="1" applyFont="1"/>
    <xf numFmtId="174" fontId="96" fillId="0" borderId="0" xfId="8" applyNumberFormat="1" applyFont="1"/>
    <xf numFmtId="174" fontId="96" fillId="0" borderId="0" xfId="0" applyNumberFormat="1" applyFont="1"/>
    <xf numFmtId="192" fontId="96" fillId="0" borderId="0" xfId="0" applyNumberFormat="1" applyFont="1"/>
    <xf numFmtId="0" fontId="95" fillId="0" borderId="0" xfId="0" applyFont="1"/>
    <xf numFmtId="0" fontId="95" fillId="0" borderId="0" xfId="0" applyFont="1" applyAlignment="1">
      <alignment horizontal="right"/>
    </xf>
    <xf numFmtId="174" fontId="95" fillId="0" borderId="0" xfId="8" applyNumberFormat="1" applyFont="1"/>
    <xf numFmtId="43" fontId="0" fillId="0" borderId="0" xfId="0" quotePrefix="1" applyNumberFormat="1"/>
    <xf numFmtId="43" fontId="100" fillId="0" borderId="0" xfId="0" applyNumberFormat="1" applyFont="1"/>
    <xf numFmtId="0" fontId="45" fillId="0" borderId="15" xfId="0" applyFont="1" applyBorder="1" applyAlignment="1">
      <alignment horizontal="centerContinuous"/>
    </xf>
    <xf numFmtId="0" fontId="50" fillId="0" borderId="15" xfId="0" applyFont="1" applyBorder="1" applyAlignment="1">
      <alignment horizontal="centerContinuous"/>
    </xf>
    <xf numFmtId="41" fontId="45" fillId="0" borderId="0" xfId="0" applyNumberFormat="1" applyFont="1"/>
    <xf numFmtId="0" fontId="45" fillId="0" borderId="0" xfId="0" applyFont="1" applyAlignment="1">
      <alignment horizontal="left"/>
    </xf>
    <xf numFmtId="41" fontId="103" fillId="0" borderId="0" xfId="0" applyNumberFormat="1" applyFont="1"/>
    <xf numFmtId="41" fontId="50" fillId="0" borderId="0" xfId="0" applyNumberFormat="1" applyFont="1"/>
    <xf numFmtId="196" fontId="2" fillId="0" borderId="0" xfId="0" applyNumberFormat="1" applyFont="1"/>
    <xf numFmtId="169" fontId="80" fillId="0" borderId="0" xfId="8" applyNumberFormat="1" applyFont="1" applyBorder="1" applyAlignment="1">
      <alignment horizontal="right"/>
    </xf>
    <xf numFmtId="41" fontId="45" fillId="0" borderId="10" xfId="0" applyNumberFormat="1" applyFont="1" applyBorder="1"/>
    <xf numFmtId="41" fontId="25" fillId="0" borderId="10" xfId="0" applyNumberFormat="1" applyFont="1" applyBorder="1"/>
    <xf numFmtId="41" fontId="45" fillId="0" borderId="8" xfId="0" applyNumberFormat="1" applyFont="1" applyBorder="1"/>
    <xf numFmtId="0" fontId="45" fillId="0" borderId="8" xfId="0" applyFont="1" applyBorder="1"/>
    <xf numFmtId="165" fontId="54" fillId="0" borderId="8" xfId="0" applyNumberFormat="1" applyFont="1" applyBorder="1"/>
    <xf numFmtId="165" fontId="83" fillId="0" borderId="8" xfId="0" applyNumberFormat="1" applyFont="1" applyBorder="1"/>
    <xf numFmtId="165" fontId="57" fillId="0" borderId="8" xfId="0" applyNumberFormat="1" applyFont="1" applyBorder="1"/>
    <xf numFmtId="0" fontId="79" fillId="0" borderId="8" xfId="0" applyFont="1" applyBorder="1" applyAlignment="1">
      <alignment horizontal="center"/>
    </xf>
    <xf numFmtId="41" fontId="102" fillId="0" borderId="0" xfId="0" applyNumberFormat="1" applyFont="1"/>
    <xf numFmtId="41" fontId="104" fillId="0" borderId="0" xfId="0" applyNumberFormat="1" applyFont="1"/>
    <xf numFmtId="165" fontId="105" fillId="0" borderId="0" xfId="0" applyNumberFormat="1" applyFont="1"/>
    <xf numFmtId="165" fontId="106" fillId="0" borderId="0" xfId="0" applyNumberFormat="1" applyFont="1"/>
    <xf numFmtId="174" fontId="45" fillId="0" borderId="10" xfId="8" applyNumberFormat="1" applyFont="1" applyBorder="1"/>
    <xf numFmtId="174" fontId="45" fillId="0" borderId="0" xfId="8" applyNumberFormat="1" applyFont="1" applyBorder="1"/>
    <xf numFmtId="174" fontId="45" fillId="0" borderId="8" xfId="8" applyNumberFormat="1" applyFont="1" applyBorder="1"/>
    <xf numFmtId="174" fontId="45" fillId="0" borderId="0" xfId="0" applyNumberFormat="1" applyFont="1"/>
    <xf numFmtId="165" fontId="54" fillId="0" borderId="0" xfId="0" applyNumberFormat="1" applyFont="1" applyAlignment="1">
      <alignment horizontal="left" indent="1"/>
    </xf>
    <xf numFmtId="165" fontId="54" fillId="0" borderId="8" xfId="0" applyNumberFormat="1" applyFont="1" applyBorder="1" applyAlignment="1">
      <alignment horizontal="right"/>
    </xf>
    <xf numFmtId="165" fontId="45" fillId="0" borderId="0" xfId="0" applyNumberFormat="1" applyFont="1"/>
    <xf numFmtId="175" fontId="107" fillId="0" borderId="0" xfId="8" applyNumberFormat="1" applyFont="1"/>
    <xf numFmtId="175" fontId="107" fillId="0" borderId="10" xfId="8" applyNumberFormat="1" applyFont="1" applyBorder="1"/>
    <xf numFmtId="175" fontId="107" fillId="0" borderId="0" xfId="8" applyNumberFormat="1" applyFont="1" applyBorder="1"/>
    <xf numFmtId="175" fontId="107" fillId="0" borderId="8" xfId="8" applyNumberFormat="1" applyFont="1" applyBorder="1"/>
    <xf numFmtId="175" fontId="80" fillId="0" borderId="0" xfId="8" applyNumberFormat="1" applyFont="1"/>
    <xf numFmtId="175" fontId="80" fillId="0" borderId="10" xfId="8" applyNumberFormat="1" applyFont="1" applyBorder="1"/>
    <xf numFmtId="175" fontId="80" fillId="0" borderId="0" xfId="8" applyNumberFormat="1" applyFont="1" applyBorder="1"/>
    <xf numFmtId="175" fontId="80" fillId="0" borderId="8" xfId="8" applyNumberFormat="1" applyFont="1" applyBorder="1"/>
    <xf numFmtId="174" fontId="50" fillId="0" borderId="10" xfId="8" applyNumberFormat="1" applyFont="1" applyBorder="1"/>
    <xf numFmtId="174" fontId="50" fillId="0" borderId="0" xfId="8" applyNumberFormat="1" applyFont="1" applyBorder="1"/>
    <xf numFmtId="174" fontId="50" fillId="0" borderId="8" xfId="8" applyNumberFormat="1" applyFont="1" applyBorder="1"/>
    <xf numFmtId="41" fontId="102" fillId="0" borderId="10" xfId="0" applyNumberFormat="1" applyFont="1" applyBorder="1"/>
    <xf numFmtId="41" fontId="94" fillId="0" borderId="0" xfId="0" applyNumberFormat="1" applyFont="1"/>
    <xf numFmtId="41" fontId="94" fillId="0" borderId="10" xfId="0" applyNumberFormat="1" applyFont="1" applyBorder="1"/>
    <xf numFmtId="0" fontId="54" fillId="0" borderId="0" xfId="0" applyFont="1" applyAlignment="1">
      <alignment horizontal="left" indent="2"/>
    </xf>
    <xf numFmtId="41" fontId="50" fillId="0" borderId="10" xfId="0" applyNumberFormat="1" applyFont="1" applyBorder="1"/>
    <xf numFmtId="165" fontId="108" fillId="0" borderId="0" xfId="0" applyNumberFormat="1" applyFont="1"/>
    <xf numFmtId="165" fontId="108" fillId="0" borderId="0" xfId="0" applyNumberFormat="1" applyFont="1" applyAlignment="1">
      <alignment horizontal="right"/>
    </xf>
    <xf numFmtId="0" fontId="25" fillId="0" borderId="0" xfId="0" applyFont="1"/>
    <xf numFmtId="41" fontId="22" fillId="0" borderId="0" xfId="0" applyNumberFormat="1" applyFont="1" applyAlignment="1">
      <alignment horizontal="right"/>
    </xf>
    <xf numFmtId="5" fontId="8" fillId="0" borderId="0" xfId="0" applyNumberFormat="1" applyFont="1"/>
    <xf numFmtId="0" fontId="22" fillId="0" borderId="12" xfId="0" applyFont="1" applyBorder="1" applyAlignment="1">
      <alignment horizontal="right"/>
    </xf>
    <xf numFmtId="41" fontId="24" fillId="0" borderId="12" xfId="0" applyNumberFormat="1" applyFont="1" applyBorder="1"/>
    <xf numFmtId="166" fontId="9" fillId="0" borderId="12" xfId="0" applyNumberFormat="1" applyFont="1" applyBorder="1" applyAlignment="1">
      <alignment horizontal="right"/>
    </xf>
    <xf numFmtId="165" fontId="22" fillId="0" borderId="12" xfId="0" applyNumberFormat="1" applyFont="1" applyBorder="1" applyAlignment="1">
      <alignment horizontal="right"/>
    </xf>
    <xf numFmtId="41" fontId="23" fillId="0" borderId="12" xfId="0" applyNumberFormat="1" applyFont="1" applyBorder="1"/>
    <xf numFmtId="166" fontId="10" fillId="0" borderId="12" xfId="0" applyNumberFormat="1" applyFont="1" applyBorder="1" applyAlignment="1">
      <alignment horizontal="right"/>
    </xf>
    <xf numFmtId="0" fontId="110" fillId="0" borderId="0" xfId="0" applyFont="1"/>
    <xf numFmtId="14" fontId="111" fillId="0" borderId="0" xfId="0" applyNumberFormat="1" applyFont="1"/>
    <xf numFmtId="0" fontId="112" fillId="0" borderId="0" xfId="0" applyFont="1"/>
    <xf numFmtId="0" fontId="68" fillId="0" borderId="1" xfId="0" applyFont="1" applyBorder="1"/>
    <xf numFmtId="0" fontId="112" fillId="0" borderId="1" xfId="0" applyFont="1" applyBorder="1"/>
    <xf numFmtId="0" fontId="110" fillId="0" borderId="1" xfId="0" applyFont="1" applyBorder="1"/>
    <xf numFmtId="0" fontId="113" fillId="0" borderId="0" xfId="0" applyFont="1"/>
    <xf numFmtId="14" fontId="110" fillId="0" borderId="50" xfId="0" applyNumberFormat="1" applyFont="1" applyBorder="1" applyAlignment="1">
      <alignment vertical="top"/>
    </xf>
    <xf numFmtId="0" fontId="110" fillId="0" borderId="51" xfId="0" applyFont="1" applyBorder="1" applyAlignment="1">
      <alignment vertical="top"/>
    </xf>
    <xf numFmtId="0" fontId="110" fillId="0" borderId="52" xfId="0" applyFont="1" applyBorder="1" applyAlignment="1">
      <alignment vertical="top" wrapText="1"/>
    </xf>
    <xf numFmtId="0" fontId="110" fillId="0" borderId="17" xfId="0" applyFont="1" applyBorder="1" applyAlignment="1">
      <alignment vertical="top"/>
    </xf>
    <xf numFmtId="0" fontId="110" fillId="0" borderId="53" xfId="0" applyFont="1" applyBorder="1" applyAlignment="1">
      <alignment vertical="top" wrapText="1"/>
    </xf>
    <xf numFmtId="0" fontId="110" fillId="0" borderId="0" xfId="0" applyFont="1" applyAlignment="1">
      <alignment vertical="top"/>
    </xf>
    <xf numFmtId="14" fontId="110" fillId="0" borderId="54" xfId="0" applyNumberFormat="1" applyFont="1" applyBorder="1" applyAlignment="1">
      <alignment vertical="top"/>
    </xf>
    <xf numFmtId="0" fontId="110" fillId="0" borderId="2" xfId="0" applyFont="1" applyBorder="1" applyAlignment="1">
      <alignment vertical="top"/>
    </xf>
    <xf numFmtId="0" fontId="110" fillId="0" borderId="55" xfId="0" applyFont="1" applyBorder="1" applyAlignment="1">
      <alignment vertical="top" wrapText="1"/>
    </xf>
    <xf numFmtId="14" fontId="110" fillId="0" borderId="56" xfId="0" applyNumberFormat="1" applyFont="1" applyBorder="1" applyAlignment="1">
      <alignment vertical="top"/>
    </xf>
    <xf numFmtId="165" fontId="109" fillId="0" borderId="0" xfId="0" applyNumberFormat="1" applyFont="1" applyAlignment="1">
      <alignment horizontal="right"/>
    </xf>
    <xf numFmtId="174" fontId="80" fillId="0" borderId="10" xfId="8" applyNumberFormat="1" applyFont="1" applyBorder="1" applyAlignment="1">
      <alignment horizontal="right"/>
    </xf>
    <xf numFmtId="174" fontId="80" fillId="0" borderId="0" xfId="8" applyNumberFormat="1" applyFont="1" applyBorder="1" applyAlignment="1">
      <alignment horizontal="right"/>
    </xf>
    <xf numFmtId="196" fontId="54" fillId="0" borderId="0" xfId="8" applyNumberFormat="1" applyFont="1" applyAlignment="1">
      <alignment horizontal="right"/>
    </xf>
    <xf numFmtId="0" fontId="45" fillId="0" borderId="15" xfId="0" applyFont="1" applyBorder="1"/>
    <xf numFmtId="174" fontId="45" fillId="0" borderId="15" xfId="8" applyNumberFormat="1" applyFont="1" applyBorder="1" applyAlignment="1">
      <alignment horizontal="right"/>
    </xf>
    <xf numFmtId="174" fontId="45" fillId="0" borderId="57" xfId="8" applyNumberFormat="1" applyFont="1" applyBorder="1" applyAlignment="1">
      <alignment horizontal="right"/>
    </xf>
    <xf numFmtId="174" fontId="45" fillId="0" borderId="15" xfId="8" applyNumberFormat="1" applyFont="1" applyBorder="1"/>
    <xf numFmtId="0" fontId="50" fillId="0" borderId="15" xfId="0" applyFont="1" applyBorder="1"/>
    <xf numFmtId="165" fontId="54" fillId="0" borderId="29" xfId="0" applyNumberFormat="1" applyFont="1" applyBorder="1"/>
    <xf numFmtId="165" fontId="83" fillId="0" borderId="29" xfId="0" applyNumberFormat="1" applyFont="1" applyBorder="1"/>
    <xf numFmtId="165" fontId="57" fillId="0" borderId="29" xfId="0" applyNumberFormat="1" applyFont="1" applyBorder="1"/>
    <xf numFmtId="0" fontId="63" fillId="0" borderId="0" xfId="0" applyFont="1" applyAlignment="1">
      <alignment horizontal="left" indent="1"/>
    </xf>
    <xf numFmtId="0" fontId="63" fillId="0" borderId="0" xfId="0" applyFont="1" applyAlignment="1">
      <alignment horizontal="left"/>
    </xf>
    <xf numFmtId="14" fontId="108" fillId="0" borderId="0" xfId="0" applyNumberFormat="1" applyFont="1"/>
    <xf numFmtId="170" fontId="85" fillId="0" borderId="0" xfId="3" applyNumberFormat="1" applyFont="1"/>
    <xf numFmtId="0" fontId="108" fillId="0" borderId="1" xfId="0" applyFont="1" applyBorder="1"/>
    <xf numFmtId="0" fontId="87" fillId="0" borderId="0" xfId="0" applyFont="1" applyAlignment="1">
      <alignment horizontal="centerContinuous"/>
    </xf>
    <xf numFmtId="0" fontId="85" fillId="0" borderId="0" xfId="0" applyFont="1" applyAlignment="1">
      <alignment horizontal="centerContinuous"/>
    </xf>
    <xf numFmtId="41" fontId="91" fillId="0" borderId="0" xfId="0" applyNumberFormat="1" applyFont="1"/>
    <xf numFmtId="0" fontId="114" fillId="0" borderId="1" xfId="0" applyFont="1" applyBorder="1" applyAlignment="1">
      <alignment horizontal="center"/>
    </xf>
    <xf numFmtId="0" fontId="114" fillId="0" borderId="9" xfId="0" applyFont="1" applyBorder="1" applyAlignment="1">
      <alignment horizontal="center"/>
    </xf>
    <xf numFmtId="0" fontId="114" fillId="0" borderId="7" xfId="0" applyFont="1" applyBorder="1" applyAlignment="1">
      <alignment horizontal="center"/>
    </xf>
    <xf numFmtId="0" fontId="87" fillId="0" borderId="2" xfId="0" applyFont="1" applyBorder="1"/>
    <xf numFmtId="0" fontId="114" fillId="0" borderId="0" xfId="0" applyFont="1" applyAlignment="1">
      <alignment horizontal="center"/>
    </xf>
    <xf numFmtId="0" fontId="114" fillId="0" borderId="10" xfId="0" applyFont="1" applyBorder="1" applyAlignment="1">
      <alignment horizontal="center"/>
    </xf>
    <xf numFmtId="0" fontId="114" fillId="0" borderId="8" xfId="0" applyFont="1" applyBorder="1" applyAlignment="1">
      <alignment horizontal="center"/>
    </xf>
    <xf numFmtId="41" fontId="85" fillId="0" borderId="0" xfId="0" applyNumberFormat="1" applyFont="1"/>
    <xf numFmtId="41" fontId="85" fillId="0" borderId="10" xfId="0" applyNumberFormat="1" applyFont="1" applyBorder="1"/>
    <xf numFmtId="41" fontId="115" fillId="0" borderId="8" xfId="0" applyNumberFormat="1" applyFont="1" applyBorder="1"/>
    <xf numFmtId="41" fontId="115" fillId="0" borderId="0" xfId="0" applyNumberFormat="1" applyFont="1"/>
    <xf numFmtId="0" fontId="116" fillId="0" borderId="0" xfId="0" applyFont="1" applyAlignment="1">
      <alignment horizontal="left"/>
    </xf>
    <xf numFmtId="0" fontId="115" fillId="0" borderId="0" xfId="0" applyFont="1" applyAlignment="1">
      <alignment horizontal="right"/>
    </xf>
    <xf numFmtId="41" fontId="117" fillId="0" borderId="0" xfId="0" applyNumberFormat="1" applyFont="1"/>
    <xf numFmtId="41" fontId="117" fillId="0" borderId="10" xfId="0" applyNumberFormat="1" applyFont="1" applyBorder="1"/>
    <xf numFmtId="41" fontId="91" fillId="0" borderId="10" xfId="0" applyNumberFormat="1" applyFont="1" applyBorder="1"/>
    <xf numFmtId="41" fontId="118" fillId="0" borderId="0" xfId="0" applyNumberFormat="1" applyFont="1"/>
    <xf numFmtId="41" fontId="91" fillId="0" borderId="8" xfId="0" applyNumberFormat="1" applyFont="1" applyBorder="1"/>
    <xf numFmtId="41" fontId="119" fillId="0" borderId="0" xfId="0" applyNumberFormat="1" applyFont="1"/>
    <xf numFmtId="41" fontId="119" fillId="0" borderId="10" xfId="0" applyNumberFormat="1" applyFont="1" applyBorder="1"/>
    <xf numFmtId="41" fontId="120" fillId="0" borderId="0" xfId="0" applyNumberFormat="1" applyFont="1"/>
    <xf numFmtId="41" fontId="120" fillId="0" borderId="10" xfId="0" applyNumberFormat="1" applyFont="1" applyBorder="1"/>
    <xf numFmtId="41" fontId="121" fillId="0" borderId="0" xfId="0" applyNumberFormat="1" applyFont="1"/>
    <xf numFmtId="41" fontId="120" fillId="0" borderId="8" xfId="0" applyNumberFormat="1" applyFont="1" applyBorder="1"/>
    <xf numFmtId="0" fontId="122" fillId="0" borderId="0" xfId="0" applyFont="1"/>
    <xf numFmtId="41" fontId="122" fillId="0" borderId="0" xfId="0" applyNumberFormat="1" applyFont="1"/>
    <xf numFmtId="41" fontId="122" fillId="0" borderId="10" xfId="0" applyNumberFormat="1" applyFont="1" applyBorder="1"/>
    <xf numFmtId="41" fontId="122" fillId="0" borderId="8" xfId="0" applyNumberFormat="1" applyFont="1" applyBorder="1"/>
    <xf numFmtId="196" fontId="122" fillId="0" borderId="0" xfId="0" applyNumberFormat="1" applyFont="1"/>
    <xf numFmtId="0" fontId="123" fillId="0" borderId="0" xfId="0" applyFont="1" applyAlignment="1">
      <alignment horizontal="left" indent="2"/>
    </xf>
    <xf numFmtId="41" fontId="87" fillId="0" borderId="0" xfId="0" applyNumberFormat="1" applyFont="1"/>
    <xf numFmtId="41" fontId="87" fillId="0" borderId="10" xfId="0" applyNumberFormat="1" applyFont="1" applyBorder="1"/>
    <xf numFmtId="165" fontId="123" fillId="0" borderId="0" xfId="0" applyNumberFormat="1" applyFont="1"/>
    <xf numFmtId="165" fontId="123" fillId="0" borderId="10" xfId="0" applyNumberFormat="1" applyFont="1" applyBorder="1"/>
    <xf numFmtId="165" fontId="124" fillId="0" borderId="0" xfId="0" applyNumberFormat="1" applyFont="1"/>
    <xf numFmtId="165" fontId="123" fillId="0" borderId="8" xfId="0" applyNumberFormat="1" applyFont="1" applyBorder="1"/>
    <xf numFmtId="165" fontId="125" fillId="0" borderId="0" xfId="0" applyNumberFormat="1" applyFont="1"/>
    <xf numFmtId="165" fontId="125" fillId="0" borderId="10" xfId="0" applyNumberFormat="1" applyFont="1" applyBorder="1"/>
    <xf numFmtId="165" fontId="125" fillId="0" borderId="0" xfId="0" applyNumberFormat="1" applyFont="1" applyAlignment="1">
      <alignment horizontal="right"/>
    </xf>
    <xf numFmtId="165" fontId="123" fillId="0" borderId="8" xfId="0" applyNumberFormat="1" applyFont="1" applyBorder="1" applyAlignment="1">
      <alignment horizontal="right"/>
    </xf>
    <xf numFmtId="165" fontId="123" fillId="0" borderId="0" xfId="0" applyNumberFormat="1" applyFont="1" applyAlignment="1">
      <alignment horizontal="right"/>
    </xf>
    <xf numFmtId="0" fontId="108" fillId="0" borderId="0" xfId="0" applyFont="1" applyAlignment="1">
      <alignment horizontal="left" indent="1"/>
    </xf>
    <xf numFmtId="165" fontId="108" fillId="0" borderId="10" xfId="0" applyNumberFormat="1" applyFont="1" applyBorder="1"/>
    <xf numFmtId="165" fontId="126" fillId="0" borderId="0" xfId="0" applyNumberFormat="1" applyFont="1"/>
    <xf numFmtId="165" fontId="108" fillId="0" borderId="8" xfId="0" applyNumberFormat="1" applyFont="1" applyBorder="1"/>
    <xf numFmtId="0" fontId="127" fillId="0" borderId="0" xfId="0" applyFont="1" applyAlignment="1">
      <alignment horizontal="left" indent="1"/>
    </xf>
    <xf numFmtId="0" fontId="116" fillId="0" borderId="0" xfId="0" applyFont="1"/>
    <xf numFmtId="41" fontId="128" fillId="0" borderId="0" xfId="0" applyNumberFormat="1" applyFont="1"/>
    <xf numFmtId="41" fontId="128" fillId="0" borderId="10" xfId="0" applyNumberFormat="1" applyFont="1" applyBorder="1"/>
    <xf numFmtId="165" fontId="127" fillId="0" borderId="0" xfId="0" applyNumberFormat="1" applyFont="1"/>
    <xf numFmtId="165" fontId="127" fillId="0" borderId="10" xfId="0" applyNumberFormat="1" applyFont="1" applyBorder="1"/>
    <xf numFmtId="165" fontId="127" fillId="0" borderId="8" xfId="0" applyNumberFormat="1" applyFont="1" applyBorder="1"/>
    <xf numFmtId="0" fontId="129" fillId="0" borderId="0" xfId="0" applyFont="1"/>
    <xf numFmtId="41" fontId="130" fillId="0" borderId="0" xfId="0" applyNumberFormat="1" applyFont="1" applyAlignment="1">
      <alignment horizontal="right"/>
    </xf>
    <xf numFmtId="165" fontId="108" fillId="0" borderId="10" xfId="0" applyNumberFormat="1" applyFont="1" applyBorder="1" applyAlignment="1">
      <alignment horizontal="right"/>
    </xf>
    <xf numFmtId="41" fontId="85" fillId="0" borderId="8" xfId="0" applyNumberFormat="1" applyFont="1" applyBorder="1"/>
    <xf numFmtId="0" fontId="91" fillId="0" borderId="0" xfId="0" applyFont="1" applyAlignment="1">
      <alignment horizontal="left"/>
    </xf>
    <xf numFmtId="0" fontId="91" fillId="0" borderId="0" xfId="0" applyFont="1"/>
    <xf numFmtId="165" fontId="115" fillId="0" borderId="0" xfId="0" applyNumberFormat="1" applyFont="1"/>
    <xf numFmtId="0" fontId="129" fillId="0" borderId="0" xfId="0" applyFont="1" applyAlignment="1">
      <alignment horizontal="left"/>
    </xf>
    <xf numFmtId="165" fontId="131" fillId="0" borderId="0" xfId="0" applyNumberFormat="1" applyFont="1"/>
    <xf numFmtId="0" fontId="108" fillId="0" borderId="0" xfId="0" applyFont="1" applyAlignment="1">
      <alignment horizontal="left" indent="2"/>
    </xf>
    <xf numFmtId="165" fontId="132" fillId="0" borderId="0" xfId="0" applyNumberFormat="1" applyFont="1"/>
    <xf numFmtId="165" fontId="133" fillId="0" borderId="0" xfId="0" applyNumberFormat="1" applyFont="1"/>
    <xf numFmtId="197" fontId="85" fillId="0" borderId="0" xfId="0" applyNumberFormat="1" applyFont="1"/>
    <xf numFmtId="0" fontId="134" fillId="0" borderId="0" xfId="0" applyFont="1"/>
    <xf numFmtId="41" fontId="134" fillId="0" borderId="0" xfId="0" applyNumberFormat="1" applyFont="1"/>
    <xf numFmtId="41" fontId="134" fillId="0" borderId="8" xfId="0" applyNumberFormat="1" applyFont="1" applyBorder="1"/>
    <xf numFmtId="165" fontId="108" fillId="0" borderId="8" xfId="0" applyNumberFormat="1" applyFont="1" applyBorder="1" applyAlignment="1">
      <alignment horizontal="right"/>
    </xf>
    <xf numFmtId="165" fontId="132" fillId="0" borderId="0" xfId="0" applyNumberFormat="1" applyFont="1" applyAlignment="1">
      <alignment horizontal="right"/>
    </xf>
    <xf numFmtId="165" fontId="132" fillId="0" borderId="10" xfId="0" applyNumberFormat="1" applyFont="1" applyBorder="1" applyAlignment="1">
      <alignment horizontal="right"/>
    </xf>
    <xf numFmtId="165" fontId="132" fillId="0" borderId="8" xfId="0" applyNumberFormat="1" applyFont="1" applyBorder="1" applyAlignment="1">
      <alignment horizontal="right"/>
    </xf>
    <xf numFmtId="0" fontId="120" fillId="0" borderId="0" xfId="0" applyFont="1"/>
    <xf numFmtId="41" fontId="135" fillId="0" borderId="0" xfId="0" applyNumberFormat="1" applyFont="1"/>
    <xf numFmtId="165" fontId="123" fillId="0" borderId="0" xfId="0" applyNumberFormat="1" applyFont="1" applyAlignment="1">
      <alignment horizontal="left" indent="1"/>
    </xf>
    <xf numFmtId="41" fontId="87" fillId="0" borderId="8" xfId="0" applyNumberFormat="1" applyFont="1" applyBorder="1"/>
    <xf numFmtId="165" fontId="87" fillId="0" borderId="0" xfId="0" applyNumberFormat="1" applyFont="1"/>
    <xf numFmtId="0" fontId="123" fillId="0" borderId="0" xfId="0" applyFont="1" applyAlignment="1">
      <alignment horizontal="left" indent="1"/>
    </xf>
    <xf numFmtId="165" fontId="123" fillId="0" borderId="10" xfId="0" applyNumberFormat="1" applyFont="1" applyBorder="1" applyAlignment="1">
      <alignment horizontal="right"/>
    </xf>
    <xf numFmtId="165" fontId="108" fillId="0" borderId="0" xfId="0" applyNumberFormat="1" applyFont="1" applyAlignment="1">
      <alignment horizontal="left" indent="1"/>
    </xf>
    <xf numFmtId="165" fontId="85" fillId="0" borderId="0" xfId="0" applyNumberFormat="1" applyFont="1"/>
    <xf numFmtId="165" fontId="132" fillId="0" borderId="0" xfId="0" applyNumberFormat="1" applyFont="1" applyAlignment="1">
      <alignment horizontal="left" indent="1"/>
    </xf>
    <xf numFmtId="165" fontId="130" fillId="0" borderId="0" xfId="0" applyNumberFormat="1" applyFont="1"/>
    <xf numFmtId="165" fontId="91" fillId="0" borderId="0" xfId="0" applyNumberFormat="1" applyFont="1"/>
    <xf numFmtId="0" fontId="91" fillId="0" borderId="0" xfId="0" applyFont="1" applyAlignment="1">
      <alignment horizontal="left" indent="1"/>
    </xf>
    <xf numFmtId="41" fontId="121" fillId="0" borderId="0" xfId="3" applyNumberFormat="1" applyFont="1" applyFill="1" applyBorder="1"/>
    <xf numFmtId="41" fontId="134" fillId="0" borderId="10" xfId="0" applyNumberFormat="1" applyFont="1" applyBorder="1"/>
    <xf numFmtId="169" fontId="91" fillId="0" borderId="0" xfId="0" applyNumberFormat="1" applyFont="1"/>
    <xf numFmtId="169" fontId="91" fillId="0" borderId="10" xfId="0" applyNumberFormat="1" applyFont="1" applyBorder="1"/>
    <xf numFmtId="43" fontId="91" fillId="0" borderId="8" xfId="8" applyFont="1" applyBorder="1"/>
    <xf numFmtId="41" fontId="136" fillId="0" borderId="0" xfId="0" applyNumberFormat="1" applyFont="1"/>
    <xf numFmtId="199" fontId="91" fillId="0" borderId="0" xfId="0" applyNumberFormat="1" applyFont="1"/>
    <xf numFmtId="165" fontId="133" fillId="0" borderId="0" xfId="0" applyNumberFormat="1" applyFont="1" applyAlignment="1">
      <alignment horizontal="left" indent="1"/>
    </xf>
    <xf numFmtId="41" fontId="128" fillId="0" borderId="8" xfId="0" applyNumberFormat="1" applyFont="1" applyBorder="1"/>
    <xf numFmtId="166" fontId="108" fillId="0" borderId="0" xfId="0" applyNumberFormat="1" applyFont="1" applyAlignment="1">
      <alignment horizontal="right"/>
    </xf>
    <xf numFmtId="166" fontId="108" fillId="0" borderId="10" xfId="0" applyNumberFormat="1" applyFont="1" applyBorder="1" applyAlignment="1">
      <alignment horizontal="right"/>
    </xf>
    <xf numFmtId="166" fontId="132" fillId="0" borderId="0" xfId="0" applyNumberFormat="1" applyFont="1" applyAlignment="1">
      <alignment horizontal="right"/>
    </xf>
    <xf numFmtId="166" fontId="108" fillId="0" borderId="8" xfId="0" applyNumberFormat="1" applyFont="1" applyBorder="1" applyAlignment="1">
      <alignment horizontal="right"/>
    </xf>
    <xf numFmtId="41" fontId="91" fillId="0" borderId="0" xfId="0" applyNumberFormat="1" applyFont="1" applyAlignment="1">
      <alignment horizontal="right"/>
    </xf>
    <xf numFmtId="41" fontId="91" fillId="0" borderId="10" xfId="0" applyNumberFormat="1" applyFont="1" applyBorder="1" applyAlignment="1">
      <alignment horizontal="right"/>
    </xf>
    <xf numFmtId="0" fontId="87" fillId="0" borderId="3" xfId="0" applyFont="1" applyBorder="1" applyAlignment="1">
      <alignment horizontal="centerContinuous"/>
    </xf>
    <xf numFmtId="0" fontId="87" fillId="0" borderId="4" xfId="0" applyFont="1" applyBorder="1" applyAlignment="1">
      <alignment horizontal="centerContinuous"/>
    </xf>
    <xf numFmtId="0" fontId="85" fillId="0" borderId="4" xfId="0" applyFont="1" applyBorder="1" applyAlignment="1">
      <alignment horizontal="centerContinuous"/>
    </xf>
    <xf numFmtId="0" fontId="85" fillId="0" borderId="5" xfId="0" applyFont="1" applyBorder="1" applyAlignment="1">
      <alignment horizontal="centerContinuous"/>
    </xf>
    <xf numFmtId="0" fontId="116" fillId="0" borderId="0" xfId="0" applyFont="1" applyAlignment="1">
      <alignment horizontal="right"/>
    </xf>
    <xf numFmtId="43" fontId="91" fillId="0" borderId="0" xfId="0" applyNumberFormat="1" applyFont="1"/>
    <xf numFmtId="41" fontId="132" fillId="0" borderId="0" xfId="0" applyNumberFormat="1" applyFont="1"/>
    <xf numFmtId="196" fontId="85" fillId="0" borderId="0" xfId="0" applyNumberFormat="1" applyFont="1"/>
    <xf numFmtId="165" fontId="85" fillId="0" borderId="10" xfId="0" applyNumberFormat="1" applyFont="1" applyBorder="1"/>
    <xf numFmtId="174" fontId="85" fillId="0" borderId="0" xfId="8" applyNumberFormat="1" applyFont="1" applyAlignment="1">
      <alignment horizontal="right"/>
    </xf>
    <xf numFmtId="174" fontId="85" fillId="0" borderId="10" xfId="8" applyNumberFormat="1" applyFont="1" applyBorder="1" applyAlignment="1">
      <alignment horizontal="right"/>
    </xf>
    <xf numFmtId="174" fontId="85" fillId="0" borderId="0" xfId="8" applyNumberFormat="1" applyFont="1" applyBorder="1" applyAlignment="1">
      <alignment horizontal="right"/>
    </xf>
    <xf numFmtId="174" fontId="85" fillId="0" borderId="8" xfId="8" applyNumberFormat="1" applyFont="1" applyBorder="1" applyAlignment="1">
      <alignment horizontal="right"/>
    </xf>
    <xf numFmtId="174" fontId="85" fillId="0" borderId="0" xfId="8" applyNumberFormat="1" applyFont="1"/>
    <xf numFmtId="41" fontId="85" fillId="0" borderId="0" xfId="8" applyNumberFormat="1" applyFont="1" applyBorder="1" applyAlignment="1">
      <alignment horizontal="right"/>
    </xf>
    <xf numFmtId="41" fontId="85" fillId="0" borderId="10" xfId="8" applyNumberFormat="1" applyFont="1" applyBorder="1" applyAlignment="1">
      <alignment horizontal="right"/>
    </xf>
    <xf numFmtId="41" fontId="85" fillId="0" borderId="8" xfId="8" applyNumberFormat="1" applyFont="1" applyBorder="1" applyAlignment="1">
      <alignment horizontal="right"/>
    </xf>
    <xf numFmtId="41" fontId="134" fillId="0" borderId="0" xfId="8" applyNumberFormat="1" applyFont="1" applyBorder="1" applyAlignment="1">
      <alignment horizontal="right"/>
    </xf>
    <xf numFmtId="41" fontId="134" fillId="0" borderId="10" xfId="8" applyNumberFormat="1" applyFont="1" applyBorder="1" applyAlignment="1">
      <alignment horizontal="right"/>
    </xf>
    <xf numFmtId="174" fontId="134" fillId="0" borderId="0" xfId="8" applyNumberFormat="1" applyFont="1" applyAlignment="1">
      <alignment horizontal="right"/>
    </xf>
    <xf numFmtId="174" fontId="134" fillId="0" borderId="0" xfId="8" applyNumberFormat="1" applyFont="1"/>
    <xf numFmtId="41" fontId="87" fillId="0" borderId="0" xfId="8" applyNumberFormat="1" applyFont="1" applyBorder="1" applyAlignment="1">
      <alignment horizontal="right"/>
    </xf>
    <xf numFmtId="41" fontId="87" fillId="0" borderId="10" xfId="8" applyNumberFormat="1" applyFont="1" applyBorder="1" applyAlignment="1">
      <alignment horizontal="right"/>
    </xf>
    <xf numFmtId="174" fontId="87" fillId="0" borderId="0" xfId="8" applyNumberFormat="1" applyFont="1" applyAlignment="1">
      <alignment horizontal="right"/>
    </xf>
    <xf numFmtId="174" fontId="87" fillId="0" borderId="0" xfId="8" applyNumberFormat="1" applyFont="1"/>
    <xf numFmtId="174" fontId="121" fillId="0" borderId="0" xfId="8" applyNumberFormat="1" applyFont="1" applyBorder="1" applyAlignment="1">
      <alignment horizontal="right"/>
    </xf>
    <xf numFmtId="174" fontId="121" fillId="0" borderId="10" xfId="8" applyNumberFormat="1" applyFont="1" applyBorder="1" applyAlignment="1">
      <alignment horizontal="right"/>
    </xf>
    <xf numFmtId="174" fontId="134" fillId="0" borderId="0" xfId="8" applyNumberFormat="1" applyFont="1" applyBorder="1" applyAlignment="1">
      <alignment horizontal="right"/>
    </xf>
    <xf numFmtId="174" fontId="134" fillId="0" borderId="10" xfId="8" applyNumberFormat="1" applyFont="1" applyBorder="1" applyAlignment="1">
      <alignment horizontal="right"/>
    </xf>
    <xf numFmtId="174" fontId="134" fillId="0" borderId="8" xfId="8" applyNumberFormat="1" applyFont="1" applyBorder="1" applyAlignment="1">
      <alignment horizontal="right"/>
    </xf>
    <xf numFmtId="0" fontId="87" fillId="0" borderId="3" xfId="0" applyFont="1" applyBorder="1"/>
    <xf numFmtId="0" fontId="87" fillId="0" borderId="5" xfId="0" applyFont="1" applyBorder="1"/>
    <xf numFmtId="41" fontId="129" fillId="0" borderId="0" xfId="0" applyNumberFormat="1" applyFont="1"/>
    <xf numFmtId="41" fontId="129" fillId="0" borderId="10" xfId="0" applyNumberFormat="1" applyFont="1" applyBorder="1"/>
    <xf numFmtId="41" fontId="129" fillId="0" borderId="8" xfId="0" applyNumberFormat="1" applyFont="1" applyBorder="1"/>
    <xf numFmtId="174" fontId="134" fillId="0" borderId="0" xfId="8" applyNumberFormat="1" applyFont="1" applyBorder="1"/>
    <xf numFmtId="174" fontId="134" fillId="0" borderId="10" xfId="8" applyNumberFormat="1" applyFont="1" applyBorder="1"/>
    <xf numFmtId="174" fontId="108" fillId="0" borderId="0" xfId="8" applyNumberFormat="1" applyFont="1" applyBorder="1"/>
    <xf numFmtId="174" fontId="108" fillId="0" borderId="10" xfId="8" applyNumberFormat="1" applyFont="1" applyBorder="1"/>
    <xf numFmtId="174" fontId="132" fillId="0" borderId="0" xfId="8" applyNumberFormat="1" applyFont="1" applyBorder="1"/>
    <xf numFmtId="174" fontId="85" fillId="0" borderId="0" xfId="8" applyNumberFormat="1" applyFont="1" applyBorder="1"/>
    <xf numFmtId="174" fontId="108" fillId="0" borderId="8" xfId="8" applyNumberFormat="1" applyFont="1" applyBorder="1"/>
    <xf numFmtId="174" fontId="108" fillId="0" borderId="0" xfId="8" applyNumberFormat="1" applyFont="1"/>
    <xf numFmtId="174" fontId="127" fillId="0" borderId="0" xfId="8" applyNumberFormat="1" applyFont="1" applyBorder="1"/>
    <xf numFmtId="174" fontId="127" fillId="0" borderId="10" xfId="8" applyNumberFormat="1" applyFont="1" applyBorder="1"/>
    <xf numFmtId="174" fontId="133" fillId="0" borderId="0" xfId="8" applyNumberFormat="1" applyFont="1" applyBorder="1"/>
    <xf numFmtId="174" fontId="127" fillId="0" borderId="8" xfId="8" applyNumberFormat="1" applyFont="1" applyBorder="1"/>
    <xf numFmtId="174" fontId="127" fillId="0" borderId="0" xfId="8" applyNumberFormat="1" applyFont="1"/>
    <xf numFmtId="174" fontId="123" fillId="0" borderId="0" xfId="8" applyNumberFormat="1" applyFont="1" applyBorder="1"/>
    <xf numFmtId="174" fontId="123" fillId="0" borderId="10" xfId="8" applyNumberFormat="1" applyFont="1" applyBorder="1"/>
    <xf numFmtId="174" fontId="123" fillId="0" borderId="8" xfId="8" applyNumberFormat="1" applyFont="1" applyBorder="1"/>
    <xf numFmtId="174" fontId="87" fillId="0" borderId="0" xfId="8" applyNumberFormat="1" applyFont="1" applyBorder="1"/>
    <xf numFmtId="174" fontId="123" fillId="0" borderId="0" xfId="8" applyNumberFormat="1" applyFont="1"/>
    <xf numFmtId="0" fontId="123" fillId="0" borderId="0" xfId="0" applyFont="1"/>
    <xf numFmtId="41" fontId="123" fillId="0" borderId="0" xfId="0" applyNumberFormat="1" applyFont="1"/>
    <xf numFmtId="41" fontId="123" fillId="0" borderId="10" xfId="0" applyNumberFormat="1" applyFont="1" applyBorder="1"/>
    <xf numFmtId="174" fontId="91" fillId="0" borderId="0" xfId="8" applyNumberFormat="1" applyFont="1"/>
    <xf numFmtId="174" fontId="91" fillId="0" borderId="10" xfId="8" applyNumberFormat="1" applyFont="1" applyBorder="1"/>
    <xf numFmtId="165" fontId="129" fillId="0" borderId="0" xfId="0" applyNumberFormat="1" applyFont="1"/>
    <xf numFmtId="165" fontId="129" fillId="0" borderId="10" xfId="0" applyNumberFormat="1" applyFont="1" applyBorder="1"/>
    <xf numFmtId="41" fontId="120" fillId="0" borderId="0" xfId="0" applyNumberFormat="1" applyFont="1" applyAlignment="1">
      <alignment horizontal="right"/>
    </xf>
    <xf numFmtId="165" fontId="128" fillId="0" borderId="10" xfId="0" applyNumberFormat="1" applyFont="1" applyBorder="1"/>
    <xf numFmtId="165" fontId="129" fillId="0" borderId="8" xfId="0" applyNumberFormat="1" applyFont="1" applyBorder="1"/>
    <xf numFmtId="0" fontId="122" fillId="0" borderId="0" xfId="0" applyFont="1" applyAlignment="1">
      <alignment horizontal="left" indent="1"/>
    </xf>
    <xf numFmtId="41" fontId="122" fillId="0" borderId="0" xfId="0" applyNumberFormat="1" applyFont="1" applyAlignment="1">
      <alignment horizontal="right"/>
    </xf>
    <xf numFmtId="0" fontId="128" fillId="0" borderId="0" xfId="0" applyFont="1" applyAlignment="1">
      <alignment horizontal="left"/>
    </xf>
    <xf numFmtId="165" fontId="138" fillId="0" borderId="0" xfId="0" applyNumberFormat="1" applyFont="1"/>
    <xf numFmtId="165" fontId="85" fillId="0" borderId="0" xfId="0" applyNumberFormat="1" applyFont="1" applyAlignment="1">
      <alignment horizontal="left" indent="1"/>
    </xf>
    <xf numFmtId="165" fontId="117" fillId="0" borderId="0" xfId="0" applyNumberFormat="1" applyFont="1"/>
    <xf numFmtId="165" fontId="85" fillId="0" borderId="8" xfId="0" applyNumberFormat="1" applyFont="1" applyBorder="1"/>
    <xf numFmtId="165" fontId="129" fillId="0" borderId="0" xfId="0" applyNumberFormat="1" applyFont="1" applyAlignment="1">
      <alignment horizontal="left" indent="1"/>
    </xf>
    <xf numFmtId="165" fontId="139" fillId="0" borderId="0" xfId="0" applyNumberFormat="1" applyFont="1"/>
    <xf numFmtId="165" fontId="85" fillId="0" borderId="0" xfId="0" applyNumberFormat="1" applyFont="1" applyAlignment="1">
      <alignment horizontal="right"/>
    </xf>
    <xf numFmtId="165" fontId="91" fillId="0" borderId="10" xfId="0" applyNumberFormat="1" applyFont="1" applyBorder="1"/>
    <xf numFmtId="0" fontId="128" fillId="0" borderId="0" xfId="0" applyFont="1"/>
    <xf numFmtId="41" fontId="139" fillId="0" borderId="0" xfId="0" applyNumberFormat="1" applyFont="1"/>
    <xf numFmtId="165" fontId="132" fillId="0" borderId="10" xfId="0" applyNumberFormat="1" applyFont="1" applyBorder="1"/>
    <xf numFmtId="165" fontId="118" fillId="0" borderId="0" xfId="0" applyNumberFormat="1" applyFont="1"/>
    <xf numFmtId="0" fontId="122" fillId="0" borderId="0" xfId="0" applyFont="1" applyAlignment="1">
      <alignment horizontal="left"/>
    </xf>
    <xf numFmtId="41" fontId="108" fillId="0" borderId="0" xfId="0" applyNumberFormat="1" applyFont="1"/>
    <xf numFmtId="41" fontId="137" fillId="0" borderId="0" xfId="0" applyNumberFormat="1" applyFont="1"/>
    <xf numFmtId="0" fontId="140" fillId="4" borderId="0" xfId="0" applyFont="1" applyFill="1" applyAlignment="1">
      <alignment horizontal="left"/>
    </xf>
    <xf numFmtId="0" fontId="140" fillId="4" borderId="0" xfId="0" applyFont="1" applyFill="1"/>
    <xf numFmtId="41" fontId="140" fillId="4" borderId="0" xfId="0" applyNumberFormat="1" applyFont="1" applyFill="1"/>
    <xf numFmtId="41" fontId="140" fillId="4" borderId="10" xfId="0" applyNumberFormat="1" applyFont="1" applyFill="1" applyBorder="1"/>
    <xf numFmtId="169" fontId="140" fillId="4" borderId="0" xfId="0" applyNumberFormat="1" applyFont="1" applyFill="1"/>
    <xf numFmtId="41" fontId="140" fillId="4" borderId="8" xfId="0" applyNumberFormat="1" applyFont="1" applyFill="1" applyBorder="1"/>
    <xf numFmtId="197" fontId="132" fillId="0" borderId="0" xfId="0" applyNumberFormat="1" applyFont="1"/>
    <xf numFmtId="14" fontId="91" fillId="0" borderId="0" xfId="0" applyNumberFormat="1" applyFont="1"/>
    <xf numFmtId="14" fontId="91" fillId="0" borderId="10" xfId="0" applyNumberFormat="1" applyFont="1" applyBorder="1"/>
    <xf numFmtId="14" fontId="91" fillId="0" borderId="8" xfId="0" applyNumberFormat="1" applyFont="1" applyBorder="1"/>
    <xf numFmtId="41" fontId="134" fillId="0" borderId="0" xfId="0" applyNumberFormat="1" applyFont="1" applyAlignment="1">
      <alignment horizontal="right"/>
    </xf>
    <xf numFmtId="8" fontId="91" fillId="0" borderId="0" xfId="0" applyNumberFormat="1" applyFont="1"/>
    <xf numFmtId="43" fontId="91" fillId="0" borderId="0" xfId="8" applyFont="1" applyBorder="1"/>
    <xf numFmtId="43" fontId="91" fillId="0" borderId="10" xfId="8" applyFont="1" applyBorder="1"/>
    <xf numFmtId="43" fontId="91" fillId="0" borderId="0" xfId="8" applyFont="1"/>
    <xf numFmtId="0" fontId="133" fillId="0" borderId="0" xfId="0" applyFont="1" applyAlignment="1">
      <alignment horizontal="left" indent="2"/>
    </xf>
    <xf numFmtId="0" fontId="132" fillId="0" borderId="0" xfId="0" applyFont="1" applyAlignment="1">
      <alignment horizontal="left" indent="2"/>
    </xf>
    <xf numFmtId="0" fontId="132" fillId="0" borderId="0" xfId="0" applyFont="1"/>
    <xf numFmtId="198" fontId="141" fillId="0" borderId="0" xfId="0" applyNumberFormat="1" applyFont="1" applyAlignment="1">
      <alignment horizontal="right"/>
    </xf>
    <xf numFmtId="198" fontId="141" fillId="0" borderId="10" xfId="0" applyNumberFormat="1" applyFont="1" applyBorder="1" applyAlignment="1">
      <alignment horizontal="right"/>
    </xf>
    <xf numFmtId="198" fontId="141" fillId="0" borderId="8" xfId="0" applyNumberFormat="1" applyFont="1" applyBorder="1" applyAlignment="1">
      <alignment horizontal="right"/>
    </xf>
    <xf numFmtId="0" fontId="108" fillId="0" borderId="0" xfId="0" applyFont="1"/>
    <xf numFmtId="41" fontId="108" fillId="0" borderId="10" xfId="0" applyNumberFormat="1" applyFont="1" applyBorder="1"/>
    <xf numFmtId="198" fontId="115" fillId="0" borderId="0" xfId="0" applyNumberFormat="1" applyFont="1"/>
    <xf numFmtId="198" fontId="115" fillId="0" borderId="10" xfId="0" applyNumberFormat="1" applyFont="1" applyBorder="1"/>
    <xf numFmtId="198" fontId="115" fillId="0" borderId="8" xfId="0" applyNumberFormat="1" applyFont="1" applyBorder="1"/>
    <xf numFmtId="198" fontId="108" fillId="0" borderId="0" xfId="0" applyNumberFormat="1" applyFont="1"/>
    <xf numFmtId="198" fontId="108" fillId="0" borderId="10" xfId="0" applyNumberFormat="1" applyFont="1" applyBorder="1"/>
    <xf numFmtId="198" fontId="108" fillId="0" borderId="8" xfId="0" applyNumberFormat="1" applyFont="1" applyBorder="1"/>
    <xf numFmtId="198" fontId="93" fillId="0" borderId="0" xfId="0" applyNumberFormat="1" applyFont="1" applyAlignment="1">
      <alignment horizontal="right"/>
    </xf>
    <xf numFmtId="198" fontId="93" fillId="0" borderId="10" xfId="0" applyNumberFormat="1" applyFont="1" applyBorder="1" applyAlignment="1">
      <alignment horizontal="right"/>
    </xf>
    <xf numFmtId="198" fontId="93" fillId="0" borderId="8" xfId="0" applyNumberFormat="1" applyFont="1" applyBorder="1" applyAlignment="1">
      <alignment horizontal="right"/>
    </xf>
    <xf numFmtId="198" fontId="142" fillId="0" borderId="0" xfId="0" applyNumberFormat="1" applyFont="1" applyAlignment="1">
      <alignment horizontal="right"/>
    </xf>
    <xf numFmtId="198" fontId="142" fillId="0" borderId="10" xfId="0" applyNumberFormat="1" applyFont="1" applyBorder="1" applyAlignment="1">
      <alignment horizontal="right"/>
    </xf>
    <xf numFmtId="198" fontId="142" fillId="0" borderId="8" xfId="0" applyNumberFormat="1" applyFont="1" applyBorder="1" applyAlignment="1">
      <alignment horizontal="right"/>
    </xf>
    <xf numFmtId="8" fontId="128" fillId="0" borderId="0" xfId="0" applyNumberFormat="1" applyFont="1"/>
    <xf numFmtId="198" fontId="85" fillId="0" borderId="0" xfId="0" applyNumberFormat="1" applyFont="1"/>
    <xf numFmtId="198" fontId="85" fillId="0" borderId="10" xfId="0" applyNumberFormat="1" applyFont="1" applyBorder="1"/>
    <xf numFmtId="198" fontId="85" fillId="0" borderId="8" xfId="0" applyNumberFormat="1" applyFont="1" applyBorder="1"/>
    <xf numFmtId="168" fontId="85" fillId="0" borderId="0" xfId="0" applyNumberFormat="1" applyFont="1"/>
    <xf numFmtId="41" fontId="85" fillId="0" borderId="0" xfId="0" applyNumberFormat="1" applyFont="1" applyAlignment="1">
      <alignment horizontal="right"/>
    </xf>
    <xf numFmtId="37" fontId="85" fillId="0" borderId="0" xfId="0" applyNumberFormat="1" applyFont="1"/>
    <xf numFmtId="41" fontId="128" fillId="0" borderId="0" xfId="0" applyNumberFormat="1" applyFont="1" applyAlignment="1">
      <alignment horizontal="right"/>
    </xf>
    <xf numFmtId="174" fontId="91" fillId="0" borderId="0" xfId="8" applyNumberFormat="1" applyFont="1" applyBorder="1" applyAlignment="1">
      <alignment horizontal="right"/>
    </xf>
    <xf numFmtId="174" fontId="91" fillId="0" borderId="10" xfId="8" applyNumberFormat="1" applyFont="1" applyBorder="1" applyAlignment="1">
      <alignment horizontal="right"/>
    </xf>
    <xf numFmtId="174" fontId="128" fillId="0" borderId="0" xfId="8" applyNumberFormat="1" applyFont="1" applyBorder="1" applyAlignment="1">
      <alignment horizontal="right"/>
    </xf>
    <xf numFmtId="174" fontId="128" fillId="0" borderId="10" xfId="8" applyNumberFormat="1" applyFont="1" applyBorder="1" applyAlignment="1">
      <alignment horizontal="right"/>
    </xf>
    <xf numFmtId="174" fontId="91" fillId="0" borderId="0" xfId="8" applyNumberFormat="1" applyFont="1" applyBorder="1"/>
    <xf numFmtId="174" fontId="128" fillId="0" borderId="0" xfId="8" applyNumberFormat="1" applyFont="1" applyBorder="1"/>
    <xf numFmtId="174" fontId="128" fillId="0" borderId="10" xfId="8" applyNumberFormat="1" applyFont="1" applyBorder="1"/>
    <xf numFmtId="174" fontId="85" fillId="0" borderId="10" xfId="8" applyNumberFormat="1" applyFont="1" applyBorder="1"/>
    <xf numFmtId="43" fontId="45" fillId="0" borderId="0" xfId="0" applyNumberFormat="1" applyFont="1" applyAlignment="1">
      <alignment horizontal="right"/>
    </xf>
    <xf numFmtId="0" fontId="54" fillId="0" borderId="0" xfId="0" applyFont="1" applyAlignment="1">
      <alignment horizontal="right"/>
    </xf>
    <xf numFmtId="0" fontId="54" fillId="0" borderId="10" xfId="0" applyFont="1" applyBorder="1" applyAlignment="1">
      <alignment horizontal="right"/>
    </xf>
    <xf numFmtId="41" fontId="83" fillId="0" borderId="0" xfId="8" applyNumberFormat="1" applyFont="1" applyBorder="1" applyAlignment="1">
      <alignment horizontal="right"/>
    </xf>
    <xf numFmtId="41" fontId="83" fillId="0" borderId="10" xfId="8" applyNumberFormat="1" applyFont="1" applyBorder="1" applyAlignment="1">
      <alignment horizontal="right"/>
    </xf>
    <xf numFmtId="0" fontId="82" fillId="0" borderId="0" xfId="0" applyFont="1"/>
    <xf numFmtId="0" fontId="143" fillId="0" borderId="0" xfId="0" applyFont="1" applyAlignment="1">
      <alignment horizontal="left" indent="1"/>
    </xf>
    <xf numFmtId="0" fontId="144" fillId="0" borderId="0" xfId="0" applyFont="1" applyAlignment="1">
      <alignment horizontal="left" indent="1"/>
    </xf>
    <xf numFmtId="0" fontId="30" fillId="0" borderId="0" xfId="0" applyFont="1" applyAlignment="1">
      <alignment horizontal="left" indent="1"/>
    </xf>
    <xf numFmtId="174" fontId="143" fillId="0" borderId="0" xfId="8" applyNumberFormat="1" applyFont="1" applyBorder="1"/>
    <xf numFmtId="165" fontId="50" fillId="0" borderId="10" xfId="0" applyNumberFormat="1" applyFont="1" applyBorder="1" applyAlignment="1">
      <alignment horizontal="right"/>
    </xf>
    <xf numFmtId="165" fontId="50" fillId="0" borderId="0" xfId="0" applyNumberFormat="1" applyFont="1" applyAlignment="1">
      <alignment horizontal="right"/>
    </xf>
    <xf numFmtId="170" fontId="45" fillId="0" borderId="0" xfId="3" applyNumberFormat="1" applyFont="1" applyBorder="1"/>
    <xf numFmtId="0" fontId="3" fillId="0" borderId="0" xfId="0" applyFont="1"/>
    <xf numFmtId="0" fontId="114" fillId="0" borderId="46" xfId="0" applyFont="1" applyBorder="1" applyAlignment="1">
      <alignment horizontal="center"/>
    </xf>
    <xf numFmtId="0" fontId="114" fillId="0" borderId="29" xfId="0" applyFont="1" applyBorder="1" applyAlignment="1">
      <alignment horizontal="center"/>
    </xf>
    <xf numFmtId="41" fontId="85" fillId="0" borderId="29" xfId="0" applyNumberFormat="1" applyFont="1" applyBorder="1"/>
    <xf numFmtId="41" fontId="91" fillId="0" borderId="29" xfId="0" applyNumberFormat="1" applyFont="1" applyBorder="1"/>
    <xf numFmtId="41" fontId="120" fillId="0" borderId="29" xfId="0" applyNumberFormat="1" applyFont="1" applyBorder="1"/>
    <xf numFmtId="41" fontId="122" fillId="0" borderId="29" xfId="0" applyNumberFormat="1" applyFont="1" applyBorder="1"/>
    <xf numFmtId="165" fontId="123" fillId="0" borderId="29" xfId="0" applyNumberFormat="1" applyFont="1" applyBorder="1"/>
    <xf numFmtId="165" fontId="126" fillId="0" borderId="29" xfId="0" applyNumberFormat="1" applyFont="1" applyBorder="1"/>
    <xf numFmtId="165" fontId="108" fillId="0" borderId="29" xfId="0" applyNumberFormat="1" applyFont="1" applyBorder="1"/>
    <xf numFmtId="165" fontId="127" fillId="0" borderId="29" xfId="0" applyNumberFormat="1" applyFont="1" applyBorder="1"/>
    <xf numFmtId="41" fontId="87" fillId="0" borderId="29" xfId="0" applyNumberFormat="1" applyFont="1" applyBorder="1"/>
    <xf numFmtId="165" fontId="132" fillId="0" borderId="29" xfId="0" applyNumberFormat="1" applyFont="1" applyBorder="1"/>
    <xf numFmtId="165" fontId="133" fillId="0" borderId="29" xfId="0" applyNumberFormat="1" applyFont="1" applyBorder="1"/>
    <xf numFmtId="165" fontId="108" fillId="0" borderId="29" xfId="0" applyNumberFormat="1" applyFont="1" applyBorder="1" applyAlignment="1">
      <alignment horizontal="right"/>
    </xf>
    <xf numFmtId="165" fontId="132" fillId="0" borderId="29" xfId="0" applyNumberFormat="1" applyFont="1" applyBorder="1" applyAlignment="1">
      <alignment horizontal="right"/>
    </xf>
    <xf numFmtId="165" fontId="125" fillId="0" borderId="29" xfId="0" applyNumberFormat="1" applyFont="1" applyBorder="1" applyAlignment="1">
      <alignment horizontal="right"/>
    </xf>
    <xf numFmtId="165" fontId="125" fillId="0" borderId="29" xfId="0" applyNumberFormat="1" applyFont="1" applyBorder="1"/>
    <xf numFmtId="41" fontId="120" fillId="0" borderId="29" xfId="3" applyNumberFormat="1" applyFont="1" applyFill="1" applyBorder="1"/>
    <xf numFmtId="41" fontId="134" fillId="0" borderId="29" xfId="0" applyNumberFormat="1" applyFont="1" applyBorder="1"/>
    <xf numFmtId="43" fontId="91" fillId="0" borderId="29" xfId="8" applyFont="1" applyBorder="1"/>
    <xf numFmtId="41" fontId="128" fillId="0" borderId="29" xfId="0" applyNumberFormat="1" applyFont="1" applyBorder="1"/>
    <xf numFmtId="166" fontId="132" fillId="0" borderId="29" xfId="0" applyNumberFormat="1" applyFont="1" applyBorder="1" applyAlignment="1">
      <alignment horizontal="right"/>
    </xf>
    <xf numFmtId="165" fontId="128" fillId="0" borderId="0" xfId="0" applyNumberFormat="1" applyFont="1"/>
    <xf numFmtId="165" fontId="126" fillId="0" borderId="8" xfId="0" applyNumberFormat="1" applyFont="1" applyBorder="1"/>
    <xf numFmtId="41" fontId="118" fillId="0" borderId="8" xfId="0" applyNumberFormat="1" applyFont="1" applyBorder="1"/>
    <xf numFmtId="41" fontId="91" fillId="0" borderId="0" xfId="8" applyNumberFormat="1" applyFont="1" applyBorder="1" applyAlignment="1">
      <alignment horizontal="right"/>
    </xf>
    <xf numFmtId="174" fontId="120" fillId="0" borderId="0" xfId="8" applyNumberFormat="1" applyFont="1" applyBorder="1" applyAlignment="1">
      <alignment horizontal="right"/>
    </xf>
    <xf numFmtId="41" fontId="14" fillId="0" borderId="0" xfId="0" applyNumberFormat="1" applyFont="1"/>
    <xf numFmtId="165" fontId="11" fillId="0" borderId="0" xfId="0" applyNumberFormat="1" applyFont="1"/>
    <xf numFmtId="165" fontId="145" fillId="0" borderId="0" xfId="0" applyNumberFormat="1" applyFont="1" applyAlignment="1">
      <alignment horizontal="left" indent="1"/>
    </xf>
    <xf numFmtId="165" fontId="146" fillId="0" borderId="0" xfId="0" quotePrefix="1" applyNumberFormat="1" applyFont="1" applyAlignment="1">
      <alignment horizontal="right"/>
    </xf>
    <xf numFmtId="165" fontId="146" fillId="0" borderId="0" xfId="0" applyNumberFormat="1" applyFont="1" applyAlignment="1">
      <alignment horizontal="right"/>
    </xf>
    <xf numFmtId="174" fontId="12" fillId="0" borderId="0" xfId="8" quotePrefix="1" applyNumberFormat="1" applyFont="1" applyAlignment="1">
      <alignment horizontal="right"/>
    </xf>
    <xf numFmtId="41" fontId="45" fillId="0" borderId="0" xfId="8" applyNumberFormat="1" applyFont="1" applyFill="1" applyBorder="1" applyAlignment="1">
      <alignment horizontal="right"/>
    </xf>
    <xf numFmtId="41" fontId="80" fillId="0" borderId="0" xfId="8" applyNumberFormat="1" applyFont="1" applyFill="1" applyBorder="1" applyAlignment="1">
      <alignment horizontal="right"/>
    </xf>
    <xf numFmtId="41" fontId="50" fillId="0" borderId="0" xfId="8" applyNumberFormat="1" applyFont="1" applyFill="1" applyBorder="1" applyAlignment="1">
      <alignment horizontal="right"/>
    </xf>
    <xf numFmtId="174" fontId="45" fillId="0" borderId="0" xfId="8" applyNumberFormat="1" applyFont="1" applyFill="1" applyAlignment="1">
      <alignment horizontal="right"/>
    </xf>
    <xf numFmtId="174" fontId="25" fillId="0" borderId="0" xfId="8" applyNumberFormat="1" applyFont="1" applyFill="1" applyAlignment="1">
      <alignment horizontal="right"/>
    </xf>
    <xf numFmtId="41" fontId="103" fillId="0" borderId="0" xfId="8" applyNumberFormat="1" applyFont="1" applyFill="1" applyBorder="1" applyAlignment="1">
      <alignment horizontal="right"/>
    </xf>
    <xf numFmtId="43" fontId="2" fillId="0" borderId="0" xfId="0" applyNumberFormat="1" applyFont="1"/>
    <xf numFmtId="200" fontId="54" fillId="0" borderId="0" xfId="0" applyNumberFormat="1" applyFont="1" applyAlignment="1">
      <alignment horizontal="right"/>
    </xf>
    <xf numFmtId="200" fontId="54" fillId="0" borderId="10" xfId="0" applyNumberFormat="1" applyFont="1" applyBorder="1" applyAlignment="1">
      <alignment horizontal="right"/>
    </xf>
    <xf numFmtId="41" fontId="120" fillId="0" borderId="0" xfId="3" applyNumberFormat="1" applyFont="1" applyFill="1" applyBorder="1"/>
    <xf numFmtId="174" fontId="87" fillId="0" borderId="0" xfId="8" applyNumberFormat="1" applyFont="1" applyBorder="1" applyAlignment="1">
      <alignment horizontal="right"/>
    </xf>
    <xf numFmtId="41" fontId="85" fillId="0" borderId="0" xfId="8" applyNumberFormat="1" applyFont="1" applyFill="1" applyBorder="1" applyAlignment="1">
      <alignment horizontal="right"/>
    </xf>
    <xf numFmtId="41" fontId="134" fillId="0" borderId="0" xfId="8" applyNumberFormat="1" applyFont="1" applyFill="1" applyBorder="1" applyAlignment="1">
      <alignment horizontal="right"/>
    </xf>
    <xf numFmtId="41" fontId="87" fillId="0" borderId="0" xfId="8" applyNumberFormat="1" applyFont="1" applyFill="1" applyBorder="1" applyAlignment="1">
      <alignment horizontal="right"/>
    </xf>
    <xf numFmtId="174" fontId="85" fillId="0" borderId="0" xfId="8" applyNumberFormat="1" applyFont="1" applyFill="1" applyBorder="1" applyAlignment="1">
      <alignment horizontal="right"/>
    </xf>
    <xf numFmtId="174" fontId="108" fillId="0" borderId="0" xfId="8" applyNumberFormat="1" applyFont="1" applyFill="1" applyBorder="1"/>
    <xf numFmtId="174" fontId="127" fillId="0" borderId="0" xfId="8" applyNumberFormat="1" applyFont="1" applyFill="1" applyBorder="1"/>
    <xf numFmtId="174" fontId="123" fillId="0" borderId="0" xfId="8" applyNumberFormat="1" applyFont="1" applyFill="1" applyBorder="1"/>
    <xf numFmtId="0" fontId="91" fillId="0" borderId="8" xfId="0" applyFont="1" applyBorder="1"/>
    <xf numFmtId="41" fontId="120" fillId="0" borderId="8" xfId="0" applyNumberFormat="1" applyFont="1" applyBorder="1" applyAlignment="1">
      <alignment horizontal="right"/>
    </xf>
    <xf numFmtId="196" fontId="45" fillId="0" borderId="0" xfId="8" applyNumberFormat="1" applyFont="1" applyBorder="1" applyAlignment="1">
      <alignment horizontal="right"/>
    </xf>
    <xf numFmtId="41" fontId="148" fillId="0" borderId="0" xfId="0" applyNumberFormat="1" applyFont="1"/>
    <xf numFmtId="41" fontId="148" fillId="0" borderId="10" xfId="0" applyNumberFormat="1" applyFont="1" applyBorder="1"/>
    <xf numFmtId="0" fontId="79" fillId="0" borderId="0" xfId="0" applyFont="1" applyAlignment="1">
      <alignment horizontal="centerContinuous"/>
    </xf>
    <xf numFmtId="14" fontId="149" fillId="0" borderId="0" xfId="0" applyNumberFormat="1" applyFont="1"/>
    <xf numFmtId="14" fontId="77" fillId="0" borderId="0" xfId="0" applyNumberFormat="1" applyFont="1"/>
    <xf numFmtId="0" fontId="50" fillId="0" borderId="2" xfId="0" applyFont="1" applyBorder="1"/>
    <xf numFmtId="41" fontId="61" fillId="0" borderId="0" xfId="0" applyNumberFormat="1" applyFont="1"/>
    <xf numFmtId="41" fontId="150" fillId="0" borderId="0" xfId="0" applyNumberFormat="1" applyFont="1"/>
    <xf numFmtId="41" fontId="79" fillId="0" borderId="0" xfId="0" applyNumberFormat="1" applyFont="1"/>
    <xf numFmtId="41" fontId="151" fillId="0" borderId="0" xfId="0" applyNumberFormat="1" applyFont="1"/>
    <xf numFmtId="41" fontId="80" fillId="0" borderId="0" xfId="0" applyNumberFormat="1" applyFont="1"/>
    <xf numFmtId="0" fontId="50" fillId="0" borderId="3" xfId="0" applyFont="1" applyBorder="1" applyAlignment="1">
      <alignment horizontal="left" indent="1"/>
    </xf>
    <xf numFmtId="0" fontId="45" fillId="0" borderId="4" xfId="0" applyFont="1" applyBorder="1"/>
    <xf numFmtId="41" fontId="50" fillId="0" borderId="4" xfId="0" applyNumberFormat="1" applyFont="1" applyBorder="1"/>
    <xf numFmtId="37" fontId="151" fillId="0" borderId="0" xfId="0" applyNumberFormat="1" applyFont="1"/>
    <xf numFmtId="5" fontId="50" fillId="0" borderId="4" xfId="0" applyNumberFormat="1" applyFont="1" applyBorder="1"/>
    <xf numFmtId="10" fontId="52" fillId="0" borderId="2" xfId="0" applyNumberFormat="1" applyFont="1" applyBorder="1"/>
    <xf numFmtId="10" fontId="52" fillId="0" borderId="0" xfId="0" applyNumberFormat="1" applyFont="1"/>
    <xf numFmtId="201" fontId="103" fillId="0" borderId="0" xfId="0" applyNumberFormat="1" applyFont="1"/>
    <xf numFmtId="201" fontId="80" fillId="0" borderId="0" xfId="0" applyNumberFormat="1" applyFont="1"/>
    <xf numFmtId="201" fontId="45" fillId="0" borderId="0" xfId="0" applyNumberFormat="1" applyFont="1"/>
    <xf numFmtId="0" fontId="50" fillId="0" borderId="46" xfId="0" applyFont="1" applyBorder="1" applyAlignment="1">
      <alignment horizontal="left" indent="1"/>
    </xf>
    <xf numFmtId="201" fontId="50" fillId="0" borderId="1" xfId="0" applyNumberFormat="1" applyFont="1" applyBorder="1"/>
    <xf numFmtId="0" fontId="50" fillId="0" borderId="58" xfId="0" applyFont="1" applyBorder="1" applyAlignment="1">
      <alignment horizontal="left" indent="1"/>
    </xf>
    <xf numFmtId="201" fontId="50" fillId="0" borderId="15" xfId="0" applyNumberFormat="1" applyFont="1" applyBorder="1"/>
    <xf numFmtId="201" fontId="61" fillId="0" borderId="0" xfId="0" applyNumberFormat="1" applyFont="1"/>
    <xf numFmtId="201" fontId="25" fillId="0" borderId="0" xfId="0" applyNumberFormat="1" applyFont="1"/>
    <xf numFmtId="201" fontId="25" fillId="0" borderId="2" xfId="0" applyNumberFormat="1" applyFont="1" applyBorder="1"/>
    <xf numFmtId="201" fontId="94" fillId="0" borderId="0" xfId="0" applyNumberFormat="1" applyFont="1"/>
    <xf numFmtId="43" fontId="85" fillId="0" borderId="0" xfId="8" applyFont="1" applyAlignment="1">
      <alignment horizontal="right"/>
    </xf>
    <xf numFmtId="14" fontId="132" fillId="0" borderId="0" xfId="0" applyNumberFormat="1" applyFont="1"/>
    <xf numFmtId="0" fontId="91" fillId="0" borderId="1" xfId="0" applyFont="1" applyBorder="1"/>
    <xf numFmtId="0" fontId="85" fillId="0" borderId="15" xfId="0" applyFont="1" applyBorder="1" applyAlignment="1">
      <alignment horizontal="centerContinuous"/>
    </xf>
    <xf numFmtId="0" fontId="87" fillId="0" borderId="15" xfId="0" applyFont="1" applyBorder="1" applyAlignment="1">
      <alignment horizontal="centerContinuous"/>
    </xf>
    <xf numFmtId="0" fontId="122" fillId="0" borderId="0" xfId="0" applyFont="1" applyAlignment="1">
      <alignment horizontal="centerContinuous"/>
    </xf>
    <xf numFmtId="0" fontId="152" fillId="0" borderId="1" xfId="0" applyFont="1" applyBorder="1" applyAlignment="1">
      <alignment horizontal="center"/>
    </xf>
    <xf numFmtId="9" fontId="91" fillId="0" borderId="0" xfId="3" applyFont="1" applyBorder="1"/>
    <xf numFmtId="9" fontId="91" fillId="0" borderId="10" xfId="3" applyFont="1" applyBorder="1"/>
    <xf numFmtId="9" fontId="117" fillId="0" borderId="0" xfId="3" applyFont="1" applyBorder="1"/>
    <xf numFmtId="9" fontId="85" fillId="0" borderId="0" xfId="3" applyFont="1" applyBorder="1"/>
    <xf numFmtId="9" fontId="85" fillId="0" borderId="0" xfId="3" applyFont="1"/>
    <xf numFmtId="9" fontId="128" fillId="0" borderId="0" xfId="3" applyFont="1" applyBorder="1"/>
    <xf numFmtId="9" fontId="128" fillId="0" borderId="10" xfId="3" applyFont="1" applyBorder="1"/>
    <xf numFmtId="9" fontId="137" fillId="0" borderId="0" xfId="3" applyFont="1" applyBorder="1"/>
    <xf numFmtId="9" fontId="137" fillId="0" borderId="10" xfId="3" applyFont="1" applyBorder="1"/>
    <xf numFmtId="9" fontId="139" fillId="0" borderId="0" xfId="3" applyFont="1" applyBorder="1"/>
    <xf numFmtId="9" fontId="129" fillId="0" borderId="0" xfId="3" applyFont="1" applyBorder="1"/>
    <xf numFmtId="9" fontId="129" fillId="0" borderId="0" xfId="3" applyFont="1"/>
    <xf numFmtId="9" fontId="118" fillId="0" borderId="0" xfId="3" applyFont="1" applyBorder="1"/>
    <xf numFmtId="9" fontId="118" fillId="0" borderId="10" xfId="3" applyFont="1" applyBorder="1"/>
    <xf numFmtId="9" fontId="128" fillId="0" borderId="0" xfId="3" applyFont="1" applyBorder="1" applyAlignment="1">
      <alignment horizontal="right"/>
    </xf>
    <xf numFmtId="9" fontId="128" fillId="0" borderId="10" xfId="3" applyFont="1" applyBorder="1" applyAlignment="1">
      <alignment horizontal="right"/>
    </xf>
    <xf numFmtId="41" fontId="118" fillId="0" borderId="10" xfId="0" applyNumberFormat="1" applyFont="1" applyBorder="1"/>
    <xf numFmtId="0" fontId="85" fillId="0" borderId="10" xfId="0" applyFont="1" applyBorder="1"/>
    <xf numFmtId="43" fontId="85" fillId="0" borderId="0" xfId="0" applyNumberFormat="1" applyFont="1"/>
    <xf numFmtId="165" fontId="126" fillId="0" borderId="10" xfId="0" applyNumberFormat="1" applyFont="1" applyBorder="1"/>
    <xf numFmtId="0" fontId="85" fillId="0" borderId="8" xfId="0" applyFont="1" applyBorder="1"/>
    <xf numFmtId="174" fontId="153" fillId="0" borderId="0" xfId="8" applyNumberFormat="1" applyFont="1" applyBorder="1" applyAlignment="1">
      <alignment horizontal="right" vertical="top" wrapText="1"/>
    </xf>
    <xf numFmtId="174" fontId="153" fillId="0" borderId="0" xfId="8" applyNumberFormat="1" applyFont="1" applyFill="1" applyBorder="1" applyAlignment="1">
      <alignment horizontal="right" vertical="top" wrapText="1"/>
    </xf>
    <xf numFmtId="165" fontId="131" fillId="0" borderId="10" xfId="0" applyNumberFormat="1" applyFont="1" applyBorder="1"/>
    <xf numFmtId="165" fontId="133" fillId="0" borderId="10" xfId="0" applyNumberFormat="1" applyFont="1" applyBorder="1"/>
    <xf numFmtId="41" fontId="120" fillId="0" borderId="10" xfId="0" applyNumberFormat="1" applyFont="1" applyBorder="1" applyAlignment="1">
      <alignment horizontal="right"/>
    </xf>
    <xf numFmtId="41" fontId="122" fillId="0" borderId="10" xfId="0" applyNumberFormat="1" applyFont="1" applyBorder="1" applyAlignment="1">
      <alignment horizontal="right"/>
    </xf>
    <xf numFmtId="174" fontId="153" fillId="0" borderId="0" xfId="8" applyNumberFormat="1" applyFont="1" applyAlignment="1">
      <alignment horizontal="right" vertical="top" wrapText="1"/>
    </xf>
    <xf numFmtId="174" fontId="153" fillId="0" borderId="10" xfId="8" applyNumberFormat="1" applyFont="1" applyBorder="1" applyAlignment="1">
      <alignment horizontal="right" vertical="top" wrapText="1"/>
    </xf>
    <xf numFmtId="174" fontId="154" fillId="0" borderId="0" xfId="8" applyNumberFormat="1" applyFont="1" applyAlignment="1">
      <alignment horizontal="right" vertical="top" wrapText="1"/>
    </xf>
    <xf numFmtId="174" fontId="154" fillId="0" borderId="10" xfId="8" applyNumberFormat="1" applyFont="1" applyBorder="1" applyAlignment="1">
      <alignment horizontal="right" vertical="top" wrapText="1"/>
    </xf>
    <xf numFmtId="174" fontId="154" fillId="0" borderId="0" xfId="8" applyNumberFormat="1" applyFont="1" applyBorder="1" applyAlignment="1">
      <alignment horizontal="right" vertical="top" wrapText="1"/>
    </xf>
    <xf numFmtId="41" fontId="125" fillId="0" borderId="0" xfId="0" applyNumberFormat="1" applyFont="1" applyAlignment="1">
      <alignment horizontal="right"/>
    </xf>
    <xf numFmtId="41" fontId="121" fillId="0" borderId="8" xfId="0" applyNumberFormat="1" applyFont="1" applyBorder="1"/>
    <xf numFmtId="0" fontId="87" fillId="0" borderId="18" xfId="0" applyFont="1" applyBorder="1" applyAlignment="1">
      <alignment vertical="top"/>
    </xf>
    <xf numFmtId="0" fontId="85" fillId="0" borderId="19" xfId="0" applyFont="1" applyBorder="1" applyAlignment="1">
      <alignment vertical="top"/>
    </xf>
    <xf numFmtId="0" fontId="155" fillId="0" borderId="19" xfId="0" applyFont="1" applyBorder="1" applyAlignment="1">
      <alignment vertical="top"/>
    </xf>
    <xf numFmtId="0" fontId="156" fillId="0" borderId="0" xfId="0" applyFont="1"/>
    <xf numFmtId="0" fontId="155" fillId="3" borderId="0" xfId="0" applyFont="1" applyFill="1" applyAlignment="1">
      <alignment vertical="top"/>
    </xf>
    <xf numFmtId="0" fontId="156" fillId="3" borderId="0" xfId="0" applyFont="1" applyFill="1" applyAlignment="1">
      <alignment vertical="top"/>
    </xf>
    <xf numFmtId="0" fontId="155" fillId="0" borderId="0" xfId="0" applyFont="1" applyAlignment="1">
      <alignment vertical="top"/>
    </xf>
    <xf numFmtId="0" fontId="156" fillId="0" borderId="0" xfId="0" applyFont="1" applyAlignment="1">
      <alignment vertical="top"/>
    </xf>
    <xf numFmtId="0" fontId="156" fillId="3" borderId="0" xfId="0" applyFont="1" applyFill="1"/>
    <xf numFmtId="0" fontId="85" fillId="3" borderId="0" xfId="0" applyFont="1" applyFill="1"/>
    <xf numFmtId="198" fontId="157" fillId="0" borderId="0" xfId="0" applyNumberFormat="1" applyFont="1"/>
    <xf numFmtId="198" fontId="132" fillId="0" borderId="0" xfId="0" applyNumberFormat="1" applyFont="1"/>
    <xf numFmtId="198" fontId="130" fillId="0" borderId="0" xfId="0" applyNumberFormat="1" applyFont="1"/>
    <xf numFmtId="198" fontId="125" fillId="0" borderId="0" xfId="0" applyNumberFormat="1" applyFont="1"/>
    <xf numFmtId="174" fontId="125" fillId="0" borderId="0" xfId="8" applyNumberFormat="1" applyFont="1" applyBorder="1"/>
    <xf numFmtId="174" fontId="85" fillId="0" borderId="29" xfId="8" applyNumberFormat="1" applyFont="1" applyBorder="1"/>
    <xf numFmtId="174" fontId="118" fillId="0" borderId="0" xfId="8" applyNumberFormat="1" applyFont="1" applyAlignment="1">
      <alignment horizontal="right"/>
    </xf>
    <xf numFmtId="174" fontId="134" fillId="0" borderId="29" xfId="8" applyNumberFormat="1" applyFont="1" applyBorder="1"/>
    <xf numFmtId="174" fontId="121" fillId="0" borderId="0" xfId="8" applyNumberFormat="1" applyFont="1" applyAlignment="1">
      <alignment horizontal="right"/>
    </xf>
    <xf numFmtId="165" fontId="127" fillId="0" borderId="0" xfId="0" applyNumberFormat="1" applyFont="1" applyAlignment="1">
      <alignment horizontal="right"/>
    </xf>
    <xf numFmtId="165" fontId="127" fillId="0" borderId="10" xfId="0" applyNumberFormat="1" applyFont="1" applyBorder="1" applyAlignment="1">
      <alignment horizontal="right"/>
    </xf>
    <xf numFmtId="165" fontId="127" fillId="0" borderId="29" xfId="0" applyNumberFormat="1" applyFont="1" applyBorder="1" applyAlignment="1">
      <alignment horizontal="right"/>
    </xf>
    <xf numFmtId="165" fontId="133" fillId="0" borderId="0" xfId="0" applyNumberFormat="1" applyFont="1" applyAlignment="1">
      <alignment horizontal="right"/>
    </xf>
    <xf numFmtId="165" fontId="137" fillId="0" borderId="0" xfId="0" applyNumberFormat="1" applyFont="1"/>
    <xf numFmtId="0" fontId="22" fillId="0" borderId="10" xfId="0" applyFont="1" applyBorder="1" applyAlignment="1">
      <alignment horizontal="right"/>
    </xf>
    <xf numFmtId="41" fontId="7" fillId="0" borderId="10" xfId="0" applyNumberFormat="1" applyFont="1" applyBorder="1"/>
    <xf numFmtId="165" fontId="3" fillId="0" borderId="10" xfId="0" applyNumberFormat="1" applyFont="1" applyBorder="1" applyAlignment="1">
      <alignment horizontal="right"/>
    </xf>
    <xf numFmtId="41" fontId="8" fillId="0" borderId="10" xfId="0" applyNumberFormat="1" applyFont="1" applyBorder="1"/>
    <xf numFmtId="165" fontId="3" fillId="0" borderId="10" xfId="0" applyNumberFormat="1" applyFont="1" applyBorder="1"/>
    <xf numFmtId="41" fontId="20" fillId="0" borderId="10" xfId="0" applyNumberFormat="1" applyFont="1" applyBorder="1"/>
    <xf numFmtId="165" fontId="10" fillId="0" borderId="10" xfId="0" applyNumberFormat="1" applyFont="1" applyBorder="1" applyAlignment="1">
      <alignment horizontal="right"/>
    </xf>
    <xf numFmtId="0" fontId="8" fillId="0" borderId="10" xfId="0" applyFont="1" applyBorder="1"/>
    <xf numFmtId="165" fontId="22" fillId="0" borderId="10" xfId="0" applyNumberFormat="1" applyFont="1" applyBorder="1"/>
    <xf numFmtId="41" fontId="2" fillId="0" borderId="10" xfId="0" applyNumberFormat="1" applyFont="1" applyBorder="1"/>
    <xf numFmtId="0" fontId="2" fillId="0" borderId="10" xfId="0" applyFont="1" applyBorder="1"/>
    <xf numFmtId="41" fontId="24" fillId="0" borderId="10" xfId="0" applyNumberFormat="1" applyFont="1" applyBorder="1"/>
    <xf numFmtId="37" fontId="19" fillId="0" borderId="10" xfId="0" applyNumberFormat="1" applyFont="1" applyBorder="1"/>
    <xf numFmtId="37" fontId="8" fillId="0" borderId="10" xfId="0" applyNumberFormat="1" applyFont="1" applyBorder="1"/>
    <xf numFmtId="41" fontId="23" fillId="0" borderId="10" xfId="0" applyNumberFormat="1" applyFont="1" applyBorder="1"/>
    <xf numFmtId="41" fontId="12" fillId="0" borderId="10" xfId="0" applyNumberFormat="1" applyFont="1" applyBorder="1"/>
    <xf numFmtId="166" fontId="10" fillId="0" borderId="10" xfId="0" applyNumberFormat="1" applyFont="1" applyBorder="1" applyAlignment="1">
      <alignment horizontal="right"/>
    </xf>
    <xf numFmtId="166" fontId="9" fillId="0" borderId="10" xfId="0" applyNumberFormat="1" applyFont="1" applyBorder="1" applyAlignment="1">
      <alignment horizontal="right"/>
    </xf>
    <xf numFmtId="166" fontId="2" fillId="0" borderId="10" xfId="0" applyNumberFormat="1" applyFont="1" applyBorder="1"/>
    <xf numFmtId="41" fontId="11" fillId="0" borderId="10" xfId="0" applyNumberFormat="1" applyFont="1" applyBorder="1"/>
    <xf numFmtId="41" fontId="4" fillId="0" borderId="10" xfId="0" applyNumberFormat="1" applyFont="1" applyBorder="1"/>
    <xf numFmtId="5" fontId="8" fillId="0" borderId="10" xfId="0" applyNumberFormat="1" applyFont="1" applyBorder="1"/>
    <xf numFmtId="0" fontId="2" fillId="0" borderId="8" xfId="0" applyFont="1" applyBorder="1"/>
    <xf numFmtId="41" fontId="7" fillId="0" borderId="8" xfId="0" applyNumberFormat="1" applyFont="1" applyBorder="1"/>
    <xf numFmtId="165" fontId="3" fillId="0" borderId="8" xfId="0" applyNumberFormat="1" applyFont="1" applyBorder="1" applyAlignment="1">
      <alignment horizontal="right"/>
    </xf>
    <xf numFmtId="165" fontId="10" fillId="0" borderId="8" xfId="0" quotePrefix="1" applyNumberFormat="1" applyFont="1" applyBorder="1" applyAlignment="1">
      <alignment horizontal="right"/>
    </xf>
    <xf numFmtId="41" fontId="8" fillId="0" borderId="8" xfId="0" applyNumberFormat="1" applyFont="1" applyBorder="1"/>
    <xf numFmtId="165" fontId="3" fillId="0" borderId="8" xfId="0" applyNumberFormat="1" applyFont="1" applyBorder="1"/>
    <xf numFmtId="41" fontId="20" fillId="0" borderId="8" xfId="0" applyNumberFormat="1" applyFont="1" applyBorder="1"/>
    <xf numFmtId="165" fontId="10" fillId="0" borderId="8" xfId="0" applyNumberFormat="1" applyFont="1" applyBorder="1" applyAlignment="1">
      <alignment horizontal="right"/>
    </xf>
    <xf numFmtId="0" fontId="8" fillId="0" borderId="8" xfId="0" applyFont="1" applyBorder="1"/>
    <xf numFmtId="165" fontId="22" fillId="0" borderId="8" xfId="0" applyNumberFormat="1" applyFont="1" applyBorder="1"/>
    <xf numFmtId="41" fontId="2" fillId="0" borderId="8" xfId="0" applyNumberFormat="1" applyFont="1" applyBorder="1"/>
    <xf numFmtId="41" fontId="24" fillId="0" borderId="8" xfId="0" applyNumberFormat="1" applyFont="1" applyBorder="1"/>
    <xf numFmtId="37" fontId="19" fillId="0" borderId="8" xfId="0" applyNumberFormat="1" applyFont="1" applyBorder="1"/>
    <xf numFmtId="37" fontId="8" fillId="0" borderId="8" xfId="0" applyNumberFormat="1" applyFont="1" applyBorder="1"/>
    <xf numFmtId="41" fontId="23" fillId="0" borderId="8" xfId="0" applyNumberFormat="1" applyFont="1" applyBorder="1"/>
    <xf numFmtId="166" fontId="10" fillId="0" borderId="8" xfId="0" applyNumberFormat="1" applyFont="1" applyBorder="1" applyAlignment="1">
      <alignment horizontal="right"/>
    </xf>
    <xf numFmtId="166" fontId="9" fillId="0" borderId="8" xfId="0" applyNumberFormat="1" applyFont="1" applyBorder="1" applyAlignment="1">
      <alignment horizontal="right"/>
    </xf>
    <xf numFmtId="166" fontId="2" fillId="0" borderId="8" xfId="0" applyNumberFormat="1" applyFont="1" applyBorder="1"/>
    <xf numFmtId="174" fontId="24" fillId="0" borderId="8" xfId="8" quotePrefix="1" applyNumberFormat="1" applyFont="1" applyBorder="1" applyAlignment="1">
      <alignment horizontal="right"/>
    </xf>
    <xf numFmtId="165" fontId="22" fillId="0" borderId="8" xfId="0" applyNumberFormat="1" applyFont="1" applyBorder="1" applyAlignment="1">
      <alignment horizontal="right"/>
    </xf>
    <xf numFmtId="14" fontId="85" fillId="0" borderId="1" xfId="0" applyNumberFormat="1" applyFont="1" applyBorder="1"/>
    <xf numFmtId="43" fontId="134" fillId="0" borderId="0" xfId="0" applyNumberFormat="1" applyFont="1"/>
    <xf numFmtId="37" fontId="87" fillId="0" borderId="0" xfId="0" applyNumberFormat="1" applyFont="1"/>
    <xf numFmtId="39" fontId="87" fillId="0" borderId="0" xfId="0" applyNumberFormat="1" applyFont="1"/>
    <xf numFmtId="174" fontId="147" fillId="0" borderId="0" xfId="8" applyNumberFormat="1" applyFont="1" applyBorder="1"/>
    <xf numFmtId="0" fontId="115" fillId="0" borderId="8" xfId="0" applyFont="1" applyBorder="1" applyAlignment="1">
      <alignment horizontal="right"/>
    </xf>
    <xf numFmtId="43" fontId="85" fillId="0" borderId="8" xfId="8" applyFont="1" applyBorder="1" applyAlignment="1">
      <alignment horizontal="right"/>
    </xf>
    <xf numFmtId="174" fontId="87" fillId="0" borderId="8" xfId="8" applyNumberFormat="1" applyFont="1" applyBorder="1" applyAlignment="1">
      <alignment horizontal="right"/>
    </xf>
    <xf numFmtId="196" fontId="22" fillId="0" borderId="8" xfId="0" applyNumberFormat="1" applyFont="1" applyBorder="1" applyAlignment="1">
      <alignment horizontal="right"/>
    </xf>
    <xf numFmtId="166" fontId="160" fillId="0" borderId="10" xfId="0" applyNumberFormat="1" applyFont="1" applyBorder="1"/>
    <xf numFmtId="174" fontId="130" fillId="0" borderId="0" xfId="8" applyNumberFormat="1" applyFont="1" applyBorder="1" applyAlignment="1">
      <alignment horizontal="right" vertical="top" wrapText="1"/>
    </xf>
    <xf numFmtId="174" fontId="125" fillId="0" borderId="0" xfId="8" applyNumberFormat="1" applyFont="1" applyBorder="1" applyAlignment="1">
      <alignment horizontal="right" vertical="top" wrapText="1"/>
    </xf>
    <xf numFmtId="0" fontId="161" fillId="0" borderId="0" xfId="0" applyFont="1"/>
    <xf numFmtId="0" fontId="161" fillId="0" borderId="0" xfId="0" applyFont="1" applyAlignment="1">
      <alignment horizontal="center"/>
    </xf>
    <xf numFmtId="0" fontId="162" fillId="0" borderId="0" xfId="0" applyFont="1"/>
    <xf numFmtId="0" fontId="163" fillId="0" borderId="1" xfId="0" applyFont="1" applyBorder="1"/>
    <xf numFmtId="0" fontId="161" fillId="0" borderId="1" xfId="0" applyFont="1" applyBorder="1"/>
    <xf numFmtId="0" fontId="161" fillId="0" borderId="1" xfId="0" applyFont="1" applyBorder="1" applyAlignment="1">
      <alignment horizontal="center"/>
    </xf>
    <xf numFmtId="0" fontId="164" fillId="0" borderId="0" xfId="0" applyFont="1" applyAlignment="1">
      <alignment horizontal="center"/>
    </xf>
    <xf numFmtId="0" fontId="162" fillId="0" borderId="2" xfId="0" applyFont="1" applyBorder="1"/>
    <xf numFmtId="0" fontId="165" fillId="0" borderId="0" xfId="0" applyFont="1"/>
    <xf numFmtId="43" fontId="166" fillId="0" borderId="0" xfId="8" applyFont="1"/>
    <xf numFmtId="43" fontId="161" fillId="0" borderId="0" xfId="8" applyFont="1" applyAlignment="1">
      <alignment horizontal="center"/>
    </xf>
    <xf numFmtId="43" fontId="161" fillId="0" borderId="0" xfId="8" applyFont="1"/>
    <xf numFmtId="0" fontId="167" fillId="0" borderId="0" xfId="0" applyFont="1"/>
    <xf numFmtId="41" fontId="168" fillId="0" borderId="0" xfId="0" applyNumberFormat="1" applyFont="1"/>
    <xf numFmtId="174" fontId="169" fillId="0" borderId="0" xfId="8" applyNumberFormat="1" applyFont="1"/>
    <xf numFmtId="41" fontId="170" fillId="0" borderId="0" xfId="0" applyNumberFormat="1" applyFont="1"/>
    <xf numFmtId="0" fontId="162" fillId="0" borderId="0" xfId="0" applyFont="1" applyAlignment="1">
      <alignment horizontal="left" indent="1"/>
    </xf>
    <xf numFmtId="174" fontId="162" fillId="0" borderId="0" xfId="8" applyNumberFormat="1" applyFont="1"/>
    <xf numFmtId="174" fontId="171" fillId="0" borderId="0" xfId="8" applyNumberFormat="1" applyFont="1"/>
    <xf numFmtId="174" fontId="171" fillId="0" borderId="0" xfId="8" applyNumberFormat="1" applyFont="1" applyAlignment="1">
      <alignment horizontal="center"/>
    </xf>
    <xf numFmtId="41" fontId="172" fillId="0" borderId="0" xfId="0" applyNumberFormat="1" applyFont="1"/>
    <xf numFmtId="174" fontId="173" fillId="0" borderId="0" xfId="8" applyNumberFormat="1" applyFont="1"/>
    <xf numFmtId="174" fontId="173" fillId="0" borderId="0" xfId="8" applyNumberFormat="1" applyFont="1" applyAlignment="1">
      <alignment horizontal="center"/>
    </xf>
    <xf numFmtId="174" fontId="174" fillId="0" borderId="0" xfId="8" applyNumberFormat="1" applyFont="1"/>
    <xf numFmtId="0" fontId="161" fillId="0" borderId="0" xfId="0" applyFont="1" applyAlignment="1">
      <alignment horizontal="left" indent="1"/>
    </xf>
    <xf numFmtId="41" fontId="167" fillId="0" borderId="0" xfId="0" applyNumberFormat="1" applyFont="1"/>
    <xf numFmtId="41" fontId="174" fillId="0" borderId="0" xfId="0" applyNumberFormat="1" applyFont="1"/>
    <xf numFmtId="166" fontId="173" fillId="0" borderId="0" xfId="0" applyNumberFormat="1" applyFont="1" applyAlignment="1">
      <alignment horizontal="right"/>
    </xf>
    <xf numFmtId="165" fontId="161" fillId="0" borderId="0" xfId="0" applyNumberFormat="1" applyFont="1"/>
    <xf numFmtId="165" fontId="161" fillId="0" borderId="0" xfId="0" applyNumberFormat="1" applyFont="1" applyAlignment="1">
      <alignment horizontal="right"/>
    </xf>
    <xf numFmtId="0" fontId="161" fillId="0" borderId="0" xfId="0" applyFont="1" applyAlignment="1">
      <alignment horizontal="right"/>
    </xf>
    <xf numFmtId="41" fontId="161" fillId="0" borderId="0" xfId="0" applyNumberFormat="1" applyFont="1"/>
    <xf numFmtId="0" fontId="163" fillId="0" borderId="0" xfId="0" applyFont="1" applyAlignment="1">
      <alignment horizontal="left" indent="1"/>
    </xf>
    <xf numFmtId="0" fontId="163" fillId="0" borderId="0" xfId="0" applyFont="1"/>
    <xf numFmtId="165" fontId="163" fillId="0" borderId="0" xfId="0" applyNumberFormat="1" applyFont="1"/>
    <xf numFmtId="0" fontId="163" fillId="0" borderId="0" xfId="0" applyFont="1" applyAlignment="1">
      <alignment horizontal="center"/>
    </xf>
    <xf numFmtId="0" fontId="166" fillId="0" borderId="0" xfId="0" applyFont="1" applyAlignment="1">
      <alignment horizontal="center"/>
    </xf>
    <xf numFmtId="0" fontId="163" fillId="0" borderId="0" xfId="0" applyFont="1" applyAlignment="1">
      <alignment horizontal="left" indent="2"/>
    </xf>
    <xf numFmtId="0" fontId="175" fillId="0" borderId="0" xfId="0" applyFont="1" applyAlignment="1">
      <alignment horizontal="left" indent="1"/>
    </xf>
    <xf numFmtId="0" fontId="161" fillId="0" borderId="0" xfId="0" applyFont="1" applyAlignment="1">
      <alignment horizontal="left" indent="2"/>
    </xf>
    <xf numFmtId="0" fontId="161" fillId="0" borderId="0" xfId="0" applyFont="1" applyAlignment="1">
      <alignment horizontal="left"/>
    </xf>
    <xf numFmtId="41" fontId="162" fillId="0" borderId="0" xfId="0" applyNumberFormat="1" applyFont="1"/>
    <xf numFmtId="165" fontId="176" fillId="0" borderId="0" xfId="0" applyNumberFormat="1" applyFont="1"/>
    <xf numFmtId="165" fontId="177" fillId="0" borderId="0" xfId="0" applyNumberFormat="1" applyFont="1"/>
    <xf numFmtId="174" fontId="167" fillId="0" borderId="0" xfId="8" applyNumberFormat="1" applyFont="1"/>
    <xf numFmtId="174" fontId="161" fillId="0" borderId="0" xfId="8" applyNumberFormat="1" applyFont="1" applyAlignment="1">
      <alignment horizontal="center"/>
    </xf>
    <xf numFmtId="174" fontId="161" fillId="0" borderId="0" xfId="8" applyNumberFormat="1" applyFont="1"/>
    <xf numFmtId="0" fontId="175" fillId="0" borderId="0" xfId="0" applyFont="1"/>
    <xf numFmtId="174" fontId="175" fillId="0" borderId="0" xfId="8" applyNumberFormat="1" applyFont="1"/>
    <xf numFmtId="174" fontId="167" fillId="0" borderId="0" xfId="8" applyNumberFormat="1" applyFont="1" applyAlignment="1">
      <alignment horizontal="center"/>
    </xf>
    <xf numFmtId="41" fontId="166" fillId="0" borderId="0" xfId="0" applyNumberFormat="1" applyFont="1"/>
    <xf numFmtId="43" fontId="167" fillId="0" borderId="0" xfId="0" applyNumberFormat="1" applyFont="1"/>
    <xf numFmtId="43" fontId="161" fillId="0" borderId="0" xfId="0" applyNumberFormat="1" applyFont="1"/>
    <xf numFmtId="170" fontId="172" fillId="0" borderId="0" xfId="3" applyNumberFormat="1" applyFont="1"/>
    <xf numFmtId="170" fontId="161" fillId="0" borderId="0" xfId="0" applyNumberFormat="1" applyFont="1"/>
    <xf numFmtId="174" fontId="161" fillId="0" borderId="0" xfId="0" applyNumberFormat="1" applyFont="1"/>
    <xf numFmtId="196" fontId="3" fillId="0" borderId="0" xfId="0" applyNumberFormat="1" applyFont="1"/>
    <xf numFmtId="41" fontId="178" fillId="0" borderId="0" xfId="0" applyNumberFormat="1" applyFont="1"/>
    <xf numFmtId="175" fontId="161" fillId="0" borderId="0" xfId="8" applyNumberFormat="1" applyFont="1"/>
    <xf numFmtId="175" fontId="167" fillId="0" borderId="0" xfId="8" applyNumberFormat="1" applyFont="1"/>
    <xf numFmtId="174" fontId="179" fillId="0" borderId="0" xfId="8" applyNumberFormat="1" applyFont="1"/>
    <xf numFmtId="174" fontId="180" fillId="0" borderId="0" xfId="8" applyNumberFormat="1" applyFont="1"/>
    <xf numFmtId="174" fontId="166" fillId="0" borderId="0" xfId="8" applyNumberFormat="1" applyFont="1" applyAlignment="1">
      <alignment horizontal="center"/>
    </xf>
    <xf numFmtId="174" fontId="174" fillId="0" borderId="0" xfId="8" applyNumberFormat="1" applyFont="1" applyAlignment="1">
      <alignment horizontal="center"/>
    </xf>
    <xf numFmtId="41" fontId="173" fillId="0" borderId="0" xfId="0" applyNumberFormat="1" applyFont="1" applyAlignment="1">
      <alignment horizontal="center"/>
    </xf>
    <xf numFmtId="41" fontId="181" fillId="0" borderId="0" xfId="0" applyNumberFormat="1" applyFont="1"/>
    <xf numFmtId="41" fontId="182" fillId="0" borderId="0" xfId="0" applyNumberFormat="1" applyFont="1"/>
    <xf numFmtId="166" fontId="177" fillId="0" borderId="0" xfId="0" applyNumberFormat="1" applyFont="1" applyAlignment="1">
      <alignment horizontal="right"/>
    </xf>
    <xf numFmtId="174" fontId="163" fillId="0" borderId="0" xfId="8" applyNumberFormat="1" applyFont="1" applyAlignment="1">
      <alignment horizontal="center"/>
    </xf>
    <xf numFmtId="174" fontId="170" fillId="0" borderId="0" xfId="8" applyNumberFormat="1" applyFont="1" applyAlignment="1">
      <alignment horizontal="center"/>
    </xf>
    <xf numFmtId="0" fontId="183" fillId="0" borderId="0" xfId="0" applyFont="1" applyAlignment="1">
      <alignment horizontal="center"/>
    </xf>
    <xf numFmtId="41" fontId="161" fillId="0" borderId="0" xfId="0" applyNumberFormat="1" applyFont="1" applyAlignment="1">
      <alignment horizontal="center"/>
    </xf>
    <xf numFmtId="174" fontId="178" fillId="0" borderId="0" xfId="8" applyNumberFormat="1" applyFont="1"/>
    <xf numFmtId="43" fontId="173" fillId="0" borderId="0" xfId="8" applyFont="1"/>
    <xf numFmtId="9" fontId="172" fillId="0" borderId="0" xfId="3" applyFont="1"/>
    <xf numFmtId="9" fontId="161" fillId="0" borderId="0" xfId="3" applyFont="1"/>
    <xf numFmtId="174" fontId="170" fillId="0" borderId="0" xfId="8" applyNumberFormat="1" applyFont="1"/>
    <xf numFmtId="165" fontId="14" fillId="0" borderId="0" xfId="0" applyNumberFormat="1" applyFont="1" applyAlignment="1">
      <alignment horizontal="right"/>
    </xf>
    <xf numFmtId="43" fontId="161" fillId="0" borderId="0" xfId="0" applyNumberFormat="1" applyFont="1" applyAlignment="1">
      <alignment horizontal="center"/>
    </xf>
    <xf numFmtId="196" fontId="22" fillId="0" borderId="0" xfId="0" applyNumberFormat="1" applyFont="1" applyAlignment="1">
      <alignment horizontal="right"/>
    </xf>
    <xf numFmtId="0" fontId="5" fillId="9" borderId="0" xfId="0" applyFont="1" applyFill="1"/>
    <xf numFmtId="0" fontId="78" fillId="9" borderId="0" xfId="0" applyFont="1" applyFill="1"/>
    <xf numFmtId="0" fontId="184" fillId="0" borderId="0" xfId="0" applyFont="1"/>
    <xf numFmtId="174" fontId="85" fillId="0" borderId="8" xfId="8" applyNumberFormat="1" applyFont="1" applyBorder="1"/>
    <xf numFmtId="174" fontId="134" fillId="0" borderId="8" xfId="8" applyNumberFormat="1" applyFont="1" applyBorder="1"/>
    <xf numFmtId="165" fontId="127" fillId="0" borderId="8" xfId="0" applyNumberFormat="1" applyFont="1" applyBorder="1" applyAlignment="1">
      <alignment horizontal="right"/>
    </xf>
    <xf numFmtId="174" fontId="186" fillId="0" borderId="0" xfId="8" applyNumberFormat="1" applyFont="1" applyBorder="1"/>
    <xf numFmtId="0" fontId="187" fillId="0" borderId="0" xfId="0" applyFont="1"/>
    <xf numFmtId="14" fontId="188" fillId="0" borderId="0" xfId="0" applyNumberFormat="1" applyFont="1"/>
    <xf numFmtId="0" fontId="189" fillId="0" borderId="0" xfId="0" applyFont="1"/>
    <xf numFmtId="0" fontId="188" fillId="0" borderId="1" xfId="0" applyFont="1" applyBorder="1"/>
    <xf numFmtId="0" fontId="187" fillId="0" borderId="1" xfId="0" applyFont="1" applyBorder="1"/>
    <xf numFmtId="0" fontId="190" fillId="0" borderId="1" xfId="0" applyFont="1" applyBorder="1"/>
    <xf numFmtId="0" fontId="189" fillId="0" borderId="0" xfId="0" applyFont="1" applyAlignment="1">
      <alignment horizontal="centerContinuous"/>
    </xf>
    <xf numFmtId="0" fontId="187" fillId="0" borderId="0" xfId="0" applyFont="1" applyAlignment="1">
      <alignment horizontal="centerContinuous"/>
    </xf>
    <xf numFmtId="41" fontId="191" fillId="0" borderId="0" xfId="0" applyNumberFormat="1" applyFont="1"/>
    <xf numFmtId="0" fontId="192" fillId="0" borderId="1" xfId="0" applyFont="1" applyBorder="1" applyAlignment="1">
      <alignment horizontal="center"/>
    </xf>
    <xf numFmtId="0" fontId="192" fillId="0" borderId="9" xfId="0" applyFont="1" applyBorder="1" applyAlignment="1">
      <alignment horizontal="center"/>
    </xf>
    <xf numFmtId="0" fontId="192" fillId="0" borderId="46" xfId="0" applyFont="1" applyBorder="1" applyAlignment="1">
      <alignment horizontal="center"/>
    </xf>
    <xf numFmtId="0" fontId="192" fillId="0" borderId="7" xfId="0" applyFont="1" applyBorder="1" applyAlignment="1">
      <alignment horizontal="center"/>
    </xf>
    <xf numFmtId="0" fontId="189" fillId="0" borderId="2" xfId="0" applyFont="1" applyBorder="1" applyAlignment="1">
      <alignment horizontal="left"/>
    </xf>
    <xf numFmtId="0" fontId="192" fillId="0" borderId="0" xfId="0" applyFont="1" applyAlignment="1">
      <alignment horizontal="center"/>
    </xf>
    <xf numFmtId="0" fontId="192" fillId="0" borderId="10" xfId="0" applyFont="1" applyBorder="1" applyAlignment="1">
      <alignment horizontal="center"/>
    </xf>
    <xf numFmtId="0" fontId="192" fillId="0" borderId="29" xfId="0" applyFont="1" applyBorder="1" applyAlignment="1">
      <alignment horizontal="center"/>
    </xf>
    <xf numFmtId="0" fontId="192" fillId="0" borderId="8" xfId="0" applyFont="1" applyBorder="1" applyAlignment="1">
      <alignment horizontal="center"/>
    </xf>
    <xf numFmtId="0" fontId="193" fillId="0" borderId="0" xfId="0" applyFont="1"/>
    <xf numFmtId="41" fontId="187" fillId="0" borderId="0" xfId="0" applyNumberFormat="1" applyFont="1"/>
    <xf numFmtId="41" fontId="187" fillId="0" borderId="10" xfId="0" applyNumberFormat="1" applyFont="1" applyBorder="1"/>
    <xf numFmtId="41" fontId="187" fillId="0" borderId="29" xfId="0" applyNumberFormat="1" applyFont="1" applyBorder="1"/>
    <xf numFmtId="41" fontId="187" fillId="0" borderId="8" xfId="0" applyNumberFormat="1" applyFont="1" applyBorder="1"/>
    <xf numFmtId="0" fontId="194" fillId="0" borderId="0" xfId="0" applyFont="1"/>
    <xf numFmtId="41" fontId="194" fillId="0" borderId="0" xfId="0" applyNumberFormat="1" applyFont="1"/>
    <xf numFmtId="41" fontId="194" fillId="0" borderId="10" xfId="0" applyNumberFormat="1" applyFont="1" applyBorder="1"/>
    <xf numFmtId="41" fontId="194" fillId="0" borderId="29" xfId="0" applyNumberFormat="1" applyFont="1" applyBorder="1"/>
    <xf numFmtId="41" fontId="194" fillId="0" borderId="8" xfId="0" applyNumberFormat="1" applyFont="1" applyBorder="1"/>
    <xf numFmtId="41" fontId="195" fillId="0" borderId="0" xfId="0" applyNumberFormat="1" applyFont="1"/>
    <xf numFmtId="0" fontId="189" fillId="0" borderId="0" xfId="0" applyFont="1" applyAlignment="1">
      <alignment horizontal="left" indent="1"/>
    </xf>
    <xf numFmtId="41" fontId="196" fillId="0" borderId="0" xfId="0" applyNumberFormat="1" applyFont="1"/>
    <xf numFmtId="41" fontId="196" fillId="0" borderId="10" xfId="0" applyNumberFormat="1" applyFont="1" applyBorder="1"/>
    <xf numFmtId="41" fontId="196" fillId="0" borderId="29" xfId="0" applyNumberFormat="1" applyFont="1" applyBorder="1"/>
    <xf numFmtId="41" fontId="196" fillId="0" borderId="8" xfId="0" applyNumberFormat="1" applyFont="1" applyBorder="1"/>
    <xf numFmtId="0" fontId="187" fillId="0" borderId="0" xfId="0" applyFont="1" applyAlignment="1">
      <alignment horizontal="left" indent="1"/>
    </xf>
    <xf numFmtId="0" fontId="191" fillId="0" borderId="0" xfId="0" applyFont="1"/>
    <xf numFmtId="41" fontId="191" fillId="0" borderId="10" xfId="0" applyNumberFormat="1" applyFont="1" applyBorder="1"/>
    <xf numFmtId="41" fontId="191" fillId="0" borderId="29" xfId="0" applyNumberFormat="1" applyFont="1" applyBorder="1"/>
    <xf numFmtId="41" fontId="191" fillId="0" borderId="8" xfId="0" applyNumberFormat="1" applyFont="1" applyBorder="1"/>
    <xf numFmtId="0" fontId="197" fillId="0" borderId="0" xfId="0" applyFont="1" applyAlignment="1">
      <alignment horizontal="left" indent="1"/>
    </xf>
    <xf numFmtId="165" fontId="188" fillId="0" borderId="0" xfId="0" applyNumberFormat="1" applyFont="1"/>
    <xf numFmtId="165" fontId="188" fillId="0" borderId="10" xfId="0" applyNumberFormat="1" applyFont="1" applyBorder="1"/>
    <xf numFmtId="165" fontId="188" fillId="0" borderId="29" xfId="0" applyNumberFormat="1" applyFont="1" applyBorder="1"/>
    <xf numFmtId="165" fontId="188" fillId="0" borderId="8" xfId="0" applyNumberFormat="1" applyFont="1" applyBorder="1"/>
    <xf numFmtId="0" fontId="188" fillId="0" borderId="0" xfId="0" applyFont="1" applyAlignment="1">
      <alignment horizontal="left" indent="1"/>
    </xf>
    <xf numFmtId="0" fontId="198" fillId="0" borderId="0" xfId="0" applyFont="1"/>
    <xf numFmtId="41" fontId="198" fillId="0" borderId="0" xfId="0" applyNumberFormat="1" applyFont="1"/>
    <xf numFmtId="41" fontId="198" fillId="0" borderId="10" xfId="0" applyNumberFormat="1" applyFont="1" applyBorder="1"/>
    <xf numFmtId="165" fontId="197" fillId="0" borderId="0" xfId="0" applyNumberFormat="1" applyFont="1"/>
    <xf numFmtId="165" fontId="197" fillId="0" borderId="10" xfId="0" applyNumberFormat="1" applyFont="1" applyBorder="1"/>
    <xf numFmtId="165" fontId="197" fillId="0" borderId="29" xfId="0" applyNumberFormat="1" applyFont="1" applyBorder="1"/>
    <xf numFmtId="165" fontId="197" fillId="0" borderId="8" xfId="0" applyNumberFormat="1" applyFont="1" applyBorder="1"/>
    <xf numFmtId="0" fontId="199" fillId="0" borderId="0" xfId="0" applyFont="1" applyAlignment="1">
      <alignment horizontal="left" indent="2"/>
    </xf>
    <xf numFmtId="41" fontId="189" fillId="0" borderId="0" xfId="0" applyNumberFormat="1" applyFont="1"/>
    <xf numFmtId="41" fontId="189" fillId="0" borderId="10" xfId="0" applyNumberFormat="1" applyFont="1" applyBorder="1"/>
    <xf numFmtId="165" fontId="199" fillId="0" borderId="0" xfId="0" applyNumberFormat="1" applyFont="1"/>
    <xf numFmtId="165" fontId="199" fillId="0" borderId="10" xfId="0" applyNumberFormat="1" applyFont="1" applyBorder="1"/>
    <xf numFmtId="165" fontId="199" fillId="0" borderId="29" xfId="0" applyNumberFormat="1" applyFont="1" applyBorder="1"/>
    <xf numFmtId="165" fontId="199" fillId="0" borderId="8" xfId="0" applyNumberFormat="1" applyFont="1" applyBorder="1"/>
    <xf numFmtId="0" fontId="188" fillId="0" borderId="0" xfId="0" applyFont="1" applyAlignment="1">
      <alignment horizontal="left" indent="2"/>
    </xf>
    <xf numFmtId="165" fontId="188" fillId="0" borderId="0" xfId="0" applyNumberFormat="1" applyFont="1" applyAlignment="1">
      <alignment horizontal="right"/>
    </xf>
    <xf numFmtId="165" fontId="188" fillId="0" borderId="10" xfId="0" applyNumberFormat="1" applyFont="1" applyBorder="1" applyAlignment="1">
      <alignment horizontal="right"/>
    </xf>
    <xf numFmtId="165" fontId="188" fillId="0" borderId="29" xfId="0" applyNumberFormat="1" applyFont="1" applyBorder="1" applyAlignment="1">
      <alignment horizontal="right"/>
    </xf>
    <xf numFmtId="165" fontId="188" fillId="0" borderId="8" xfId="0" applyNumberFormat="1" applyFont="1" applyBorder="1" applyAlignment="1">
      <alignment horizontal="right"/>
    </xf>
    <xf numFmtId="165" fontId="200" fillId="0" borderId="0" xfId="0" applyNumberFormat="1" applyFont="1" applyAlignment="1">
      <alignment horizontal="right"/>
    </xf>
    <xf numFmtId="165" fontId="200" fillId="0" borderId="10" xfId="0" applyNumberFormat="1" applyFont="1" applyBorder="1" applyAlignment="1">
      <alignment horizontal="right"/>
    </xf>
    <xf numFmtId="165" fontId="200" fillId="0" borderId="29" xfId="0" applyNumberFormat="1" applyFont="1" applyBorder="1" applyAlignment="1">
      <alignment horizontal="right"/>
    </xf>
    <xf numFmtId="165" fontId="200" fillId="0" borderId="8" xfId="0" applyNumberFormat="1" applyFont="1" applyBorder="1" applyAlignment="1">
      <alignment horizontal="right"/>
    </xf>
    <xf numFmtId="165" fontId="201" fillId="0" borderId="0" xfId="0" applyNumberFormat="1" applyFont="1" applyAlignment="1">
      <alignment horizontal="right"/>
    </xf>
    <xf numFmtId="165" fontId="201" fillId="0" borderId="10" xfId="0" applyNumberFormat="1" applyFont="1" applyBorder="1" applyAlignment="1">
      <alignment horizontal="right"/>
    </xf>
    <xf numFmtId="165" fontId="201" fillId="0" borderId="29" xfId="0" applyNumberFormat="1" applyFont="1" applyBorder="1" applyAlignment="1">
      <alignment horizontal="right"/>
    </xf>
    <xf numFmtId="165" fontId="201" fillId="0" borderId="8" xfId="0" applyNumberFormat="1" applyFont="1" applyBorder="1" applyAlignment="1">
      <alignment horizontal="right"/>
    </xf>
    <xf numFmtId="0" fontId="188" fillId="0" borderId="0" xfId="0" applyFont="1" applyAlignment="1">
      <alignment horizontal="left" indent="3"/>
    </xf>
    <xf numFmtId="41" fontId="202" fillId="0" borderId="0" xfId="0" applyNumberFormat="1" applyFont="1"/>
    <xf numFmtId="165" fontId="197" fillId="0" borderId="0" xfId="0" applyNumberFormat="1" applyFont="1" applyAlignment="1">
      <alignment horizontal="right"/>
    </xf>
    <xf numFmtId="165" fontId="188" fillId="0" borderId="0" xfId="0" applyNumberFormat="1" applyFont="1" applyAlignment="1">
      <alignment horizontal="left" indent="1"/>
    </xf>
    <xf numFmtId="41" fontId="203" fillId="0" borderId="0" xfId="0" applyNumberFormat="1" applyFont="1"/>
    <xf numFmtId="165" fontId="187" fillId="0" borderId="0" xfId="0" applyNumberFormat="1" applyFont="1"/>
    <xf numFmtId="0" fontId="204" fillId="0" borderId="0" xfId="0" applyFont="1"/>
    <xf numFmtId="165" fontId="200" fillId="0" borderId="0" xfId="0" applyNumberFormat="1" applyFont="1"/>
    <xf numFmtId="165" fontId="197" fillId="0" borderId="0" xfId="0" applyNumberFormat="1" applyFont="1" applyAlignment="1">
      <alignment horizontal="left" indent="1"/>
    </xf>
    <xf numFmtId="41" fontId="195" fillId="0" borderId="10" xfId="0" applyNumberFormat="1" applyFont="1" applyBorder="1"/>
    <xf numFmtId="41" fontId="195" fillId="0" borderId="29" xfId="0" applyNumberFormat="1" applyFont="1" applyBorder="1"/>
    <xf numFmtId="41" fontId="195" fillId="0" borderId="8" xfId="0" applyNumberFormat="1" applyFont="1" applyBorder="1"/>
    <xf numFmtId="165" fontId="205" fillId="0" borderId="0" xfId="0" applyNumberFormat="1" applyFont="1"/>
    <xf numFmtId="165" fontId="198" fillId="0" borderId="0" xfId="0" applyNumberFormat="1" applyFont="1"/>
    <xf numFmtId="165" fontId="200" fillId="0" borderId="0" xfId="0" applyNumberFormat="1" applyFont="1" applyAlignment="1">
      <alignment horizontal="left" indent="1"/>
    </xf>
    <xf numFmtId="174" fontId="187" fillId="0" borderId="0" xfId="8" applyNumberFormat="1" applyFont="1"/>
    <xf numFmtId="165" fontId="191" fillId="0" borderId="0" xfId="0" applyNumberFormat="1" applyFont="1"/>
    <xf numFmtId="0" fontId="191" fillId="0" borderId="0" xfId="0" applyFont="1" applyAlignment="1">
      <alignment horizontal="left" indent="1"/>
    </xf>
    <xf numFmtId="202" fontId="191" fillId="0" borderId="0" xfId="0" applyNumberFormat="1" applyFont="1"/>
    <xf numFmtId="0" fontId="187" fillId="0" borderId="0" xfId="0" applyFont="1" applyAlignment="1">
      <alignment horizontal="left"/>
    </xf>
    <xf numFmtId="165" fontId="199" fillId="0" borderId="0" xfId="0" applyNumberFormat="1" applyFont="1" applyAlignment="1">
      <alignment horizontal="right"/>
    </xf>
    <xf numFmtId="0" fontId="193" fillId="0" borderId="0" xfId="0" applyFont="1" applyAlignment="1">
      <alignment horizontal="left"/>
    </xf>
    <xf numFmtId="41" fontId="203" fillId="0" borderId="10" xfId="0" applyNumberFormat="1" applyFont="1" applyBorder="1"/>
    <xf numFmtId="41" fontId="203" fillId="0" borderId="8" xfId="0" applyNumberFormat="1" applyFont="1" applyBorder="1"/>
    <xf numFmtId="0" fontId="191" fillId="0" borderId="0" xfId="0" applyFont="1" applyAlignment="1">
      <alignment horizontal="left"/>
    </xf>
    <xf numFmtId="0" fontId="206" fillId="0" borderId="0" xfId="0" applyFont="1" applyAlignment="1">
      <alignment horizontal="left"/>
    </xf>
    <xf numFmtId="166" fontId="188" fillId="0" borderId="0" xfId="0" applyNumberFormat="1" applyFont="1" applyAlignment="1">
      <alignment horizontal="right"/>
    </xf>
    <xf numFmtId="166" fontId="188" fillId="0" borderId="10" xfId="0" applyNumberFormat="1" applyFont="1" applyBorder="1" applyAlignment="1">
      <alignment horizontal="right"/>
    </xf>
    <xf numFmtId="166" fontId="188" fillId="0" borderId="29" xfId="0" applyNumberFormat="1" applyFont="1" applyBorder="1" applyAlignment="1">
      <alignment horizontal="right"/>
    </xf>
    <xf numFmtId="166" fontId="188" fillId="0" borderId="8" xfId="0" applyNumberFormat="1" applyFont="1" applyBorder="1" applyAlignment="1">
      <alignment horizontal="right"/>
    </xf>
    <xf numFmtId="0" fontId="189" fillId="0" borderId="3" xfId="0" applyFont="1" applyBorder="1" applyAlignment="1">
      <alignment horizontal="centerContinuous"/>
    </xf>
    <xf numFmtId="0" fontId="189" fillId="0" borderId="4" xfId="0" applyFont="1" applyBorder="1" applyAlignment="1">
      <alignment horizontal="centerContinuous"/>
    </xf>
    <xf numFmtId="0" fontId="187" fillId="0" borderId="4" xfId="0" applyFont="1" applyBorder="1" applyAlignment="1">
      <alignment horizontal="centerContinuous"/>
    </xf>
    <xf numFmtId="0" fontId="187" fillId="0" borderId="5" xfId="0" applyFont="1" applyBorder="1" applyAlignment="1">
      <alignment horizontal="centerContinuous"/>
    </xf>
    <xf numFmtId="0" fontId="193" fillId="0" borderId="0" xfId="0" applyFont="1" applyAlignment="1">
      <alignment horizontal="right"/>
    </xf>
    <xf numFmtId="37" fontId="191" fillId="0" borderId="0" xfId="0" applyNumberFormat="1" applyFont="1"/>
    <xf numFmtId="43" fontId="191" fillId="0" borderId="0" xfId="0" applyNumberFormat="1" applyFont="1"/>
    <xf numFmtId="43" fontId="195" fillId="0" borderId="0" xfId="0" applyNumberFormat="1" applyFont="1"/>
    <xf numFmtId="37" fontId="196" fillId="0" borderId="0" xfId="0" applyNumberFormat="1" applyFont="1"/>
    <xf numFmtId="39" fontId="196" fillId="0" borderId="0" xfId="0" applyNumberFormat="1" applyFont="1"/>
    <xf numFmtId="41" fontId="200" fillId="0" borderId="0" xfId="0" applyNumberFormat="1" applyFont="1"/>
    <xf numFmtId="0" fontId="196" fillId="0" borderId="3" xfId="0" applyFont="1" applyBorder="1" applyAlignment="1">
      <alignment horizontal="left"/>
    </xf>
    <xf numFmtId="0" fontId="196" fillId="0" borderId="4" xfId="0" applyFont="1" applyBorder="1" applyAlignment="1">
      <alignment horizontal="centerContinuous"/>
    </xf>
    <xf numFmtId="0" fontId="196" fillId="0" borderId="5" xfId="0" applyFont="1" applyBorder="1" applyAlignment="1">
      <alignment horizontal="centerContinuous"/>
    </xf>
    <xf numFmtId="1" fontId="192" fillId="0" borderId="0" xfId="0" applyNumberFormat="1" applyFont="1" applyAlignment="1">
      <alignment horizontal="center"/>
    </xf>
    <xf numFmtId="203" fontId="191" fillId="0" borderId="0" xfId="0" applyNumberFormat="1" applyFont="1"/>
    <xf numFmtId="37" fontId="187" fillId="0" borderId="0" xfId="0" applyNumberFormat="1" applyFont="1"/>
    <xf numFmtId="9" fontId="91" fillId="0" borderId="0" xfId="3" applyFont="1"/>
    <xf numFmtId="170" fontId="120" fillId="0" borderId="0" xfId="3" applyNumberFormat="1" applyFont="1"/>
    <xf numFmtId="170" fontId="120" fillId="0" borderId="29" xfId="3" applyNumberFormat="1" applyFont="1" applyBorder="1"/>
    <xf numFmtId="174" fontId="207" fillId="0" borderId="0" xfId="8" quotePrefix="1" applyNumberFormat="1" applyFont="1" applyAlignment="1">
      <alignment horizontal="right"/>
    </xf>
    <xf numFmtId="0" fontId="129" fillId="0" borderId="0" xfId="0" applyFont="1" applyAlignment="1">
      <alignment horizontal="left" indent="1"/>
    </xf>
    <xf numFmtId="169" fontId="85" fillId="0" borderId="0" xfId="0" applyNumberFormat="1" applyFont="1"/>
    <xf numFmtId="170" fontId="120" fillId="0" borderId="0" xfId="3" applyNumberFormat="1" applyFont="1" applyBorder="1"/>
    <xf numFmtId="165" fontId="185" fillId="0" borderId="0" xfId="0" applyNumberFormat="1" applyFont="1"/>
    <xf numFmtId="165" fontId="129" fillId="0" borderId="0" xfId="0" applyNumberFormat="1" applyFont="1" applyAlignment="1">
      <alignment horizontal="right"/>
    </xf>
    <xf numFmtId="41" fontId="50" fillId="0" borderId="10" xfId="8" applyNumberFormat="1" applyFont="1" applyFill="1" applyBorder="1" applyAlignment="1">
      <alignment horizontal="right"/>
    </xf>
    <xf numFmtId="174" fontId="25" fillId="0" borderId="10" xfId="8" applyNumberFormat="1" applyFont="1" applyFill="1" applyBorder="1" applyAlignment="1">
      <alignment horizontal="right"/>
    </xf>
    <xf numFmtId="41" fontId="103" fillId="0" borderId="10" xfId="8" applyNumberFormat="1" applyFont="1" applyFill="1" applyBorder="1" applyAlignment="1">
      <alignment horizontal="right"/>
    </xf>
    <xf numFmtId="41" fontId="45" fillId="0" borderId="10" xfId="8" applyNumberFormat="1" applyFont="1" applyFill="1" applyBorder="1" applyAlignment="1">
      <alignment horizontal="right"/>
    </xf>
    <xf numFmtId="41" fontId="80" fillId="0" borderId="10" xfId="8" applyNumberFormat="1" applyFont="1" applyFill="1" applyBorder="1" applyAlignment="1">
      <alignment horizontal="right"/>
    </xf>
    <xf numFmtId="174" fontId="45" fillId="0" borderId="10" xfId="8" applyNumberFormat="1" applyFont="1" applyFill="1" applyBorder="1" applyAlignment="1">
      <alignment horizontal="right"/>
    </xf>
    <xf numFmtId="165" fontId="109" fillId="0" borderId="10" xfId="0" applyNumberFormat="1" applyFont="1" applyBorder="1" applyAlignment="1">
      <alignment horizontal="right"/>
    </xf>
    <xf numFmtId="43" fontId="45" fillId="0" borderId="10" xfId="0" applyNumberFormat="1" applyFont="1" applyBorder="1" applyAlignment="1">
      <alignment horizontal="right"/>
    </xf>
    <xf numFmtId="174" fontId="143" fillId="0" borderId="10" xfId="8" applyNumberFormat="1" applyFont="1" applyBorder="1"/>
    <xf numFmtId="0" fontId="152" fillId="0" borderId="9" xfId="0" applyFont="1" applyBorder="1" applyAlignment="1">
      <alignment horizontal="center"/>
    </xf>
    <xf numFmtId="0" fontId="91" fillId="0" borderId="10" xfId="0" applyFont="1" applyBorder="1"/>
    <xf numFmtId="0" fontId="156" fillId="0" borderId="0" xfId="0" applyFont="1" applyAlignment="1">
      <alignment vertical="top" wrapText="1"/>
    </xf>
    <xf numFmtId="0" fontId="156" fillId="0" borderId="0" xfId="0" applyFont="1" applyAlignment="1">
      <alignment wrapText="1"/>
    </xf>
    <xf numFmtId="0" fontId="155" fillId="0" borderId="0" xfId="0" applyFont="1" applyAlignment="1">
      <alignment vertical="top" wrapText="1"/>
    </xf>
    <xf numFmtId="41" fontId="208" fillId="0" borderId="0" xfId="8" applyNumberFormat="1" applyFont="1" applyBorder="1" applyAlignment="1">
      <alignment horizontal="right"/>
    </xf>
    <xf numFmtId="165" fontId="133" fillId="0" borderId="29" xfId="0" applyNumberFormat="1" applyFont="1" applyBorder="1" applyAlignment="1">
      <alignment horizontal="right"/>
    </xf>
    <xf numFmtId="165" fontId="123" fillId="0" borderId="29" xfId="0" applyNumberFormat="1" applyFont="1" applyBorder="1" applyAlignment="1">
      <alignment horizontal="right"/>
    </xf>
    <xf numFmtId="174" fontId="85" fillId="0" borderId="29" xfId="8" applyNumberFormat="1" applyFont="1" applyBorder="1" applyAlignment="1">
      <alignment horizontal="right"/>
    </xf>
    <xf numFmtId="41" fontId="85" fillId="0" borderId="29" xfId="8" applyNumberFormat="1" applyFont="1" applyBorder="1" applyAlignment="1">
      <alignment horizontal="right"/>
    </xf>
    <xf numFmtId="41" fontId="134" fillId="0" borderId="29" xfId="8" applyNumberFormat="1" applyFont="1" applyBorder="1" applyAlignment="1">
      <alignment horizontal="right"/>
    </xf>
    <xf numFmtId="41" fontId="87" fillId="0" borderId="29" xfId="8" applyNumberFormat="1" applyFont="1" applyBorder="1" applyAlignment="1">
      <alignment horizontal="right"/>
    </xf>
    <xf numFmtId="174" fontId="120" fillId="0" borderId="29" xfId="8" applyNumberFormat="1" applyFont="1" applyBorder="1" applyAlignment="1">
      <alignment horizontal="right"/>
    </xf>
    <xf numFmtId="174" fontId="91" fillId="0" borderId="29" xfId="8" applyNumberFormat="1" applyFont="1" applyBorder="1" applyAlignment="1">
      <alignment horizontal="right"/>
    </xf>
    <xf numFmtId="41" fontId="91" fillId="0" borderId="29" xfId="8" applyNumberFormat="1" applyFont="1" applyBorder="1" applyAlignment="1">
      <alignment horizontal="right"/>
    </xf>
    <xf numFmtId="41" fontId="129" fillId="0" borderId="29" xfId="0" applyNumberFormat="1" applyFont="1" applyBorder="1"/>
    <xf numFmtId="174" fontId="132" fillId="0" borderId="29" xfId="8" applyNumberFormat="1" applyFont="1" applyBorder="1"/>
    <xf numFmtId="174" fontId="133" fillId="0" borderId="29" xfId="8" applyNumberFormat="1" applyFont="1" applyBorder="1"/>
    <xf numFmtId="174" fontId="125" fillId="0" borderId="29" xfId="8" applyNumberFormat="1" applyFont="1" applyBorder="1"/>
    <xf numFmtId="41" fontId="134" fillId="0" borderId="29" xfId="8" applyNumberFormat="1" applyFont="1" applyFill="1" applyBorder="1" applyAlignment="1">
      <alignment horizontal="right"/>
    </xf>
    <xf numFmtId="41" fontId="87" fillId="0" borderId="29" xfId="8" applyNumberFormat="1" applyFont="1" applyFill="1" applyBorder="1" applyAlignment="1">
      <alignment horizontal="right"/>
    </xf>
    <xf numFmtId="174" fontId="108" fillId="0" borderId="29" xfId="8" applyNumberFormat="1" applyFont="1" applyFill="1" applyBorder="1"/>
    <xf numFmtId="174" fontId="127" fillId="0" borderId="29" xfId="8" applyNumberFormat="1" applyFont="1" applyFill="1" applyBorder="1"/>
    <xf numFmtId="174" fontId="123" fillId="0" borderId="29" xfId="8" applyNumberFormat="1" applyFont="1" applyFill="1" applyBorder="1"/>
    <xf numFmtId="41" fontId="85" fillId="0" borderId="29" xfId="8" applyNumberFormat="1" applyFont="1" applyFill="1" applyBorder="1" applyAlignment="1">
      <alignment horizontal="right"/>
    </xf>
    <xf numFmtId="174" fontId="85" fillId="0" borderId="29" xfId="8" applyNumberFormat="1" applyFont="1" applyFill="1" applyBorder="1" applyAlignment="1">
      <alignment horizontal="right"/>
    </xf>
    <xf numFmtId="165" fontId="185" fillId="0" borderId="29" xfId="0" applyNumberFormat="1" applyFont="1" applyBorder="1"/>
    <xf numFmtId="165" fontId="137" fillId="0" borderId="29" xfId="0" applyNumberFormat="1" applyFont="1" applyBorder="1"/>
    <xf numFmtId="0" fontId="91" fillId="0" borderId="29" xfId="0" applyFont="1" applyBorder="1"/>
    <xf numFmtId="165" fontId="118" fillId="0" borderId="29" xfId="0" applyNumberFormat="1" applyFont="1" applyBorder="1"/>
    <xf numFmtId="165" fontId="139" fillId="0" borderId="29" xfId="0" applyNumberFormat="1" applyFont="1" applyBorder="1"/>
    <xf numFmtId="165" fontId="91" fillId="0" borderId="29" xfId="0" applyNumberFormat="1" applyFont="1" applyBorder="1"/>
    <xf numFmtId="41" fontId="139" fillId="0" borderId="29" xfId="0" applyNumberFormat="1" applyFont="1" applyBorder="1"/>
    <xf numFmtId="165" fontId="138" fillId="0" borderId="29" xfId="0" applyNumberFormat="1" applyFont="1" applyBorder="1"/>
    <xf numFmtId="165" fontId="117" fillId="0" borderId="29" xfId="0" applyNumberFormat="1" applyFont="1" applyBorder="1"/>
    <xf numFmtId="41" fontId="108" fillId="0" borderId="29" xfId="0" applyNumberFormat="1" applyFont="1" applyBorder="1"/>
    <xf numFmtId="41" fontId="91" fillId="0" borderId="29" xfId="0" applyNumberFormat="1" applyFont="1" applyBorder="1" applyAlignment="1">
      <alignment horizontal="right"/>
    </xf>
    <xf numFmtId="41" fontId="158" fillId="4" borderId="29" xfId="0" applyNumberFormat="1" applyFont="1" applyFill="1" applyBorder="1"/>
    <xf numFmtId="197" fontId="159" fillId="0" borderId="29" xfId="0" applyNumberFormat="1" applyFont="1" applyBorder="1"/>
    <xf numFmtId="197" fontId="132" fillId="0" borderId="29" xfId="0" applyNumberFormat="1" applyFont="1" applyBorder="1"/>
    <xf numFmtId="14" fontId="91" fillId="0" borderId="29" xfId="0" applyNumberFormat="1" applyFont="1" applyBorder="1"/>
    <xf numFmtId="198" fontId="141" fillId="0" borderId="29" xfId="0" applyNumberFormat="1" applyFont="1" applyBorder="1" applyAlignment="1">
      <alignment horizontal="right"/>
    </xf>
    <xf numFmtId="198" fontId="115" fillId="0" borderId="29" xfId="0" applyNumberFormat="1" applyFont="1" applyBorder="1"/>
    <xf numFmtId="198" fontId="108" fillId="0" borderId="29" xfId="0" applyNumberFormat="1" applyFont="1" applyBorder="1"/>
    <xf numFmtId="198" fontId="93" fillId="0" borderId="29" xfId="0" applyNumberFormat="1" applyFont="1" applyBorder="1" applyAlignment="1">
      <alignment horizontal="right"/>
    </xf>
    <xf numFmtId="198" fontId="142" fillId="0" borderId="29" xfId="0" applyNumberFormat="1" applyFont="1" applyBorder="1" applyAlignment="1">
      <alignment horizontal="right"/>
    </xf>
    <xf numFmtId="198" fontId="85" fillId="0" borderId="29" xfId="0" applyNumberFormat="1" applyFont="1" applyBorder="1"/>
    <xf numFmtId="165" fontId="132" fillId="0" borderId="8" xfId="0" applyNumberFormat="1" applyFont="1" applyBorder="1"/>
    <xf numFmtId="165" fontId="133" fillId="0" borderId="8" xfId="0" applyNumberFormat="1" applyFont="1" applyBorder="1"/>
    <xf numFmtId="165" fontId="133" fillId="0" borderId="8" xfId="0" applyNumberFormat="1" applyFont="1" applyBorder="1" applyAlignment="1">
      <alignment horizontal="right"/>
    </xf>
    <xf numFmtId="41" fontId="120" fillId="0" borderId="8" xfId="3" applyNumberFormat="1" applyFont="1" applyFill="1" applyBorder="1"/>
    <xf numFmtId="166" fontId="132" fillId="0" borderId="8" xfId="0" applyNumberFormat="1" applyFont="1" applyBorder="1" applyAlignment="1">
      <alignment horizontal="right"/>
    </xf>
    <xf numFmtId="41" fontId="134" fillId="0" borderId="8" xfId="8" applyNumberFormat="1" applyFont="1" applyBorder="1" applyAlignment="1">
      <alignment horizontal="right"/>
    </xf>
    <xf numFmtId="41" fontId="87" fillId="0" borderId="8" xfId="8" applyNumberFormat="1" applyFont="1" applyBorder="1" applyAlignment="1">
      <alignment horizontal="right"/>
    </xf>
    <xf numFmtId="174" fontId="120" fillId="0" borderId="8" xfId="8" applyNumberFormat="1" applyFont="1" applyBorder="1" applyAlignment="1">
      <alignment horizontal="right"/>
    </xf>
    <xf numFmtId="174" fontId="91" fillId="0" borderId="8" xfId="8" applyNumberFormat="1" applyFont="1" applyBorder="1" applyAlignment="1">
      <alignment horizontal="right"/>
    </xf>
    <xf numFmtId="41" fontId="91" fillId="0" borderId="8" xfId="8" applyNumberFormat="1" applyFont="1" applyBorder="1" applyAlignment="1">
      <alignment horizontal="right"/>
    </xf>
    <xf numFmtId="165" fontId="125" fillId="0" borderId="8" xfId="0" applyNumberFormat="1" applyFont="1" applyBorder="1"/>
    <xf numFmtId="174" fontId="132" fillId="0" borderId="8" xfId="8" applyNumberFormat="1" applyFont="1" applyBorder="1"/>
    <xf numFmtId="174" fontId="133" fillId="0" borderId="8" xfId="8" applyNumberFormat="1" applyFont="1" applyBorder="1"/>
    <xf numFmtId="41" fontId="134" fillId="0" borderId="8" xfId="8" applyNumberFormat="1" applyFont="1" applyFill="1" applyBorder="1" applyAlignment="1">
      <alignment horizontal="right"/>
    </xf>
    <xf numFmtId="41" fontId="87" fillId="0" borderId="8" xfId="8" applyNumberFormat="1" applyFont="1" applyFill="1" applyBorder="1" applyAlignment="1">
      <alignment horizontal="right"/>
    </xf>
    <xf numFmtId="174" fontId="108" fillId="0" borderId="8" xfId="8" applyNumberFormat="1" applyFont="1" applyFill="1" applyBorder="1"/>
    <xf numFmtId="174" fontId="127" fillId="0" borderId="8" xfId="8" applyNumberFormat="1" applyFont="1" applyFill="1" applyBorder="1"/>
    <xf numFmtId="174" fontId="123" fillId="0" borderId="8" xfId="8" applyNumberFormat="1" applyFont="1" applyFill="1" applyBorder="1"/>
    <xf numFmtId="41" fontId="85" fillId="0" borderId="8" xfId="8" applyNumberFormat="1" applyFont="1" applyFill="1" applyBorder="1" applyAlignment="1">
      <alignment horizontal="right"/>
    </xf>
    <xf numFmtId="174" fontId="85" fillId="0" borderId="8" xfId="8" applyNumberFormat="1" applyFont="1" applyFill="1" applyBorder="1" applyAlignment="1">
      <alignment horizontal="right"/>
    </xf>
    <xf numFmtId="165" fontId="118" fillId="0" borderId="8" xfId="0" applyNumberFormat="1" applyFont="1" applyBorder="1"/>
    <xf numFmtId="165" fontId="139" fillId="0" borderId="8" xfId="0" applyNumberFormat="1" applyFont="1" applyBorder="1"/>
    <xf numFmtId="165" fontId="91" fillId="0" borderId="8" xfId="0" applyNumberFormat="1" applyFont="1" applyBorder="1"/>
    <xf numFmtId="41" fontId="139" fillId="0" borderId="8" xfId="0" applyNumberFormat="1" applyFont="1" applyBorder="1"/>
    <xf numFmtId="165" fontId="138" fillId="0" borderId="8" xfId="0" applyNumberFormat="1" applyFont="1" applyBorder="1"/>
    <xf numFmtId="165" fontId="117" fillId="0" borderId="8" xfId="0" applyNumberFormat="1" applyFont="1" applyBorder="1"/>
    <xf numFmtId="41" fontId="108" fillId="0" borderId="8" xfId="0" applyNumberFormat="1" applyFont="1" applyBorder="1"/>
    <xf numFmtId="41" fontId="91" fillId="0" borderId="8" xfId="0" applyNumberFormat="1" applyFont="1" applyBorder="1" applyAlignment="1">
      <alignment horizontal="right"/>
    </xf>
    <xf numFmtId="197" fontId="132" fillId="0" borderId="8" xfId="0" applyNumberFormat="1" applyFont="1" applyBorder="1"/>
    <xf numFmtId="41" fontId="202" fillId="0" borderId="29" xfId="0" applyNumberFormat="1" applyFont="1" applyBorder="1"/>
    <xf numFmtId="41" fontId="203" fillId="0" borderId="29" xfId="0" applyNumberFormat="1" applyFont="1" applyBorder="1"/>
    <xf numFmtId="41" fontId="202" fillId="0" borderId="8" xfId="0" applyNumberFormat="1" applyFont="1" applyBorder="1"/>
    <xf numFmtId="201" fontId="208" fillId="0" borderId="0" xfId="0" applyNumberFormat="1" applyFont="1"/>
    <xf numFmtId="41" fontId="209" fillId="0" borderId="8" xfId="0" applyNumberFormat="1" applyFont="1" applyBorder="1"/>
    <xf numFmtId="41" fontId="210" fillId="0" borderId="0" xfId="0" applyNumberFormat="1" applyFont="1"/>
    <xf numFmtId="41" fontId="121" fillId="0" borderId="10" xfId="0" applyNumberFormat="1" applyFont="1" applyBorder="1"/>
    <xf numFmtId="198" fontId="132" fillId="0" borderId="10" xfId="0" applyNumberFormat="1" applyFont="1" applyBorder="1"/>
    <xf numFmtId="198" fontId="130" fillId="0" borderId="10" xfId="0" applyNumberFormat="1" applyFont="1" applyBorder="1"/>
    <xf numFmtId="198" fontId="157" fillId="0" borderId="10" xfId="0" applyNumberFormat="1" applyFont="1" applyBorder="1"/>
    <xf numFmtId="198" fontId="125" fillId="0" borderId="10" xfId="0" applyNumberFormat="1" applyFont="1" applyBorder="1"/>
    <xf numFmtId="165" fontId="115" fillId="0" borderId="10" xfId="0" applyNumberFormat="1" applyFont="1" applyBorder="1"/>
    <xf numFmtId="165" fontId="133" fillId="0" borderId="10" xfId="0" applyNumberFormat="1" applyFont="1" applyBorder="1" applyAlignment="1">
      <alignment horizontal="right"/>
    </xf>
    <xf numFmtId="41" fontId="135" fillId="0" borderId="10" xfId="0" applyNumberFormat="1" applyFont="1" applyBorder="1"/>
    <xf numFmtId="41" fontId="121" fillId="0" borderId="10" xfId="3" applyNumberFormat="1" applyFont="1" applyFill="1" applyBorder="1"/>
    <xf numFmtId="174" fontId="132" fillId="0" borderId="10" xfId="8" applyNumberFormat="1" applyFont="1" applyBorder="1"/>
    <xf numFmtId="174" fontId="133" fillId="0" borderId="10" xfId="8" applyNumberFormat="1" applyFont="1" applyBorder="1"/>
    <xf numFmtId="174" fontId="125" fillId="0" borderId="10" xfId="8" applyNumberFormat="1" applyFont="1" applyBorder="1"/>
    <xf numFmtId="165" fontId="137" fillId="0" borderId="10" xfId="0" applyNumberFormat="1" applyFont="1" applyBorder="1"/>
    <xf numFmtId="165" fontId="118" fillId="0" borderId="10" xfId="0" applyNumberFormat="1" applyFont="1" applyBorder="1"/>
    <xf numFmtId="165" fontId="139" fillId="0" borderId="10" xfId="0" applyNumberFormat="1" applyFont="1" applyBorder="1"/>
    <xf numFmtId="41" fontId="139" fillId="0" borderId="10" xfId="0" applyNumberFormat="1" applyFont="1" applyBorder="1"/>
    <xf numFmtId="165" fontId="138" fillId="0" borderId="10" xfId="0" applyNumberFormat="1" applyFont="1" applyBorder="1"/>
    <xf numFmtId="165" fontId="117" fillId="0" borderId="10" xfId="0" applyNumberFormat="1" applyFont="1" applyBorder="1"/>
    <xf numFmtId="41" fontId="137" fillId="0" borderId="10" xfId="0" applyNumberFormat="1" applyFont="1" applyBorder="1"/>
    <xf numFmtId="197" fontId="132" fillId="0" borderId="10" xfId="0" applyNumberFormat="1" applyFont="1" applyBorder="1"/>
    <xf numFmtId="174" fontId="20" fillId="0" borderId="0" xfId="8" quotePrefix="1" applyNumberFormat="1" applyFont="1" applyAlignment="1">
      <alignment horizontal="right"/>
    </xf>
    <xf numFmtId="41" fontId="134" fillId="0" borderId="0" xfId="0" applyNumberFormat="1" applyFont="1" applyAlignment="1">
      <alignment horizontal="left"/>
    </xf>
    <xf numFmtId="41" fontId="134" fillId="0" borderId="29" xfId="0" applyNumberFormat="1" applyFont="1" applyBorder="1" applyAlignment="1">
      <alignment horizontal="left"/>
    </xf>
    <xf numFmtId="204" fontId="213" fillId="10" borderId="0" xfId="11" applyNumberFormat="1" applyFont="1" applyFill="1" applyBorder="1" applyAlignment="1">
      <alignment horizontal="left"/>
    </xf>
    <xf numFmtId="175" fontId="215" fillId="10" borderId="0" xfId="12" applyNumberFormat="1" applyFont="1" applyFill="1"/>
    <xf numFmtId="175" fontId="215" fillId="10" borderId="59" xfId="12" applyNumberFormat="1" applyFont="1" applyFill="1" applyBorder="1"/>
    <xf numFmtId="175" fontId="214" fillId="10" borderId="0" xfId="12" applyNumberFormat="1" applyFill="1"/>
    <xf numFmtId="175" fontId="214" fillId="0" borderId="0" xfId="12" applyNumberFormat="1"/>
    <xf numFmtId="205" fontId="21" fillId="10" borderId="0" xfId="12" applyNumberFormat="1" applyFont="1" applyFill="1" applyAlignment="1">
      <alignment horizontal="left"/>
    </xf>
    <xf numFmtId="204" fontId="216" fillId="10" borderId="0" xfId="12" applyNumberFormat="1" applyFont="1" applyFill="1" applyAlignment="1">
      <alignment horizontal="center"/>
    </xf>
    <xf numFmtId="0" fontId="215" fillId="10" borderId="0" xfId="12" applyFont="1" applyFill="1"/>
    <xf numFmtId="0" fontId="217" fillId="10" borderId="0" xfId="12" applyFont="1" applyFill="1"/>
    <xf numFmtId="0" fontId="215" fillId="10" borderId="59" xfId="12" applyFont="1" applyFill="1" applyBorder="1"/>
    <xf numFmtId="164" fontId="214" fillId="10" borderId="0" xfId="12" applyNumberFormat="1" applyFill="1"/>
    <xf numFmtId="0" fontId="217" fillId="10" borderId="59" xfId="12" applyFont="1" applyFill="1" applyBorder="1"/>
    <xf numFmtId="0" fontId="214" fillId="10" borderId="0" xfId="12" applyFill="1"/>
    <xf numFmtId="0" fontId="214" fillId="0" borderId="0" xfId="12"/>
    <xf numFmtId="206" fontId="96" fillId="10" borderId="0" xfId="12" applyNumberFormat="1" applyFont="1" applyFill="1" applyAlignment="1">
      <alignment horizontal="left"/>
    </xf>
    <xf numFmtId="207" fontId="218" fillId="10" borderId="0" xfId="12" applyNumberFormat="1" applyFont="1" applyFill="1" applyAlignment="1">
      <alignment horizontal="left"/>
    </xf>
    <xf numFmtId="1" fontId="219" fillId="10" borderId="0" xfId="12" applyNumberFormat="1" applyFont="1" applyFill="1" applyAlignment="1">
      <alignment horizontal="center"/>
    </xf>
    <xf numFmtId="1" fontId="219" fillId="10" borderId="59" xfId="12" applyNumberFormat="1" applyFont="1" applyFill="1" applyBorder="1" applyAlignment="1">
      <alignment horizontal="center"/>
    </xf>
    <xf numFmtId="1" fontId="220" fillId="10" borderId="0" xfId="12" applyNumberFormat="1" applyFont="1" applyFill="1" applyAlignment="1">
      <alignment horizontal="center"/>
    </xf>
    <xf numFmtId="1" fontId="219" fillId="11" borderId="0" xfId="12" applyNumberFormat="1" applyFont="1" applyFill="1" applyAlignment="1">
      <alignment horizontal="center"/>
    </xf>
    <xf numFmtId="1" fontId="219" fillId="11" borderId="59" xfId="12" applyNumberFormat="1" applyFont="1" applyFill="1" applyBorder="1" applyAlignment="1">
      <alignment horizontal="center"/>
    </xf>
    <xf numFmtId="1" fontId="220" fillId="11" borderId="0" xfId="12" applyNumberFormat="1" applyFont="1" applyFill="1" applyAlignment="1">
      <alignment horizontal="center"/>
    </xf>
    <xf numFmtId="175" fontId="219" fillId="10" borderId="0" xfId="12" applyNumberFormat="1" applyFont="1" applyFill="1" applyAlignment="1">
      <alignment horizontal="center"/>
    </xf>
    <xf numFmtId="175" fontId="219" fillId="0" borderId="0" xfId="12" applyNumberFormat="1" applyFont="1" applyAlignment="1">
      <alignment horizontal="center"/>
    </xf>
    <xf numFmtId="208" fontId="96" fillId="10" borderId="0" xfId="12" applyNumberFormat="1" applyFont="1" applyFill="1"/>
    <xf numFmtId="0" fontId="219" fillId="10" borderId="0" xfId="12" applyFont="1" applyFill="1" applyAlignment="1">
      <alignment horizontal="center"/>
    </xf>
    <xf numFmtId="17" fontId="221" fillId="10" borderId="0" xfId="12" applyNumberFormat="1" applyFont="1" applyFill="1" applyAlignment="1">
      <alignment horizontal="center"/>
    </xf>
    <xf numFmtId="17" fontId="222" fillId="10" borderId="0" xfId="12" applyNumberFormat="1" applyFont="1" applyFill="1" applyAlignment="1">
      <alignment horizontal="center"/>
    </xf>
    <xf numFmtId="17" fontId="222" fillId="10" borderId="59" xfId="12" applyNumberFormat="1" applyFont="1" applyFill="1" applyBorder="1" applyAlignment="1">
      <alignment horizontal="center"/>
    </xf>
    <xf numFmtId="17" fontId="223" fillId="11" borderId="0" xfId="12" applyNumberFormat="1" applyFont="1" applyFill="1" applyAlignment="1">
      <alignment horizontal="center"/>
    </xf>
    <xf numFmtId="17" fontId="221" fillId="11" borderId="0" xfId="12" applyNumberFormat="1" applyFont="1" applyFill="1" applyAlignment="1">
      <alignment horizontal="center"/>
    </xf>
    <xf numFmtId="17" fontId="221" fillId="11" borderId="59" xfId="12" applyNumberFormat="1" applyFont="1" applyFill="1" applyBorder="1" applyAlignment="1">
      <alignment horizontal="center"/>
    </xf>
    <xf numFmtId="209" fontId="96" fillId="10" borderId="0" xfId="12" applyNumberFormat="1" applyFont="1" applyFill="1"/>
    <xf numFmtId="0" fontId="218" fillId="10" borderId="0" xfId="13" applyNumberFormat="1" applyFont="1" applyFill="1" applyBorder="1" applyAlignment="1">
      <alignment horizontal="center"/>
    </xf>
    <xf numFmtId="0" fontId="218" fillId="10" borderId="0" xfId="12" applyFont="1" applyFill="1" applyAlignment="1">
      <alignment horizontal="center"/>
    </xf>
    <xf numFmtId="0" fontId="224" fillId="10" borderId="0" xfId="12" applyFont="1" applyFill="1" applyAlignment="1">
      <alignment horizontal="center"/>
    </xf>
    <xf numFmtId="0" fontId="224" fillId="10" borderId="59" xfId="12" applyFont="1" applyFill="1" applyBorder="1" applyAlignment="1">
      <alignment horizontal="center"/>
    </xf>
    <xf numFmtId="0" fontId="225" fillId="11" borderId="0" xfId="12" applyFont="1" applyFill="1" applyAlignment="1">
      <alignment horizontal="center"/>
    </xf>
    <xf numFmtId="0" fontId="218" fillId="11" borderId="0" xfId="12" applyFont="1" applyFill="1" applyAlignment="1">
      <alignment horizontal="center"/>
    </xf>
    <xf numFmtId="0" fontId="218" fillId="11" borderId="59" xfId="12" applyFont="1" applyFill="1" applyBorder="1" applyAlignment="1">
      <alignment horizontal="center"/>
    </xf>
    <xf numFmtId="210" fontId="226" fillId="12" borderId="0" xfId="12" applyNumberFormat="1" applyFont="1" applyFill="1"/>
    <xf numFmtId="210" fontId="227" fillId="12" borderId="0" xfId="12" applyNumberFormat="1" applyFont="1" applyFill="1"/>
    <xf numFmtId="175" fontId="227" fillId="12" borderId="0" xfId="12" applyNumberFormat="1" applyFont="1" applyFill="1"/>
    <xf numFmtId="210" fontId="227" fillId="12" borderId="59" xfId="12" applyNumberFormat="1" applyFont="1" applyFill="1" applyBorder="1"/>
    <xf numFmtId="175" fontId="227" fillId="12" borderId="59" xfId="12" applyNumberFormat="1" applyFont="1" applyFill="1" applyBorder="1"/>
    <xf numFmtId="210" fontId="214" fillId="10" borderId="0" xfId="12" applyNumberFormat="1" applyFill="1"/>
    <xf numFmtId="210" fontId="214" fillId="0" borderId="0" xfId="12" applyNumberFormat="1"/>
    <xf numFmtId="210" fontId="214" fillId="10" borderId="0" xfId="12" applyNumberFormat="1" applyFill="1" applyAlignment="1">
      <alignment horizontal="left" indent="1"/>
    </xf>
    <xf numFmtId="210" fontId="216" fillId="10" borderId="0" xfId="13" applyNumberFormat="1" applyFont="1" applyFill="1" applyBorder="1"/>
    <xf numFmtId="210" fontId="215" fillId="10" borderId="0" xfId="12" applyNumberFormat="1" applyFont="1" applyFill="1" applyAlignment="1">
      <alignment horizontal="right"/>
    </xf>
    <xf numFmtId="210" fontId="215" fillId="10" borderId="59" xfId="12" applyNumberFormat="1" applyFont="1" applyFill="1" applyBorder="1" applyAlignment="1">
      <alignment horizontal="right"/>
    </xf>
    <xf numFmtId="210" fontId="215" fillId="11" borderId="0" xfId="12" applyNumberFormat="1" applyFont="1" applyFill="1" applyAlignment="1">
      <alignment horizontal="right"/>
    </xf>
    <xf numFmtId="210" fontId="214" fillId="11" borderId="0" xfId="12" applyNumberFormat="1" applyFill="1" applyAlignment="1">
      <alignment horizontal="right"/>
    </xf>
    <xf numFmtId="210" fontId="215" fillId="11" borderId="59" xfId="12" applyNumberFormat="1" applyFont="1" applyFill="1" applyBorder="1" applyAlignment="1">
      <alignment horizontal="right"/>
    </xf>
    <xf numFmtId="210" fontId="219" fillId="10" borderId="1" xfId="12" applyNumberFormat="1" applyFont="1" applyFill="1" applyBorder="1" applyAlignment="1">
      <alignment horizontal="left"/>
    </xf>
    <xf numFmtId="210" fontId="218" fillId="10" borderId="1" xfId="13" applyNumberFormat="1" applyFont="1" applyFill="1" applyBorder="1"/>
    <xf numFmtId="210" fontId="220" fillId="10" borderId="1" xfId="12" applyNumberFormat="1" applyFont="1" applyFill="1" applyBorder="1" applyAlignment="1">
      <alignment horizontal="right"/>
    </xf>
    <xf numFmtId="210" fontId="219" fillId="10" borderId="1" xfId="12" applyNumberFormat="1" applyFont="1" applyFill="1" applyBorder="1" applyAlignment="1">
      <alignment horizontal="right"/>
    </xf>
    <xf numFmtId="210" fontId="219" fillId="10" borderId="60" xfId="12" applyNumberFormat="1" applyFont="1" applyFill="1" applyBorder="1" applyAlignment="1">
      <alignment horizontal="right"/>
    </xf>
    <xf numFmtId="210" fontId="220" fillId="11" borderId="1" xfId="12" applyNumberFormat="1" applyFont="1" applyFill="1" applyBorder="1" applyAlignment="1">
      <alignment horizontal="right"/>
    </xf>
    <xf numFmtId="210" fontId="219" fillId="11" borderId="1" xfId="12" applyNumberFormat="1" applyFont="1" applyFill="1" applyBorder="1" applyAlignment="1">
      <alignment horizontal="right"/>
    </xf>
    <xf numFmtId="210" fontId="219" fillId="11" borderId="60" xfId="12" applyNumberFormat="1" applyFont="1" applyFill="1" applyBorder="1" applyAlignment="1">
      <alignment horizontal="right"/>
    </xf>
    <xf numFmtId="210" fontId="219" fillId="10" borderId="0" xfId="12" applyNumberFormat="1" applyFont="1" applyFill="1"/>
    <xf numFmtId="210" fontId="219" fillId="0" borderId="0" xfId="12" applyNumberFormat="1" applyFont="1"/>
    <xf numFmtId="210" fontId="220" fillId="10" borderId="0" xfId="12" applyNumberFormat="1" applyFont="1" applyFill="1" applyAlignment="1">
      <alignment horizontal="left"/>
    </xf>
    <xf numFmtId="210" fontId="218" fillId="10" borderId="0" xfId="13" applyNumberFormat="1" applyFont="1" applyFill="1" applyBorder="1"/>
    <xf numFmtId="210" fontId="220" fillId="10" borderId="0" xfId="12" applyNumberFormat="1" applyFont="1" applyFill="1" applyAlignment="1">
      <alignment horizontal="right"/>
    </xf>
    <xf numFmtId="210" fontId="220" fillId="10" borderId="59" xfId="12" applyNumberFormat="1" applyFont="1" applyFill="1" applyBorder="1" applyAlignment="1">
      <alignment horizontal="right"/>
    </xf>
    <xf numFmtId="210" fontId="220" fillId="11" borderId="0" xfId="12" applyNumberFormat="1" applyFont="1" applyFill="1" applyAlignment="1">
      <alignment horizontal="right"/>
    </xf>
    <xf numFmtId="210" fontId="220" fillId="11" borderId="59" xfId="12" applyNumberFormat="1" applyFont="1" applyFill="1" applyBorder="1" applyAlignment="1">
      <alignment horizontal="right"/>
    </xf>
    <xf numFmtId="210" fontId="228" fillId="10" borderId="0" xfId="12" applyNumberFormat="1" applyFont="1" applyFill="1" applyAlignment="1">
      <alignment horizontal="right"/>
    </xf>
    <xf numFmtId="210" fontId="228" fillId="10" borderId="59" xfId="12" applyNumberFormat="1" applyFont="1" applyFill="1" applyBorder="1" applyAlignment="1">
      <alignment horizontal="right"/>
    </xf>
    <xf numFmtId="210" fontId="228" fillId="11" borderId="0" xfId="12" applyNumberFormat="1" applyFont="1" applyFill="1" applyAlignment="1">
      <alignment horizontal="right"/>
    </xf>
    <xf numFmtId="210" fontId="228" fillId="11" borderId="59" xfId="12" applyNumberFormat="1" applyFont="1" applyFill="1" applyBorder="1" applyAlignment="1">
      <alignment horizontal="right"/>
    </xf>
    <xf numFmtId="175" fontId="226" fillId="12" borderId="0" xfId="12" applyNumberFormat="1" applyFont="1" applyFill="1"/>
    <xf numFmtId="175" fontId="229" fillId="12" borderId="0" xfId="12" applyNumberFormat="1" applyFont="1" applyFill="1"/>
    <xf numFmtId="175" fontId="229" fillId="12" borderId="59" xfId="12" applyNumberFormat="1" applyFont="1" applyFill="1" applyBorder="1"/>
    <xf numFmtId="175" fontId="214" fillId="10" borderId="0" xfId="12" applyNumberFormat="1" applyFill="1" applyAlignment="1">
      <alignment horizontal="left" indent="1"/>
    </xf>
    <xf numFmtId="175" fontId="215" fillId="10" borderId="0" xfId="12" applyNumberFormat="1" applyFont="1" applyFill="1" applyAlignment="1">
      <alignment horizontal="left" indent="4"/>
    </xf>
    <xf numFmtId="175" fontId="228" fillId="10" borderId="0" xfId="12" applyNumberFormat="1" applyFont="1" applyFill="1"/>
    <xf numFmtId="175" fontId="228" fillId="10" borderId="59" xfId="12" applyNumberFormat="1" applyFont="1" applyFill="1" applyBorder="1"/>
    <xf numFmtId="175" fontId="215" fillId="11" borderId="0" xfId="12" applyNumberFormat="1" applyFont="1" applyFill="1"/>
    <xf numFmtId="175" fontId="228" fillId="11" borderId="0" xfId="12" applyNumberFormat="1" applyFont="1" applyFill="1"/>
    <xf numFmtId="175" fontId="228" fillId="11" borderId="59" xfId="12" applyNumberFormat="1" applyFont="1" applyFill="1" applyBorder="1"/>
    <xf numFmtId="175" fontId="228" fillId="11" borderId="61" xfId="12" applyNumberFormat="1" applyFont="1" applyFill="1" applyBorder="1"/>
    <xf numFmtId="175" fontId="219" fillId="10" borderId="1" xfId="12" applyNumberFormat="1" applyFont="1" applyFill="1" applyBorder="1" applyAlignment="1">
      <alignment horizontal="left"/>
    </xf>
    <xf numFmtId="175" fontId="220" fillId="10" borderId="1" xfId="12" applyNumberFormat="1" applyFont="1" applyFill="1" applyBorder="1" applyAlignment="1">
      <alignment horizontal="left" indent="4"/>
    </xf>
    <xf numFmtId="175" fontId="220" fillId="10" borderId="1" xfId="12" applyNumberFormat="1" applyFont="1" applyFill="1" applyBorder="1"/>
    <xf numFmtId="175" fontId="219" fillId="10" borderId="1" xfId="12" applyNumberFormat="1" applyFont="1" applyFill="1" applyBorder="1"/>
    <xf numFmtId="175" fontId="219" fillId="10" borderId="60" xfId="12" applyNumberFormat="1" applyFont="1" applyFill="1" applyBorder="1"/>
    <xf numFmtId="175" fontId="220" fillId="11" borderId="1" xfId="12" applyNumberFormat="1" applyFont="1" applyFill="1" applyBorder="1"/>
    <xf numFmtId="175" fontId="219" fillId="11" borderId="1" xfId="12" applyNumberFormat="1" applyFont="1" applyFill="1" applyBorder="1"/>
    <xf numFmtId="175" fontId="219" fillId="11" borderId="59" xfId="12" applyNumberFormat="1" applyFont="1" applyFill="1" applyBorder="1"/>
    <xf numFmtId="175" fontId="219" fillId="10" borderId="0" xfId="12" applyNumberFormat="1" applyFont="1" applyFill="1"/>
    <xf numFmtId="175" fontId="219" fillId="0" borderId="0" xfId="12" applyNumberFormat="1" applyFont="1"/>
    <xf numFmtId="175" fontId="215" fillId="10" borderId="0" xfId="12" applyNumberFormat="1" applyFont="1" applyFill="1" applyAlignment="1">
      <alignment horizontal="left"/>
    </xf>
    <xf numFmtId="175" fontId="215" fillId="11" borderId="59" xfId="12" applyNumberFormat="1" applyFont="1" applyFill="1" applyBorder="1"/>
    <xf numFmtId="175" fontId="220" fillId="10" borderId="60" xfId="12" applyNumberFormat="1" applyFont="1" applyFill="1" applyBorder="1"/>
    <xf numFmtId="175" fontId="220" fillId="11" borderId="59" xfId="12" applyNumberFormat="1" applyFont="1" applyFill="1" applyBorder="1"/>
    <xf numFmtId="174" fontId="219" fillId="10" borderId="0" xfId="12" applyNumberFormat="1" applyFont="1" applyFill="1" applyAlignment="1">
      <alignment horizontal="left"/>
    </xf>
    <xf numFmtId="174" fontId="220" fillId="10" borderId="0" xfId="12" applyNumberFormat="1" applyFont="1" applyFill="1" applyAlignment="1">
      <alignment horizontal="left" indent="4"/>
    </xf>
    <xf numFmtId="174" fontId="220" fillId="10" borderId="0" xfId="12" applyNumberFormat="1" applyFont="1" applyFill="1"/>
    <xf numFmtId="174" fontId="220" fillId="10" borderId="59" xfId="12" applyNumberFormat="1" applyFont="1" applyFill="1" applyBorder="1"/>
    <xf numFmtId="174" fontId="220" fillId="11" borderId="0" xfId="12" applyNumberFormat="1" applyFont="1" applyFill="1"/>
    <xf numFmtId="174" fontId="220" fillId="11" borderId="59" xfId="12" applyNumberFormat="1" applyFont="1" applyFill="1" applyBorder="1"/>
    <xf numFmtId="174" fontId="219" fillId="10" borderId="0" xfId="12" applyNumberFormat="1" applyFont="1" applyFill="1"/>
    <xf numFmtId="174" fontId="219" fillId="0" borderId="0" xfId="12" applyNumberFormat="1" applyFont="1"/>
    <xf numFmtId="174" fontId="214" fillId="10" borderId="15" xfId="12" applyNumberFormat="1" applyFill="1" applyBorder="1" applyAlignment="1">
      <alignment horizontal="left" indent="1"/>
    </xf>
    <xf numFmtId="174" fontId="215" fillId="10" borderId="15" xfId="12" applyNumberFormat="1" applyFont="1" applyFill="1" applyBorder="1" applyAlignment="1">
      <alignment horizontal="left" indent="4"/>
    </xf>
    <xf numFmtId="174" fontId="215" fillId="10" borderId="15" xfId="12" applyNumberFormat="1" applyFont="1" applyFill="1" applyBorder="1"/>
    <xf numFmtId="174" fontId="215" fillId="10" borderId="61" xfId="12" applyNumberFormat="1" applyFont="1" applyFill="1" applyBorder="1"/>
    <xf numFmtId="174" fontId="228" fillId="10" borderId="15" xfId="12" applyNumberFormat="1" applyFont="1" applyFill="1" applyBorder="1"/>
    <xf numFmtId="174" fontId="230" fillId="10" borderId="15" xfId="12" applyNumberFormat="1" applyFont="1" applyFill="1" applyBorder="1"/>
    <xf numFmtId="174" fontId="215" fillId="11" borderId="15" xfId="12" applyNumberFormat="1" applyFont="1" applyFill="1" applyBorder="1"/>
    <xf numFmtId="174" fontId="215" fillId="11" borderId="61" xfId="12" applyNumberFormat="1" applyFont="1" applyFill="1" applyBorder="1"/>
    <xf numFmtId="174" fontId="228" fillId="11" borderId="15" xfId="12" applyNumberFormat="1" applyFont="1" applyFill="1" applyBorder="1"/>
    <xf numFmtId="174" fontId="214" fillId="10" borderId="0" xfId="12" applyNumberFormat="1" applyFill="1"/>
    <xf numFmtId="174" fontId="214" fillId="0" borderId="0" xfId="12" applyNumberFormat="1"/>
    <xf numFmtId="174" fontId="225" fillId="10" borderId="0" xfId="12" applyNumberFormat="1" applyFont="1" applyFill="1"/>
    <xf numFmtId="174" fontId="225" fillId="10" borderId="59" xfId="12" applyNumberFormat="1" applyFont="1" applyFill="1" applyBorder="1"/>
    <xf numFmtId="174" fontId="219" fillId="10" borderId="0" xfId="12" applyNumberFormat="1" applyFont="1" applyFill="1" applyAlignment="1">
      <alignment horizontal="left" indent="1"/>
    </xf>
    <xf numFmtId="174" fontId="219" fillId="10" borderId="59" xfId="12" applyNumberFormat="1" applyFont="1" applyFill="1" applyBorder="1"/>
    <xf numFmtId="210" fontId="217" fillId="10" borderId="0" xfId="12" applyNumberFormat="1" applyFont="1" applyFill="1" applyAlignment="1">
      <alignment horizontal="left" indent="1"/>
    </xf>
    <xf numFmtId="210" fontId="217" fillId="10" borderId="0" xfId="12" applyNumberFormat="1" applyFont="1" applyFill="1" applyAlignment="1">
      <alignment horizontal="left" indent="4"/>
    </xf>
    <xf numFmtId="210" fontId="217" fillId="10" borderId="0" xfId="12" applyNumberFormat="1" applyFont="1" applyFill="1"/>
    <xf numFmtId="210" fontId="217" fillId="10" borderId="59" xfId="12" applyNumberFormat="1" applyFont="1" applyFill="1" applyBorder="1"/>
    <xf numFmtId="210" fontId="217" fillId="11" borderId="0" xfId="12" applyNumberFormat="1" applyFont="1" applyFill="1"/>
    <xf numFmtId="210" fontId="217" fillId="11" borderId="59" xfId="12" applyNumberFormat="1" applyFont="1" applyFill="1" applyBorder="1"/>
    <xf numFmtId="210" fontId="231" fillId="10" borderId="0" xfId="12" applyNumberFormat="1" applyFont="1" applyFill="1"/>
    <xf numFmtId="210" fontId="231" fillId="0" borderId="0" xfId="12" applyNumberFormat="1" applyFont="1"/>
    <xf numFmtId="211" fontId="220" fillId="10" borderId="0" xfId="12" applyNumberFormat="1" applyFont="1" applyFill="1" applyAlignment="1">
      <alignment horizontal="left"/>
    </xf>
    <xf numFmtId="211" fontId="220" fillId="10" borderId="0" xfId="12" applyNumberFormat="1" applyFont="1" applyFill="1" applyAlignment="1">
      <alignment horizontal="left" indent="4"/>
    </xf>
    <xf numFmtId="211" fontId="220" fillId="10" borderId="0" xfId="12" applyNumberFormat="1" applyFont="1" applyFill="1"/>
    <xf numFmtId="211" fontId="220" fillId="10" borderId="59" xfId="12" applyNumberFormat="1" applyFont="1" applyFill="1" applyBorder="1"/>
    <xf numFmtId="211" fontId="220" fillId="11" borderId="0" xfId="12" applyNumberFormat="1" applyFont="1" applyFill="1"/>
    <xf numFmtId="211" fontId="220" fillId="11" borderId="59" xfId="12" applyNumberFormat="1" applyFont="1" applyFill="1" applyBorder="1"/>
    <xf numFmtId="211" fontId="219" fillId="10" borderId="0" xfId="12" applyNumberFormat="1" applyFont="1" applyFill="1"/>
    <xf numFmtId="211" fontId="219" fillId="0" borderId="0" xfId="12" applyNumberFormat="1" applyFont="1"/>
    <xf numFmtId="210" fontId="232" fillId="10" borderId="0" xfId="12" applyNumberFormat="1" applyFont="1" applyFill="1"/>
    <xf numFmtId="210" fontId="233" fillId="10" borderId="0" xfId="12" applyNumberFormat="1" applyFont="1" applyFill="1"/>
    <xf numFmtId="210" fontId="232" fillId="11" borderId="0" xfId="12" applyNumberFormat="1" applyFont="1" applyFill="1"/>
    <xf numFmtId="210" fontId="215" fillId="10" borderId="0" xfId="12" applyNumberFormat="1" applyFont="1" applyFill="1" applyAlignment="1">
      <alignment horizontal="left" indent="4"/>
    </xf>
    <xf numFmtId="210" fontId="215" fillId="10" borderId="0" xfId="12" applyNumberFormat="1" applyFont="1" applyFill="1"/>
    <xf numFmtId="210" fontId="215" fillId="10" borderId="59" xfId="12" applyNumberFormat="1" applyFont="1" applyFill="1" applyBorder="1"/>
    <xf numFmtId="210" fontId="215" fillId="11" borderId="0" xfId="12" applyNumberFormat="1" applyFont="1" applyFill="1"/>
    <xf numFmtId="210" fontId="215" fillId="11" borderId="59" xfId="12" applyNumberFormat="1" applyFont="1" applyFill="1" applyBorder="1"/>
    <xf numFmtId="210" fontId="214" fillId="10" borderId="0" xfId="12" applyNumberFormat="1" applyFill="1" applyAlignment="1">
      <alignment horizontal="left"/>
    </xf>
    <xf numFmtId="210" fontId="228" fillId="10" borderId="0" xfId="12" applyNumberFormat="1" applyFont="1" applyFill="1"/>
    <xf numFmtId="210" fontId="228" fillId="10" borderId="59" xfId="12" applyNumberFormat="1" applyFont="1" applyFill="1" applyBorder="1"/>
    <xf numFmtId="210" fontId="228" fillId="11" borderId="0" xfId="12" applyNumberFormat="1" applyFont="1" applyFill="1"/>
    <xf numFmtId="175" fontId="214" fillId="10" borderId="0" xfId="12" applyNumberFormat="1" applyFill="1" applyAlignment="1">
      <alignment horizontal="left"/>
    </xf>
    <xf numFmtId="175" fontId="220" fillId="10" borderId="0" xfId="12" applyNumberFormat="1" applyFont="1" applyFill="1" applyAlignment="1">
      <alignment horizontal="left"/>
    </xf>
    <xf numFmtId="175" fontId="220" fillId="10" borderId="0" xfId="12" applyNumberFormat="1" applyFont="1" applyFill="1" applyAlignment="1">
      <alignment horizontal="left" indent="4"/>
    </xf>
    <xf numFmtId="175" fontId="220" fillId="10" borderId="0" xfId="12" applyNumberFormat="1" applyFont="1" applyFill="1"/>
    <xf numFmtId="175" fontId="220" fillId="10" borderId="59" xfId="12" applyNumberFormat="1" applyFont="1" applyFill="1" applyBorder="1"/>
    <xf numFmtId="175" fontId="220" fillId="11" borderId="0" xfId="12" applyNumberFormat="1" applyFont="1" applyFill="1"/>
    <xf numFmtId="175" fontId="225" fillId="11" borderId="1" xfId="12" applyNumberFormat="1" applyFont="1" applyFill="1" applyBorder="1"/>
    <xf numFmtId="175" fontId="220" fillId="11" borderId="60" xfId="12" applyNumberFormat="1" applyFont="1" applyFill="1" applyBorder="1"/>
    <xf numFmtId="210" fontId="215" fillId="10" borderId="0" xfId="12" applyNumberFormat="1" applyFont="1" applyFill="1" applyAlignment="1">
      <alignment horizontal="left" indent="1"/>
    </xf>
    <xf numFmtId="175" fontId="226" fillId="12" borderId="0" xfId="12" applyNumberFormat="1" applyFont="1" applyFill="1" applyAlignment="1">
      <alignment horizontal="left"/>
    </xf>
    <xf numFmtId="175" fontId="226" fillId="12" borderId="0" xfId="12" applyNumberFormat="1" applyFont="1" applyFill="1" applyAlignment="1">
      <alignment horizontal="left" indent="4"/>
    </xf>
    <xf numFmtId="175" fontId="234" fillId="10" borderId="0" xfId="12" applyNumberFormat="1" applyFont="1" applyFill="1"/>
    <xf numFmtId="175" fontId="234" fillId="0" borderId="0" xfId="12" applyNumberFormat="1" applyFont="1"/>
    <xf numFmtId="175" fontId="225" fillId="10" borderId="0" xfId="12" applyNumberFormat="1" applyFont="1" applyFill="1"/>
    <xf numFmtId="175" fontId="215" fillId="10" borderId="0" xfId="12" applyNumberFormat="1" applyFont="1" applyFill="1" applyAlignment="1">
      <alignment horizontal="left" indent="1"/>
    </xf>
    <xf numFmtId="175" fontId="215" fillId="10" borderId="15" xfId="12" applyNumberFormat="1" applyFont="1" applyFill="1" applyBorder="1" applyAlignment="1">
      <alignment horizontal="left" indent="1"/>
    </xf>
    <xf numFmtId="175" fontId="215" fillId="10" borderId="15" xfId="12" applyNumberFormat="1" applyFont="1" applyFill="1" applyBorder="1" applyAlignment="1">
      <alignment horizontal="left" indent="4"/>
    </xf>
    <xf numFmtId="175" fontId="215" fillId="10" borderId="15" xfId="12" applyNumberFormat="1" applyFont="1" applyFill="1" applyBorder="1"/>
    <xf numFmtId="175" fontId="215" fillId="10" borderId="61" xfId="12" applyNumberFormat="1" applyFont="1" applyFill="1" applyBorder="1"/>
    <xf numFmtId="175" fontId="215" fillId="11" borderId="15" xfId="12" applyNumberFormat="1" applyFont="1" applyFill="1" applyBorder="1"/>
    <xf numFmtId="175" fontId="215" fillId="11" borderId="61" xfId="12" applyNumberFormat="1" applyFont="1" applyFill="1" applyBorder="1"/>
    <xf numFmtId="210" fontId="219" fillId="10" borderId="1" xfId="12" applyNumberFormat="1" applyFont="1" applyFill="1" applyBorder="1" applyAlignment="1">
      <alignment horizontal="left" indent="2"/>
    </xf>
    <xf numFmtId="210" fontId="225" fillId="10" borderId="1" xfId="12" applyNumberFormat="1" applyFont="1" applyFill="1" applyBorder="1" applyAlignment="1">
      <alignment horizontal="right"/>
    </xf>
    <xf numFmtId="210" fontId="235" fillId="10" borderId="1" xfId="12" applyNumberFormat="1" applyFont="1" applyFill="1" applyBorder="1" applyAlignment="1">
      <alignment horizontal="right"/>
    </xf>
    <xf numFmtId="210" fontId="225" fillId="11" borderId="1" xfId="12" applyNumberFormat="1" applyFont="1" applyFill="1" applyBorder="1" applyAlignment="1">
      <alignment horizontal="right"/>
    </xf>
    <xf numFmtId="210" fontId="220" fillId="10" borderId="1" xfId="12" applyNumberFormat="1" applyFont="1" applyFill="1" applyBorder="1" applyAlignment="1">
      <alignment horizontal="left" indent="1"/>
    </xf>
    <xf numFmtId="210" fontId="236" fillId="10" borderId="0" xfId="12" applyNumberFormat="1" applyFont="1" applyFill="1" applyAlignment="1">
      <alignment horizontal="left" indent="1"/>
    </xf>
    <xf numFmtId="210" fontId="217" fillId="10" borderId="0" xfId="12" applyNumberFormat="1" applyFont="1" applyFill="1" applyAlignment="1">
      <alignment horizontal="left" indent="3"/>
    </xf>
    <xf numFmtId="210" fontId="236" fillId="10" borderId="0" xfId="12" applyNumberFormat="1" applyFont="1" applyFill="1"/>
    <xf numFmtId="210" fontId="236" fillId="10" borderId="59" xfId="12" applyNumberFormat="1" applyFont="1" applyFill="1" applyBorder="1"/>
    <xf numFmtId="210" fontId="217" fillId="10" borderId="0" xfId="12" applyNumberFormat="1" applyFont="1" applyFill="1" applyAlignment="1">
      <alignment horizontal="right"/>
    </xf>
    <xf numFmtId="210" fontId="217" fillId="11" borderId="0" xfId="12" applyNumberFormat="1" applyFont="1" applyFill="1" applyAlignment="1">
      <alignment horizontal="right"/>
    </xf>
    <xf numFmtId="210" fontId="217" fillId="0" borderId="0" xfId="12" applyNumberFormat="1" applyFont="1"/>
    <xf numFmtId="210" fontId="220" fillId="10" borderId="0" xfId="12" applyNumberFormat="1" applyFont="1" applyFill="1" applyAlignment="1">
      <alignment horizontal="left" indent="1"/>
    </xf>
    <xf numFmtId="210" fontId="225" fillId="10" borderId="0" xfId="12" applyNumberFormat="1" applyFont="1" applyFill="1" applyAlignment="1">
      <alignment horizontal="right"/>
    </xf>
    <xf numFmtId="210" fontId="235" fillId="10" borderId="0" xfId="12" applyNumberFormat="1" applyFont="1" applyFill="1" applyAlignment="1">
      <alignment horizontal="right"/>
    </xf>
    <xf numFmtId="210" fontId="225" fillId="11" borderId="0" xfId="12" applyNumberFormat="1" applyFont="1" applyFill="1" applyAlignment="1">
      <alignment horizontal="right"/>
    </xf>
    <xf numFmtId="210" fontId="219" fillId="10" borderId="0" xfId="12" applyNumberFormat="1" applyFont="1" applyFill="1" applyAlignment="1">
      <alignment horizontal="left"/>
    </xf>
    <xf numFmtId="210" fontId="219" fillId="10" borderId="0" xfId="12" applyNumberFormat="1" applyFont="1" applyFill="1" applyAlignment="1">
      <alignment horizontal="right"/>
    </xf>
    <xf numFmtId="210" fontId="219" fillId="10" borderId="59" xfId="12" applyNumberFormat="1" applyFont="1" applyFill="1" applyBorder="1" applyAlignment="1">
      <alignment horizontal="right"/>
    </xf>
    <xf numFmtId="210" fontId="219" fillId="11" borderId="0" xfId="12" applyNumberFormat="1" applyFont="1" applyFill="1" applyAlignment="1">
      <alignment horizontal="right"/>
    </xf>
    <xf numFmtId="210" fontId="219" fillId="11" borderId="59" xfId="12" applyNumberFormat="1" applyFont="1" applyFill="1" applyBorder="1" applyAlignment="1">
      <alignment horizontal="right"/>
    </xf>
    <xf numFmtId="210" fontId="220" fillId="10" borderId="0" xfId="12" applyNumberFormat="1" applyFont="1" applyFill="1" applyAlignment="1">
      <alignment horizontal="center"/>
    </xf>
    <xf numFmtId="210" fontId="220" fillId="10" borderId="59" xfId="12" applyNumberFormat="1" applyFont="1" applyFill="1" applyBorder="1" applyAlignment="1">
      <alignment horizontal="center"/>
    </xf>
    <xf numFmtId="210" fontId="215" fillId="10" borderId="0" xfId="12" applyNumberFormat="1" applyFont="1" applyFill="1" applyAlignment="1">
      <alignment horizontal="center"/>
    </xf>
    <xf numFmtId="210" fontId="220" fillId="11" borderId="0" xfId="12" applyNumberFormat="1" applyFont="1" applyFill="1" applyAlignment="1">
      <alignment horizontal="center"/>
    </xf>
    <xf numFmtId="210" fontId="220" fillId="11" borderId="59" xfId="12" applyNumberFormat="1" applyFont="1" applyFill="1" applyBorder="1" applyAlignment="1">
      <alignment horizontal="center"/>
    </xf>
    <xf numFmtId="175" fontId="219" fillId="10" borderId="0" xfId="12" applyNumberFormat="1" applyFont="1" applyFill="1" applyAlignment="1">
      <alignment horizontal="left"/>
    </xf>
    <xf numFmtId="175" fontId="220" fillId="10" borderId="0" xfId="12" applyNumberFormat="1" applyFont="1" applyFill="1" applyAlignment="1">
      <alignment horizontal="left" indent="3"/>
    </xf>
    <xf numFmtId="175" fontId="225" fillId="10" borderId="59" xfId="12" applyNumberFormat="1" applyFont="1" applyFill="1" applyBorder="1"/>
    <xf numFmtId="175" fontId="225" fillId="11" borderId="0" xfId="12" applyNumberFormat="1" applyFont="1" applyFill="1"/>
    <xf numFmtId="175" fontId="225" fillId="11" borderId="59" xfId="12" applyNumberFormat="1" applyFont="1" applyFill="1" applyBorder="1"/>
    <xf numFmtId="175" fontId="215" fillId="10" borderId="0" xfId="12" applyNumberFormat="1" applyFont="1" applyFill="1" applyAlignment="1">
      <alignment horizontal="left" indent="3"/>
    </xf>
    <xf numFmtId="175" fontId="220" fillId="10" borderId="1" xfId="12" applyNumberFormat="1" applyFont="1" applyFill="1" applyBorder="1" applyAlignment="1">
      <alignment horizontal="left" indent="3"/>
    </xf>
    <xf numFmtId="175" fontId="219" fillId="11" borderId="60" xfId="12" applyNumberFormat="1" applyFont="1" applyFill="1" applyBorder="1"/>
    <xf numFmtId="175" fontId="219" fillId="10" borderId="4" xfId="12" applyNumberFormat="1" applyFont="1" applyFill="1" applyBorder="1" applyAlignment="1">
      <alignment horizontal="left"/>
    </xf>
    <xf numFmtId="175" fontId="220" fillId="10" borderId="4" xfId="12" applyNumberFormat="1" applyFont="1" applyFill="1" applyBorder="1" applyAlignment="1">
      <alignment horizontal="left" indent="3"/>
    </xf>
    <xf numFmtId="175" fontId="220" fillId="10" borderId="4" xfId="12" applyNumberFormat="1" applyFont="1" applyFill="1" applyBorder="1"/>
    <xf numFmtId="175" fontId="219" fillId="10" borderId="4" xfId="12" applyNumberFormat="1" applyFont="1" applyFill="1" applyBorder="1"/>
    <xf numFmtId="175" fontId="219" fillId="10" borderId="62" xfId="12" applyNumberFormat="1" applyFont="1" applyFill="1" applyBorder="1"/>
    <xf numFmtId="175" fontId="220" fillId="11" borderId="4" xfId="12" applyNumberFormat="1" applyFont="1" applyFill="1" applyBorder="1"/>
    <xf numFmtId="175" fontId="219" fillId="11" borderId="4" xfId="12" applyNumberFormat="1" applyFont="1" applyFill="1" applyBorder="1"/>
    <xf numFmtId="175" fontId="219" fillId="11" borderId="62" xfId="12" applyNumberFormat="1" applyFont="1" applyFill="1" applyBorder="1"/>
    <xf numFmtId="175" fontId="216" fillId="13" borderId="0" xfId="14" applyNumberFormat="1" applyFont="1" applyBorder="1"/>
    <xf numFmtId="175" fontId="216" fillId="13" borderId="0" xfId="14" applyNumberFormat="1" applyFont="1" applyBorder="1" applyAlignment="1">
      <alignment horizontal="right"/>
    </xf>
    <xf numFmtId="175" fontId="216" fillId="13" borderId="59" xfId="14" applyNumberFormat="1" applyFont="1" applyBorder="1" applyAlignment="1">
      <alignment horizontal="right"/>
    </xf>
    <xf numFmtId="175" fontId="219" fillId="10" borderId="59" xfId="12" applyNumberFormat="1" applyFont="1" applyFill="1" applyBorder="1"/>
    <xf numFmtId="175" fontId="219" fillId="11" borderId="0" xfId="12" applyNumberFormat="1" applyFont="1" applyFill="1"/>
    <xf numFmtId="175" fontId="214" fillId="10" borderId="59" xfId="12" applyNumberFormat="1" applyFill="1" applyBorder="1"/>
    <xf numFmtId="175" fontId="214" fillId="11" borderId="0" xfId="12" applyNumberFormat="1" applyFill="1"/>
    <xf numFmtId="175" fontId="214" fillId="11" borderId="59" xfId="12" applyNumberFormat="1" applyFill="1" applyBorder="1"/>
    <xf numFmtId="175" fontId="214" fillId="10" borderId="0" xfId="12" applyNumberFormat="1" applyFill="1" applyAlignment="1">
      <alignment horizontal="left" wrapText="1" indent="1"/>
    </xf>
    <xf numFmtId="175" fontId="228" fillId="10" borderId="15" xfId="12" applyNumberFormat="1" applyFont="1" applyFill="1" applyBorder="1"/>
    <xf numFmtId="175" fontId="214" fillId="10" borderId="15" xfId="12" applyNumberFormat="1" applyFill="1" applyBorder="1" applyAlignment="1">
      <alignment horizontal="left" indent="1"/>
    </xf>
    <xf numFmtId="175" fontId="215" fillId="10" borderId="15" xfId="12" applyNumberFormat="1" applyFont="1" applyFill="1" applyBorder="1" applyAlignment="1">
      <alignment horizontal="left" indent="3"/>
    </xf>
    <xf numFmtId="175" fontId="228" fillId="10" borderId="61" xfId="12" applyNumberFormat="1" applyFont="1" applyFill="1" applyBorder="1"/>
    <xf numFmtId="175" fontId="228" fillId="11" borderId="15" xfId="12" applyNumberFormat="1" applyFont="1" applyFill="1" applyBorder="1"/>
    <xf numFmtId="175" fontId="214" fillId="10" borderId="15" xfId="12" applyNumberFormat="1" applyFill="1" applyBorder="1"/>
    <xf numFmtId="175" fontId="214" fillId="10" borderId="61" xfId="12" applyNumberFormat="1" applyFill="1" applyBorder="1"/>
    <xf numFmtId="175" fontId="214" fillId="11" borderId="15" xfId="12" applyNumberFormat="1" applyFill="1" applyBorder="1"/>
    <xf numFmtId="175" fontId="214" fillId="11" borderId="61" xfId="12" applyNumberFormat="1" applyFill="1" applyBorder="1"/>
    <xf numFmtId="175" fontId="236" fillId="10" borderId="0" xfId="12" applyNumberFormat="1" applyFont="1" applyFill="1" applyAlignment="1">
      <alignment horizontal="left" indent="1"/>
    </xf>
    <xf numFmtId="175" fontId="217" fillId="10" borderId="0" xfId="12" applyNumberFormat="1" applyFont="1" applyFill="1" applyAlignment="1">
      <alignment horizontal="left" indent="3"/>
    </xf>
    <xf numFmtId="175" fontId="217" fillId="10" borderId="0" xfId="12" applyNumberFormat="1" applyFont="1" applyFill="1"/>
    <xf numFmtId="175" fontId="236" fillId="10" borderId="0" xfId="12" applyNumberFormat="1" applyFont="1" applyFill="1"/>
    <xf numFmtId="175" fontId="236" fillId="10" borderId="59" xfId="12" applyNumberFormat="1" applyFont="1" applyFill="1" applyBorder="1"/>
    <xf numFmtId="175" fontId="217" fillId="10" borderId="0" xfId="12" applyNumberFormat="1" applyFont="1" applyFill="1" applyAlignment="1">
      <alignment horizontal="right"/>
    </xf>
    <xf numFmtId="175" fontId="217" fillId="11" borderId="0" xfId="12" applyNumberFormat="1" applyFont="1" applyFill="1"/>
    <xf numFmtId="175" fontId="217" fillId="11" borderId="59" xfId="12" applyNumberFormat="1" applyFont="1" applyFill="1" applyBorder="1"/>
    <xf numFmtId="175" fontId="217" fillId="11" borderId="0" xfId="12" applyNumberFormat="1" applyFont="1" applyFill="1" applyAlignment="1">
      <alignment horizontal="right"/>
    </xf>
    <xf numFmtId="175" fontId="217" fillId="0" borderId="0" xfId="12" applyNumberFormat="1" applyFont="1"/>
    <xf numFmtId="207" fontId="236" fillId="10" borderId="0" xfId="12" applyNumberFormat="1" applyFont="1" applyFill="1" applyAlignment="1">
      <alignment horizontal="left" indent="1"/>
    </xf>
    <xf numFmtId="175" fontId="236" fillId="11" borderId="0" xfId="12" applyNumberFormat="1" applyFont="1" applyFill="1"/>
    <xf numFmtId="175" fontId="230" fillId="10" borderId="0" xfId="12" applyNumberFormat="1" applyFont="1" applyFill="1"/>
    <xf numFmtId="210" fontId="220" fillId="10" borderId="0" xfId="12" applyNumberFormat="1" applyFont="1" applyFill="1"/>
    <xf numFmtId="210" fontId="220" fillId="10" borderId="0" xfId="12" applyNumberFormat="1" applyFont="1" applyFill="1" applyAlignment="1">
      <alignment horizontal="left" indent="3"/>
    </xf>
    <xf numFmtId="210" fontId="220" fillId="10" borderId="59" xfId="12" applyNumberFormat="1" applyFont="1" applyFill="1" applyBorder="1"/>
    <xf numFmtId="210" fontId="225" fillId="10" borderId="0" xfId="12" applyNumberFormat="1" applyFont="1" applyFill="1"/>
    <xf numFmtId="210" fontId="235" fillId="10" borderId="0" xfId="12" applyNumberFormat="1" applyFont="1" applyFill="1"/>
    <xf numFmtId="210" fontId="220" fillId="11" borderId="0" xfId="12" applyNumberFormat="1" applyFont="1" applyFill="1"/>
    <xf numFmtId="210" fontId="220" fillId="11" borderId="59" xfId="12" applyNumberFormat="1" applyFont="1" applyFill="1" applyBorder="1"/>
    <xf numFmtId="210" fontId="225" fillId="11" borderId="0" xfId="12" applyNumberFormat="1" applyFont="1" applyFill="1"/>
    <xf numFmtId="207" fontId="96" fillId="10" borderId="0" xfId="13" applyNumberFormat="1" applyFont="1" applyFill="1" applyBorder="1"/>
    <xf numFmtId="207" fontId="220" fillId="10" borderId="0" xfId="12" applyNumberFormat="1" applyFont="1" applyFill="1" applyAlignment="1">
      <alignment horizontal="left" indent="3"/>
    </xf>
    <xf numFmtId="207" fontId="220" fillId="10" borderId="0" xfId="12" applyNumberFormat="1" applyFont="1" applyFill="1"/>
    <xf numFmtId="207" fontId="220" fillId="10" borderId="59" xfId="12" applyNumberFormat="1" applyFont="1" applyFill="1" applyBorder="1"/>
    <xf numFmtId="207" fontId="220" fillId="11" borderId="0" xfId="12" applyNumberFormat="1" applyFont="1" applyFill="1"/>
    <xf numFmtId="207" fontId="220" fillId="11" borderId="59" xfId="12" applyNumberFormat="1" applyFont="1" applyFill="1" applyBorder="1"/>
    <xf numFmtId="207" fontId="219" fillId="10" borderId="0" xfId="12" applyNumberFormat="1" applyFont="1" applyFill="1"/>
    <xf numFmtId="207" fontId="219" fillId="0" borderId="0" xfId="12" applyNumberFormat="1" applyFont="1"/>
    <xf numFmtId="207" fontId="217" fillId="10" borderId="0" xfId="12" applyNumberFormat="1" applyFont="1" applyFill="1" applyAlignment="1">
      <alignment horizontal="left" indent="3"/>
    </xf>
    <xf numFmtId="207" fontId="217" fillId="10" borderId="0" xfId="12" applyNumberFormat="1" applyFont="1" applyFill="1"/>
    <xf numFmtId="207" fontId="236" fillId="10" borderId="0" xfId="12" applyNumberFormat="1" applyFont="1" applyFill="1"/>
    <xf numFmtId="207" fontId="236" fillId="10" borderId="59" xfId="12" applyNumberFormat="1" applyFont="1" applyFill="1" applyBorder="1"/>
    <xf numFmtId="207" fontId="217" fillId="10" borderId="0" xfId="12" applyNumberFormat="1" applyFont="1" applyFill="1" applyAlignment="1">
      <alignment horizontal="right"/>
    </xf>
    <xf numFmtId="207" fontId="217" fillId="11" borderId="0" xfId="12" applyNumberFormat="1" applyFont="1" applyFill="1"/>
    <xf numFmtId="207" fontId="217" fillId="11" borderId="59" xfId="12" applyNumberFormat="1" applyFont="1" applyFill="1" applyBorder="1"/>
    <xf numFmtId="207" fontId="217" fillId="11" borderId="0" xfId="12" applyNumberFormat="1" applyFont="1" applyFill="1" applyAlignment="1">
      <alignment horizontal="right"/>
    </xf>
    <xf numFmtId="207" fontId="217" fillId="0" borderId="0" xfId="12" applyNumberFormat="1" applyFont="1"/>
    <xf numFmtId="174" fontId="215" fillId="10" borderId="0" xfId="12" applyNumberFormat="1" applyFont="1" applyFill="1"/>
    <xf numFmtId="212" fontId="215" fillId="10" borderId="0" xfId="12" applyNumberFormat="1" applyFont="1" applyFill="1"/>
    <xf numFmtId="212" fontId="215" fillId="10" borderId="59" xfId="12" applyNumberFormat="1" applyFont="1" applyFill="1" applyBorder="1"/>
    <xf numFmtId="212" fontId="215" fillId="11" borderId="0" xfId="12" applyNumberFormat="1" applyFont="1" applyFill="1"/>
    <xf numFmtId="212" fontId="215" fillId="11" borderId="59" xfId="12" applyNumberFormat="1" applyFont="1" applyFill="1" applyBorder="1"/>
    <xf numFmtId="213" fontId="220" fillId="10" borderId="0" xfId="12" applyNumberFormat="1" applyFont="1" applyFill="1"/>
    <xf numFmtId="213" fontId="220" fillId="10" borderId="59" xfId="12" applyNumberFormat="1" applyFont="1" applyFill="1" applyBorder="1"/>
    <xf numFmtId="213" fontId="220" fillId="11" borderId="0" xfId="12" applyNumberFormat="1" applyFont="1" applyFill="1"/>
    <xf numFmtId="213" fontId="220" fillId="11" borderId="59" xfId="12" applyNumberFormat="1" applyFont="1" applyFill="1" applyBorder="1"/>
    <xf numFmtId="174" fontId="215" fillId="10" borderId="0" xfId="12" applyNumberFormat="1" applyFont="1" applyFill="1" applyAlignment="1">
      <alignment horizontal="left"/>
    </xf>
    <xf numFmtId="174" fontId="217" fillId="10" borderId="0" xfId="12" applyNumberFormat="1" applyFont="1" applyFill="1" applyAlignment="1">
      <alignment horizontal="left" indent="1"/>
    </xf>
    <xf numFmtId="174" fontId="217" fillId="10" borderId="15" xfId="12" applyNumberFormat="1" applyFont="1" applyFill="1" applyBorder="1" applyAlignment="1">
      <alignment horizontal="left" indent="1"/>
    </xf>
    <xf numFmtId="175" fontId="217" fillId="10" borderId="15" xfId="12" applyNumberFormat="1" applyFont="1" applyFill="1" applyBorder="1" applyAlignment="1">
      <alignment horizontal="left" indent="3"/>
    </xf>
    <xf numFmtId="210" fontId="217" fillId="10" borderId="15" xfId="12" applyNumberFormat="1" applyFont="1" applyFill="1" applyBorder="1"/>
    <xf numFmtId="210" fontId="217" fillId="10" borderId="61" xfId="12" applyNumberFormat="1" applyFont="1" applyFill="1" applyBorder="1"/>
    <xf numFmtId="210" fontId="217" fillId="11" borderId="15" xfId="12" applyNumberFormat="1" applyFont="1" applyFill="1" applyBorder="1"/>
    <xf numFmtId="210" fontId="217" fillId="11" borderId="61" xfId="12" applyNumberFormat="1" applyFont="1" applyFill="1" applyBorder="1"/>
    <xf numFmtId="174" fontId="217" fillId="10" borderId="0" xfId="12" applyNumberFormat="1" applyFont="1" applyFill="1" applyAlignment="1">
      <alignment horizontal="left"/>
    </xf>
    <xf numFmtId="168" fontId="215" fillId="10" borderId="0" xfId="12" applyNumberFormat="1" applyFont="1" applyFill="1" applyAlignment="1">
      <alignment horizontal="left" indent="3"/>
    </xf>
    <xf numFmtId="168" fontId="215" fillId="10" borderId="0" xfId="12" applyNumberFormat="1" applyFont="1" applyFill="1"/>
    <xf numFmtId="168" fontId="214" fillId="0" borderId="0" xfId="12" applyNumberFormat="1"/>
    <xf numFmtId="168" fontId="217" fillId="10" borderId="0" xfId="12" applyNumberFormat="1" applyFont="1" applyFill="1" applyAlignment="1">
      <alignment horizontal="left" indent="3"/>
    </xf>
    <xf numFmtId="214" fontId="217" fillId="10" borderId="0" xfId="12" applyNumberFormat="1" applyFont="1" applyFill="1"/>
    <xf numFmtId="214" fontId="217" fillId="10" borderId="59" xfId="12" applyNumberFormat="1" applyFont="1" applyFill="1" applyBorder="1"/>
    <xf numFmtId="214" fontId="232" fillId="10" borderId="0" xfId="12" applyNumberFormat="1" applyFont="1" applyFill="1"/>
    <xf numFmtId="214" fontId="233" fillId="10" borderId="0" xfId="12" applyNumberFormat="1" applyFont="1" applyFill="1"/>
    <xf numFmtId="214" fontId="217" fillId="11" borderId="0" xfId="12" applyNumberFormat="1" applyFont="1" applyFill="1"/>
    <xf numFmtId="214" fontId="217" fillId="11" borderId="59" xfId="12" applyNumberFormat="1" applyFont="1" applyFill="1" applyBorder="1"/>
    <xf numFmtId="214" fontId="232" fillId="11" borderId="0" xfId="12" applyNumberFormat="1" applyFont="1" applyFill="1"/>
    <xf numFmtId="168" fontId="215" fillId="10" borderId="59" xfId="12" applyNumberFormat="1" applyFont="1" applyFill="1" applyBorder="1"/>
    <xf numFmtId="168" fontId="215" fillId="11" borderId="0" xfId="12" applyNumberFormat="1" applyFont="1" applyFill="1"/>
    <xf numFmtId="168" fontId="215" fillId="11" borderId="59" xfId="12" applyNumberFormat="1" applyFont="1" applyFill="1" applyBorder="1"/>
    <xf numFmtId="168" fontId="214" fillId="10" borderId="0" xfId="12" applyNumberFormat="1" applyFill="1"/>
    <xf numFmtId="175" fontId="215" fillId="10" borderId="0" xfId="12" applyNumberFormat="1" applyFont="1" applyFill="1" applyAlignment="1">
      <alignment horizontal="left" indent="2"/>
    </xf>
    <xf numFmtId="175" fontId="215" fillId="10" borderId="63" xfId="12" applyNumberFormat="1" applyFont="1" applyFill="1" applyBorder="1" applyAlignment="1">
      <alignment horizontal="left" indent="1"/>
    </xf>
    <xf numFmtId="175" fontId="215" fillId="10" borderId="63" xfId="12" applyNumberFormat="1" applyFont="1" applyFill="1" applyBorder="1" applyAlignment="1">
      <alignment horizontal="left" indent="3"/>
    </xf>
    <xf numFmtId="175" fontId="215" fillId="10" borderId="63" xfId="12" applyNumberFormat="1" applyFont="1" applyFill="1" applyBorder="1"/>
    <xf numFmtId="175" fontId="215" fillId="10" borderId="64" xfId="12" applyNumberFormat="1" applyFont="1" applyFill="1" applyBorder="1"/>
    <xf numFmtId="175" fontId="215" fillId="11" borderId="63" xfId="12" applyNumberFormat="1" applyFont="1" applyFill="1" applyBorder="1"/>
    <xf numFmtId="175" fontId="215" fillId="11" borderId="64" xfId="12" applyNumberFormat="1" applyFont="1" applyFill="1" applyBorder="1"/>
    <xf numFmtId="175" fontId="215" fillId="10" borderId="15" xfId="12" applyNumberFormat="1" applyFont="1" applyFill="1" applyBorder="1" applyAlignment="1">
      <alignment horizontal="left" indent="2"/>
    </xf>
    <xf numFmtId="215" fontId="215" fillId="10" borderId="0" xfId="12" applyNumberFormat="1" applyFont="1" applyFill="1" applyAlignment="1">
      <alignment horizontal="left" indent="1"/>
    </xf>
    <xf numFmtId="216" fontId="215" fillId="10" borderId="0" xfId="12" applyNumberFormat="1" applyFont="1" applyFill="1" applyAlignment="1">
      <alignment horizontal="left" indent="3"/>
    </xf>
    <xf numFmtId="215" fontId="215" fillId="10" borderId="0" xfId="12" applyNumberFormat="1" applyFont="1" applyFill="1"/>
    <xf numFmtId="215" fontId="228" fillId="10" borderId="0" xfId="12" applyNumberFormat="1" applyFont="1" applyFill="1"/>
    <xf numFmtId="215" fontId="215" fillId="10" borderId="59" xfId="12" applyNumberFormat="1" applyFont="1" applyFill="1" applyBorder="1"/>
    <xf numFmtId="215" fontId="215" fillId="11" borderId="0" xfId="12" applyNumberFormat="1" applyFont="1" applyFill="1"/>
    <xf numFmtId="215" fontId="228" fillId="11" borderId="0" xfId="12" applyNumberFormat="1" applyFont="1" applyFill="1"/>
    <xf numFmtId="215" fontId="215" fillId="11" borderId="59" xfId="12" applyNumberFormat="1" applyFont="1" applyFill="1" applyBorder="1"/>
    <xf numFmtId="216" fontId="215" fillId="10" borderId="0" xfId="12" applyNumberFormat="1" applyFont="1" applyFill="1"/>
    <xf numFmtId="215" fontId="215" fillId="10" borderId="0" xfId="12" applyNumberFormat="1" applyFont="1" applyFill="1" applyAlignment="1">
      <alignment horizontal="left" indent="2"/>
    </xf>
    <xf numFmtId="215" fontId="228" fillId="10" borderId="59" xfId="12" applyNumberFormat="1" applyFont="1" applyFill="1" applyBorder="1"/>
    <xf numFmtId="215" fontId="228" fillId="11" borderId="59" xfId="12" applyNumberFormat="1" applyFont="1" applyFill="1" applyBorder="1"/>
    <xf numFmtId="215" fontId="215" fillId="10" borderId="15" xfId="12" applyNumberFormat="1" applyFont="1" applyFill="1" applyBorder="1" applyAlignment="1">
      <alignment horizontal="left" indent="2"/>
    </xf>
    <xf numFmtId="216" fontId="215" fillId="10" borderId="15" xfId="12" applyNumberFormat="1" applyFont="1" applyFill="1" applyBorder="1" applyAlignment="1">
      <alignment horizontal="left" indent="3"/>
    </xf>
    <xf numFmtId="215" fontId="215" fillId="10" borderId="15" xfId="12" applyNumberFormat="1" applyFont="1" applyFill="1" applyBorder="1"/>
    <xf numFmtId="215" fontId="228" fillId="10" borderId="15" xfId="12" applyNumberFormat="1" applyFont="1" applyFill="1" applyBorder="1"/>
    <xf numFmtId="215" fontId="228" fillId="10" borderId="61" xfId="12" applyNumberFormat="1" applyFont="1" applyFill="1" applyBorder="1"/>
    <xf numFmtId="215" fontId="215" fillId="11" borderId="15" xfId="12" applyNumberFormat="1" applyFont="1" applyFill="1" applyBorder="1"/>
    <xf numFmtId="215" fontId="228" fillId="11" borderId="15" xfId="12" applyNumberFormat="1" applyFont="1" applyFill="1" applyBorder="1"/>
    <xf numFmtId="215" fontId="228" fillId="11" borderId="60" xfId="12" applyNumberFormat="1" applyFont="1" applyFill="1" applyBorder="1"/>
    <xf numFmtId="216" fontId="215" fillId="10" borderId="0" xfId="12" applyNumberFormat="1" applyFont="1" applyFill="1" applyAlignment="1">
      <alignment horizontal="left"/>
    </xf>
    <xf numFmtId="216" fontId="215" fillId="10" borderId="59" xfId="12" applyNumberFormat="1" applyFont="1" applyFill="1" applyBorder="1"/>
    <xf numFmtId="216" fontId="215" fillId="11" borderId="0" xfId="12" applyNumberFormat="1" applyFont="1" applyFill="1"/>
    <xf numFmtId="216" fontId="215" fillId="11" borderId="59" xfId="12" applyNumberFormat="1" applyFont="1" applyFill="1" applyBorder="1"/>
    <xf numFmtId="216" fontId="214" fillId="10" borderId="0" xfId="12" applyNumberFormat="1" applyFill="1"/>
    <xf numFmtId="213" fontId="215" fillId="10" borderId="0" xfId="12" applyNumberFormat="1" applyFont="1" applyFill="1" applyAlignment="1">
      <alignment horizontal="left" indent="1"/>
    </xf>
    <xf numFmtId="213" fontId="215" fillId="10" borderId="0" xfId="12" applyNumberFormat="1" applyFont="1" applyFill="1"/>
    <xf numFmtId="213" fontId="215" fillId="10" borderId="59" xfId="12" applyNumberFormat="1" applyFont="1" applyFill="1" applyBorder="1"/>
    <xf numFmtId="213" fontId="215" fillId="11" borderId="0" xfId="12" applyNumberFormat="1" applyFont="1" applyFill="1"/>
    <xf numFmtId="213" fontId="215" fillId="11" borderId="59" xfId="12" applyNumberFormat="1" applyFont="1" applyFill="1" applyBorder="1"/>
    <xf numFmtId="213" fontId="215" fillId="10" borderId="0" xfId="12" applyNumberFormat="1" applyFont="1" applyFill="1" applyAlignment="1">
      <alignment horizontal="left" indent="2"/>
    </xf>
    <xf numFmtId="217" fontId="215" fillId="10" borderId="15" xfId="12" applyNumberFormat="1" applyFont="1" applyFill="1" applyBorder="1" applyAlignment="1">
      <alignment horizontal="left" indent="2"/>
    </xf>
    <xf numFmtId="213" fontId="215" fillId="10" borderId="15" xfId="12" applyNumberFormat="1" applyFont="1" applyFill="1" applyBorder="1"/>
    <xf numFmtId="213" fontId="215" fillId="10" borderId="61" xfId="12" applyNumberFormat="1" applyFont="1" applyFill="1" applyBorder="1"/>
    <xf numFmtId="213" fontId="215" fillId="11" borderId="15" xfId="12" applyNumberFormat="1" applyFont="1" applyFill="1" applyBorder="1"/>
    <xf numFmtId="213" fontId="215" fillId="11" borderId="61" xfId="12" applyNumberFormat="1" applyFont="1" applyFill="1" applyBorder="1"/>
    <xf numFmtId="215" fontId="220" fillId="10" borderId="0" xfId="12" applyNumberFormat="1" applyFont="1" applyFill="1" applyAlignment="1">
      <alignment horizontal="left"/>
    </xf>
    <xf numFmtId="215" fontId="220" fillId="10" borderId="0" xfId="12" applyNumberFormat="1" applyFont="1" applyFill="1"/>
    <xf numFmtId="215" fontId="225" fillId="10" borderId="0" xfId="12" applyNumberFormat="1" applyFont="1" applyFill="1"/>
    <xf numFmtId="215" fontId="225" fillId="10" borderId="59" xfId="12" applyNumberFormat="1" applyFont="1" applyFill="1" applyBorder="1"/>
    <xf numFmtId="215" fontId="220" fillId="11" borderId="0" xfId="12" applyNumberFormat="1" applyFont="1" applyFill="1"/>
    <xf numFmtId="215" fontId="225" fillId="11" borderId="0" xfId="12" applyNumberFormat="1" applyFont="1" applyFill="1"/>
    <xf numFmtId="215" fontId="225" fillId="11" borderId="59" xfId="12" applyNumberFormat="1" applyFont="1" applyFill="1" applyBorder="1"/>
    <xf numFmtId="213" fontId="215" fillId="10" borderId="0" xfId="12" applyNumberFormat="1" applyFont="1" applyFill="1" applyAlignment="1">
      <alignment horizontal="left" indent="3"/>
    </xf>
    <xf numFmtId="213" fontId="228" fillId="10" borderId="0" xfId="12" applyNumberFormat="1" applyFont="1" applyFill="1"/>
    <xf numFmtId="213" fontId="214" fillId="10" borderId="0" xfId="12" applyNumberFormat="1" applyFill="1"/>
    <xf numFmtId="213" fontId="214" fillId="0" borderId="0" xfId="12" applyNumberFormat="1"/>
    <xf numFmtId="213" fontId="228" fillId="10" borderId="59" xfId="12" applyNumberFormat="1" applyFont="1" applyFill="1" applyBorder="1"/>
    <xf numFmtId="213" fontId="228" fillId="11" borderId="0" xfId="12" applyNumberFormat="1" applyFont="1" applyFill="1"/>
    <xf numFmtId="213" fontId="228" fillId="11" borderId="59" xfId="12" applyNumberFormat="1" applyFont="1" applyFill="1" applyBorder="1"/>
    <xf numFmtId="213" fontId="215" fillId="10" borderId="15" xfId="12" applyNumberFormat="1" applyFont="1" applyFill="1" applyBorder="1" applyAlignment="1">
      <alignment horizontal="left" indent="2"/>
    </xf>
    <xf numFmtId="213" fontId="215" fillId="10" borderId="15" xfId="12" applyNumberFormat="1" applyFont="1" applyFill="1" applyBorder="1" applyAlignment="1">
      <alignment horizontal="left" indent="3"/>
    </xf>
    <xf numFmtId="213" fontId="228" fillId="10" borderId="15" xfId="12" applyNumberFormat="1" applyFont="1" applyFill="1" applyBorder="1"/>
    <xf numFmtId="213" fontId="228" fillId="11" borderId="15" xfId="12" applyNumberFormat="1" applyFont="1" applyFill="1" applyBorder="1"/>
    <xf numFmtId="213" fontId="220" fillId="10" borderId="0" xfId="12" applyNumberFormat="1" applyFont="1" applyFill="1" applyAlignment="1">
      <alignment horizontal="left"/>
    </xf>
    <xf numFmtId="213" fontId="220" fillId="10" borderId="0" xfId="12" applyNumberFormat="1" applyFont="1" applyFill="1" applyAlignment="1">
      <alignment horizontal="left" indent="3"/>
    </xf>
    <xf numFmtId="213" fontId="225" fillId="10" borderId="0" xfId="12" applyNumberFormat="1" applyFont="1" applyFill="1"/>
    <xf numFmtId="213" fontId="225" fillId="10" borderId="59" xfId="12" applyNumberFormat="1" applyFont="1" applyFill="1" applyBorder="1"/>
    <xf numFmtId="213" fontId="225" fillId="11" borderId="0" xfId="12" applyNumberFormat="1" applyFont="1" applyFill="1"/>
    <xf numFmtId="213" fontId="225" fillId="11" borderId="59" xfId="12" applyNumberFormat="1" applyFont="1" applyFill="1" applyBorder="1"/>
    <xf numFmtId="213" fontId="219" fillId="10" borderId="0" xfId="12" applyNumberFormat="1" applyFont="1" applyFill="1"/>
    <xf numFmtId="213" fontId="219" fillId="0" borderId="0" xfId="12" applyNumberFormat="1" applyFont="1"/>
    <xf numFmtId="213" fontId="228" fillId="10" borderId="61" xfId="12" applyNumberFormat="1" applyFont="1" applyFill="1" applyBorder="1"/>
    <xf numFmtId="213" fontId="228" fillId="11" borderId="60" xfId="12" applyNumberFormat="1" applyFont="1" applyFill="1" applyBorder="1"/>
    <xf numFmtId="168" fontId="219" fillId="0" borderId="0" xfId="12" applyNumberFormat="1" applyFont="1"/>
    <xf numFmtId="213" fontId="215" fillId="10" borderId="15" xfId="12" applyNumberFormat="1" applyFont="1" applyFill="1" applyBorder="1" applyAlignment="1">
      <alignment horizontal="left" indent="1"/>
    </xf>
    <xf numFmtId="216" fontId="220" fillId="10" borderId="0" xfId="12" applyNumberFormat="1" applyFont="1" applyFill="1" applyAlignment="1">
      <alignment horizontal="left" indent="3"/>
    </xf>
    <xf numFmtId="215" fontId="215" fillId="10" borderId="0" xfId="12" applyNumberFormat="1" applyFont="1" applyFill="1" applyAlignment="1">
      <alignment horizontal="left"/>
    </xf>
    <xf numFmtId="216" fontId="215" fillId="10" borderId="15" xfId="12" applyNumberFormat="1" applyFont="1" applyFill="1" applyBorder="1"/>
    <xf numFmtId="216" fontId="228" fillId="10" borderId="15" xfId="12" applyNumberFormat="1" applyFont="1" applyFill="1" applyBorder="1"/>
    <xf numFmtId="216" fontId="228" fillId="10" borderId="61" xfId="12" applyNumberFormat="1" applyFont="1" applyFill="1" applyBorder="1"/>
    <xf numFmtId="216" fontId="215" fillId="11" borderId="15" xfId="12" applyNumberFormat="1" applyFont="1" applyFill="1" applyBorder="1"/>
    <xf numFmtId="216" fontId="228" fillId="11" borderId="15" xfId="12" applyNumberFormat="1" applyFont="1" applyFill="1" applyBorder="1"/>
    <xf numFmtId="216" fontId="228" fillId="11" borderId="61" xfId="12" applyNumberFormat="1" applyFont="1" applyFill="1" applyBorder="1"/>
    <xf numFmtId="175" fontId="220" fillId="10" borderId="63" xfId="12" applyNumberFormat="1" applyFont="1" applyFill="1" applyBorder="1" applyAlignment="1">
      <alignment horizontal="left"/>
    </xf>
    <xf numFmtId="216" fontId="220" fillId="10" borderId="63" xfId="12" applyNumberFormat="1" applyFont="1" applyFill="1" applyBorder="1" applyAlignment="1">
      <alignment horizontal="left" indent="3"/>
    </xf>
    <xf numFmtId="175" fontId="220" fillId="10" borderId="63" xfId="12" applyNumberFormat="1" applyFont="1" applyFill="1" applyBorder="1"/>
    <xf numFmtId="175" fontId="220" fillId="10" borderId="64" xfId="12" applyNumberFormat="1" applyFont="1" applyFill="1" applyBorder="1"/>
    <xf numFmtId="175" fontId="220" fillId="11" borderId="63" xfId="12" applyNumberFormat="1" applyFont="1" applyFill="1" applyBorder="1"/>
    <xf numFmtId="175" fontId="220" fillId="11" borderId="64" xfId="12" applyNumberFormat="1" applyFont="1" applyFill="1" applyBorder="1"/>
    <xf numFmtId="218" fontId="215" fillId="10" borderId="0" xfId="12" applyNumberFormat="1" applyFont="1" applyFill="1"/>
    <xf numFmtId="218" fontId="228" fillId="10" borderId="0" xfId="12" applyNumberFormat="1" applyFont="1" applyFill="1"/>
    <xf numFmtId="218" fontId="228" fillId="10" borderId="59" xfId="12" applyNumberFormat="1" applyFont="1" applyFill="1" applyBorder="1"/>
    <xf numFmtId="218" fontId="215" fillId="11" borderId="0" xfId="12" applyNumberFormat="1" applyFont="1" applyFill="1"/>
    <xf numFmtId="218" fontId="228" fillId="11" borderId="0" xfId="12" applyNumberFormat="1" applyFont="1" applyFill="1"/>
    <xf numFmtId="218" fontId="228" fillId="11" borderId="59" xfId="12" applyNumberFormat="1" applyFont="1" applyFill="1" applyBorder="1"/>
    <xf numFmtId="168" fontId="220" fillId="10" borderId="0" xfId="12" applyNumberFormat="1" applyFont="1" applyFill="1" applyAlignment="1">
      <alignment horizontal="left" indent="3"/>
    </xf>
    <xf numFmtId="175" fontId="215" fillId="10" borderId="65" xfId="12" applyNumberFormat="1" applyFont="1" applyFill="1" applyBorder="1" applyAlignment="1">
      <alignment horizontal="left" indent="1"/>
    </xf>
    <xf numFmtId="175" fontId="215" fillId="10" borderId="65" xfId="12" applyNumberFormat="1" applyFont="1" applyFill="1" applyBorder="1" applyAlignment="1">
      <alignment horizontal="left" indent="3"/>
    </xf>
    <xf numFmtId="175" fontId="215" fillId="10" borderId="65" xfId="12" applyNumberFormat="1" applyFont="1" applyFill="1" applyBorder="1"/>
    <xf numFmtId="175" fontId="215" fillId="10" borderId="66" xfId="12" applyNumberFormat="1" applyFont="1" applyFill="1" applyBorder="1"/>
    <xf numFmtId="175" fontId="215" fillId="11" borderId="65" xfId="12" applyNumberFormat="1" applyFont="1" applyFill="1" applyBorder="1"/>
    <xf numFmtId="175" fontId="215" fillId="11" borderId="66" xfId="12" applyNumberFormat="1" applyFont="1" applyFill="1" applyBorder="1"/>
    <xf numFmtId="175" fontId="220" fillId="10" borderId="63" xfId="12" applyNumberFormat="1" applyFont="1" applyFill="1" applyBorder="1" applyAlignment="1">
      <alignment horizontal="left" indent="3"/>
    </xf>
    <xf numFmtId="207" fontId="220" fillId="10" borderId="0" xfId="13" applyNumberFormat="1" applyFont="1" applyFill="1" applyBorder="1"/>
    <xf numFmtId="207" fontId="220" fillId="10" borderId="59" xfId="13" applyNumberFormat="1" applyFont="1" applyFill="1" applyBorder="1"/>
    <xf numFmtId="207" fontId="220" fillId="10" borderId="0" xfId="13" applyNumberFormat="1" applyFont="1" applyFill="1"/>
    <xf numFmtId="207" fontId="220" fillId="11" borderId="0" xfId="13" applyNumberFormat="1" applyFont="1" applyFill="1" applyBorder="1" applyAlignment="1">
      <alignment horizontal="right" indent="1"/>
    </xf>
    <xf numFmtId="207" fontId="220" fillId="11" borderId="0" xfId="13" applyNumberFormat="1" applyFont="1" applyFill="1" applyBorder="1"/>
    <xf numFmtId="207" fontId="220" fillId="11" borderId="59" xfId="13" applyNumberFormat="1" applyFont="1" applyFill="1" applyBorder="1"/>
    <xf numFmtId="207" fontId="236" fillId="10" borderId="0" xfId="13" applyNumberFormat="1" applyFont="1" applyFill="1" applyBorder="1"/>
    <xf numFmtId="207" fontId="236" fillId="10" borderId="59" xfId="13" applyNumberFormat="1" applyFont="1" applyFill="1" applyBorder="1"/>
    <xf numFmtId="175" fontId="96" fillId="10" borderId="0" xfId="12" applyNumberFormat="1" applyFont="1" applyFill="1"/>
    <xf numFmtId="175" fontId="235" fillId="10" borderId="0" xfId="12" applyNumberFormat="1" applyFont="1" applyFill="1"/>
    <xf numFmtId="219" fontId="21" fillId="10" borderId="0" xfId="13" applyNumberFormat="1" applyFont="1" applyFill="1" applyBorder="1"/>
    <xf numFmtId="219" fontId="215" fillId="10" borderId="0" xfId="12" applyNumberFormat="1" applyFont="1" applyFill="1" applyAlignment="1">
      <alignment horizontal="left" indent="3"/>
    </xf>
    <xf numFmtId="219" fontId="215" fillId="10" borderId="0" xfId="12" applyNumberFormat="1" applyFont="1" applyFill="1"/>
    <xf numFmtId="219" fontId="228" fillId="10" borderId="0" xfId="12" applyNumberFormat="1" applyFont="1" applyFill="1"/>
    <xf numFmtId="219" fontId="228" fillId="10" borderId="59" xfId="12" applyNumberFormat="1" applyFont="1" applyFill="1" applyBorder="1"/>
    <xf numFmtId="219" fontId="230" fillId="10" borderId="0" xfId="12" applyNumberFormat="1" applyFont="1" applyFill="1"/>
    <xf numFmtId="219" fontId="215" fillId="11" borderId="0" xfId="12" applyNumberFormat="1" applyFont="1" applyFill="1"/>
    <xf numFmtId="219" fontId="214" fillId="11" borderId="0" xfId="12" applyNumberFormat="1" applyFill="1"/>
    <xf numFmtId="219" fontId="214" fillId="11" borderId="59" xfId="12" applyNumberFormat="1" applyFill="1" applyBorder="1"/>
    <xf numFmtId="219" fontId="228" fillId="11" borderId="0" xfId="12" applyNumberFormat="1" applyFont="1" applyFill="1"/>
    <xf numFmtId="219" fontId="214" fillId="10" borderId="0" xfId="12" applyNumberFormat="1" applyFill="1"/>
    <xf numFmtId="219" fontId="214" fillId="0" borderId="0" xfId="12" applyNumberFormat="1"/>
    <xf numFmtId="219" fontId="216" fillId="10" borderId="0" xfId="13" applyNumberFormat="1" applyFont="1" applyFill="1" applyBorder="1"/>
    <xf numFmtId="219" fontId="215" fillId="10" borderId="59" xfId="12" applyNumberFormat="1" applyFont="1" applyFill="1" applyBorder="1"/>
    <xf numFmtId="219" fontId="215" fillId="11" borderId="59" xfId="12" applyNumberFormat="1" applyFont="1" applyFill="1" applyBorder="1"/>
    <xf numFmtId="175" fontId="216" fillId="10" borderId="0" xfId="13" applyNumberFormat="1" applyFont="1" applyFill="1"/>
    <xf numFmtId="207" fontId="218" fillId="10" borderId="0" xfId="13" applyNumberFormat="1" applyFont="1" applyFill="1" applyBorder="1"/>
    <xf numFmtId="207" fontId="215" fillId="10" borderId="0" xfId="12" applyNumberFormat="1" applyFont="1" applyFill="1" applyAlignment="1">
      <alignment horizontal="left" indent="3"/>
    </xf>
    <xf numFmtId="207" fontId="225" fillId="10" borderId="0" xfId="12" applyNumberFormat="1" applyFont="1" applyFill="1"/>
    <xf numFmtId="207" fontId="235" fillId="10" borderId="0" xfId="12" applyNumberFormat="1" applyFont="1" applyFill="1"/>
    <xf numFmtId="207" fontId="225" fillId="11" borderId="0" xfId="12" applyNumberFormat="1" applyFont="1" applyFill="1"/>
    <xf numFmtId="207" fontId="214" fillId="10" borderId="0" xfId="12" applyNumberFormat="1" applyFill="1"/>
    <xf numFmtId="207" fontId="214" fillId="0" borderId="0" xfId="12" applyNumberFormat="1"/>
    <xf numFmtId="175" fontId="214" fillId="10" borderId="1" xfId="12" applyNumberFormat="1" applyFill="1" applyBorder="1"/>
    <xf numFmtId="175" fontId="215" fillId="10" borderId="1" xfId="12" applyNumberFormat="1" applyFont="1" applyFill="1" applyBorder="1" applyAlignment="1">
      <alignment horizontal="left" indent="3"/>
    </xf>
    <xf numFmtId="175" fontId="215" fillId="10" borderId="1" xfId="12" applyNumberFormat="1" applyFont="1" applyFill="1" applyBorder="1"/>
    <xf numFmtId="175" fontId="214" fillId="10" borderId="60" xfId="12" applyNumberFormat="1" applyFill="1" applyBorder="1"/>
    <xf numFmtId="175" fontId="215" fillId="11" borderId="1" xfId="12" applyNumberFormat="1" applyFont="1" applyFill="1" applyBorder="1"/>
    <xf numFmtId="175" fontId="214" fillId="11" borderId="1" xfId="12" applyNumberFormat="1" applyFill="1" applyBorder="1"/>
    <xf numFmtId="175" fontId="214" fillId="11" borderId="60" xfId="12" applyNumberFormat="1" applyFill="1" applyBorder="1"/>
    <xf numFmtId="175" fontId="215" fillId="10" borderId="0" xfId="12" applyNumberFormat="1" applyFont="1" applyFill="1" applyAlignment="1">
      <alignment horizontal="right"/>
    </xf>
    <xf numFmtId="175" fontId="214" fillId="10" borderId="0" xfId="12" applyNumberFormat="1" applyFill="1" applyAlignment="1">
      <alignment horizontal="right"/>
    </xf>
    <xf numFmtId="175" fontId="214" fillId="10" borderId="59" xfId="12" applyNumberFormat="1" applyFill="1" applyBorder="1" applyAlignment="1">
      <alignment horizontal="right"/>
    </xf>
    <xf numFmtId="175" fontId="215" fillId="11" borderId="0" xfId="12" applyNumberFormat="1" applyFont="1" applyFill="1" applyAlignment="1">
      <alignment horizontal="right"/>
    </xf>
    <xf numFmtId="175" fontId="214" fillId="11" borderId="0" xfId="12" applyNumberFormat="1" applyFill="1" applyAlignment="1">
      <alignment horizontal="right"/>
    </xf>
    <xf numFmtId="175" fontId="214" fillId="11" borderId="59" xfId="12" applyNumberFormat="1" applyFill="1" applyBorder="1" applyAlignment="1">
      <alignment horizontal="right"/>
    </xf>
    <xf numFmtId="175" fontId="215" fillId="10" borderId="59" xfId="12" applyNumberFormat="1" applyFont="1" applyFill="1" applyBorder="1" applyAlignment="1">
      <alignment horizontal="right"/>
    </xf>
    <xf numFmtId="175" fontId="215" fillId="11" borderId="59" xfId="12" applyNumberFormat="1" applyFont="1" applyFill="1" applyBorder="1" applyAlignment="1">
      <alignment horizontal="right"/>
    </xf>
    <xf numFmtId="217" fontId="220" fillId="10" borderId="0" xfId="12" applyNumberFormat="1" applyFont="1" applyFill="1" applyAlignment="1">
      <alignment horizontal="right"/>
    </xf>
    <xf numFmtId="217" fontId="220" fillId="10" borderId="59" xfId="12" applyNumberFormat="1" applyFont="1" applyFill="1" applyBorder="1" applyAlignment="1">
      <alignment horizontal="right"/>
    </xf>
    <xf numFmtId="217" fontId="220" fillId="11" borderId="0" xfId="12" applyNumberFormat="1" applyFont="1" applyFill="1" applyAlignment="1">
      <alignment horizontal="right"/>
    </xf>
    <xf numFmtId="217" fontId="220" fillId="11" borderId="59" xfId="12" applyNumberFormat="1" applyFont="1" applyFill="1" applyBorder="1" applyAlignment="1">
      <alignment horizontal="right"/>
    </xf>
    <xf numFmtId="217" fontId="96" fillId="10" borderId="0" xfId="12" applyNumberFormat="1" applyFont="1" applyFill="1"/>
    <xf numFmtId="217" fontId="220" fillId="10" borderId="0" xfId="12" applyNumberFormat="1" applyFont="1" applyFill="1" applyAlignment="1">
      <alignment horizontal="left" indent="3"/>
    </xf>
    <xf numFmtId="217" fontId="220" fillId="10" borderId="0" xfId="12" applyNumberFormat="1" applyFont="1" applyFill="1"/>
    <xf numFmtId="217" fontId="220" fillId="10" borderId="59" xfId="12" applyNumberFormat="1" applyFont="1" applyFill="1" applyBorder="1"/>
    <xf numFmtId="217" fontId="219" fillId="11" borderId="0" xfId="12" applyNumberFormat="1" applyFont="1" applyFill="1" applyAlignment="1">
      <alignment horizontal="right"/>
    </xf>
    <xf numFmtId="217" fontId="219" fillId="11" borderId="59" xfId="12" applyNumberFormat="1" applyFont="1" applyFill="1" applyBorder="1" applyAlignment="1">
      <alignment horizontal="right"/>
    </xf>
    <xf numFmtId="217" fontId="219" fillId="10" borderId="0" xfId="12" applyNumberFormat="1" applyFont="1" applyFill="1"/>
    <xf numFmtId="217" fontId="219" fillId="0" borderId="0" xfId="12" applyNumberFormat="1" applyFont="1"/>
    <xf numFmtId="0" fontId="215" fillId="10" borderId="0" xfId="12" applyFont="1" applyFill="1" applyAlignment="1">
      <alignment horizontal="left" indent="3"/>
    </xf>
    <xf numFmtId="174" fontId="215" fillId="10" borderId="59" xfId="12" applyNumberFormat="1" applyFont="1" applyFill="1" applyBorder="1"/>
    <xf numFmtId="174" fontId="215" fillId="11" borderId="0" xfId="12" applyNumberFormat="1" applyFont="1" applyFill="1"/>
    <xf numFmtId="174" fontId="215" fillId="11" borderId="59" xfId="12" applyNumberFormat="1" applyFont="1" applyFill="1" applyBorder="1"/>
    <xf numFmtId="220" fontId="219" fillId="10" borderId="0" xfId="12" applyNumberFormat="1" applyFont="1" applyFill="1" applyAlignment="1">
      <alignment horizontal="left"/>
    </xf>
    <xf numFmtId="216" fontId="225" fillId="10" borderId="0" xfId="12" applyNumberFormat="1" applyFont="1" applyFill="1" applyAlignment="1">
      <alignment horizontal="left"/>
    </xf>
    <xf numFmtId="216" fontId="220" fillId="10" borderId="0" xfId="12" applyNumberFormat="1" applyFont="1" applyFill="1" applyAlignment="1">
      <alignment horizontal="right"/>
    </xf>
    <xf numFmtId="216" fontId="220" fillId="10" borderId="59" xfId="12" applyNumberFormat="1" applyFont="1" applyFill="1" applyBorder="1" applyAlignment="1">
      <alignment horizontal="right"/>
    </xf>
    <xf numFmtId="216" fontId="220" fillId="11" borderId="0" xfId="12" applyNumberFormat="1" applyFont="1" applyFill="1" applyAlignment="1">
      <alignment horizontal="right"/>
    </xf>
    <xf numFmtId="216" fontId="220" fillId="11" borderId="59" xfId="12" applyNumberFormat="1" applyFont="1" applyFill="1" applyBorder="1" applyAlignment="1">
      <alignment horizontal="right"/>
    </xf>
    <xf numFmtId="216" fontId="220" fillId="11" borderId="0" xfId="12" applyNumberFormat="1" applyFont="1" applyFill="1"/>
    <xf numFmtId="216" fontId="219" fillId="10" borderId="0" xfId="12" applyNumberFormat="1" applyFont="1" applyFill="1"/>
    <xf numFmtId="216" fontId="219" fillId="0" borderId="0" xfId="12" applyNumberFormat="1" applyFont="1"/>
    <xf numFmtId="217" fontId="216" fillId="10" borderId="0" xfId="12" applyNumberFormat="1" applyFont="1" applyFill="1"/>
    <xf numFmtId="217" fontId="215" fillId="10" borderId="0" xfId="12" applyNumberFormat="1" applyFont="1" applyFill="1" applyAlignment="1">
      <alignment horizontal="left" indent="3"/>
    </xf>
    <xf numFmtId="217" fontId="215" fillId="10" borderId="0" xfId="12" applyNumberFormat="1" applyFont="1" applyFill="1" applyAlignment="1">
      <alignment horizontal="right"/>
    </xf>
    <xf numFmtId="217" fontId="215" fillId="10" borderId="0" xfId="12" applyNumberFormat="1" applyFont="1" applyFill="1"/>
    <xf numFmtId="217" fontId="215" fillId="10" borderId="59" xfId="12" applyNumberFormat="1" applyFont="1" applyFill="1" applyBorder="1"/>
    <xf numFmtId="217" fontId="215" fillId="11" borderId="0" xfId="12" applyNumberFormat="1" applyFont="1" applyFill="1" applyAlignment="1">
      <alignment horizontal="right"/>
    </xf>
    <xf numFmtId="217" fontId="215" fillId="11" borderId="59" xfId="12" applyNumberFormat="1" applyFont="1" applyFill="1" applyBorder="1" applyAlignment="1">
      <alignment horizontal="right"/>
    </xf>
    <xf numFmtId="217" fontId="214" fillId="10" borderId="0" xfId="12" applyNumberFormat="1" applyFill="1"/>
    <xf numFmtId="217" fontId="214" fillId="0" borderId="0" xfId="12" applyNumberFormat="1"/>
    <xf numFmtId="217" fontId="21" fillId="10" borderId="0" xfId="12" applyNumberFormat="1" applyFont="1" applyFill="1"/>
    <xf numFmtId="210" fontId="215" fillId="10" borderId="0" xfId="12" applyNumberFormat="1" applyFont="1" applyFill="1" applyAlignment="1">
      <alignment horizontal="left"/>
    </xf>
    <xf numFmtId="216" fontId="214" fillId="10" borderId="0" xfId="12" applyNumberFormat="1" applyFill="1" applyAlignment="1">
      <alignment horizontal="left" indent="1"/>
    </xf>
    <xf numFmtId="216" fontId="216" fillId="10" borderId="0" xfId="13" applyNumberFormat="1" applyFont="1" applyFill="1" applyBorder="1"/>
    <xf numFmtId="216" fontId="215" fillId="10" borderId="0" xfId="12" applyNumberFormat="1" applyFont="1" applyFill="1" applyAlignment="1">
      <alignment horizontal="right"/>
    </xf>
    <xf numFmtId="216" fontId="215" fillId="10" borderId="59" xfId="12" applyNumberFormat="1" applyFont="1" applyFill="1" applyBorder="1" applyAlignment="1">
      <alignment horizontal="right"/>
    </xf>
    <xf numFmtId="216" fontId="215" fillId="11" borderId="0" xfId="12" applyNumberFormat="1" applyFont="1" applyFill="1" applyAlignment="1">
      <alignment horizontal="right"/>
    </xf>
    <xf numFmtId="216" fontId="215" fillId="11" borderId="59" xfId="12" applyNumberFormat="1" applyFont="1" applyFill="1" applyBorder="1" applyAlignment="1">
      <alignment horizontal="right"/>
    </xf>
    <xf numFmtId="216" fontId="214" fillId="0" borderId="0" xfId="12" applyNumberFormat="1"/>
    <xf numFmtId="221" fontId="215" fillId="10" borderId="0" xfId="12" applyNumberFormat="1" applyFont="1" applyFill="1" applyAlignment="1">
      <alignment horizontal="right"/>
    </xf>
    <xf numFmtId="221" fontId="215" fillId="10" borderId="59" xfId="12" applyNumberFormat="1" applyFont="1" applyFill="1" applyBorder="1" applyAlignment="1">
      <alignment horizontal="right"/>
    </xf>
    <xf numFmtId="221" fontId="215" fillId="11" borderId="0" xfId="12" applyNumberFormat="1" applyFont="1" applyFill="1" applyAlignment="1">
      <alignment horizontal="right"/>
    </xf>
    <xf numFmtId="221" fontId="215" fillId="11" borderId="59" xfId="12" applyNumberFormat="1" applyFont="1" applyFill="1" applyBorder="1" applyAlignment="1">
      <alignment horizontal="right"/>
    </xf>
    <xf numFmtId="221" fontId="215" fillId="11" borderId="0" xfId="12" applyNumberFormat="1" applyFont="1" applyFill="1"/>
    <xf numFmtId="196" fontId="214" fillId="10" borderId="0" xfId="12" applyNumberFormat="1" applyFill="1" applyAlignment="1">
      <alignment horizontal="left" indent="1"/>
    </xf>
    <xf numFmtId="196" fontId="216" fillId="10" borderId="0" xfId="13" applyNumberFormat="1" applyFont="1" applyFill="1" applyBorder="1"/>
    <xf numFmtId="196" fontId="215" fillId="10" borderId="0" xfId="12" applyNumberFormat="1" applyFont="1" applyFill="1" applyAlignment="1">
      <alignment horizontal="right"/>
    </xf>
    <xf numFmtId="196" fontId="215" fillId="10" borderId="59" xfId="12" applyNumberFormat="1" applyFont="1" applyFill="1" applyBorder="1" applyAlignment="1">
      <alignment horizontal="right"/>
    </xf>
    <xf numFmtId="196" fontId="215" fillId="11" borderId="0" xfId="12" applyNumberFormat="1" applyFont="1" applyFill="1" applyAlignment="1">
      <alignment horizontal="right"/>
    </xf>
    <xf numFmtId="196" fontId="215" fillId="11" borderId="59" xfId="12" applyNumberFormat="1" applyFont="1" applyFill="1" applyBorder="1" applyAlignment="1">
      <alignment horizontal="right"/>
    </xf>
    <xf numFmtId="196" fontId="215" fillId="11" borderId="0" xfId="12" applyNumberFormat="1" applyFont="1" applyFill="1"/>
    <xf numFmtId="196" fontId="214" fillId="10" borderId="0" xfId="12" applyNumberFormat="1" applyFill="1"/>
    <xf numFmtId="196" fontId="214" fillId="0" borderId="0" xfId="12" applyNumberFormat="1"/>
    <xf numFmtId="175" fontId="219" fillId="10" borderId="0" xfId="12" applyNumberFormat="1" applyFont="1" applyFill="1" applyAlignment="1">
      <alignment horizontal="left" indent="1"/>
    </xf>
    <xf numFmtId="175" fontId="214" fillId="10" borderId="0" xfId="12" applyNumberFormat="1" applyFill="1" applyAlignment="1">
      <alignment horizontal="left" indent="2"/>
    </xf>
    <xf numFmtId="175" fontId="226" fillId="12" borderId="0" xfId="12" applyNumberFormat="1" applyFont="1" applyFill="1" applyAlignment="1">
      <alignment horizontal="left" indent="3"/>
    </xf>
    <xf numFmtId="175" fontId="226" fillId="12" borderId="0" xfId="12" applyNumberFormat="1" applyFont="1" applyFill="1" applyAlignment="1">
      <alignment horizontal="right"/>
    </xf>
    <xf numFmtId="175" fontId="226" fillId="12" borderId="59" xfId="12" applyNumberFormat="1" applyFont="1" applyFill="1" applyBorder="1" applyAlignment="1">
      <alignment horizontal="right"/>
    </xf>
    <xf numFmtId="175" fontId="220" fillId="10" borderId="0" xfId="12" applyNumberFormat="1" applyFont="1" applyFill="1" applyAlignment="1">
      <alignment horizontal="right"/>
    </xf>
    <xf numFmtId="175" fontId="219" fillId="10" borderId="0" xfId="12" applyNumberFormat="1" applyFont="1" applyFill="1" applyAlignment="1">
      <alignment horizontal="right"/>
    </xf>
    <xf numFmtId="175" fontId="220" fillId="10" borderId="59" xfId="12" applyNumberFormat="1" applyFont="1" applyFill="1" applyBorder="1" applyAlignment="1">
      <alignment horizontal="right"/>
    </xf>
    <xf numFmtId="175" fontId="220" fillId="11" borderId="0" xfId="12" applyNumberFormat="1" applyFont="1" applyFill="1" applyAlignment="1">
      <alignment horizontal="right"/>
    </xf>
    <xf numFmtId="175" fontId="219" fillId="11" borderId="0" xfId="12" applyNumberFormat="1" applyFont="1" applyFill="1" applyAlignment="1">
      <alignment horizontal="right"/>
    </xf>
    <xf numFmtId="175" fontId="219" fillId="11" borderId="59" xfId="12" applyNumberFormat="1" applyFont="1" applyFill="1" applyBorder="1" applyAlignment="1">
      <alignment horizontal="right"/>
    </xf>
    <xf numFmtId="175" fontId="219" fillId="10" borderId="63" xfId="12" applyNumberFormat="1" applyFont="1" applyFill="1" applyBorder="1"/>
    <xf numFmtId="175" fontId="220" fillId="10" borderId="63" xfId="12" applyNumberFormat="1" applyFont="1" applyFill="1" applyBorder="1" applyAlignment="1">
      <alignment horizontal="right"/>
    </xf>
    <xf numFmtId="175" fontId="219" fillId="10" borderId="63" xfId="12" applyNumberFormat="1" applyFont="1" applyFill="1" applyBorder="1" applyAlignment="1">
      <alignment horizontal="right"/>
    </xf>
    <xf numFmtId="175" fontId="219" fillId="10" borderId="64" xfId="12" applyNumberFormat="1" applyFont="1" applyFill="1" applyBorder="1" applyAlignment="1">
      <alignment horizontal="right"/>
    </xf>
    <xf numFmtId="175" fontId="220" fillId="11" borderId="63" xfId="12" applyNumberFormat="1" applyFont="1" applyFill="1" applyBorder="1" applyAlignment="1">
      <alignment horizontal="right"/>
    </xf>
    <xf numFmtId="175" fontId="219" fillId="11" borderId="63" xfId="12" applyNumberFormat="1" applyFont="1" applyFill="1" applyBorder="1" applyAlignment="1">
      <alignment horizontal="right"/>
    </xf>
    <xf numFmtId="175" fontId="219" fillId="11" borderId="64" xfId="12" applyNumberFormat="1" applyFont="1" applyFill="1" applyBorder="1" applyAlignment="1">
      <alignment horizontal="right"/>
    </xf>
    <xf numFmtId="175" fontId="231" fillId="10" borderId="0" xfId="12" applyNumberFormat="1" applyFont="1" applyFill="1"/>
    <xf numFmtId="210" fontId="231" fillId="10" borderId="0" xfId="12" applyNumberFormat="1" applyFont="1" applyFill="1" applyAlignment="1">
      <alignment horizontal="right"/>
    </xf>
    <xf numFmtId="210" fontId="217" fillId="10" borderId="59" xfId="12" applyNumberFormat="1" applyFont="1" applyFill="1" applyBorder="1" applyAlignment="1">
      <alignment horizontal="right"/>
    </xf>
    <xf numFmtId="210" fontId="232" fillId="10" borderId="0" xfId="12" applyNumberFormat="1" applyFont="1" applyFill="1" applyAlignment="1">
      <alignment horizontal="right"/>
    </xf>
    <xf numFmtId="210" fontId="233" fillId="10" borderId="0" xfId="12" applyNumberFormat="1" applyFont="1" applyFill="1" applyAlignment="1">
      <alignment horizontal="right"/>
    </xf>
    <xf numFmtId="210" fontId="231" fillId="11" borderId="0" xfId="12" applyNumberFormat="1" applyFont="1" applyFill="1" applyAlignment="1">
      <alignment horizontal="right"/>
    </xf>
    <xf numFmtId="210" fontId="231" fillId="11" borderId="59" xfId="12" applyNumberFormat="1" applyFont="1" applyFill="1" applyBorder="1" applyAlignment="1">
      <alignment horizontal="right"/>
    </xf>
    <xf numFmtId="210" fontId="232" fillId="11" borderId="0" xfId="12" applyNumberFormat="1" applyFont="1" applyFill="1" applyAlignment="1">
      <alignment horizontal="right"/>
    </xf>
    <xf numFmtId="174" fontId="220" fillId="10" borderId="0" xfId="12" applyNumberFormat="1" applyFont="1" applyFill="1" applyAlignment="1">
      <alignment horizontal="right"/>
    </xf>
    <xf numFmtId="174" fontId="219" fillId="10" borderId="0" xfId="12" applyNumberFormat="1" applyFont="1" applyFill="1" applyAlignment="1">
      <alignment horizontal="right"/>
    </xf>
    <xf numFmtId="174" fontId="220" fillId="10" borderId="59" xfId="12" applyNumberFormat="1" applyFont="1" applyFill="1" applyBorder="1" applyAlignment="1">
      <alignment horizontal="right"/>
    </xf>
    <xf numFmtId="174" fontId="220" fillId="11" borderId="0" xfId="12" applyNumberFormat="1" applyFont="1" applyFill="1" applyAlignment="1">
      <alignment horizontal="right"/>
    </xf>
    <xf numFmtId="174" fontId="219" fillId="11" borderId="0" xfId="12" applyNumberFormat="1" applyFont="1" applyFill="1" applyAlignment="1">
      <alignment horizontal="right"/>
    </xf>
    <xf numFmtId="174" fontId="219" fillId="11" borderId="59" xfId="12" applyNumberFormat="1" applyFont="1" applyFill="1" applyBorder="1" applyAlignment="1">
      <alignment horizontal="right"/>
    </xf>
    <xf numFmtId="175" fontId="219" fillId="10" borderId="59" xfId="12" applyNumberFormat="1" applyFont="1" applyFill="1" applyBorder="1" applyAlignment="1">
      <alignment horizontal="right"/>
    </xf>
    <xf numFmtId="210" fontId="217" fillId="11" borderId="59" xfId="12" applyNumberFormat="1" applyFont="1" applyFill="1" applyBorder="1" applyAlignment="1">
      <alignment horizontal="right"/>
    </xf>
    <xf numFmtId="175" fontId="226" fillId="12" borderId="59" xfId="12" applyNumberFormat="1" applyFont="1" applyFill="1" applyBorder="1"/>
    <xf numFmtId="175" fontId="237" fillId="10" borderId="0" xfId="12" applyNumberFormat="1" applyFont="1" applyFill="1"/>
    <xf numFmtId="175" fontId="237" fillId="10" borderId="0" xfId="12" applyNumberFormat="1" applyFont="1" applyFill="1" applyAlignment="1">
      <alignment horizontal="left" indent="3"/>
    </xf>
    <xf numFmtId="210" fontId="237" fillId="10" borderId="0" xfId="12" applyNumberFormat="1" applyFont="1" applyFill="1"/>
    <xf numFmtId="210" fontId="237" fillId="10" borderId="59" xfId="12" applyNumberFormat="1" applyFont="1" applyFill="1" applyBorder="1"/>
    <xf numFmtId="210" fontId="223" fillId="10" borderId="0" xfId="12" applyNumberFormat="1" applyFont="1" applyFill="1"/>
    <xf numFmtId="210" fontId="238" fillId="10" borderId="0" xfId="12" applyNumberFormat="1" applyFont="1" applyFill="1"/>
    <xf numFmtId="210" fontId="237" fillId="11" borderId="0" xfId="12" applyNumberFormat="1" applyFont="1" applyFill="1"/>
    <xf numFmtId="210" fontId="237" fillId="11" borderId="59" xfId="12" applyNumberFormat="1" applyFont="1" applyFill="1" applyBorder="1"/>
    <xf numFmtId="210" fontId="223" fillId="11" borderId="0" xfId="12" applyNumberFormat="1" applyFont="1" applyFill="1"/>
    <xf numFmtId="175" fontId="225" fillId="10" borderId="1" xfId="12" applyNumberFormat="1" applyFont="1" applyFill="1" applyBorder="1"/>
    <xf numFmtId="175" fontId="239" fillId="12" borderId="0" xfId="12" applyNumberFormat="1" applyFont="1" applyFill="1"/>
    <xf numFmtId="175" fontId="239" fillId="12" borderId="59" xfId="12" applyNumberFormat="1" applyFont="1" applyFill="1" applyBorder="1"/>
    <xf numFmtId="175" fontId="216" fillId="10" borderId="0" xfId="15" applyNumberFormat="1" applyFont="1" applyFill="1" applyAlignment="1">
      <alignment horizontal="left" indent="1"/>
    </xf>
    <xf numFmtId="175" fontId="216" fillId="10" borderId="0" xfId="15" applyNumberFormat="1" applyFont="1" applyFill="1"/>
    <xf numFmtId="175" fontId="218" fillId="10" borderId="13" xfId="15" applyNumberFormat="1" applyFont="1" applyFill="1" applyBorder="1"/>
    <xf numFmtId="174" fontId="216" fillId="10" borderId="0" xfId="15" applyNumberFormat="1" applyFont="1" applyFill="1"/>
    <xf numFmtId="222" fontId="216" fillId="10" borderId="14" xfId="15" applyNumberFormat="1" applyFont="1" applyFill="1" applyBorder="1" applyAlignment="1">
      <alignment horizontal="left" indent="1"/>
    </xf>
    <xf numFmtId="223" fontId="216" fillId="10" borderId="14" xfId="15" applyNumberFormat="1" applyFont="1" applyFill="1" applyBorder="1" applyAlignment="1">
      <alignment horizontal="left" indent="1"/>
    </xf>
    <xf numFmtId="224" fontId="216" fillId="10" borderId="14" xfId="15" applyNumberFormat="1" applyFont="1" applyFill="1" applyBorder="1" applyAlignment="1">
      <alignment horizontal="left" indent="1"/>
    </xf>
    <xf numFmtId="225" fontId="216" fillId="10" borderId="14" xfId="15" applyNumberFormat="1" applyFont="1" applyFill="1" applyBorder="1" applyAlignment="1">
      <alignment horizontal="left" indent="1"/>
    </xf>
    <xf numFmtId="226" fontId="216" fillId="10" borderId="48" xfId="15" applyNumberFormat="1" applyFont="1" applyFill="1" applyBorder="1" applyAlignment="1">
      <alignment horizontal="left" indent="1"/>
    </xf>
    <xf numFmtId="175" fontId="218" fillId="10" borderId="46" xfId="15" applyNumberFormat="1" applyFont="1" applyFill="1" applyBorder="1"/>
    <xf numFmtId="0" fontId="215" fillId="10" borderId="9" xfId="12" applyFont="1" applyFill="1" applyBorder="1"/>
    <xf numFmtId="175" fontId="216" fillId="10" borderId="29" xfId="15" applyNumberFormat="1" applyFont="1" applyFill="1" applyBorder="1" applyAlignment="1">
      <alignment horizontal="left" indent="1"/>
    </xf>
    <xf numFmtId="174" fontId="240" fillId="10" borderId="10" xfId="15" applyNumberFormat="1" applyFont="1" applyFill="1" applyBorder="1"/>
    <xf numFmtId="175" fontId="216" fillId="10" borderId="58" xfId="15" applyNumberFormat="1" applyFont="1" applyFill="1" applyBorder="1" applyAlignment="1">
      <alignment horizontal="left" indent="1"/>
    </xf>
    <xf numFmtId="174" fontId="240" fillId="10" borderId="57" xfId="15" applyNumberFormat="1" applyFont="1" applyFill="1" applyBorder="1"/>
    <xf numFmtId="175" fontId="96" fillId="10" borderId="9" xfId="15" applyNumberFormat="1" applyFont="1" applyFill="1" applyBorder="1" applyAlignment="1">
      <alignment horizontal="left"/>
    </xf>
    <xf numFmtId="175" fontId="21" fillId="10" borderId="10" xfId="15" applyNumberFormat="1" applyFill="1" applyBorder="1" applyAlignment="1">
      <alignment horizontal="left" indent="1"/>
    </xf>
    <xf numFmtId="175" fontId="216" fillId="10" borderId="57" xfId="15" applyNumberFormat="1" applyFont="1" applyFill="1" applyBorder="1" applyAlignment="1">
      <alignment horizontal="left" indent="1"/>
    </xf>
    <xf numFmtId="175" fontId="218" fillId="10" borderId="9" xfId="15" applyNumberFormat="1" applyFont="1" applyFill="1" applyBorder="1" applyAlignment="1">
      <alignment horizontal="left"/>
    </xf>
    <xf numFmtId="175" fontId="216" fillId="10" borderId="10" xfId="15" applyNumberFormat="1" applyFont="1" applyFill="1" applyBorder="1" applyAlignment="1">
      <alignment horizontal="left" indent="1"/>
    </xf>
    <xf numFmtId="175" fontId="218" fillId="10" borderId="1" xfId="15" applyNumberFormat="1" applyFont="1" applyFill="1" applyBorder="1" applyAlignment="1">
      <alignment horizontal="left"/>
    </xf>
    <xf numFmtId="174" fontId="215" fillId="10" borderId="1" xfId="12" applyNumberFormat="1" applyFont="1" applyFill="1" applyBorder="1"/>
    <xf numFmtId="174" fontId="216" fillId="10" borderId="1" xfId="15" applyNumberFormat="1" applyFont="1" applyFill="1" applyBorder="1"/>
    <xf numFmtId="174" fontId="215" fillId="10" borderId="9" xfId="12" applyNumberFormat="1" applyFont="1" applyFill="1" applyBorder="1"/>
    <xf numFmtId="175" fontId="218" fillId="10" borderId="0" xfId="15" applyNumberFormat="1" applyFont="1" applyFill="1" applyAlignment="1">
      <alignment horizontal="left"/>
    </xf>
    <xf numFmtId="227" fontId="220" fillId="10" borderId="0" xfId="12" applyNumberFormat="1" applyFont="1" applyFill="1" applyAlignment="1">
      <alignment horizontal="right"/>
    </xf>
    <xf numFmtId="227" fontId="225" fillId="10" borderId="0" xfId="12" applyNumberFormat="1" applyFont="1" applyFill="1" applyAlignment="1">
      <alignment horizontal="right"/>
    </xf>
    <xf numFmtId="227" fontId="218" fillId="10" borderId="0" xfId="15" applyNumberFormat="1" applyFont="1" applyFill="1" applyAlignment="1">
      <alignment horizontal="right"/>
    </xf>
    <xf numFmtId="227" fontId="220" fillId="10" borderId="10" xfId="12" applyNumberFormat="1" applyFont="1" applyFill="1" applyBorder="1" applyAlignment="1">
      <alignment horizontal="right"/>
    </xf>
    <xf numFmtId="0" fontId="220" fillId="10" borderId="0" xfId="12" applyFont="1" applyFill="1" applyAlignment="1">
      <alignment horizontal="right"/>
    </xf>
    <xf numFmtId="0" fontId="218" fillId="10" borderId="0" xfId="15" applyFont="1" applyFill="1" applyAlignment="1">
      <alignment horizontal="right"/>
    </xf>
    <xf numFmtId="0" fontId="220" fillId="10" borderId="10" xfId="12" applyFont="1" applyFill="1" applyBorder="1" applyAlignment="1">
      <alignment horizontal="right"/>
    </xf>
    <xf numFmtId="175" fontId="218" fillId="10" borderId="15" xfId="15" applyNumberFormat="1" applyFont="1" applyFill="1" applyBorder="1" applyAlignment="1">
      <alignment horizontal="left"/>
    </xf>
    <xf numFmtId="174" fontId="216" fillId="10" borderId="15" xfId="15" applyNumberFormat="1" applyFont="1" applyFill="1" applyBorder="1"/>
    <xf numFmtId="174" fontId="215" fillId="10" borderId="57" xfId="12" applyNumberFormat="1" applyFont="1" applyFill="1" applyBorder="1"/>
    <xf numFmtId="175" fontId="220" fillId="10" borderId="9" xfId="12" applyNumberFormat="1" applyFont="1" applyFill="1" applyBorder="1"/>
    <xf numFmtId="175" fontId="218" fillId="10" borderId="29" xfId="15" applyNumberFormat="1" applyFont="1" applyFill="1" applyBorder="1"/>
    <xf numFmtId="175" fontId="220" fillId="10" borderId="10" xfId="12" applyNumberFormat="1" applyFont="1" applyFill="1" applyBorder="1"/>
    <xf numFmtId="175" fontId="215" fillId="10" borderId="10" xfId="12" applyNumberFormat="1" applyFont="1" applyFill="1" applyBorder="1"/>
    <xf numFmtId="228" fontId="216" fillId="10" borderId="0" xfId="13" applyNumberFormat="1" applyFont="1" applyFill="1" applyBorder="1"/>
    <xf numFmtId="175" fontId="216" fillId="10" borderId="15" xfId="15" applyNumberFormat="1" applyFont="1" applyFill="1" applyBorder="1"/>
    <xf numFmtId="175" fontId="215" fillId="10" borderId="57" xfId="12" applyNumberFormat="1" applyFont="1" applyFill="1" applyBorder="1"/>
    <xf numFmtId="211" fontId="96" fillId="10" borderId="67" xfId="15" applyNumberFormat="1" applyFont="1" applyFill="1" applyBorder="1" applyAlignment="1">
      <alignment horizontal="left"/>
    </xf>
    <xf numFmtId="175" fontId="216" fillId="10" borderId="63" xfId="15" applyNumberFormat="1" applyFont="1" applyFill="1" applyBorder="1"/>
    <xf numFmtId="175" fontId="215" fillId="10" borderId="68" xfId="12" applyNumberFormat="1" applyFont="1" applyFill="1" applyBorder="1"/>
    <xf numFmtId="211" fontId="21" fillId="10" borderId="69" xfId="15" applyNumberFormat="1" applyFill="1" applyBorder="1" applyAlignment="1">
      <alignment horizontal="left"/>
    </xf>
    <xf numFmtId="17" fontId="214" fillId="10" borderId="0" xfId="12" applyNumberFormat="1" applyFill="1"/>
    <xf numFmtId="17" fontId="215" fillId="10" borderId="0" xfId="12" applyNumberFormat="1" applyFont="1" applyFill="1"/>
    <xf numFmtId="17" fontId="216" fillId="10" borderId="0" xfId="15" applyNumberFormat="1" applyFont="1" applyFill="1"/>
    <xf numFmtId="17" fontId="215" fillId="10" borderId="43" xfId="12" applyNumberFormat="1" applyFont="1" applyFill="1" applyBorder="1"/>
    <xf numFmtId="216" fontId="21" fillId="10" borderId="69" xfId="15" applyNumberFormat="1" applyFill="1" applyBorder="1" applyAlignment="1">
      <alignment horizontal="left" indent="1"/>
    </xf>
    <xf numFmtId="216" fontId="216" fillId="10" borderId="0" xfId="15" applyNumberFormat="1" applyFont="1" applyFill="1"/>
    <xf numFmtId="216" fontId="215" fillId="10" borderId="43" xfId="12" applyNumberFormat="1" applyFont="1" applyFill="1" applyBorder="1"/>
    <xf numFmtId="216" fontId="21" fillId="10" borderId="69" xfId="15" applyNumberFormat="1" applyFill="1" applyBorder="1" applyAlignment="1">
      <alignment horizontal="left" indent="2"/>
    </xf>
    <xf numFmtId="216" fontId="228" fillId="10" borderId="0" xfId="12" applyNumberFormat="1" applyFont="1" applyFill="1"/>
    <xf numFmtId="216" fontId="240" fillId="10" borderId="0" xfId="15" applyNumberFormat="1" applyFont="1" applyFill="1"/>
    <xf numFmtId="175" fontId="216" fillId="10" borderId="69" xfId="15" applyNumberFormat="1" applyFont="1" applyFill="1" applyBorder="1" applyAlignment="1">
      <alignment horizontal="left" indent="1"/>
    </xf>
    <xf numFmtId="175" fontId="215" fillId="10" borderId="43" xfId="12" applyNumberFormat="1" applyFont="1" applyFill="1" applyBorder="1"/>
    <xf numFmtId="196" fontId="21" fillId="10" borderId="69" xfId="15" applyNumberFormat="1" applyFill="1" applyBorder="1" applyAlignment="1">
      <alignment horizontal="left" indent="1"/>
    </xf>
    <xf numFmtId="196" fontId="215" fillId="10" borderId="0" xfId="12" applyNumberFormat="1" applyFont="1" applyFill="1"/>
    <xf numFmtId="196" fontId="216" fillId="10" borderId="0" xfId="15" applyNumberFormat="1" applyFont="1" applyFill="1"/>
    <xf numFmtId="196" fontId="215" fillId="10" borderId="43" xfId="12" applyNumberFormat="1" applyFont="1" applyFill="1" applyBorder="1"/>
    <xf numFmtId="196" fontId="21" fillId="10" borderId="69" xfId="15" applyNumberFormat="1" applyFill="1" applyBorder="1" applyAlignment="1">
      <alignment horizontal="left" indent="2"/>
    </xf>
    <xf numFmtId="221" fontId="228" fillId="10" borderId="0" xfId="12" applyNumberFormat="1" applyFont="1" applyFill="1"/>
    <xf numFmtId="221" fontId="215" fillId="10" borderId="0" xfId="12" applyNumberFormat="1" applyFont="1" applyFill="1"/>
    <xf numFmtId="221" fontId="240" fillId="10" borderId="0" xfId="15" applyNumberFormat="1" applyFont="1" applyFill="1"/>
    <xf numFmtId="221" fontId="215" fillId="10" borderId="43" xfId="12" applyNumberFormat="1" applyFont="1" applyFill="1" applyBorder="1"/>
    <xf numFmtId="196" fontId="228" fillId="10" borderId="0" xfId="12" applyNumberFormat="1" applyFont="1" applyFill="1"/>
    <xf numFmtId="196" fontId="240" fillId="10" borderId="0" xfId="15" applyNumberFormat="1" applyFont="1" applyFill="1"/>
    <xf numFmtId="175" fontId="216" fillId="10" borderId="70" xfId="15" applyNumberFormat="1" applyFont="1" applyFill="1" applyBorder="1" applyAlignment="1">
      <alignment horizontal="left" indent="1"/>
    </xf>
    <xf numFmtId="196" fontId="215" fillId="10" borderId="15" xfId="12" applyNumberFormat="1" applyFont="1" applyFill="1" applyBorder="1"/>
    <xf numFmtId="196" fontId="216" fillId="10" borderId="15" xfId="15" applyNumberFormat="1" applyFont="1" applyFill="1" applyBorder="1"/>
    <xf numFmtId="196" fontId="215" fillId="10" borderId="47" xfId="12" applyNumberFormat="1" applyFont="1" applyFill="1" applyBorder="1"/>
    <xf numFmtId="229" fontId="215" fillId="10" borderId="0" xfId="12" applyNumberFormat="1" applyFont="1" applyFill="1"/>
    <xf numFmtId="174" fontId="214" fillId="10" borderId="0" xfId="12" applyNumberFormat="1" applyFill="1" applyAlignment="1">
      <alignment horizontal="left" indent="1"/>
    </xf>
    <xf numFmtId="174" fontId="228" fillId="10" borderId="0" xfId="12" applyNumberFormat="1" applyFont="1" applyFill="1"/>
    <xf numFmtId="174" fontId="214" fillId="10" borderId="65" xfId="12" applyNumberFormat="1" applyFill="1" applyBorder="1" applyAlignment="1">
      <alignment horizontal="left" indent="1"/>
    </xf>
    <xf numFmtId="174" fontId="214" fillId="10" borderId="65" xfId="12" applyNumberFormat="1" applyFill="1" applyBorder="1"/>
    <xf numFmtId="174" fontId="226" fillId="12" borderId="0" xfId="12" applyNumberFormat="1" applyFont="1" applyFill="1"/>
    <xf numFmtId="0" fontId="227" fillId="12" borderId="0" xfId="12" applyFont="1" applyFill="1"/>
    <xf numFmtId="0" fontId="94" fillId="0" borderId="0" xfId="0" applyFont="1" applyAlignment="1">
      <alignment horizontal="left"/>
    </xf>
    <xf numFmtId="230" fontId="56" fillId="0" borderId="0" xfId="0" applyNumberFormat="1" applyFont="1"/>
    <xf numFmtId="0" fontId="50" fillId="0" borderId="0" xfId="0" applyFont="1" applyAlignment="1">
      <alignment horizontal="left"/>
    </xf>
    <xf numFmtId="174" fontId="25" fillId="0" borderId="0" xfId="8" applyNumberFormat="1" applyFont="1"/>
    <xf numFmtId="174" fontId="243" fillId="0" borderId="0" xfId="8" applyNumberFormat="1" applyFont="1"/>
    <xf numFmtId="174" fontId="25" fillId="0" borderId="0" xfId="8" applyNumberFormat="1" applyFont="1" applyAlignment="1">
      <alignment horizontal="right"/>
    </xf>
    <xf numFmtId="174" fontId="63" fillId="0" borderId="0" xfId="8" applyNumberFormat="1" applyFont="1"/>
    <xf numFmtId="174" fontId="103" fillId="0" borderId="0" xfId="8" applyNumberFormat="1" applyFont="1"/>
    <xf numFmtId="174" fontId="45" fillId="0" borderId="0" xfId="8" applyNumberFormat="1" applyFont="1" applyFill="1"/>
    <xf numFmtId="174" fontId="25" fillId="0" borderId="10" xfId="8" applyNumberFormat="1" applyFont="1" applyBorder="1"/>
    <xf numFmtId="230" fontId="56" fillId="0" borderId="10" xfId="0" applyNumberFormat="1" applyFont="1" applyBorder="1"/>
    <xf numFmtId="174" fontId="103" fillId="0" borderId="10" xfId="8" applyNumberFormat="1" applyFont="1" applyBorder="1"/>
    <xf numFmtId="174" fontId="80" fillId="0" borderId="10" xfId="8" applyNumberFormat="1" applyFont="1" applyBorder="1"/>
    <xf numFmtId="174" fontId="63" fillId="0" borderId="10" xfId="8" applyNumberFormat="1" applyFont="1" applyBorder="1"/>
    <xf numFmtId="174" fontId="54" fillId="0" borderId="10" xfId="8" applyNumberFormat="1" applyFont="1" applyBorder="1"/>
    <xf numFmtId="174" fontId="25" fillId="0" borderId="10" xfId="8" applyNumberFormat="1" applyFont="1" applyBorder="1" applyAlignment="1">
      <alignment horizontal="right"/>
    </xf>
    <xf numFmtId="174" fontId="25" fillId="0" borderId="0" xfId="8" applyNumberFormat="1" applyFont="1" applyBorder="1"/>
    <xf numFmtId="174" fontId="103" fillId="0" borderId="0" xfId="8" applyNumberFormat="1" applyFont="1" applyBorder="1"/>
    <xf numFmtId="174" fontId="80" fillId="0" borderId="0" xfId="8" applyNumberFormat="1" applyFont="1" applyBorder="1"/>
    <xf numFmtId="174" fontId="63" fillId="0" borderId="0" xfId="8" applyNumberFormat="1" applyFont="1" applyBorder="1"/>
    <xf numFmtId="174" fontId="54" fillId="0" borderId="0" xfId="8" applyNumberFormat="1" applyFont="1" applyBorder="1"/>
    <xf numFmtId="174" fontId="25" fillId="0" borderId="0" xfId="8" applyNumberFormat="1" applyFont="1" applyBorder="1" applyAlignment="1">
      <alignment horizontal="right"/>
    </xf>
    <xf numFmtId="0" fontId="196" fillId="0" borderId="0" xfId="0" applyFont="1" applyAlignment="1">
      <alignment horizontal="centerContinuous"/>
    </xf>
    <xf numFmtId="41" fontId="85" fillId="0" borderId="10" xfId="8" applyNumberFormat="1" applyFont="1" applyFill="1" applyBorder="1" applyAlignment="1">
      <alignment horizontal="right"/>
    </xf>
    <xf numFmtId="174" fontId="85" fillId="0" borderId="0" xfId="8" applyNumberFormat="1" applyFont="1" applyFill="1" applyAlignment="1">
      <alignment horizontal="right"/>
    </xf>
    <xf numFmtId="174" fontId="85" fillId="0" borderId="0" xfId="8" applyNumberFormat="1" applyFont="1" applyFill="1"/>
    <xf numFmtId="41" fontId="134" fillId="0" borderId="10" xfId="8" applyNumberFormat="1" applyFont="1" applyFill="1" applyBorder="1" applyAlignment="1">
      <alignment horizontal="right"/>
    </xf>
    <xf numFmtId="174" fontId="134" fillId="0" borderId="8" xfId="8" applyNumberFormat="1" applyFont="1" applyFill="1" applyBorder="1" applyAlignment="1">
      <alignment horizontal="right"/>
    </xf>
    <xf numFmtId="174" fontId="134" fillId="0" borderId="0" xfId="8" applyNumberFormat="1" applyFont="1" applyFill="1" applyAlignment="1">
      <alignment horizontal="right"/>
    </xf>
    <xf numFmtId="174" fontId="134" fillId="0" borderId="0" xfId="8" applyNumberFormat="1" applyFont="1" applyFill="1"/>
    <xf numFmtId="43" fontId="85" fillId="0" borderId="8" xfId="8" applyFont="1" applyFill="1" applyBorder="1" applyAlignment="1">
      <alignment horizontal="right"/>
    </xf>
    <xf numFmtId="43" fontId="85" fillId="0" borderId="0" xfId="8" applyFont="1" applyFill="1" applyAlignment="1">
      <alignment horizontal="right"/>
    </xf>
    <xf numFmtId="174" fontId="85" fillId="0" borderId="10" xfId="8" applyNumberFormat="1" applyFont="1" applyFill="1" applyBorder="1" applyAlignment="1">
      <alignment horizontal="right"/>
    </xf>
    <xf numFmtId="174" fontId="118" fillId="0" borderId="0" xfId="8" applyNumberFormat="1" applyFont="1" applyFill="1" applyBorder="1" applyAlignment="1">
      <alignment horizontal="right"/>
    </xf>
    <xf numFmtId="174" fontId="118" fillId="0" borderId="29" xfId="8" applyNumberFormat="1" applyFont="1" applyFill="1" applyBorder="1" applyAlignment="1">
      <alignment horizontal="right"/>
    </xf>
    <xf numFmtId="174" fontId="134" fillId="0" borderId="0" xfId="8" applyNumberFormat="1" applyFont="1" applyFill="1" applyBorder="1" applyAlignment="1">
      <alignment horizontal="right"/>
    </xf>
    <xf numFmtId="174" fontId="134" fillId="0" borderId="10" xfId="8" applyNumberFormat="1" applyFont="1" applyFill="1" applyBorder="1" applyAlignment="1">
      <alignment horizontal="right"/>
    </xf>
    <xf numFmtId="174" fontId="121" fillId="0" borderId="29" xfId="8" applyNumberFormat="1" applyFont="1" applyFill="1" applyBorder="1" applyAlignment="1">
      <alignment horizontal="right"/>
    </xf>
    <xf numFmtId="174" fontId="121" fillId="0" borderId="0" xfId="8" applyNumberFormat="1" applyFont="1" applyFill="1" applyBorder="1" applyAlignment="1">
      <alignment horizontal="right"/>
    </xf>
    <xf numFmtId="174" fontId="94" fillId="0" borderId="0" xfId="8" applyNumberFormat="1" applyFont="1" applyFill="1"/>
    <xf numFmtId="230" fontId="109" fillId="0" borderId="0" xfId="0" applyNumberFormat="1" applyFont="1"/>
    <xf numFmtId="230" fontId="109" fillId="0" borderId="10" xfId="0" applyNumberFormat="1" applyFont="1" applyBorder="1"/>
    <xf numFmtId="170" fontId="85" fillId="0" borderId="0" xfId="3" applyNumberFormat="1" applyFont="1" applyFill="1"/>
    <xf numFmtId="174" fontId="186" fillId="0" borderId="0" xfId="8" applyNumberFormat="1" applyFont="1" applyFill="1" applyBorder="1"/>
    <xf numFmtId="170" fontId="120" fillId="0" borderId="0" xfId="3" applyNumberFormat="1" applyFont="1" applyFill="1"/>
    <xf numFmtId="170" fontId="120" fillId="0" borderId="29" xfId="3" applyNumberFormat="1" applyFont="1" applyFill="1" applyBorder="1"/>
    <xf numFmtId="170" fontId="120" fillId="0" borderId="0" xfId="3" applyNumberFormat="1" applyFont="1" applyFill="1" applyBorder="1"/>
    <xf numFmtId="9" fontId="91" fillId="0" borderId="0" xfId="3" applyFont="1" applyFill="1"/>
    <xf numFmtId="9" fontId="91" fillId="0" borderId="0" xfId="3" applyFont="1" applyFill="1" applyBorder="1"/>
    <xf numFmtId="43" fontId="91" fillId="0" borderId="29" xfId="8" applyFont="1" applyFill="1" applyBorder="1"/>
    <xf numFmtId="43" fontId="91" fillId="0" borderId="0" xfId="8" applyFont="1" applyFill="1" applyBorder="1"/>
    <xf numFmtId="43" fontId="91" fillId="0" borderId="8" xfId="8" applyFont="1" applyFill="1" applyBorder="1"/>
    <xf numFmtId="43" fontId="91" fillId="0" borderId="0" xfId="8" applyFont="1" applyFill="1"/>
    <xf numFmtId="43" fontId="91" fillId="0" borderId="10" xfId="8" applyFont="1" applyFill="1" applyBorder="1"/>
    <xf numFmtId="41" fontId="87" fillId="0" borderId="10" xfId="8" applyNumberFormat="1" applyFont="1" applyFill="1" applyBorder="1" applyAlignment="1">
      <alignment horizontal="right"/>
    </xf>
    <xf numFmtId="174" fontId="87" fillId="0" borderId="8" xfId="8" applyNumberFormat="1" applyFont="1" applyFill="1" applyBorder="1" applyAlignment="1">
      <alignment horizontal="right"/>
    </xf>
    <xf numFmtId="174" fontId="87" fillId="0" borderId="0" xfId="8" applyNumberFormat="1" applyFont="1" applyFill="1" applyAlignment="1">
      <alignment horizontal="right"/>
    </xf>
    <xf numFmtId="174" fontId="87" fillId="0" borderId="0" xfId="8" applyNumberFormat="1" applyFont="1" applyFill="1"/>
    <xf numFmtId="41" fontId="91" fillId="0" borderId="0" xfId="8" applyNumberFormat="1" applyFont="1" applyFill="1" applyBorder="1" applyAlignment="1">
      <alignment horizontal="right"/>
    </xf>
    <xf numFmtId="174" fontId="121" fillId="0" borderId="10" xfId="8" applyNumberFormat="1" applyFont="1" applyFill="1" applyBorder="1" applyAlignment="1">
      <alignment horizontal="right"/>
    </xf>
    <xf numFmtId="174" fontId="120" fillId="0" borderId="0" xfId="8" applyNumberFormat="1" applyFont="1" applyFill="1" applyBorder="1" applyAlignment="1">
      <alignment horizontal="right"/>
    </xf>
    <xf numFmtId="174" fontId="120" fillId="0" borderId="10" xfId="8" applyNumberFormat="1" applyFont="1" applyFill="1" applyBorder="1" applyAlignment="1">
      <alignment horizontal="right"/>
    </xf>
    <xf numFmtId="174" fontId="120" fillId="0" borderId="29" xfId="8" applyNumberFormat="1" applyFont="1" applyFill="1" applyBorder="1" applyAlignment="1">
      <alignment horizontal="right"/>
    </xf>
    <xf numFmtId="174" fontId="120" fillId="0" borderId="8" xfId="8" applyNumberFormat="1" applyFont="1" applyFill="1" applyBorder="1" applyAlignment="1">
      <alignment horizontal="right"/>
    </xf>
    <xf numFmtId="174" fontId="91" fillId="0" borderId="0" xfId="8" applyNumberFormat="1" applyFont="1" applyFill="1" applyBorder="1" applyAlignment="1">
      <alignment horizontal="right"/>
    </xf>
    <xf numFmtId="174" fontId="91" fillId="0" borderId="29" xfId="8" applyNumberFormat="1" applyFont="1" applyFill="1" applyBorder="1" applyAlignment="1">
      <alignment horizontal="right"/>
    </xf>
    <xf numFmtId="174" fontId="121" fillId="0" borderId="8" xfId="8" applyNumberFormat="1" applyFont="1" applyFill="1" applyBorder="1" applyAlignment="1">
      <alignment horizontal="right"/>
    </xf>
    <xf numFmtId="41" fontId="91" fillId="0" borderId="29" xfId="8" applyNumberFormat="1" applyFont="1" applyFill="1" applyBorder="1" applyAlignment="1">
      <alignment horizontal="right"/>
    </xf>
    <xf numFmtId="174" fontId="134" fillId="0" borderId="0" xfId="8" applyNumberFormat="1" applyFont="1" applyFill="1" applyBorder="1"/>
    <xf numFmtId="174" fontId="134" fillId="0" borderId="10" xfId="8" applyNumberFormat="1" applyFont="1" applyFill="1" applyBorder="1"/>
    <xf numFmtId="174" fontId="108" fillId="0" borderId="10" xfId="8" applyNumberFormat="1" applyFont="1" applyFill="1" applyBorder="1"/>
    <xf numFmtId="174" fontId="132" fillId="0" borderId="0" xfId="8" applyNumberFormat="1" applyFont="1" applyFill="1" applyBorder="1"/>
    <xf numFmtId="174" fontId="132" fillId="0" borderId="29" xfId="8" applyNumberFormat="1" applyFont="1" applyFill="1" applyBorder="1"/>
    <xf numFmtId="174" fontId="132" fillId="0" borderId="8" xfId="8" applyNumberFormat="1" applyFont="1" applyFill="1" applyBorder="1"/>
    <xf numFmtId="174" fontId="132" fillId="0" borderId="10" xfId="8" applyNumberFormat="1" applyFont="1" applyFill="1" applyBorder="1"/>
    <xf numFmtId="174" fontId="85" fillId="0" borderId="0" xfId="8" applyNumberFormat="1" applyFont="1" applyFill="1" applyBorder="1"/>
    <xf numFmtId="174" fontId="108" fillId="0" borderId="0" xfId="8" applyNumberFormat="1" applyFont="1" applyFill="1"/>
    <xf numFmtId="174" fontId="127" fillId="0" borderId="10" xfId="8" applyNumberFormat="1" applyFont="1" applyFill="1" applyBorder="1"/>
    <xf numFmtId="174" fontId="133" fillId="0" borderId="0" xfId="8" applyNumberFormat="1" applyFont="1" applyFill="1" applyBorder="1"/>
    <xf numFmtId="174" fontId="133" fillId="0" borderId="29" xfId="8" applyNumberFormat="1" applyFont="1" applyFill="1" applyBorder="1"/>
    <xf numFmtId="174" fontId="133" fillId="0" borderId="8" xfId="8" applyNumberFormat="1" applyFont="1" applyFill="1" applyBorder="1"/>
    <xf numFmtId="174" fontId="133" fillId="0" borderId="10" xfId="8" applyNumberFormat="1" applyFont="1" applyFill="1" applyBorder="1"/>
    <xf numFmtId="174" fontId="127" fillId="0" borderId="0" xfId="8" applyNumberFormat="1" applyFont="1" applyFill="1"/>
    <xf numFmtId="174" fontId="123" fillId="0" borderId="10" xfId="8" applyNumberFormat="1" applyFont="1" applyFill="1" applyBorder="1"/>
    <xf numFmtId="174" fontId="125" fillId="0" borderId="0" xfId="8" applyNumberFormat="1" applyFont="1" applyFill="1" applyBorder="1"/>
    <xf numFmtId="174" fontId="125" fillId="0" borderId="29" xfId="8" applyNumberFormat="1" applyFont="1" applyFill="1" applyBorder="1"/>
    <xf numFmtId="174" fontId="125" fillId="0" borderId="8" xfId="8" applyNumberFormat="1" applyFont="1" applyFill="1" applyBorder="1"/>
    <xf numFmtId="174" fontId="125" fillId="0" borderId="10" xfId="8" applyNumberFormat="1" applyFont="1" applyFill="1" applyBorder="1"/>
    <xf numFmtId="174" fontId="87" fillId="0" borderId="0" xfId="8" applyNumberFormat="1" applyFont="1" applyFill="1" applyBorder="1"/>
    <xf numFmtId="174" fontId="123" fillId="0" borderId="0" xfId="8" applyNumberFormat="1" applyFont="1" applyFill="1"/>
    <xf numFmtId="0" fontId="114" fillId="0" borderId="0" xfId="0" applyFont="1"/>
    <xf numFmtId="0" fontId="79" fillId="0" borderId="10" xfId="0" applyFont="1" applyBorder="1" applyAlignment="1">
      <alignment horizontal="center"/>
    </xf>
    <xf numFmtId="165" fontId="201" fillId="0" borderId="0" xfId="0" applyNumberFormat="1" applyFont="1"/>
    <xf numFmtId="165" fontId="205" fillId="0" borderId="0" xfId="0" applyNumberFormat="1" applyFont="1" applyAlignment="1">
      <alignment horizontal="left" indent="1"/>
    </xf>
    <xf numFmtId="165" fontId="244" fillId="0" borderId="0" xfId="0" applyNumberFormat="1" applyFont="1"/>
    <xf numFmtId="174" fontId="194" fillId="0" borderId="0" xfId="8" applyNumberFormat="1" applyFont="1"/>
    <xf numFmtId="165" fontId="195" fillId="0" borderId="0" xfId="0" applyNumberFormat="1" applyFont="1"/>
    <xf numFmtId="41" fontId="245" fillId="0" borderId="0" xfId="0" applyNumberFormat="1" applyFont="1"/>
    <xf numFmtId="41" fontId="246" fillId="0" borderId="0" xfId="0" applyNumberFormat="1" applyFont="1"/>
    <xf numFmtId="165" fontId="200" fillId="0" borderId="10" xfId="0" applyNumberFormat="1" applyFont="1" applyBorder="1"/>
    <xf numFmtId="165" fontId="201" fillId="0" borderId="10" xfId="0" applyNumberFormat="1" applyFont="1" applyBorder="1"/>
    <xf numFmtId="41" fontId="202" fillId="0" borderId="10" xfId="0" applyNumberFormat="1" applyFont="1" applyBorder="1"/>
    <xf numFmtId="41" fontId="245" fillId="0" borderId="10" xfId="0" applyNumberFormat="1" applyFont="1" applyBorder="1"/>
    <xf numFmtId="166" fontId="160" fillId="0" borderId="0" xfId="0" applyNumberFormat="1" applyFont="1"/>
    <xf numFmtId="37" fontId="7" fillId="0" borderId="0" xfId="0" applyNumberFormat="1" applyFont="1"/>
    <xf numFmtId="174" fontId="207" fillId="0" borderId="0" xfId="8" quotePrefix="1" applyNumberFormat="1" applyFont="1" applyBorder="1" applyAlignment="1">
      <alignment horizontal="right"/>
    </xf>
    <xf numFmtId="196" fontId="22" fillId="0" borderId="12" xfId="0" applyNumberFormat="1" applyFont="1" applyBorder="1" applyAlignment="1">
      <alignment horizontal="right"/>
    </xf>
    <xf numFmtId="165" fontId="10" fillId="0" borderId="12" xfId="0" quotePrefix="1" applyNumberFormat="1" applyFont="1" applyBorder="1" applyAlignment="1">
      <alignment horizontal="right"/>
    </xf>
    <xf numFmtId="37" fontId="7" fillId="0" borderId="12" xfId="0" applyNumberFormat="1" applyFont="1" applyBorder="1"/>
    <xf numFmtId="165" fontId="22" fillId="0" borderId="12" xfId="0" quotePrefix="1" applyNumberFormat="1" applyFont="1" applyBorder="1" applyAlignment="1">
      <alignment horizontal="left"/>
    </xf>
    <xf numFmtId="174" fontId="20" fillId="0" borderId="12" xfId="8" quotePrefix="1" applyNumberFormat="1" applyFont="1" applyBorder="1" applyAlignment="1">
      <alignment horizontal="right"/>
    </xf>
    <xf numFmtId="165" fontId="14" fillId="0" borderId="12" xfId="0" applyNumberFormat="1" applyFont="1" applyBorder="1"/>
    <xf numFmtId="231" fontId="56" fillId="0" borderId="10" xfId="0" applyNumberFormat="1" applyFont="1" applyBorder="1"/>
    <xf numFmtId="231" fontId="56" fillId="0" borderId="0" xfId="0" applyNumberFormat="1" applyFont="1"/>
    <xf numFmtId="41" fontId="115" fillId="0" borderId="10" xfId="0" applyNumberFormat="1" applyFont="1" applyBorder="1"/>
    <xf numFmtId="165" fontId="108" fillId="0" borderId="12" xfId="0" applyNumberFormat="1" applyFont="1" applyBorder="1"/>
    <xf numFmtId="170" fontId="120" fillId="0" borderId="8" xfId="3" applyNumberFormat="1" applyFont="1" applyBorder="1"/>
    <xf numFmtId="9" fontId="91" fillId="0" borderId="8" xfId="3" applyFont="1" applyBorder="1"/>
    <xf numFmtId="165" fontId="125" fillId="0" borderId="8" xfId="0" applyNumberFormat="1" applyFont="1" applyBorder="1" applyAlignment="1">
      <alignment horizontal="right"/>
    </xf>
    <xf numFmtId="174" fontId="147" fillId="0" borderId="8" xfId="8" applyNumberFormat="1" applyFont="1" applyBorder="1"/>
    <xf numFmtId="165" fontId="128" fillId="0" borderId="8" xfId="0" applyNumberFormat="1" applyFont="1" applyBorder="1"/>
    <xf numFmtId="41" fontId="148" fillId="0" borderId="8" xfId="0" applyNumberFormat="1" applyFont="1" applyBorder="1"/>
    <xf numFmtId="169" fontId="140" fillId="4" borderId="8" xfId="0" applyNumberFormat="1" applyFont="1" applyFill="1" applyBorder="1"/>
    <xf numFmtId="174" fontId="247" fillId="0" borderId="0" xfId="8" applyNumberFormat="1" applyFont="1"/>
    <xf numFmtId="174" fontId="208" fillId="0" borderId="0" xfId="8" applyNumberFormat="1" applyFont="1" applyBorder="1" applyAlignment="1">
      <alignment horizontal="right"/>
    </xf>
    <xf numFmtId="198" fontId="132" fillId="0" borderId="8" xfId="0" applyNumberFormat="1" applyFont="1" applyBorder="1"/>
    <xf numFmtId="198" fontId="130" fillId="0" borderId="8" xfId="0" applyNumberFormat="1" applyFont="1" applyBorder="1"/>
    <xf numFmtId="198" fontId="157" fillId="0" borderId="8" xfId="0" applyNumberFormat="1" applyFont="1" applyBorder="1"/>
    <xf numFmtId="198" fontId="125" fillId="0" borderId="8" xfId="0" applyNumberFormat="1" applyFont="1" applyBorder="1"/>
    <xf numFmtId="165" fontId="115" fillId="0" borderId="8" xfId="0" applyNumberFormat="1" applyFont="1" applyBorder="1"/>
    <xf numFmtId="165" fontId="131" fillId="0" borderId="8" xfId="0" applyNumberFormat="1" applyFont="1" applyBorder="1"/>
    <xf numFmtId="41" fontId="248" fillId="0" borderId="8" xfId="0" applyNumberFormat="1" applyFont="1" applyBorder="1"/>
    <xf numFmtId="41" fontId="137" fillId="0" borderId="8" xfId="0" applyNumberFormat="1" applyFont="1" applyBorder="1"/>
    <xf numFmtId="174" fontId="45" fillId="3" borderId="0" xfId="8" applyNumberFormat="1" applyFont="1" applyFill="1"/>
    <xf numFmtId="174" fontId="80" fillId="3" borderId="0" xfId="8" applyNumberFormat="1" applyFont="1" applyFill="1" applyBorder="1" applyAlignment="1">
      <alignment horizontal="right"/>
    </xf>
    <xf numFmtId="174" fontId="94" fillId="3" borderId="0" xfId="8" applyNumberFormat="1" applyFont="1" applyFill="1" applyBorder="1" applyAlignment="1">
      <alignment horizontal="right"/>
    </xf>
    <xf numFmtId="174" fontId="45" fillId="3" borderId="0" xfId="8" applyNumberFormat="1" applyFont="1" applyFill="1" applyBorder="1" applyAlignment="1">
      <alignment horizontal="right"/>
    </xf>
    <xf numFmtId="231" fontId="56" fillId="0" borderId="0" xfId="0" applyNumberFormat="1" applyFont="1" applyAlignment="1">
      <alignment horizontal="right"/>
    </xf>
    <xf numFmtId="174" fontId="25" fillId="3" borderId="0" xfId="8" applyNumberFormat="1" applyFont="1" applyFill="1"/>
    <xf numFmtId="174" fontId="50" fillId="3" borderId="0" xfId="8" applyNumberFormat="1" applyFont="1" applyFill="1" applyBorder="1" applyAlignment="1">
      <alignment horizontal="right"/>
    </xf>
    <xf numFmtId="174" fontId="63" fillId="3" borderId="0" xfId="8" applyNumberFormat="1" applyFont="1" applyFill="1"/>
    <xf numFmtId="174" fontId="54" fillId="3" borderId="0" xfId="8" applyNumberFormat="1" applyFont="1" applyFill="1"/>
    <xf numFmtId="174" fontId="25" fillId="3" borderId="0" xfId="8" applyNumberFormat="1" applyFont="1" applyFill="1" applyAlignment="1">
      <alignment horizontal="right"/>
    </xf>
    <xf numFmtId="165" fontId="200" fillId="0" borderId="8" xfId="0" applyNumberFormat="1" applyFont="1" applyBorder="1"/>
    <xf numFmtId="165" fontId="201" fillId="0" borderId="8" xfId="0" applyNumberFormat="1" applyFont="1" applyBorder="1"/>
    <xf numFmtId="41" fontId="12" fillId="0" borderId="12" xfId="0" applyNumberFormat="1" applyFont="1" applyBorder="1"/>
    <xf numFmtId="10" fontId="191" fillId="0" borderId="0" xfId="0" applyNumberFormat="1" applyFont="1"/>
    <xf numFmtId="41" fontId="132" fillId="0" borderId="10" xfId="0" applyNumberFormat="1" applyFont="1" applyBorder="1" applyAlignment="1">
      <alignment horizontal="right"/>
    </xf>
    <xf numFmtId="41" fontId="194" fillId="0" borderId="0" xfId="0" applyNumberFormat="1" applyFont="1" applyAlignment="1">
      <alignment horizontal="right"/>
    </xf>
    <xf numFmtId="41" fontId="194" fillId="0" borderId="10" xfId="0" applyNumberFormat="1" applyFont="1" applyBorder="1" applyAlignment="1">
      <alignment horizontal="right"/>
    </xf>
    <xf numFmtId="41" fontId="191" fillId="0" borderId="0" xfId="0" applyNumberFormat="1" applyFont="1" applyAlignment="1">
      <alignment horizontal="right"/>
    </xf>
    <xf numFmtId="41" fontId="191" fillId="0" borderId="10" xfId="0" applyNumberFormat="1" applyFont="1" applyBorder="1" applyAlignment="1">
      <alignment horizontal="right"/>
    </xf>
    <xf numFmtId="165" fontId="197" fillId="0" borderId="10" xfId="0" applyNumberFormat="1" applyFont="1" applyBorder="1" applyAlignment="1">
      <alignment horizontal="right"/>
    </xf>
    <xf numFmtId="10" fontId="0" fillId="0" borderId="0" xfId="0" applyNumberFormat="1"/>
    <xf numFmtId="5" fontId="0" fillId="0" borderId="0" xfId="0" applyNumberFormat="1"/>
    <xf numFmtId="10" fontId="0" fillId="0" borderId="0" xfId="3" applyNumberFormat="1" applyFont="1"/>
    <xf numFmtId="0" fontId="0" fillId="6" borderId="0" xfId="0" applyFill="1"/>
    <xf numFmtId="10" fontId="0" fillId="6" borderId="0" xfId="3" applyNumberFormat="1" applyFont="1" applyFill="1"/>
    <xf numFmtId="7" fontId="0" fillId="0" borderId="0" xfId="0" applyNumberFormat="1"/>
    <xf numFmtId="170" fontId="0" fillId="0" borderId="0" xfId="3" applyNumberFormat="1" applyFont="1"/>
    <xf numFmtId="232" fontId="0" fillId="0" borderId="0" xfId="0" applyNumberFormat="1"/>
    <xf numFmtId="5" fontId="100" fillId="0" borderId="0" xfId="0" applyNumberFormat="1" applyFont="1"/>
    <xf numFmtId="0" fontId="100" fillId="0" borderId="0" xfId="0" applyFont="1" applyAlignment="1">
      <alignment horizontal="left" indent="1"/>
    </xf>
    <xf numFmtId="170" fontId="100" fillId="0" borderId="0" xfId="3" applyNumberFormat="1" applyFont="1"/>
    <xf numFmtId="174" fontId="99" fillId="0" borderId="0" xfId="8" applyNumberFormat="1" applyFont="1"/>
    <xf numFmtId="174" fontId="0" fillId="6" borderId="0" xfId="8" applyNumberFormat="1" applyFont="1" applyFill="1"/>
    <xf numFmtId="174" fontId="21" fillId="0" borderId="0" xfId="8" applyNumberFormat="1" applyFont="1"/>
    <xf numFmtId="10" fontId="95" fillId="0" borderId="0" xfId="0" applyNumberFormat="1" applyFont="1"/>
    <xf numFmtId="10" fontId="249" fillId="0" borderId="0" xfId="0" applyNumberFormat="1" applyFont="1"/>
    <xf numFmtId="14" fontId="85" fillId="0" borderId="0" xfId="0" applyNumberFormat="1" applyFont="1"/>
    <xf numFmtId="0" fontId="192" fillId="0" borderId="71" xfId="0" applyFont="1" applyBorder="1" applyAlignment="1">
      <alignment horizontal="center"/>
    </xf>
    <xf numFmtId="9" fontId="56" fillId="0" borderId="0" xfId="3" applyFont="1"/>
    <xf numFmtId="9" fontId="56" fillId="0" borderId="10" xfId="3" applyFont="1" applyBorder="1"/>
    <xf numFmtId="9" fontId="45" fillId="0" borderId="0" xfId="3" applyFont="1"/>
    <xf numFmtId="9" fontId="45" fillId="0" borderId="10" xfId="3" applyFont="1" applyBorder="1"/>
    <xf numFmtId="9" fontId="45" fillId="0" borderId="0" xfId="3" applyFont="1" applyBorder="1"/>
    <xf numFmtId="231" fontId="45" fillId="0" borderId="0" xfId="0" applyNumberFormat="1" applyFont="1"/>
    <xf numFmtId="231" fontId="45" fillId="0" borderId="0" xfId="3" applyNumberFormat="1" applyFont="1"/>
    <xf numFmtId="41" fontId="9" fillId="0" borderId="0" xfId="0" applyNumberFormat="1" applyFont="1"/>
    <xf numFmtId="0" fontId="250" fillId="0" borderId="0" xfId="0" applyFont="1"/>
    <xf numFmtId="174" fontId="195" fillId="0" borderId="0" xfId="8" applyNumberFormat="1" applyFont="1"/>
    <xf numFmtId="198" fontId="132" fillId="0" borderId="29" xfId="0" applyNumberFormat="1" applyFont="1" applyBorder="1"/>
    <xf numFmtId="41" fontId="108" fillId="0" borderId="0" xfId="8" applyNumberFormat="1" applyFont="1" applyBorder="1" applyAlignment="1">
      <alignment horizontal="right"/>
    </xf>
    <xf numFmtId="41" fontId="108" fillId="0" borderId="10" xfId="8" applyNumberFormat="1" applyFont="1" applyBorder="1" applyAlignment="1">
      <alignment horizontal="right"/>
    </xf>
    <xf numFmtId="41" fontId="108" fillId="0" borderId="29" xfId="8" applyNumberFormat="1" applyFont="1" applyBorder="1" applyAlignment="1">
      <alignment horizontal="right"/>
    </xf>
    <xf numFmtId="41" fontId="108" fillId="0" borderId="8" xfId="8" applyNumberFormat="1" applyFont="1" applyBorder="1" applyAlignment="1">
      <alignment horizontal="right"/>
    </xf>
    <xf numFmtId="174" fontId="108" fillId="0" borderId="8" xfId="8" applyNumberFormat="1" applyFont="1" applyBorder="1" applyAlignment="1">
      <alignment horizontal="right"/>
    </xf>
    <xf numFmtId="174" fontId="108" fillId="0" borderId="0" xfId="8" applyNumberFormat="1" applyFont="1" applyAlignment="1">
      <alignment horizontal="right"/>
    </xf>
    <xf numFmtId="41" fontId="108" fillId="0" borderId="0" xfId="8" applyNumberFormat="1" applyFont="1" applyFill="1" applyBorder="1" applyAlignment="1">
      <alignment horizontal="right"/>
    </xf>
    <xf numFmtId="41" fontId="108" fillId="0" borderId="10" xfId="8" applyNumberFormat="1" applyFont="1" applyFill="1" applyBorder="1" applyAlignment="1">
      <alignment horizontal="right"/>
    </xf>
    <xf numFmtId="174" fontId="108" fillId="0" borderId="0" xfId="8" applyNumberFormat="1" applyFont="1" applyFill="1" applyBorder="1" applyAlignment="1">
      <alignment horizontal="right"/>
    </xf>
    <xf numFmtId="174" fontId="108" fillId="0" borderId="10" xfId="8" applyNumberFormat="1" applyFont="1" applyFill="1" applyBorder="1" applyAlignment="1">
      <alignment horizontal="right"/>
    </xf>
    <xf numFmtId="174" fontId="108" fillId="0" borderId="29" xfId="8" applyNumberFormat="1" applyFont="1" applyFill="1" applyBorder="1" applyAlignment="1">
      <alignment horizontal="right"/>
    </xf>
    <xf numFmtId="174" fontId="108" fillId="0" borderId="8" xfId="8" applyNumberFormat="1" applyFont="1" applyFill="1" applyBorder="1" applyAlignment="1">
      <alignment horizontal="right"/>
    </xf>
    <xf numFmtId="174" fontId="108" fillId="0" borderId="0" xfId="8" applyNumberFormat="1" applyFont="1" applyFill="1" applyAlignment="1">
      <alignment horizontal="right"/>
    </xf>
    <xf numFmtId="41" fontId="125" fillId="0" borderId="0" xfId="0" applyNumberFormat="1" applyFont="1"/>
    <xf numFmtId="41" fontId="125" fillId="0" borderId="29" xfId="0" applyNumberFormat="1" applyFont="1" applyBorder="1"/>
    <xf numFmtId="41" fontId="123" fillId="0" borderId="8" xfId="0" applyNumberFormat="1" applyFont="1" applyBorder="1"/>
    <xf numFmtId="41" fontId="125" fillId="0" borderId="10" xfId="0" applyNumberFormat="1" applyFont="1" applyBorder="1"/>
    <xf numFmtId="0" fontId="198" fillId="0" borderId="0" xfId="0" applyFont="1" applyAlignment="1">
      <alignment horizontal="left"/>
    </xf>
    <xf numFmtId="41" fontId="198" fillId="0" borderId="29" xfId="0" applyNumberFormat="1" applyFont="1" applyBorder="1"/>
    <xf numFmtId="41" fontId="198" fillId="0" borderId="8" xfId="0" applyNumberFormat="1" applyFont="1" applyBorder="1"/>
    <xf numFmtId="41" fontId="204" fillId="0" borderId="0" xfId="0" applyNumberFormat="1" applyFont="1"/>
    <xf numFmtId="41" fontId="252" fillId="0" borderId="0" xfId="0" applyNumberFormat="1" applyFont="1"/>
    <xf numFmtId="41" fontId="251" fillId="0" borderId="10" xfId="0" applyNumberFormat="1" applyFont="1" applyBorder="1"/>
    <xf numFmtId="41" fontId="191" fillId="0" borderId="8" xfId="0" applyNumberFormat="1" applyFont="1" applyBorder="1" applyAlignment="1">
      <alignment horizontal="right"/>
    </xf>
    <xf numFmtId="41" fontId="195" fillId="0" borderId="8" xfId="0" applyNumberFormat="1" applyFont="1" applyBorder="1" applyAlignment="1">
      <alignment horizontal="right"/>
    </xf>
    <xf numFmtId="200" fontId="56" fillId="0" borderId="0" xfId="0" applyNumberFormat="1" applyFont="1" applyAlignment="1">
      <alignment horizontal="right"/>
    </xf>
    <xf numFmtId="200" fontId="56" fillId="0" borderId="10" xfId="0" applyNumberFormat="1" applyFont="1" applyBorder="1" applyAlignment="1">
      <alignment horizontal="right"/>
    </xf>
    <xf numFmtId="174" fontId="2" fillId="0" borderId="0" xfId="8" applyNumberFormat="1" applyFont="1"/>
    <xf numFmtId="41" fontId="134" fillId="0" borderId="72" xfId="0" applyNumberFormat="1" applyFont="1" applyBorder="1" applyAlignment="1">
      <alignment horizontal="left"/>
    </xf>
    <xf numFmtId="14" fontId="91" fillId="0" borderId="72" xfId="0" applyNumberFormat="1" applyFont="1" applyBorder="1"/>
    <xf numFmtId="0" fontId="96" fillId="0" borderId="15" xfId="0" applyFont="1" applyBorder="1" applyAlignment="1">
      <alignment horizontal="center"/>
    </xf>
    <xf numFmtId="0" fontId="156" fillId="3" borderId="0" xfId="0" applyFont="1" applyFill="1" applyAlignment="1">
      <alignment vertical="top" wrapText="1"/>
    </xf>
    <xf numFmtId="0" fontId="156" fillId="0" borderId="0" xfId="0" applyFont="1" applyAlignment="1">
      <alignment vertical="top" wrapText="1"/>
    </xf>
    <xf numFmtId="0" fontId="156" fillId="0" borderId="0" xfId="0" applyFont="1" applyAlignment="1">
      <alignment wrapText="1"/>
    </xf>
    <xf numFmtId="0" fontId="155" fillId="0" borderId="19" xfId="0" applyFont="1" applyBorder="1" applyAlignment="1">
      <alignment vertical="top" wrapText="1"/>
    </xf>
    <xf numFmtId="0" fontId="155" fillId="0" borderId="49" xfId="0" applyFont="1" applyBorder="1" applyAlignment="1">
      <alignment vertical="top" wrapText="1"/>
    </xf>
    <xf numFmtId="0" fontId="45" fillId="0" borderId="0" xfId="0" applyFont="1" applyAlignment="1">
      <alignment wrapText="1"/>
    </xf>
    <xf numFmtId="0" fontId="45" fillId="2" borderId="0" xfId="0" applyFont="1" applyFill="1" applyAlignment="1">
      <alignment wrapText="1"/>
    </xf>
    <xf numFmtId="0" fontId="31" fillId="0" borderId="0" xfId="6" applyFont="1" applyAlignment="1">
      <alignment horizontal="left"/>
    </xf>
    <xf numFmtId="0" fontId="28" fillId="0" borderId="0" xfId="6"/>
    <xf numFmtId="0" fontId="29" fillId="0" borderId="0" xfId="6" applyFont="1" applyAlignment="1">
      <alignment horizontal="left"/>
    </xf>
    <xf numFmtId="0" fontId="31" fillId="0" borderId="0" xfId="6" applyFont="1" applyAlignment="1">
      <alignment horizontal="left" vertical="top" wrapText="1"/>
    </xf>
    <xf numFmtId="0" fontId="30" fillId="0" borderId="0" xfId="6" applyFont="1" applyAlignment="1">
      <alignment horizontal="left" vertical="top" wrapText="1"/>
    </xf>
    <xf numFmtId="14" fontId="22" fillId="0" borderId="0" xfId="0" applyNumberFormat="1" applyFont="1"/>
    <xf numFmtId="14" fontId="118" fillId="0" borderId="0" xfId="0" applyNumberFormat="1" applyFont="1"/>
    <xf numFmtId="14" fontId="118" fillId="0" borderId="29" xfId="0" applyNumberFormat="1" applyFont="1" applyBorder="1"/>
  </cellXfs>
  <cellStyles count="16">
    <cellStyle name="Comma" xfId="8" builtinId="3"/>
    <cellStyle name="Comma 3 3" xfId="9" xr:uid="{CB631DD8-96ED-48A9-B16A-BD486EF289FB}"/>
    <cellStyle name="Currency 2" xfId="13" xr:uid="{B3CC2356-9494-477B-8E49-F73794F55D89}"/>
    <cellStyle name="Good 2" xfId="14" xr:uid="{64C649BD-0BC4-4443-A8A0-116E7863F309}"/>
    <cellStyle name="Hyperlink" xfId="11" builtinId="8"/>
    <cellStyle name="Invisible" xfId="5" xr:uid="{483A650F-EAA7-4D13-89B5-E94AB4C04EA6}"/>
    <cellStyle name="Normal" xfId="0" builtinId="0"/>
    <cellStyle name="Normal 2" xfId="1" xr:uid="{AD88DEA1-FD77-442F-9443-1DEA020EE234}"/>
    <cellStyle name="Normal 2 2" xfId="15" xr:uid="{740FB857-4C7A-4798-9406-E33111255C8F}"/>
    <cellStyle name="Normal 3" xfId="4" xr:uid="{7B9E74A6-A3C0-4AC2-A806-DABA0C2108E9}"/>
    <cellStyle name="Normal 4" xfId="6" xr:uid="{39F56AF8-7083-45AF-B2D1-70125BFCE2E2}"/>
    <cellStyle name="Normal 5" xfId="12" xr:uid="{591597D3-6EDF-4B7E-9B80-F81CB7184A5E}"/>
    <cellStyle name="Percent" xfId="3" builtinId="5"/>
    <cellStyle name="Percent 2" xfId="2" xr:uid="{A9827F7E-8E85-4003-8E45-A2D4715683F6}"/>
    <cellStyle name="Percent 3" xfId="7" xr:uid="{710A6F73-7E7E-41C5-9810-6A4CC33CF845}"/>
    <cellStyle name="Percent 4 2" xfId="10" xr:uid="{CEFD3891-4561-40B8-8986-CC727E2F60CD}"/>
  </cellStyles>
  <dxfs count="8">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s>
  <tableStyles count="1" defaultTableStyle="TableStyleMedium2" defaultPivotStyle="PivotStyleLight16">
    <tableStyle name="Invisible" pivot="0" table="0" count="0" xr9:uid="{40EBE3B6-115B-43AD-8604-0B08A2CC86C0}"/>
  </tableStyles>
  <colors>
    <mruColors>
      <color rgb="FF00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0" Type="http://schemas.openxmlformats.org/officeDocument/2006/relationships/worksheet" Target="worksheets/sheet20.xml"/><Relationship Id="rId41"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Organic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'Peer benchmarking'!$A$65</c:f>
              <c:strCache>
                <c:ptCount val="1"/>
                <c:pt idx="0">
                  <c:v>% Organic CC</c:v>
                </c:pt>
              </c:strCache>
            </c:strRef>
          </c:tx>
          <c:spPr>
            <a:ln w="28575" cap="rnd">
              <a:solidFill>
                <a:schemeClr val="accent1"/>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benchmarking'!$B$65:$P$65</c:f>
              <c:numCache>
                <c:formatCode>_(* #,##0_);_(* \(#,##0\);_(* "-"_);_(@_)</c:formatCode>
                <c:ptCount val="11"/>
              </c:numCache>
            </c:numRef>
          </c:val>
          <c:smooth val="0"/>
          <c:extLst>
            <c:ext xmlns:c16="http://schemas.microsoft.com/office/drawing/2014/chart" uri="{C3380CC4-5D6E-409C-BE32-E72D297353CC}">
              <c16:uniqueId val="{00000000-C55E-4D94-994E-CAC4D88ED9AE}"/>
            </c:ext>
          </c:extLst>
        </c:ser>
        <c:ser>
          <c:idx val="1"/>
          <c:order val="1"/>
          <c:tx>
            <c:strRef>
              <c:f>'Peer benchmarking'!$A$66</c:f>
              <c:strCache>
                <c:ptCount val="1"/>
                <c:pt idx="0">
                  <c:v>FA</c:v>
                </c:pt>
              </c:strCache>
            </c:strRef>
          </c:tx>
          <c:spPr>
            <a:ln w="28575" cap="rnd">
              <a:solidFill>
                <a:schemeClr val="accent2"/>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benchmarking'!$C$66:$U$66</c:f>
              <c:numCache>
                <c:formatCode>_(* #,##0.0%_);_(* \(#,##0.0%\);_(* "-"_);_(@_)</c:formatCode>
                <c:ptCount val="15"/>
                <c:pt idx="0">
                  <c:v>7.7305631828704403E-3</c:v>
                </c:pt>
                <c:pt idx="1">
                  <c:v>-0.13268348470213548</c:v>
                </c:pt>
                <c:pt idx="2">
                  <c:v>0.10297242943574247</c:v>
                </c:pt>
                <c:pt idx="3">
                  <c:v>0.23371278158281353</c:v>
                </c:pt>
                <c:pt idx="4">
                  <c:v>0.192</c:v>
                </c:pt>
                <c:pt idx="5">
                  <c:v>0.59330622041469439</c:v>
                </c:pt>
                <c:pt idx="6">
                  <c:v>0.34251853368231733</c:v>
                </c:pt>
                <c:pt idx="7">
                  <c:v>0.30207481602616504</c:v>
                </c:pt>
                <c:pt idx="8">
                  <c:v>0.33294465056409495</c:v>
                </c:pt>
                <c:pt idx="9">
                  <c:v>0.11791724343061083</c:v>
                </c:pt>
                <c:pt idx="10">
                  <c:v>4.2303763733557265E-2</c:v>
                </c:pt>
                <c:pt idx="11">
                  <c:v>-8.116424820732937E-3</c:v>
                </c:pt>
                <c:pt idx="12">
                  <c:v>-6.4308698605968884E-2</c:v>
                </c:pt>
                <c:pt idx="13">
                  <c:v>-7.5217924102380929E-2</c:v>
                </c:pt>
                <c:pt idx="14">
                  <c:v>-3.3842105774178677E-2</c:v>
                </c:pt>
              </c:numCache>
            </c:numRef>
          </c:val>
          <c:smooth val="0"/>
          <c:extLst>
            <c:ext xmlns:c16="http://schemas.microsoft.com/office/drawing/2014/chart" uri="{C3380CC4-5D6E-409C-BE32-E72D297353CC}">
              <c16:uniqueId val="{00000001-C55E-4D94-994E-CAC4D88ED9AE}"/>
            </c:ext>
          </c:extLst>
        </c:ser>
        <c:ser>
          <c:idx val="2"/>
          <c:order val="2"/>
          <c:tx>
            <c:strRef>
              <c:f>'Peer benchmarking'!$A$67</c:f>
              <c:strCache>
                <c:ptCount val="1"/>
                <c:pt idx="0">
                  <c:v>STER</c:v>
                </c:pt>
              </c:strCache>
            </c:strRef>
          </c:tx>
          <c:spPr>
            <a:ln w="28575" cap="rnd">
              <a:solidFill>
                <a:schemeClr val="accent3"/>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benchmarking'!$C$67:$U$67</c:f>
              <c:numCache>
                <c:formatCode>_(* #,##0.0%_);_(* \(#,##0.0%\);_(* "-"_);_(@_)</c:formatCode>
                <c:ptCount val="15"/>
                <c:pt idx="0">
                  <c:v>8.4680557995455277E-2</c:v>
                </c:pt>
                <c:pt idx="1">
                  <c:v>-0.32449355966189164</c:v>
                </c:pt>
                <c:pt idx="2">
                  <c:v>-0.12178973646619713</c:v>
                </c:pt>
                <c:pt idx="3">
                  <c:v>4.7325180565086042E-2</c:v>
                </c:pt>
                <c:pt idx="4">
                  <c:v>0.1436179272751468</c:v>
                </c:pt>
                <c:pt idx="5">
                  <c:v>0.76674289527724193</c:v>
                </c:pt>
                <c:pt idx="6">
                  <c:v>0.43178302635237564</c:v>
                </c:pt>
                <c:pt idx="7">
                  <c:v>0.3231637444330222</c:v>
                </c:pt>
                <c:pt idx="8">
                  <c:v>0.30442699289660607</c:v>
                </c:pt>
                <c:pt idx="9">
                  <c:v>0.22836327575818444</c:v>
                </c:pt>
                <c:pt idx="10">
                  <c:v>0.124</c:v>
                </c:pt>
                <c:pt idx="11">
                  <c:v>-4.2999999999999997E-2</c:v>
                </c:pt>
                <c:pt idx="12">
                  <c:v>-7.0999999999999994E-2</c:v>
                </c:pt>
                <c:pt idx="13">
                  <c:v>-0.10100000000000001</c:v>
                </c:pt>
                <c:pt idx="14">
                  <c:v>-0.11899999999999999</c:v>
                </c:pt>
              </c:numCache>
            </c:numRef>
          </c:val>
          <c:smooth val="0"/>
          <c:extLst>
            <c:ext xmlns:c16="http://schemas.microsoft.com/office/drawing/2014/chart" uri="{C3380CC4-5D6E-409C-BE32-E72D297353CC}">
              <c16:uniqueId val="{00000002-C55E-4D94-994E-CAC4D88ED9AE}"/>
            </c:ext>
          </c:extLst>
        </c:ser>
        <c:ser>
          <c:idx val="3"/>
          <c:order val="3"/>
          <c:tx>
            <c:strRef>
              <c:f>'Peer benchmarking'!$A$68</c:f>
              <c:strCache>
                <c:ptCount val="1"/>
                <c:pt idx="0">
                  <c:v>HRT</c:v>
                </c:pt>
              </c:strCache>
            </c:strRef>
          </c:tx>
          <c:spPr>
            <a:ln w="28575" cap="rnd">
              <a:solidFill>
                <a:schemeClr val="accent4"/>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benchmarking'!$C$68:$U$68</c:f>
              <c:numCache>
                <c:formatCode>_(* #,##0.0%_);_(* \(#,##0.0%\);_(* "-"_);_(@_)</c:formatCode>
                <c:ptCount val="15"/>
                <c:pt idx="0">
                  <c:v>-1.4309401294910054E-2</c:v>
                </c:pt>
                <c:pt idx="1">
                  <c:v>-0.39686699098026568</c:v>
                </c:pt>
                <c:pt idx="2">
                  <c:v>-0.22313545759660439</c:v>
                </c:pt>
                <c:pt idx="3">
                  <c:v>-2.929775388438062E-2</c:v>
                </c:pt>
                <c:pt idx="4">
                  <c:v>-3.825919747042085E-2</c:v>
                </c:pt>
                <c:pt idx="5">
                  <c:v>0.68379865924973682</c:v>
                </c:pt>
                <c:pt idx="6">
                  <c:v>0.56475510339341806</c:v>
                </c:pt>
                <c:pt idx="7">
                  <c:v>0.32146069568642327</c:v>
                </c:pt>
                <c:pt idx="8">
                  <c:v>0.33022502446896657</c:v>
                </c:pt>
                <c:pt idx="9">
                  <c:v>0.2618669798520723</c:v>
                </c:pt>
                <c:pt idx="10">
                  <c:v>3.5999999999999997E-2</c:v>
                </c:pt>
                <c:pt idx="11">
                  <c:v>-0.10771552479676028</c:v>
                </c:pt>
                <c:pt idx="12">
                  <c:v>-0.11707454544539564</c:v>
                </c:pt>
                <c:pt idx="13">
                  <c:v>-0.13571338599679705</c:v>
                </c:pt>
                <c:pt idx="14">
                  <c:v>-0.11480592288269785</c:v>
                </c:pt>
              </c:numCache>
            </c:numRef>
          </c:val>
          <c:smooth val="0"/>
          <c:extLst>
            <c:ext xmlns:c16="http://schemas.microsoft.com/office/drawing/2014/chart" uri="{C3380CC4-5D6E-409C-BE32-E72D297353CC}">
              <c16:uniqueId val="{00000003-C55E-4D94-994E-CAC4D88ED9AE}"/>
            </c:ext>
          </c:extLst>
        </c:ser>
        <c:dLbls>
          <c:showLegendKey val="0"/>
          <c:showVal val="0"/>
          <c:showCatName val="0"/>
          <c:showSerName val="0"/>
          <c:showPercent val="0"/>
          <c:showBubbleSize val="0"/>
        </c:dLbls>
        <c:smooth val="0"/>
        <c:axId val="118330943"/>
        <c:axId val="118307231"/>
      </c:lineChart>
      <c:catAx>
        <c:axId val="1183309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07231"/>
        <c:crosses val="autoZero"/>
        <c:auto val="1"/>
        <c:lblAlgn val="ctr"/>
        <c:lblOffset val="100"/>
        <c:noMultiLvlLbl val="0"/>
      </c:catAx>
      <c:valAx>
        <c:axId val="1183072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0943"/>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Growth for FA vs.</a:t>
            </a:r>
            <a:r>
              <a:rPr lang="en-US" baseline="0"/>
              <a:t> EWS Divisions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'Peer benchmarking'!$A$47</c:f>
              <c:strCache>
                <c:ptCount val="1"/>
                <c:pt idx="0">
                  <c:v>FA</c:v>
                </c:pt>
              </c:strCache>
            </c:strRef>
          </c:tx>
          <c:spPr>
            <a:ln w="28575" cap="rnd">
              <a:solidFill>
                <a:sysClr val="windowText" lastClr="000000"/>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benchmarking'!$G$66:$R$66</c:f>
              <c:numCache>
                <c:formatCode>_(* #,##0.0%_);_(* \(#,##0.0%\);_(* "-"_);_(@_)</c:formatCode>
                <c:ptCount val="12"/>
                <c:pt idx="0">
                  <c:v>7.7305631828704403E-3</c:v>
                </c:pt>
                <c:pt idx="1">
                  <c:v>-0.13268348470213548</c:v>
                </c:pt>
                <c:pt idx="2">
                  <c:v>0.10297242943574247</c:v>
                </c:pt>
                <c:pt idx="3">
                  <c:v>0.23371278158281353</c:v>
                </c:pt>
                <c:pt idx="4">
                  <c:v>0.192</c:v>
                </c:pt>
                <c:pt idx="5">
                  <c:v>0.59330622041469439</c:v>
                </c:pt>
                <c:pt idx="6">
                  <c:v>0.34251853368231733</c:v>
                </c:pt>
                <c:pt idx="7">
                  <c:v>0.30207481602616504</c:v>
                </c:pt>
                <c:pt idx="8">
                  <c:v>0.33294465056409495</c:v>
                </c:pt>
                <c:pt idx="9">
                  <c:v>0.11791724343061083</c:v>
                </c:pt>
                <c:pt idx="10">
                  <c:v>4.2303763733557265E-2</c:v>
                </c:pt>
                <c:pt idx="11">
                  <c:v>-8.116424820732937E-3</c:v>
                </c:pt>
              </c:numCache>
            </c:numRef>
          </c:val>
          <c:smooth val="0"/>
          <c:extLst>
            <c:ext xmlns:c16="http://schemas.microsoft.com/office/drawing/2014/chart" uri="{C3380CC4-5D6E-409C-BE32-E72D297353CC}">
              <c16:uniqueId val="{00000000-36B3-41D7-983B-C5CF1092D661}"/>
            </c:ext>
          </c:extLst>
        </c:ser>
        <c:ser>
          <c:idx val="3"/>
          <c:order val="1"/>
          <c:tx>
            <c:strRef>
              <c:f>'Peer benchmarking'!$A$52</c:f>
              <c:strCache>
                <c:ptCount val="1"/>
                <c:pt idx="0">
                  <c:v>EFX - Verification Services</c:v>
                </c:pt>
              </c:strCache>
            </c:strRef>
          </c:tx>
          <c:spPr>
            <a:ln w="28575" cap="rnd">
              <a:solidFill>
                <a:schemeClr val="accent4"/>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benchmarking'!$G$52:$R$52</c:f>
            </c:numRef>
          </c:val>
          <c:smooth val="0"/>
          <c:extLst>
            <c:ext xmlns:c16="http://schemas.microsoft.com/office/drawing/2014/chart" uri="{C3380CC4-5D6E-409C-BE32-E72D297353CC}">
              <c16:uniqueId val="{00000003-36B3-41D7-983B-C5CF1092D661}"/>
            </c:ext>
          </c:extLst>
        </c:ser>
        <c:ser>
          <c:idx val="4"/>
          <c:order val="2"/>
          <c:tx>
            <c:strRef>
              <c:f>'Peer benchmarking'!$A$53</c:f>
              <c:strCache>
                <c:ptCount val="1"/>
                <c:pt idx="0">
                  <c:v>EFX - Employer Services</c:v>
                </c:pt>
              </c:strCache>
            </c:strRef>
          </c:tx>
          <c:spPr>
            <a:ln w="28575" cap="rnd">
              <a:solidFill>
                <a:schemeClr val="accent5"/>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benchmarking'!$G$53:$R$53</c:f>
            </c:numRef>
          </c:val>
          <c:smooth val="0"/>
          <c:extLst>
            <c:ext xmlns:c16="http://schemas.microsoft.com/office/drawing/2014/chart" uri="{C3380CC4-5D6E-409C-BE32-E72D297353CC}">
              <c16:uniqueId val="{00000004-36B3-41D7-983B-C5CF1092D661}"/>
            </c:ext>
          </c:extLst>
        </c:ser>
        <c:ser>
          <c:idx val="5"/>
          <c:order val="3"/>
          <c:tx>
            <c:strRef>
              <c:f>'Peer benchmarking'!$A$54</c:f>
              <c:strCache>
                <c:ptCount val="1"/>
                <c:pt idx="0">
                  <c:v>EFX - EWS</c:v>
                </c:pt>
              </c:strCache>
            </c:strRef>
          </c:tx>
          <c:spPr>
            <a:ln w="28575" cap="rnd">
              <a:solidFill>
                <a:schemeClr val="accent6"/>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benchmarking'!$G$54:$R$54</c:f>
            </c:numRef>
          </c:val>
          <c:smooth val="0"/>
          <c:extLst>
            <c:ext xmlns:c16="http://schemas.microsoft.com/office/drawing/2014/chart" uri="{C3380CC4-5D6E-409C-BE32-E72D297353CC}">
              <c16:uniqueId val="{00000005-36B3-41D7-983B-C5CF1092D661}"/>
            </c:ext>
          </c:extLst>
        </c:ser>
        <c:dLbls>
          <c:showLegendKey val="0"/>
          <c:showVal val="0"/>
          <c:showCatName val="0"/>
          <c:showSerName val="0"/>
          <c:showPercent val="0"/>
          <c:showBubbleSize val="0"/>
        </c:dLbls>
        <c:smooth val="0"/>
        <c:axId val="1190852304"/>
        <c:axId val="1190865616"/>
      </c:lineChart>
      <c:catAx>
        <c:axId val="119085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65616"/>
        <c:crosses val="autoZero"/>
        <c:auto val="1"/>
        <c:lblAlgn val="ctr"/>
        <c:lblOffset val="100"/>
        <c:noMultiLvlLbl val="0"/>
      </c:catAx>
      <c:valAx>
        <c:axId val="11908656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5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t>FA vs. EFX EWS Organic Growth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'Peer benchmarking'!$A$66:$B$66</c:f>
              <c:strCache>
                <c:ptCount val="2"/>
                <c:pt idx="0">
                  <c:v>FA</c:v>
                </c:pt>
              </c:strCache>
            </c:strRef>
          </c:tx>
          <c:spPr>
            <a:ln w="28575" cap="rnd">
              <a:solidFill>
                <a:schemeClr val="accent1"/>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benchmarking'!$C$66:$U$66</c:f>
              <c:numCache>
                <c:formatCode>_(* #,##0.0%_);_(* \(#,##0.0%\);_(* "-"_);_(@_)</c:formatCode>
                <c:ptCount val="15"/>
                <c:pt idx="0">
                  <c:v>7.7305631828704403E-3</c:v>
                </c:pt>
                <c:pt idx="1">
                  <c:v>-0.13268348470213548</c:v>
                </c:pt>
                <c:pt idx="2">
                  <c:v>0.10297242943574247</c:v>
                </c:pt>
                <c:pt idx="3">
                  <c:v>0.23371278158281353</c:v>
                </c:pt>
                <c:pt idx="4">
                  <c:v>0.192</c:v>
                </c:pt>
                <c:pt idx="5">
                  <c:v>0.59330622041469439</c:v>
                </c:pt>
                <c:pt idx="6">
                  <c:v>0.34251853368231733</c:v>
                </c:pt>
                <c:pt idx="7">
                  <c:v>0.30207481602616504</c:v>
                </c:pt>
                <c:pt idx="8">
                  <c:v>0.33294465056409495</c:v>
                </c:pt>
                <c:pt idx="9">
                  <c:v>0.11791724343061083</c:v>
                </c:pt>
                <c:pt idx="10">
                  <c:v>4.2303763733557265E-2</c:v>
                </c:pt>
                <c:pt idx="11">
                  <c:v>-8.116424820732937E-3</c:v>
                </c:pt>
                <c:pt idx="12">
                  <c:v>-6.4308698605968884E-2</c:v>
                </c:pt>
                <c:pt idx="13">
                  <c:v>-7.5217924102380929E-2</c:v>
                </c:pt>
                <c:pt idx="14">
                  <c:v>-3.3842105774178677E-2</c:v>
                </c:pt>
              </c:numCache>
            </c:numRef>
          </c:val>
          <c:smooth val="0"/>
          <c:extLst>
            <c:ext xmlns:c16="http://schemas.microsoft.com/office/drawing/2014/chart" uri="{C3380CC4-5D6E-409C-BE32-E72D297353CC}">
              <c16:uniqueId val="{00000000-A495-4743-9F04-58EC82137D96}"/>
            </c:ext>
          </c:extLst>
        </c:ser>
        <c:ser>
          <c:idx val="1"/>
          <c:order val="1"/>
          <c:tx>
            <c:strRef>
              <c:f>'Peer benchmarking'!$A$71:$B$71</c:f>
              <c:strCache>
                <c:ptCount val="2"/>
                <c:pt idx="0">
                  <c:v>EFX - Verification Services</c:v>
                </c:pt>
              </c:strCache>
            </c:strRef>
          </c:tx>
          <c:spPr>
            <a:ln w="28575" cap="rnd">
              <a:solidFill>
                <a:schemeClr val="accent2"/>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benchmarking'!$C$71:$U$71</c:f>
            </c:numRef>
          </c:val>
          <c:smooth val="0"/>
          <c:extLst>
            <c:ext xmlns:c16="http://schemas.microsoft.com/office/drawing/2014/chart" uri="{C3380CC4-5D6E-409C-BE32-E72D297353CC}">
              <c16:uniqueId val="{00000001-A495-4743-9F04-58EC82137D96}"/>
            </c:ext>
          </c:extLst>
        </c:ser>
        <c:ser>
          <c:idx val="2"/>
          <c:order val="2"/>
          <c:tx>
            <c:strRef>
              <c:f>'Peer benchmarking'!$A$72:$B$72</c:f>
              <c:strCache>
                <c:ptCount val="2"/>
                <c:pt idx="0">
                  <c:v>EFX - Employer Services</c:v>
                </c:pt>
              </c:strCache>
            </c:strRef>
          </c:tx>
          <c:spPr>
            <a:ln w="28575" cap="rnd">
              <a:solidFill>
                <a:schemeClr val="accent3"/>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benchmarking'!$C$72:$U$72</c:f>
            </c:numRef>
          </c:val>
          <c:smooth val="0"/>
          <c:extLst>
            <c:ext xmlns:c16="http://schemas.microsoft.com/office/drawing/2014/chart" uri="{C3380CC4-5D6E-409C-BE32-E72D297353CC}">
              <c16:uniqueId val="{00000002-A495-4743-9F04-58EC82137D96}"/>
            </c:ext>
          </c:extLst>
        </c:ser>
        <c:ser>
          <c:idx val="3"/>
          <c:order val="3"/>
          <c:tx>
            <c:strRef>
              <c:f>'Peer benchmarking'!$A$73:$B$73</c:f>
              <c:strCache>
                <c:ptCount val="2"/>
                <c:pt idx="0">
                  <c:v>EFX - EWS</c:v>
                </c:pt>
              </c:strCache>
            </c:strRef>
          </c:tx>
          <c:spPr>
            <a:ln w="28575" cap="rnd">
              <a:solidFill>
                <a:schemeClr val="accent4"/>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benchmarking'!$C$73:$U$73</c:f>
            </c:numRef>
          </c:val>
          <c:smooth val="0"/>
          <c:extLst>
            <c:ext xmlns:c16="http://schemas.microsoft.com/office/drawing/2014/chart" uri="{C3380CC4-5D6E-409C-BE32-E72D297353CC}">
              <c16:uniqueId val="{00000003-A495-4743-9F04-58EC82137D96}"/>
            </c:ext>
          </c:extLst>
        </c:ser>
        <c:dLbls>
          <c:showLegendKey val="0"/>
          <c:showVal val="0"/>
          <c:showCatName val="0"/>
          <c:showSerName val="0"/>
          <c:showPercent val="0"/>
          <c:showBubbleSize val="0"/>
        </c:dLbls>
        <c:smooth val="0"/>
        <c:axId val="859488240"/>
        <c:axId val="413420559"/>
      </c:lineChart>
      <c:catAx>
        <c:axId val="8594882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13420559"/>
        <c:crosses val="autoZero"/>
        <c:auto val="1"/>
        <c:lblAlgn val="ctr"/>
        <c:lblOffset val="100"/>
        <c:noMultiLvlLbl val="0"/>
      </c:catAx>
      <c:valAx>
        <c:axId val="413420559"/>
        <c:scaling>
          <c:orientation val="minMax"/>
          <c:max val="0.30000000000000004"/>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948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BLS Hires Growth % vs. FA Organic Revenue Growth %</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'BLS Hires vs. FA'!$G$41</c:f>
              <c:strCache>
                <c:ptCount val="1"/>
                <c:pt idx="0">
                  <c:v>BLS Hires Growth %</c:v>
                </c:pt>
              </c:strCache>
            </c:strRef>
          </c:tx>
          <c:spPr>
            <a:ln w="28575" cap="rnd">
              <a:solidFill>
                <a:schemeClr val="accent1"/>
              </a:solidFill>
              <a:round/>
            </a:ln>
            <a:effectLst/>
          </c:spPr>
          <c:marker>
            <c:symbol val="none"/>
          </c:marker>
          <c:cat>
            <c:strRef>
              <c:f>'BLS Hires vs. FA'!$H$36:$Q$36</c:f>
              <c:strCache>
                <c:ptCount val="10"/>
                <c:pt idx="0">
                  <c:v>1Q20</c:v>
                </c:pt>
                <c:pt idx="1">
                  <c:v>2Q20</c:v>
                </c:pt>
                <c:pt idx="2">
                  <c:v>3Q20</c:v>
                </c:pt>
                <c:pt idx="3">
                  <c:v>4Q20</c:v>
                </c:pt>
                <c:pt idx="4">
                  <c:v>1Q21</c:v>
                </c:pt>
                <c:pt idx="5">
                  <c:v>2Q21</c:v>
                </c:pt>
                <c:pt idx="6">
                  <c:v>3Q21</c:v>
                </c:pt>
                <c:pt idx="7">
                  <c:v>4Q21</c:v>
                </c:pt>
                <c:pt idx="8">
                  <c:v>1Q22</c:v>
                </c:pt>
                <c:pt idx="9">
                  <c:v>2Q22</c:v>
                </c:pt>
              </c:strCache>
            </c:strRef>
          </c:cat>
          <c:val>
            <c:numRef>
              <c:f>'BLS Hires vs. FA'!$H$41:$Q$41</c:f>
              <c:numCache>
                <c:formatCode>_(* #,##0.0%_);_(* \(#,##0.0%\);_(* "-"_);_(@_)</c:formatCode>
                <c:ptCount val="10"/>
                <c:pt idx="0">
                  <c:v>4.892823858341E-3</c:v>
                </c:pt>
                <c:pt idx="1">
                  <c:v>0.1218898358405307</c:v>
                </c:pt>
                <c:pt idx="2">
                  <c:v>1.9161406672678183E-2</c:v>
                </c:pt>
                <c:pt idx="3">
                  <c:v>4.8391688015938517E-3</c:v>
                </c:pt>
                <c:pt idx="4">
                  <c:v>4.0748898678414136E-2</c:v>
                </c:pt>
                <c:pt idx="5">
                  <c:v>-5.0321199143468998E-2</c:v>
                </c:pt>
                <c:pt idx="6">
                  <c:v>7.3988055739880654E-2</c:v>
                </c:pt>
                <c:pt idx="7">
                  <c:v>0.11133144475920687</c:v>
                </c:pt>
                <c:pt idx="8">
                  <c:v>0.10849345586187686</c:v>
                </c:pt>
                <c:pt idx="9">
                  <c:v>4.1928383529285629E-2</c:v>
                </c:pt>
              </c:numCache>
            </c:numRef>
          </c:val>
          <c:smooth val="0"/>
          <c:extLst>
            <c:ext xmlns:c16="http://schemas.microsoft.com/office/drawing/2014/chart" uri="{C3380CC4-5D6E-409C-BE32-E72D297353CC}">
              <c16:uniqueId val="{00000000-59FA-473D-BBE8-4BA651582B27}"/>
            </c:ext>
          </c:extLst>
        </c:ser>
        <c:ser>
          <c:idx val="1"/>
          <c:order val="1"/>
          <c:tx>
            <c:strRef>
              <c:f>'BLS Hires vs. FA'!$G$42</c:f>
              <c:strCache>
                <c:ptCount val="1"/>
                <c:pt idx="0">
                  <c:v>FA Organic Revenue Growth %</c:v>
                </c:pt>
              </c:strCache>
            </c:strRef>
          </c:tx>
          <c:spPr>
            <a:ln w="28575" cap="rnd">
              <a:solidFill>
                <a:schemeClr val="accent2"/>
              </a:solidFill>
              <a:round/>
            </a:ln>
            <a:effectLst/>
          </c:spPr>
          <c:marker>
            <c:symbol val="none"/>
          </c:marker>
          <c:cat>
            <c:strRef>
              <c:f>'BLS Hires vs. FA'!$H$36:$Q$36</c:f>
              <c:strCache>
                <c:ptCount val="10"/>
                <c:pt idx="0">
                  <c:v>1Q20</c:v>
                </c:pt>
                <c:pt idx="1">
                  <c:v>2Q20</c:v>
                </c:pt>
                <c:pt idx="2">
                  <c:v>3Q20</c:v>
                </c:pt>
                <c:pt idx="3">
                  <c:v>4Q20</c:v>
                </c:pt>
                <c:pt idx="4">
                  <c:v>1Q21</c:v>
                </c:pt>
                <c:pt idx="5">
                  <c:v>2Q21</c:v>
                </c:pt>
                <c:pt idx="6">
                  <c:v>3Q21</c:v>
                </c:pt>
                <c:pt idx="7">
                  <c:v>4Q21</c:v>
                </c:pt>
                <c:pt idx="8">
                  <c:v>1Q22</c:v>
                </c:pt>
                <c:pt idx="9">
                  <c:v>2Q22</c:v>
                </c:pt>
              </c:strCache>
            </c:strRef>
          </c:cat>
          <c:val>
            <c:numRef>
              <c:f>'BLS Hires vs. FA'!$H$42:$Q$42</c:f>
              <c:numCache>
                <c:formatCode>_(* #,##0.0%_);_(* \(#,##0.0%\);_(* "-"_);_(@_)</c:formatCode>
                <c:ptCount val="10"/>
                <c:pt idx="0">
                  <c:v>1.0502611977718512E-2</c:v>
                </c:pt>
                <c:pt idx="1">
                  <c:v>-0.13671980990125066</c:v>
                </c:pt>
                <c:pt idx="2">
                  <c:v>0.10510709466829327</c:v>
                </c:pt>
                <c:pt idx="3">
                  <c:v>0.23564606519851594</c:v>
                </c:pt>
                <c:pt idx="4">
                  <c:v>0.19154810130008393</c:v>
                </c:pt>
                <c:pt idx="5">
                  <c:v>0.59799999999999998</c:v>
                </c:pt>
                <c:pt idx="6">
                  <c:v>0.34499999999999997</c:v>
                </c:pt>
                <c:pt idx="7">
                  <c:v>0.30299999999999999</c:v>
                </c:pt>
                <c:pt idx="8">
                  <c:v>0.32600000000000001</c:v>
                </c:pt>
                <c:pt idx="9">
                  <c:v>0.105</c:v>
                </c:pt>
              </c:numCache>
            </c:numRef>
          </c:val>
          <c:smooth val="0"/>
          <c:extLst>
            <c:ext xmlns:c16="http://schemas.microsoft.com/office/drawing/2014/chart" uri="{C3380CC4-5D6E-409C-BE32-E72D297353CC}">
              <c16:uniqueId val="{00000001-59FA-473D-BBE8-4BA651582B27}"/>
            </c:ext>
          </c:extLst>
        </c:ser>
        <c:dLbls>
          <c:showLegendKey val="0"/>
          <c:showVal val="0"/>
          <c:showCatName val="0"/>
          <c:showSerName val="0"/>
          <c:showPercent val="0"/>
          <c:showBubbleSize val="0"/>
        </c:dLbls>
        <c:smooth val="0"/>
        <c:axId val="284589647"/>
        <c:axId val="284590895"/>
      </c:lineChart>
      <c:catAx>
        <c:axId val="28458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84590895"/>
        <c:crosses val="autoZero"/>
        <c:auto val="1"/>
        <c:lblAlgn val="ctr"/>
        <c:lblOffset val="100"/>
        <c:noMultiLvlLbl val="0"/>
      </c:catAx>
      <c:valAx>
        <c:axId val="284590895"/>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8458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gif"/><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47</xdr:col>
      <xdr:colOff>351117</xdr:colOff>
      <xdr:row>3</xdr:row>
      <xdr:rowOff>159892</xdr:rowOff>
    </xdr:from>
    <xdr:to>
      <xdr:col>52</xdr:col>
      <xdr:colOff>530333</xdr:colOff>
      <xdr:row>16</xdr:row>
      <xdr:rowOff>2874</xdr:rowOff>
    </xdr:to>
    <xdr:pic>
      <xdr:nvPicPr>
        <xdr:cNvPr id="2" name="Picture 1">
          <a:extLst>
            <a:ext uri="{FF2B5EF4-FFF2-40B4-BE49-F238E27FC236}">
              <a16:creationId xmlns:a16="http://schemas.microsoft.com/office/drawing/2014/main" id="{0599C0D3-DCF8-4751-A132-B8D2E20C1922}"/>
            </a:ext>
          </a:extLst>
        </xdr:cNvPr>
        <xdr:cNvPicPr>
          <a:picLocks noChangeAspect="1"/>
        </xdr:cNvPicPr>
      </xdr:nvPicPr>
      <xdr:blipFill>
        <a:blip xmlns:r="http://schemas.openxmlformats.org/officeDocument/2006/relationships" r:embed="rId1"/>
        <a:stretch>
          <a:fillRect/>
        </a:stretch>
      </xdr:blipFill>
      <xdr:spPr>
        <a:xfrm>
          <a:off x="20267892" y="645667"/>
          <a:ext cx="3227216" cy="23049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115</xdr:row>
      <xdr:rowOff>0</xdr:rowOff>
    </xdr:from>
    <xdr:to>
      <xdr:col>8</xdr:col>
      <xdr:colOff>9525</xdr:colOff>
      <xdr:row>115</xdr:row>
      <xdr:rowOff>0</xdr:rowOff>
    </xdr:to>
    <xdr:pic>
      <xdr:nvPicPr>
        <xdr:cNvPr id="11" name="Picture 10">
          <a:extLst>
            <a:ext uri="{FF2B5EF4-FFF2-40B4-BE49-F238E27FC236}">
              <a16:creationId xmlns:a16="http://schemas.microsoft.com/office/drawing/2014/main" id="{4571AB5D-F063-2A21-3910-B005B5F9E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965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115</xdr:row>
      <xdr:rowOff>0</xdr:rowOff>
    </xdr:from>
    <xdr:to>
      <xdr:col>9</xdr:col>
      <xdr:colOff>9525</xdr:colOff>
      <xdr:row>115</xdr:row>
      <xdr:rowOff>0</xdr:rowOff>
    </xdr:to>
    <xdr:pic>
      <xdr:nvPicPr>
        <xdr:cNvPr id="12" name="Picture 11">
          <a:extLst>
            <a:ext uri="{FF2B5EF4-FFF2-40B4-BE49-F238E27FC236}">
              <a16:creationId xmlns:a16="http://schemas.microsoft.com/office/drawing/2014/main" id="{35B66B49-8C0F-A1DF-21E5-532298222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1972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115</xdr:row>
      <xdr:rowOff>0</xdr:rowOff>
    </xdr:from>
    <xdr:to>
      <xdr:col>10</xdr:col>
      <xdr:colOff>9525</xdr:colOff>
      <xdr:row>115</xdr:row>
      <xdr:rowOff>0</xdr:rowOff>
    </xdr:to>
    <xdr:pic>
      <xdr:nvPicPr>
        <xdr:cNvPr id="13" name="Picture 12">
          <a:extLst>
            <a:ext uri="{FF2B5EF4-FFF2-40B4-BE49-F238E27FC236}">
              <a16:creationId xmlns:a16="http://schemas.microsoft.com/office/drawing/2014/main" id="{5A4EE785-FC88-5357-5A5A-C09F627F6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980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115</xdr:row>
      <xdr:rowOff>0</xdr:rowOff>
    </xdr:from>
    <xdr:to>
      <xdr:col>11</xdr:col>
      <xdr:colOff>9525</xdr:colOff>
      <xdr:row>115</xdr:row>
      <xdr:rowOff>0</xdr:rowOff>
    </xdr:to>
    <xdr:pic>
      <xdr:nvPicPr>
        <xdr:cNvPr id="14" name="Picture 13">
          <a:extLst>
            <a:ext uri="{FF2B5EF4-FFF2-40B4-BE49-F238E27FC236}">
              <a16:creationId xmlns:a16="http://schemas.microsoft.com/office/drawing/2014/main" id="{0AE4408C-8E63-FD71-4F57-B8B3C00AF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987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115</xdr:row>
      <xdr:rowOff>0</xdr:rowOff>
    </xdr:from>
    <xdr:to>
      <xdr:col>12</xdr:col>
      <xdr:colOff>9525</xdr:colOff>
      <xdr:row>115</xdr:row>
      <xdr:rowOff>0</xdr:rowOff>
    </xdr:to>
    <xdr:pic>
      <xdr:nvPicPr>
        <xdr:cNvPr id="15" name="Picture 14">
          <a:extLst>
            <a:ext uri="{FF2B5EF4-FFF2-40B4-BE49-F238E27FC236}">
              <a16:creationId xmlns:a16="http://schemas.microsoft.com/office/drawing/2014/main" id="{95FF7822-0E03-7A3D-BF8A-F992301DD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995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115</xdr:row>
      <xdr:rowOff>0</xdr:rowOff>
    </xdr:from>
    <xdr:to>
      <xdr:col>13</xdr:col>
      <xdr:colOff>9525</xdr:colOff>
      <xdr:row>115</xdr:row>
      <xdr:rowOff>0</xdr:rowOff>
    </xdr:to>
    <xdr:pic>
      <xdr:nvPicPr>
        <xdr:cNvPr id="16" name="Picture 15">
          <a:extLst>
            <a:ext uri="{FF2B5EF4-FFF2-40B4-BE49-F238E27FC236}">
              <a16:creationId xmlns:a16="http://schemas.microsoft.com/office/drawing/2014/main" id="{2FA770A9-E749-ED8C-B6B2-B232C5607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2002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115</xdr:row>
      <xdr:rowOff>0</xdr:rowOff>
    </xdr:from>
    <xdr:to>
      <xdr:col>14</xdr:col>
      <xdr:colOff>9525</xdr:colOff>
      <xdr:row>115</xdr:row>
      <xdr:rowOff>0</xdr:rowOff>
    </xdr:to>
    <xdr:pic>
      <xdr:nvPicPr>
        <xdr:cNvPr id="17" name="Picture 16">
          <a:extLst>
            <a:ext uri="{FF2B5EF4-FFF2-40B4-BE49-F238E27FC236}">
              <a16:creationId xmlns:a16="http://schemas.microsoft.com/office/drawing/2014/main" id="{0CF213F9-9F22-53AF-5FFF-783DE6AA3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010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115</xdr:row>
      <xdr:rowOff>0</xdr:rowOff>
    </xdr:from>
    <xdr:to>
      <xdr:col>15</xdr:col>
      <xdr:colOff>9525</xdr:colOff>
      <xdr:row>115</xdr:row>
      <xdr:rowOff>0</xdr:rowOff>
    </xdr:to>
    <xdr:pic>
      <xdr:nvPicPr>
        <xdr:cNvPr id="18" name="Picture 17">
          <a:extLst>
            <a:ext uri="{FF2B5EF4-FFF2-40B4-BE49-F238E27FC236}">
              <a16:creationId xmlns:a16="http://schemas.microsoft.com/office/drawing/2014/main" id="{C4210A36-DF0C-7500-01F8-2C5BC4E3C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017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115</xdr:row>
      <xdr:rowOff>0</xdr:rowOff>
    </xdr:from>
    <xdr:to>
      <xdr:col>16</xdr:col>
      <xdr:colOff>9525</xdr:colOff>
      <xdr:row>115</xdr:row>
      <xdr:rowOff>0</xdr:rowOff>
    </xdr:to>
    <xdr:pic>
      <xdr:nvPicPr>
        <xdr:cNvPr id="19" name="Picture 18">
          <a:extLst>
            <a:ext uri="{FF2B5EF4-FFF2-40B4-BE49-F238E27FC236}">
              <a16:creationId xmlns:a16="http://schemas.microsoft.com/office/drawing/2014/main" id="{117E52CA-954D-E572-30B1-589B30D40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2025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204106</xdr:colOff>
      <xdr:row>32</xdr:row>
      <xdr:rowOff>36739</xdr:rowOff>
    </xdr:from>
    <xdr:to>
      <xdr:col>45</xdr:col>
      <xdr:colOff>0</xdr:colOff>
      <xdr:row>121</xdr:row>
      <xdr:rowOff>126546</xdr:rowOff>
    </xdr:to>
    <xdr:graphicFrame macro="">
      <xdr:nvGraphicFramePr>
        <xdr:cNvPr id="30" name="Chart 29">
          <a:extLst>
            <a:ext uri="{FF2B5EF4-FFF2-40B4-BE49-F238E27FC236}">
              <a16:creationId xmlns:a16="http://schemas.microsoft.com/office/drawing/2014/main" id="{CC6D56CD-1425-02F0-C70A-A282855A8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544286</xdr:colOff>
      <xdr:row>109</xdr:row>
      <xdr:rowOff>27216</xdr:rowOff>
    </xdr:from>
    <xdr:to>
      <xdr:col>40</xdr:col>
      <xdr:colOff>312963</xdr:colOff>
      <xdr:row>111</xdr:row>
      <xdr:rowOff>149680</xdr:rowOff>
    </xdr:to>
    <xdr:sp macro="" textlink="">
      <xdr:nvSpPr>
        <xdr:cNvPr id="2" name="Rectangle 1">
          <a:extLst>
            <a:ext uri="{FF2B5EF4-FFF2-40B4-BE49-F238E27FC236}">
              <a16:creationId xmlns:a16="http://schemas.microsoft.com/office/drawing/2014/main" id="{DCA75133-A7E2-4650-9F00-D3AFF1F0034F}"/>
            </a:ext>
          </a:extLst>
        </xdr:cNvPr>
        <xdr:cNvSpPr/>
      </xdr:nvSpPr>
      <xdr:spPr>
        <a:xfrm>
          <a:off x="25200429" y="7864930"/>
          <a:ext cx="1605641" cy="449036"/>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ysClr val="windowText" lastClr="000000"/>
              </a:solidFill>
            </a:rPr>
            <a:t>FA</a:t>
          </a:r>
          <a:r>
            <a:rPr lang="en-US" sz="1100" b="1" i="1" baseline="0">
              <a:solidFill>
                <a:sysClr val="windowText" lastClr="000000"/>
              </a:solidFill>
            </a:rPr>
            <a:t> and HRT correl: 088</a:t>
          </a:r>
        </a:p>
        <a:p>
          <a:pPr algn="l"/>
          <a:r>
            <a:rPr lang="en-US" sz="1100" b="1" i="1" baseline="0">
              <a:solidFill>
                <a:sysClr val="windowText" lastClr="000000"/>
              </a:solidFill>
            </a:rPr>
            <a:t>FA and STER correl: 0.92</a:t>
          </a:r>
          <a:endParaRPr lang="en-US" sz="1100" b="1" i="1">
            <a:solidFill>
              <a:sysClr val="windowText" lastClr="000000"/>
            </a:solidFill>
          </a:endParaRPr>
        </a:p>
      </xdr:txBody>
    </xdr:sp>
    <xdr:clientData/>
  </xdr:twoCellAnchor>
  <xdr:twoCellAnchor>
    <xdr:from>
      <xdr:col>33</xdr:col>
      <xdr:colOff>172359</xdr:colOff>
      <xdr:row>7</xdr:row>
      <xdr:rowOff>2722</xdr:rowOff>
    </xdr:from>
    <xdr:to>
      <xdr:col>40</xdr:col>
      <xdr:colOff>235859</xdr:colOff>
      <xdr:row>29</xdr:row>
      <xdr:rowOff>106136</xdr:rowOff>
    </xdr:to>
    <xdr:graphicFrame macro="">
      <xdr:nvGraphicFramePr>
        <xdr:cNvPr id="4" name="Chart 3">
          <a:extLst>
            <a:ext uri="{FF2B5EF4-FFF2-40B4-BE49-F238E27FC236}">
              <a16:creationId xmlns:a16="http://schemas.microsoft.com/office/drawing/2014/main" id="{6A6F5BD7-FAA0-4D48-7F32-876268A0B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9079</xdr:colOff>
      <xdr:row>83</xdr:row>
      <xdr:rowOff>45357</xdr:rowOff>
    </xdr:from>
    <xdr:to>
      <xdr:col>25</xdr:col>
      <xdr:colOff>72572</xdr:colOff>
      <xdr:row>108</xdr:row>
      <xdr:rowOff>126999</xdr:rowOff>
    </xdr:to>
    <xdr:graphicFrame macro="">
      <xdr:nvGraphicFramePr>
        <xdr:cNvPr id="6" name="Chart 5">
          <a:extLst>
            <a:ext uri="{FF2B5EF4-FFF2-40B4-BE49-F238E27FC236}">
              <a16:creationId xmlns:a16="http://schemas.microsoft.com/office/drawing/2014/main" id="{9237DD89-4D57-1C77-922B-80BC6F69F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47</xdr:col>
      <xdr:colOff>351117</xdr:colOff>
      <xdr:row>3</xdr:row>
      <xdr:rowOff>159892</xdr:rowOff>
    </xdr:from>
    <xdr:to>
      <xdr:col>53</xdr:col>
      <xdr:colOff>92183</xdr:colOff>
      <xdr:row>17</xdr:row>
      <xdr:rowOff>140706</xdr:rowOff>
    </xdr:to>
    <xdr:pic>
      <xdr:nvPicPr>
        <xdr:cNvPr id="2" name="Picture 1">
          <a:extLst>
            <a:ext uri="{FF2B5EF4-FFF2-40B4-BE49-F238E27FC236}">
              <a16:creationId xmlns:a16="http://schemas.microsoft.com/office/drawing/2014/main" id="{842CD889-1D01-843C-A65C-FA2441EFEC69}"/>
            </a:ext>
          </a:extLst>
        </xdr:cNvPr>
        <xdr:cNvPicPr>
          <a:picLocks noChangeAspect="1"/>
        </xdr:cNvPicPr>
      </xdr:nvPicPr>
      <xdr:blipFill>
        <a:blip xmlns:r="http://schemas.openxmlformats.org/officeDocument/2006/relationships" r:embed="rId1"/>
        <a:stretch>
          <a:fillRect/>
        </a:stretch>
      </xdr:blipFill>
      <xdr:spPr>
        <a:xfrm>
          <a:off x="23629470" y="839716"/>
          <a:ext cx="3416597" cy="22817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95250</xdr:colOff>
      <xdr:row>0</xdr:row>
      <xdr:rowOff>0</xdr:rowOff>
    </xdr:from>
    <xdr:to>
      <xdr:col>18</xdr:col>
      <xdr:colOff>534567</xdr:colOff>
      <xdr:row>56</xdr:row>
      <xdr:rowOff>67813</xdr:rowOff>
    </xdr:to>
    <xdr:pic>
      <xdr:nvPicPr>
        <xdr:cNvPr id="2" name="Picture 1">
          <a:extLst>
            <a:ext uri="{FF2B5EF4-FFF2-40B4-BE49-F238E27FC236}">
              <a16:creationId xmlns:a16="http://schemas.microsoft.com/office/drawing/2014/main" id="{18C4B13F-1E09-B69A-0F20-9151E9393D03}"/>
            </a:ext>
          </a:extLst>
        </xdr:cNvPr>
        <xdr:cNvPicPr>
          <a:picLocks noChangeAspect="1"/>
        </xdr:cNvPicPr>
      </xdr:nvPicPr>
      <xdr:blipFill>
        <a:blip xmlns:r="http://schemas.openxmlformats.org/officeDocument/2006/relationships" r:embed="rId1"/>
        <a:stretch>
          <a:fillRect/>
        </a:stretch>
      </xdr:blipFill>
      <xdr:spPr>
        <a:xfrm>
          <a:off x="4105275" y="0"/>
          <a:ext cx="8364117" cy="8154538"/>
        </a:xfrm>
        <a:prstGeom prst="rect">
          <a:avLst/>
        </a:prstGeom>
      </xdr:spPr>
    </xdr:pic>
    <xdr:clientData/>
  </xdr:twoCellAnchor>
  <xdr:twoCellAnchor editAs="oneCell">
    <xdr:from>
      <xdr:col>5</xdr:col>
      <xdr:colOff>95250</xdr:colOff>
      <xdr:row>56</xdr:row>
      <xdr:rowOff>133350</xdr:rowOff>
    </xdr:from>
    <xdr:to>
      <xdr:col>18</xdr:col>
      <xdr:colOff>572673</xdr:colOff>
      <xdr:row>75</xdr:row>
      <xdr:rowOff>86097</xdr:rowOff>
    </xdr:to>
    <xdr:pic>
      <xdr:nvPicPr>
        <xdr:cNvPr id="3" name="Picture 2">
          <a:extLst>
            <a:ext uri="{FF2B5EF4-FFF2-40B4-BE49-F238E27FC236}">
              <a16:creationId xmlns:a16="http://schemas.microsoft.com/office/drawing/2014/main" id="{E223A1A0-0E63-1C87-803C-F502B1A4C075}"/>
            </a:ext>
          </a:extLst>
        </xdr:cNvPr>
        <xdr:cNvPicPr>
          <a:picLocks noChangeAspect="1"/>
        </xdr:cNvPicPr>
      </xdr:nvPicPr>
      <xdr:blipFill>
        <a:blip xmlns:r="http://schemas.openxmlformats.org/officeDocument/2006/relationships" r:embed="rId2"/>
        <a:stretch>
          <a:fillRect/>
        </a:stretch>
      </xdr:blipFill>
      <xdr:spPr>
        <a:xfrm>
          <a:off x="4105275" y="8220075"/>
          <a:ext cx="8402223" cy="2667372"/>
        </a:xfrm>
        <a:prstGeom prst="rect">
          <a:avLst/>
        </a:prstGeom>
      </xdr:spPr>
    </xdr:pic>
    <xdr:clientData/>
  </xdr:twoCellAnchor>
  <xdr:twoCellAnchor editAs="oneCell">
    <xdr:from>
      <xdr:col>1</xdr:col>
      <xdr:colOff>9526</xdr:colOff>
      <xdr:row>21</xdr:row>
      <xdr:rowOff>0</xdr:rowOff>
    </xdr:from>
    <xdr:to>
      <xdr:col>5</xdr:col>
      <xdr:colOff>19051</xdr:colOff>
      <xdr:row>23</xdr:row>
      <xdr:rowOff>39581</xdr:rowOff>
    </xdr:to>
    <xdr:pic>
      <xdr:nvPicPr>
        <xdr:cNvPr id="8" name="Picture 7">
          <a:extLst>
            <a:ext uri="{FF2B5EF4-FFF2-40B4-BE49-F238E27FC236}">
              <a16:creationId xmlns:a16="http://schemas.microsoft.com/office/drawing/2014/main" id="{D4C675F8-0E57-1F06-AE51-03D89DA5D53D}"/>
            </a:ext>
          </a:extLst>
        </xdr:cNvPr>
        <xdr:cNvPicPr>
          <a:picLocks noChangeAspect="1"/>
        </xdr:cNvPicPr>
      </xdr:nvPicPr>
      <xdr:blipFill>
        <a:blip xmlns:r="http://schemas.openxmlformats.org/officeDocument/2006/relationships" r:embed="rId3"/>
        <a:stretch>
          <a:fillRect/>
        </a:stretch>
      </xdr:blipFill>
      <xdr:spPr>
        <a:xfrm>
          <a:off x="104776" y="3086100"/>
          <a:ext cx="3924300" cy="3253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4</xdr:row>
      <xdr:rowOff>0</xdr:rowOff>
    </xdr:from>
    <xdr:to>
      <xdr:col>7</xdr:col>
      <xdr:colOff>0</xdr:colOff>
      <xdr:row>17</xdr:row>
      <xdr:rowOff>0</xdr:rowOff>
    </xdr:to>
    <xdr:cxnSp macro="">
      <xdr:nvCxnSpPr>
        <xdr:cNvPr id="3" name="Straight Connector 2">
          <a:extLst>
            <a:ext uri="{FF2B5EF4-FFF2-40B4-BE49-F238E27FC236}">
              <a16:creationId xmlns:a16="http://schemas.microsoft.com/office/drawing/2014/main" id="{4046329A-589A-4D44-915D-29BA505A0F9D}"/>
            </a:ext>
          </a:extLst>
        </xdr:cNvPr>
        <xdr:cNvCxnSpPr/>
      </xdr:nvCxnSpPr>
      <xdr:spPr>
        <a:xfrm>
          <a:off x="5229225" y="571500"/>
          <a:ext cx="0" cy="14344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17</xdr:row>
      <xdr:rowOff>0</xdr:rowOff>
    </xdr:to>
    <xdr:cxnSp macro="">
      <xdr:nvCxnSpPr>
        <xdr:cNvPr id="6" name="Straight Connector 5">
          <a:extLst>
            <a:ext uri="{FF2B5EF4-FFF2-40B4-BE49-F238E27FC236}">
              <a16:creationId xmlns:a16="http://schemas.microsoft.com/office/drawing/2014/main" id="{1E068293-F8CC-4C10-BD48-1FAA9C77CB66}"/>
            </a:ext>
          </a:extLst>
        </xdr:cNvPr>
        <xdr:cNvCxnSpPr/>
      </xdr:nvCxnSpPr>
      <xdr:spPr>
        <a:xfrm>
          <a:off x="7667625" y="571500"/>
          <a:ext cx="0" cy="14344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4</xdr:row>
      <xdr:rowOff>0</xdr:rowOff>
    </xdr:from>
    <xdr:to>
      <xdr:col>23</xdr:col>
      <xdr:colOff>0</xdr:colOff>
      <xdr:row>17</xdr:row>
      <xdr:rowOff>0</xdr:rowOff>
    </xdr:to>
    <xdr:cxnSp macro="">
      <xdr:nvCxnSpPr>
        <xdr:cNvPr id="7" name="Straight Connector 6">
          <a:extLst>
            <a:ext uri="{FF2B5EF4-FFF2-40B4-BE49-F238E27FC236}">
              <a16:creationId xmlns:a16="http://schemas.microsoft.com/office/drawing/2014/main" id="{06DCC7A4-3894-43E9-88BE-E5364F0742FB}"/>
            </a:ext>
          </a:extLst>
        </xdr:cNvPr>
        <xdr:cNvCxnSpPr/>
      </xdr:nvCxnSpPr>
      <xdr:spPr>
        <a:xfrm>
          <a:off x="14554200" y="571500"/>
          <a:ext cx="0" cy="1434465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4</xdr:row>
      <xdr:rowOff>0</xdr:rowOff>
    </xdr:from>
    <xdr:to>
      <xdr:col>15</xdr:col>
      <xdr:colOff>0</xdr:colOff>
      <xdr:row>17</xdr:row>
      <xdr:rowOff>0</xdr:rowOff>
    </xdr:to>
    <xdr:cxnSp macro="">
      <xdr:nvCxnSpPr>
        <xdr:cNvPr id="8" name="Straight Connector 7">
          <a:extLst>
            <a:ext uri="{FF2B5EF4-FFF2-40B4-BE49-F238E27FC236}">
              <a16:creationId xmlns:a16="http://schemas.microsoft.com/office/drawing/2014/main" id="{5577485C-CA08-491D-8DF3-3820D114F834}"/>
            </a:ext>
          </a:extLst>
        </xdr:cNvPr>
        <xdr:cNvCxnSpPr/>
      </xdr:nvCxnSpPr>
      <xdr:spPr>
        <a:xfrm>
          <a:off x="10106025" y="571500"/>
          <a:ext cx="0" cy="14344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4</xdr:row>
      <xdr:rowOff>0</xdr:rowOff>
    </xdr:from>
    <xdr:to>
      <xdr:col>17</xdr:col>
      <xdr:colOff>0</xdr:colOff>
      <xdr:row>17</xdr:row>
      <xdr:rowOff>0</xdr:rowOff>
    </xdr:to>
    <xdr:cxnSp macro="">
      <xdr:nvCxnSpPr>
        <xdr:cNvPr id="9" name="Straight Connector 8">
          <a:extLst>
            <a:ext uri="{FF2B5EF4-FFF2-40B4-BE49-F238E27FC236}">
              <a16:creationId xmlns:a16="http://schemas.microsoft.com/office/drawing/2014/main" id="{6BFB8840-9A5F-4F5E-9A56-B596BEAC9FD0}"/>
            </a:ext>
          </a:extLst>
        </xdr:cNvPr>
        <xdr:cNvCxnSpPr/>
      </xdr:nvCxnSpPr>
      <xdr:spPr>
        <a:xfrm>
          <a:off x="11325225" y="571500"/>
          <a:ext cx="0" cy="1434465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38100</xdr:colOff>
      <xdr:row>17</xdr:row>
      <xdr:rowOff>42862</xdr:rowOff>
    </xdr:from>
    <xdr:to>
      <xdr:col>23</xdr:col>
      <xdr:colOff>19050</xdr:colOff>
      <xdr:row>36</xdr:row>
      <xdr:rowOff>71437</xdr:rowOff>
    </xdr:to>
    <xdr:graphicFrame macro="">
      <xdr:nvGraphicFramePr>
        <xdr:cNvPr id="17" name="Chart 16">
          <a:extLst>
            <a:ext uri="{FF2B5EF4-FFF2-40B4-BE49-F238E27FC236}">
              <a16:creationId xmlns:a16="http://schemas.microsoft.com/office/drawing/2014/main" id="{BD800C7D-7F7E-31CA-0EDD-89917AAC6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berring\Downloads\Sterling%20Check%20Corp%20STER%20US.xlsx" TargetMode="External"/><Relationship Id="rId1" Type="http://schemas.openxmlformats.org/officeDocument/2006/relationships/externalLinkPath" Target="file:///C:\Users\dberring\Downloads\Sterling%20Check%20Corp%20STER%20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tes/allstaff/Shared%20Documents/Portfolio/BusSvcs%20-%20FA/Model/FA%20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catrockcap.sharepoint.com/sites/allstaff/Shared%20Documents/Portfolio/BusSvcs%20-%20FA/Model/STER%203.xlsx" TargetMode="External"/><Relationship Id="rId1" Type="http://schemas.openxmlformats.org/officeDocument/2006/relationships/externalLinkPath" Target="/sites/allstaff/Shared%20Documents/Portfolio/BusSvcs%20-%20FA/Model/STER%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STER Canalyst"/>
      <sheetName val="Guidance"/>
      <sheetName val="Summary Page"/>
      <sheetName val="IPO"/>
      <sheetName val="Update Log"/>
      <sheetName val="Model"/>
    </sheetNames>
    <sheetDataSet>
      <sheetData sheetId="0">
        <row r="13">
          <cell r="H13" t="str">
            <v>Quarterly (Earnings Report)</v>
          </cell>
        </row>
        <row r="15">
          <cell r="H15" t="str">
            <v>Bloomberg</v>
          </cell>
        </row>
        <row r="18">
          <cell r="H18" t="str">
            <v>OFF</v>
          </cell>
        </row>
        <row r="20">
          <cell r="F20">
            <v>45513</v>
          </cell>
          <cell r="H20">
            <v>15.35</v>
          </cell>
        </row>
      </sheetData>
      <sheetData sheetId="1"/>
      <sheetData sheetId="2"/>
      <sheetData sheetId="3">
        <row r="4">
          <cell r="A4" t="str">
            <v>Stock Price - EoP</v>
          </cell>
          <cell r="B4" t="str">
            <v>EoP</v>
          </cell>
          <cell r="C4"/>
          <cell r="D4"/>
          <cell r="E4"/>
          <cell r="F4"/>
          <cell r="G4"/>
          <cell r="H4"/>
          <cell r="I4"/>
          <cell r="J4"/>
          <cell r="K4"/>
          <cell r="L4"/>
          <cell r="M4"/>
          <cell r="N4"/>
          <cell r="O4"/>
          <cell r="P4"/>
          <cell r="Q4"/>
          <cell r="R4"/>
          <cell r="S4"/>
          <cell r="T4"/>
          <cell r="U4"/>
          <cell r="V4"/>
          <cell r="W4"/>
          <cell r="X4"/>
          <cell r="Y4">
            <v>25.42</v>
          </cell>
          <cell r="Z4">
            <v>20.49</v>
          </cell>
          <cell r="AA4">
            <v>26.42</v>
          </cell>
          <cell r="AB4">
            <v>16.21</v>
          </cell>
          <cell r="AC4">
            <v>18.309999999999999</v>
          </cell>
          <cell r="AD4">
            <v>15.47</v>
          </cell>
          <cell r="AE4">
            <v>11.01</v>
          </cell>
          <cell r="AF4">
            <v>12.43</v>
          </cell>
          <cell r="AG4">
            <v>12.62</v>
          </cell>
          <cell r="AH4">
            <v>13.92</v>
          </cell>
          <cell r="AI4">
            <v>16.079999999999998</v>
          </cell>
          <cell r="AJ4">
            <v>14.8</v>
          </cell>
          <cell r="AK4">
            <v>15.35</v>
          </cell>
          <cell r="AL4">
            <v>15.35</v>
          </cell>
          <cell r="AM4">
            <v>15.35</v>
          </cell>
          <cell r="AN4">
            <v>15.35</v>
          </cell>
          <cell r="AO4">
            <v>15.35</v>
          </cell>
          <cell r="AP4">
            <v>15.35</v>
          </cell>
          <cell r="AQ4"/>
          <cell r="AR4"/>
          <cell r="AS4"/>
          <cell r="AT4"/>
          <cell r="AU4"/>
          <cell r="AV4"/>
          <cell r="AW4"/>
          <cell r="AX4"/>
          <cell r="AY4"/>
          <cell r="AZ4"/>
          <cell r="BA4"/>
          <cell r="BB4"/>
          <cell r="BC4"/>
          <cell r="BD4">
            <v>20.49</v>
          </cell>
          <cell r="BE4">
            <v>15.47</v>
          </cell>
          <cell r="BF4">
            <v>13.92</v>
          </cell>
          <cell r="BG4">
            <v>15.35</v>
          </cell>
          <cell r="BH4">
            <v>15.35</v>
          </cell>
          <cell r="BI4">
            <v>15.35</v>
          </cell>
          <cell r="BJ4">
            <v>15.35</v>
          </cell>
          <cell r="BK4">
            <v>15.35</v>
          </cell>
          <cell r="BL4"/>
        </row>
        <row r="5">
          <cell r="A5" t="str">
            <v>EoP Total Diluted Common Stock Outstanding, mm shares</v>
          </cell>
          <cell r="B5"/>
          <cell r="C5"/>
          <cell r="D5"/>
          <cell r="E5"/>
          <cell r="F5"/>
          <cell r="G5"/>
          <cell r="H5"/>
          <cell r="I5"/>
          <cell r="J5"/>
          <cell r="K5"/>
          <cell r="L5"/>
          <cell r="M5"/>
          <cell r="N5"/>
          <cell r="O5"/>
          <cell r="P5"/>
          <cell r="Q5"/>
          <cell r="R5"/>
          <cell r="S5"/>
          <cell r="T5"/>
          <cell r="U5"/>
          <cell r="V5"/>
          <cell r="W5"/>
          <cell r="X5"/>
          <cell r="Y5">
            <v>93.963183000000001</v>
          </cell>
          <cell r="Z5">
            <v>99.694725000000005</v>
          </cell>
          <cell r="AA5">
            <v>99.195494000000011</v>
          </cell>
          <cell r="AB5">
            <v>99.374661000000003</v>
          </cell>
          <cell r="AC5">
            <v>99.313586999999984</v>
          </cell>
          <cell r="AD5">
            <v>98.279793999999995</v>
          </cell>
          <cell r="AE5">
            <v>95.335906000000008</v>
          </cell>
          <cell r="AF5">
            <v>93.312173999999999</v>
          </cell>
          <cell r="AG5">
            <v>93.224211999999994</v>
          </cell>
          <cell r="AH5">
            <v>92.077881999999988</v>
          </cell>
          <cell r="AI5">
            <v>95.402246000000005</v>
          </cell>
          <cell r="AJ5">
            <v>95.555508000000003</v>
          </cell>
          <cell r="AK5">
            <v>95.569493265362539</v>
          </cell>
          <cell r="AL5">
            <v>95.579050214689076</v>
          </cell>
          <cell r="AM5">
            <v>95.588608119710557</v>
          </cell>
          <cell r="AN5">
            <v>95.598166980522521</v>
          </cell>
          <cell r="AO5">
            <v>95.607726797220579</v>
          </cell>
          <cell r="AP5">
            <v>95.617287569900299</v>
          </cell>
          <cell r="AQ5"/>
          <cell r="AR5"/>
          <cell r="AS5"/>
          <cell r="AT5"/>
          <cell r="AU5"/>
          <cell r="AV5"/>
          <cell r="AW5"/>
          <cell r="AX5"/>
          <cell r="AY5"/>
          <cell r="AZ5"/>
          <cell r="BA5"/>
          <cell r="BB5"/>
          <cell r="BC5"/>
          <cell r="BD5">
            <v>99.694725000000005</v>
          </cell>
          <cell r="BE5">
            <v>98.279793999999995</v>
          </cell>
          <cell r="BF5">
            <v>92.077881999999988</v>
          </cell>
          <cell r="BG5">
            <v>95.579050214689076</v>
          </cell>
          <cell r="BH5">
            <v>95.617287569900299</v>
          </cell>
          <cell r="BI5">
            <v>95.655534484928239</v>
          </cell>
          <cell r="BJ5">
            <v>95.69379669872221</v>
          </cell>
          <cell r="BK5">
            <v>95.732074217401703</v>
          </cell>
          <cell r="BL5"/>
        </row>
        <row r="6">
          <cell r="A6" t="str">
            <v>Market Cap - EoP</v>
          </cell>
          <cell r="B6"/>
          <cell r="C6"/>
          <cell r="D6"/>
          <cell r="E6"/>
          <cell r="F6"/>
          <cell r="G6"/>
          <cell r="H6"/>
          <cell r="I6"/>
          <cell r="J6"/>
          <cell r="K6"/>
          <cell r="L6"/>
          <cell r="M6"/>
          <cell r="N6"/>
          <cell r="O6"/>
          <cell r="P6"/>
          <cell r="Q6"/>
          <cell r="R6"/>
          <cell r="S6"/>
          <cell r="T6"/>
          <cell r="U6"/>
          <cell r="V6"/>
          <cell r="W6"/>
          <cell r="X6"/>
          <cell r="Y6">
            <v>2388.5441118600002</v>
          </cell>
          <cell r="Z6">
            <v>2042.7449152499998</v>
          </cell>
          <cell r="AA6">
            <v>2620.7449514800005</v>
          </cell>
          <cell r="AB6">
            <v>1610.8632548100002</v>
          </cell>
          <cell r="AC6">
            <v>1818.4317779699995</v>
          </cell>
          <cell r="AD6">
            <v>1520.38841318</v>
          </cell>
          <cell r="AE6">
            <v>1049.6483250600002</v>
          </cell>
          <cell r="AF6">
            <v>1159.87032282</v>
          </cell>
          <cell r="AG6">
            <v>1176.4895554399998</v>
          </cell>
          <cell r="AH6">
            <v>1281.7241174399999</v>
          </cell>
          <cell r="AI6">
            <v>1534.0681156799999</v>
          </cell>
          <cell r="AJ6">
            <v>1414.2215184000001</v>
          </cell>
          <cell r="AK6">
            <v>1466.991721623315</v>
          </cell>
          <cell r="AL6">
            <v>1467.1384207954773</v>
          </cell>
          <cell r="AM6">
            <v>1467.2851346375571</v>
          </cell>
          <cell r="AN6">
            <v>1467.4318631510207</v>
          </cell>
          <cell r="AO6">
            <v>1467.5786063373359</v>
          </cell>
          <cell r="AP6">
            <v>1467.7253641979696</v>
          </cell>
          <cell r="AQ6"/>
          <cell r="AR6"/>
          <cell r="AS6"/>
          <cell r="AT6"/>
          <cell r="AU6"/>
          <cell r="AV6"/>
          <cell r="AW6"/>
          <cell r="AX6"/>
          <cell r="AY6"/>
          <cell r="AZ6"/>
          <cell r="BA6"/>
          <cell r="BB6"/>
          <cell r="BC6"/>
          <cell r="BD6">
            <v>2042.7449152499998</v>
          </cell>
          <cell r="BE6">
            <v>1520.38841318</v>
          </cell>
          <cell r="BF6">
            <v>1281.7241174399999</v>
          </cell>
          <cell r="BG6">
            <v>1467.1384207954773</v>
          </cell>
          <cell r="BH6">
            <v>1467.7253641979696</v>
          </cell>
          <cell r="BI6">
            <v>1468.3124543436484</v>
          </cell>
          <cell r="BJ6">
            <v>1468.8997793253859</v>
          </cell>
          <cell r="BK6">
            <v>1469.4873392371162</v>
          </cell>
          <cell r="BL6"/>
        </row>
        <row r="7">
          <cell r="A7" t="str">
            <v>Cash</v>
          </cell>
          <cell r="B7"/>
          <cell r="C7"/>
          <cell r="D7"/>
          <cell r="E7"/>
          <cell r="F7"/>
          <cell r="G7"/>
          <cell r="H7"/>
          <cell r="I7"/>
          <cell r="J7"/>
          <cell r="K7"/>
          <cell r="L7"/>
          <cell r="M7"/>
          <cell r="N7"/>
          <cell r="O7"/>
          <cell r="P7"/>
          <cell r="Q7"/>
          <cell r="R7"/>
          <cell r="S7"/>
          <cell r="T7"/>
          <cell r="U7"/>
          <cell r="V7"/>
          <cell r="W7"/>
          <cell r="X7"/>
          <cell r="Y7">
            <v>192.39699999999999</v>
          </cell>
          <cell r="Z7">
            <v>47.997999999999998</v>
          </cell>
          <cell r="AA7">
            <v>44.347000000000001</v>
          </cell>
          <cell r="AB7">
            <v>65.811000000000007</v>
          </cell>
          <cell r="AC7">
            <v>99.19</v>
          </cell>
          <cell r="AD7">
            <v>103.095</v>
          </cell>
          <cell r="AE7">
            <v>50.963999999999999</v>
          </cell>
          <cell r="AF7">
            <v>48.817</v>
          </cell>
          <cell r="AG7">
            <v>49.877000000000002</v>
          </cell>
          <cell r="AH7">
            <v>54.223999999999997</v>
          </cell>
          <cell r="AI7">
            <v>66.978999999999999</v>
          </cell>
          <cell r="AJ7">
            <v>74.182000000000002</v>
          </cell>
          <cell r="AK7">
            <v>103.2601494363638</v>
          </cell>
          <cell r="AL7">
            <v>155.23420201536999</v>
          </cell>
          <cell r="AM7">
            <v>188.03692107135063</v>
          </cell>
          <cell r="AN7">
            <v>223.07035031429146</v>
          </cell>
          <cell r="AO7">
            <v>246.81609862348225</v>
          </cell>
          <cell r="AP7">
            <v>291.40769056857732</v>
          </cell>
          <cell r="AQ7"/>
          <cell r="AR7"/>
          <cell r="AS7"/>
          <cell r="AT7"/>
          <cell r="AU7"/>
          <cell r="AV7"/>
          <cell r="AW7"/>
          <cell r="AX7"/>
          <cell r="AY7"/>
          <cell r="AZ7"/>
          <cell r="BA7"/>
          <cell r="BB7"/>
          <cell r="BC7"/>
          <cell r="BD7">
            <v>47.997999999999998</v>
          </cell>
          <cell r="BE7">
            <v>103.095</v>
          </cell>
          <cell r="BF7">
            <v>54.223999999999997</v>
          </cell>
          <cell r="BG7">
            <v>155.23420201536999</v>
          </cell>
          <cell r="BH7">
            <v>291.40769056857732</v>
          </cell>
          <cell r="BI7">
            <v>475.26417902611149</v>
          </cell>
          <cell r="BJ7">
            <v>658.13883531104341</v>
          </cell>
          <cell r="BK7">
            <v>871.72905054352157</v>
          </cell>
          <cell r="BL7"/>
        </row>
        <row r="8">
          <cell r="A8" t="str">
            <v>Debt</v>
          </cell>
          <cell r="B8"/>
          <cell r="C8"/>
          <cell r="D8"/>
          <cell r="E8"/>
          <cell r="F8"/>
          <cell r="G8"/>
          <cell r="H8"/>
          <cell r="I8"/>
          <cell r="J8"/>
          <cell r="K8"/>
          <cell r="L8"/>
          <cell r="M8"/>
          <cell r="N8"/>
          <cell r="O8"/>
          <cell r="P8"/>
          <cell r="Q8"/>
          <cell r="R8"/>
          <cell r="S8"/>
          <cell r="T8"/>
          <cell r="U8"/>
          <cell r="V8"/>
          <cell r="W8"/>
          <cell r="X8"/>
          <cell r="Y8">
            <v>605.66300000000001</v>
          </cell>
          <cell r="Z8">
            <v>505.56800000000004</v>
          </cell>
          <cell r="AA8">
            <v>504.43</v>
          </cell>
          <cell r="AB8">
            <v>503.29599999999999</v>
          </cell>
          <cell r="AC8">
            <v>502.166</v>
          </cell>
          <cell r="AD8">
            <v>501.49</v>
          </cell>
          <cell r="AE8">
            <v>499.80900000000003</v>
          </cell>
          <cell r="AF8">
            <v>498.13200000000001</v>
          </cell>
          <cell r="AG8">
            <v>496.459</v>
          </cell>
          <cell r="AH8">
            <v>494.78800000000001</v>
          </cell>
          <cell r="AI8">
            <v>556.24199999999996</v>
          </cell>
          <cell r="AJ8">
            <v>552.69600000000003</v>
          </cell>
          <cell r="AK8">
            <v>552.69600000000003</v>
          </cell>
          <cell r="AL8">
            <v>552.69600000000003</v>
          </cell>
          <cell r="AM8">
            <v>552.69600000000003</v>
          </cell>
          <cell r="AN8">
            <v>552.69600000000003</v>
          </cell>
          <cell r="AO8">
            <v>552.69600000000003</v>
          </cell>
          <cell r="AP8">
            <v>552.69600000000003</v>
          </cell>
          <cell r="AQ8"/>
          <cell r="AR8"/>
          <cell r="AS8"/>
          <cell r="AT8"/>
          <cell r="AU8"/>
          <cell r="AV8"/>
          <cell r="AW8"/>
          <cell r="AX8"/>
          <cell r="AY8"/>
          <cell r="AZ8"/>
          <cell r="BA8"/>
          <cell r="BB8"/>
          <cell r="BC8"/>
          <cell r="BD8">
            <v>505.56800000000004</v>
          </cell>
          <cell r="BE8">
            <v>501.49</v>
          </cell>
          <cell r="BF8">
            <v>494.78800000000001</v>
          </cell>
          <cell r="BG8">
            <v>552.69600000000003</v>
          </cell>
          <cell r="BH8">
            <v>552.69600000000003</v>
          </cell>
          <cell r="BI8">
            <v>552.69600000000003</v>
          </cell>
          <cell r="BJ8">
            <v>552.69600000000003</v>
          </cell>
          <cell r="BK8">
            <v>552.69600000000003</v>
          </cell>
          <cell r="BL8"/>
        </row>
        <row r="9">
          <cell r="A9" t="str">
            <v>Operating Lease Liabilities</v>
          </cell>
          <cell r="B9"/>
          <cell r="C9"/>
          <cell r="D9"/>
          <cell r="E9"/>
          <cell r="F9"/>
          <cell r="G9"/>
          <cell r="H9"/>
          <cell r="I9"/>
          <cell r="J9"/>
          <cell r="K9"/>
          <cell r="L9"/>
          <cell r="M9"/>
          <cell r="N9"/>
          <cell r="O9"/>
          <cell r="P9"/>
          <cell r="Q9"/>
          <cell r="R9"/>
          <cell r="S9"/>
          <cell r="T9"/>
          <cell r="U9"/>
          <cell r="V9"/>
          <cell r="W9"/>
          <cell r="X9"/>
          <cell r="Y9">
            <v>0</v>
          </cell>
          <cell r="Z9">
            <v>0</v>
          </cell>
          <cell r="AA9">
            <v>22.770000000000003</v>
          </cell>
          <cell r="AB9">
            <v>21.728999999999999</v>
          </cell>
          <cell r="AC9">
            <v>21.687999999999999</v>
          </cell>
          <cell r="AD9">
            <v>20.552</v>
          </cell>
          <cell r="AE9">
            <v>20.139000000000003</v>
          </cell>
          <cell r="AF9">
            <v>14.251000000000001</v>
          </cell>
          <cell r="AG9">
            <v>13.067</v>
          </cell>
          <cell r="AH9">
            <v>11.497</v>
          </cell>
          <cell r="AI9">
            <v>10.484999999999999</v>
          </cell>
          <cell r="AJ9">
            <v>9.5440000000000005</v>
          </cell>
          <cell r="AK9">
            <v>9.5440000000000005</v>
          </cell>
          <cell r="AL9">
            <v>9.5440000000000005</v>
          </cell>
          <cell r="AM9">
            <v>9.5440000000000005</v>
          </cell>
          <cell r="AN9">
            <v>9.5440000000000005</v>
          </cell>
          <cell r="AO9">
            <v>9.5440000000000005</v>
          </cell>
          <cell r="AP9">
            <v>9.5440000000000005</v>
          </cell>
          <cell r="AQ9"/>
          <cell r="AR9"/>
          <cell r="AS9"/>
          <cell r="AT9"/>
          <cell r="AU9"/>
          <cell r="AV9"/>
          <cell r="AW9"/>
          <cell r="AX9"/>
          <cell r="AY9"/>
          <cell r="AZ9"/>
          <cell r="BA9"/>
          <cell r="BB9"/>
          <cell r="BC9"/>
          <cell r="BD9">
            <v>0</v>
          </cell>
          <cell r="BE9">
            <v>20.552</v>
          </cell>
          <cell r="BF9">
            <v>11.497</v>
          </cell>
          <cell r="BG9">
            <v>9.5440000000000005</v>
          </cell>
          <cell r="BH9">
            <v>9.5440000000000005</v>
          </cell>
          <cell r="BI9">
            <v>9.5440000000000005</v>
          </cell>
          <cell r="BJ9">
            <v>9.5440000000000005</v>
          </cell>
          <cell r="BK9">
            <v>9.5440000000000005</v>
          </cell>
          <cell r="BL9"/>
        </row>
        <row r="10">
          <cell r="A10" t="str">
            <v>Other EV Components</v>
          </cell>
          <cell r="B10"/>
          <cell r="C10"/>
          <cell r="D10"/>
          <cell r="E10"/>
          <cell r="F10"/>
          <cell r="G10"/>
          <cell r="H10"/>
          <cell r="I10"/>
          <cell r="J10"/>
          <cell r="K10"/>
          <cell r="L10"/>
          <cell r="M10"/>
          <cell r="N10"/>
          <cell r="O10"/>
          <cell r="P10"/>
          <cell r="Q10"/>
          <cell r="R10"/>
          <cell r="S10"/>
          <cell r="T10"/>
          <cell r="U10"/>
          <cell r="V10"/>
          <cell r="W10"/>
          <cell r="X10"/>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cell r="AR10"/>
          <cell r="AS10"/>
          <cell r="AT10"/>
          <cell r="AU10"/>
          <cell r="AV10"/>
          <cell r="AW10"/>
          <cell r="AX10"/>
          <cell r="AY10"/>
          <cell r="AZ10"/>
          <cell r="BA10"/>
          <cell r="BB10"/>
          <cell r="BC10"/>
          <cell r="BD10">
            <v>0</v>
          </cell>
          <cell r="BE10">
            <v>0</v>
          </cell>
          <cell r="BF10">
            <v>0</v>
          </cell>
          <cell r="BG10">
            <v>0</v>
          </cell>
          <cell r="BH10">
            <v>0</v>
          </cell>
          <cell r="BI10">
            <v>0</v>
          </cell>
          <cell r="BJ10">
            <v>0</v>
          </cell>
          <cell r="BK10">
            <v>0</v>
          </cell>
          <cell r="BL10"/>
        </row>
        <row r="11">
          <cell r="A11" t="str">
            <v>Enterprise Value - EoP</v>
          </cell>
          <cell r="B11"/>
          <cell r="C11"/>
          <cell r="D11"/>
          <cell r="E11"/>
          <cell r="F11"/>
          <cell r="G11"/>
          <cell r="H11"/>
          <cell r="I11"/>
          <cell r="J11"/>
          <cell r="K11"/>
          <cell r="L11"/>
          <cell r="M11"/>
          <cell r="N11"/>
          <cell r="O11"/>
          <cell r="P11"/>
          <cell r="Q11"/>
          <cell r="R11"/>
          <cell r="S11"/>
          <cell r="T11"/>
          <cell r="U11"/>
          <cell r="V11"/>
          <cell r="W11"/>
          <cell r="X11"/>
          <cell r="Y11">
            <v>2801.8101118600002</v>
          </cell>
          <cell r="Z11">
            <v>2500.31491525</v>
          </cell>
          <cell r="AA11">
            <v>3103.5979514800001</v>
          </cell>
          <cell r="AB11">
            <v>2070.0772548099999</v>
          </cell>
          <cell r="AC11">
            <v>2243.0957779699997</v>
          </cell>
          <cell r="AD11">
            <v>1939.3354131799999</v>
          </cell>
          <cell r="AE11">
            <v>1518.6323250600001</v>
          </cell>
          <cell r="AF11">
            <v>1623.43632282</v>
          </cell>
          <cell r="AG11">
            <v>1636.1385554399999</v>
          </cell>
          <cell r="AH11">
            <v>1733.78511744</v>
          </cell>
          <cell r="AI11">
            <v>2033.8161156799997</v>
          </cell>
          <cell r="AJ11">
            <v>1902.2795184000004</v>
          </cell>
          <cell r="AK11">
            <v>1925.9715721869513</v>
          </cell>
          <cell r="AL11">
            <v>1874.1442187801074</v>
          </cell>
          <cell r="AM11">
            <v>1841.4882135662067</v>
          </cell>
          <cell r="AN11">
            <v>1806.6015128367292</v>
          </cell>
          <cell r="AO11">
            <v>1783.0025077138537</v>
          </cell>
          <cell r="AP11">
            <v>1738.5576736293922</v>
          </cell>
          <cell r="AQ11"/>
          <cell r="AR11"/>
          <cell r="AS11"/>
          <cell r="AT11"/>
          <cell r="AU11"/>
          <cell r="AV11"/>
          <cell r="AW11"/>
          <cell r="AX11"/>
          <cell r="AY11"/>
          <cell r="AZ11"/>
          <cell r="BA11"/>
          <cell r="BB11"/>
          <cell r="BC11"/>
          <cell r="BD11">
            <v>2500.31491525</v>
          </cell>
          <cell r="BE11">
            <v>1939.3354131799999</v>
          </cell>
          <cell r="BF11">
            <v>1733.78511744</v>
          </cell>
          <cell r="BG11">
            <v>1874.1442187801074</v>
          </cell>
          <cell r="BH11">
            <v>1738.5576736293922</v>
          </cell>
          <cell r="BI11">
            <v>1555.288275317537</v>
          </cell>
          <cell r="BJ11">
            <v>1373.0009440143426</v>
          </cell>
          <cell r="BK11">
            <v>1159.9982886935948</v>
          </cell>
          <cell r="BL11"/>
        </row>
        <row r="31">
          <cell r="A31" t="str">
            <v>Net Revenue</v>
          </cell>
          <cell r="B31"/>
          <cell r="C31"/>
          <cell r="D31"/>
          <cell r="E31"/>
          <cell r="F31"/>
          <cell r="G31"/>
          <cell r="H31"/>
          <cell r="I31"/>
          <cell r="J31"/>
          <cell r="K31"/>
          <cell r="L31"/>
          <cell r="M31"/>
          <cell r="N31"/>
          <cell r="O31"/>
          <cell r="P31"/>
          <cell r="Q31">
            <v>132.76499999999999</v>
          </cell>
          <cell r="R31">
            <v>121.429</v>
          </cell>
          <cell r="S31">
            <v>119.376</v>
          </cell>
          <cell r="T31">
            <v>88.570999999999998</v>
          </cell>
          <cell r="U31">
            <v>117.602</v>
          </cell>
          <cell r="V31">
            <v>128.50299999999999</v>
          </cell>
          <cell r="W31">
            <v>139.37</v>
          </cell>
          <cell r="X31">
            <v>159.328</v>
          </cell>
          <cell r="Y31">
            <v>169.55699999999999</v>
          </cell>
          <cell r="Z31">
            <v>173.62899999999999</v>
          </cell>
          <cell r="AA31">
            <v>191.97200000000001</v>
          </cell>
          <cell r="AB31">
            <v>205.59100000000001</v>
          </cell>
          <cell r="AC31">
            <v>199.29900000000001</v>
          </cell>
          <cell r="AD31">
            <v>169.92</v>
          </cell>
          <cell r="AE31">
            <v>179.274</v>
          </cell>
          <cell r="AF31">
            <v>190.38399999999999</v>
          </cell>
          <cell r="AG31">
            <v>180.566</v>
          </cell>
          <cell r="AH31">
            <v>169.41599999999994</v>
          </cell>
          <cell r="AI31">
            <v>185.999</v>
          </cell>
          <cell r="AJ31">
            <v>200.52799999999999</v>
          </cell>
          <cell r="AK31">
            <v>191.58052599999996</v>
          </cell>
          <cell r="AL31">
            <v>177.88679999999997</v>
          </cell>
          <cell r="AM31">
            <v>196.23898894599998</v>
          </cell>
          <cell r="AN31">
            <v>216.00735790399997</v>
          </cell>
          <cell r="AO31">
            <v>208.31795865398993</v>
          </cell>
          <cell r="AP31">
            <v>196.62005890799998</v>
          </cell>
          <cell r="AQ31"/>
          <cell r="AR31"/>
          <cell r="AS31"/>
          <cell r="AT31"/>
          <cell r="AU31"/>
          <cell r="AV31"/>
          <cell r="AW31"/>
          <cell r="AX31"/>
          <cell r="AY31"/>
          <cell r="AZ31"/>
          <cell r="BA31"/>
          <cell r="BB31">
            <v>497.11599999999999</v>
          </cell>
          <cell r="BC31">
            <v>454.053</v>
          </cell>
          <cell r="BD31">
            <v>641.88400000000001</v>
          </cell>
          <cell r="BE31">
            <v>766.78200000000004</v>
          </cell>
          <cell r="BF31">
            <v>719.64</v>
          </cell>
          <cell r="BG31">
            <v>755.994326</v>
          </cell>
          <cell r="BH31">
            <v>817.18436441198992</v>
          </cell>
          <cell r="BI31">
            <v>894.19049101611722</v>
          </cell>
          <cell r="BJ31">
            <v>956.73287436211638</v>
          </cell>
          <cell r="BK31">
            <v>1023.294019815175</v>
          </cell>
          <cell r="BL31"/>
        </row>
        <row r="32">
          <cell r="A32" t="str">
            <v>COGS</v>
          </cell>
          <cell r="B32"/>
          <cell r="C32"/>
          <cell r="D32"/>
          <cell r="E32"/>
          <cell r="F32"/>
          <cell r="G32"/>
          <cell r="H32"/>
          <cell r="I32"/>
          <cell r="J32"/>
          <cell r="K32"/>
          <cell r="L32"/>
          <cell r="M32"/>
          <cell r="N32"/>
          <cell r="O32"/>
          <cell r="P32"/>
          <cell r="Q32">
            <v>55.336750000000002</v>
          </cell>
          <cell r="R32">
            <v>55.336750000000002</v>
          </cell>
          <cell r="S32">
            <v>49.172499999999999</v>
          </cell>
          <cell r="T32">
            <v>49.172499999999999</v>
          </cell>
          <cell r="U32">
            <v>55.112000000000002</v>
          </cell>
          <cell r="V32">
            <v>63.853000000000009</v>
          </cell>
          <cell r="W32">
            <v>67.578999999999994</v>
          </cell>
          <cell r="X32">
            <v>75.58099999999996</v>
          </cell>
          <cell r="Y32">
            <v>82.638000000000005</v>
          </cell>
          <cell r="Z32">
            <v>87.356999999999999</v>
          </cell>
          <cell r="AA32">
            <v>100.956</v>
          </cell>
          <cell r="AB32">
            <v>107.57599999999999</v>
          </cell>
          <cell r="AC32">
            <v>106.422</v>
          </cell>
          <cell r="AD32">
            <v>92.728999999999999</v>
          </cell>
          <cell r="AE32">
            <v>94.754000000000005</v>
          </cell>
          <cell r="AF32">
            <v>102.056</v>
          </cell>
          <cell r="AG32">
            <v>95.882000000000005</v>
          </cell>
          <cell r="AH32">
            <v>91.961000000000013</v>
          </cell>
          <cell r="AI32">
            <v>104.041</v>
          </cell>
          <cell r="AJ32">
            <v>110.85899999999999</v>
          </cell>
          <cell r="AK32">
            <v>91.000749849999977</v>
          </cell>
          <cell r="AL32">
            <v>85.163305499999979</v>
          </cell>
          <cell r="AM32">
            <v>94.194714694079991</v>
          </cell>
          <cell r="AN32">
            <v>100.11941038850399</v>
          </cell>
          <cell r="AO32">
            <v>94.576353228911429</v>
          </cell>
          <cell r="AP32">
            <v>97.621859247821988</v>
          </cell>
          <cell r="AQ32"/>
          <cell r="AR32"/>
          <cell r="AS32"/>
          <cell r="AT32"/>
          <cell r="AU32"/>
          <cell r="AV32"/>
          <cell r="AW32"/>
          <cell r="AX32"/>
          <cell r="AY32"/>
          <cell r="AZ32"/>
          <cell r="BA32"/>
          <cell r="BB32">
            <v>221.34700000000001</v>
          </cell>
          <cell r="BC32">
            <v>217.31</v>
          </cell>
          <cell r="BD32">
            <v>313.15499999999997</v>
          </cell>
          <cell r="BE32">
            <v>407.68299999999999</v>
          </cell>
          <cell r="BF32">
            <v>384.65300000000002</v>
          </cell>
          <cell r="BG32">
            <v>391.06405534999993</v>
          </cell>
          <cell r="BH32">
            <v>386.51233755931742</v>
          </cell>
          <cell r="BI32">
            <v>412.66891160393811</v>
          </cell>
          <cell r="BJ32">
            <v>420.96246471933119</v>
          </cell>
          <cell r="BK32">
            <v>450.24936871867703</v>
          </cell>
          <cell r="BL32"/>
        </row>
        <row r="33">
          <cell r="A33" t="str">
            <v>R&amp;D</v>
          </cell>
          <cell r="B33"/>
          <cell r="C33"/>
          <cell r="D33"/>
          <cell r="E33"/>
          <cell r="F33"/>
          <cell r="G33"/>
          <cell r="H33"/>
          <cell r="I33"/>
          <cell r="J33"/>
          <cell r="K33"/>
          <cell r="L33"/>
          <cell r="M33"/>
          <cell r="N33"/>
          <cell r="O33"/>
          <cell r="P33"/>
          <cell r="Q33">
            <v>11.23075</v>
          </cell>
          <cell r="R33">
            <v>11.23075</v>
          </cell>
          <cell r="S33">
            <v>11.04</v>
          </cell>
          <cell r="T33">
            <v>11.04</v>
          </cell>
          <cell r="U33">
            <v>10.842000000000001</v>
          </cell>
          <cell r="V33">
            <v>11.374000000000002</v>
          </cell>
          <cell r="W33">
            <v>10.353</v>
          </cell>
          <cell r="X33">
            <v>9.9979999999999993</v>
          </cell>
          <cell r="Y33">
            <v>12.084</v>
          </cell>
          <cell r="Z33">
            <v>11.888</v>
          </cell>
          <cell r="AA33">
            <v>12.552</v>
          </cell>
          <cell r="AB33">
            <v>12.539</v>
          </cell>
          <cell r="AC33">
            <v>13.715</v>
          </cell>
          <cell r="AD33">
            <v>11.680999999999999</v>
          </cell>
          <cell r="AE33">
            <v>11.952</v>
          </cell>
          <cell r="AF33">
            <v>11.428000000000001</v>
          </cell>
          <cell r="AG33">
            <v>11.329000000000001</v>
          </cell>
          <cell r="AH33">
            <v>9.705999999999996</v>
          </cell>
          <cell r="AI33">
            <v>13.214</v>
          </cell>
          <cell r="AJ33">
            <v>12.755000000000001</v>
          </cell>
          <cell r="AK33">
            <v>10.920089981999999</v>
          </cell>
          <cell r="AL33">
            <v>8.8943399999999979</v>
          </cell>
          <cell r="AM33">
            <v>13.73672922622</v>
          </cell>
          <cell r="AN33">
            <v>15.12051505328</v>
          </cell>
          <cell r="AO33">
            <v>14.998893023087273</v>
          </cell>
          <cell r="AP33">
            <v>8.2580424741359995</v>
          </cell>
          <cell r="AQ33"/>
          <cell r="AR33"/>
          <cell r="AS33"/>
          <cell r="AT33"/>
          <cell r="AU33"/>
          <cell r="AV33"/>
          <cell r="AW33"/>
          <cell r="AX33"/>
          <cell r="AY33"/>
          <cell r="AZ33"/>
          <cell r="BA33"/>
          <cell r="BB33">
            <v>44.923000000000002</v>
          </cell>
          <cell r="BC33">
            <v>44.295999999999999</v>
          </cell>
          <cell r="BD33">
            <v>44.323</v>
          </cell>
          <cell r="BE33">
            <v>50.487000000000002</v>
          </cell>
          <cell r="BF33">
            <v>44.414999999999999</v>
          </cell>
          <cell r="BG33">
            <v>45.783429982000001</v>
          </cell>
          <cell r="BH33">
            <v>52.114179776723269</v>
          </cell>
          <cell r="BI33">
            <v>44.709524550805867</v>
          </cell>
          <cell r="BJ33">
            <v>47.836643718105819</v>
          </cell>
          <cell r="BK33">
            <v>51.164700990758753</v>
          </cell>
          <cell r="BL33"/>
        </row>
        <row r="34">
          <cell r="A34" t="str">
            <v>SG&amp;A (adj. for SBC)</v>
          </cell>
          <cell r="B34"/>
          <cell r="C34"/>
          <cell r="D34"/>
          <cell r="E34"/>
          <cell r="F34"/>
          <cell r="G34"/>
          <cell r="H34"/>
          <cell r="I34"/>
          <cell r="J34"/>
          <cell r="K34"/>
          <cell r="L34"/>
          <cell r="M34"/>
          <cell r="N34"/>
          <cell r="O34"/>
          <cell r="P34"/>
          <cell r="Q34">
            <v>36.5505</v>
          </cell>
          <cell r="R34">
            <v>36.295500000000004</v>
          </cell>
          <cell r="S34">
            <v>30.183499999999999</v>
          </cell>
          <cell r="T34">
            <v>30.087499999999999</v>
          </cell>
          <cell r="U34">
            <v>24.820999999999998</v>
          </cell>
          <cell r="V34">
            <v>33.998000000000005</v>
          </cell>
          <cell r="W34">
            <v>28.708000000000002</v>
          </cell>
          <cell r="X34">
            <v>37.84899999999999</v>
          </cell>
          <cell r="Y34">
            <v>59.401000000000003</v>
          </cell>
          <cell r="Z34">
            <v>40.161999999999999</v>
          </cell>
          <cell r="AA34">
            <v>37.225000000000001</v>
          </cell>
          <cell r="AB34">
            <v>35.863</v>
          </cell>
          <cell r="AC34">
            <v>36.118000000000002</v>
          </cell>
          <cell r="AD34">
            <v>42.448</v>
          </cell>
          <cell r="AE34">
            <v>39.408000000000001</v>
          </cell>
          <cell r="AF34">
            <v>35.551999999999992</v>
          </cell>
          <cell r="AG34">
            <v>32.598999999999997</v>
          </cell>
          <cell r="AH34">
            <v>31.545999999999999</v>
          </cell>
          <cell r="AI34">
            <v>50.548000000000002</v>
          </cell>
          <cell r="AJ34">
            <v>38.676000000000002</v>
          </cell>
          <cell r="AK34">
            <v>38.316105199999996</v>
          </cell>
          <cell r="AL34">
            <v>37.356227999999994</v>
          </cell>
          <cell r="AM34">
            <v>45.134967457579997</v>
          </cell>
          <cell r="AN34">
            <v>52.921802686479992</v>
          </cell>
          <cell r="AO34">
            <v>49.996310076957585</v>
          </cell>
          <cell r="AP34">
            <v>43.256412959759992</v>
          </cell>
          <cell r="AQ34"/>
          <cell r="AR34"/>
          <cell r="AS34"/>
          <cell r="AT34"/>
          <cell r="AU34"/>
          <cell r="AV34"/>
          <cell r="AW34"/>
          <cell r="AX34"/>
          <cell r="AY34"/>
          <cell r="AZ34"/>
          <cell r="BA34"/>
          <cell r="BB34">
            <v>145.69500000000002</v>
          </cell>
          <cell r="BC34">
            <v>119.09</v>
          </cell>
          <cell r="BD34">
            <v>166.12</v>
          </cell>
          <cell r="BE34">
            <v>151.654</v>
          </cell>
          <cell r="BF34">
            <v>139.10499999999999</v>
          </cell>
          <cell r="BG34">
            <v>164.89633319999999</v>
          </cell>
          <cell r="BH34">
            <v>191.30949318077757</v>
          </cell>
          <cell r="BI34">
            <v>223.54762275402931</v>
          </cell>
          <cell r="BJ34">
            <v>210.4812323596656</v>
          </cell>
          <cell r="BK34">
            <v>204.65880396303501</v>
          </cell>
          <cell r="BL34"/>
        </row>
        <row r="35">
          <cell r="A35" t="str">
            <v>EBITDA</v>
          </cell>
          <cell r="B35"/>
          <cell r="C35"/>
          <cell r="D35"/>
          <cell r="E35"/>
          <cell r="F35"/>
          <cell r="G35"/>
          <cell r="H35"/>
          <cell r="I35"/>
          <cell r="J35"/>
          <cell r="K35"/>
          <cell r="L35"/>
          <cell r="M35"/>
          <cell r="N35"/>
          <cell r="O35"/>
          <cell r="P35"/>
          <cell r="Q35">
            <v>29.646999999999991</v>
          </cell>
          <cell r="R35">
            <v>18.566000000000003</v>
          </cell>
          <cell r="S35">
            <v>28.980000000000011</v>
          </cell>
          <cell r="T35">
            <v>-1.7289999999999992</v>
          </cell>
          <cell r="U35">
            <v>26.827000000000005</v>
          </cell>
          <cell r="V35">
            <v>19.27799999999997</v>
          </cell>
          <cell r="W35">
            <v>32.730000000000011</v>
          </cell>
          <cell r="X35">
            <v>35.900000000000055</v>
          </cell>
          <cell r="Y35">
            <v>15.43399999999998</v>
          </cell>
          <cell r="Z35">
            <v>34.221999999999994</v>
          </cell>
          <cell r="AA35">
            <v>41.239000000000004</v>
          </cell>
          <cell r="AB35">
            <v>49.613000000000014</v>
          </cell>
          <cell r="AC35">
            <v>43.044000000000011</v>
          </cell>
          <cell r="AD35">
            <v>23.061999999999991</v>
          </cell>
          <cell r="AE35">
            <v>33.159999999999997</v>
          </cell>
          <cell r="AF35">
            <v>41.347999999999999</v>
          </cell>
          <cell r="AG35">
            <v>40.756</v>
          </cell>
          <cell r="AH35">
            <v>36.202999999999932</v>
          </cell>
          <cell r="AI35">
            <v>18.195999999999998</v>
          </cell>
          <cell r="AJ35">
            <v>38.237999999999992</v>
          </cell>
          <cell r="AK35">
            <v>51.343580967999991</v>
          </cell>
          <cell r="AL35">
            <v>46.472926499999993</v>
          </cell>
          <cell r="AM35">
            <v>43.172577568119991</v>
          </cell>
          <cell r="AN35">
            <v>47.845629775735986</v>
          </cell>
          <cell r="AO35">
            <v>48.746402325033642</v>
          </cell>
          <cell r="AP35">
            <v>47.483744226281999</v>
          </cell>
          <cell r="AQ35"/>
          <cell r="AR35"/>
          <cell r="AS35"/>
          <cell r="AT35"/>
          <cell r="AU35"/>
          <cell r="AV35"/>
          <cell r="AW35"/>
          <cell r="AX35"/>
          <cell r="AY35"/>
          <cell r="AZ35"/>
          <cell r="BA35"/>
          <cell r="BB35">
            <v>85.150999999999982</v>
          </cell>
          <cell r="BC35">
            <v>73.356999999999999</v>
          </cell>
          <cell r="BD35">
            <v>118.28600000000003</v>
          </cell>
          <cell r="BE35">
            <v>156.95800000000006</v>
          </cell>
          <cell r="BF35">
            <v>151.46699999999998</v>
          </cell>
          <cell r="BG35">
            <v>154.25050746800008</v>
          </cell>
          <cell r="BH35">
            <v>187.24835389517168</v>
          </cell>
          <cell r="BI35">
            <v>213.26443210734394</v>
          </cell>
          <cell r="BJ35">
            <v>277.45253356501371</v>
          </cell>
          <cell r="BK35">
            <v>317.22114614270424</v>
          </cell>
          <cell r="BL35"/>
        </row>
        <row r="36">
          <cell r="A36" t="str">
            <v>SBC</v>
          </cell>
          <cell r="B36"/>
          <cell r="C36"/>
          <cell r="D36"/>
          <cell r="E36"/>
          <cell r="F36"/>
          <cell r="G36"/>
          <cell r="H36"/>
          <cell r="I36"/>
          <cell r="J36"/>
          <cell r="K36"/>
          <cell r="L36"/>
          <cell r="M36"/>
          <cell r="N36"/>
          <cell r="O36"/>
          <cell r="P36"/>
          <cell r="Q36">
            <v>0.249</v>
          </cell>
          <cell r="R36">
            <v>0.504</v>
          </cell>
          <cell r="S36">
            <v>0.54500000000000004</v>
          </cell>
          <cell r="T36">
            <v>0.64100000000000001</v>
          </cell>
          <cell r="U36">
            <v>0.56999999999999995</v>
          </cell>
          <cell r="V36">
            <v>1.708</v>
          </cell>
          <cell r="W36">
            <v>0.89800000000000002</v>
          </cell>
          <cell r="X36">
            <v>0.75600000000000001</v>
          </cell>
          <cell r="Y36">
            <v>25.582000000000001</v>
          </cell>
          <cell r="Z36">
            <v>5.3440000000000003</v>
          </cell>
          <cell r="AA36">
            <v>5.1079999999999997</v>
          </cell>
          <cell r="AB36">
            <v>6.0229999999999997</v>
          </cell>
          <cell r="AC36">
            <v>6.2930000000000001</v>
          </cell>
          <cell r="AD36">
            <v>6.3810000000000002</v>
          </cell>
          <cell r="AE36">
            <v>8.0429999999999993</v>
          </cell>
          <cell r="AF36">
            <v>9.3580000000000005</v>
          </cell>
          <cell r="AG36">
            <v>9.7829999999999995</v>
          </cell>
          <cell r="AH36">
            <v>7.4660000000000011</v>
          </cell>
          <cell r="AI36">
            <v>9.3420000000000005</v>
          </cell>
          <cell r="AJ36">
            <v>11.702999999999999</v>
          </cell>
          <cell r="AK36">
            <v>6</v>
          </cell>
          <cell r="AL36">
            <v>6</v>
          </cell>
          <cell r="AM36">
            <v>6</v>
          </cell>
          <cell r="AN36">
            <v>6</v>
          </cell>
          <cell r="AO36">
            <v>6</v>
          </cell>
          <cell r="AP36">
            <v>6</v>
          </cell>
          <cell r="AQ36"/>
          <cell r="AR36"/>
          <cell r="AS36"/>
          <cell r="AT36"/>
          <cell r="AU36"/>
          <cell r="AV36"/>
          <cell r="AW36"/>
          <cell r="AX36"/>
          <cell r="AY36"/>
          <cell r="AZ36"/>
          <cell r="BA36"/>
          <cell r="BB36">
            <v>1.5029999999999999</v>
          </cell>
          <cell r="BC36">
            <v>3.464</v>
          </cell>
          <cell r="BD36">
            <v>32.58</v>
          </cell>
          <cell r="BE36">
            <v>23.805</v>
          </cell>
          <cell r="BF36">
            <v>34.65</v>
          </cell>
          <cell r="BG36">
            <v>33.045000000000002</v>
          </cell>
          <cell r="BH36">
            <v>24</v>
          </cell>
          <cell r="BI36">
            <v>24</v>
          </cell>
          <cell r="BJ36">
            <v>24</v>
          </cell>
          <cell r="BK36">
            <v>24</v>
          </cell>
          <cell r="BL36"/>
        </row>
        <row r="37">
          <cell r="A37" t="str">
            <v>D&amp;A</v>
          </cell>
          <cell r="B37"/>
          <cell r="C37"/>
          <cell r="D37"/>
          <cell r="E37"/>
          <cell r="F37"/>
          <cell r="G37"/>
          <cell r="H37"/>
          <cell r="I37"/>
          <cell r="J37"/>
          <cell r="K37"/>
          <cell r="L37"/>
          <cell r="M37"/>
          <cell r="N37"/>
          <cell r="O37"/>
          <cell r="P37"/>
          <cell r="Q37">
            <v>23.478999999999999</v>
          </cell>
          <cell r="R37">
            <v>23.774000000000001</v>
          </cell>
          <cell r="S37">
            <v>22.934999999999999</v>
          </cell>
          <cell r="T37">
            <v>22.643000000000001</v>
          </cell>
          <cell r="U37">
            <v>22.863</v>
          </cell>
          <cell r="V37">
            <v>22.757999999999999</v>
          </cell>
          <cell r="W37">
            <v>20.548999999999999</v>
          </cell>
          <cell r="X37">
            <v>20.297999999999998</v>
          </cell>
          <cell r="Y37">
            <v>20.346</v>
          </cell>
          <cell r="Z37">
            <v>20.870999999999999</v>
          </cell>
          <cell r="AA37">
            <v>20.155999999999999</v>
          </cell>
          <cell r="AB37">
            <v>19.872</v>
          </cell>
          <cell r="AC37">
            <v>16.57</v>
          </cell>
          <cell r="AD37">
            <v>16.542000000000002</v>
          </cell>
          <cell r="AE37">
            <v>15.122</v>
          </cell>
          <cell r="AF37">
            <v>16.12</v>
          </cell>
          <cell r="AG37">
            <v>15.875</v>
          </cell>
          <cell r="AH37">
            <v>15.735999999999997</v>
          </cell>
          <cell r="AI37">
            <v>15.77</v>
          </cell>
          <cell r="AJ37">
            <v>15.82</v>
          </cell>
          <cell r="AK37">
            <v>13.87753136612022</v>
          </cell>
          <cell r="AL37">
            <v>13.425380894359343</v>
          </cell>
          <cell r="AM37">
            <v>12.749166003072204</v>
          </cell>
          <cell r="AN37">
            <v>12.502367626602473</v>
          </cell>
          <cell r="AO37">
            <v>12.258595487434457</v>
          </cell>
          <cell r="AP37">
            <v>11.888990084773027</v>
          </cell>
          <cell r="AQ37"/>
          <cell r="AR37"/>
          <cell r="AS37"/>
          <cell r="AT37"/>
          <cell r="AU37"/>
          <cell r="AV37"/>
          <cell r="AW37"/>
          <cell r="AX37"/>
          <cell r="AY37"/>
          <cell r="AZ37"/>
          <cell r="BA37"/>
          <cell r="BB37">
            <v>93.802000000000007</v>
          </cell>
          <cell r="BC37">
            <v>91.198999999999998</v>
          </cell>
          <cell r="BD37">
            <v>82.063999999999993</v>
          </cell>
          <cell r="BE37">
            <v>73.14</v>
          </cell>
          <cell r="BF37">
            <v>62.853000000000002</v>
          </cell>
          <cell r="BG37">
            <v>58.892912260479569</v>
          </cell>
          <cell r="BH37">
            <v>49.399119201882172</v>
          </cell>
          <cell r="BI37">
            <v>45.778117138961925</v>
          </cell>
          <cell r="BJ37">
            <v>40.594813183680294</v>
          </cell>
          <cell r="BK37">
            <v>36.465331946498324</v>
          </cell>
          <cell r="BL37"/>
        </row>
        <row r="38">
          <cell r="A38" t="str">
            <v>Interest expense</v>
          </cell>
          <cell r="B38"/>
          <cell r="C38"/>
          <cell r="D38"/>
          <cell r="E38"/>
          <cell r="F38"/>
          <cell r="G38"/>
          <cell r="H38"/>
          <cell r="I38"/>
          <cell r="J38"/>
          <cell r="K38"/>
          <cell r="L38"/>
          <cell r="M38"/>
          <cell r="N38"/>
          <cell r="O38"/>
          <cell r="P38"/>
          <cell r="Q38">
            <v>9.7840000000000007</v>
          </cell>
          <cell r="R38">
            <v>9.1989999999999998</v>
          </cell>
          <cell r="S38">
            <v>9.0559999999999992</v>
          </cell>
          <cell r="T38">
            <v>8.2370000000000001</v>
          </cell>
          <cell r="U38">
            <v>7.8170000000000002</v>
          </cell>
          <cell r="V38">
            <v>7.8369999999999997</v>
          </cell>
          <cell r="W38">
            <v>7.57</v>
          </cell>
          <cell r="X38">
            <v>7.6029999999999998</v>
          </cell>
          <cell r="Y38">
            <v>7.6680000000000001</v>
          </cell>
          <cell r="Z38">
            <v>8.016</v>
          </cell>
          <cell r="AA38">
            <v>6.3360000000000003</v>
          </cell>
          <cell r="AB38">
            <v>6.6189999999999998</v>
          </cell>
          <cell r="AC38">
            <v>7.7640000000000002</v>
          </cell>
          <cell r="AD38">
            <v>8.8279999999999994</v>
          </cell>
          <cell r="AE38">
            <v>8.6080000000000005</v>
          </cell>
          <cell r="AF38">
            <v>8.99</v>
          </cell>
          <cell r="AG38">
            <v>9.3049999999999997</v>
          </cell>
          <cell r="AH38">
            <v>9.3299999999999983</v>
          </cell>
          <cell r="AI38">
            <v>10.311999999999999</v>
          </cell>
          <cell r="AJ38">
            <v>10.143000000000001</v>
          </cell>
          <cell r="AK38">
            <v>9.7250334426229514</v>
          </cell>
          <cell r="AL38">
            <v>9.7250334426229514</v>
          </cell>
          <cell r="AM38">
            <v>9.5396843835616441</v>
          </cell>
          <cell r="AN38">
            <v>9.6456808767123299</v>
          </cell>
          <cell r="AO38">
            <v>9.7516773698630139</v>
          </cell>
          <cell r="AP38">
            <v>9.7516773698630139</v>
          </cell>
          <cell r="AQ38"/>
          <cell r="AR38"/>
          <cell r="AS38"/>
          <cell r="AT38"/>
          <cell r="AU38"/>
          <cell r="AV38"/>
          <cell r="AW38"/>
          <cell r="AX38"/>
          <cell r="AY38"/>
          <cell r="AZ38"/>
          <cell r="BA38"/>
          <cell r="BB38">
            <v>39.316000000000003</v>
          </cell>
          <cell r="BC38">
            <v>32.947000000000003</v>
          </cell>
          <cell r="BD38">
            <v>30.856999999999999</v>
          </cell>
          <cell r="BE38">
            <v>29.547000000000001</v>
          </cell>
          <cell r="BF38">
            <v>36.232999999999997</v>
          </cell>
          <cell r="BG38">
            <v>39.905066885245901</v>
          </cell>
          <cell r="BH38">
            <v>38.688720000000004</v>
          </cell>
          <cell r="BI38">
            <v>38.688720000000004</v>
          </cell>
          <cell r="BJ38">
            <v>38.688720000000004</v>
          </cell>
          <cell r="BK38">
            <v>38.688720000000004</v>
          </cell>
          <cell r="BL38"/>
        </row>
        <row r="39">
          <cell r="A39" t="str">
            <v>Income from equity method investments</v>
          </cell>
          <cell r="B39"/>
          <cell r="C39"/>
          <cell r="D39"/>
          <cell r="E39"/>
          <cell r="F39"/>
          <cell r="G39"/>
          <cell r="H39"/>
          <cell r="I39"/>
          <cell r="J39"/>
          <cell r="K39"/>
          <cell r="L39"/>
          <cell r="M39"/>
          <cell r="N39"/>
          <cell r="O39"/>
          <cell r="P39"/>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cell r="AR39"/>
          <cell r="AS39"/>
          <cell r="AT39"/>
          <cell r="AU39"/>
          <cell r="AV39"/>
          <cell r="AW39"/>
          <cell r="AX39"/>
          <cell r="AY39"/>
          <cell r="AZ39"/>
          <cell r="BA39"/>
          <cell r="BB39">
            <v>0</v>
          </cell>
          <cell r="BC39">
            <v>0</v>
          </cell>
          <cell r="BD39">
            <v>0</v>
          </cell>
          <cell r="BE39">
            <v>0</v>
          </cell>
          <cell r="BF39">
            <v>0</v>
          </cell>
          <cell r="BG39">
            <v>0</v>
          </cell>
          <cell r="BH39">
            <v>0</v>
          </cell>
          <cell r="BI39">
            <v>0</v>
          </cell>
          <cell r="BJ39">
            <v>0</v>
          </cell>
          <cell r="BK39">
            <v>0</v>
          </cell>
          <cell r="BL39"/>
        </row>
        <row r="40">
          <cell r="A40" t="str">
            <v>Other Items</v>
          </cell>
          <cell r="B40"/>
          <cell r="C40"/>
          <cell r="D40"/>
          <cell r="E40"/>
          <cell r="F40"/>
          <cell r="G40"/>
          <cell r="H40"/>
          <cell r="I40"/>
          <cell r="J40"/>
          <cell r="K40"/>
          <cell r="L40"/>
          <cell r="M40"/>
          <cell r="N40"/>
          <cell r="O40"/>
          <cell r="P40"/>
          <cell r="Q40">
            <v>1.023000000000009</v>
          </cell>
          <cell r="R40">
            <v>13.336000000000007</v>
          </cell>
          <cell r="S40">
            <v>15.900000000000004</v>
          </cell>
          <cell r="T40">
            <v>-6.8489999999999913</v>
          </cell>
          <cell r="U40">
            <v>0.23599999999999999</v>
          </cell>
          <cell r="V40">
            <v>0.31599999999998818</v>
          </cell>
          <cell r="W40">
            <v>2.5589999999999997</v>
          </cell>
          <cell r="X40">
            <v>-0.18099999999999988</v>
          </cell>
          <cell r="Y40">
            <v>-0.27300000000000002</v>
          </cell>
          <cell r="Z40">
            <v>-0.33200000000000002</v>
          </cell>
          <cell r="AA40">
            <v>-0.68199999999999994</v>
          </cell>
          <cell r="AB40">
            <v>0.13600000000000001</v>
          </cell>
          <cell r="AC40">
            <v>-0.36700000000000005</v>
          </cell>
          <cell r="AD40">
            <v>3.2639999999999998</v>
          </cell>
          <cell r="AE40">
            <v>-0.30599999999999999</v>
          </cell>
          <cell r="AF40">
            <v>6.6419999999999995</v>
          </cell>
          <cell r="AG40">
            <v>-0.51300000000000001</v>
          </cell>
          <cell r="AH40">
            <v>-0.34299999999999908</v>
          </cell>
          <cell r="AI40">
            <v>-0.255</v>
          </cell>
          <cell r="AJ40">
            <v>-0.29000000000000004</v>
          </cell>
          <cell r="AK40">
            <v>-14</v>
          </cell>
          <cell r="AL40">
            <v>-15</v>
          </cell>
          <cell r="AM40">
            <v>-10</v>
          </cell>
          <cell r="AN40">
            <v>-9</v>
          </cell>
          <cell r="AO40">
            <v>-12</v>
          </cell>
          <cell r="AP40">
            <v>-5</v>
          </cell>
          <cell r="AQ40"/>
          <cell r="AR40"/>
          <cell r="AS40"/>
          <cell r="AT40"/>
          <cell r="AU40"/>
          <cell r="AV40"/>
          <cell r="AW40"/>
          <cell r="AX40"/>
          <cell r="AY40"/>
          <cell r="AZ40"/>
          <cell r="BA40"/>
          <cell r="BB40">
            <v>9.0150000000000006</v>
          </cell>
          <cell r="BC40">
            <v>9.6020000000000003</v>
          </cell>
          <cell r="BD40">
            <v>1.7729999999999999</v>
          </cell>
          <cell r="BE40">
            <v>2.35</v>
          </cell>
          <cell r="BF40">
            <v>5.48</v>
          </cell>
          <cell r="BG40">
            <v>-29.545000000000002</v>
          </cell>
          <cell r="BH40">
            <v>-36</v>
          </cell>
          <cell r="BI40">
            <v>-50</v>
          </cell>
          <cell r="BJ40">
            <v>-4</v>
          </cell>
          <cell r="BK40">
            <v>-4</v>
          </cell>
          <cell r="BL40"/>
        </row>
        <row r="41">
          <cell r="A41" t="str">
            <v>EBT</v>
          </cell>
          <cell r="B41"/>
          <cell r="C41"/>
          <cell r="D41"/>
          <cell r="E41"/>
          <cell r="F41"/>
          <cell r="G41"/>
          <cell r="H41"/>
          <cell r="I41"/>
          <cell r="J41"/>
          <cell r="K41"/>
          <cell r="L41"/>
          <cell r="M41"/>
          <cell r="N41"/>
          <cell r="O41"/>
          <cell r="P41"/>
          <cell r="Q41">
            <v>-4.8880000000000159</v>
          </cell>
          <cell r="R41">
            <v>-28.247000000000007</v>
          </cell>
          <cell r="S41">
            <v>-19.455999999999992</v>
          </cell>
          <cell r="T41">
            <v>-26.40100000000001</v>
          </cell>
          <cell r="U41">
            <v>-4.6589999999999945</v>
          </cell>
          <cell r="V41">
            <v>-13.341000000000015</v>
          </cell>
          <cell r="W41">
            <v>1.1540000000000119</v>
          </cell>
          <cell r="X41">
            <v>7.4240000000000572</v>
          </cell>
          <cell r="Y41">
            <v>-37.889000000000017</v>
          </cell>
          <cell r="Z41">
            <v>0.32299999999999435</v>
          </cell>
          <cell r="AA41">
            <v>10.321000000000009</v>
          </cell>
          <cell r="AB41">
            <v>16.963000000000019</v>
          </cell>
          <cell r="AC41">
            <v>12.784000000000013</v>
          </cell>
          <cell r="AD41">
            <v>-11.95300000000001</v>
          </cell>
          <cell r="AE41">
            <v>1.692999999999997</v>
          </cell>
          <cell r="AF41">
            <v>0.23799999999999777</v>
          </cell>
          <cell r="AG41">
            <v>6.3059999999999992</v>
          </cell>
          <cell r="AH41">
            <v>4.0139999999999345</v>
          </cell>
          <cell r="AI41">
            <v>-16.973000000000003</v>
          </cell>
          <cell r="AJ41">
            <v>0.86199999999999211</v>
          </cell>
          <cell r="AK41">
            <v>35.741016159256816</v>
          </cell>
          <cell r="AL41">
            <v>32.322512163017699</v>
          </cell>
          <cell r="AM41">
            <v>24.883727181486144</v>
          </cell>
          <cell r="AN41">
            <v>28.697581272421186</v>
          </cell>
          <cell r="AO41">
            <v>32.736129467736177</v>
          </cell>
          <cell r="AP41">
            <v>24.843076771645958</v>
          </cell>
          <cell r="AQ41"/>
          <cell r="AR41"/>
          <cell r="AS41"/>
          <cell r="AT41"/>
          <cell r="AU41"/>
          <cell r="AV41"/>
          <cell r="AW41"/>
          <cell r="AX41"/>
          <cell r="AY41"/>
          <cell r="AZ41"/>
          <cell r="BA41"/>
          <cell r="BB41">
            <v>-58.485000000000028</v>
          </cell>
          <cell r="BC41">
            <v>-63.854999999999997</v>
          </cell>
          <cell r="BD41">
            <v>-28.98799999999996</v>
          </cell>
          <cell r="BE41">
            <v>28.116000000000046</v>
          </cell>
          <cell r="BF41">
            <v>12.25099999999998</v>
          </cell>
          <cell r="BG41">
            <v>51.952528322274603</v>
          </cell>
          <cell r="BH41">
            <v>111.1605146932895</v>
          </cell>
          <cell r="BI41">
            <v>154.79759496838199</v>
          </cell>
          <cell r="BJ41">
            <v>178.16900038133343</v>
          </cell>
          <cell r="BK41">
            <v>222.06709419620591</v>
          </cell>
          <cell r="BL41"/>
        </row>
        <row r="42">
          <cell r="A42" t="str">
            <v>Tax</v>
          </cell>
          <cell r="B42"/>
          <cell r="C42"/>
          <cell r="D42"/>
          <cell r="E42"/>
          <cell r="F42"/>
          <cell r="G42"/>
          <cell r="H42"/>
          <cell r="I42"/>
          <cell r="J42"/>
          <cell r="K42"/>
          <cell r="L42"/>
          <cell r="M42"/>
          <cell r="N42"/>
          <cell r="O42"/>
          <cell r="P42"/>
          <cell r="Q42">
            <v>-0.97900000000000009</v>
          </cell>
          <cell r="R42">
            <v>-10.544</v>
          </cell>
          <cell r="S42">
            <v>-3.556</v>
          </cell>
          <cell r="T42">
            <v>-1.454</v>
          </cell>
          <cell r="U42">
            <v>5.7270000000000003</v>
          </cell>
          <cell r="V42">
            <v>-12.28</v>
          </cell>
          <cell r="W42">
            <v>0.5259999999999998</v>
          </cell>
          <cell r="X42">
            <v>4.0259999999999998</v>
          </cell>
          <cell r="Y42">
            <v>-12.632999999999999</v>
          </cell>
          <cell r="Z42">
            <v>-2.3809999999999993</v>
          </cell>
          <cell r="AA42">
            <v>4.085</v>
          </cell>
          <cell r="AB42">
            <v>5.3920000000000003</v>
          </cell>
          <cell r="AC42">
            <v>3.4809999999999999</v>
          </cell>
          <cell r="AD42">
            <v>-4.2530000000000001</v>
          </cell>
          <cell r="AE42">
            <v>1.1019999999999999</v>
          </cell>
          <cell r="AF42">
            <v>-8.4999999999999964E-2</v>
          </cell>
          <cell r="AG42">
            <v>3.9519999999999995</v>
          </cell>
          <cell r="AH42">
            <v>7.3980000000000015</v>
          </cell>
          <cell r="AI42">
            <v>-9.0180000000000007</v>
          </cell>
          <cell r="AJ42">
            <v>7.0940000000000003</v>
          </cell>
          <cell r="AK42">
            <v>7.1482032318513635</v>
          </cell>
          <cell r="AL42">
            <v>6.4645024326035401</v>
          </cell>
          <cell r="AM42">
            <v>6.9674436108161206</v>
          </cell>
          <cell r="AN42">
            <v>5.7395162544842373</v>
          </cell>
          <cell r="AO42">
            <v>6.5472258935472354</v>
          </cell>
          <cell r="AP42">
            <v>4.9686153543291915</v>
          </cell>
          <cell r="AQ42"/>
          <cell r="AR42"/>
          <cell r="AS42"/>
          <cell r="AT42"/>
          <cell r="AU42"/>
          <cell r="AV42"/>
          <cell r="AW42"/>
          <cell r="AX42"/>
          <cell r="AY42"/>
          <cell r="AZ42"/>
          <cell r="BA42"/>
          <cell r="BB42">
            <v>-11.803000000000001</v>
          </cell>
          <cell r="BC42">
            <v>-11.562000000000001</v>
          </cell>
          <cell r="BD42">
            <v>-10.461000000000002</v>
          </cell>
          <cell r="BE42">
            <v>8.7059999999999995</v>
          </cell>
          <cell r="BF42">
            <v>12.366999999999999</v>
          </cell>
          <cell r="BG42">
            <v>11.688705664454904</v>
          </cell>
          <cell r="BH42">
            <v>24.222801113176786</v>
          </cell>
          <cell r="BI42">
            <v>15.479759496838206</v>
          </cell>
          <cell r="BJ42">
            <v>35.633800076266688</v>
          </cell>
          <cell r="BK42">
            <v>44.413418839241189</v>
          </cell>
          <cell r="BL42"/>
        </row>
        <row r="43">
          <cell r="A43" t="str">
            <v>Discontinued Operations</v>
          </cell>
          <cell r="B43"/>
          <cell r="C43"/>
          <cell r="D43"/>
          <cell r="E43"/>
          <cell r="F43"/>
          <cell r="G43"/>
          <cell r="H43"/>
          <cell r="I43"/>
          <cell r="J43"/>
          <cell r="K43"/>
          <cell r="L43"/>
          <cell r="M43"/>
          <cell r="N43"/>
          <cell r="O43"/>
          <cell r="P43"/>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cell r="AR43"/>
          <cell r="AS43"/>
          <cell r="AT43"/>
          <cell r="AU43"/>
          <cell r="AV43"/>
          <cell r="AW43"/>
          <cell r="AX43"/>
          <cell r="AY43"/>
          <cell r="AZ43"/>
          <cell r="BA43"/>
          <cell r="BB43">
            <v>0</v>
          </cell>
          <cell r="BC43">
            <v>0</v>
          </cell>
          <cell r="BD43">
            <v>0</v>
          </cell>
          <cell r="BE43">
            <v>0</v>
          </cell>
          <cell r="BF43">
            <v>0</v>
          </cell>
          <cell r="BG43">
            <v>0</v>
          </cell>
          <cell r="BH43">
            <v>0</v>
          </cell>
          <cell r="BI43">
            <v>0</v>
          </cell>
          <cell r="BJ43">
            <v>0</v>
          </cell>
          <cell r="BK43">
            <v>0</v>
          </cell>
          <cell r="BL43"/>
        </row>
        <row r="44">
          <cell r="A44" t="str">
            <v>Net Income to NCI</v>
          </cell>
          <cell r="B44"/>
          <cell r="C44"/>
          <cell r="D44"/>
          <cell r="E44"/>
          <cell r="F44"/>
          <cell r="G44"/>
          <cell r="H44"/>
          <cell r="I44"/>
          <cell r="J44"/>
          <cell r="K44"/>
          <cell r="L44"/>
          <cell r="M44"/>
          <cell r="N44"/>
          <cell r="O44"/>
          <cell r="P44"/>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cell r="AR44"/>
          <cell r="AS44"/>
          <cell r="AT44"/>
          <cell r="AU44"/>
          <cell r="AV44"/>
          <cell r="AW44"/>
          <cell r="AX44"/>
          <cell r="AY44"/>
          <cell r="AZ44"/>
          <cell r="BA44"/>
          <cell r="BB44">
            <v>0</v>
          </cell>
          <cell r="BC44">
            <v>0</v>
          </cell>
          <cell r="BD44">
            <v>0</v>
          </cell>
          <cell r="BE44">
            <v>0</v>
          </cell>
          <cell r="BF44">
            <v>0</v>
          </cell>
          <cell r="BG44">
            <v>0</v>
          </cell>
          <cell r="BH44">
            <v>0</v>
          </cell>
          <cell r="BI44">
            <v>0</v>
          </cell>
          <cell r="BJ44">
            <v>0</v>
          </cell>
          <cell r="BK44">
            <v>0</v>
          </cell>
          <cell r="BL44"/>
        </row>
        <row r="45">
          <cell r="A45" t="str">
            <v>Earnings to Preferred and Other Securities</v>
          </cell>
          <cell r="B45"/>
          <cell r="C45"/>
          <cell r="D45"/>
          <cell r="E45"/>
          <cell r="F45"/>
          <cell r="G45"/>
          <cell r="H45"/>
          <cell r="I45"/>
          <cell r="J45"/>
          <cell r="K45"/>
          <cell r="L45"/>
          <cell r="M45"/>
          <cell r="N45"/>
          <cell r="O45"/>
          <cell r="P45"/>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cell r="AR45"/>
          <cell r="AS45"/>
          <cell r="AT45"/>
          <cell r="AU45"/>
          <cell r="AV45"/>
          <cell r="AW45"/>
          <cell r="AX45"/>
          <cell r="AY45"/>
          <cell r="AZ45"/>
          <cell r="BA45"/>
          <cell r="BB45">
            <v>0</v>
          </cell>
          <cell r="BC45">
            <v>0</v>
          </cell>
          <cell r="BD45">
            <v>0</v>
          </cell>
          <cell r="BE45">
            <v>0</v>
          </cell>
          <cell r="BF45">
            <v>0</v>
          </cell>
          <cell r="BG45">
            <v>0</v>
          </cell>
          <cell r="BH45">
            <v>0</v>
          </cell>
          <cell r="BI45">
            <v>0</v>
          </cell>
          <cell r="BJ45">
            <v>0</v>
          </cell>
          <cell r="BK45">
            <v>0</v>
          </cell>
          <cell r="BL45"/>
        </row>
        <row r="46">
          <cell r="A46" t="str">
            <v>Net Income to Common Shareholders</v>
          </cell>
          <cell r="B46"/>
          <cell r="C46"/>
          <cell r="D46"/>
          <cell r="E46"/>
          <cell r="F46"/>
          <cell r="G46"/>
          <cell r="H46"/>
          <cell r="I46"/>
          <cell r="J46"/>
          <cell r="K46"/>
          <cell r="L46"/>
          <cell r="M46"/>
          <cell r="N46"/>
          <cell r="O46"/>
          <cell r="P46"/>
          <cell r="Q46">
            <v>-3.9090000000000158</v>
          </cell>
          <cell r="R46">
            <v>-17.703000000000007</v>
          </cell>
          <cell r="S46">
            <v>-15.899999999999991</v>
          </cell>
          <cell r="T46">
            <v>-24.94700000000001</v>
          </cell>
          <cell r="U46">
            <v>-10.385999999999996</v>
          </cell>
          <cell r="V46">
            <v>-1.0610000000000159</v>
          </cell>
          <cell r="W46">
            <v>0.6280000000000121</v>
          </cell>
          <cell r="X46">
            <v>3.3980000000000574</v>
          </cell>
          <cell r="Y46">
            <v>-25.256000000000018</v>
          </cell>
          <cell r="Z46">
            <v>2.7039999999999935</v>
          </cell>
          <cell r="AA46">
            <v>6.2360000000000086</v>
          </cell>
          <cell r="AB46">
            <v>11.571000000000019</v>
          </cell>
          <cell r="AC46">
            <v>9.3030000000000133</v>
          </cell>
          <cell r="AD46">
            <v>-7.7000000000000099</v>
          </cell>
          <cell r="AE46">
            <v>0.59099999999999708</v>
          </cell>
          <cell r="AF46">
            <v>0.32299999999999773</v>
          </cell>
          <cell r="AG46">
            <v>2.3539999999999996</v>
          </cell>
          <cell r="AH46">
            <v>-3.384000000000067</v>
          </cell>
          <cell r="AI46">
            <v>-7.9550000000000018</v>
          </cell>
          <cell r="AJ46">
            <v>-6.2320000000000082</v>
          </cell>
          <cell r="AK46">
            <v>28.592812927405454</v>
          </cell>
          <cell r="AL46">
            <v>25.85800973041416</v>
          </cell>
          <cell r="AM46">
            <v>17.916283570670025</v>
          </cell>
          <cell r="AN46">
            <v>22.958065017936949</v>
          </cell>
          <cell r="AO46">
            <v>26.188903574188942</v>
          </cell>
          <cell r="AP46">
            <v>19.874461417316766</v>
          </cell>
          <cell r="AQ46"/>
          <cell r="AR46"/>
          <cell r="AS46"/>
          <cell r="AT46"/>
          <cell r="AU46"/>
          <cell r="AV46"/>
          <cell r="AW46"/>
          <cell r="AX46"/>
          <cell r="AY46"/>
          <cell r="AZ46"/>
          <cell r="BA46"/>
          <cell r="BB46">
            <v>-46.682000000000031</v>
          </cell>
          <cell r="BC46">
            <v>-52.293000000000006</v>
          </cell>
          <cell r="BD46">
            <v>-18.526999999999958</v>
          </cell>
          <cell r="BE46">
            <v>19.410000000000046</v>
          </cell>
          <cell r="BF46">
            <v>-0.1160000000000192</v>
          </cell>
          <cell r="BG46">
            <v>40.263822657819702</v>
          </cell>
          <cell r="BH46">
            <v>86.937713580112714</v>
          </cell>
          <cell r="BI46">
            <v>139.31783547154379</v>
          </cell>
          <cell r="BJ46">
            <v>142.53520030506675</v>
          </cell>
          <cell r="BK46">
            <v>177.65367535696473</v>
          </cell>
          <cell r="BL46"/>
        </row>
        <row r="48">
          <cell r="A48" t="str">
            <v>Adjusted Shares Outstanding - WAD</v>
          </cell>
          <cell r="B48"/>
          <cell r="C48"/>
          <cell r="D48"/>
          <cell r="E48"/>
          <cell r="F48"/>
          <cell r="G48"/>
          <cell r="H48"/>
          <cell r="I48"/>
          <cell r="J48"/>
          <cell r="K48"/>
          <cell r="L48"/>
          <cell r="M48"/>
          <cell r="N48"/>
          <cell r="O48"/>
          <cell r="P48"/>
          <cell r="Q48"/>
          <cell r="R48"/>
          <cell r="S48"/>
          <cell r="T48"/>
          <cell r="U48"/>
          <cell r="V48"/>
          <cell r="W48"/>
          <cell r="X48"/>
          <cell r="Y48">
            <v>89.431021999999999</v>
          </cell>
          <cell r="Z48">
            <v>99.690692999999996</v>
          </cell>
          <cell r="AA48">
            <v>99.186456000000007</v>
          </cell>
          <cell r="AB48">
            <v>99.344562999999994</v>
          </cell>
          <cell r="AC48">
            <v>99.118521000000001</v>
          </cell>
          <cell r="AD48">
            <v>97.812338999999994</v>
          </cell>
          <cell r="AE48">
            <v>95.350341999999998</v>
          </cell>
          <cell r="AF48">
            <v>94.498666</v>
          </cell>
          <cell r="AG48">
            <v>93.651691</v>
          </cell>
          <cell r="AH48">
            <v>92.317757</v>
          </cell>
          <cell r="AI48">
            <v>93.399394000000001</v>
          </cell>
          <cell r="AJ48">
            <v>95.361510999999993</v>
          </cell>
          <cell r="AK48">
            <v>95.562500632681264</v>
          </cell>
          <cell r="AL48">
            <v>95.574271740025807</v>
          </cell>
          <cell r="AM48">
            <v>95.583829167199809</v>
          </cell>
          <cell r="AN48">
            <v>95.593387550116546</v>
          </cell>
          <cell r="AO48">
            <v>95.602946888871543</v>
          </cell>
          <cell r="AP48">
            <v>95.612507183560439</v>
          </cell>
          <cell r="AQ48"/>
          <cell r="AR48"/>
          <cell r="AS48"/>
          <cell r="AT48"/>
          <cell r="AU48"/>
          <cell r="AV48"/>
          <cell r="AW48"/>
          <cell r="AX48"/>
          <cell r="AY48"/>
          <cell r="AZ48"/>
          <cell r="BA48"/>
          <cell r="BB48"/>
          <cell r="BC48"/>
          <cell r="BD48">
            <v>95.082549999999998</v>
          </cell>
          <cell r="BE48">
            <v>98.866004000000004</v>
          </cell>
          <cell r="BF48">
            <v>93.944513999999998</v>
          </cell>
          <cell r="BG48">
            <v>95.09154833139084</v>
          </cell>
          <cell r="BH48">
            <v>95.598259361020098</v>
          </cell>
          <cell r="BI48">
            <v>95.636411027414269</v>
          </cell>
          <cell r="BJ48">
            <v>95.674665591825232</v>
          </cell>
          <cell r="BK48">
            <v>95.712935458061963</v>
          </cell>
          <cell r="BL48"/>
        </row>
        <row r="51">
          <cell r="A51" t="str">
            <v>Adjusted EBITDA</v>
          </cell>
          <cell r="B51"/>
          <cell r="C51"/>
          <cell r="D51"/>
          <cell r="E51"/>
          <cell r="F51"/>
          <cell r="G51"/>
          <cell r="H51"/>
          <cell r="I51"/>
          <cell r="J51"/>
          <cell r="K51"/>
          <cell r="L51"/>
          <cell r="M51"/>
          <cell r="N51"/>
          <cell r="O51"/>
          <cell r="P51"/>
          <cell r="Q51">
            <v>35.883999999999972</v>
          </cell>
          <cell r="R51">
            <v>23.737999999999996</v>
          </cell>
          <cell r="S51">
            <v>27.85700000000001</v>
          </cell>
          <cell r="T51">
            <v>14.718999999999987</v>
          </cell>
          <cell r="U51">
            <v>30.655999999999999</v>
          </cell>
          <cell r="V51">
            <v>28.013999999999996</v>
          </cell>
          <cell r="W51">
            <v>36.804000000000009</v>
          </cell>
          <cell r="X51">
            <v>47.034000000000063</v>
          </cell>
          <cell r="Y51">
            <v>51.298999999999978</v>
          </cell>
          <cell r="Z51">
            <v>44.049000000000007</v>
          </cell>
          <cell r="AA51">
            <v>47.635999999999989</v>
          </cell>
          <cell r="AB51">
            <v>56.471999999999994</v>
          </cell>
          <cell r="AC51">
            <v>53.098000000000006</v>
          </cell>
          <cell r="AD51">
            <v>41.296999999999997</v>
          </cell>
          <cell r="AE51">
            <v>45.554999999999993</v>
          </cell>
          <cell r="AF51">
            <v>49.996999999999993</v>
          </cell>
          <cell r="AG51">
            <v>47.555999999999997</v>
          </cell>
          <cell r="AH51">
            <v>41.915999999999933</v>
          </cell>
          <cell r="AI51">
            <v>38.509999999999991</v>
          </cell>
          <cell r="AJ51">
            <v>46.283999999999999</v>
          </cell>
          <cell r="AK51">
            <v>51.343580967999991</v>
          </cell>
          <cell r="AL51">
            <v>46.472926499999993</v>
          </cell>
          <cell r="AM51">
            <v>43.172577568119991</v>
          </cell>
          <cell r="AN51">
            <v>47.845629775735986</v>
          </cell>
          <cell r="AO51">
            <v>48.746402325033642</v>
          </cell>
          <cell r="AP51">
            <v>47.483744226281999</v>
          </cell>
          <cell r="AQ51"/>
          <cell r="AR51"/>
          <cell r="AS51"/>
          <cell r="AT51"/>
          <cell r="AU51"/>
          <cell r="AV51"/>
          <cell r="AW51"/>
          <cell r="AX51"/>
          <cell r="AY51"/>
          <cell r="AZ51"/>
          <cell r="BA51"/>
          <cell r="BB51">
            <v>118.98399999999999</v>
          </cell>
          <cell r="BC51">
            <v>101.24499999999999</v>
          </cell>
          <cell r="BD51">
            <v>179.18400000000003</v>
          </cell>
          <cell r="BE51">
            <v>198.50300000000007</v>
          </cell>
          <cell r="BF51">
            <v>185.02399999999994</v>
          </cell>
          <cell r="BG51">
            <v>182.61050746799998</v>
          </cell>
          <cell r="BH51">
            <v>187.24835389517162</v>
          </cell>
          <cell r="BI51">
            <v>213.26443210734396</v>
          </cell>
          <cell r="BJ51">
            <v>277.45253356501371</v>
          </cell>
          <cell r="BK51">
            <v>317.22114614270424</v>
          </cell>
          <cell r="BL51"/>
        </row>
        <row r="52">
          <cell r="A52" t="str">
            <v>Adjusted Net Income</v>
          </cell>
          <cell r="B52"/>
          <cell r="C52"/>
          <cell r="D52"/>
          <cell r="E52"/>
          <cell r="F52"/>
          <cell r="G52"/>
          <cell r="H52"/>
          <cell r="I52"/>
          <cell r="J52"/>
          <cell r="K52"/>
          <cell r="L52"/>
          <cell r="M52"/>
          <cell r="N52"/>
          <cell r="O52"/>
          <cell r="P52"/>
          <cell r="Q52">
            <v>14.05599999999998</v>
          </cell>
          <cell r="R52">
            <v>5.2129999999999939</v>
          </cell>
          <cell r="S52">
            <v>8.1070000000000064</v>
          </cell>
          <cell r="T52">
            <v>-0.79800000000000892</v>
          </cell>
          <cell r="U52">
            <v>11.169000000000004</v>
          </cell>
          <cell r="V52">
            <v>9.2299999999999827</v>
          </cell>
          <cell r="W52">
            <v>15.450000000000012</v>
          </cell>
          <cell r="X52">
            <v>22.622000000000053</v>
          </cell>
          <cell r="Y52">
            <v>31.574999999999992</v>
          </cell>
          <cell r="Z52">
            <v>22.583999999999989</v>
          </cell>
          <cell r="AA52">
            <v>24.401000000000003</v>
          </cell>
          <cell r="AB52">
            <v>32.499000000000009</v>
          </cell>
          <cell r="AC52">
            <v>29.171000000000014</v>
          </cell>
          <cell r="AD52">
            <v>20.474</v>
          </cell>
          <cell r="AE52">
            <v>23.285999999999998</v>
          </cell>
          <cell r="AF52">
            <v>26.203999999999997</v>
          </cell>
          <cell r="AG52">
            <v>24.734000000000002</v>
          </cell>
          <cell r="AH52">
            <v>19.685999999999936</v>
          </cell>
          <cell r="AI52">
            <v>17.410999999999994</v>
          </cell>
          <cell r="AJ52">
            <v>21.791999999999984</v>
          </cell>
          <cell r="AK52">
            <v>28.592812927405454</v>
          </cell>
          <cell r="AL52">
            <v>24.35800973041416</v>
          </cell>
          <cell r="AM52">
            <v>25.916283570670025</v>
          </cell>
          <cell r="AN52">
            <v>30.458065017936949</v>
          </cell>
          <cell r="AO52">
            <v>30.188903574188942</v>
          </cell>
          <cell r="AP52">
            <v>24.874461417316766</v>
          </cell>
          <cell r="AQ52"/>
          <cell r="AR52"/>
          <cell r="AS52"/>
          <cell r="AT52"/>
          <cell r="AU52"/>
          <cell r="AV52"/>
          <cell r="AW52"/>
          <cell r="AX52"/>
          <cell r="AY52"/>
          <cell r="AZ52"/>
          <cell r="BA52"/>
          <cell r="BB52">
            <v>38.031999999999968</v>
          </cell>
          <cell r="BC52">
            <v>27.708999999999989</v>
          </cell>
          <cell r="BD52">
            <v>92.231999999999999</v>
          </cell>
          <cell r="BE52">
            <v>106.54500000000006</v>
          </cell>
          <cell r="BF52">
            <v>93.91</v>
          </cell>
          <cell r="BG52">
            <v>92.153822657819688</v>
          </cell>
          <cell r="BH52">
            <v>111.43771358011271</v>
          </cell>
          <cell r="BI52">
            <v>132.31783547154384</v>
          </cell>
          <cell r="BJ52">
            <v>142.53520030506675</v>
          </cell>
          <cell r="BK52">
            <v>177.65367535696473</v>
          </cell>
          <cell r="BL52"/>
        </row>
        <row r="53">
          <cell r="A53" t="str">
            <v>Adjusted Earnings Per Share - WAD</v>
          </cell>
          <cell r="B53"/>
          <cell r="C53"/>
          <cell r="D53"/>
          <cell r="E53"/>
          <cell r="F53"/>
          <cell r="G53"/>
          <cell r="H53"/>
          <cell r="I53"/>
          <cell r="J53"/>
          <cell r="K53"/>
          <cell r="L53"/>
          <cell r="M53"/>
          <cell r="N53"/>
          <cell r="O53"/>
          <cell r="P53"/>
          <cell r="Q53"/>
          <cell r="R53"/>
          <cell r="S53"/>
          <cell r="T53"/>
          <cell r="U53"/>
          <cell r="V53"/>
          <cell r="W53"/>
          <cell r="X53"/>
          <cell r="Y53">
            <v>0.35306540497770439</v>
          </cell>
          <cell r="Z53">
            <v>0.22654070626231868</v>
          </cell>
          <cell r="AA53">
            <v>0.24601141107410876</v>
          </cell>
          <cell r="AB53">
            <v>0.32713415831322357</v>
          </cell>
          <cell r="AC53">
            <v>0.29430422998341565</v>
          </cell>
          <cell r="AD53">
            <v>0.20931919438098706</v>
          </cell>
          <cell r="AE53">
            <v>0.24421517019834074</v>
          </cell>
          <cell r="AF53">
            <v>0.27729491969759656</v>
          </cell>
          <cell r="AG53">
            <v>0.26410628292873006</v>
          </cell>
          <cell r="AH53">
            <v>0.21324174936355891</v>
          </cell>
          <cell r="AI53">
            <v>0.18641448572996089</v>
          </cell>
          <cell r="AJ53">
            <v>0.22851986898571675</v>
          </cell>
          <cell r="AK53">
            <v>0.29920536547394455</v>
          </cell>
          <cell r="AL53">
            <v>0.25485948558071203</v>
          </cell>
          <cell r="AM53">
            <v>0.27113669536440127</v>
          </cell>
          <cell r="AN53">
            <v>0.31862104480781961</v>
          </cell>
          <cell r="AO53">
            <v>0.31577377640126925</v>
          </cell>
          <cell r="AP53">
            <v>0.26015907489552442</v>
          </cell>
          <cell r="AQ53"/>
          <cell r="AR53"/>
          <cell r="AS53"/>
          <cell r="AT53"/>
          <cell r="AU53"/>
          <cell r="AV53"/>
          <cell r="AW53"/>
          <cell r="AX53"/>
          <cell r="AY53"/>
          <cell r="AZ53"/>
          <cell r="BA53"/>
          <cell r="BB53"/>
          <cell r="BC53"/>
          <cell r="BD53">
            <v>0.97002026134132924</v>
          </cell>
          <cell r="BE53">
            <v>1.0776707431201533</v>
          </cell>
          <cell r="BF53">
            <v>0.99963261292724337</v>
          </cell>
          <cell r="BG53">
            <v>0.96910634304393406</v>
          </cell>
          <cell r="BH53">
            <v>1.165687684325674</v>
          </cell>
          <cell r="BI53">
            <v>1.3835508259883864</v>
          </cell>
          <cell r="BJ53">
            <v>1.4897904207281123</v>
          </cell>
          <cell r="BK53">
            <v>1.8561093597929228</v>
          </cell>
          <cell r="BL53"/>
        </row>
        <row r="63">
          <cell r="A63" t="str">
            <v>Operating Cash Flow before WC</v>
          </cell>
          <cell r="B63"/>
          <cell r="C63"/>
          <cell r="D63"/>
          <cell r="E63"/>
          <cell r="F63"/>
          <cell r="G63"/>
          <cell r="H63"/>
          <cell r="I63"/>
          <cell r="J63"/>
          <cell r="K63"/>
          <cell r="L63"/>
          <cell r="M63"/>
          <cell r="N63"/>
          <cell r="O63"/>
          <cell r="P63"/>
          <cell r="Q63"/>
          <cell r="R63"/>
          <cell r="S63">
            <v>0</v>
          </cell>
          <cell r="T63">
            <v>7.8770000000000016</v>
          </cell>
          <cell r="U63">
            <v>17.229000000000003</v>
          </cell>
          <cell r="V63">
            <v>9.7229999999999936</v>
          </cell>
          <cell r="W63">
            <v>20.52</v>
          </cell>
          <cell r="X63">
            <v>25.610999999999997</v>
          </cell>
          <cell r="Y63">
            <v>5.748000000000002</v>
          </cell>
          <cell r="Z63">
            <v>20.061999999999998</v>
          </cell>
          <cell r="AA63">
            <v>32.891000000000005</v>
          </cell>
          <cell r="AB63">
            <v>36.464000000000006</v>
          </cell>
          <cell r="AC63">
            <v>34.143999999999991</v>
          </cell>
          <cell r="AD63">
            <v>10.525000000000004</v>
          </cell>
          <cell r="AE63">
            <v>24.975000000000001</v>
          </cell>
          <cell r="AF63">
            <v>35.021000000000008</v>
          </cell>
          <cell r="AG63">
            <v>27.637999999999995</v>
          </cell>
          <cell r="AH63">
            <v>3.4560000000000017</v>
          </cell>
          <cell r="AI63">
            <v>7.322000000000001</v>
          </cell>
          <cell r="AJ63">
            <v>24.432000000000002</v>
          </cell>
          <cell r="AK63">
            <v>48.47034429352567</v>
          </cell>
          <cell r="AL63">
            <v>45.283390624773503</v>
          </cell>
          <cell r="AM63">
            <v>36.665449573742229</v>
          </cell>
          <cell r="AN63">
            <v>41.460432644539424</v>
          </cell>
          <cell r="AO63">
            <v>44.447499061623397</v>
          </cell>
          <cell r="AP63">
            <v>37.763451502089794</v>
          </cell>
          <cell r="AQ63"/>
          <cell r="AR63"/>
          <cell r="AS63"/>
          <cell r="AT63"/>
          <cell r="AU63"/>
          <cell r="AV63"/>
          <cell r="AW63"/>
          <cell r="AX63"/>
          <cell r="AY63"/>
          <cell r="AZ63"/>
          <cell r="BA63"/>
          <cell r="BB63">
            <v>47.918000000000006</v>
          </cell>
          <cell r="BC63">
            <v>34.828999999999994</v>
          </cell>
          <cell r="BD63">
            <v>71.941000000000003</v>
          </cell>
          <cell r="BE63">
            <v>114.02399999999999</v>
          </cell>
          <cell r="BF63">
            <v>91.09</v>
          </cell>
          <cell r="BG63">
            <v>125.50773491829921</v>
          </cell>
          <cell r="BH63">
            <v>160.33683278199484</v>
          </cell>
          <cell r="BI63">
            <v>209.09595261050578</v>
          </cell>
          <cell r="BJ63">
            <v>207.13001348874704</v>
          </cell>
          <cell r="BK63">
            <v>238.11900730346304</v>
          </cell>
          <cell r="BL63"/>
        </row>
        <row r="65">
          <cell r="A65" t="str">
            <v>Operating Cash Flow after WC</v>
          </cell>
          <cell r="B65"/>
          <cell r="C65"/>
          <cell r="D65"/>
          <cell r="E65"/>
          <cell r="F65"/>
          <cell r="G65"/>
          <cell r="H65"/>
          <cell r="I65"/>
          <cell r="J65"/>
          <cell r="K65"/>
          <cell r="L65"/>
          <cell r="M65"/>
          <cell r="N65"/>
          <cell r="O65"/>
          <cell r="P65"/>
          <cell r="Q65"/>
          <cell r="R65"/>
          <cell r="S65">
            <v>0</v>
          </cell>
          <cell r="T65">
            <v>20.226000000000006</v>
          </cell>
          <cell r="U65">
            <v>5.6269999999999989</v>
          </cell>
          <cell r="V65">
            <v>10.331999999999994</v>
          </cell>
          <cell r="W65">
            <v>21.983000000000001</v>
          </cell>
          <cell r="X65">
            <v>23.306999999999999</v>
          </cell>
          <cell r="Y65">
            <v>-6.3640000000000017</v>
          </cell>
          <cell r="Z65">
            <v>29.679000000000002</v>
          </cell>
          <cell r="AA65">
            <v>3.4450000000000074</v>
          </cell>
          <cell r="AB65">
            <v>29.83400000000001</v>
          </cell>
          <cell r="AC65">
            <v>40.318999999999988</v>
          </cell>
          <cell r="AD65">
            <v>30.665000000000006</v>
          </cell>
          <cell r="AE65">
            <v>11.281999999999996</v>
          </cell>
          <cell r="AF65">
            <v>21.616000000000007</v>
          </cell>
          <cell r="AG65">
            <v>32.777999999999999</v>
          </cell>
          <cell r="AH65">
            <v>31.184999999999999</v>
          </cell>
          <cell r="AI65">
            <v>3.6740000000000022</v>
          </cell>
          <cell r="AJ65">
            <v>16.493000000000002</v>
          </cell>
          <cell r="AK65">
            <v>34.078149436363773</v>
          </cell>
          <cell r="AL65">
            <v>56.974052579006177</v>
          </cell>
          <cell r="AM65">
            <v>37.80271905598061</v>
          </cell>
          <cell r="AN65">
            <v>40.033429242940819</v>
          </cell>
          <cell r="AO65">
            <v>28.745748309190787</v>
          </cell>
          <cell r="AP65">
            <v>49.591591945095089</v>
          </cell>
          <cell r="AQ65"/>
          <cell r="AR65"/>
          <cell r="AS65"/>
          <cell r="AT65"/>
          <cell r="AU65"/>
          <cell r="AV65"/>
          <cell r="AW65"/>
          <cell r="AX65"/>
          <cell r="AY65"/>
          <cell r="AZ65"/>
          <cell r="BA65"/>
          <cell r="BB65">
            <v>36.204000000000008</v>
          </cell>
          <cell r="BC65">
            <v>36.184999999999995</v>
          </cell>
          <cell r="BD65">
            <v>68.605000000000004</v>
          </cell>
          <cell r="BE65">
            <v>104.26299999999998</v>
          </cell>
          <cell r="BF65">
            <v>96.861000000000004</v>
          </cell>
          <cell r="BG65">
            <v>111.21920201536999</v>
          </cell>
          <cell r="BH65">
            <v>156.17348855320731</v>
          </cell>
          <cell r="BI65">
            <v>203.85648845753414</v>
          </cell>
          <cell r="BJ65">
            <v>202.87465628493192</v>
          </cell>
          <cell r="BK65">
            <v>233.59021523247819</v>
          </cell>
          <cell r="BL65"/>
        </row>
        <row r="67">
          <cell r="A67" t="str">
            <v>Core FCF, Pre Div</v>
          </cell>
          <cell r="B67"/>
          <cell r="C67"/>
          <cell r="D67"/>
          <cell r="E67"/>
          <cell r="F67"/>
          <cell r="G67"/>
          <cell r="H67"/>
          <cell r="I67"/>
          <cell r="J67"/>
          <cell r="K67"/>
          <cell r="L67"/>
          <cell r="M67"/>
          <cell r="N67"/>
          <cell r="O67"/>
          <cell r="P67"/>
          <cell r="Q67"/>
          <cell r="R67"/>
          <cell r="S67">
            <v>0</v>
          </cell>
          <cell r="T67">
            <v>10.680000000000007</v>
          </cell>
          <cell r="U67">
            <v>2.0879999999999992</v>
          </cell>
          <cell r="V67">
            <v>6.9149999999999929</v>
          </cell>
          <cell r="W67">
            <v>17.798000000000002</v>
          </cell>
          <cell r="X67">
            <v>18.196999999999999</v>
          </cell>
          <cell r="Y67">
            <v>-11.675000000000001</v>
          </cell>
          <cell r="Z67">
            <v>25.191000000000003</v>
          </cell>
          <cell r="AA67">
            <v>-1.7919999999999927</v>
          </cell>
          <cell r="AB67">
            <v>24.189000000000011</v>
          </cell>
          <cell r="AC67">
            <v>35.503999999999991</v>
          </cell>
          <cell r="AD67">
            <v>26.175000000000004</v>
          </cell>
          <cell r="AE67">
            <v>7.0219999999999967</v>
          </cell>
          <cell r="AF67">
            <v>16.694000000000006</v>
          </cell>
          <cell r="AG67">
            <v>27.218999999999998</v>
          </cell>
          <cell r="AH67">
            <v>25.564000000000004</v>
          </cell>
          <cell r="AI67">
            <v>-1.945999999999998</v>
          </cell>
          <cell r="AJ67">
            <v>10.765000000000001</v>
          </cell>
          <cell r="AK67">
            <v>29.078149436363773</v>
          </cell>
          <cell r="AL67">
            <v>51.974052579006177</v>
          </cell>
          <cell r="AM67">
            <v>32.80271905598061</v>
          </cell>
          <cell r="AN67">
            <v>35.033429242940819</v>
          </cell>
          <cell r="AO67">
            <v>23.745748309190787</v>
          </cell>
          <cell r="AP67">
            <v>44.591591945095089</v>
          </cell>
          <cell r="AQ67"/>
          <cell r="AR67"/>
          <cell r="AS67"/>
          <cell r="AT67"/>
          <cell r="AU67"/>
          <cell r="AV67"/>
          <cell r="AW67"/>
          <cell r="AX67"/>
          <cell r="AY67"/>
          <cell r="AZ67"/>
          <cell r="BA67"/>
          <cell r="BB67">
            <v>4.3210000000000086</v>
          </cell>
          <cell r="BC67">
            <v>19.682999999999993</v>
          </cell>
          <cell r="BD67">
            <v>49.511000000000003</v>
          </cell>
          <cell r="BE67">
            <v>84.075999999999979</v>
          </cell>
          <cell r="BF67">
            <v>76.499000000000009</v>
          </cell>
          <cell r="BG67">
            <v>89.871202015369988</v>
          </cell>
          <cell r="BH67">
            <v>136.17348855320731</v>
          </cell>
          <cell r="BI67">
            <v>183.85648845753414</v>
          </cell>
          <cell r="BJ67">
            <v>182.87465628493192</v>
          </cell>
          <cell r="BK67">
            <v>213.59021523247819</v>
          </cell>
          <cell r="BL67"/>
        </row>
        <row r="75">
          <cell r="A75" t="str">
            <v>Change in Cash Position</v>
          </cell>
          <cell r="B75"/>
          <cell r="C75"/>
          <cell r="D75"/>
          <cell r="E75"/>
          <cell r="F75"/>
          <cell r="G75"/>
          <cell r="H75"/>
          <cell r="I75"/>
          <cell r="J75"/>
          <cell r="K75"/>
          <cell r="L75"/>
          <cell r="M75"/>
          <cell r="N75"/>
          <cell r="O75"/>
          <cell r="P75"/>
          <cell r="Q75"/>
          <cell r="R75"/>
          <cell r="S75">
            <v>0</v>
          </cell>
          <cell r="T75">
            <v>6.3640000000000025</v>
          </cell>
          <cell r="U75">
            <v>0.79499999999999893</v>
          </cell>
          <cell r="V75">
            <v>9.1749999999999918</v>
          </cell>
          <cell r="W75">
            <v>17.822000000000003</v>
          </cell>
          <cell r="X75">
            <v>9.8359999999999985</v>
          </cell>
          <cell r="Y75">
            <v>98.106000000000009</v>
          </cell>
          <cell r="Z75">
            <v>-144.39899999999997</v>
          </cell>
          <cell r="AA75">
            <v>-3.6509999999999927</v>
          </cell>
          <cell r="AB75">
            <v>21.464000000000009</v>
          </cell>
          <cell r="AC75">
            <v>33.378999999999984</v>
          </cell>
          <cell r="AD75">
            <v>3.9050000000001432</v>
          </cell>
          <cell r="AE75">
            <v>-52.131</v>
          </cell>
          <cell r="AF75">
            <v>-2.1469999999999936</v>
          </cell>
          <cell r="AG75">
            <v>1.0599999999999934</v>
          </cell>
          <cell r="AH75">
            <v>4.3470000000000031</v>
          </cell>
          <cell r="AI75">
            <v>12.755000000000006</v>
          </cell>
          <cell r="AJ75">
            <v>7.2030000000000047</v>
          </cell>
          <cell r="AK75">
            <v>29.078149436363773</v>
          </cell>
          <cell r="AL75">
            <v>51.974052579006177</v>
          </cell>
          <cell r="AM75">
            <v>32.80271905598061</v>
          </cell>
          <cell r="AN75">
            <v>35.033429242940819</v>
          </cell>
          <cell r="AO75">
            <v>23.745748309190787</v>
          </cell>
          <cell r="AP75">
            <v>44.591591945095089</v>
          </cell>
          <cell r="AQ75"/>
          <cell r="AR75"/>
          <cell r="AS75"/>
          <cell r="AT75"/>
          <cell r="AU75"/>
          <cell r="AV75"/>
          <cell r="AW75"/>
          <cell r="AX75"/>
          <cell r="AY75"/>
          <cell r="AZ75"/>
          <cell r="BA75"/>
          <cell r="BB75">
            <v>-5.1109999999999918</v>
          </cell>
          <cell r="BC75">
            <v>16.333999999999996</v>
          </cell>
          <cell r="BD75">
            <v>-18.634999999999977</v>
          </cell>
          <cell r="BE75">
            <v>55.097000000000094</v>
          </cell>
          <cell r="BF75">
            <v>-48.870999999999995</v>
          </cell>
          <cell r="BG75">
            <v>101.01020201537</v>
          </cell>
          <cell r="BH75">
            <v>136.17348855320731</v>
          </cell>
          <cell r="BI75">
            <v>183.85648845753414</v>
          </cell>
          <cell r="BJ75">
            <v>182.87465628493192</v>
          </cell>
          <cell r="BK75">
            <v>213.59021523247819</v>
          </cell>
          <cell r="BL75"/>
        </row>
        <row r="77">
          <cell r="A77" t="str">
            <v>Operating Cash Flow Per Share</v>
          </cell>
          <cell r="B77"/>
          <cell r="C77"/>
          <cell r="D77"/>
          <cell r="E77"/>
          <cell r="F77"/>
          <cell r="G77"/>
          <cell r="H77"/>
          <cell r="I77"/>
          <cell r="J77"/>
          <cell r="K77"/>
          <cell r="L77"/>
          <cell r="M77"/>
          <cell r="N77"/>
          <cell r="O77"/>
          <cell r="P77"/>
          <cell r="Q77"/>
          <cell r="R77"/>
          <cell r="S77"/>
          <cell r="T77"/>
          <cell r="U77"/>
          <cell r="V77"/>
          <cell r="W77"/>
          <cell r="X77"/>
          <cell r="Y77">
            <v>6.4272999138934167E-2</v>
          </cell>
          <cell r="Z77">
            <v>0.20124245700649307</v>
          </cell>
          <cell r="AA77">
            <v>0.33160777515833417</v>
          </cell>
          <cell r="AB77">
            <v>0.36704575367652487</v>
          </cell>
          <cell r="AC77">
            <v>0.34447648790078284</v>
          </cell>
          <cell r="AD77">
            <v>0.10760401098270439</v>
          </cell>
          <cell r="AE77">
            <v>0.26192879308183287</v>
          </cell>
          <cell r="AF77">
            <v>0.37059782410050113</v>
          </cell>
          <cell r="AG77">
            <v>0.29511479936865204</v>
          </cell>
          <cell r="AH77">
            <v>3.743591820585504E-2</v>
          </cell>
          <cell r="AI77">
            <v>7.8394512923713411E-2</v>
          </cell>
          <cell r="AJ77">
            <v>0.25620399408310557</v>
          </cell>
          <cell r="AK77">
            <v>0.50721092450095828</v>
          </cell>
          <cell r="AL77">
            <v>0.47380314597583428</v>
          </cell>
          <cell r="AM77">
            <v>0.38359469267134372</v>
          </cell>
          <cell r="AN77">
            <v>0.43371653319433889</v>
          </cell>
          <cell r="AO77">
            <v>0.46491766737367396</v>
          </cell>
          <cell r="AP77">
            <v>0.39496351067951935</v>
          </cell>
          <cell r="AQ77"/>
          <cell r="AR77"/>
          <cell r="AS77"/>
          <cell r="AT77"/>
          <cell r="AU77"/>
          <cell r="AV77"/>
          <cell r="AW77"/>
          <cell r="AX77"/>
          <cell r="AY77"/>
          <cell r="AZ77"/>
          <cell r="BA77"/>
          <cell r="BB77"/>
          <cell r="BC77"/>
          <cell r="BD77">
            <v>0.75661622453331345</v>
          </cell>
          <cell r="BE77">
            <v>1.1533185866397511</v>
          </cell>
          <cell r="BF77">
            <v>0.9696148941704037</v>
          </cell>
          <cell r="BG77">
            <v>1.3198621446451684</v>
          </cell>
          <cell r="BH77">
            <v>1.6771940603698032</v>
          </cell>
          <cell r="BI77">
            <v>2.1863634400768994</v>
          </cell>
          <cell r="BJ77">
            <v>2.1649410761718402</v>
          </cell>
          <cell r="BK77">
            <v>2.4878456204887622</v>
          </cell>
          <cell r="BL77"/>
        </row>
        <row r="87">
          <cell r="A87" t="str">
            <v>LTM EBITDA</v>
          </cell>
          <cell r="B87"/>
          <cell r="C87"/>
          <cell r="D87"/>
          <cell r="E87"/>
          <cell r="F87"/>
          <cell r="G87"/>
          <cell r="H87"/>
          <cell r="I87"/>
          <cell r="J87"/>
          <cell r="K87"/>
          <cell r="L87"/>
          <cell r="M87"/>
          <cell r="N87"/>
          <cell r="O87"/>
          <cell r="P87"/>
          <cell r="Q87"/>
          <cell r="R87"/>
          <cell r="S87"/>
          <cell r="T87">
            <v>102.19799999999996</v>
          </cell>
          <cell r="U87">
            <v>96.97</v>
          </cell>
          <cell r="V87">
            <v>101.246</v>
          </cell>
          <cell r="W87">
            <v>110.19300000000001</v>
          </cell>
          <cell r="X87">
            <v>142.50800000000007</v>
          </cell>
          <cell r="Y87">
            <v>163.15100000000007</v>
          </cell>
          <cell r="Z87">
            <v>179.18600000000006</v>
          </cell>
          <cell r="AA87">
            <v>190.01800000000003</v>
          </cell>
          <cell r="AB87">
            <v>199.45599999999996</v>
          </cell>
          <cell r="AC87">
            <v>201.255</v>
          </cell>
          <cell r="AD87">
            <v>198.50300000000001</v>
          </cell>
          <cell r="AE87">
            <v>196.42199999999997</v>
          </cell>
          <cell r="AF87">
            <v>189.947</v>
          </cell>
          <cell r="AG87">
            <v>184.405</v>
          </cell>
          <cell r="AH87">
            <v>185.02399999999989</v>
          </cell>
          <cell r="AI87">
            <v>177.97899999999993</v>
          </cell>
          <cell r="AJ87">
            <v>174.26599999999991</v>
          </cell>
          <cell r="AK87">
            <v>178.05358096799992</v>
          </cell>
          <cell r="AL87">
            <v>182.61050746799998</v>
          </cell>
          <cell r="AM87">
            <v>187.27308503611997</v>
          </cell>
          <cell r="AN87">
            <v>188.83471481185597</v>
          </cell>
          <cell r="AO87">
            <v>186.23753616888962</v>
          </cell>
          <cell r="AP87">
            <v>187.24835389517165</v>
          </cell>
          <cell r="AQ87"/>
          <cell r="AR87"/>
          <cell r="AS87"/>
          <cell r="AT87"/>
          <cell r="AU87"/>
          <cell r="AV87"/>
          <cell r="AW87"/>
          <cell r="AX87"/>
          <cell r="AY87"/>
          <cell r="AZ87"/>
          <cell r="BA87"/>
          <cell r="BB87">
            <v>118.98399999999999</v>
          </cell>
          <cell r="BC87">
            <v>101.24499999999999</v>
          </cell>
          <cell r="BD87">
            <v>179.18400000000003</v>
          </cell>
          <cell r="BE87">
            <v>198.50300000000007</v>
          </cell>
          <cell r="BF87">
            <v>185.02399999999994</v>
          </cell>
          <cell r="BG87">
            <v>182.61050746799998</v>
          </cell>
          <cell r="BH87">
            <v>187.24835389517162</v>
          </cell>
          <cell r="BI87">
            <v>213.26443210734396</v>
          </cell>
          <cell r="BJ87">
            <v>277.45253356501371</v>
          </cell>
          <cell r="BK87">
            <v>317.22114614270424</v>
          </cell>
          <cell r="BL87"/>
        </row>
        <row r="88">
          <cell r="A88" t="str">
            <v>LTM Cash Flow</v>
          </cell>
          <cell r="B88"/>
          <cell r="C88"/>
          <cell r="D88"/>
          <cell r="E88"/>
          <cell r="F88"/>
          <cell r="G88"/>
          <cell r="H88"/>
          <cell r="I88"/>
          <cell r="J88"/>
          <cell r="K88"/>
          <cell r="L88"/>
          <cell r="M88"/>
          <cell r="N88"/>
          <cell r="O88"/>
          <cell r="P88"/>
          <cell r="Q88">
            <v>0</v>
          </cell>
          <cell r="R88">
            <v>0</v>
          </cell>
          <cell r="S88">
            <v>0</v>
          </cell>
          <cell r="T88"/>
          <cell r="U88"/>
          <cell r="V88">
            <v>36.185000000000002</v>
          </cell>
          <cell r="W88"/>
          <cell r="X88">
            <v>61.248999999999995</v>
          </cell>
          <cell r="Y88">
            <v>49.257999999999996</v>
          </cell>
          <cell r="Z88">
            <v>68.605000000000004</v>
          </cell>
          <cell r="AA88">
            <v>50.067000000000007</v>
          </cell>
          <cell r="AB88">
            <v>56.594000000000015</v>
          </cell>
          <cell r="AC88">
            <v>103.277</v>
          </cell>
          <cell r="AD88">
            <v>104.26300000000002</v>
          </cell>
          <cell r="AE88">
            <v>112.1</v>
          </cell>
          <cell r="AF88">
            <v>103.88200000000001</v>
          </cell>
          <cell r="AG88">
            <v>96.341000000000008</v>
          </cell>
          <cell r="AH88">
            <v>96.861000000000004</v>
          </cell>
          <cell r="AI88">
            <v>89.253000000000014</v>
          </cell>
          <cell r="AJ88">
            <v>84.13</v>
          </cell>
          <cell r="AK88">
            <v>85.430149436363777</v>
          </cell>
          <cell r="AL88">
            <v>111.21920201536994</v>
          </cell>
          <cell r="AM88">
            <v>145.34792107135056</v>
          </cell>
          <cell r="AN88">
            <v>168.88835031429136</v>
          </cell>
          <cell r="AO88">
            <v>163.55594918711842</v>
          </cell>
          <cell r="AP88">
            <v>156.17348855320731</v>
          </cell>
          <cell r="AQ88"/>
          <cell r="AR88"/>
          <cell r="AS88"/>
          <cell r="AT88"/>
          <cell r="AU88"/>
          <cell r="AV88"/>
          <cell r="AW88"/>
          <cell r="AX88"/>
          <cell r="AY88"/>
          <cell r="AZ88"/>
          <cell r="BA88"/>
          <cell r="BB88">
            <v>36.204000000000008</v>
          </cell>
          <cell r="BC88">
            <v>36.184999999999995</v>
          </cell>
          <cell r="BD88">
            <v>68.605000000000004</v>
          </cell>
          <cell r="BE88">
            <v>104.26299999999998</v>
          </cell>
          <cell r="BF88">
            <v>96.861000000000004</v>
          </cell>
          <cell r="BG88">
            <v>111.21920201536999</v>
          </cell>
          <cell r="BH88">
            <v>156.17348855320731</v>
          </cell>
          <cell r="BI88">
            <v>203.85648845753414</v>
          </cell>
          <cell r="BJ88">
            <v>202.87465628493192</v>
          </cell>
          <cell r="BK88">
            <v>233.59021523247819</v>
          </cell>
          <cell r="BL88"/>
        </row>
        <row r="94">
          <cell r="A94" t="str">
            <v>Average Shareholder's Equity</v>
          </cell>
          <cell r="B94"/>
          <cell r="C94"/>
          <cell r="D94"/>
          <cell r="E94"/>
          <cell r="F94"/>
          <cell r="G94"/>
          <cell r="H94"/>
          <cell r="I94"/>
          <cell r="J94"/>
          <cell r="K94"/>
          <cell r="L94"/>
          <cell r="M94"/>
          <cell r="N94"/>
          <cell r="O94"/>
          <cell r="P94"/>
          <cell r="Q94">
            <v>0</v>
          </cell>
          <cell r="R94"/>
          <cell r="S94"/>
          <cell r="T94"/>
          <cell r="U94"/>
          <cell r="V94"/>
          <cell r="W94"/>
          <cell r="X94"/>
          <cell r="Y94"/>
          <cell r="Z94"/>
          <cell r="AA94">
            <v>680.89449999999988</v>
          </cell>
          <cell r="AB94">
            <v>716.9849999999999</v>
          </cell>
          <cell r="AC94">
            <v>728.72724999999991</v>
          </cell>
          <cell r="AD94">
            <v>735.4827499999999</v>
          </cell>
          <cell r="AE94">
            <v>738.35249999999996</v>
          </cell>
          <cell r="AF94">
            <v>737.08774999999991</v>
          </cell>
          <cell r="AG94">
            <v>730.21949999999993</v>
          </cell>
          <cell r="AH94">
            <v>721.5440000000001</v>
          </cell>
          <cell r="AI94">
            <v>720.39599999999996</v>
          </cell>
          <cell r="AJ94">
            <v>721.20574999999997</v>
          </cell>
          <cell r="AK94">
            <v>733.20020323185122</v>
          </cell>
          <cell r="AL94">
            <v>757.85840889630617</v>
          </cell>
          <cell r="AM94">
            <v>781.97868545342862</v>
          </cell>
          <cell r="AN94">
            <v>811.80997826503528</v>
          </cell>
          <cell r="AO94">
            <v>841.04029373833782</v>
          </cell>
          <cell r="AP94">
            <v>868.77472213336591</v>
          </cell>
          <cell r="AQ94"/>
          <cell r="AR94"/>
          <cell r="AS94"/>
          <cell r="AT94"/>
          <cell r="AU94"/>
          <cell r="AV94"/>
          <cell r="AW94"/>
          <cell r="AX94"/>
          <cell r="AY94"/>
          <cell r="AZ94"/>
          <cell r="BA94"/>
          <cell r="BB94"/>
          <cell r="BC94">
            <v>605.14749999999992</v>
          </cell>
          <cell r="BD94">
            <v>646.404</v>
          </cell>
          <cell r="BE94">
            <v>723.13499999999999</v>
          </cell>
          <cell r="BF94">
            <v>719.29499999999996</v>
          </cell>
          <cell r="BG94">
            <v>751.26041132890975</v>
          </cell>
          <cell r="BH94">
            <v>856.04567944787595</v>
          </cell>
          <cell r="BI94">
            <v>993.173453973704</v>
          </cell>
          <cell r="BJ94">
            <v>1158.0999718620092</v>
          </cell>
          <cell r="BK94">
            <v>1342.1944096930251</v>
          </cell>
          <cell r="BL94"/>
        </row>
        <row r="99">
          <cell r="A99" t="str">
            <v>Average Total Assets</v>
          </cell>
          <cell r="B99"/>
          <cell r="C99"/>
          <cell r="D99"/>
          <cell r="E99"/>
          <cell r="F99"/>
          <cell r="G99"/>
          <cell r="H99"/>
          <cell r="I99"/>
          <cell r="J99"/>
          <cell r="K99"/>
          <cell r="L99"/>
          <cell r="M99"/>
          <cell r="N99"/>
          <cell r="O99"/>
          <cell r="P99"/>
          <cell r="Q99">
            <v>0</v>
          </cell>
          <cell r="R99"/>
          <cell r="S99"/>
          <cell r="T99"/>
          <cell r="U99"/>
          <cell r="V99"/>
          <cell r="W99"/>
          <cell r="X99"/>
          <cell r="Y99"/>
          <cell r="Z99"/>
          <cell r="AA99">
            <v>1383.4189999999999</v>
          </cell>
          <cell r="AB99">
            <v>1403.2362499999999</v>
          </cell>
          <cell r="AC99">
            <v>1402.0195000000001</v>
          </cell>
          <cell r="AD99">
            <v>1410.7682500000001</v>
          </cell>
          <cell r="AE99">
            <v>1415.0509999999999</v>
          </cell>
          <cell r="AF99">
            <v>1411.2915</v>
          </cell>
          <cell r="AG99">
            <v>1401.7884999999999</v>
          </cell>
          <cell r="AH99">
            <v>1390.8357500000002</v>
          </cell>
          <cell r="AI99">
            <v>1400.49675</v>
          </cell>
          <cell r="AJ99">
            <v>1416.1557499999999</v>
          </cell>
          <cell r="AK99">
            <v>1436.7632227250235</v>
          </cell>
          <cell r="AL99">
            <v>1472.3425585442487</v>
          </cell>
          <cell r="AM99">
            <v>1496.9239705106097</v>
          </cell>
          <cell r="AN99">
            <v>1528.7805797741598</v>
          </cell>
          <cell r="AO99">
            <v>1559.7738040069121</v>
          </cell>
          <cell r="AP99">
            <v>1589.6948724203132</v>
          </cell>
          <cell r="AQ99"/>
          <cell r="AR99"/>
          <cell r="AS99"/>
          <cell r="AT99"/>
          <cell r="AU99"/>
          <cell r="AV99"/>
          <cell r="AW99"/>
          <cell r="AX99"/>
          <cell r="AY99"/>
          <cell r="AZ99"/>
          <cell r="BA99"/>
          <cell r="BB99"/>
          <cell r="BC99">
            <v>1353.4334999999999</v>
          </cell>
          <cell r="BD99">
            <v>1344.1885</v>
          </cell>
          <cell r="BE99">
            <v>1389.7565</v>
          </cell>
          <cell r="BF99">
            <v>1385.3485000000001</v>
          </cell>
          <cell r="BG99">
            <v>1434.6016716384506</v>
          </cell>
          <cell r="BH99">
            <v>1565.6024801037038</v>
          </cell>
          <cell r="BI99">
            <v>1712.6071977612005</v>
          </cell>
          <cell r="BJ99">
            <v>1887.5073114922393</v>
          </cell>
          <cell r="BK99">
            <v>2080.8288375850557</v>
          </cell>
          <cell r="BL99"/>
        </row>
        <row r="102">
          <cell r="A102" t="str">
            <v>Average Book Value of Debt</v>
          </cell>
          <cell r="B102"/>
          <cell r="C102"/>
          <cell r="D102"/>
          <cell r="E102"/>
          <cell r="F102"/>
          <cell r="G102"/>
          <cell r="H102"/>
          <cell r="I102"/>
          <cell r="J102"/>
          <cell r="K102"/>
          <cell r="L102"/>
          <cell r="M102"/>
          <cell r="N102"/>
          <cell r="O102"/>
          <cell r="P102"/>
          <cell r="Q102">
            <v>0</v>
          </cell>
          <cell r="R102"/>
          <cell r="S102"/>
          <cell r="T102"/>
          <cell r="U102"/>
          <cell r="V102"/>
          <cell r="W102"/>
          <cell r="X102"/>
          <cell r="Y102"/>
          <cell r="Z102"/>
          <cell r="AA102">
            <v>555.58825000000002</v>
          </cell>
          <cell r="AB102">
            <v>529.73925000000008</v>
          </cell>
          <cell r="AC102">
            <v>503.86500000000001</v>
          </cell>
          <cell r="AD102">
            <v>502.84550000000002</v>
          </cell>
          <cell r="AE102">
            <v>501.69024999999999</v>
          </cell>
          <cell r="AF102">
            <v>500.39924999999999</v>
          </cell>
          <cell r="AG102">
            <v>498.97250000000003</v>
          </cell>
          <cell r="AH102">
            <v>497.29700000000003</v>
          </cell>
          <cell r="AI102">
            <v>511.40525000000002</v>
          </cell>
          <cell r="AJ102">
            <v>525.04624999999999</v>
          </cell>
          <cell r="AK102">
            <v>539.10550000000001</v>
          </cell>
          <cell r="AL102">
            <v>553.58249999999998</v>
          </cell>
          <cell r="AM102">
            <v>552.69600000000003</v>
          </cell>
          <cell r="AN102">
            <v>552.69600000000003</v>
          </cell>
          <cell r="AO102">
            <v>552.69600000000003</v>
          </cell>
          <cell r="AP102">
            <v>552.69600000000003</v>
          </cell>
          <cell r="AQ102"/>
          <cell r="AR102"/>
          <cell r="AS102"/>
          <cell r="AT102"/>
          <cell r="AU102"/>
          <cell r="AV102"/>
          <cell r="AW102"/>
          <cell r="AX102"/>
          <cell r="AY102"/>
          <cell r="AZ102"/>
          <cell r="BA102"/>
          <cell r="BB102"/>
          <cell r="BC102">
            <v>617.50500000000011</v>
          </cell>
          <cell r="BD102">
            <v>560.51050000000009</v>
          </cell>
          <cell r="BE102">
            <v>503.529</v>
          </cell>
          <cell r="BF102">
            <v>498.13900000000001</v>
          </cell>
          <cell r="BG102">
            <v>523.74199999999996</v>
          </cell>
          <cell r="BH102">
            <v>552.69600000000003</v>
          </cell>
          <cell r="BI102">
            <v>552.69600000000003</v>
          </cell>
          <cell r="BJ102">
            <v>552.69600000000003</v>
          </cell>
          <cell r="BK102">
            <v>552.69600000000003</v>
          </cell>
          <cell r="BL102"/>
        </row>
        <row r="108">
          <cell r="A108" t="str">
            <v>Average Current Liabilities</v>
          </cell>
          <cell r="B108"/>
          <cell r="C108"/>
          <cell r="D108"/>
          <cell r="E108"/>
          <cell r="F108"/>
          <cell r="G108"/>
          <cell r="H108"/>
          <cell r="I108"/>
          <cell r="J108"/>
          <cell r="K108"/>
          <cell r="L108"/>
          <cell r="M108"/>
          <cell r="N108"/>
          <cell r="O108"/>
          <cell r="P108"/>
          <cell r="Q108">
            <v>0</v>
          </cell>
          <cell r="R108"/>
          <cell r="S108"/>
          <cell r="T108"/>
          <cell r="U108"/>
          <cell r="V108"/>
          <cell r="W108"/>
          <cell r="X108"/>
          <cell r="Y108"/>
          <cell r="Z108"/>
          <cell r="AA108">
            <v>116.845</v>
          </cell>
          <cell r="AB108">
            <v>122.446</v>
          </cell>
          <cell r="AC108">
            <v>127.67775</v>
          </cell>
          <cell r="AD108">
            <v>128.63275000000002</v>
          </cell>
          <cell r="AE108">
            <v>130.203</v>
          </cell>
          <cell r="AF108">
            <v>131.02850000000001</v>
          </cell>
          <cell r="AG108">
            <v>133.89775</v>
          </cell>
          <cell r="AH108">
            <v>137.49674999999999</v>
          </cell>
          <cell r="AI108">
            <v>146.63724999999999</v>
          </cell>
          <cell r="AJ108">
            <v>156.42374999999998</v>
          </cell>
          <cell r="AK108">
            <v>157.71201949317219</v>
          </cell>
          <cell r="AL108">
            <v>157.77689964794266</v>
          </cell>
          <cell r="AM108">
            <v>158.15728505718116</v>
          </cell>
          <cell r="AN108">
            <v>160.18260150912442</v>
          </cell>
          <cell r="AO108">
            <v>161.94551026857425</v>
          </cell>
          <cell r="AP108">
            <v>164.13215028694722</v>
          </cell>
          <cell r="AQ108"/>
          <cell r="AR108"/>
          <cell r="AS108"/>
          <cell r="AT108"/>
          <cell r="AU108"/>
          <cell r="AV108"/>
          <cell r="AW108"/>
          <cell r="AX108"/>
          <cell r="AY108"/>
          <cell r="AZ108"/>
          <cell r="BA108"/>
          <cell r="BB108"/>
          <cell r="BC108">
            <v>89.073999999999998</v>
          </cell>
          <cell r="BD108">
            <v>107.95599999999999</v>
          </cell>
          <cell r="BE108">
            <v>131.82999999999998</v>
          </cell>
          <cell r="BF108">
            <v>140.93799999999999</v>
          </cell>
          <cell r="BG108">
            <v>148.26576030954089</v>
          </cell>
          <cell r="BH108">
            <v>152.76880065582776</v>
          </cell>
          <cell r="BI108">
            <v>162.64574378749631</v>
          </cell>
          <cell r="BJ108">
            <v>172.61933963022994</v>
          </cell>
          <cell r="BK108">
            <v>181.84642789203022</v>
          </cell>
          <cell r="BL108"/>
        </row>
      </sheetData>
      <sheetData sheetId="4">
        <row r="4">
          <cell r="C4" t="str">
            <v>Q3-2021</v>
          </cell>
        </row>
        <row r="5">
          <cell r="C5">
            <v>44462</v>
          </cell>
        </row>
        <row r="9">
          <cell r="C9">
            <v>23</v>
          </cell>
        </row>
        <row r="25">
          <cell r="C25">
            <v>109.47999999999999</v>
          </cell>
        </row>
        <row r="27">
          <cell r="C27">
            <v>-8.2175700000000003</v>
          </cell>
        </row>
        <row r="105">
          <cell r="A105" t="str">
            <v>Valuation Multiples Toggle Table</v>
          </cell>
        </row>
        <row r="106">
          <cell r="A106" t="str">
            <v>Sales, mm</v>
          </cell>
        </row>
        <row r="107">
          <cell r="A107" t="str">
            <v>Gross Profit, mm</v>
          </cell>
        </row>
      </sheetData>
      <sheetData sheetId="5">
        <row r="7">
          <cell r="F7" t="str">
            <v>Q2-2024</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ple Model (Base)"/>
      <sheetName val="Simple Model (Risk)"/>
      <sheetName val="Simple Model (Super Risk)"/>
      <sheetName val="Historical Financials"/>
      <sheetName val="Detailed Disclosure"/>
      <sheetName val="Silverlake return"/>
      <sheetName val="Recession Historicals"/>
      <sheetName val="Peer benchmarking"/>
      <sheetName val="Shares Outstanding"/>
      <sheetName val="BLS Hires"/>
      <sheetName val="BLS Hires vs. FA"/>
      <sheetName val="Daloopa"/>
      <sheetName val="JPM"/>
      <sheetName val="_CIQHiddenCacheSheet"/>
    </sheetNames>
    <sheetDataSet>
      <sheetData sheetId="0">
        <row r="3">
          <cell r="B3" t="str">
            <v>(USD in mm)</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__FDSCACHE__"/>
      <sheetName val="Sheet2"/>
      <sheetName val="Historicals"/>
      <sheetName val="Cover"/>
      <sheetName val="Guidance"/>
      <sheetName val="Variance"/>
      <sheetName val="Estimate Changes"/>
      <sheetName val="IS"/>
      <sheetName val="Rev"/>
      <sheetName val="BS"/>
      <sheetName val="CFS"/>
    </sheetNames>
    <sheetDataSet>
      <sheetData sheetId="0"/>
      <sheetData sheetId="1">
        <row r="52">
          <cell r="G52">
            <v>2.0437060210660887</v>
          </cell>
          <cell r="H52">
            <v>1.8590498180084365</v>
          </cell>
        </row>
        <row r="55">
          <cell r="A55" t="str">
            <v>P/E</v>
          </cell>
          <cell r="G55">
            <v>14.245868350999467</v>
          </cell>
          <cell r="H55">
            <v>10.80447818273845</v>
          </cell>
        </row>
        <row r="56">
          <cell r="G56">
            <v>14.10291527999288</v>
          </cell>
          <cell r="H56">
            <v>10.713291025182851</v>
          </cell>
        </row>
      </sheetData>
      <sheetData sheetId="2"/>
      <sheetData sheetId="3"/>
      <sheetData sheetId="4"/>
      <sheetData sheetId="5"/>
      <sheetData sheetId="6"/>
      <sheetData sheetId="7"/>
      <sheetData sheetId="8"/>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n Berring" id="{02565895-588A-4E7D-B428-1BD5604F8135}" userId="S::dberring@catrockcap.com::0657c977-a13c-4668-bf06-1540a84f18b4"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7" dT="2024-12-02T13:51:37.60" personId="{02565895-588A-4E7D-B428-1BD5604F8135}" id="{10CF1D8D-2CF5-47EA-BFEF-45D6C5404ED0}">
    <text>11/14/24 CFO: “There's going to be savings actioned almost on a continual basis over that 2-year period. And there's -- more than half of that will be done before year 1 or by year 1”</text>
  </threadedComment>
  <threadedComment ref="K17" dT="2024-12-02T13:52:20.99" personId="{02565895-588A-4E7D-B428-1BD5604F8135}" id="{82F4199B-C5B9-4349-95F8-07BE7186C220}">
    <text>11/14/24 CFO: “That takes roughly 3 years for that to fully cycle through”</text>
  </threadedComment>
  <threadedComment ref="L17" dT="2024-12-02T13:52:20.99" personId="{02565895-588A-4E7D-B428-1BD5604F8135}" id="{360D52C8-9161-4532-BBB5-FE8B3594F4B4}">
    <text>11/14/24 CFO: “That takes roughly 3 years for that to fully cycle through”</text>
  </threadedComment>
  <threadedComment ref="L54" dT="2024-05-10T14:21:19.34" personId="{02565895-588A-4E7D-B428-1BD5604F8135}" id="{9BC9041A-9076-4B36-887F-0D6A3D89A8E7}">
    <text xml:space="preserve">1Q24: Additionally, we anticipate net leverage at close to be in the range of 4.2x to 4.4x. We have line of sight to bring net leverage toward approximately 3x run rate adjusted EBITDA within 24 months of closing on the transaction and then ultimately returning to our long-term target net leverage range of 2 to 3x. David will go into further detail on this shortly. </text>
  </threadedComment>
  <threadedComment ref="M54" dT="2024-05-10T14:21:19.34" personId="{02565895-588A-4E7D-B428-1BD5604F8135}" id="{EEC84CB5-4392-4B0A-8FA4-78117408ED8A}">
    <text xml:space="preserve">1Q24: Additionally, we anticipate net leverage at close to be in the range of 4.2x to 4.4x. We have line of sight to bring net leverage toward approximately 3x run rate adjusted EBITDA within 24 months of closing on the transaction and then ultimately returning to our long-term target net leverage range of 2 to 3x. David will go into further detail on this shortly. </text>
  </threadedComment>
  <threadedComment ref="D83" dT="2024-11-12T14:36:50.47" personId="{02565895-588A-4E7D-B428-1BD5604F8135}" id="{ADE2069D-BBE0-4274-B2A1-85172A34CD36}">
    <text xml:space="preserve">3Q24 presentation: Secured fully committed financing: 7-year term loan, ~$2.185B • Targeted minimum cash: $125M </text>
  </threadedComment>
</ThreadedComments>
</file>

<file path=xl/threadedComments/threadedComment2.xml><?xml version="1.0" encoding="utf-8"?>
<ThreadedComments xmlns="http://schemas.microsoft.com/office/spreadsheetml/2018/threadedcomments" xmlns:x="http://schemas.openxmlformats.org/spreadsheetml/2006/main">
  <threadedComment ref="Z25" dT="2024-12-02T14:53:44.05" personId="{02565895-588A-4E7D-B428-1BD5604F8135}" id="{4E238562-71BC-4F38-95BC-6566D47A8FA0}">
    <text>3Q24 call: “We have already made significant progress towards this target with over $10 million of run rate cost synergies actioned on day 1. These savings consist primarily of reductions from combining executive teams, removing duplicative public company costs and combining insurance programs. “</text>
  </threadedComment>
  <threadedComment ref="AA25" dT="2024-12-02T14:53:16.30" personId="{02565895-588A-4E7D-B428-1BD5604F8135}" id="{B890FD40-63EE-4C06-AB25-3C4178989309}">
    <text xml:space="preserve">3Q24 call: We have also already identified additional synergy opportunities that are expected to approximately double the action synergies within the next 100 days
</text>
  </threadedComment>
  <threadedComment ref="AA26" dT="2024-12-02T14:53:16.30" personId="{02565895-588A-4E7D-B428-1BD5604F8135}" id="{1B1BD723-B316-43F9-A5C0-48BA18C0B184}">
    <text xml:space="preserve">3Q24 call: We have also already identified additional synergy opportunities that are expected to approximately double the action synergies within the next 100 days
</text>
  </threadedComment>
</ThreadedComments>
</file>

<file path=xl/threadedComments/threadedComment3.xml><?xml version="1.0" encoding="utf-8"?>
<ThreadedComments xmlns="http://schemas.microsoft.com/office/spreadsheetml/2018/threadedcomments" xmlns:x="http://schemas.openxmlformats.org/spreadsheetml/2006/main">
  <threadedComment ref="H53" dT="2023-03-01T14:41:50.14" personId="{02565895-588A-4E7D-B428-1BD5604F8135}" id="{C3D2C991-EBEC-479B-9942-F2844FB5AF5F}">
    <text>40M cash tax guide on 4Q22 call (on AEBITDA guide of 240-255)</text>
  </threadedComment>
</ThreadedComments>
</file>

<file path=xl/threadedComments/threadedComment4.xml><?xml version="1.0" encoding="utf-8"?>
<ThreadedComments xmlns="http://schemas.microsoft.com/office/spreadsheetml/2018/threadedcomments" xmlns:x="http://schemas.openxmlformats.org/spreadsheetml/2006/main">
  <threadedComment ref="U9" dT="2023-09-05T17:21:44.08" personId="{02565895-588A-4E7D-B428-1BD5604F8135}" id="{87D89243-256D-4D03-A494-8265427CCC2B}">
    <text>Includes 1 month of Infinite ID (closed 9/5) 10M annual revenue</text>
  </threadedComment>
  <threadedComment ref="V9" dT="2023-09-05T17:21:44.08" personId="{02565895-588A-4E7D-B428-1BD5604F8135}" id="{E55D7D50-24A1-4B07-A9F9-A8A332E0D0AE}">
    <text>Includes 3 months of Infinite ID (closed 9/5) 10M annual revenue</text>
  </threadedComment>
  <threadedComment ref="U12" dT="2023-08-09T12:52:33.34" personId="{02565895-588A-4E7D-B428-1BD5604F8135}" id="{FDC52EB5-3016-4DF7-B3B2-F32EB1FD0367}">
    <text>Q2 - YoY 'slight' decline but QoQ growth
Includes 1 month of Infinite ID (9/5 closed - 10M annual revenue)</text>
  </threadedComment>
  <threadedComment ref="V12" dT="2023-09-05T17:21:44.08" personId="{02565895-588A-4E7D-B428-1BD5604F8135}" id="{7798BD64-BB75-4BE2-9126-F4A0EE5A23F0}">
    <text>Includes 3 months of Infinite ID (closed 9/5) 10M annual revenue</text>
  </threadedComment>
  <threadedComment ref="S13" dT="2023-02-28T15:31:29.87" personId="{02565895-588A-4E7D-B428-1BD5604F8135}" id="{14794DDA-FFB4-49BF-8E76-E2F6C88A0DC0}">
    <text>-8-11% decline 4Q22 guide</text>
  </threadedComment>
  <threadedComment ref="T13" dT="2023-02-28T15:31:29.87" personId="{02565895-588A-4E7D-B428-1BD5604F8135}" id="{86E07679-AEAB-49A4-B794-A1451FAC7CDC}">
    <text>-8-11% decline 4Q22 guide</text>
  </threadedComment>
  <threadedComment ref="U46" dT="2024-03-05T20:05:16.82" personId="{02565895-588A-4E7D-B428-1BD5604F8135}" id="{886E5E1B-1D74-4C3E-93AB-3998D37A5B7E}">
    <text>Per CFO on 4Q23 follow up call</text>
  </threadedComment>
  <threadedComment ref="V46" dT="2024-03-05T20:05:16.82" personId="{02565895-588A-4E7D-B428-1BD5604F8135}" id="{8C3496B7-6634-46D1-A1F3-8C76EE0A03EB}">
    <text>Per CFO on 4Q23 follow up call</text>
  </threadedComment>
  <threadedComment ref="U75" dT="2023-08-09T12:52:40.65" personId="{02565895-588A-4E7D-B428-1BD5604F8135}" id="{1C394168-E828-468D-AE3E-DD3AAC9085A5}">
    <text xml:space="preserve">Q2 - YoY 'slight' decline but QoQ growth
</text>
  </threadedComment>
  <threadedComment ref="S87" dT="2023-02-28T15:32:07.68" personId="{02565895-588A-4E7D-B428-1BD5604F8135}" id="{B1C69C35-0D68-4122-9A7E-3E11E7B7D113}">
    <text>27-28% 4Q22 guide, lowest margin quarter</text>
  </threadedComment>
  <threadedComment ref="T87" dT="2023-02-28T15:32:14.03" personId="{02565895-588A-4E7D-B428-1BD5604F8135}" id="{5DB87789-2914-4F00-82BB-3F71C6072560}">
    <text>Over 30%</text>
  </threadedComment>
  <threadedComment ref="U87" dT="2023-02-28T15:32:27.09" personId="{02565895-588A-4E7D-B428-1BD5604F8135}" id="{B680A637-60AB-46E3-B460-B262A0CE2612}">
    <text>Q1 - Margin improvement QoQ similar to FY22; Q2 - 2H over 30%</text>
  </threadedComment>
  <threadedComment ref="V87" dT="2023-02-28T15:32:27.09" personId="{02565895-588A-4E7D-B428-1BD5604F8135}" id="{D5DB6945-22DC-42BF-9141-55EF59C553E2}">
    <text>Q1 - Margin improvement QoQ similar to FY22; Q2 - 2H over 30%
Q3 - 4Q margins of ~33%</text>
  </threadedComment>
  <threadedComment ref="Y90" dT="2024-11-13T17:01:17.99" personId="{02565895-588A-4E7D-B428-1BD5604F8135}" id="{6570B354-D4A2-4DFE-A9DE-352EAE35CAAF}">
    <text>Was 9.5M less 6.6M of incrementally recognized SBC for CFO and President Americas accelerated vesting; using 5M as normalized rate ongoing</text>
  </threadedComment>
  <threadedComment ref="AL96" dT="2024-05-09T13:39:31.91" personId="{02565895-588A-4E7D-B428-1BD5604F8135}" id="{FED9859E-720A-433B-8736-B26FF3036CA5}">
    <text>Q1 guide 30-33</text>
  </threadedComment>
  <threadedComment ref="A103" dT="2023-03-01T16:18:51.47" personId="{02565895-588A-4E7D-B428-1BD5604F8135}" id="{8DA17F9F-0BCF-4AA2-95FE-2DCFA0597421}">
    <text>(ex-acquisition-related)</text>
  </threadedComment>
  <threadedComment ref="AL103" dT="2024-05-09T13:39:45.31" personId="{02565895-588A-4E7D-B428-1BD5604F8135}" id="{DC0E5BF5-83C1-49F4-B948-2B6B508D6A7E}">
    <text>Q1 guide 29-33</text>
  </threadedComment>
  <threadedComment ref="AL105" dT="2024-05-09T13:39:19.18" personId="{02565895-588A-4E7D-B428-1BD5604F8135}" id="{FDE3ED95-B704-4071-A3D2-84B16FA7F084}">
    <text>Q1 guide 28-32</text>
  </threadedComment>
</ThreadedComments>
</file>

<file path=xl/threadedComments/threadedComment5.xml><?xml version="1.0" encoding="utf-8"?>
<ThreadedComments xmlns="http://schemas.microsoft.com/office/spreadsheetml/2018/threadedcomments" xmlns:x="http://schemas.openxmlformats.org/spreadsheetml/2006/main">
  <threadedComment ref="AL214" dT="2023-03-01T16:15:55.08" personId="{02565895-588A-4E7D-B428-1BD5604F8135}" id="{730F0E37-9848-42BB-AB29-A34B6746C266}">
    <text>"a number of other corporate expenses that increased primarily as a result of the Company now being a publicly traded company and the Company’s acquisition activity. "</text>
  </threadedComment>
</ThreadedComments>
</file>

<file path=xl/threadedComments/threadedComment6.xml><?xml version="1.0" encoding="utf-8"?>
<ThreadedComments xmlns="http://schemas.microsoft.com/office/spreadsheetml/2018/threadedcomments" xmlns:x="http://schemas.openxmlformats.org/spreadsheetml/2006/main">
  <threadedComment ref="U64" dT="2023-08-09T12:52:40.65" personId="{02565895-588A-4E7D-B428-1BD5604F8135}" id="{D19BEB69-FE74-48CD-9791-DB915EB41F4B}">
    <text xml:space="preserve">Q2 - YoY 'slight' decline but QoQ growth
</text>
  </threadedComment>
  <threadedComment ref="T66" dT="2023-02-28T15:32:14.03" personId="{02565895-588A-4E7D-B428-1BD5604F8135}" id="{718826BD-CC21-48D5-B96E-DAA7F9A06A61}">
    <text>Over 30%</text>
  </threadedComment>
  <threadedComment ref="U66" dT="2023-02-28T15:32:27.09" personId="{02565895-588A-4E7D-B428-1BD5604F8135}" id="{5188358C-D804-439C-A3B0-5360A67A55EB}">
    <text>Q1 - Margin improvement QoQ similar to FY22; Q2 - 2H over 30%</text>
  </threadedComment>
  <threadedComment ref="A82" dT="2023-03-01T16:18:51.47" personId="{02565895-588A-4E7D-B428-1BD5604F8135}" id="{A9A7A6D3-FDE2-4A5A-8C0C-3227BA333B2F}">
    <text>(ex-acquisition-related)</text>
  </threadedComment>
  <threadedComment ref="A168" dT="2024-11-11T19:37:43.39" personId="{02565895-588A-4E7D-B428-1BD5604F8135}" id="{B1445A29-3EEE-4D7E-8FCF-0E6CA842577B}">
    <text>Excl. impairment</text>
  </threadedComment>
</ThreadedComments>
</file>

<file path=xl/threadedComments/threadedComment7.xml><?xml version="1.0" encoding="utf-8"?>
<ThreadedComments xmlns="http://schemas.microsoft.com/office/spreadsheetml/2018/threadedcomments" xmlns:x="http://schemas.openxmlformats.org/spreadsheetml/2006/main">
  <threadedComment ref="H125" dT="2024-03-01T20:33:30.35" personId="{02565895-588A-4E7D-B428-1BD5604F8135}" id="{A0AA6BE4-0A66-4DB8-938D-63733529DE3F}">
    <text>Per IR 3.1.24</text>
  </threadedComment>
  <threadedComment ref="C128" dT="2024-05-14T15:00:18.49" personId="{02565895-588A-4E7D-B428-1BD5604F8135}" id="{2BC162F6-E595-427D-9B46-7CF2F68724A1}">
    <text>Midpoint of 125-142 adj net income range</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1.bin"/><Relationship Id="rId1" Type="http://schemas.openxmlformats.org/officeDocument/2006/relationships/printerSettings" Target="../printerSettings/printerSettings7.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6" Type="http://schemas.openxmlformats.org/officeDocument/2006/relationships/hyperlink" Target="https://marketplace.daloopa.com/text-fundamental?id=58930194&amp;value=16758&amp;id=58873798&amp;value=18939&amp;id=58930005&amp;value=23334&amp;id=58815542&amp;value=22244&amp;id=58815515&amp;value=26173&amp;id=58805332&amp;value=30054&amp;id=58800590&amp;value=20709&amp;id=59368485&amp;value=24750&amp;" TargetMode="External"/><Relationship Id="rId21" Type="http://schemas.openxmlformats.org/officeDocument/2006/relationships/hyperlink" Target="https://marketplace.daloopa.com/text-fundamental?id=58930153&amp;value=52569&amp;id=58873740&amp;value=435661&amp;id=58929983&amp;value=423117&amp;id=58815478&amp;value=406415&amp;id=58815500&amp;value=389216&amp;id=58805147&amp;value=384766&amp;id=58800557&amp;value=375428&amp;id=59368465&amp;value=357697&amp;" TargetMode="External"/><Relationship Id="rId42" Type="http://schemas.openxmlformats.org/officeDocument/2006/relationships/hyperlink" Target="https://marketplace.daloopa.com/text-fundamental?id=58933599&amp;value=9901&amp;id=59379358&amp;value=9901&amp;id=58934071&amp;value=2983&amp;id=58930734&amp;value=1485&amp;id=58930827&amp;value=-4325&amp;id=58930915&amp;value=3418&amp;id=59379359&amp;value=3561&amp;id=58865895&amp;value=-6161&amp;id=58815861&amp;value=3507&amp;id=58815842&amp;value=-5965&amp;id=58815815&amp;value=3189&amp;id=59379360&amp;value=-5430&amp;id=58800677&amp;value=1151&amp;id=59368497&amp;value=-1113&amp;" TargetMode="External"/><Relationship Id="rId47" Type="http://schemas.openxmlformats.org/officeDocument/2006/relationships/hyperlink" Target="https://marketplace.daloopa.com/text-fundamental?id=58800679&amp;value=-405&amp;id=59368495&amp;value=-191&amp;" TargetMode="External"/><Relationship Id="rId63" Type="http://schemas.openxmlformats.org/officeDocument/2006/relationships/hyperlink" Target="https://marketplace.daloopa.com/text-fundamental?id=58934115&amp;value=-782&amp;id=58931053&amp;value=-3305&amp;id=58931065&amp;value=0&amp;id=58931086&amp;value=-1747&amp;id=59379405&amp;value=-5834&amp;" TargetMode="External"/><Relationship Id="rId68" Type="http://schemas.openxmlformats.org/officeDocument/2006/relationships/hyperlink" Target="https://marketplace.daloopa.com/text-fundamental?id=58815927&amp;value=-362&amp;id=58815952&amp;value=-171&amp;id=58815967&amp;value=-172&amp;id=59379413&amp;value=-705&amp;id=58816006&amp;value=-349&amp;id=59368519&amp;value=-177&amp;" TargetMode="External"/><Relationship Id="rId84" Type="http://schemas.openxmlformats.org/officeDocument/2006/relationships/hyperlink" Target="https://marketplace.daloopa.com/text-fundamental?id=58933598&amp;value=34250&amp;id=59379328&amp;value=34250&amp;id=58934076&amp;value=-21814&amp;id=58930741&amp;value=-16366&amp;id=58930838&amp;value=-3452&amp;id=58930917&amp;value=-5860&amp;id=59379329&amp;value=-47492&amp;id=58865903&amp;value=-19389&amp;id=58815872&amp;value=3770&amp;id=58815838&amp;value=16285&amp;id=58815801&amp;value=15385&amp;id=59379330&amp;value=16051&amp;id=58800690&amp;value=13013&amp;id=59368505&amp;value=14236&amp;" TargetMode="External"/><Relationship Id="rId89" Type="http://schemas.microsoft.com/office/2017/10/relationships/threadedComment" Target="../threadedComments/threadedComment5.xml"/><Relationship Id="rId16" Type="http://schemas.openxmlformats.org/officeDocument/2006/relationships/hyperlink" Target="https://marketplace.daloopa.com/text-fundamental?id=58930161&amp;value=3681&amp;id=58873732&amp;value=3479&amp;id=58929980&amp;value=2150&amp;id=58815482&amp;value=2272&amp;id=58815493&amp;value=2426&amp;id=58805144&amp;value=2292&amp;id=58800566&amp;value=1572&amp;id=59368473&amp;value=1608&amp;" TargetMode="External"/><Relationship Id="rId11" Type="http://schemas.openxmlformats.org/officeDocument/2006/relationships/hyperlink" Target="https://marketplace.daloopa.com/text-fundamental?id=58930157&amp;value=80620&amp;id=58873729&amp;value=152818&amp;id=58929977&amp;value=113328&amp;id=58815491&amp;value=257122&amp;id=58815501&amp;value=275538&amp;id=58805154&amp;value=292642&amp;id=58800562&amp;value=307671&amp;id=59368466&amp;value=352251&amp;" TargetMode="External"/><Relationship Id="rId32" Type="http://schemas.openxmlformats.org/officeDocument/2006/relationships/hyperlink" Target="https://marketplace.daloopa.com/text-fundamental?id=58930184&amp;value=540839&amp;id=58873787&amp;value=778605&amp;id=58930009&amp;value=741908&amp;id=58815532&amp;value=553968&amp;id=58815524&amp;value=554405&amp;id=58805336&amp;value=554845&amp;id=58800592&amp;value=555290&amp;id=59368481&amp;value=555739&amp;" TargetMode="External"/><Relationship Id="rId37" Type="http://schemas.openxmlformats.org/officeDocument/2006/relationships/hyperlink" Target="https://marketplace.daloopa.com/text-fundamental?id=58930190&amp;value=544733&amp;id=58873783&amp;value=1763691&amp;id=58930018&amp;value=1703049&amp;id=58815539&amp;value=1842179&amp;id=58815521&amp;value=1856693&amp;id=58805328&amp;value=1886581&amp;id=58800587&amp;value=1903331&amp;id=59368475&amp;value=1911177&amp;" TargetMode="External"/><Relationship Id="rId53" Type="http://schemas.openxmlformats.org/officeDocument/2006/relationships/hyperlink" Target="https://marketplace.daloopa.com/text-fundamental?id=58933716&amp;value=-6578&amp;id=59379387&amp;value=-6578&amp;id=58934090&amp;value=-826&amp;id=58931036&amp;value=-1898&amp;id=58930980&amp;value=-1359&amp;id=58930961&amp;value=-1221&amp;id=59379388&amp;value=-5304&amp;id=58865924&amp;value=-1443&amp;id=58815877&amp;value=-2398&amp;id=58815892&amp;value=-1902&amp;id=58815905&amp;value=-1570&amp;id=59379389&amp;value=-7313&amp;id=58800713&amp;value=-2909&amp;id=59368515&amp;value=-2256&amp;" TargetMode="External"/><Relationship Id="rId58" Type="http://schemas.openxmlformats.org/officeDocument/2006/relationships/hyperlink" Target="https://marketplace.daloopa.com/text-fundamental?id=58815924&amp;value=-313&amp;id=58815947&amp;value=0&amp;id=58815957&amp;value=0&amp;id=59379398&amp;value=-313&amp;" TargetMode="External"/><Relationship Id="rId74" Type="http://schemas.openxmlformats.org/officeDocument/2006/relationships/hyperlink" Target="https://marketplace.daloopa.com/text-fundamental?id=58933748&amp;value=50488&amp;id=59379422&amp;value=50488&amp;id=58934111&amp;value=81514&amp;id=58931045&amp;value=-12767&amp;id=58931070&amp;value=6772&amp;id=58931075&amp;value=29188&amp;id=59379423&amp;value=104707&amp;id=58865950&amp;value=-39486&amp;id=58815934&amp;value=143794&amp;id=58815945&amp;value=18410&amp;id=58815965&amp;value=17102&amp;id=59379424&amp;value=139820&amp;id=58816010&amp;value=15129&amp;id=59368523&amp;value=44561&amp;" TargetMode="External"/><Relationship Id="rId79" Type="http://schemas.openxmlformats.org/officeDocument/2006/relationships/hyperlink" Target="https://marketplace.daloopa.com/text-fundamental?id=58933604&amp;value=1216&amp;id=59379344&amp;value=1216&amp;id=58934074&amp;value=281&amp;id=58930732&amp;value=520&amp;id=58930833&amp;value=530&amp;id=58930920&amp;value=545&amp;id=59379345&amp;value=1876&amp;id=58865908&amp;value=562&amp;id=58815863&amp;value=2664&amp;id=58815828&amp;value=1343&amp;id=58815811&amp;value=4961&amp;id=59379346&amp;value=9530&amp;id=58800682&amp;value=1859&amp;id=59368510&amp;value=1943&amp;" TargetMode="External"/><Relationship Id="rId5" Type="http://schemas.openxmlformats.org/officeDocument/2006/relationships/hyperlink" Target="https://marketplace.daloopa.com/text-fundamental?id=58874670&amp;value=13938&amp;id=58809474&amp;value=13938&amp;" TargetMode="External"/><Relationship Id="rId14" Type="http://schemas.openxmlformats.org/officeDocument/2006/relationships/hyperlink" Target="https://marketplace.daloopa.com/text-fundamental?id=58930156&amp;value=92510&amp;id=58873731&amp;value=111363&amp;id=58929973&amp;value=104694&amp;id=58815486&amp;value=128906&amp;id=58815499&amp;value=147138&amp;id=58805148&amp;value=155772&amp;id=58800561&amp;value=148163&amp;id=59368462&amp;value=144376&amp;" TargetMode="External"/><Relationship Id="rId22" Type="http://schemas.openxmlformats.org/officeDocument/2006/relationships/hyperlink" Target="https://marketplace.daloopa.com/text-fundamental?id=58930150&amp;value=985&amp;id=58873733&amp;value=807&amp;id=58929970&amp;value=953&amp;id=58815484&amp;value=1592&amp;id=58815497&amp;value=1442&amp;id=58805149&amp;value=1413&amp;id=58800567&amp;value=1604&amp;id=59368474&amp;value=1719&amp;" TargetMode="External"/><Relationship Id="rId27" Type="http://schemas.openxmlformats.org/officeDocument/2006/relationships/hyperlink" Target="https://marketplace.daloopa.com/text-fundamental?id=58930196&amp;value=22764&amp;id=58873793&amp;value=25200&amp;id=58930006&amp;value=25893&amp;id=58815540&amp;value=27346&amp;id=58815517&amp;value=23966&amp;id=58805329&amp;value=21829&amp;id=58800591&amp;value=17985&amp;id=59368482&amp;value=17779&amp;" TargetMode="External"/><Relationship Id="rId30" Type="http://schemas.openxmlformats.org/officeDocument/2006/relationships/hyperlink" Target="https://marketplace.daloopa.com/text-fundamental?id=58930193&amp;value=691&amp;id=58873796&amp;value=431&amp;id=58930015&amp;value=462&amp;id=58815547&amp;value=540&amp;id=58815527&amp;value=504&amp;id=58805327&amp;value=873&amp;id=58800602&amp;value=725&amp;id=59368492&amp;value=697&amp;" TargetMode="External"/><Relationship Id="rId35" Type="http://schemas.openxmlformats.org/officeDocument/2006/relationships/hyperlink" Target="https://marketplace.daloopa.com/text-fundamental?id=58930186&amp;value=638950&amp;id=59756359&amp;value=1011982&amp;id=58873784&amp;value=969421&amp;id=58930010&amp;value=924846&amp;id=58815538&amp;value=742384&amp;id=58815523&amp;value=742474&amp;id=58805333&amp;value=754343&amp;id=58800593&amp;value=757191&amp;id=59368479&amp;value=759552&amp;" TargetMode="External"/><Relationship Id="rId43" Type="http://schemas.openxmlformats.org/officeDocument/2006/relationships/hyperlink" Target="https://marketplace.daloopa.com/text-fundamental?id=58933606&amp;value=424&amp;id=59379361&amp;value=424&amp;id=58934070&amp;value=-293&amp;id=58930729&amp;value=6&amp;id=58930828&amp;value=-38&amp;id=58930919&amp;value=380&amp;id=59379362&amp;value=55&amp;id=58815858&amp;value=-1032&amp;id=58815843&amp;value=-4445&amp;id=58815813&amp;value=405&amp;id=59379363&amp;value=-5072&amp;" TargetMode="External"/><Relationship Id="rId48" Type="http://schemas.openxmlformats.org/officeDocument/2006/relationships/hyperlink" Target="https://marketplace.daloopa.com/text-fundamental?id=58933608&amp;value=836&amp;id=59379373&amp;value=836&amp;id=58934064&amp;value=-3207&amp;id=58930725&amp;value=2818&amp;id=58930822&amp;value=1546&amp;id=58930918&amp;value=-331&amp;id=59379374&amp;value=826&amp;id=58865899&amp;value=363&amp;id=58815866&amp;value=182&amp;id=58815836&amp;value=-36&amp;id=58815807&amp;value=-596&amp;id=59379375&amp;value=-87&amp;id=58800692&amp;value=-26&amp;id=59368499&amp;value=583&amp;" TargetMode="External"/><Relationship Id="rId56" Type="http://schemas.openxmlformats.org/officeDocument/2006/relationships/hyperlink" Target="https://marketplace.daloopa.com/text-fundamental?id=58815920&amp;value=320559&amp;id=58815939&amp;value=0&amp;id=58815955&amp;value=0&amp;id=59379396&amp;value=320559&amp;" TargetMode="External"/><Relationship Id="rId64" Type="http://schemas.openxmlformats.org/officeDocument/2006/relationships/hyperlink" Target="https://marketplace.daloopa.com/text-fundamental?id=58934107&amp;value=25000&amp;id=58931048&amp;value=0&amp;id=58931067&amp;value=0&amp;id=58931082&amp;value=0&amp;id=59379406&amp;value=25000&amp;" TargetMode="External"/><Relationship Id="rId69" Type="http://schemas.openxmlformats.org/officeDocument/2006/relationships/hyperlink" Target="https://marketplace.daloopa.com/text-fundamental?id=58815938&amp;value=187&amp;id=58815959&amp;value=200&amp;id=59379414&amp;value=387&amp;id=58816005&amp;value=547&amp;id=59368524&amp;value=723&amp;" TargetMode="External"/><Relationship Id="rId77" Type="http://schemas.openxmlformats.org/officeDocument/2006/relationships/hyperlink" Target="https://marketplace.daloopa.com/text-fundamental?id=58933759&amp;value=5249&amp;id=59379425&amp;value=5249&amp;id=58934130&amp;value=968&amp;id=58931105&amp;value=947&amp;id=58931102&amp;value=1079&amp;id=58931097&amp;value=1792&amp;id=59379426&amp;value=4786&amp;id=58865870&amp;value=298&amp;id=58816037&amp;value=3438&amp;id=58816031&amp;value=2333&amp;id=58815992&amp;value=4292&amp;id=59379427&amp;value=10361&amp;id=58816028&amp;value=1713&amp;id=59368565&amp;value=4468&amp;" TargetMode="External"/><Relationship Id="rId8" Type="http://schemas.openxmlformats.org/officeDocument/2006/relationships/hyperlink" Target="https://marketplace.daloopa.com/text-fundamental?id=58934465&amp;value=262&amp;id=58934389&amp;value=26&amp;id=58934407&amp;value=3125&amp;id=58934446&amp;value=3413&amp;id=58874667&amp;value=450&amp;id=58816063&amp;value=73&amp;id=58816056&amp;value=63&amp;id=58809477&amp;value=584&amp;id=58800879&amp;value=-889&amp;id=59368525&amp;value=525&amp;" TargetMode="External"/><Relationship Id="rId51" Type="http://schemas.openxmlformats.org/officeDocument/2006/relationships/hyperlink" Target="https://marketplace.daloopa.com/text-fundamental?id=58865923&amp;value=-7588&amp;id=58815879&amp;value=0&amp;id=58815893&amp;value=0&amp;id=58815904&amp;value=-41346&amp;id=59379385&amp;value=-48934&amp;id=58800715&amp;value=-18920&amp;id=59368514&amp;value=-124&amp;" TargetMode="External"/><Relationship Id="rId72" Type="http://schemas.openxmlformats.org/officeDocument/2006/relationships/hyperlink" Target="https://marketplace.daloopa.com/text-fundamental?id=58933749&amp;value=-3176&amp;id=59379416&amp;value=-3176&amp;id=58934110&amp;value=81757&amp;id=58931050&amp;value=-28795&amp;id=58931068&amp;value=-2606&amp;id=58931079&amp;value=-3952&amp;id=59379417&amp;value=46404&amp;id=58865945&amp;value=-50762&amp;id=58815921&amp;value=118631&amp;id=58815949&amp;value=-3497&amp;id=58815968&amp;value=-524&amp;id=59379418&amp;value=63848&amp;id=58816003&amp;value=-40&amp;id=59368518&amp;value=227&amp;" TargetMode="External"/><Relationship Id="rId80" Type="http://schemas.openxmlformats.org/officeDocument/2006/relationships/hyperlink" Target="https://marketplace.daloopa.com/text-fundamental?id=58933603&amp;value=2085&amp;id=59379341&amp;value=2085&amp;id=58934066&amp;value=-5053&amp;id=58930737&amp;value=-4178&amp;id=58930837&amp;value=-3151&amp;id=58930926&amp;value=-4365&amp;id=59379342&amp;value=-16747&amp;id=58865905&amp;value=-6304&amp;id=58815864&amp;value=329&amp;id=58815841&amp;value=1510&amp;id=58815808&amp;value=1541&amp;id=59379343&amp;value=-2924&amp;id=58800683&amp;value=1698&amp;id=59368493&amp;value=2075&amp;" TargetMode="External"/><Relationship Id="rId85" Type="http://schemas.openxmlformats.org/officeDocument/2006/relationships/hyperlink" Target="https://marketplace.daloopa.com/text-fundamental?id=58933597&amp;value=25953&amp;id=59379331&amp;value=25953&amp;id=58934077&amp;value=24487&amp;id=58930739&amp;value=36572&amp;id=58930825&amp;value=36756&amp;id=58930923&amp;value=37242&amp;id=59379332&amp;value=135057&amp;id=58865901&amp;value=34763&amp;id=58815857&amp;value=35918&amp;id=58815839&amp;value=35812&amp;id=58815802&amp;value=36322&amp;id=59379333&amp;value=142815&amp;id=58800687&amp;value=34034&amp;id=59368506&amp;value=34407&amp;" TargetMode="External"/><Relationship Id="rId3" Type="http://schemas.openxmlformats.org/officeDocument/2006/relationships/hyperlink" Target="https://marketplace.daloopa.com/text-fundamental?id=58936247&amp;value=902&amp;id=58936257&amp;value=2184&amp;id=58936265&amp;value=2172&amp;id=58936277&amp;value=1640&amp;id=58936398&amp;value=6898&amp;id=58936385&amp;value=-4920&amp;id=58934463&amp;value=-3499&amp;id=58934393&amp;value=-2889&amp;id=58934400&amp;value=-47&amp;id=58934450&amp;value=-11355&amp;id=58874661&amp;value=-4435&amp;id=58816057&amp;value=3063&amp;id=58816052&amp;value=3397&amp;id=58809368&amp;value=6837&amp;id=58809473&amp;value=8862&amp;id=58800874&amp;value=4935&amp;id=59368530&amp;value=5432&amp;" TargetMode="External"/><Relationship Id="rId12" Type="http://schemas.openxmlformats.org/officeDocument/2006/relationships/hyperlink" Target="https://marketplace.daloopa.com/text-fundamental?id=58930149&amp;value=126&amp;id=58873737&amp;value=152&amp;id=58929978&amp;value=156&amp;id=58815489&amp;value=156&amp;id=58815504&amp;value=150&amp;id=58805152&amp;value=148&amp;id=58800565&amp;value=248&amp;id=59368471&amp;value=229&amp;" TargetMode="External"/><Relationship Id="rId17" Type="http://schemas.openxmlformats.org/officeDocument/2006/relationships/hyperlink" Target="https://marketplace.daloopa.com/text-fundamental?id=58930160&amp;value=185903&amp;id=58873728&amp;value=277778&amp;id=58929974&amp;value=235037&amp;id=58815481&amp;value=401146&amp;id=58815495&amp;value=443504&amp;id=58805142&amp;value=466160&amp;id=58800554&amp;value=477670&amp;id=59368467&amp;value=522736&amp;" TargetMode="External"/><Relationship Id="rId25" Type="http://schemas.openxmlformats.org/officeDocument/2006/relationships/hyperlink" Target="https://marketplace.daloopa.com/text-fundamental?id=58930195&amp;value=36342&amp;id=58873797&amp;value=44117&amp;id=58930011&amp;value=36008&amp;id=58815541&amp;value=47314&amp;id=58815516&amp;value=46078&amp;id=58805323&amp;value=53977&amp;id=58800596&amp;value=51450&amp;id=59368484&amp;value=49534&amp;" TargetMode="External"/><Relationship Id="rId33" Type="http://schemas.openxmlformats.org/officeDocument/2006/relationships/hyperlink" Target="https://marketplace.daloopa.com/text-fundamental?id=58930185&amp;value=12820&amp;id=58873789&amp;value=86770&amp;id=58930007&amp;value=80969&amp;id=58815537&amp;value=81744&amp;id=58815526&amp;value=82163&amp;id=58805337&amp;value=84653&amp;id=58800595&amp;value=86490&amp;id=59368480&amp;value=87757&amp;" TargetMode="External"/><Relationship Id="rId38" Type="http://schemas.openxmlformats.org/officeDocument/2006/relationships/hyperlink" Target="https://marketplace.daloopa.com/text-fundamental?id=58933594&amp;value=-110&amp;id=59379347&amp;value=-110&amp;id=58934073&amp;value=-374&amp;id=58930735&amp;value=89&amp;id=58930832&amp;value=247&amp;id=58930909&amp;value=7&amp;id=59379348&amp;value=-31&amp;id=58865909&amp;value=-96&amp;id=58815870&amp;value=-223&amp;id=58815831&amp;value=38&amp;id=58815814&amp;value=-294&amp;id=59379349&amp;value=-575&amp;id=58800681&amp;value=-411&amp;id=59368501&amp;value=448&amp;" TargetMode="External"/><Relationship Id="rId46" Type="http://schemas.openxmlformats.org/officeDocument/2006/relationships/hyperlink" Target="https://marketplace.daloopa.com/text-fundamental?id=58933607&amp;value=-13&amp;id=59379370&amp;value=-13&amp;id=58934067&amp;value=296&amp;id=58930727&amp;value=-312&amp;id=58930829&amp;value=-64&amp;id=58930921&amp;value=-191&amp;id=59379371&amp;value=-271&amp;id=58865900&amp;value=31&amp;id=58815867&amp;value=75&amp;id=58815835&amp;value=-33&amp;id=58815809&amp;value=123&amp;id=59379372&amp;value=196&amp;id=58800678&amp;value=-254&amp;id=59368498&amp;value=-18&amp;" TargetMode="External"/><Relationship Id="rId59" Type="http://schemas.openxmlformats.org/officeDocument/2006/relationships/hyperlink" Target="https://marketplace.daloopa.com/text-fundamental?id=58934109&amp;value=59423&amp;id=58931046&amp;value=0&amp;id=58931069&amp;value=0&amp;id=58931081&amp;value=0&amp;id=59379399&amp;value=59423&amp;id=58815928&amp;value=241&amp;id=58815937&amp;value=0&amp;id=58815954&amp;value=0&amp;id=59379400&amp;value=241&amp;" TargetMode="External"/><Relationship Id="rId67" Type="http://schemas.openxmlformats.org/officeDocument/2006/relationships/hyperlink" Target="https://marketplace.daloopa.com/text-fundamental?id=58933751&amp;value=-3176&amp;id=59379410&amp;value=-3176&amp;id=58934116&amp;value=-487&amp;id=58931054&amp;value=-490&amp;id=58931062&amp;value=-931&amp;id=58931085&amp;value=-530&amp;id=59379411&amp;value=-2438&amp;id=58865954&amp;value=-459&amp;id=58815926&amp;value=-466&amp;id=58815950&amp;value=-361&amp;id=58815964&amp;value=-366&amp;id=59379412&amp;value=-1652&amp;id=58816007&amp;value=-238&amp;id=59368516&amp;value=-221&amp;" TargetMode="External"/><Relationship Id="rId20" Type="http://schemas.openxmlformats.org/officeDocument/2006/relationships/hyperlink" Target="https://marketplace.daloopa.com/text-fundamental?id=58930148&amp;value=13224&amp;id=58873730&amp;value=87702&amp;id=58929982&amp;value=85877&amp;id=58815490&amp;value=83828&amp;id=58815502&amp;value=81691&amp;id=58805145&amp;value=79585&amp;id=58800556&amp;value=77641&amp;id=59368469&amp;value=75235&amp;" TargetMode="External"/><Relationship Id="rId41" Type="http://schemas.openxmlformats.org/officeDocument/2006/relationships/hyperlink" Target="https://marketplace.daloopa.com/text-fundamental?id=58933602&amp;value=-10964&amp;id=59379355&amp;value=-10964&amp;id=58934065&amp;value=-4782&amp;id=58930736&amp;value=11840&amp;id=58930836&amp;value=-27721&amp;id=58930912&amp;value=-7878&amp;id=59379356&amp;value=-28541&amp;id=58865893&amp;value=6963&amp;id=58815874&amp;value=-23858&amp;id=58815840&amp;value=-18920&amp;id=58815816&amp;value=-5027&amp;id=59379357&amp;value=-40842&amp;id=58800676&amp;value=8862&amp;id=59368503&amp;value=2337&amp;" TargetMode="External"/><Relationship Id="rId54" Type="http://schemas.openxmlformats.org/officeDocument/2006/relationships/hyperlink" Target="https://marketplace.daloopa.com/text-fundamental?id=58933715&amp;value=-10125&amp;id=59379390&amp;value=-10125&amp;id=58934087&amp;value=-1741&amp;id=58931034&amp;value=-2724&amp;id=58930981&amp;value=-2958&amp;id=58930959&amp;value=-3099&amp;id=59379391&amp;value=-10522&amp;id=58865922&amp;value=-3536&amp;id=58815876&amp;value=-3946&amp;id=58815890&amp;value=-4484&amp;id=58815906&amp;value=-4519&amp;id=59379392&amp;value=-16485&amp;id=58800712&amp;value=-4643&amp;id=59368512&amp;value=-5593&amp;" TargetMode="External"/><Relationship Id="rId62" Type="http://schemas.openxmlformats.org/officeDocument/2006/relationships/hyperlink" Target="https://marketplace.daloopa.com/text-fundamental?id=58865946&amp;value=-146584&amp;id=58815930&amp;value=0&amp;id=58815942&amp;value=0&amp;id=58815961&amp;value=0&amp;id=59379404&amp;value=-146584&amp;" TargetMode="External"/><Relationship Id="rId70" Type="http://schemas.openxmlformats.org/officeDocument/2006/relationships/hyperlink" Target="https://marketplace.daloopa.com/text-fundamental?id=58815953&amp;value=-332&amp;id=58815969&amp;value=0&amp;id=59379415&amp;value=-332&amp;" TargetMode="External"/><Relationship Id="rId75" Type="http://schemas.openxmlformats.org/officeDocument/2006/relationships/hyperlink" Target="https://marketplace.daloopa.com/text-fundamental?id=58933752&amp;value=30258&amp;id=58934108&amp;value=48263&amp;id=58931049&amp;value=48263&amp;id=58931071&amp;value=48263&amp;id=58931077&amp;value=48263&amp;id=58865949&amp;value=152970&amp;id=58815933&amp;value=152970&amp;id=58815943&amp;value=152970&amp;id=58815963&amp;value=152970&amp;id=58816009&amp;value=292790&amp;id=59368520&amp;value=292790&amp;" TargetMode="External"/><Relationship Id="rId83" Type="http://schemas.openxmlformats.org/officeDocument/2006/relationships/hyperlink" Target="https://marketplace.daloopa.com/text-fundamental?id=58865904&amp;value=13938&amp;id=58815856&amp;value=0&amp;id=58815844&amp;value=0&amp;id=58815800&amp;value=0&amp;id=59379334&amp;value=13938&amp;" TargetMode="External"/><Relationship Id="rId88" Type="http://schemas.openxmlformats.org/officeDocument/2006/relationships/comments" Target="../comments5.xml"/><Relationship Id="rId1" Type="http://schemas.openxmlformats.org/officeDocument/2006/relationships/hyperlink" Target="https://marketplace.daloopa.com/text-fundamental?id=58936243&amp;value=3196&amp;id=58936254&amp;value=10720&amp;id=58936271&amp;value=11587&amp;id=58936279&amp;value=8747&amp;id=58936403&amp;value=34250&amp;id=58936388&amp;value=-21814&amp;id=58934470&amp;value=-16366&amp;id=58934395&amp;value=-3452&amp;id=58934406&amp;value=-5860&amp;id=58934451&amp;value=-47492&amp;id=58874660&amp;value=-19389&amp;id=58816059&amp;value=3770&amp;id=58816046&amp;value=16285&amp;id=58809370&amp;value=15385&amp;id=58809471&amp;value=16051&amp;id=58800873&amp;value=13013&amp;id=59368535&amp;value=14236&amp;" TargetMode="External"/><Relationship Id="rId6" Type="http://schemas.openxmlformats.org/officeDocument/2006/relationships/hyperlink" Target="https://marketplace.daloopa.com/text-fundamental?id=58936242&amp;value=354&amp;id=58936251&amp;value=324&amp;id=58936264&amp;value=274&amp;id=58936278&amp;value=264&amp;id=58936400&amp;value=1216&amp;id=58936383&amp;value=281&amp;id=58934467&amp;value=520&amp;id=58934391&amp;value=530&amp;id=58934402&amp;value=545&amp;id=58934448&amp;value=1876&amp;id=58874669&amp;value=562&amp;id=58816061&amp;value=2664&amp;id=58816053&amp;value=1343&amp;id=58809363&amp;value=4961&amp;id=58809476&amp;value=9530&amp;id=58800876&amp;value=1859&amp;id=59368532&amp;value=1943&amp;" TargetMode="External"/><Relationship Id="rId15" Type="http://schemas.openxmlformats.org/officeDocument/2006/relationships/hyperlink" Target="https://marketplace.daloopa.com/text-fundamental?id=58930152&amp;value=7640&amp;id=58873735&amp;value=8699&amp;id=58929979&amp;value=13865&amp;id=58815483&amp;value=11338&amp;id=58815503&amp;value=17294&amp;id=58805146&amp;value=14365&amp;id=58800563&amp;value=19089&amp;id=59368468&amp;value=23368&amp;" TargetMode="External"/><Relationship Id="rId23" Type="http://schemas.openxmlformats.org/officeDocument/2006/relationships/hyperlink" Target="https://marketplace.daloopa.com/text-fundamental?id=58930155&amp;value=1368&amp;id=58873734&amp;value=1372&amp;id=58929971&amp;value=2370&amp;id=58815487&amp;value=2397&amp;id=58815494&amp;value=6841&amp;id=58805151&amp;value=6456&amp;id=58800555&amp;value=21921&amp;id=59368470&amp;value=20698&amp;" TargetMode="External"/><Relationship Id="rId28" Type="http://schemas.openxmlformats.org/officeDocument/2006/relationships/hyperlink" Target="https://marketplace.daloopa.com/text-fundamental?id=58873790&amp;value=6700&amp;id=58930014&amp;value=7705&amp;" TargetMode="External"/><Relationship Id="rId36" Type="http://schemas.openxmlformats.org/officeDocument/2006/relationships/hyperlink" Target="https://marketplace.daloopa.com/text-fundamental?id=58930192&amp;value=-94217&amp;id=59756358&amp;value=808957&amp;id=58873785&amp;value=794270&amp;id=58930019&amp;value=778203&amp;id=58815535&amp;value=1099795&amp;id=58815520&amp;value=1114219&amp;id=58805326&amp;value=1132238&amp;id=58800586&amp;value=1146140&amp;id=59368477&amp;value=1151625&amp;" TargetMode="External"/><Relationship Id="rId49" Type="http://schemas.openxmlformats.org/officeDocument/2006/relationships/hyperlink" Target="https://marketplace.daloopa.com/text-fundamental?id=58882226&amp;value=16776&amp;id=58882143&amp;value=17144&amp;id=58881408&amp;value=13055&amp;id=58933601&amp;value=24608&amp;id=59379379&amp;value=71583&amp;id=58881377&amp;value=1698&amp;id=58930724&amp;value=21711&amp;id=58930821&amp;value=14217&amp;id=58930913&amp;value=35225&amp;id=59379380&amp;value=72851&amp;id=58865894&amp;value=23713&amp;id=58815873&amp;value=32385&amp;id=58815846&amp;value=27762&amp;id=58815818&amp;value=64817&amp;id=59379381&amp;value=148677&amp;id=58800693&amp;value=41583&amp;id=59368504&amp;value=54829&amp;" TargetMode="External"/><Relationship Id="rId57" Type="http://schemas.openxmlformats.org/officeDocument/2006/relationships/hyperlink" Target="https://marketplace.daloopa.com/text-fundamental?id=58815923&amp;value=-1028&amp;id=58815946&amp;value=-2820&amp;id=58815956&amp;value=-186&amp;id=59379397&amp;value=-4034&amp;" TargetMode="External"/><Relationship Id="rId10" Type="http://schemas.openxmlformats.org/officeDocument/2006/relationships/hyperlink" Target="https://marketplace.daloopa.com/text-fundamental?id=58936245&amp;value=25092&amp;id=58936256&amp;value=33362&amp;id=58936269&amp;value=33491&amp;id=58936282&amp;value=31828&amp;id=58936401&amp;value=123773&amp;id=58936389&amp;value=20189&amp;id=58934461&amp;value=31655&amp;id=58934387&amp;value=43287&amp;id=58934404&amp;value=44645&amp;id=58934443&amp;value=139776&amp;id=58874666&amp;value=36590&amp;id=58816064&amp;value=56322&amp;id=58816048&amp;value=63944&amp;id=58809366&amp;value=69438&amp;id=58809481&amp;value=226294&amp;id=58800872&amp;value=53600&amp;id=59368529&amp;value=60834&amp;" TargetMode="External"/><Relationship Id="rId31" Type="http://schemas.openxmlformats.org/officeDocument/2006/relationships/hyperlink" Target="https://marketplace.daloopa.com/text-fundamental?id=58930181&amp;value=78433&amp;id=58873799&amp;value=97838&amp;id=58930008&amp;value=96144&amp;id=58815534&amp;value=99366&amp;id=58815525&amp;value=99299&amp;id=58805334&amp;value=109306&amp;id=58800594&amp;value=100422&amp;id=59368483&amp;value=101438&amp;" TargetMode="External"/><Relationship Id="rId44" Type="http://schemas.openxmlformats.org/officeDocument/2006/relationships/hyperlink" Target="https://marketplace.daloopa.com/text-fundamental?id=58933595&amp;value=12760&amp;id=59379364&amp;value=12760&amp;id=58934069&amp;value=5434&amp;id=58930730&amp;value=-1783&amp;id=58930824&amp;value=8025&amp;id=58930922&amp;value=4854&amp;id=59379365&amp;value=16530&amp;id=58865898&amp;value=-8087&amp;id=58815859&amp;value=10677&amp;id=58815829&amp;value=-1043&amp;id=58815812&amp;value=5969&amp;id=59379366&amp;value=7516&amp;id=58800689&amp;value=-1329&amp;id=59368509&amp;value=-1419&amp;" TargetMode="External"/><Relationship Id="rId52" Type="http://schemas.openxmlformats.org/officeDocument/2006/relationships/hyperlink" Target="https://marketplace.daloopa.com/text-fundamental?id=58933718&amp;value=34&amp;id=59379386&amp;value=34&amp;id=59368511&amp;value=82&amp;" TargetMode="External"/><Relationship Id="rId60" Type="http://schemas.openxmlformats.org/officeDocument/2006/relationships/hyperlink" Target="https://marketplace.daloopa.com/text-fundamental?id=58865952&amp;value=261413&amp;id=58815929&amp;value=0&amp;id=58815940&amp;value=0&amp;id=58815958&amp;value=0&amp;id=59379401&amp;value=261413&amp;" TargetMode="External"/><Relationship Id="rId65" Type="http://schemas.openxmlformats.org/officeDocument/2006/relationships/hyperlink" Target="https://marketplace.daloopa.com/text-fundamental?id=58931044&amp;value=-25000&amp;id=58931066&amp;value=0&amp;id=58931083&amp;value=0&amp;id=59379407&amp;value=-25000&amp;" TargetMode="External"/><Relationship Id="rId73" Type="http://schemas.openxmlformats.org/officeDocument/2006/relationships/hyperlink" Target="https://marketplace.daloopa.com/text-fundamental?id=58933750&amp;value=-130&amp;id=59379419&amp;value=-130&amp;id=58934113&amp;value=-80&amp;id=58931052&amp;value=-1061&amp;id=58931061&amp;value=-524&amp;id=58931078&amp;value=2686&amp;id=59379420&amp;value=1021&amp;id=58865953&amp;value=-310&amp;id=58815925&amp;value=-346&amp;id=58815951&amp;value=134&amp;id=58815966&amp;value=244&amp;id=59379421&amp;value=-278&amp;id=58816004&amp;value=58&amp;id=59368522&amp;value=-2604&amp;" TargetMode="External"/><Relationship Id="rId78" Type="http://schemas.openxmlformats.org/officeDocument/2006/relationships/hyperlink" Target="https://marketplace.daloopa.com/text-fundamental?id=58933758&amp;value=55784&amp;id=59379428&amp;value=55784&amp;id=58934129&amp;value=8234&amp;id=58931104&amp;value=11760&amp;id=58931100&amp;value=11664&amp;id=58931096&amp;value=9487&amp;id=59379429&amp;value=41145&amp;id=58865868&amp;value=7153&amp;id=58816038&amp;value=6568&amp;id=58816033&amp;value=4641&amp;id=58815993&amp;value=4667&amp;id=59379430&amp;value=23029&amp;id=58816027&amp;value=4774&amp;id=59368566&amp;value=5417&amp;" TargetMode="External"/><Relationship Id="rId81" Type="http://schemas.openxmlformats.org/officeDocument/2006/relationships/hyperlink" Target="https://marketplace.daloopa.com/text-fundamental?id=58933609&amp;value=88&amp;id=59379338&amp;value=88&amp;id=58934075&amp;value=248&amp;id=58930738&amp;value=-192&amp;id=58930834&amp;value=110&amp;id=58930914&amp;value=184&amp;id=59379339&amp;value=350&amp;id=58865907&amp;value=-173&amp;id=58815871&amp;value=-194&amp;id=58815833&amp;value=204&amp;id=58815805&amp;value=146&amp;id=59379340&amp;value=-17&amp;id=58800684&amp;value=-184&amp;id=59368500&amp;value=64&amp;" TargetMode="External"/><Relationship Id="rId86" Type="http://schemas.openxmlformats.org/officeDocument/2006/relationships/printerSettings" Target="../printerSettings/printerSettings8.bin"/><Relationship Id="rId4" Type="http://schemas.openxmlformats.org/officeDocument/2006/relationships/hyperlink" Target="https://marketplace.daloopa.com/text-fundamental?id=58936241&amp;value=6268&amp;id=58936255&amp;value=6545&amp;id=58936267&amp;value=6552&amp;id=58936276&amp;value=6588&amp;id=58936404&amp;value=25953&amp;id=58936386&amp;value=24487&amp;id=58934462&amp;value=36572&amp;id=58934392&amp;value=36756&amp;id=58934405&amp;value=37242&amp;id=58934441&amp;value=135057&amp;id=58874662&amp;value=34763&amp;id=58816060&amp;value=35918&amp;id=58816054&amp;value=35812&amp;id=58809364&amp;value=36322&amp;id=58809475&amp;value=142815&amp;id=58800877&amp;value=34034&amp;id=59368533&amp;value=34407&amp;" TargetMode="External"/><Relationship Id="rId9" Type="http://schemas.openxmlformats.org/officeDocument/2006/relationships/hyperlink" Target="https://marketplace.daloopa.com/text-fundamental?id=58936244&amp;value=1349&amp;id=58936252&amp;value=760&amp;id=58936268&amp;value=-200&amp;id=58936281&amp;value=1330&amp;id=58936402&amp;value=3239&amp;id=58936382&amp;value=-121&amp;id=58934464&amp;value=427&amp;id=58934388&amp;value=630&amp;id=58934398&amp;value=-189&amp;id=58934444&amp;value=747&amp;id=58816055&amp;value=194&amp;id=58809365&amp;value=32&amp;id=58809479&amp;value=228&amp;" TargetMode="External"/><Relationship Id="rId13" Type="http://schemas.openxmlformats.org/officeDocument/2006/relationships/hyperlink" Target="https://marketplace.daloopa.com/text-fundamental?id=58930158&amp;value=1326&amp;id=58873736&amp;value=1267&amp;id=58929981&amp;value=844&amp;id=58815488&amp;value=1352&amp;id=58815505&amp;value=958&amp;id=58805150&amp;value=941&amp;id=58800564&amp;value=927&amp;id=59368472&amp;value=904&amp;" TargetMode="External"/><Relationship Id="rId18" Type="http://schemas.openxmlformats.org/officeDocument/2006/relationships/hyperlink" Target="https://marketplace.daloopa.com/text-fundamental?id=58930159&amp;value=29094&amp;id=58873727&amp;value=190282&amp;id=58929976&amp;value=180602&amp;id=58815480&amp;value=172239&amp;id=58815496&amp;value=161330&amp;id=58805141&amp;value=154309&amp;id=58800559&amp;value=146392&amp;id=59368463&amp;value=136536&amp;" TargetMode="External"/><Relationship Id="rId39" Type="http://schemas.openxmlformats.org/officeDocument/2006/relationships/hyperlink" Target="https://marketplace.daloopa.com/text-fundamental?id=58933610&amp;value=-23&amp;id=59379350&amp;value=-23&amp;id=58934078&amp;value=1&amp;id=58930733&amp;value=62&amp;id=58930831&amp;value=-22&amp;id=58930911&amp;value=-22&amp;id=59379351&amp;value=19&amp;id=58865910&amp;value=1&amp;id=58815869&amp;value=80&amp;id=58815834&amp;value=-1&amp;id=58815817&amp;value=-4&amp;id=59379352&amp;value=76&amp;id=58800680&amp;value=163&amp;id=59368494&amp;value=-1&amp;" TargetMode="External"/><Relationship Id="rId34" Type="http://schemas.openxmlformats.org/officeDocument/2006/relationships/hyperlink" Target="https://marketplace.daloopa.com/text-fundamental?id=58800600&amp;value=11583&amp;id=59368488&amp;value=11514&amp;" TargetMode="External"/><Relationship Id="rId50" Type="http://schemas.openxmlformats.org/officeDocument/2006/relationships/hyperlink" Target="https://marketplace.daloopa.com/text-fundamental?id=58933717&amp;value=-1120&amp;id=59379382&amp;value=-1120&amp;id=58934089&amp;value=706&amp;id=58931033&amp;value=0&amp;id=58930982&amp;value=2&amp;id=58930960&amp;value=-451&amp;id=59379383&amp;value=257&amp;id=58865921&amp;value=440&amp;id=58815878&amp;value=-532&amp;id=58815889&amp;value=397&amp;id=58815903&amp;value=0&amp;id=59379384&amp;value=305&amp;" TargetMode="External"/><Relationship Id="rId55" Type="http://schemas.openxmlformats.org/officeDocument/2006/relationships/hyperlink" Target="https://marketplace.daloopa.com/text-fundamental?id=58933719&amp;value=-17789&amp;id=59379393&amp;value=-17789&amp;id=58934088&amp;value=-1861&amp;id=58931035&amp;value=-4622&amp;id=58930979&amp;value=-4315&amp;id=58930958&amp;value=-4771&amp;id=59379394&amp;value=-15569&amp;id=58865925&amp;value=-12127&amp;id=58815875&amp;value=-6876&amp;id=58815891&amp;value=-5989&amp;id=58815907&amp;value=-47435&amp;id=59379395&amp;value=-72427&amp;id=58800714&amp;value=-26472&amp;id=59368513&amp;value=-7891&amp;" TargetMode="External"/><Relationship Id="rId76" Type="http://schemas.openxmlformats.org/officeDocument/2006/relationships/hyperlink" Target="https://marketplace.daloopa.com/text-fundamental?id=58933753&amp;value=80746&amp;id=58934117&amp;value=129777&amp;id=58931047&amp;value=117010&amp;id=58931072&amp;value=123782&amp;id=58931076&amp;value=152970&amp;id=58865948&amp;value=113484&amp;id=58815932&amp;value=257278&amp;id=58815944&amp;value=275688&amp;id=58815970&amp;value=292790&amp;id=58816008&amp;value=307919&amp;id=59368521&amp;value=352480&amp;" TargetMode="External"/><Relationship Id="rId7" Type="http://schemas.openxmlformats.org/officeDocument/2006/relationships/hyperlink" Target="https://marketplace.daloopa.com/text-fundamental?id=58936266&amp;value=349&amp;id=58936280&amp;value=849&amp;id=58936399&amp;value=1198&amp;id=58936384&amp;value=9446&amp;id=58934466&amp;value=76&amp;id=58934390&amp;value=56&amp;id=58934401&amp;value=568&amp;id=58934449&amp;value=10146&amp;id=58874668&amp;value=3984&amp;id=58816062&amp;value=382&amp;id=58816050&amp;value=2144&amp;id=58809362&amp;value=2804&amp;id=58809480&amp;value=9314&amp;id=58800875&amp;value=1498&amp;id=59368531&amp;value=1179&amp;" TargetMode="External"/><Relationship Id="rId71" Type="http://schemas.openxmlformats.org/officeDocument/2006/relationships/hyperlink" Target="https://marketplace.daloopa.com/text-fundamental?id=59368517&amp;value=-98&amp;" TargetMode="External"/><Relationship Id="rId2" Type="http://schemas.openxmlformats.org/officeDocument/2006/relationships/hyperlink" Target="https://marketplace.daloopa.com/text-fundamental?id=58936246&amp;value=13023&amp;id=58936253&amp;value=12829&amp;id=58936270&amp;value=12757&amp;id=58936283&amp;value=12410&amp;id=58936405&amp;value=51019&amp;id=58936387&amp;value=12830&amp;id=58934460&amp;value=13663&amp;id=58934394&amp;value=11630&amp;id=58934408&amp;value=9261&amp;id=58934447&amp;value=47384&amp;id=58874659&amp;value=6717&amp;id=58816058&amp;value=10452&amp;id=58816049&amp;value=4706&amp;id=58809369&amp;value=3097&amp;id=58809472&amp;value=24972&amp;id=58800878&amp;value=-850&amp;id=59368534&amp;value=3112&amp;" TargetMode="External"/><Relationship Id="rId29" Type="http://schemas.openxmlformats.org/officeDocument/2006/relationships/hyperlink" Target="https://marketplace.daloopa.com/text-fundamental?id=58930197&amp;value=1878&amp;id=58873788&amp;value=2451&amp;id=58930013&amp;value=2742&amp;id=58815546&amp;value=1922&amp;id=58815522&amp;value=2578&amp;id=58805335&amp;value=2573&amp;id=58800597&amp;value=3300&amp;id=59368487&amp;value=2608&amp;" TargetMode="External"/><Relationship Id="rId24" Type="http://schemas.openxmlformats.org/officeDocument/2006/relationships/hyperlink" Target="https://marketplace.daloopa.com/text-fundamental?id=58930154&amp;value=544733&amp;id=59756361&amp;value=1820939&amp;id=58873738&amp;value=1763691&amp;id=58929972&amp;value=1703049&amp;id=58815485&amp;value=1842179&amp;id=58815492&amp;value=1856693&amp;id=58805153&amp;value=1886581&amp;id=58800560&amp;value=1903331&amp;id=59368461&amp;value=1911177&amp;" TargetMode="External"/><Relationship Id="rId40" Type="http://schemas.openxmlformats.org/officeDocument/2006/relationships/hyperlink" Target="https://marketplace.daloopa.com/text-fundamental?id=58934072&amp;value=3977&amp;id=58930731&amp;value=1179&amp;id=58930830&amp;value=-744&amp;id=58930924&amp;value=-796&amp;id=59379353&amp;value=3616&amp;id=58865902&amp;value=-1032&amp;id=58815868&amp;value=79&amp;id=58815832&amp;value=108&amp;id=58815804&amp;value=-1439&amp;id=59379354&amp;value=-2284&amp;id=58800688&amp;value=-5260&amp;id=59368508&amp;value=-2118&amp;" TargetMode="External"/><Relationship Id="rId45" Type="http://schemas.openxmlformats.org/officeDocument/2006/relationships/hyperlink" Target="https://marketplace.daloopa.com/text-fundamental?id=58933596&amp;value=-7335&amp;id=59379367&amp;value=-7335&amp;id=58934068&amp;value=248&amp;id=58930728&amp;value=-11585&amp;id=58930826&amp;value=5481&amp;id=58930916&amp;value=6736&amp;id=59379368&amp;value=880&amp;id=58865897&amp;value=5579&amp;id=58815860&amp;value=-2799&amp;id=58815830&amp;value=3118&amp;id=58815810&amp;value=2643&amp;id=59379369&amp;value=8541&amp;id=58800686&amp;value=-13215&amp;id=59368507&amp;value=4435&amp;" TargetMode="External"/><Relationship Id="rId66" Type="http://schemas.openxmlformats.org/officeDocument/2006/relationships/hyperlink" Target="https://marketplace.daloopa.com/text-fundamental?id=58934114&amp;value=-1397&amp;id=58931051&amp;value=0&amp;id=58931063&amp;value=0&amp;id=58931084&amp;value=0&amp;id=59379408&amp;value=-1397&amp;id=58865947&amp;value=-1257&amp;id=58815922&amp;value=0&amp;id=58815948&amp;value=0&amp;id=58815962&amp;value=0&amp;id=59379409&amp;value=-1257&amp;" TargetMode="External"/><Relationship Id="rId87" Type="http://schemas.openxmlformats.org/officeDocument/2006/relationships/vmlDrawing" Target="../drawings/vmlDrawing5.vml"/><Relationship Id="rId61" Type="http://schemas.openxmlformats.org/officeDocument/2006/relationships/hyperlink" Target="https://marketplace.daloopa.com/text-fundamental?id=58931064&amp;value=-1675&amp;id=58931080&amp;value=-1675&amp;id=59379402&amp;value=-3350&amp;id=58865951&amp;value=-163875&amp;id=58815931&amp;value=-200000&amp;id=58815941&amp;value=0&amp;id=58815960&amp;value=0&amp;id=59379403&amp;value=-363875&amp;" TargetMode="External"/><Relationship Id="rId82" Type="http://schemas.openxmlformats.org/officeDocument/2006/relationships/hyperlink" Target="https://marketplace.daloopa.com/text-fundamental?id=58933600&amp;value=3174&amp;id=59379335&amp;value=3174&amp;id=58934062&amp;value=578&amp;id=58930740&amp;value=878&amp;id=58930835&amp;value=888&amp;id=58930925&amp;value=898&amp;id=59379336&amp;value=3242&amp;id=58865906&amp;value=704&amp;id=58815862&amp;value=4355&amp;id=58815845&amp;value=437&amp;id=58815803&amp;value=440&amp;id=59379337&amp;value=5936&amp;id=58800685&amp;value=445&amp;id=59368502&amp;value=449&amp;" TargetMode="External"/><Relationship Id="rId19" Type="http://schemas.openxmlformats.org/officeDocument/2006/relationships/hyperlink" Target="https://marketplace.daloopa.com/text-fundamental?id=58930151&amp;value=261590&amp;id=58873739&amp;value=770089&amp;id=58929975&amp;value=775093&amp;id=58815479&amp;value=774562&amp;id=58815498&amp;value=772669&amp;id=58805143&amp;value=793892&amp;id=58800558&amp;value=802675&amp;id=59368464&amp;value=796556&amp;"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openxmlformats.org/officeDocument/2006/relationships/hyperlink" Target="javascript:void(0);" TargetMode="External"/><Relationship Id="rId18" Type="http://schemas.openxmlformats.org/officeDocument/2006/relationships/hyperlink" Target="javascript:void(0);" TargetMode="External"/><Relationship Id="rId26" Type="http://schemas.openxmlformats.org/officeDocument/2006/relationships/printerSettings" Target="../printerSettings/printerSettings13.bin"/><Relationship Id="rId3" Type="http://schemas.openxmlformats.org/officeDocument/2006/relationships/hyperlink" Target="javascript:void(0);" TargetMode="External"/><Relationship Id="rId21"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hyperlink" Target="javascript:void(0);" TargetMode="External"/><Relationship Id="rId17" Type="http://schemas.openxmlformats.org/officeDocument/2006/relationships/hyperlink" Target="javascript:void(0);" TargetMode="External"/><Relationship Id="rId25" Type="http://schemas.openxmlformats.org/officeDocument/2006/relationships/hyperlink" Target="javascript:void(0);" TargetMode="External"/><Relationship Id="rId2" Type="http://schemas.openxmlformats.org/officeDocument/2006/relationships/hyperlink" Target="javascript:void(0);" TargetMode="External"/><Relationship Id="rId16" Type="http://schemas.openxmlformats.org/officeDocument/2006/relationships/hyperlink" Target="javascript:void(0);" TargetMode="External"/><Relationship Id="rId20"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hyperlink" Target="javascript:void(0);" TargetMode="External"/><Relationship Id="rId24" Type="http://schemas.openxmlformats.org/officeDocument/2006/relationships/hyperlink" Target="javascript:void(0);" TargetMode="External"/><Relationship Id="rId5" Type="http://schemas.openxmlformats.org/officeDocument/2006/relationships/hyperlink" Target="javascript:void(0);" TargetMode="External"/><Relationship Id="rId15" Type="http://schemas.openxmlformats.org/officeDocument/2006/relationships/hyperlink" Target="javascript:void(0);" TargetMode="External"/><Relationship Id="rId23" Type="http://schemas.openxmlformats.org/officeDocument/2006/relationships/hyperlink" Target="javascript:void(0);" TargetMode="External"/><Relationship Id="rId10" Type="http://schemas.openxmlformats.org/officeDocument/2006/relationships/hyperlink" Target="javascript:void(0);" TargetMode="External"/><Relationship Id="rId19" Type="http://schemas.openxmlformats.org/officeDocument/2006/relationships/hyperlink" Target="javascript:void(0);" TargetMode="Externa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4" Type="http://schemas.openxmlformats.org/officeDocument/2006/relationships/hyperlink" Target="javascript:void(0);" TargetMode="External"/><Relationship Id="rId22" Type="http://schemas.openxmlformats.org/officeDocument/2006/relationships/hyperlink" Target="javascript:void(0);" TargetMode="External"/><Relationship Id="rId27"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9.bin"/><Relationship Id="rId1" Type="http://schemas.openxmlformats.org/officeDocument/2006/relationships/hyperlink" Target="https://investor.sterlingcheck.com/?utm_source=sterlingcheck&amp;utm_medium=footer-aboutus&amp;utm_campaign=referred" TargetMode="External"/><Relationship Id="rId4"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5.xml"/><Relationship Id="rId1" Type="http://schemas.openxmlformats.org/officeDocument/2006/relationships/printerSettings" Target="../printerSettings/printerSettings28.bin"/><Relationship Id="rId4" Type="http://schemas.openxmlformats.org/officeDocument/2006/relationships/comments" Target="../comments12.xml"/></Relationships>
</file>

<file path=xl/worksheets/_rels/sheet32.xml.rels><?xml version="1.0" encoding="UTF-8" standalone="yes"?>
<Relationships xmlns="http://schemas.openxmlformats.org/package/2006/relationships"><Relationship Id="rId1827" Type="http://schemas.openxmlformats.org/officeDocument/2006/relationships/hyperlink" Target="https://www.daloopa.com/src/58802518" TargetMode="External"/><Relationship Id="rId170" Type="http://schemas.openxmlformats.org/officeDocument/2006/relationships/hyperlink" Target="https://marketplace.daloopa.com/text-fundamental?id=59080110&amp;value=14.8&amp;id=59373924&amp;value=8.3&amp;" TargetMode="External"/><Relationship Id="rId987" Type="http://schemas.openxmlformats.org/officeDocument/2006/relationships/hyperlink" Target="https://marketplace.daloopa.com/text-fundamental?id=58933603&amp;value=2085&amp;id=59379341&amp;value=2085&amp;id=58934066&amp;value=-5053&amp;id=58930737&amp;value=-4178&amp;id=58930837&amp;value=-3151&amp;id=58930926&amp;value=-4365&amp;id=59379342&amp;value=-16747&amp;id=58865905&amp;value=-6304&amp;id=58815864&amp;value=329&amp;id=58815841&amp;value=1510&amp;id=58815808&amp;value=1541&amp;id=59379343&amp;value=-2924&amp;id=58800683&amp;value=1698&amp;id=59368493&amp;value=2075&amp;" TargetMode="External"/><Relationship Id="rId2668" Type="http://schemas.openxmlformats.org/officeDocument/2006/relationships/hyperlink" Target="https://www.daloopa.com/src/58992289" TargetMode="External"/><Relationship Id="rId2875" Type="http://schemas.openxmlformats.org/officeDocument/2006/relationships/hyperlink" Target="https://www.daloopa.com/src/59085262" TargetMode="External"/><Relationship Id="rId847" Type="http://schemas.openxmlformats.org/officeDocument/2006/relationships/hyperlink" Target="https://www.daloopa.com/src/58815545" TargetMode="External"/><Relationship Id="rId1477" Type="http://schemas.openxmlformats.org/officeDocument/2006/relationships/hyperlink" Target="https://www.daloopa.com/src/59379431" TargetMode="External"/><Relationship Id="rId1684" Type="http://schemas.openxmlformats.org/officeDocument/2006/relationships/hyperlink" Target="https://www.daloopa.com/src/58934446" TargetMode="External"/><Relationship Id="rId1891" Type="http://schemas.openxmlformats.org/officeDocument/2006/relationships/hyperlink" Target="https://www.daloopa.com/src/58936839" TargetMode="External"/><Relationship Id="rId2528" Type="http://schemas.openxmlformats.org/officeDocument/2006/relationships/hyperlink" Target="https://marketplace.daloopa.com/text-fundamental?id=58988188&amp;value=-918&amp;" TargetMode="External"/><Relationship Id="rId2735" Type="http://schemas.openxmlformats.org/officeDocument/2006/relationships/hyperlink" Target="https://www.daloopa.com/src/59004657" TargetMode="External"/><Relationship Id="rId707" Type="http://schemas.openxmlformats.org/officeDocument/2006/relationships/hyperlink" Target="https://marketplace.daloopa.com/text-fundamental?id=58930151&amp;value=261590&amp;id=58873739&amp;value=770089&amp;id=58929975&amp;value=775093&amp;id=58815479&amp;value=774562&amp;id=58815498&amp;value=772669&amp;id=58805143&amp;value=793892&amp;id=58800558&amp;value=802675&amp;id=59368464&amp;value=796556&amp;" TargetMode="External"/><Relationship Id="rId914" Type="http://schemas.openxmlformats.org/officeDocument/2006/relationships/hyperlink" Target="https://www.daloopa.com/src/58873783" TargetMode="External"/><Relationship Id="rId1337" Type="http://schemas.openxmlformats.org/officeDocument/2006/relationships/hyperlink" Target="https://www.daloopa.com/src/58815922" TargetMode="External"/><Relationship Id="rId1544" Type="http://schemas.openxmlformats.org/officeDocument/2006/relationships/hyperlink" Target="https://marketplace.daloopa.com/text-fundamental?id=58932431&amp;value=-17991&amp;" TargetMode="External"/><Relationship Id="rId1751" Type="http://schemas.openxmlformats.org/officeDocument/2006/relationships/hyperlink" Target="https://www.daloopa.com/src/59736362" TargetMode="External"/><Relationship Id="rId2802" Type="http://schemas.openxmlformats.org/officeDocument/2006/relationships/hyperlink" Target="https://marketplace.daloopa.com/text-fundamental?id=58978592&amp;value=401941&amp;id=58978533&amp;value=666650&amp;id=58978974&amp;value=764724&amp;id=58978552&amp;value=564724&amp;id=58978550&amp;value=564724&amp;id=58978528&amp;value=564724&amp;id=58978508&amp;value=564724&amp;id=59371997&amp;value=564724&amp;" TargetMode="External"/><Relationship Id="rId43" Type="http://schemas.openxmlformats.org/officeDocument/2006/relationships/hyperlink" Target="https://www.daloopa.com/src/58816175" TargetMode="External"/><Relationship Id="rId1404" Type="http://schemas.openxmlformats.org/officeDocument/2006/relationships/hyperlink" Target="https://www.daloopa.com/src/59379420" TargetMode="External"/><Relationship Id="rId1611" Type="http://schemas.openxmlformats.org/officeDocument/2006/relationships/hyperlink" Target="https://www.daloopa.com/src/58874661" TargetMode="External"/><Relationship Id="rId497" Type="http://schemas.openxmlformats.org/officeDocument/2006/relationships/hyperlink" Target="https://www.daloopa.com/src/58873707" TargetMode="External"/><Relationship Id="rId2178" Type="http://schemas.openxmlformats.org/officeDocument/2006/relationships/hyperlink" Target="https://www.daloopa.com/src/58874722" TargetMode="External"/><Relationship Id="rId2385" Type="http://schemas.openxmlformats.org/officeDocument/2006/relationships/hyperlink" Target="https://marketplace.daloopa.com/text-fundamental?id=58987743&amp;value=205&amp;id=58985449&amp;value=109&amp;id=58985418&amp;value=172&amp;" TargetMode="External"/><Relationship Id="rId357" Type="http://schemas.openxmlformats.org/officeDocument/2006/relationships/hyperlink" Target="https://www.daloopa.com/src/58881387" TargetMode="External"/><Relationship Id="rId1194" Type="http://schemas.openxmlformats.org/officeDocument/2006/relationships/hyperlink" Target="https://www.daloopa.com/src/59368504" TargetMode="External"/><Relationship Id="rId2038" Type="http://schemas.openxmlformats.org/officeDocument/2006/relationships/hyperlink" Target="https://www.daloopa.com/src/59751934" TargetMode="External"/><Relationship Id="rId2592" Type="http://schemas.openxmlformats.org/officeDocument/2006/relationships/hyperlink" Target="https://marketplace.daloopa.com/text-fundamental?id=58988241&amp;value=0.0034999999999999996&amp;" TargetMode="External"/><Relationship Id="rId217" Type="http://schemas.openxmlformats.org/officeDocument/2006/relationships/hyperlink" Target="https://marketplace.daloopa.com/text-fundamental?id=58947568&amp;value=62948&amp;id=58947590&amp;value=11499&amp;id=58947523&amp;value=11991&amp;id=58947529&amp;value=45818&amp;id=58947615&amp;value=16562&amp;id=58947586&amp;value=30080&amp;id=58947489&amp;value=35595&amp;id=59379438&amp;value=31772&amp;id=58947474&amp;value=114009&amp;id=58946696&amp;value=31741&amp;id=59372936&amp;value=33044&amp;" TargetMode="External"/><Relationship Id="rId564" Type="http://schemas.openxmlformats.org/officeDocument/2006/relationships/hyperlink" Target="https://www.daloopa.com/src/58873668" TargetMode="External"/><Relationship Id="rId771" Type="http://schemas.openxmlformats.org/officeDocument/2006/relationships/hyperlink" Target="https://marketplace.daloopa.com/text-fundamental?id=58930194&amp;value=16758&amp;id=58873798&amp;value=18939&amp;id=58930005&amp;value=23334&amp;id=58815542&amp;value=22244&amp;id=58815515&amp;value=26173&amp;id=58805332&amp;value=30054&amp;id=58800590&amp;value=20709&amp;id=59368485&amp;value=24750&amp;" TargetMode="External"/><Relationship Id="rId2245" Type="http://schemas.openxmlformats.org/officeDocument/2006/relationships/hyperlink" Target="https://www.daloopa.com/src/58944656" TargetMode="External"/><Relationship Id="rId2452" Type="http://schemas.openxmlformats.org/officeDocument/2006/relationships/hyperlink" Target="https://marketplace.daloopa.com/text-fundamental?id=59066132&amp;value=36242&amp;id=59008893&amp;value=35992&amp;id=59008889&amp;value=25063&amp;" TargetMode="External"/><Relationship Id="rId424" Type="http://schemas.openxmlformats.org/officeDocument/2006/relationships/hyperlink" Target="https://www.daloopa.com/src/58881412" TargetMode="External"/><Relationship Id="rId631" Type="http://schemas.openxmlformats.org/officeDocument/2006/relationships/hyperlink" Target="https://marketplace.daloopa.com/text-fundamental?id=58881577&amp;value=149686460&amp;" TargetMode="External"/><Relationship Id="rId1054" Type="http://schemas.openxmlformats.org/officeDocument/2006/relationships/hyperlink" Target="https://www.daloopa.com/src/58815832" TargetMode="External"/><Relationship Id="rId1261" Type="http://schemas.openxmlformats.org/officeDocument/2006/relationships/hyperlink" Target="https://www.daloopa.com/src/58815891" TargetMode="External"/><Relationship Id="rId2105" Type="http://schemas.openxmlformats.org/officeDocument/2006/relationships/hyperlink" Target="https://www.daloopa.com/src/58935577" TargetMode="External"/><Relationship Id="rId2312" Type="http://schemas.openxmlformats.org/officeDocument/2006/relationships/hyperlink" Target="https://www.daloopa.com/src/59148373" TargetMode="External"/><Relationship Id="rId1121" Type="http://schemas.openxmlformats.org/officeDocument/2006/relationships/hyperlink" Target="https://www.daloopa.com/src/58930826" TargetMode="External"/><Relationship Id="rId1938" Type="http://schemas.openxmlformats.org/officeDocument/2006/relationships/hyperlink" Target="https://www.daloopa.com/src/58935508" TargetMode="External"/><Relationship Id="rId281" Type="http://schemas.openxmlformats.org/officeDocument/2006/relationships/hyperlink" Target="https://www.daloopa.com/src/58882146" TargetMode="External"/><Relationship Id="rId141" Type="http://schemas.openxmlformats.org/officeDocument/2006/relationships/hyperlink" Target="https://www.daloopa.com/src/59375023" TargetMode="External"/><Relationship Id="rId7" Type="http://schemas.openxmlformats.org/officeDocument/2006/relationships/hyperlink" Target="https://www.daloopa.com/document/23013342" TargetMode="External"/><Relationship Id="rId2779" Type="http://schemas.openxmlformats.org/officeDocument/2006/relationships/hyperlink" Target="https://www.daloopa.com/src/59006397" TargetMode="External"/><Relationship Id="rId958" Type="http://schemas.openxmlformats.org/officeDocument/2006/relationships/hyperlink" Target="https://www.daloopa.com/src/58933600" TargetMode="External"/><Relationship Id="rId1588" Type="http://schemas.openxmlformats.org/officeDocument/2006/relationships/hyperlink" Target="https://www.daloopa.com/src/58936283" TargetMode="External"/><Relationship Id="rId1795" Type="http://schemas.openxmlformats.org/officeDocument/2006/relationships/hyperlink" Target="https://www.daloopa.com/src/59695230" TargetMode="External"/><Relationship Id="rId2639" Type="http://schemas.openxmlformats.org/officeDocument/2006/relationships/hyperlink" Target="https://www.daloopa.com/src/58990064" TargetMode="External"/><Relationship Id="rId2846" Type="http://schemas.openxmlformats.org/officeDocument/2006/relationships/hyperlink" Target="https://www.daloopa.com/src/58978529" TargetMode="External"/><Relationship Id="rId87" Type="http://schemas.openxmlformats.org/officeDocument/2006/relationships/hyperlink" Target="https://marketplace.daloopa.com/text-fundamental?id=59066770&amp;value=165&amp;id=59066727&amp;value=165&amp;" TargetMode="External"/><Relationship Id="rId818" Type="http://schemas.openxmlformats.org/officeDocument/2006/relationships/hyperlink" Target="https://www.daloopa.com/src/58815525" TargetMode="External"/><Relationship Id="rId1448" Type="http://schemas.openxmlformats.org/officeDocument/2006/relationships/hyperlink" Target="https://www.daloopa.com/src/58931105" TargetMode="External"/><Relationship Id="rId1655" Type="http://schemas.openxmlformats.org/officeDocument/2006/relationships/hyperlink" Target="https://www.daloopa.com/src/59368532" TargetMode="External"/><Relationship Id="rId2706" Type="http://schemas.openxmlformats.org/officeDocument/2006/relationships/hyperlink" Target="https://www.daloopa.com/src/59372602" TargetMode="External"/><Relationship Id="rId1308" Type="http://schemas.openxmlformats.org/officeDocument/2006/relationships/hyperlink" Target="https://marketplace.daloopa.com/text-fundamental?id=58865946&amp;value=-146584&amp;id=58815930&amp;value=0&amp;id=58815942&amp;value=0&amp;id=58815961&amp;value=0&amp;id=59379404&amp;value=-146584&amp;" TargetMode="External"/><Relationship Id="rId1862" Type="http://schemas.openxmlformats.org/officeDocument/2006/relationships/hyperlink" Target="https://www.daloopa.com/src/58809644" TargetMode="External"/><Relationship Id="rId2913" Type="http://schemas.openxmlformats.org/officeDocument/2006/relationships/hyperlink" Target="https://www.daloopa.com/src/59086312" TargetMode="External"/><Relationship Id="rId1515" Type="http://schemas.openxmlformats.org/officeDocument/2006/relationships/hyperlink" Target="https://www.daloopa.com/src/58932337" TargetMode="External"/><Relationship Id="rId1722" Type="http://schemas.openxmlformats.org/officeDocument/2006/relationships/hyperlink" Target="https://www.daloopa.com/src/59737791" TargetMode="External"/><Relationship Id="rId14" Type="http://schemas.openxmlformats.org/officeDocument/2006/relationships/hyperlink" Target="https://www.daloopa.com/src/58810742" TargetMode="External"/><Relationship Id="rId2289" Type="http://schemas.openxmlformats.org/officeDocument/2006/relationships/hyperlink" Target="https://www.daloopa.com/src/59153029" TargetMode="External"/><Relationship Id="rId2496" Type="http://schemas.openxmlformats.org/officeDocument/2006/relationships/hyperlink" Target="https://www.daloopa.com/src/58988180" TargetMode="External"/><Relationship Id="rId468" Type="http://schemas.openxmlformats.org/officeDocument/2006/relationships/hyperlink" Target="https://www.daloopa.com/src/58815150" TargetMode="External"/><Relationship Id="rId675" Type="http://schemas.openxmlformats.org/officeDocument/2006/relationships/hyperlink" Target="https://www.daloopa.com/src/58815483" TargetMode="External"/><Relationship Id="rId882" Type="http://schemas.openxmlformats.org/officeDocument/2006/relationships/hyperlink" Target="https://marketplace.daloopa.com/text-fundamental?id=58930187&amp;value=11524&amp;" TargetMode="External"/><Relationship Id="rId1098" Type="http://schemas.openxmlformats.org/officeDocument/2006/relationships/hyperlink" Target="https://www.daloopa.com/src/58815813" TargetMode="External"/><Relationship Id="rId2149" Type="http://schemas.openxmlformats.org/officeDocument/2006/relationships/hyperlink" Target="https://www.daloopa.com/src/58874721" TargetMode="External"/><Relationship Id="rId2356" Type="http://schemas.openxmlformats.org/officeDocument/2006/relationships/hyperlink" Target="https://www.daloopa.com/src/58979978" TargetMode="External"/><Relationship Id="rId2563" Type="http://schemas.openxmlformats.org/officeDocument/2006/relationships/hyperlink" Target="https://www.daloopa.com/src/58988246" TargetMode="External"/><Relationship Id="rId2770" Type="http://schemas.openxmlformats.org/officeDocument/2006/relationships/hyperlink" Target="https://www.daloopa.com/src/59005355" TargetMode="External"/><Relationship Id="rId328" Type="http://schemas.openxmlformats.org/officeDocument/2006/relationships/hyperlink" Target="https://www.daloopa.com/src/58873650" TargetMode="External"/><Relationship Id="rId535" Type="http://schemas.openxmlformats.org/officeDocument/2006/relationships/hyperlink" Target="https://marketplace.daloopa.com/text-fundamental?id=58881592&amp;value=0.23&amp;id=58873633&amp;value=-0.13&amp;id=58873664&amp;value=-0.03&amp;id=58873708&amp;value=-0.05&amp;id=58881267&amp;value=-0.37&amp;id=58864800&amp;value=-0.15&amp;id=58815468&amp;value=0.03&amp;id=58815152&amp;value=0.11&amp;id=58804860&amp;value=0.1&amp;id=58815176&amp;value=0.11&amp;id=58800408&amp;value=0.09&amp;id=59368449&amp;value=0.09&amp;" TargetMode="External"/><Relationship Id="rId742" Type="http://schemas.openxmlformats.org/officeDocument/2006/relationships/hyperlink" Target="https://www.daloopa.com/src/59368474" TargetMode="External"/><Relationship Id="rId1165" Type="http://schemas.openxmlformats.org/officeDocument/2006/relationships/hyperlink" Target="https://marketplace.daloopa.com/text-fundamental?id=58933605&amp;value=-659&amp;id=59379376&amp;value=-659&amp;id=58934063&amp;value=-1312&amp;id=58930726&amp;value=678&amp;id=58930823&amp;value=151&amp;id=58930910&amp;value=404&amp;id=59379377&amp;value=-79&amp;id=58865896&amp;value=2051&amp;id=58815865&amp;value=-1145&amp;id=58815837&amp;value=-650&amp;id=58815806&amp;value=1053&amp;id=59379378&amp;value=1309&amp;id=58800691&amp;value=1442&amp;id=59368496&amp;value=-1288&amp;" TargetMode="External"/><Relationship Id="rId1372" Type="http://schemas.openxmlformats.org/officeDocument/2006/relationships/hyperlink" Target="https://www.daloopa.com/src/58815969" TargetMode="External"/><Relationship Id="rId2009" Type="http://schemas.openxmlformats.org/officeDocument/2006/relationships/hyperlink" Target="https://marketplace.daloopa.com/text-fundamental?id=59695628&amp;value=3976&amp;" TargetMode="External"/><Relationship Id="rId2216" Type="http://schemas.openxmlformats.org/officeDocument/2006/relationships/hyperlink" Target="https://www.daloopa.com/src/58944659" TargetMode="External"/><Relationship Id="rId2423" Type="http://schemas.openxmlformats.org/officeDocument/2006/relationships/hyperlink" Target="https://www.daloopa.com/src/58985428" TargetMode="External"/><Relationship Id="rId2630" Type="http://schemas.openxmlformats.org/officeDocument/2006/relationships/hyperlink" Target="https://www.daloopa.com/src/58990174" TargetMode="External"/><Relationship Id="rId602" Type="http://schemas.openxmlformats.org/officeDocument/2006/relationships/hyperlink" Target="https://www.daloopa.com/src/58881557" TargetMode="External"/><Relationship Id="rId1025" Type="http://schemas.openxmlformats.org/officeDocument/2006/relationships/hyperlink" Target="https://www.daloopa.com/src/58815831" TargetMode="External"/><Relationship Id="rId1232" Type="http://schemas.openxmlformats.org/officeDocument/2006/relationships/hyperlink" Target="https://www.daloopa.com/src/58815905" TargetMode="External"/><Relationship Id="rId185" Type="http://schemas.openxmlformats.org/officeDocument/2006/relationships/hyperlink" Target="https://marketplace.daloopa.com/text-fundamental?id=59080201&amp;value=8.8&amp;" TargetMode="External"/><Relationship Id="rId1909" Type="http://schemas.openxmlformats.org/officeDocument/2006/relationships/hyperlink" Target="https://www.daloopa.com/src/58935511" TargetMode="External"/><Relationship Id="rId392" Type="http://schemas.openxmlformats.org/officeDocument/2006/relationships/hyperlink" Target="https://www.daloopa.com/src/59368446" TargetMode="External"/><Relationship Id="rId2073" Type="http://schemas.openxmlformats.org/officeDocument/2006/relationships/hyperlink" Target="https://www.daloopa.com/src/58809918" TargetMode="External"/><Relationship Id="rId2280" Type="http://schemas.openxmlformats.org/officeDocument/2006/relationships/hyperlink" Target="https://www.daloopa.com/src/59075589" TargetMode="External"/><Relationship Id="rId252" Type="http://schemas.openxmlformats.org/officeDocument/2006/relationships/hyperlink" Target="https://www.daloopa.com/src/58947475" TargetMode="External"/><Relationship Id="rId2140" Type="http://schemas.openxmlformats.org/officeDocument/2006/relationships/hyperlink" Target="https://www.daloopa.com/src/59368548" TargetMode="External"/><Relationship Id="rId112" Type="http://schemas.openxmlformats.org/officeDocument/2006/relationships/hyperlink" Target="https://www.daloopa.com/src/59069523" TargetMode="External"/><Relationship Id="rId1699" Type="http://schemas.openxmlformats.org/officeDocument/2006/relationships/hyperlink" Target="https://www.daloopa.com/src/58809479" TargetMode="External"/><Relationship Id="rId2000" Type="http://schemas.openxmlformats.org/officeDocument/2006/relationships/hyperlink" Target="https://www.daloopa.com/src/59695634" TargetMode="External"/><Relationship Id="rId929" Type="http://schemas.openxmlformats.org/officeDocument/2006/relationships/hyperlink" Target="https://www.daloopa.com/src/58815838" TargetMode="External"/><Relationship Id="rId1559" Type="http://schemas.openxmlformats.org/officeDocument/2006/relationships/hyperlink" Target="https://www.daloopa.com/src/58932442" TargetMode="External"/><Relationship Id="rId1766" Type="http://schemas.openxmlformats.org/officeDocument/2006/relationships/hyperlink" Target="https://www.daloopa.com/src/59368526" TargetMode="External"/><Relationship Id="rId1973" Type="http://schemas.openxmlformats.org/officeDocument/2006/relationships/hyperlink" Target="https://www.daloopa.com/src/58816113" TargetMode="External"/><Relationship Id="rId2817" Type="http://schemas.openxmlformats.org/officeDocument/2006/relationships/hyperlink" Target="https://www.daloopa.com/src/58978973" TargetMode="External"/><Relationship Id="rId58" Type="http://schemas.openxmlformats.org/officeDocument/2006/relationships/hyperlink" Target="https://www.daloopa.com/src/59368561" TargetMode="External"/><Relationship Id="rId1419" Type="http://schemas.openxmlformats.org/officeDocument/2006/relationships/hyperlink" Target="https://www.daloopa.com/src/59379423" TargetMode="External"/><Relationship Id="rId1626" Type="http://schemas.openxmlformats.org/officeDocument/2006/relationships/hyperlink" Target="https://www.daloopa.com/src/58934462" TargetMode="External"/><Relationship Id="rId1833" Type="http://schemas.openxmlformats.org/officeDocument/2006/relationships/hyperlink" Target="https://www.daloopa.com/src/58936789" TargetMode="External"/><Relationship Id="rId1900" Type="http://schemas.openxmlformats.org/officeDocument/2006/relationships/hyperlink" Target="https://www.daloopa.com/src/59368543" TargetMode="External"/><Relationship Id="rId579" Type="http://schemas.openxmlformats.org/officeDocument/2006/relationships/hyperlink" Target="https://www.daloopa.com/src/58873693" TargetMode="External"/><Relationship Id="rId786" Type="http://schemas.openxmlformats.org/officeDocument/2006/relationships/hyperlink" Target="https://www.daloopa.com/src/58805329" TargetMode="External"/><Relationship Id="rId993" Type="http://schemas.openxmlformats.org/officeDocument/2006/relationships/hyperlink" Target="https://www.daloopa.com/src/58865905" TargetMode="External"/><Relationship Id="rId2467" Type="http://schemas.openxmlformats.org/officeDocument/2006/relationships/hyperlink" Target="https://www.daloopa.com/src/58987995" TargetMode="External"/><Relationship Id="rId2674" Type="http://schemas.openxmlformats.org/officeDocument/2006/relationships/hyperlink" Target="https://www.daloopa.com/src/58990258" TargetMode="External"/><Relationship Id="rId439" Type="http://schemas.openxmlformats.org/officeDocument/2006/relationships/hyperlink" Target="https://marketplace.daloopa.com/text-fundamental?id=58882222&amp;value=4098&amp;id=58882142&amp;value=12904&amp;id=58881413&amp;value=13759&amp;id=58881390&amp;value=10387&amp;id=58881588&amp;value=41148&amp;id=59581284&amp;value=-26734&amp;id=58873623&amp;value=-19865&amp;id=58873661&amp;value=-6341&amp;id=58873702&amp;value=-5907&amp;id=58881256&amp;value=-58847&amp;id=58864790&amp;value=-23824&amp;id=58815455&amp;value=6833&amp;id=58815143&amp;value=19682&amp;id=58804864&amp;value=22222&amp;id=58815185&amp;value=24913&amp;id=58800400&amp;value=17948&amp;id=59368442&amp;value=19668&amp;" TargetMode="External"/><Relationship Id="rId646" Type="http://schemas.openxmlformats.org/officeDocument/2006/relationships/hyperlink" Target="https://www.daloopa.com/src/58815489" TargetMode="External"/><Relationship Id="rId1069" Type="http://schemas.openxmlformats.org/officeDocument/2006/relationships/hyperlink" Target="https://www.daloopa.com/src/58815816" TargetMode="External"/><Relationship Id="rId1276" Type="http://schemas.openxmlformats.org/officeDocument/2006/relationships/hyperlink" Target="https://www.daloopa.com/src/58815956" TargetMode="External"/><Relationship Id="rId1483" Type="http://schemas.openxmlformats.org/officeDocument/2006/relationships/hyperlink" Target="https://www.daloopa.com/src/58934131" TargetMode="External"/><Relationship Id="rId2327" Type="http://schemas.openxmlformats.org/officeDocument/2006/relationships/hyperlink" Target="https://www.daloopa.com/src/59372019" TargetMode="External"/><Relationship Id="rId2881" Type="http://schemas.openxmlformats.org/officeDocument/2006/relationships/hyperlink" Target="https://marketplace.daloopa.com/text-fundamental?id=59085416&amp;value=0.8&amp;id=59085329&amp;value=1.1&amp;id=59085462&amp;value=4.4&amp;id=59085263&amp;value=1.2&amp;id=59373950&amp;value=1.5&amp;" TargetMode="External"/><Relationship Id="rId506" Type="http://schemas.openxmlformats.org/officeDocument/2006/relationships/hyperlink" Target="https://www.daloopa.com/src/58815181" TargetMode="External"/><Relationship Id="rId853" Type="http://schemas.openxmlformats.org/officeDocument/2006/relationships/hyperlink" Target="https://www.daloopa.com/src/58930186" TargetMode="External"/><Relationship Id="rId1136" Type="http://schemas.openxmlformats.org/officeDocument/2006/relationships/hyperlink" Target="https://www.daloopa.com/src/58930829" TargetMode="External"/><Relationship Id="rId1690" Type="http://schemas.openxmlformats.org/officeDocument/2006/relationships/hyperlink" Target="https://www.daloopa.com/src/58936281" TargetMode="External"/><Relationship Id="rId2534" Type="http://schemas.openxmlformats.org/officeDocument/2006/relationships/hyperlink" Target="https://www.daloopa.com/src/58988222" TargetMode="External"/><Relationship Id="rId2741" Type="http://schemas.openxmlformats.org/officeDocument/2006/relationships/hyperlink" Target="https://www.daloopa.com/src/59004908" TargetMode="External"/><Relationship Id="rId713" Type="http://schemas.openxmlformats.org/officeDocument/2006/relationships/hyperlink" Target="https://www.daloopa.com/src/58805143" TargetMode="External"/><Relationship Id="rId920" Type="http://schemas.openxmlformats.org/officeDocument/2006/relationships/hyperlink" Target="https://www.daloopa.com/src/59368475" TargetMode="External"/><Relationship Id="rId1343" Type="http://schemas.openxmlformats.org/officeDocument/2006/relationships/hyperlink" Target="https://www.daloopa.com/src/58933751" TargetMode="External"/><Relationship Id="rId1550" Type="http://schemas.openxmlformats.org/officeDocument/2006/relationships/hyperlink" Target="https://marketplace.daloopa.com/text-fundamental?id=58932430&amp;value=-102&amp;" TargetMode="External"/><Relationship Id="rId2601" Type="http://schemas.openxmlformats.org/officeDocument/2006/relationships/hyperlink" Target="https://marketplace.daloopa.com/text-fundamental?id=58988362&amp;value=58&amp;id=59372880&amp;value=55&amp;" TargetMode="External"/><Relationship Id="rId1203" Type="http://schemas.openxmlformats.org/officeDocument/2006/relationships/hyperlink" Target="https://www.daloopa.com/src/58930960" TargetMode="External"/><Relationship Id="rId1410" Type="http://schemas.openxmlformats.org/officeDocument/2006/relationships/hyperlink" Target="https://www.daloopa.com/src/58931070" TargetMode="External"/><Relationship Id="rId296" Type="http://schemas.openxmlformats.org/officeDocument/2006/relationships/hyperlink" Target="https://www.daloopa.com/src/58815172" TargetMode="External"/><Relationship Id="rId2184" Type="http://schemas.openxmlformats.org/officeDocument/2006/relationships/hyperlink" Target="https://www.daloopa.com/src/58941036" TargetMode="External"/><Relationship Id="rId2391" Type="http://schemas.openxmlformats.org/officeDocument/2006/relationships/hyperlink" Target="https://www.daloopa.com/src/58985447" TargetMode="External"/><Relationship Id="rId156" Type="http://schemas.openxmlformats.org/officeDocument/2006/relationships/hyperlink" Target="https://www.daloopa.com/src/59073102" TargetMode="External"/><Relationship Id="rId363" Type="http://schemas.openxmlformats.org/officeDocument/2006/relationships/hyperlink" Target="https://www.daloopa.com/src/58815452" TargetMode="External"/><Relationship Id="rId570" Type="http://schemas.openxmlformats.org/officeDocument/2006/relationships/hyperlink" Target="https://www.daloopa.com/src/58800416" TargetMode="External"/><Relationship Id="rId2044" Type="http://schemas.openxmlformats.org/officeDocument/2006/relationships/hyperlink" Target="https://www.daloopa.com/src/58816132" TargetMode="External"/><Relationship Id="rId2251" Type="http://schemas.openxmlformats.org/officeDocument/2006/relationships/hyperlink" Target="https://www.daloopa.com/src/58944817" TargetMode="External"/><Relationship Id="rId223" Type="http://schemas.openxmlformats.org/officeDocument/2006/relationships/hyperlink" Target="https://www.daloopa.com/src/59379438" TargetMode="External"/><Relationship Id="rId430" Type="http://schemas.openxmlformats.org/officeDocument/2006/relationships/hyperlink" Target="https://www.daloopa.com/src/58864798" TargetMode="External"/><Relationship Id="rId1060" Type="http://schemas.openxmlformats.org/officeDocument/2006/relationships/hyperlink" Target="https://marketplace.daloopa.com/text-fundamental?id=58933602&amp;value=-10964&amp;id=59379355&amp;value=-10964&amp;id=58934065&amp;value=-4782&amp;id=58930736&amp;value=11840&amp;id=58930836&amp;value=-27721&amp;id=58930912&amp;value=-7878&amp;id=59379356&amp;value=-28541&amp;id=58865893&amp;value=6963&amp;id=58815874&amp;value=-23858&amp;id=58815840&amp;value=-18920&amp;id=58815816&amp;value=-5027&amp;id=59379357&amp;value=-40842&amp;id=58800676&amp;value=8862&amp;id=59368503&amp;value=2337&amp;" TargetMode="External"/><Relationship Id="rId2111" Type="http://schemas.openxmlformats.org/officeDocument/2006/relationships/hyperlink" Target="https://www.daloopa.com/src/58935563" TargetMode="External"/><Relationship Id="rId1877" Type="http://schemas.openxmlformats.org/officeDocument/2006/relationships/hyperlink" Target="https://www.daloopa.com/src/58874699" TargetMode="External"/><Relationship Id="rId2928" Type="http://schemas.openxmlformats.org/officeDocument/2006/relationships/comments" Target="../comments13.xml"/><Relationship Id="rId1737" Type="http://schemas.openxmlformats.org/officeDocument/2006/relationships/hyperlink" Target="https://www.daloopa.com/src/59736870" TargetMode="External"/><Relationship Id="rId1944" Type="http://schemas.openxmlformats.org/officeDocument/2006/relationships/hyperlink" Target="https://www.daloopa.com/src/58809715" TargetMode="External"/><Relationship Id="rId29" Type="http://schemas.openxmlformats.org/officeDocument/2006/relationships/hyperlink" Target="https://marketplace.daloopa.com/text-fundamental?id=58816168&amp;value=190&amp;id=58816176&amp;value=211&amp;id=58810747&amp;value=257&amp;id=58804639&amp;value=259&amp;id=59368563&amp;value=259&amp;" TargetMode="External"/><Relationship Id="rId1804" Type="http://schemas.openxmlformats.org/officeDocument/2006/relationships/hyperlink" Target="https://www.daloopa.com/src/58935525" TargetMode="External"/><Relationship Id="rId897" Type="http://schemas.openxmlformats.org/officeDocument/2006/relationships/hyperlink" Target="https://www.daloopa.com/src/58815544" TargetMode="External"/><Relationship Id="rId2578" Type="http://schemas.openxmlformats.org/officeDocument/2006/relationships/hyperlink" Target="https://marketplace.daloopa.com/text-fundamental?id=58988234&amp;value=0.21&amp;" TargetMode="External"/><Relationship Id="rId2785" Type="http://schemas.openxmlformats.org/officeDocument/2006/relationships/hyperlink" Target="https://www.daloopa.com/src/59006506" TargetMode="External"/><Relationship Id="rId757" Type="http://schemas.openxmlformats.org/officeDocument/2006/relationships/hyperlink" Target="https://www.daloopa.com/src/58815485" TargetMode="External"/><Relationship Id="rId964" Type="http://schemas.openxmlformats.org/officeDocument/2006/relationships/hyperlink" Target="https://www.daloopa.com/src/58815862" TargetMode="External"/><Relationship Id="rId1387" Type="http://schemas.openxmlformats.org/officeDocument/2006/relationships/hyperlink" Target="https://www.daloopa.com/src/59368518" TargetMode="External"/><Relationship Id="rId1594" Type="http://schemas.openxmlformats.org/officeDocument/2006/relationships/hyperlink" Target="https://www.daloopa.com/src/58816058" TargetMode="External"/><Relationship Id="rId2438" Type="http://schemas.openxmlformats.org/officeDocument/2006/relationships/hyperlink" Target="https://www.daloopa.com/src/58985457" TargetMode="External"/><Relationship Id="rId2645" Type="http://schemas.openxmlformats.org/officeDocument/2006/relationships/hyperlink" Target="https://www.daloopa.com/src/58990048" TargetMode="External"/><Relationship Id="rId2852" Type="http://schemas.openxmlformats.org/officeDocument/2006/relationships/hyperlink" Target="https://www.daloopa.com/src/59084398" TargetMode="External"/><Relationship Id="rId93" Type="http://schemas.openxmlformats.org/officeDocument/2006/relationships/hyperlink" Target="https://www.daloopa.com/src/59068034" TargetMode="External"/><Relationship Id="rId617" Type="http://schemas.openxmlformats.org/officeDocument/2006/relationships/hyperlink" Target="https://marketplace.daloopa.com/text-fundamental?id=58881569&amp;value=-36530&amp;" TargetMode="External"/><Relationship Id="rId824" Type="http://schemas.openxmlformats.org/officeDocument/2006/relationships/hyperlink" Target="https://www.daloopa.com/src/58873787" TargetMode="External"/><Relationship Id="rId1247" Type="http://schemas.openxmlformats.org/officeDocument/2006/relationships/hyperlink" Target="https://www.daloopa.com/src/58815906" TargetMode="External"/><Relationship Id="rId1454" Type="http://schemas.openxmlformats.org/officeDocument/2006/relationships/hyperlink" Target="https://www.daloopa.com/src/58815992" TargetMode="External"/><Relationship Id="rId1661" Type="http://schemas.openxmlformats.org/officeDocument/2006/relationships/hyperlink" Target="https://www.daloopa.com/src/58936280" TargetMode="External"/><Relationship Id="rId2505" Type="http://schemas.openxmlformats.org/officeDocument/2006/relationships/hyperlink" Target="https://www.daloopa.com/src/58988177" TargetMode="External"/><Relationship Id="rId2712" Type="http://schemas.openxmlformats.org/officeDocument/2006/relationships/hyperlink" Target="https://www.daloopa.com/src/59372605" TargetMode="External"/><Relationship Id="rId1107" Type="http://schemas.openxmlformats.org/officeDocument/2006/relationships/hyperlink" Target="https://www.daloopa.com/src/58930922" TargetMode="External"/><Relationship Id="rId1314" Type="http://schemas.openxmlformats.org/officeDocument/2006/relationships/hyperlink" Target="https://marketplace.daloopa.com/text-fundamental?id=58934115&amp;value=-782&amp;id=58931053&amp;value=-3305&amp;id=58931065&amp;value=0&amp;id=58931086&amp;value=-1747&amp;id=59379405&amp;value=-5834&amp;" TargetMode="External"/><Relationship Id="rId1521" Type="http://schemas.openxmlformats.org/officeDocument/2006/relationships/hyperlink" Target="https://www.daloopa.com/src/58932334" TargetMode="External"/><Relationship Id="rId20" Type="http://schemas.openxmlformats.org/officeDocument/2006/relationships/hyperlink" Target="https://www.daloopa.com/src/58810746" TargetMode="External"/><Relationship Id="rId2088" Type="http://schemas.openxmlformats.org/officeDocument/2006/relationships/hyperlink" Target="https://www.daloopa.com/src/58804539" TargetMode="External"/><Relationship Id="rId2295" Type="http://schemas.openxmlformats.org/officeDocument/2006/relationships/hyperlink" Target="https://www.daloopa.com/src/59379451" TargetMode="External"/><Relationship Id="rId267" Type="http://schemas.openxmlformats.org/officeDocument/2006/relationships/hyperlink" Target="https://marketplace.daloopa.com/text-fundamental?id=58976352&amp;value=8622&amp;id=58976227&amp;value=217826&amp;id=58976226&amp;value=199459&amp;id=58975969&amp;value=206315&amp;id=59372938&amp;value=195060&amp;" TargetMode="External"/><Relationship Id="rId474" Type="http://schemas.openxmlformats.org/officeDocument/2006/relationships/hyperlink" Target="https://www.daloopa.com/src/58815184" TargetMode="External"/><Relationship Id="rId2155" Type="http://schemas.openxmlformats.org/officeDocument/2006/relationships/hyperlink" Target="https://www.daloopa.com/src/58940290" TargetMode="External"/><Relationship Id="rId127" Type="http://schemas.openxmlformats.org/officeDocument/2006/relationships/hyperlink" Target="https://www.daloopa.com/src/59730439" TargetMode="External"/><Relationship Id="rId681" Type="http://schemas.openxmlformats.org/officeDocument/2006/relationships/hyperlink" Target="https://www.daloopa.com/src/58930161" TargetMode="External"/><Relationship Id="rId2362" Type="http://schemas.openxmlformats.org/officeDocument/2006/relationships/hyperlink" Target="https://www.daloopa.com/src/58979779" TargetMode="External"/><Relationship Id="rId334" Type="http://schemas.openxmlformats.org/officeDocument/2006/relationships/hyperlink" Target="https://www.daloopa.com/src/58800411" TargetMode="External"/><Relationship Id="rId541" Type="http://schemas.openxmlformats.org/officeDocument/2006/relationships/hyperlink" Target="https://www.daloopa.com/src/58815152" TargetMode="External"/><Relationship Id="rId1171" Type="http://schemas.openxmlformats.org/officeDocument/2006/relationships/hyperlink" Target="https://www.daloopa.com/src/58865896" TargetMode="External"/><Relationship Id="rId2015" Type="http://schemas.openxmlformats.org/officeDocument/2006/relationships/hyperlink" Target="https://marketplace.daloopa.com/text-fundamental?id=59695631&amp;value=153&amp;" TargetMode="External"/><Relationship Id="rId2222" Type="http://schemas.openxmlformats.org/officeDocument/2006/relationships/hyperlink" Target="https://www.daloopa.com/src/59370353" TargetMode="External"/><Relationship Id="rId401" Type="http://schemas.openxmlformats.org/officeDocument/2006/relationships/hyperlink" Target="https://www.daloopa.com/src/58881596" TargetMode="External"/><Relationship Id="rId1031" Type="http://schemas.openxmlformats.org/officeDocument/2006/relationships/hyperlink" Target="https://www.daloopa.com/src/59379349" TargetMode="External"/><Relationship Id="rId1988" Type="http://schemas.openxmlformats.org/officeDocument/2006/relationships/hyperlink" Target="https://www.daloopa.com/src/58935513" TargetMode="External"/><Relationship Id="rId1848" Type="http://schemas.openxmlformats.org/officeDocument/2006/relationships/hyperlink" Target="https://www.daloopa.com/src/58935545" TargetMode="External"/><Relationship Id="rId191" Type="http://schemas.openxmlformats.org/officeDocument/2006/relationships/hyperlink" Target="https://www.daloopa.com/src/58946058" TargetMode="External"/><Relationship Id="rId1708" Type="http://schemas.openxmlformats.org/officeDocument/2006/relationships/hyperlink" Target="https://www.daloopa.com/src/58934404" TargetMode="External"/><Relationship Id="rId1915" Type="http://schemas.openxmlformats.org/officeDocument/2006/relationships/hyperlink" Target="https://www.daloopa.com/src/58802517" TargetMode="External"/><Relationship Id="rId2689" Type="http://schemas.openxmlformats.org/officeDocument/2006/relationships/hyperlink" Target="https://www.daloopa.com/src/59372592" TargetMode="External"/><Relationship Id="rId2896" Type="http://schemas.openxmlformats.org/officeDocument/2006/relationships/hyperlink" Target="https://www.daloopa.com/src/59092033" TargetMode="External"/><Relationship Id="rId868" Type="http://schemas.openxmlformats.org/officeDocument/2006/relationships/hyperlink" Target="https://www.daloopa.com/src/58800599" TargetMode="External"/><Relationship Id="rId1498" Type="http://schemas.openxmlformats.org/officeDocument/2006/relationships/hyperlink" Target="https://marketplace.daloopa.com/text-fundamental?id=58932348&amp;value=2105&amp;" TargetMode="External"/><Relationship Id="rId2549" Type="http://schemas.openxmlformats.org/officeDocument/2006/relationships/hyperlink" Target="https://www.daloopa.com/src/58988249" TargetMode="External"/><Relationship Id="rId2756" Type="http://schemas.openxmlformats.org/officeDocument/2006/relationships/hyperlink" Target="https://www.daloopa.com/src/59371640" TargetMode="External"/><Relationship Id="rId728" Type="http://schemas.openxmlformats.org/officeDocument/2006/relationships/hyperlink" Target="https://www.daloopa.com/src/58929983" TargetMode="External"/><Relationship Id="rId935" Type="http://schemas.openxmlformats.org/officeDocument/2006/relationships/hyperlink" Target="https://www.daloopa.com/src/59379330" TargetMode="External"/><Relationship Id="rId1358" Type="http://schemas.openxmlformats.org/officeDocument/2006/relationships/hyperlink" Target="https://www.daloopa.com/src/58815927" TargetMode="External"/><Relationship Id="rId1565" Type="http://schemas.openxmlformats.org/officeDocument/2006/relationships/hyperlink" Target="https://www.daloopa.com/src/58932445" TargetMode="External"/><Relationship Id="rId1772" Type="http://schemas.openxmlformats.org/officeDocument/2006/relationships/hyperlink" Target="https://marketplace.daloopa.com/text-fundamental?id=59695236&amp;value=4489&amp;" TargetMode="External"/><Relationship Id="rId2409" Type="http://schemas.openxmlformats.org/officeDocument/2006/relationships/hyperlink" Target="https://www.daloopa.com/src/58985452" TargetMode="External"/><Relationship Id="rId2616" Type="http://schemas.openxmlformats.org/officeDocument/2006/relationships/hyperlink" Target="https://www.daloopa.com/src/58988361" TargetMode="External"/><Relationship Id="rId64" Type="http://schemas.openxmlformats.org/officeDocument/2006/relationships/hyperlink" Target="https://marketplace.daloopa.com/text-fundamental?id=59066587&amp;value=75&amp;id=59066394&amp;value=93&amp;id=59066389&amp;value=93&amp;id=59374987&amp;value=93&amp;" TargetMode="External"/><Relationship Id="rId1218" Type="http://schemas.openxmlformats.org/officeDocument/2006/relationships/hyperlink" Target="https://www.daloopa.com/src/59379385" TargetMode="External"/><Relationship Id="rId1425" Type="http://schemas.openxmlformats.org/officeDocument/2006/relationships/hyperlink" Target="https://www.daloopa.com/src/58931071" TargetMode="External"/><Relationship Id="rId2823" Type="http://schemas.openxmlformats.org/officeDocument/2006/relationships/hyperlink" Target="https://www.daloopa.com/src/58978972" TargetMode="External"/><Relationship Id="rId1632" Type="http://schemas.openxmlformats.org/officeDocument/2006/relationships/hyperlink" Target="https://www.daloopa.com/src/58809364" TargetMode="External"/><Relationship Id="rId2199" Type="http://schemas.openxmlformats.org/officeDocument/2006/relationships/hyperlink" Target="https://marketplace.daloopa.com/text-fundamental?id=58941044&amp;value=0.01&amp;" TargetMode="External"/><Relationship Id="rId378" Type="http://schemas.openxmlformats.org/officeDocument/2006/relationships/hyperlink" Target="https://www.daloopa.com/src/58873660" TargetMode="External"/><Relationship Id="rId585" Type="http://schemas.openxmlformats.org/officeDocument/2006/relationships/hyperlink" Target="https://www.daloopa.com/src/59368451" TargetMode="External"/><Relationship Id="rId792" Type="http://schemas.openxmlformats.org/officeDocument/2006/relationships/hyperlink" Target="https://marketplace.daloopa.com/text-fundamental?id=58873790&amp;value=6700&amp;id=58930014&amp;value=7705&amp;" TargetMode="External"/><Relationship Id="rId2059" Type="http://schemas.openxmlformats.org/officeDocument/2006/relationships/hyperlink" Target="https://www.daloopa.com/src/58809912" TargetMode="External"/><Relationship Id="rId2266" Type="http://schemas.openxmlformats.org/officeDocument/2006/relationships/hyperlink" Target="https://www.daloopa.com/src/58944613" TargetMode="External"/><Relationship Id="rId2473" Type="http://schemas.openxmlformats.org/officeDocument/2006/relationships/hyperlink" Target="https://www.daloopa.com/src/58988048" TargetMode="External"/><Relationship Id="rId2680" Type="http://schemas.openxmlformats.org/officeDocument/2006/relationships/hyperlink" Target="https://www.daloopa.com/src/59372594" TargetMode="External"/><Relationship Id="rId238" Type="http://schemas.openxmlformats.org/officeDocument/2006/relationships/hyperlink" Target="https://www.daloopa.com/src/58947571" TargetMode="External"/><Relationship Id="rId445" Type="http://schemas.openxmlformats.org/officeDocument/2006/relationships/hyperlink" Target="https://www.daloopa.com/src/58873623" TargetMode="External"/><Relationship Id="rId652" Type="http://schemas.openxmlformats.org/officeDocument/2006/relationships/hyperlink" Target="https://www.daloopa.com/src/59756360" TargetMode="External"/><Relationship Id="rId1075" Type="http://schemas.openxmlformats.org/officeDocument/2006/relationships/hyperlink" Target="https://marketplace.daloopa.com/text-fundamental?id=58933599&amp;value=9901&amp;id=59379358&amp;value=9901&amp;id=58934071&amp;value=2983&amp;id=58930734&amp;value=1485&amp;id=58930827&amp;value=-4325&amp;id=58930915&amp;value=3418&amp;id=59379359&amp;value=3561&amp;id=58865895&amp;value=-6161&amp;id=58815861&amp;value=3507&amp;id=58815842&amp;value=-5965&amp;id=58815815&amp;value=3189&amp;id=59379360&amp;value=-5430&amp;id=58800677&amp;value=1151&amp;id=59368497&amp;value=-1113&amp;" TargetMode="External"/><Relationship Id="rId1282" Type="http://schemas.openxmlformats.org/officeDocument/2006/relationships/hyperlink" Target="https://www.daloopa.com/src/59379398" TargetMode="External"/><Relationship Id="rId2126" Type="http://schemas.openxmlformats.org/officeDocument/2006/relationships/hyperlink" Target="https://www.daloopa.com/src/58809910" TargetMode="External"/><Relationship Id="rId2333" Type="http://schemas.openxmlformats.org/officeDocument/2006/relationships/hyperlink" Target="https://www.daloopa.com/src/58979968" TargetMode="External"/><Relationship Id="rId2540" Type="http://schemas.openxmlformats.org/officeDocument/2006/relationships/hyperlink" Target="https://marketplace.daloopa.com/text-fundamental?id=58988251&amp;value=0.0128&amp;id=58988224&amp;value=-0.0014000000000000002&amp;id=58988213&amp;value=0.0325&amp;" TargetMode="External"/><Relationship Id="rId305" Type="http://schemas.openxmlformats.org/officeDocument/2006/relationships/hyperlink" Target="https://www.daloopa.com/src/58804871" TargetMode="External"/><Relationship Id="rId512" Type="http://schemas.openxmlformats.org/officeDocument/2006/relationships/hyperlink" Target="https://www.daloopa.com/src/58864788" TargetMode="External"/><Relationship Id="rId1142" Type="http://schemas.openxmlformats.org/officeDocument/2006/relationships/hyperlink" Target="https://www.daloopa.com/src/58800678" TargetMode="External"/><Relationship Id="rId2400" Type="http://schemas.openxmlformats.org/officeDocument/2006/relationships/hyperlink" Target="https://www.daloopa.com/src/58985432" TargetMode="External"/><Relationship Id="rId1002" Type="http://schemas.openxmlformats.org/officeDocument/2006/relationships/hyperlink" Target="https://marketplace.daloopa.com/text-fundamental?id=58933604&amp;value=1216&amp;id=59379344&amp;value=1216&amp;id=58934074&amp;value=281&amp;id=58930732&amp;value=520&amp;id=58930833&amp;value=530&amp;id=58930920&amp;value=545&amp;id=59379345&amp;value=1876&amp;id=58865908&amp;value=562&amp;id=58815863&amp;value=2664&amp;id=58815828&amp;value=1343&amp;id=58815811&amp;value=4961&amp;id=59379346&amp;value=9530&amp;id=58800682&amp;value=1859&amp;id=59368510&amp;value=1943&amp;" TargetMode="External"/><Relationship Id="rId1959" Type="http://schemas.openxmlformats.org/officeDocument/2006/relationships/hyperlink" Target="https://www.daloopa.com/src/59368540" TargetMode="External"/><Relationship Id="rId1819" Type="http://schemas.openxmlformats.org/officeDocument/2006/relationships/hyperlink" Target="https://www.daloopa.com/src/58936848" TargetMode="External"/><Relationship Id="rId2190" Type="http://schemas.openxmlformats.org/officeDocument/2006/relationships/hyperlink" Target="https://www.daloopa.com/src/58941039" TargetMode="External"/><Relationship Id="rId162" Type="http://schemas.openxmlformats.org/officeDocument/2006/relationships/hyperlink" Target="https://www.daloopa.com/src/59084281" TargetMode="External"/><Relationship Id="rId2050" Type="http://schemas.openxmlformats.org/officeDocument/2006/relationships/hyperlink" Target="https://www.daloopa.com/src/58810051" TargetMode="External"/><Relationship Id="rId979" Type="http://schemas.openxmlformats.org/officeDocument/2006/relationships/hyperlink" Target="https://www.daloopa.com/src/58815871" TargetMode="External"/><Relationship Id="rId839" Type="http://schemas.openxmlformats.org/officeDocument/2006/relationships/hyperlink" Target="https://www.daloopa.com/src/59368480" TargetMode="External"/><Relationship Id="rId1469" Type="http://schemas.openxmlformats.org/officeDocument/2006/relationships/hyperlink" Target="https://www.daloopa.com/src/58815993" TargetMode="External"/><Relationship Id="rId2867" Type="http://schemas.openxmlformats.org/officeDocument/2006/relationships/hyperlink" Target="https://www.daloopa.com/src/59084399" TargetMode="External"/><Relationship Id="rId1676" Type="http://schemas.openxmlformats.org/officeDocument/2006/relationships/hyperlink" Target="https://www.daloopa.com/src/58934465" TargetMode="External"/><Relationship Id="rId1883" Type="http://schemas.openxmlformats.org/officeDocument/2006/relationships/hyperlink" Target="https://www.daloopa.com/src/58936950" TargetMode="External"/><Relationship Id="rId2727" Type="http://schemas.openxmlformats.org/officeDocument/2006/relationships/hyperlink" Target="https://www.daloopa.com/src/59004623" TargetMode="External"/><Relationship Id="rId906" Type="http://schemas.openxmlformats.org/officeDocument/2006/relationships/hyperlink" Target="https://www.daloopa.com/src/58930019" TargetMode="External"/><Relationship Id="rId1329" Type="http://schemas.openxmlformats.org/officeDocument/2006/relationships/hyperlink" Target="https://www.daloopa.com/src/58931083" TargetMode="External"/><Relationship Id="rId1536" Type="http://schemas.openxmlformats.org/officeDocument/2006/relationships/hyperlink" Target="https://marketplace.daloopa.com/text-fundamental?id=58932379&amp;value=-929&amp;" TargetMode="External"/><Relationship Id="rId1743" Type="http://schemas.openxmlformats.org/officeDocument/2006/relationships/hyperlink" Target="https://www.daloopa.com/src/59736601" TargetMode="External"/><Relationship Id="rId1950" Type="http://schemas.openxmlformats.org/officeDocument/2006/relationships/hyperlink" Target="https://www.daloopa.com/src/58936844" TargetMode="External"/><Relationship Id="rId35" Type="http://schemas.openxmlformats.org/officeDocument/2006/relationships/hyperlink" Target="https://marketplace.daloopa.com/text-fundamental?id=58816164&amp;value=110&amp;id=58816172&amp;value=125&amp;id=58810744&amp;value=156&amp;id=58804633&amp;value=157&amp;id=59368558&amp;value=158&amp;" TargetMode="External"/><Relationship Id="rId1603" Type="http://schemas.openxmlformats.org/officeDocument/2006/relationships/hyperlink" Target="https://www.daloopa.com/src/58936247" TargetMode="External"/><Relationship Id="rId1810" Type="http://schemas.openxmlformats.org/officeDocument/2006/relationships/hyperlink" Target="https://www.daloopa.com/src/59368536" TargetMode="External"/><Relationship Id="rId489" Type="http://schemas.openxmlformats.org/officeDocument/2006/relationships/hyperlink" Target="https://www.daloopa.com/src/59368460" TargetMode="External"/><Relationship Id="rId696" Type="http://schemas.openxmlformats.org/officeDocument/2006/relationships/hyperlink" Target="https://www.daloopa.com/src/58800554" TargetMode="External"/><Relationship Id="rId2377" Type="http://schemas.openxmlformats.org/officeDocument/2006/relationships/hyperlink" Target="https://marketplace.daloopa.com/text-fundamental?id=58987742&amp;value=9754&amp;id=58985446&amp;value=9200&amp;id=58985419&amp;value=8172&amp;" TargetMode="External"/><Relationship Id="rId2584" Type="http://schemas.openxmlformats.org/officeDocument/2006/relationships/hyperlink" Target="https://marketplace.daloopa.com/text-fundamental?id=58988236&amp;value=-0.12369999999999999&amp;" TargetMode="External"/><Relationship Id="rId2791" Type="http://schemas.openxmlformats.org/officeDocument/2006/relationships/hyperlink" Target="https://www.daloopa.com/src/59006420" TargetMode="External"/><Relationship Id="rId349" Type="http://schemas.openxmlformats.org/officeDocument/2006/relationships/hyperlink" Target="https://www.daloopa.com/src/59368443" TargetMode="External"/><Relationship Id="rId556" Type="http://schemas.openxmlformats.org/officeDocument/2006/relationships/hyperlink" Target="https://www.daloopa.com/src/58804861" TargetMode="External"/><Relationship Id="rId763" Type="http://schemas.openxmlformats.org/officeDocument/2006/relationships/hyperlink" Target="https://www.daloopa.com/src/58930195" TargetMode="External"/><Relationship Id="rId1186" Type="http://schemas.openxmlformats.org/officeDocument/2006/relationships/hyperlink" Target="https://www.daloopa.com/src/58930724" TargetMode="External"/><Relationship Id="rId1393" Type="http://schemas.openxmlformats.org/officeDocument/2006/relationships/hyperlink" Target="https://www.daloopa.com/src/58934113" TargetMode="External"/><Relationship Id="rId2237" Type="http://schemas.openxmlformats.org/officeDocument/2006/relationships/hyperlink" Target="https://www.daloopa.com/src/58944625" TargetMode="External"/><Relationship Id="rId2444" Type="http://schemas.openxmlformats.org/officeDocument/2006/relationships/hyperlink" Target="https://marketplace.daloopa.com/text-fundamental?id=59066129&amp;value=175488&amp;id=59008891&amp;value=197607&amp;id=59008887&amp;value=120130&amp;" TargetMode="External"/><Relationship Id="rId209" Type="http://schemas.openxmlformats.org/officeDocument/2006/relationships/hyperlink" Target="https://www.daloopa.com/src/58947570" TargetMode="External"/><Relationship Id="rId416" Type="http://schemas.openxmlformats.org/officeDocument/2006/relationships/hyperlink" Target="https://www.daloopa.com/src/59581271" TargetMode="External"/><Relationship Id="rId970" Type="http://schemas.openxmlformats.org/officeDocument/2006/relationships/hyperlink" Target="https://www.daloopa.com/src/59379336" TargetMode="External"/><Relationship Id="rId1046" Type="http://schemas.openxmlformats.org/officeDocument/2006/relationships/hyperlink" Target="https://www.daloopa.com/src/59379352" TargetMode="External"/><Relationship Id="rId1253" Type="http://schemas.openxmlformats.org/officeDocument/2006/relationships/hyperlink" Target="https://marketplace.daloopa.com/text-fundamental?id=58933719&amp;value=-17789&amp;id=59379393&amp;value=-17789&amp;id=58934088&amp;value=-1861&amp;id=58931035&amp;value=-4622&amp;id=58930979&amp;value=-4315&amp;id=58930958&amp;value=-4771&amp;id=59379394&amp;value=-15569&amp;id=58865925&amp;value=-12127&amp;id=58815875&amp;value=-6876&amp;id=58815891&amp;value=-5989&amp;id=58815907&amp;value=-47435&amp;id=59379395&amp;value=-72427&amp;id=58800714&amp;value=-26472&amp;id=59368513&amp;value=-7891&amp;" TargetMode="External"/><Relationship Id="rId2651" Type="http://schemas.openxmlformats.org/officeDocument/2006/relationships/hyperlink" Target="https://www.daloopa.com/src/59372553" TargetMode="External"/><Relationship Id="rId623" Type="http://schemas.openxmlformats.org/officeDocument/2006/relationships/hyperlink" Target="https://marketplace.daloopa.com/text-fundamental?id=58881575&amp;value=-36530&amp;" TargetMode="External"/><Relationship Id="rId830" Type="http://schemas.openxmlformats.org/officeDocument/2006/relationships/hyperlink" Target="https://www.daloopa.com/src/59368481" TargetMode="External"/><Relationship Id="rId1460" Type="http://schemas.openxmlformats.org/officeDocument/2006/relationships/hyperlink" Target="https://marketplace.daloopa.com/text-fundamental?id=58933758&amp;value=55784&amp;id=59379428&amp;value=55784&amp;id=58934129&amp;value=8234&amp;id=58931104&amp;value=11760&amp;id=58931100&amp;value=11664&amp;id=58931096&amp;value=9487&amp;id=59379429&amp;value=41145&amp;id=58865868&amp;value=7153&amp;id=58816038&amp;value=6568&amp;id=58816033&amp;value=4641&amp;id=58815993&amp;value=4667&amp;id=59379430&amp;value=23029&amp;id=58816027&amp;value=4774&amp;id=59368566&amp;value=5417&amp;" TargetMode="External"/><Relationship Id="rId2304" Type="http://schemas.openxmlformats.org/officeDocument/2006/relationships/hyperlink" Target="https://www.daloopa.com/src/59151429" TargetMode="External"/><Relationship Id="rId2511" Type="http://schemas.openxmlformats.org/officeDocument/2006/relationships/hyperlink" Target="https://www.daloopa.com/src/58988194" TargetMode="External"/><Relationship Id="rId1113" Type="http://schemas.openxmlformats.org/officeDocument/2006/relationships/hyperlink" Target="https://www.daloopa.com/src/59368509" TargetMode="External"/><Relationship Id="rId1320" Type="http://schemas.openxmlformats.org/officeDocument/2006/relationships/hyperlink" Target="https://marketplace.daloopa.com/text-fundamental?id=58934107&amp;value=25000&amp;id=58931048&amp;value=0&amp;id=58931067&amp;value=0&amp;id=58931082&amp;value=0&amp;id=59379406&amp;value=25000&amp;" TargetMode="External"/><Relationship Id="rId2094" Type="http://schemas.openxmlformats.org/officeDocument/2006/relationships/hyperlink" Target="https://www.daloopa.com/src/59751938" TargetMode="External"/><Relationship Id="rId273" Type="http://schemas.openxmlformats.org/officeDocument/2006/relationships/hyperlink" Target="https://marketplace.daloopa.com/text-fundamental?id=58976353&amp;value=356478&amp;id=58976228&amp;value=1483826&amp;id=58976224&amp;value=1412552&amp;id=58975967&amp;value=1418196&amp;id=59372939&amp;value=1382032&amp;" TargetMode="External"/><Relationship Id="rId480" Type="http://schemas.openxmlformats.org/officeDocument/2006/relationships/hyperlink" Target="https://www.daloopa.com/src/59581274" TargetMode="External"/><Relationship Id="rId2161" Type="http://schemas.openxmlformats.org/officeDocument/2006/relationships/hyperlink" Target="https://www.daloopa.com/src/58935558" TargetMode="External"/><Relationship Id="rId133" Type="http://schemas.openxmlformats.org/officeDocument/2006/relationships/hyperlink" Target="https://www.daloopa.com/src/59375022" TargetMode="External"/><Relationship Id="rId340" Type="http://schemas.openxmlformats.org/officeDocument/2006/relationships/hyperlink" Target="https://www.daloopa.com/src/59581282" TargetMode="External"/><Relationship Id="rId2021" Type="http://schemas.openxmlformats.org/officeDocument/2006/relationships/hyperlink" Target="https://marketplace.daloopa.com/text-fundamental?id=59695626&amp;value=1371&amp;" TargetMode="External"/><Relationship Id="rId200" Type="http://schemas.openxmlformats.org/officeDocument/2006/relationships/hyperlink" Target="https://www.daloopa.com/src/58977059" TargetMode="External"/><Relationship Id="rId1787" Type="http://schemas.openxmlformats.org/officeDocument/2006/relationships/hyperlink" Target="https://www.daloopa.com/src/59695228" TargetMode="External"/><Relationship Id="rId1994" Type="http://schemas.openxmlformats.org/officeDocument/2006/relationships/hyperlink" Target="https://www.daloopa.com/src/58802509" TargetMode="External"/><Relationship Id="rId2838" Type="http://schemas.openxmlformats.org/officeDocument/2006/relationships/hyperlink" Target="https://www.daloopa.com/src/58978509" TargetMode="External"/><Relationship Id="rId79" Type="http://schemas.openxmlformats.org/officeDocument/2006/relationships/hyperlink" Target="https://www.daloopa.com/src/59374988" TargetMode="External"/><Relationship Id="rId1647" Type="http://schemas.openxmlformats.org/officeDocument/2006/relationships/hyperlink" Target="https://www.daloopa.com/src/58934467" TargetMode="External"/><Relationship Id="rId1854" Type="http://schemas.openxmlformats.org/officeDocument/2006/relationships/hyperlink" Target="https://www.daloopa.com/src/58936825" TargetMode="External"/><Relationship Id="rId2905" Type="http://schemas.openxmlformats.org/officeDocument/2006/relationships/hyperlink" Target="https://www.daloopa.com/src/59091249" TargetMode="External"/><Relationship Id="rId1507" Type="http://schemas.openxmlformats.org/officeDocument/2006/relationships/hyperlink" Target="https://www.daloopa.com/src/58932350" TargetMode="External"/><Relationship Id="rId1714" Type="http://schemas.openxmlformats.org/officeDocument/2006/relationships/hyperlink" Target="https://www.daloopa.com/src/59368529" TargetMode="External"/><Relationship Id="rId1921" Type="http://schemas.openxmlformats.org/officeDocument/2006/relationships/hyperlink" Target="https://www.daloopa.com/src/58935496" TargetMode="External"/><Relationship Id="rId2488" Type="http://schemas.openxmlformats.org/officeDocument/2006/relationships/hyperlink" Target="https://www.daloopa.com/src/58988128" TargetMode="External"/><Relationship Id="rId1297" Type="http://schemas.openxmlformats.org/officeDocument/2006/relationships/hyperlink" Target="https://www.daloopa.com/src/58815958" TargetMode="External"/><Relationship Id="rId2695" Type="http://schemas.openxmlformats.org/officeDocument/2006/relationships/hyperlink" Target="https://marketplace.daloopa.com/text-fundamental?id=58990265&amp;value=-1465&amp;id=59372590&amp;value=-1511&amp;" TargetMode="External"/><Relationship Id="rId667" Type="http://schemas.openxmlformats.org/officeDocument/2006/relationships/hyperlink" Target="https://www.daloopa.com/src/58815499" TargetMode="External"/><Relationship Id="rId874" Type="http://schemas.openxmlformats.org/officeDocument/2006/relationships/hyperlink" Target="https://www.daloopa.com/src/58815518" TargetMode="External"/><Relationship Id="rId2348" Type="http://schemas.openxmlformats.org/officeDocument/2006/relationships/hyperlink" Target="https://www.daloopa.com/src/58979965" TargetMode="External"/><Relationship Id="rId2555" Type="http://schemas.openxmlformats.org/officeDocument/2006/relationships/hyperlink" Target="https://marketplace.daloopa.com/text-fundamental?id=58988248&amp;value=0.004699999999999999&amp;id=58988228&amp;value=-0.004&amp;id=58988220&amp;value=0.0582&amp;" TargetMode="External"/><Relationship Id="rId2762" Type="http://schemas.openxmlformats.org/officeDocument/2006/relationships/hyperlink" Target="https://www.daloopa.com/src/59005299" TargetMode="External"/><Relationship Id="rId527" Type="http://schemas.openxmlformats.org/officeDocument/2006/relationships/hyperlink" Target="https://www.daloopa.com/src/58815466" TargetMode="External"/><Relationship Id="rId734" Type="http://schemas.openxmlformats.org/officeDocument/2006/relationships/hyperlink" Target="https://marketplace.daloopa.com/text-fundamental?id=58930150&amp;value=985&amp;id=58873733&amp;value=807&amp;id=58929970&amp;value=953&amp;id=58815484&amp;value=1592&amp;id=58815497&amp;value=1442&amp;id=58805149&amp;value=1413&amp;id=58800567&amp;value=1604&amp;id=59368474&amp;value=1719&amp;" TargetMode="External"/><Relationship Id="rId941" Type="http://schemas.openxmlformats.org/officeDocument/2006/relationships/hyperlink" Target="https://www.daloopa.com/src/58930923" TargetMode="External"/><Relationship Id="rId1157" Type="http://schemas.openxmlformats.org/officeDocument/2006/relationships/hyperlink" Target="https://www.daloopa.com/src/58815866" TargetMode="External"/><Relationship Id="rId1364" Type="http://schemas.openxmlformats.org/officeDocument/2006/relationships/hyperlink" Target="https://marketplace.daloopa.com/text-fundamental?id=58815938&amp;value=187&amp;id=58815959&amp;value=200&amp;id=59379414&amp;value=387&amp;id=58816005&amp;value=547&amp;id=59368524&amp;value=723&amp;" TargetMode="External"/><Relationship Id="rId1571" Type="http://schemas.openxmlformats.org/officeDocument/2006/relationships/hyperlink" Target="https://www.daloopa.com/src/58936388" TargetMode="External"/><Relationship Id="rId2208" Type="http://schemas.openxmlformats.org/officeDocument/2006/relationships/hyperlink" Target="https://www.daloopa.com/src/58945172" TargetMode="External"/><Relationship Id="rId2415" Type="http://schemas.openxmlformats.org/officeDocument/2006/relationships/hyperlink" Target="https://www.daloopa.com/src/58985451" TargetMode="External"/><Relationship Id="rId2622" Type="http://schemas.openxmlformats.org/officeDocument/2006/relationships/hyperlink" Target="https://www.daloopa.com/src/58988357" TargetMode="External"/><Relationship Id="rId70" Type="http://schemas.openxmlformats.org/officeDocument/2006/relationships/hyperlink" Target="https://www.daloopa.com/src/59067982" TargetMode="External"/><Relationship Id="rId801" Type="http://schemas.openxmlformats.org/officeDocument/2006/relationships/hyperlink" Target="https://www.daloopa.com/src/58805335" TargetMode="External"/><Relationship Id="rId1017" Type="http://schemas.openxmlformats.org/officeDocument/2006/relationships/hyperlink" Target="https://marketplace.daloopa.com/text-fundamental?id=58933594&amp;value=-110&amp;id=59379347&amp;value=-110&amp;id=58934073&amp;value=-374&amp;id=58930735&amp;value=89&amp;id=58930832&amp;value=247&amp;id=58930909&amp;value=7&amp;id=59379348&amp;value=-31&amp;id=58865909&amp;value=-96&amp;id=58815870&amp;value=-223&amp;id=58815831&amp;value=38&amp;id=58815814&amp;value=-294&amp;id=59379349&amp;value=-575&amp;id=58800681&amp;value=-411&amp;id=59368501&amp;value=448&amp;" TargetMode="External"/><Relationship Id="rId1224" Type="http://schemas.openxmlformats.org/officeDocument/2006/relationships/hyperlink" Target="https://www.daloopa.com/src/58933716" TargetMode="External"/><Relationship Id="rId1431" Type="http://schemas.openxmlformats.org/officeDocument/2006/relationships/hyperlink" Target="https://www.daloopa.com/src/58816009" TargetMode="External"/><Relationship Id="rId177" Type="http://schemas.openxmlformats.org/officeDocument/2006/relationships/hyperlink" Target="https://www.daloopa.com/src/59379436" TargetMode="External"/><Relationship Id="rId384" Type="http://schemas.openxmlformats.org/officeDocument/2006/relationships/hyperlink" Target="https://www.daloopa.com/src/58800406" TargetMode="External"/><Relationship Id="rId591" Type="http://schemas.openxmlformats.org/officeDocument/2006/relationships/hyperlink" Target="https://marketplace.daloopa.com/text-fundamental?id=58881561&amp;value=20265&amp;" TargetMode="External"/><Relationship Id="rId2065" Type="http://schemas.openxmlformats.org/officeDocument/2006/relationships/hyperlink" Target="https://marketplace.daloopa.com/text-fundamental?id=58940286&amp;value=0.07&amp;id=59751936&amp;value=0.16999999999999993&amp;id=58935600&amp;value=0.27&amp;id=58935588&amp;value=0.26&amp;id=58935560&amp;value=0.26&amp;id=58935579&amp;value=0.96&amp;id=58874716&amp;value=0.24&amp;id=58816148&amp;value=0.25&amp;id=58816140&amp;value=0.21&amp;id=58809918&amp;value=0.21&amp;id=58810055&amp;value=0.9&amp;id=58804536&amp;value=0.19&amp;id=59368552&amp;value=0.19&amp;" TargetMode="External"/><Relationship Id="rId2272" Type="http://schemas.openxmlformats.org/officeDocument/2006/relationships/hyperlink" Target="https://www.daloopa.com/src/59074055" TargetMode="External"/><Relationship Id="rId244" Type="http://schemas.openxmlformats.org/officeDocument/2006/relationships/hyperlink" Target="https://www.daloopa.com/src/58947613" TargetMode="External"/><Relationship Id="rId1081" Type="http://schemas.openxmlformats.org/officeDocument/2006/relationships/hyperlink" Target="https://www.daloopa.com/src/58865895" TargetMode="External"/><Relationship Id="rId451" Type="http://schemas.openxmlformats.org/officeDocument/2006/relationships/hyperlink" Target="https://www.daloopa.com/src/58804864" TargetMode="External"/><Relationship Id="rId2132" Type="http://schemas.openxmlformats.org/officeDocument/2006/relationships/hyperlink" Target="https://www.daloopa.com/src/58935605" TargetMode="External"/><Relationship Id="rId104" Type="http://schemas.openxmlformats.org/officeDocument/2006/relationships/hyperlink" Target="https://www.daloopa.com/src/59069571" TargetMode="External"/><Relationship Id="rId311" Type="http://schemas.openxmlformats.org/officeDocument/2006/relationships/hyperlink" Target="https://marketplace.daloopa.com/text-fundamental?id=58881601&amp;value=33239&amp;id=59581266&amp;value=4947&amp;id=58873629&amp;value=7205&amp;id=58873658&amp;value=8343&amp;id=58873701&amp;value=11706&amp;id=58881261&amp;value=32201&amp;id=58864793&amp;value=10553&amp;id=58815461&amp;value=11680&amp;id=58815134&amp;value=11313&amp;id=58804870&amp;value=11961&amp;id=58815175&amp;value=45507&amp;id=58800412&amp;value=13773&amp;id=59368452&amp;value=12946&amp;" TargetMode="External"/><Relationship Id="rId1898" Type="http://schemas.openxmlformats.org/officeDocument/2006/relationships/hyperlink" Target="https://www.daloopa.com/src/58809647" TargetMode="External"/><Relationship Id="rId1758" Type="http://schemas.openxmlformats.org/officeDocument/2006/relationships/hyperlink" Target="https://www.daloopa.com/src/58934468" TargetMode="External"/><Relationship Id="rId2809" Type="http://schemas.openxmlformats.org/officeDocument/2006/relationships/hyperlink" Target="https://www.daloopa.com/src/58978508" TargetMode="External"/><Relationship Id="rId1965" Type="http://schemas.openxmlformats.org/officeDocument/2006/relationships/hyperlink" Target="https://www.daloopa.com/src/58936801" TargetMode="External"/><Relationship Id="rId1618" Type="http://schemas.openxmlformats.org/officeDocument/2006/relationships/hyperlink" Target="https://www.daloopa.com/src/58934450" TargetMode="External"/><Relationship Id="rId1825" Type="http://schemas.openxmlformats.org/officeDocument/2006/relationships/hyperlink" Target="https://www.daloopa.com/src/58816119" TargetMode="External"/><Relationship Id="rId2599" Type="http://schemas.openxmlformats.org/officeDocument/2006/relationships/hyperlink" Target="https://www.daloopa.com/src/58988356" TargetMode="External"/><Relationship Id="rId778" Type="http://schemas.openxmlformats.org/officeDocument/2006/relationships/hyperlink" Target="https://www.daloopa.com/src/58800590" TargetMode="External"/><Relationship Id="rId985" Type="http://schemas.openxmlformats.org/officeDocument/2006/relationships/hyperlink" Target="https://www.daloopa.com/src/59379339" TargetMode="External"/><Relationship Id="rId2459" Type="http://schemas.openxmlformats.org/officeDocument/2006/relationships/hyperlink" Target="https://www.daloopa.com/src/59008890" TargetMode="External"/><Relationship Id="rId2666" Type="http://schemas.openxmlformats.org/officeDocument/2006/relationships/hyperlink" Target="https://marketplace.daloopa.com/text-fundamental?id=58992490&amp;value=2010&amp;id=58992289&amp;value=6110&amp;id=58990262&amp;value=5840&amp;id=59372597&amp;value=6153&amp;" TargetMode="External"/><Relationship Id="rId2873" Type="http://schemas.openxmlformats.org/officeDocument/2006/relationships/hyperlink" Target="https://www.daloopa.com/src/59085415" TargetMode="External"/><Relationship Id="rId638" Type="http://schemas.openxmlformats.org/officeDocument/2006/relationships/hyperlink" Target="https://www.daloopa.com/src/58815501" TargetMode="External"/><Relationship Id="rId845" Type="http://schemas.openxmlformats.org/officeDocument/2006/relationships/hyperlink" Target="https://www.daloopa.com/src/58873795" TargetMode="External"/><Relationship Id="rId1268" Type="http://schemas.openxmlformats.org/officeDocument/2006/relationships/hyperlink" Target="https://marketplace.daloopa.com/text-fundamental?id=58815920&amp;value=320559&amp;id=58815939&amp;value=0&amp;id=58815955&amp;value=0&amp;id=59379396&amp;value=320559&amp;" TargetMode="External"/><Relationship Id="rId1475" Type="http://schemas.openxmlformats.org/officeDocument/2006/relationships/hyperlink" Target="https://marketplace.daloopa.com/text-fundamental?id=58933757&amp;value=1860&amp;id=59379431&amp;value=1860&amp;" TargetMode="External"/><Relationship Id="rId1682" Type="http://schemas.openxmlformats.org/officeDocument/2006/relationships/hyperlink" Target="https://www.daloopa.com/src/58800879" TargetMode="External"/><Relationship Id="rId2319" Type="http://schemas.openxmlformats.org/officeDocument/2006/relationships/hyperlink" Target="https://marketplace.daloopa.com/text-fundamental?id=58979864&amp;value=171&amp;id=58979975&amp;value=26&amp;id=58979967&amp;value=28&amp;id=58979868&amp;value=100&amp;id=58979821&amp;value=33&amp;id=58979971&amp;value=41&amp;id=58979963&amp;value=3&amp;id=59379442&amp;value=86&amp;id=58979829&amp;value=163&amp;id=58979781&amp;value=274&amp;id=59372019&amp;value=277&amp;" TargetMode="External"/><Relationship Id="rId2526" Type="http://schemas.openxmlformats.org/officeDocument/2006/relationships/hyperlink" Target="https://marketplace.daloopa.com/text-fundamental?id=58988187&amp;value=-68&amp;" TargetMode="External"/><Relationship Id="rId2733" Type="http://schemas.openxmlformats.org/officeDocument/2006/relationships/hyperlink" Target="https://www.daloopa.com/src/59004651" TargetMode="External"/><Relationship Id="rId705" Type="http://schemas.openxmlformats.org/officeDocument/2006/relationships/hyperlink" Target="https://www.daloopa.com/src/58800559" TargetMode="External"/><Relationship Id="rId1128" Type="http://schemas.openxmlformats.org/officeDocument/2006/relationships/hyperlink" Target="https://www.daloopa.com/src/59368507" TargetMode="External"/><Relationship Id="rId1335" Type="http://schemas.openxmlformats.org/officeDocument/2006/relationships/hyperlink" Target="https://www.daloopa.com/src/58931084" TargetMode="External"/><Relationship Id="rId1542" Type="http://schemas.openxmlformats.org/officeDocument/2006/relationships/hyperlink" Target="https://marketplace.daloopa.com/text-fundamental?id=58932432&amp;value=-34000&amp;" TargetMode="External"/><Relationship Id="rId912" Type="http://schemas.openxmlformats.org/officeDocument/2006/relationships/hyperlink" Target="https://marketplace.daloopa.com/text-fundamental?id=58930190&amp;value=544733&amp;id=58873783&amp;value=1763691&amp;id=58930018&amp;value=1703049&amp;id=58815539&amp;value=1842179&amp;id=58815521&amp;value=1856693&amp;id=58805328&amp;value=1886581&amp;id=58800587&amp;value=1903331&amp;id=59368475&amp;value=1911177&amp;" TargetMode="External"/><Relationship Id="rId2800" Type="http://schemas.openxmlformats.org/officeDocument/2006/relationships/hyperlink" Target="https://www.daloopa.com/src/59006422" TargetMode="External"/><Relationship Id="rId41" Type="http://schemas.openxmlformats.org/officeDocument/2006/relationships/hyperlink" Target="https://marketplace.daloopa.com/text-fundamental?id=58816166&amp;value=113&amp;id=58816175&amp;value=128&amp;id=58810749&amp;value=161&amp;id=58804637&amp;value=161&amp;id=59368564&amp;value=161&amp;" TargetMode="External"/><Relationship Id="rId1402" Type="http://schemas.openxmlformats.org/officeDocument/2006/relationships/hyperlink" Target="https://www.daloopa.com/src/59368522" TargetMode="External"/><Relationship Id="rId288" Type="http://schemas.openxmlformats.org/officeDocument/2006/relationships/hyperlink" Target="https://www.daloopa.com/src/58864805" TargetMode="External"/><Relationship Id="rId495" Type="http://schemas.openxmlformats.org/officeDocument/2006/relationships/hyperlink" Target="https://www.daloopa.com/src/58873632" TargetMode="External"/><Relationship Id="rId2176" Type="http://schemas.openxmlformats.org/officeDocument/2006/relationships/hyperlink" Target="https://www.daloopa.com/src/58810059" TargetMode="External"/><Relationship Id="rId2383" Type="http://schemas.openxmlformats.org/officeDocument/2006/relationships/hyperlink" Target="https://www.daloopa.com/src/58985450" TargetMode="External"/><Relationship Id="rId2590" Type="http://schemas.openxmlformats.org/officeDocument/2006/relationships/hyperlink" Target="https://marketplace.daloopa.com/text-fundamental?id=58988239&amp;value=-0.0223&amp;" TargetMode="External"/><Relationship Id="rId148" Type="http://schemas.openxmlformats.org/officeDocument/2006/relationships/hyperlink" Target="https://www.daloopa.com/src/59071658" TargetMode="External"/><Relationship Id="rId355" Type="http://schemas.openxmlformats.org/officeDocument/2006/relationships/hyperlink" Target="https://www.daloopa.com/src/58882147" TargetMode="External"/><Relationship Id="rId562" Type="http://schemas.openxmlformats.org/officeDocument/2006/relationships/hyperlink" Target="https://marketplace.daloopa.com/text-fundamental?id=58881606&amp;value=149686460&amp;id=58873636&amp;value=130000000&amp;id=58873668&amp;value=130000000&amp;id=58873694&amp;value=130000000&amp;id=58881249&amp;value=130000000&amp;id=58864804&amp;value=130000000&amp;id=58815451&amp;value=131507005&amp;id=58815138&amp;value=149943998&amp;id=58804862&amp;value=150119568&amp;id=58815171&amp;value=140480590&amp;id=58800416&amp;value=150538700&amp;id=59368454&amp;value=150748211&amp;" TargetMode="External"/><Relationship Id="rId1192" Type="http://schemas.openxmlformats.org/officeDocument/2006/relationships/hyperlink" Target="https://www.daloopa.com/src/58815818" TargetMode="External"/><Relationship Id="rId2036" Type="http://schemas.openxmlformats.org/officeDocument/2006/relationships/hyperlink" Target="https://www.daloopa.com/src/58810048" TargetMode="External"/><Relationship Id="rId2243" Type="http://schemas.openxmlformats.org/officeDocument/2006/relationships/hyperlink" Target="https://www.daloopa.com/src/58944665" TargetMode="External"/><Relationship Id="rId2450" Type="http://schemas.openxmlformats.org/officeDocument/2006/relationships/hyperlink" Target="https://www.daloopa.com/src/59008892" TargetMode="External"/><Relationship Id="rId215" Type="http://schemas.openxmlformats.org/officeDocument/2006/relationships/hyperlink" Target="https://www.daloopa.com/src/58947585" TargetMode="External"/><Relationship Id="rId422" Type="http://schemas.openxmlformats.org/officeDocument/2006/relationships/hyperlink" Target="https://www.daloopa.com/src/58882228" TargetMode="External"/><Relationship Id="rId1052" Type="http://schemas.openxmlformats.org/officeDocument/2006/relationships/hyperlink" Target="https://www.daloopa.com/src/58865902" TargetMode="External"/><Relationship Id="rId2103" Type="http://schemas.openxmlformats.org/officeDocument/2006/relationships/hyperlink" Target="https://www.daloopa.com/src/59368553" TargetMode="External"/><Relationship Id="rId2310" Type="http://schemas.openxmlformats.org/officeDocument/2006/relationships/hyperlink" Target="https://www.daloopa.com/src/59148496" TargetMode="External"/><Relationship Id="rId1869" Type="http://schemas.openxmlformats.org/officeDocument/2006/relationships/hyperlink" Target="https://www.daloopa.com/src/58936793" TargetMode="External"/><Relationship Id="rId1729" Type="http://schemas.openxmlformats.org/officeDocument/2006/relationships/hyperlink" Target="https://www.daloopa.com/src/58816047" TargetMode="External"/><Relationship Id="rId1936" Type="http://schemas.openxmlformats.org/officeDocument/2006/relationships/hyperlink" Target="https://www.daloopa.com/src/58936841" TargetMode="External"/><Relationship Id="rId5" Type="http://schemas.openxmlformats.org/officeDocument/2006/relationships/hyperlink" Target="https://www.daloopa.com/document/23054449" TargetMode="External"/><Relationship Id="rId889" Type="http://schemas.openxmlformats.org/officeDocument/2006/relationships/hyperlink" Target="https://www.daloopa.com/src/58815519" TargetMode="External"/><Relationship Id="rId2777" Type="http://schemas.openxmlformats.org/officeDocument/2006/relationships/hyperlink" Target="https://www.daloopa.com/src/59006351" TargetMode="External"/><Relationship Id="rId749" Type="http://schemas.openxmlformats.org/officeDocument/2006/relationships/hyperlink" Target="https://www.daloopa.com/src/58805151" TargetMode="External"/><Relationship Id="rId1379" Type="http://schemas.openxmlformats.org/officeDocument/2006/relationships/hyperlink" Target="https://www.daloopa.com/src/58931050" TargetMode="External"/><Relationship Id="rId1586" Type="http://schemas.openxmlformats.org/officeDocument/2006/relationships/hyperlink" Target="https://www.daloopa.com/src/58936253" TargetMode="External"/><Relationship Id="rId609" Type="http://schemas.openxmlformats.org/officeDocument/2006/relationships/hyperlink" Target="https://marketplace.daloopa.com/text-fundamental?id=58881567&amp;value=22370&amp;" TargetMode="External"/><Relationship Id="rId956" Type="http://schemas.openxmlformats.org/officeDocument/2006/relationships/hyperlink" Target="https://www.daloopa.com/src/59379334" TargetMode="External"/><Relationship Id="rId1239" Type="http://schemas.openxmlformats.org/officeDocument/2006/relationships/hyperlink" Target="https://www.daloopa.com/src/58933715" TargetMode="External"/><Relationship Id="rId1793" Type="http://schemas.openxmlformats.org/officeDocument/2006/relationships/hyperlink" Target="https://www.daloopa.com/src/59736761" TargetMode="External"/><Relationship Id="rId2637" Type="http://schemas.openxmlformats.org/officeDocument/2006/relationships/hyperlink" Target="https://marketplace.daloopa.com/text-fundamental?id=58990175&amp;value=2799&amp;id=58990064&amp;value=1020&amp;id=58990047&amp;value=712&amp;id=59372552&amp;value=543&amp;" TargetMode="External"/><Relationship Id="rId2844" Type="http://schemas.openxmlformats.org/officeDocument/2006/relationships/hyperlink" Target="https://www.daloopa.com/src/58978555" TargetMode="External"/><Relationship Id="rId85" Type="http://schemas.openxmlformats.org/officeDocument/2006/relationships/hyperlink" Target="https://www.daloopa.com/src/59066769" TargetMode="External"/><Relationship Id="rId816" Type="http://schemas.openxmlformats.org/officeDocument/2006/relationships/hyperlink" Target="https://www.daloopa.com/src/58930008" TargetMode="External"/><Relationship Id="rId1446" Type="http://schemas.openxmlformats.org/officeDocument/2006/relationships/hyperlink" Target="https://www.daloopa.com/src/58933759" TargetMode="External"/><Relationship Id="rId1653" Type="http://schemas.openxmlformats.org/officeDocument/2006/relationships/hyperlink" Target="https://www.daloopa.com/src/58809363" TargetMode="External"/><Relationship Id="rId1860" Type="http://schemas.openxmlformats.org/officeDocument/2006/relationships/hyperlink" Target="https://www.daloopa.com/src/58816117" TargetMode="External"/><Relationship Id="rId2704" Type="http://schemas.openxmlformats.org/officeDocument/2006/relationships/hyperlink" Target="https://marketplace.daloopa.com/text-fundamental?id=58992571&amp;value=5946&amp;id=59372602&amp;value=6261&amp;" TargetMode="External"/><Relationship Id="rId2911" Type="http://schemas.openxmlformats.org/officeDocument/2006/relationships/hyperlink" Target="https://www.daloopa.com/src/59091495" TargetMode="External"/><Relationship Id="rId1306" Type="http://schemas.openxmlformats.org/officeDocument/2006/relationships/hyperlink" Target="https://www.daloopa.com/src/59379402" TargetMode="External"/><Relationship Id="rId1513" Type="http://schemas.openxmlformats.org/officeDocument/2006/relationships/hyperlink" Target="https://www.daloopa.com/src/58932343" TargetMode="External"/><Relationship Id="rId1720" Type="http://schemas.openxmlformats.org/officeDocument/2006/relationships/hyperlink" Target="https://www.daloopa.com/src/59737789" TargetMode="External"/><Relationship Id="rId12" Type="http://schemas.openxmlformats.org/officeDocument/2006/relationships/hyperlink" Target="https://www.daloopa.com/src/58816165" TargetMode="External"/><Relationship Id="rId399" Type="http://schemas.openxmlformats.org/officeDocument/2006/relationships/hyperlink" Target="https://www.daloopa.com/src/58815145" TargetMode="External"/><Relationship Id="rId2287" Type="http://schemas.openxmlformats.org/officeDocument/2006/relationships/hyperlink" Target="https://marketplace.daloopa.com/text-fundamental?id=59153200&amp;value=14.9&amp;id=59153682&amp;value=11.3&amp;id=59153029&amp;value=16.8&amp;id=59152996&amp;value=16.9&amp;id=59379450&amp;value=17.299999999999997&amp;id=59153169&amp;value=62.3&amp;id=59152841&amp;value=16.5&amp;id=59153028&amp;value=17.5&amp;id=59152995&amp;value=17.4&amp;id=59379451&amp;value=18.000000000000007&amp;id=59153146&amp;value=69.4&amp;id=59152840&amp;value=16.8&amp;id=59371932&amp;value=17.3&amp;" TargetMode="External"/><Relationship Id="rId2494" Type="http://schemas.openxmlformats.org/officeDocument/2006/relationships/hyperlink" Target="https://marketplace.daloopa.com/text-fundamental?id=58988190&amp;value=1778&amp;id=58988180&amp;value=-16144&amp;id=58988175&amp;value=549&amp;" TargetMode="External"/><Relationship Id="rId259" Type="http://schemas.openxmlformats.org/officeDocument/2006/relationships/hyperlink" Target="https://marketplace.daloopa.com/text-fundamental?id=59706384&amp;value=36785&amp;" TargetMode="External"/><Relationship Id="rId466" Type="http://schemas.openxmlformats.org/officeDocument/2006/relationships/hyperlink" Target="https://www.daloopa.com/src/58864792" TargetMode="External"/><Relationship Id="rId673" Type="http://schemas.openxmlformats.org/officeDocument/2006/relationships/hyperlink" Target="https://www.daloopa.com/src/58873735" TargetMode="External"/><Relationship Id="rId880" Type="http://schemas.openxmlformats.org/officeDocument/2006/relationships/hyperlink" Target="https://marketplace.daloopa.com/text-fundamental?id=58930183&amp;value=2254&amp;" TargetMode="External"/><Relationship Id="rId1096" Type="http://schemas.openxmlformats.org/officeDocument/2006/relationships/hyperlink" Target="https://www.daloopa.com/src/58815858" TargetMode="External"/><Relationship Id="rId2147" Type="http://schemas.openxmlformats.org/officeDocument/2006/relationships/hyperlink" Target="https://www.daloopa.com/src/58935583" TargetMode="External"/><Relationship Id="rId2354" Type="http://schemas.openxmlformats.org/officeDocument/2006/relationships/hyperlink" Target="https://www.daloopa.com/src/58979827" TargetMode="External"/><Relationship Id="rId2561" Type="http://schemas.openxmlformats.org/officeDocument/2006/relationships/hyperlink" Target="https://www.daloopa.com/src/58988216" TargetMode="External"/><Relationship Id="rId119" Type="http://schemas.openxmlformats.org/officeDocument/2006/relationships/hyperlink" Target="https://www.daloopa.com/src/59069522" TargetMode="External"/><Relationship Id="rId326" Type="http://schemas.openxmlformats.org/officeDocument/2006/relationships/hyperlink" Target="https://www.daloopa.com/src/59581280" TargetMode="External"/><Relationship Id="rId533" Type="http://schemas.openxmlformats.org/officeDocument/2006/relationships/hyperlink" Target="https://www.daloopa.com/src/58881250" TargetMode="External"/><Relationship Id="rId1163" Type="http://schemas.openxmlformats.org/officeDocument/2006/relationships/hyperlink" Target="https://www.daloopa.com/src/59379374" TargetMode="External"/><Relationship Id="rId1370" Type="http://schemas.openxmlformats.org/officeDocument/2006/relationships/hyperlink" Target="https://marketplace.daloopa.com/text-fundamental?id=58815953&amp;value=-332&amp;id=58815969&amp;value=0&amp;id=59379415&amp;value=-332&amp;" TargetMode="External"/><Relationship Id="rId2007" Type="http://schemas.openxmlformats.org/officeDocument/2006/relationships/hyperlink" Target="https://marketplace.daloopa.com/text-fundamental?id=59695633&amp;value=848&amp;" TargetMode="External"/><Relationship Id="rId2214" Type="http://schemas.openxmlformats.org/officeDocument/2006/relationships/hyperlink" Target="https://marketplace.daloopa.com/text-fundamental?id=58944818&amp;value=81800&amp;id=58944659&amp;value=220000&amp;id=58945171&amp;value=221405&amp;id=58944654&amp;value=221405&amp;id=58944626&amp;value=221405&amp;id=58944576&amp;value=225005&amp;id=58944619&amp;value=231105&amp;id=59370353&amp;value=231105&amp;" TargetMode="External"/><Relationship Id="rId740" Type="http://schemas.openxmlformats.org/officeDocument/2006/relationships/hyperlink" Target="https://www.daloopa.com/src/58805149" TargetMode="External"/><Relationship Id="rId1023" Type="http://schemas.openxmlformats.org/officeDocument/2006/relationships/hyperlink" Target="https://www.daloopa.com/src/58865909" TargetMode="External"/><Relationship Id="rId2421" Type="http://schemas.openxmlformats.org/officeDocument/2006/relationships/hyperlink" Target="https://marketplace.daloopa.com/text-fundamental?id=58985455&amp;value=-130523&amp;id=58985428&amp;value=-107080&amp;" TargetMode="External"/><Relationship Id="rId600" Type="http://schemas.openxmlformats.org/officeDocument/2006/relationships/hyperlink" Target="https://www.daloopa.com/src/58881563" TargetMode="External"/><Relationship Id="rId1230" Type="http://schemas.openxmlformats.org/officeDocument/2006/relationships/hyperlink" Target="https://www.daloopa.com/src/58815877" TargetMode="External"/><Relationship Id="rId183" Type="http://schemas.openxmlformats.org/officeDocument/2006/relationships/hyperlink" Target="https://www.daloopa.com/src/59083034" TargetMode="External"/><Relationship Id="rId390" Type="http://schemas.openxmlformats.org/officeDocument/2006/relationships/hyperlink" Target="https://www.daloopa.com/src/58864802" TargetMode="External"/><Relationship Id="rId1907" Type="http://schemas.openxmlformats.org/officeDocument/2006/relationships/hyperlink" Target="https://www.daloopa.com/src/58936840" TargetMode="External"/><Relationship Id="rId2071" Type="http://schemas.openxmlformats.org/officeDocument/2006/relationships/hyperlink" Target="https://www.daloopa.com/src/58816148" TargetMode="External"/><Relationship Id="rId250" Type="http://schemas.openxmlformats.org/officeDocument/2006/relationships/hyperlink" Target="https://www.daloopa.com/src/58947569" TargetMode="External"/><Relationship Id="rId110" Type="http://schemas.openxmlformats.org/officeDocument/2006/relationships/hyperlink" Target="https://www.daloopa.com/src/59734140" TargetMode="External"/><Relationship Id="rId2888" Type="http://schemas.openxmlformats.org/officeDocument/2006/relationships/hyperlink" Target="https://www.daloopa.com/src/59085460" TargetMode="External"/><Relationship Id="rId1697" Type="http://schemas.openxmlformats.org/officeDocument/2006/relationships/hyperlink" Target="https://www.daloopa.com/src/58936402" TargetMode="External"/><Relationship Id="rId2748" Type="http://schemas.openxmlformats.org/officeDocument/2006/relationships/hyperlink" Target="https://www.daloopa.com/src/59371636" TargetMode="External"/><Relationship Id="rId927" Type="http://schemas.openxmlformats.org/officeDocument/2006/relationships/hyperlink" Target="https://www.daloopa.com/src/58865903" TargetMode="External"/><Relationship Id="rId1557" Type="http://schemas.openxmlformats.org/officeDocument/2006/relationships/hyperlink" Target="https://www.daloopa.com/src/58932426" TargetMode="External"/><Relationship Id="rId1764" Type="http://schemas.openxmlformats.org/officeDocument/2006/relationships/hyperlink" Target="https://www.daloopa.com/src/58809361" TargetMode="External"/><Relationship Id="rId1971" Type="http://schemas.openxmlformats.org/officeDocument/2006/relationships/hyperlink" Target="https://www.daloopa.com/src/58935519" TargetMode="External"/><Relationship Id="rId2608" Type="http://schemas.openxmlformats.org/officeDocument/2006/relationships/hyperlink" Target="https://www.daloopa.com/src/59372881" TargetMode="External"/><Relationship Id="rId2815" Type="http://schemas.openxmlformats.org/officeDocument/2006/relationships/hyperlink" Target="https://www.daloopa.com/src/58978596" TargetMode="External"/><Relationship Id="rId56" Type="http://schemas.openxmlformats.org/officeDocument/2006/relationships/hyperlink" Target="https://www.daloopa.com/src/58810750" TargetMode="External"/><Relationship Id="rId1417" Type="http://schemas.openxmlformats.org/officeDocument/2006/relationships/hyperlink" Target="https://www.daloopa.com/src/59368523" TargetMode="External"/><Relationship Id="rId1624" Type="http://schemas.openxmlformats.org/officeDocument/2006/relationships/hyperlink" Target="https://www.daloopa.com/src/58936276" TargetMode="External"/><Relationship Id="rId1831" Type="http://schemas.openxmlformats.org/officeDocument/2006/relationships/hyperlink" Target="https://www.daloopa.com/src/58809711" TargetMode="External"/><Relationship Id="rId2398" Type="http://schemas.openxmlformats.org/officeDocument/2006/relationships/hyperlink" Target="https://www.daloopa.com/src/58987736" TargetMode="External"/><Relationship Id="rId577" Type="http://schemas.openxmlformats.org/officeDocument/2006/relationships/hyperlink" Target="https://www.daloopa.com/src/58873635" TargetMode="External"/><Relationship Id="rId2258" Type="http://schemas.openxmlformats.org/officeDocument/2006/relationships/hyperlink" Target="https://www.daloopa.com/src/59370350" TargetMode="External"/><Relationship Id="rId784" Type="http://schemas.openxmlformats.org/officeDocument/2006/relationships/hyperlink" Target="https://www.daloopa.com/src/58815540" TargetMode="External"/><Relationship Id="rId991" Type="http://schemas.openxmlformats.org/officeDocument/2006/relationships/hyperlink" Target="https://www.daloopa.com/src/58930837" TargetMode="External"/><Relationship Id="rId1067" Type="http://schemas.openxmlformats.org/officeDocument/2006/relationships/hyperlink" Target="https://www.daloopa.com/src/58815874" TargetMode="External"/><Relationship Id="rId2465" Type="http://schemas.openxmlformats.org/officeDocument/2006/relationships/hyperlink" Target="https://www.daloopa.com/src/58988031" TargetMode="External"/><Relationship Id="rId2672" Type="http://schemas.openxmlformats.org/officeDocument/2006/relationships/hyperlink" Target="https://www.daloopa.com/src/58992492" TargetMode="External"/><Relationship Id="rId437" Type="http://schemas.openxmlformats.org/officeDocument/2006/relationships/hyperlink" Target="https://www.daloopa.com/src/58881257" TargetMode="External"/><Relationship Id="rId644" Type="http://schemas.openxmlformats.org/officeDocument/2006/relationships/hyperlink" Target="https://www.daloopa.com/src/58873737" TargetMode="External"/><Relationship Id="rId851" Type="http://schemas.openxmlformats.org/officeDocument/2006/relationships/hyperlink" Target="https://www.daloopa.com/src/59368486" TargetMode="External"/><Relationship Id="rId1274" Type="http://schemas.openxmlformats.org/officeDocument/2006/relationships/hyperlink" Target="https://www.daloopa.com/src/58815923" TargetMode="External"/><Relationship Id="rId1481" Type="http://schemas.openxmlformats.org/officeDocument/2006/relationships/hyperlink" Target="https://marketplace.daloopa.com/text-fundamental?id=58933760&amp;value=651&amp;id=59379432&amp;value=651&amp;id=58934131&amp;value=68&amp;id=58931103&amp;value=206&amp;id=58931101&amp;value=-237&amp;id=58931095&amp;value=51&amp;id=59379433&amp;value=88&amp;id=58865869&amp;value=295&amp;id=58816035&amp;value=2502&amp;id=58816032&amp;value=-1&amp;id=58816030&amp;value=847&amp;id=59379434&amp;value=3643&amp;id=58816029&amp;value=206&amp;id=59368567&amp;value=-183&amp;" TargetMode="External"/><Relationship Id="rId2118" Type="http://schemas.openxmlformats.org/officeDocument/2006/relationships/hyperlink" Target="https://www.daloopa.com/src/58935576" TargetMode="External"/><Relationship Id="rId2325" Type="http://schemas.openxmlformats.org/officeDocument/2006/relationships/hyperlink" Target="https://www.daloopa.com/src/59379442" TargetMode="External"/><Relationship Id="rId2532" Type="http://schemas.openxmlformats.org/officeDocument/2006/relationships/hyperlink" Target="https://marketplace.daloopa.com/text-fundamental?id=58988253&amp;value=0.21&amp;id=58988222&amp;value=0.21&amp;id=58988218&amp;value=0.21&amp;" TargetMode="External"/><Relationship Id="rId504" Type="http://schemas.openxmlformats.org/officeDocument/2006/relationships/hyperlink" Target="https://www.daloopa.com/src/58881591" TargetMode="External"/><Relationship Id="rId711" Type="http://schemas.openxmlformats.org/officeDocument/2006/relationships/hyperlink" Target="https://www.daloopa.com/src/58815479" TargetMode="External"/><Relationship Id="rId1134" Type="http://schemas.openxmlformats.org/officeDocument/2006/relationships/hyperlink" Target="https://www.daloopa.com/src/58934067" TargetMode="External"/><Relationship Id="rId1341" Type="http://schemas.openxmlformats.org/officeDocument/2006/relationships/hyperlink" Target="https://www.daloopa.com/src/59379409" TargetMode="External"/><Relationship Id="rId1201" Type="http://schemas.openxmlformats.org/officeDocument/2006/relationships/hyperlink" Target="https://www.daloopa.com/src/58931033" TargetMode="External"/><Relationship Id="rId294" Type="http://schemas.openxmlformats.org/officeDocument/2006/relationships/hyperlink" Target="https://www.daloopa.com/src/58881598" TargetMode="External"/><Relationship Id="rId2182" Type="http://schemas.openxmlformats.org/officeDocument/2006/relationships/hyperlink" Target="https://www.daloopa.com/src/58941035" TargetMode="External"/><Relationship Id="rId154" Type="http://schemas.openxmlformats.org/officeDocument/2006/relationships/hyperlink" Target="https://www.daloopa.com/src/59375039" TargetMode="External"/><Relationship Id="rId361" Type="http://schemas.openxmlformats.org/officeDocument/2006/relationships/hyperlink" Target="https://www.daloopa.com/src/58873695" TargetMode="External"/><Relationship Id="rId2042" Type="http://schemas.openxmlformats.org/officeDocument/2006/relationships/hyperlink" Target="https://www.daloopa.com/src/58874714" TargetMode="External"/><Relationship Id="rId221" Type="http://schemas.openxmlformats.org/officeDocument/2006/relationships/hyperlink" Target="https://www.daloopa.com/src/58947586" TargetMode="External"/><Relationship Id="rId2859" Type="http://schemas.openxmlformats.org/officeDocument/2006/relationships/hyperlink" Target="https://www.daloopa.com/src/59084425" TargetMode="External"/><Relationship Id="rId1668" Type="http://schemas.openxmlformats.org/officeDocument/2006/relationships/hyperlink" Target="https://www.daloopa.com/src/58816050" TargetMode="External"/><Relationship Id="rId1875" Type="http://schemas.openxmlformats.org/officeDocument/2006/relationships/hyperlink" Target="https://www.daloopa.com/src/58935512" TargetMode="External"/><Relationship Id="rId2719" Type="http://schemas.openxmlformats.org/officeDocument/2006/relationships/hyperlink" Target="https://marketplace.daloopa.com/text-fundamental?id=58992568&amp;value=20610&amp;id=59372599&amp;value=20054&amp;" TargetMode="External"/><Relationship Id="rId1528" Type="http://schemas.openxmlformats.org/officeDocument/2006/relationships/hyperlink" Target="https://marketplace.daloopa.com/text-fundamental?id=58932339&amp;value=373&amp;" TargetMode="External"/><Relationship Id="rId2926" Type="http://schemas.openxmlformats.org/officeDocument/2006/relationships/hyperlink" Target="https://www.daloopa.com/src/58977060" TargetMode="External"/><Relationship Id="rId1735" Type="http://schemas.openxmlformats.org/officeDocument/2006/relationships/hyperlink" Target="https://www.daloopa.com/src/58809478" TargetMode="External"/><Relationship Id="rId1942" Type="http://schemas.openxmlformats.org/officeDocument/2006/relationships/hyperlink" Target="https://www.daloopa.com/src/58936956" TargetMode="External"/><Relationship Id="rId27" Type="http://schemas.openxmlformats.org/officeDocument/2006/relationships/hyperlink" Target="https://www.daloopa.com/src/58804634" TargetMode="External"/><Relationship Id="rId1802" Type="http://schemas.openxmlformats.org/officeDocument/2006/relationships/hyperlink" Target="https://www.daloopa.com/src/58935503" TargetMode="External"/><Relationship Id="rId688" Type="http://schemas.openxmlformats.org/officeDocument/2006/relationships/hyperlink" Target="https://www.daloopa.com/src/59368473" TargetMode="External"/><Relationship Id="rId895" Type="http://schemas.openxmlformats.org/officeDocument/2006/relationships/hyperlink" Target="https://www.daloopa.com/src/58873791" TargetMode="External"/><Relationship Id="rId2369" Type="http://schemas.openxmlformats.org/officeDocument/2006/relationships/hyperlink" Target="https://marketplace.daloopa.com/text-fundamental?id=58981015&amp;value=3820&amp;" TargetMode="External"/><Relationship Id="rId2576" Type="http://schemas.openxmlformats.org/officeDocument/2006/relationships/hyperlink" Target="https://www.daloopa.com/src/58988229" TargetMode="External"/><Relationship Id="rId2783" Type="http://schemas.openxmlformats.org/officeDocument/2006/relationships/hyperlink" Target="https://www.daloopa.com/src/59371642" TargetMode="External"/><Relationship Id="rId548" Type="http://schemas.openxmlformats.org/officeDocument/2006/relationships/hyperlink" Target="https://marketplace.daloopa.com/text-fundamental?id=58881593&amp;value=0.21&amp;id=59581272&amp;value=-0.17&amp;id=58873634&amp;value=-0.13&amp;id=58873665&amp;value=-0.03&amp;id=58873709&amp;value=-0.05&amp;id=58881266&amp;value=-0.37&amp;id=58864801&amp;value=-0.15&amp;id=58815469&amp;value=0.03&amp;id=58815151&amp;value=0.11&amp;id=58804861&amp;value=0.1&amp;id=58815173&amp;value=0.11&amp;id=58800409&amp;value=0.09&amp;id=59368450&amp;value=0.09&amp;" TargetMode="External"/><Relationship Id="rId755" Type="http://schemas.openxmlformats.org/officeDocument/2006/relationships/hyperlink" Target="https://www.daloopa.com/src/58873738" TargetMode="External"/><Relationship Id="rId962" Type="http://schemas.openxmlformats.org/officeDocument/2006/relationships/hyperlink" Target="https://www.daloopa.com/src/58930925" TargetMode="External"/><Relationship Id="rId1178" Type="http://schemas.openxmlformats.org/officeDocument/2006/relationships/hyperlink" Target="https://www.daloopa.com/src/59379377" TargetMode="External"/><Relationship Id="rId1385" Type="http://schemas.openxmlformats.org/officeDocument/2006/relationships/hyperlink" Target="https://www.daloopa.com/src/58815968" TargetMode="External"/><Relationship Id="rId1592" Type="http://schemas.openxmlformats.org/officeDocument/2006/relationships/hyperlink" Target="https://www.daloopa.com/src/58934408" TargetMode="External"/><Relationship Id="rId2229" Type="http://schemas.openxmlformats.org/officeDocument/2006/relationships/hyperlink" Target="https://www.daloopa.com/src/58944579" TargetMode="External"/><Relationship Id="rId2436" Type="http://schemas.openxmlformats.org/officeDocument/2006/relationships/hyperlink" Target="https://marketplace.daloopa.com/text-fundamental?id=58987746&amp;value=-35443&amp;id=58985457&amp;value=-156377&amp;id=58985431&amp;value=-135635&amp;" TargetMode="External"/><Relationship Id="rId2643" Type="http://schemas.openxmlformats.org/officeDocument/2006/relationships/hyperlink" Target="https://www.daloopa.com/src/58990170" TargetMode="External"/><Relationship Id="rId2850" Type="http://schemas.openxmlformats.org/officeDocument/2006/relationships/hyperlink" Target="https://www.daloopa.com/src/59084477" TargetMode="External"/><Relationship Id="rId91" Type="http://schemas.openxmlformats.org/officeDocument/2006/relationships/hyperlink" Target="https://www.daloopa.com/src/59069568" TargetMode="External"/><Relationship Id="rId408" Type="http://schemas.openxmlformats.org/officeDocument/2006/relationships/hyperlink" Target="https://www.daloopa.com/src/58873691" TargetMode="External"/><Relationship Id="rId615" Type="http://schemas.openxmlformats.org/officeDocument/2006/relationships/hyperlink" Target="https://marketplace.daloopa.com/text-fundamental?id=58881572&amp;value=-871&amp;" TargetMode="External"/><Relationship Id="rId822" Type="http://schemas.openxmlformats.org/officeDocument/2006/relationships/hyperlink" Target="https://marketplace.daloopa.com/text-fundamental?id=58930184&amp;value=540839&amp;id=58873787&amp;value=778605&amp;id=58930009&amp;value=741908&amp;id=58815532&amp;value=553968&amp;id=58815524&amp;value=554405&amp;id=58805336&amp;value=554845&amp;id=58800592&amp;value=555290&amp;id=59368481&amp;value=555739&amp;" TargetMode="External"/><Relationship Id="rId1038" Type="http://schemas.openxmlformats.org/officeDocument/2006/relationships/hyperlink" Target="https://www.daloopa.com/src/58865910" TargetMode="External"/><Relationship Id="rId1245" Type="http://schemas.openxmlformats.org/officeDocument/2006/relationships/hyperlink" Target="https://www.daloopa.com/src/58815876" TargetMode="External"/><Relationship Id="rId1452" Type="http://schemas.openxmlformats.org/officeDocument/2006/relationships/hyperlink" Target="https://www.daloopa.com/src/58816037" TargetMode="External"/><Relationship Id="rId2503" Type="http://schemas.openxmlformats.org/officeDocument/2006/relationships/hyperlink" Target="https://www.daloopa.com/src/58988192" TargetMode="External"/><Relationship Id="rId1105" Type="http://schemas.openxmlformats.org/officeDocument/2006/relationships/hyperlink" Target="https://www.daloopa.com/src/58930730" TargetMode="External"/><Relationship Id="rId1312" Type="http://schemas.openxmlformats.org/officeDocument/2006/relationships/hyperlink" Target="https://www.daloopa.com/src/58815961" TargetMode="External"/><Relationship Id="rId2710" Type="http://schemas.openxmlformats.org/officeDocument/2006/relationships/hyperlink" Target="https://marketplace.daloopa.com/text-fundamental?id=58992570&amp;value=1708&amp;id=59372605&amp;value=2096&amp;" TargetMode="External"/><Relationship Id="rId198" Type="http://schemas.openxmlformats.org/officeDocument/2006/relationships/hyperlink" Target="https://www.daloopa.com/src/59373410" TargetMode="External"/><Relationship Id="rId2086" Type="http://schemas.openxmlformats.org/officeDocument/2006/relationships/hyperlink" Target="https://www.daloopa.com/src/58816141" TargetMode="External"/><Relationship Id="rId2293" Type="http://schemas.openxmlformats.org/officeDocument/2006/relationships/hyperlink" Target="https://www.daloopa.com/src/59153028" TargetMode="External"/><Relationship Id="rId265" Type="http://schemas.openxmlformats.org/officeDocument/2006/relationships/hyperlink" Target="https://www.daloopa.com/src/58975968" TargetMode="External"/><Relationship Id="rId472" Type="http://schemas.openxmlformats.org/officeDocument/2006/relationships/hyperlink" Target="https://www.daloopa.com/src/58881589" TargetMode="External"/><Relationship Id="rId2153" Type="http://schemas.openxmlformats.org/officeDocument/2006/relationships/hyperlink" Target="https://www.daloopa.com/src/58804543" TargetMode="External"/><Relationship Id="rId2360" Type="http://schemas.openxmlformats.org/officeDocument/2006/relationships/hyperlink" Target="https://www.daloopa.com/src/58979966" TargetMode="External"/><Relationship Id="rId125" Type="http://schemas.openxmlformats.org/officeDocument/2006/relationships/hyperlink" Target="https://www.daloopa.com/src/59730506" TargetMode="External"/><Relationship Id="rId332" Type="http://schemas.openxmlformats.org/officeDocument/2006/relationships/hyperlink" Target="https://www.daloopa.com/src/58815149" TargetMode="External"/><Relationship Id="rId2013" Type="http://schemas.openxmlformats.org/officeDocument/2006/relationships/hyperlink" Target="https://marketplace.daloopa.com/text-fundamental?id=59695632&amp;value=327&amp;" TargetMode="External"/><Relationship Id="rId2220" Type="http://schemas.openxmlformats.org/officeDocument/2006/relationships/hyperlink" Target="https://www.daloopa.com/src/58944576" TargetMode="External"/><Relationship Id="rId1779" Type="http://schemas.openxmlformats.org/officeDocument/2006/relationships/hyperlink" Target="https://www.daloopa.com/src/59695234" TargetMode="External"/><Relationship Id="rId1986" Type="http://schemas.openxmlformats.org/officeDocument/2006/relationships/hyperlink" Target="https://www.daloopa.com/src/58936842" TargetMode="External"/><Relationship Id="rId1639" Type="http://schemas.openxmlformats.org/officeDocument/2006/relationships/hyperlink" Target="https://www.daloopa.com/src/58874670" TargetMode="External"/><Relationship Id="rId1846" Type="http://schemas.openxmlformats.org/officeDocument/2006/relationships/hyperlink" Target="https://www.daloopa.com/src/59368546" TargetMode="External"/><Relationship Id="rId1706" Type="http://schemas.openxmlformats.org/officeDocument/2006/relationships/hyperlink" Target="https://www.daloopa.com/src/58934461" TargetMode="External"/><Relationship Id="rId1913" Type="http://schemas.openxmlformats.org/officeDocument/2006/relationships/hyperlink" Target="https://www.daloopa.com/src/58816129" TargetMode="External"/><Relationship Id="rId799" Type="http://schemas.openxmlformats.org/officeDocument/2006/relationships/hyperlink" Target="https://www.daloopa.com/src/58815546" TargetMode="External"/><Relationship Id="rId2687" Type="http://schemas.openxmlformats.org/officeDocument/2006/relationships/hyperlink" Target="https://www.daloopa.com/src/58992293" TargetMode="External"/><Relationship Id="rId2894" Type="http://schemas.openxmlformats.org/officeDocument/2006/relationships/hyperlink" Target="https://www.daloopa.com/src/59086311" TargetMode="External"/><Relationship Id="rId659" Type="http://schemas.openxmlformats.org/officeDocument/2006/relationships/hyperlink" Target="https://www.daloopa.com/src/58805150" TargetMode="External"/><Relationship Id="rId866" Type="http://schemas.openxmlformats.org/officeDocument/2006/relationships/hyperlink" Target="https://www.daloopa.com/src/58815529" TargetMode="External"/><Relationship Id="rId1289" Type="http://schemas.openxmlformats.org/officeDocument/2006/relationships/hyperlink" Target="https://www.daloopa.com/src/58815937" TargetMode="External"/><Relationship Id="rId1496" Type="http://schemas.openxmlformats.org/officeDocument/2006/relationships/hyperlink" Target="https://marketplace.daloopa.com/text-fundamental?id=58932345&amp;value=-36530&amp;" TargetMode="External"/><Relationship Id="rId2547" Type="http://schemas.openxmlformats.org/officeDocument/2006/relationships/hyperlink" Target="https://www.daloopa.com/src/58988210" TargetMode="External"/><Relationship Id="rId519" Type="http://schemas.openxmlformats.org/officeDocument/2006/relationships/hyperlink" Target="https://www.daloopa.com/src/58881251" TargetMode="External"/><Relationship Id="rId1149" Type="http://schemas.openxmlformats.org/officeDocument/2006/relationships/hyperlink" Target="https://www.daloopa.com/src/59368495" TargetMode="External"/><Relationship Id="rId1356" Type="http://schemas.openxmlformats.org/officeDocument/2006/relationships/hyperlink" Target="https://www.daloopa.com/src/59379412" TargetMode="External"/><Relationship Id="rId2754" Type="http://schemas.openxmlformats.org/officeDocument/2006/relationships/hyperlink" Target="https://www.daloopa.com/src/59005529" TargetMode="External"/><Relationship Id="rId726" Type="http://schemas.openxmlformats.org/officeDocument/2006/relationships/hyperlink" Target="https://www.daloopa.com/src/58930153" TargetMode="External"/><Relationship Id="rId933" Type="http://schemas.openxmlformats.org/officeDocument/2006/relationships/hyperlink" Target="https://www.daloopa.com/src/59379328" TargetMode="External"/><Relationship Id="rId1009" Type="http://schemas.openxmlformats.org/officeDocument/2006/relationships/hyperlink" Target="https://www.daloopa.com/src/58815863" TargetMode="External"/><Relationship Id="rId1563" Type="http://schemas.openxmlformats.org/officeDocument/2006/relationships/hyperlink" Target="https://www.daloopa.com/src/58932444" TargetMode="External"/><Relationship Id="rId1770" Type="http://schemas.openxmlformats.org/officeDocument/2006/relationships/hyperlink" Target="https://marketplace.daloopa.com/text-fundamental?id=59695231&amp;value=-36530&amp;" TargetMode="External"/><Relationship Id="rId2407" Type="http://schemas.openxmlformats.org/officeDocument/2006/relationships/hyperlink" Target="https://marketplace.daloopa.com/text-fundamental?id=58987734&amp;value=5633&amp;id=58985452&amp;value=8679&amp;id=58985424&amp;value=9382&amp;" TargetMode="External"/><Relationship Id="rId2614" Type="http://schemas.openxmlformats.org/officeDocument/2006/relationships/hyperlink" Target="https://www.daloopa.com/src/59372885" TargetMode="External"/><Relationship Id="rId2821" Type="http://schemas.openxmlformats.org/officeDocument/2006/relationships/hyperlink" Target="https://marketplace.daloopa.com/text-fundamental?id=58978537&amp;value=-6700&amp;id=58978972&amp;value=-7705&amp;" TargetMode="External"/><Relationship Id="rId62" Type="http://schemas.openxmlformats.org/officeDocument/2006/relationships/hyperlink" Target="https://www.daloopa.com/src/59066388" TargetMode="External"/><Relationship Id="rId1216" Type="http://schemas.openxmlformats.org/officeDocument/2006/relationships/hyperlink" Target="https://www.daloopa.com/src/58800715" TargetMode="External"/><Relationship Id="rId1423" Type="http://schemas.openxmlformats.org/officeDocument/2006/relationships/hyperlink" Target="https://www.daloopa.com/src/58934108" TargetMode="External"/><Relationship Id="rId1630" Type="http://schemas.openxmlformats.org/officeDocument/2006/relationships/hyperlink" Target="https://www.daloopa.com/src/58816060" TargetMode="External"/><Relationship Id="rId2197" Type="http://schemas.openxmlformats.org/officeDocument/2006/relationships/hyperlink" Target="https://marketplace.daloopa.com/text-fundamental?id=58941043&amp;value=0&amp;" TargetMode="External"/><Relationship Id="rId169" Type="http://schemas.openxmlformats.org/officeDocument/2006/relationships/hyperlink" Target="https://www.daloopa.com/src/59083063" TargetMode="External"/><Relationship Id="rId376" Type="http://schemas.openxmlformats.org/officeDocument/2006/relationships/hyperlink" Target="https://www.daloopa.com/src/59581270" TargetMode="External"/><Relationship Id="rId583" Type="http://schemas.openxmlformats.org/officeDocument/2006/relationships/hyperlink" Target="https://www.daloopa.com/src/58804863" TargetMode="External"/><Relationship Id="rId790" Type="http://schemas.openxmlformats.org/officeDocument/2006/relationships/hyperlink" Target="https://www.daloopa.com/src/58800603" TargetMode="External"/><Relationship Id="rId2057" Type="http://schemas.openxmlformats.org/officeDocument/2006/relationships/hyperlink" Target="https://www.daloopa.com/src/58816147" TargetMode="External"/><Relationship Id="rId2264" Type="http://schemas.openxmlformats.org/officeDocument/2006/relationships/hyperlink" Target="https://www.daloopa.com/src/58944623" TargetMode="External"/><Relationship Id="rId2471" Type="http://schemas.openxmlformats.org/officeDocument/2006/relationships/hyperlink" Target="https://www.daloopa.com/src/58987997" TargetMode="External"/><Relationship Id="rId236" Type="http://schemas.openxmlformats.org/officeDocument/2006/relationships/hyperlink" Target="https://www.daloopa.com/src/58946695" TargetMode="External"/><Relationship Id="rId443" Type="http://schemas.openxmlformats.org/officeDocument/2006/relationships/hyperlink" Target="https://www.daloopa.com/src/58881390" TargetMode="External"/><Relationship Id="rId650" Type="http://schemas.openxmlformats.org/officeDocument/2006/relationships/hyperlink" Target="https://www.daloopa.com/src/59368471" TargetMode="External"/><Relationship Id="rId1073" Type="http://schemas.openxmlformats.org/officeDocument/2006/relationships/hyperlink" Target="https://www.daloopa.com/src/59379356" TargetMode="External"/><Relationship Id="rId1280" Type="http://schemas.openxmlformats.org/officeDocument/2006/relationships/hyperlink" Target="https://www.daloopa.com/src/58815947" TargetMode="External"/><Relationship Id="rId2124" Type="http://schemas.openxmlformats.org/officeDocument/2006/relationships/hyperlink" Target="https://www.daloopa.com/src/58935564" TargetMode="External"/><Relationship Id="rId2331" Type="http://schemas.openxmlformats.org/officeDocument/2006/relationships/hyperlink" Target="https://marketplace.daloopa.com/text-fundamental?id=58979865&amp;value=92&amp;id=58979976&amp;value=49&amp;id=58979968&amp;value=50&amp;id=58979869&amp;value=179&amp;id=58979822&amp;value=54&amp;id=58979972&amp;value=67&amp;id=58979964&amp;value=55&amp;id=59379443&amp;value=283&amp;id=58979828&amp;value=459&amp;id=58979782&amp;value=204&amp;id=59372018&amp;value=312&amp;" TargetMode="External"/><Relationship Id="rId303" Type="http://schemas.openxmlformats.org/officeDocument/2006/relationships/hyperlink" Target="https://www.daloopa.com/src/58815462" TargetMode="External"/><Relationship Id="rId1140" Type="http://schemas.openxmlformats.org/officeDocument/2006/relationships/hyperlink" Target="https://www.daloopa.com/src/58815835" TargetMode="External"/><Relationship Id="rId510" Type="http://schemas.openxmlformats.org/officeDocument/2006/relationships/hyperlink" Target="https://www.daloopa.com/src/58873662" TargetMode="External"/><Relationship Id="rId1000" Type="http://schemas.openxmlformats.org/officeDocument/2006/relationships/hyperlink" Target="https://www.daloopa.com/src/59379342" TargetMode="External"/><Relationship Id="rId1957" Type="http://schemas.openxmlformats.org/officeDocument/2006/relationships/hyperlink" Target="https://www.daloopa.com/src/58809648" TargetMode="External"/><Relationship Id="rId1817" Type="http://schemas.openxmlformats.org/officeDocument/2006/relationships/hyperlink" Target="https://www.daloopa.com/src/58936805" TargetMode="External"/><Relationship Id="rId160" Type="http://schemas.openxmlformats.org/officeDocument/2006/relationships/hyperlink" Target="https://www.daloopa.com/src/59375041" TargetMode="External"/><Relationship Id="rId2798" Type="http://schemas.openxmlformats.org/officeDocument/2006/relationships/hyperlink" Target="https://www.daloopa.com/src/59006285" TargetMode="External"/><Relationship Id="rId977" Type="http://schemas.openxmlformats.org/officeDocument/2006/relationships/hyperlink" Target="https://www.daloopa.com/src/58930914" TargetMode="External"/><Relationship Id="rId2658" Type="http://schemas.openxmlformats.org/officeDocument/2006/relationships/hyperlink" Target="https://marketplace.daloopa.com/text-fundamental?id=58992491&amp;value=5666&amp;" TargetMode="External"/><Relationship Id="rId2865" Type="http://schemas.openxmlformats.org/officeDocument/2006/relationships/hyperlink" Target="https://marketplace.daloopa.com/text-fundamental?id=59085082&amp;value=-1.2&amp;id=59084775&amp;value=-0.5&amp;id=59084399&amp;value=-0.6&amp;" TargetMode="External"/><Relationship Id="rId837" Type="http://schemas.openxmlformats.org/officeDocument/2006/relationships/hyperlink" Target="https://www.daloopa.com/src/58805337" TargetMode="External"/><Relationship Id="rId1467" Type="http://schemas.openxmlformats.org/officeDocument/2006/relationships/hyperlink" Target="https://www.daloopa.com/src/58816038" TargetMode="External"/><Relationship Id="rId1674" Type="http://schemas.openxmlformats.org/officeDocument/2006/relationships/hyperlink" Target="https://www.daloopa.com/src/58809480" TargetMode="External"/><Relationship Id="rId1881" Type="http://schemas.openxmlformats.org/officeDocument/2006/relationships/hyperlink" Target="https://www.daloopa.com/src/58802513" TargetMode="External"/><Relationship Id="rId2518" Type="http://schemas.openxmlformats.org/officeDocument/2006/relationships/hyperlink" Target="https://marketplace.daloopa.com/text-fundamental?id=58988132&amp;value=128&amp;" TargetMode="External"/><Relationship Id="rId2725" Type="http://schemas.openxmlformats.org/officeDocument/2006/relationships/hyperlink" Target="https://www.daloopa.com/src/59005075" TargetMode="External"/><Relationship Id="rId904" Type="http://schemas.openxmlformats.org/officeDocument/2006/relationships/hyperlink" Target="https://www.daloopa.com/src/59756358" TargetMode="External"/><Relationship Id="rId1327" Type="http://schemas.openxmlformats.org/officeDocument/2006/relationships/hyperlink" Target="https://www.daloopa.com/src/58931044" TargetMode="External"/><Relationship Id="rId1534" Type="http://schemas.openxmlformats.org/officeDocument/2006/relationships/hyperlink" Target="https://marketplace.daloopa.com/text-fundamental?id=58932380&amp;value=-951&amp;" TargetMode="External"/><Relationship Id="rId1741" Type="http://schemas.openxmlformats.org/officeDocument/2006/relationships/hyperlink" Target="https://www.daloopa.com/src/59736672" TargetMode="External"/><Relationship Id="rId33" Type="http://schemas.openxmlformats.org/officeDocument/2006/relationships/hyperlink" Target="https://www.daloopa.com/src/58804639" TargetMode="External"/><Relationship Id="rId1601" Type="http://schemas.openxmlformats.org/officeDocument/2006/relationships/hyperlink" Target="https://www.daloopa.com/src/58809472" TargetMode="External"/><Relationship Id="rId487" Type="http://schemas.openxmlformats.org/officeDocument/2006/relationships/hyperlink" Target="https://www.daloopa.com/src/58804875" TargetMode="External"/><Relationship Id="rId694" Type="http://schemas.openxmlformats.org/officeDocument/2006/relationships/hyperlink" Target="https://www.daloopa.com/src/58815495" TargetMode="External"/><Relationship Id="rId2168" Type="http://schemas.openxmlformats.org/officeDocument/2006/relationships/hyperlink" Target="https://marketplace.daloopa.com/text-fundamental?id=58935608&amp;value=130000000&amp;id=58935589&amp;value=130000000&amp;id=58935555&amp;value=130000000&amp;id=58935572&amp;value=130000000&amp;id=58816143&amp;value=135368909&amp;id=58816136&amp;value=152400419&amp;id=58809915&amp;value=152284628&amp;id=58810059&amp;value=141687384&amp;" TargetMode="External"/><Relationship Id="rId2375" Type="http://schemas.openxmlformats.org/officeDocument/2006/relationships/hyperlink" Target="https://www.daloopa.com/src/58985442" TargetMode="External"/><Relationship Id="rId347" Type="http://schemas.openxmlformats.org/officeDocument/2006/relationships/hyperlink" Target="https://www.daloopa.com/src/58804874" TargetMode="External"/><Relationship Id="rId1184" Type="http://schemas.openxmlformats.org/officeDocument/2006/relationships/hyperlink" Target="https://www.daloopa.com/src/58933601" TargetMode="External"/><Relationship Id="rId2028" Type="http://schemas.openxmlformats.org/officeDocument/2006/relationships/hyperlink" Target="https://www.daloopa.com/src/58874713" TargetMode="External"/><Relationship Id="rId2582" Type="http://schemas.openxmlformats.org/officeDocument/2006/relationships/hyperlink" Target="https://marketplace.daloopa.com/text-fundamental?id=58988237&amp;value=0.0006&amp;" TargetMode="External"/><Relationship Id="rId554" Type="http://schemas.openxmlformats.org/officeDocument/2006/relationships/hyperlink" Target="https://www.daloopa.com/src/58815469" TargetMode="External"/><Relationship Id="rId761" Type="http://schemas.openxmlformats.org/officeDocument/2006/relationships/hyperlink" Target="https://www.daloopa.com/src/59368461" TargetMode="External"/><Relationship Id="rId1391" Type="http://schemas.openxmlformats.org/officeDocument/2006/relationships/hyperlink" Target="https://marketplace.daloopa.com/text-fundamental?id=58933750&amp;value=-130&amp;id=59379419&amp;value=-130&amp;id=58934113&amp;value=-80&amp;id=58931052&amp;value=-1061&amp;id=58931061&amp;value=-524&amp;id=58931078&amp;value=2686&amp;id=59379420&amp;value=1021&amp;id=58865953&amp;value=-310&amp;id=58815925&amp;value=-346&amp;id=58815951&amp;value=134&amp;id=58815966&amp;value=244&amp;id=59379421&amp;value=-278&amp;id=58816004&amp;value=58&amp;id=59368522&amp;value=-2604&amp;" TargetMode="External"/><Relationship Id="rId2235" Type="http://schemas.openxmlformats.org/officeDocument/2006/relationships/hyperlink" Target="https://www.daloopa.com/src/58945176" TargetMode="External"/><Relationship Id="rId2442" Type="http://schemas.openxmlformats.org/officeDocument/2006/relationships/hyperlink" Target="https://www.daloopa.com/src/58985458" TargetMode="External"/><Relationship Id="rId207" Type="http://schemas.openxmlformats.org/officeDocument/2006/relationships/hyperlink" Target="https://www.daloopa.com/src/58946697" TargetMode="External"/><Relationship Id="rId414" Type="http://schemas.openxmlformats.org/officeDocument/2006/relationships/hyperlink" Target="https://www.daloopa.com/src/58815191" TargetMode="External"/><Relationship Id="rId621" Type="http://schemas.openxmlformats.org/officeDocument/2006/relationships/hyperlink" Target="https://marketplace.daloopa.com/text-fundamental?id=58881573&amp;value=-36561&amp;" TargetMode="External"/><Relationship Id="rId1044" Type="http://schemas.openxmlformats.org/officeDocument/2006/relationships/hyperlink" Target="https://www.daloopa.com/src/59379350" TargetMode="External"/><Relationship Id="rId1251" Type="http://schemas.openxmlformats.org/officeDocument/2006/relationships/hyperlink" Target="https://www.daloopa.com/src/59379391" TargetMode="External"/><Relationship Id="rId2302" Type="http://schemas.openxmlformats.org/officeDocument/2006/relationships/hyperlink" Target="https://www.daloopa.com/src/59153199" TargetMode="External"/><Relationship Id="rId1111" Type="http://schemas.openxmlformats.org/officeDocument/2006/relationships/hyperlink" Target="https://www.daloopa.com/src/58815812" TargetMode="External"/><Relationship Id="rId1928" Type="http://schemas.openxmlformats.org/officeDocument/2006/relationships/hyperlink" Target="https://www.daloopa.com/src/59368541" TargetMode="External"/><Relationship Id="rId2092" Type="http://schemas.openxmlformats.org/officeDocument/2006/relationships/hyperlink" Target="https://www.daloopa.com/src/58810057" TargetMode="External"/><Relationship Id="rId271" Type="http://schemas.openxmlformats.org/officeDocument/2006/relationships/hyperlink" Target="https://www.daloopa.com/src/58975969" TargetMode="External"/><Relationship Id="rId131" Type="http://schemas.openxmlformats.org/officeDocument/2006/relationships/hyperlink" Target="https://www.daloopa.com/src/59071556" TargetMode="External"/><Relationship Id="rId2769" Type="http://schemas.openxmlformats.org/officeDocument/2006/relationships/hyperlink" Target="https://www.daloopa.com/src/59005135" TargetMode="External"/><Relationship Id="rId948" Type="http://schemas.openxmlformats.org/officeDocument/2006/relationships/hyperlink" Target="https://www.daloopa.com/src/59379331" TargetMode="External"/><Relationship Id="rId1578" Type="http://schemas.openxmlformats.org/officeDocument/2006/relationships/hyperlink" Target="https://www.daloopa.com/src/58809370" TargetMode="External"/><Relationship Id="rId1785" Type="http://schemas.openxmlformats.org/officeDocument/2006/relationships/hyperlink" Target="https://www.daloopa.com/src/59695229" TargetMode="External"/><Relationship Id="rId1992" Type="http://schemas.openxmlformats.org/officeDocument/2006/relationships/hyperlink" Target="https://www.daloopa.com/src/58816123" TargetMode="External"/><Relationship Id="rId2629" Type="http://schemas.openxmlformats.org/officeDocument/2006/relationships/hyperlink" Target="https://marketplace.daloopa.com/text-fundamental?id=58990174&amp;value=916&amp;id=58990062&amp;value=914&amp;" TargetMode="External"/><Relationship Id="rId2836" Type="http://schemas.openxmlformats.org/officeDocument/2006/relationships/hyperlink" Target="https://www.daloopa.com/src/58978546" TargetMode="External"/><Relationship Id="rId77" Type="http://schemas.openxmlformats.org/officeDocument/2006/relationships/hyperlink" Target="https://www.daloopa.com/src/59066395" TargetMode="External"/><Relationship Id="rId808" Type="http://schemas.openxmlformats.org/officeDocument/2006/relationships/hyperlink" Target="https://www.daloopa.com/src/58815547" TargetMode="External"/><Relationship Id="rId1438" Type="http://schemas.openxmlformats.org/officeDocument/2006/relationships/hyperlink" Target="https://www.daloopa.com/src/58931076" TargetMode="External"/><Relationship Id="rId1645" Type="http://schemas.openxmlformats.org/officeDocument/2006/relationships/hyperlink" Target="https://www.daloopa.com/src/58936278" TargetMode="External"/><Relationship Id="rId1852" Type="http://schemas.openxmlformats.org/officeDocument/2006/relationships/hyperlink" Target="https://www.daloopa.com/src/58936794" TargetMode="External"/><Relationship Id="rId2903" Type="http://schemas.openxmlformats.org/officeDocument/2006/relationships/hyperlink" Target="https://www.daloopa.com/src/59091491" TargetMode="External"/><Relationship Id="rId1505" Type="http://schemas.openxmlformats.org/officeDocument/2006/relationships/hyperlink" Target="https://www.daloopa.com/src/58932349" TargetMode="External"/><Relationship Id="rId1712" Type="http://schemas.openxmlformats.org/officeDocument/2006/relationships/hyperlink" Target="https://www.daloopa.com/src/58809366" TargetMode="External"/><Relationship Id="rId598" Type="http://schemas.openxmlformats.org/officeDocument/2006/relationships/hyperlink" Target="https://www.daloopa.com/src/58881558" TargetMode="External"/><Relationship Id="rId2279" Type="http://schemas.openxmlformats.org/officeDocument/2006/relationships/hyperlink" Target="https://www.daloopa.com/src/59076853" TargetMode="External"/><Relationship Id="rId2486" Type="http://schemas.openxmlformats.org/officeDocument/2006/relationships/hyperlink" Target="https://marketplace.daloopa.com/text-fundamental?id=58988136&amp;value=4161&amp;id=58988128&amp;value=3818&amp;id=58988124&amp;value=7618&amp;" TargetMode="External"/><Relationship Id="rId2693" Type="http://schemas.openxmlformats.org/officeDocument/2006/relationships/hyperlink" Target="https://www.daloopa.com/src/58990257" TargetMode="External"/><Relationship Id="rId220" Type="http://schemas.openxmlformats.org/officeDocument/2006/relationships/hyperlink" Target="https://www.daloopa.com/src/58947615" TargetMode="External"/><Relationship Id="rId458" Type="http://schemas.openxmlformats.org/officeDocument/2006/relationships/hyperlink" Target="https://www.daloopa.com/src/58882223" TargetMode="External"/><Relationship Id="rId665" Type="http://schemas.openxmlformats.org/officeDocument/2006/relationships/hyperlink" Target="https://www.daloopa.com/src/58929973" TargetMode="External"/><Relationship Id="rId872" Type="http://schemas.openxmlformats.org/officeDocument/2006/relationships/hyperlink" Target="https://www.daloopa.com/src/58930004" TargetMode="External"/><Relationship Id="rId1088" Type="http://schemas.openxmlformats.org/officeDocument/2006/relationships/hyperlink" Target="https://www.daloopa.com/src/59379359" TargetMode="External"/><Relationship Id="rId1295" Type="http://schemas.openxmlformats.org/officeDocument/2006/relationships/hyperlink" Target="https://www.daloopa.com/src/58815929" TargetMode="External"/><Relationship Id="rId2139" Type="http://schemas.openxmlformats.org/officeDocument/2006/relationships/hyperlink" Target="https://www.daloopa.com/src/58804541" TargetMode="External"/><Relationship Id="rId2346" Type="http://schemas.openxmlformats.org/officeDocument/2006/relationships/hyperlink" Target="https://www.daloopa.com/src/58979823" TargetMode="External"/><Relationship Id="rId2553" Type="http://schemas.openxmlformats.org/officeDocument/2006/relationships/hyperlink" Target="https://www.daloopa.com/src/58988226" TargetMode="External"/><Relationship Id="rId2760" Type="http://schemas.openxmlformats.org/officeDocument/2006/relationships/hyperlink" Target="https://www.daloopa.com/src/59005136" TargetMode="External"/><Relationship Id="rId318" Type="http://schemas.openxmlformats.org/officeDocument/2006/relationships/hyperlink" Target="https://www.daloopa.com/src/58815134" TargetMode="External"/><Relationship Id="rId525" Type="http://schemas.openxmlformats.org/officeDocument/2006/relationships/hyperlink" Target="https://www.daloopa.com/src/58873704" TargetMode="External"/><Relationship Id="rId732" Type="http://schemas.openxmlformats.org/officeDocument/2006/relationships/hyperlink" Target="https://www.daloopa.com/src/58800557" TargetMode="External"/><Relationship Id="rId1155" Type="http://schemas.openxmlformats.org/officeDocument/2006/relationships/hyperlink" Target="https://www.daloopa.com/src/58930918" TargetMode="External"/><Relationship Id="rId1362" Type="http://schemas.openxmlformats.org/officeDocument/2006/relationships/hyperlink" Target="https://www.daloopa.com/src/59368519" TargetMode="External"/><Relationship Id="rId2206" Type="http://schemas.openxmlformats.org/officeDocument/2006/relationships/hyperlink" Target="https://www.daloopa.com/src/58944814" TargetMode="External"/><Relationship Id="rId2413" Type="http://schemas.openxmlformats.org/officeDocument/2006/relationships/hyperlink" Target="https://marketplace.daloopa.com/text-fundamental?id=58987748&amp;value=-61349&amp;id=58985451&amp;value=-4560&amp;id=58985422&amp;value=-2367&amp;" TargetMode="External"/><Relationship Id="rId2620" Type="http://schemas.openxmlformats.org/officeDocument/2006/relationships/hyperlink" Target="https://www.daloopa.com/src/59372886" TargetMode="External"/><Relationship Id="rId2858" Type="http://schemas.openxmlformats.org/officeDocument/2006/relationships/hyperlink" Target="https://www.daloopa.com/src/59084476" TargetMode="External"/><Relationship Id="rId99" Type="http://schemas.openxmlformats.org/officeDocument/2006/relationships/hyperlink" Target="https://www.daloopa.com/src/59069520" TargetMode="External"/><Relationship Id="rId1015" Type="http://schemas.openxmlformats.org/officeDocument/2006/relationships/hyperlink" Target="https://www.daloopa.com/src/59379345" TargetMode="External"/><Relationship Id="rId1222" Type="http://schemas.openxmlformats.org/officeDocument/2006/relationships/hyperlink" Target="https://www.daloopa.com/src/59379386" TargetMode="External"/><Relationship Id="rId1667" Type="http://schemas.openxmlformats.org/officeDocument/2006/relationships/hyperlink" Target="https://www.daloopa.com/src/58816062" TargetMode="External"/><Relationship Id="rId1874" Type="http://schemas.openxmlformats.org/officeDocument/2006/relationships/hyperlink" Target="https://www.daloopa.com/src/58935499" TargetMode="External"/><Relationship Id="rId2718" Type="http://schemas.openxmlformats.org/officeDocument/2006/relationships/hyperlink" Target="https://www.daloopa.com/src/59372600" TargetMode="External"/><Relationship Id="rId2925" Type="http://schemas.openxmlformats.org/officeDocument/2006/relationships/hyperlink" Target="https://www.daloopa.com/src/59373956" TargetMode="External"/><Relationship Id="rId1527" Type="http://schemas.openxmlformats.org/officeDocument/2006/relationships/hyperlink" Target="https://www.daloopa.com/src/58932338" TargetMode="External"/><Relationship Id="rId1734" Type="http://schemas.openxmlformats.org/officeDocument/2006/relationships/hyperlink" Target="https://www.daloopa.com/src/58934442" TargetMode="External"/><Relationship Id="rId1941" Type="http://schemas.openxmlformats.org/officeDocument/2006/relationships/hyperlink" Target="https://www.daloopa.com/src/58809649" TargetMode="External"/><Relationship Id="rId26" Type="http://schemas.openxmlformats.org/officeDocument/2006/relationships/hyperlink" Target="https://www.daloopa.com/src/58810743" TargetMode="External"/><Relationship Id="rId175" Type="http://schemas.openxmlformats.org/officeDocument/2006/relationships/hyperlink" Target="https://www.daloopa.com/src/59083035" TargetMode="External"/><Relationship Id="rId1801" Type="http://schemas.openxmlformats.org/officeDocument/2006/relationships/hyperlink" Target="https://www.daloopa.com/src/58936845" TargetMode="External"/><Relationship Id="rId382" Type="http://schemas.openxmlformats.org/officeDocument/2006/relationships/hyperlink" Target="https://www.daloopa.com/src/58815146" TargetMode="External"/><Relationship Id="rId687" Type="http://schemas.openxmlformats.org/officeDocument/2006/relationships/hyperlink" Target="https://www.daloopa.com/src/58800566" TargetMode="External"/><Relationship Id="rId2063" Type="http://schemas.openxmlformats.org/officeDocument/2006/relationships/hyperlink" Target="https://www.daloopa.com/src/58935581" TargetMode="External"/><Relationship Id="rId2270" Type="http://schemas.openxmlformats.org/officeDocument/2006/relationships/hyperlink" Target="https://www.daloopa.com/src/59074035" TargetMode="External"/><Relationship Id="rId2368" Type="http://schemas.openxmlformats.org/officeDocument/2006/relationships/hyperlink" Target="https://www.daloopa.com/src/58981014" TargetMode="External"/><Relationship Id="rId242" Type="http://schemas.openxmlformats.org/officeDocument/2006/relationships/hyperlink" Target="https://www.daloopa.com/src/58947592" TargetMode="External"/><Relationship Id="rId894" Type="http://schemas.openxmlformats.org/officeDocument/2006/relationships/hyperlink" Target="https://www.daloopa.com/src/58930191" TargetMode="External"/><Relationship Id="rId1177" Type="http://schemas.openxmlformats.org/officeDocument/2006/relationships/hyperlink" Target="https://www.daloopa.com/src/59379376" TargetMode="External"/><Relationship Id="rId2130" Type="http://schemas.openxmlformats.org/officeDocument/2006/relationships/hyperlink" Target="https://marketplace.daloopa.com/text-fundamental?id=58940287&amp;value=-0.1&amp;id=59751942&amp;value=-0.010000000000000009&amp;id=58935605&amp;value=-0.03&amp;id=58935592&amp;value=-0.06&amp;id=58935565&amp;value=-0.07&amp;id=58935574&amp;value=-0.17&amp;id=58874720&amp;value=-0.05&amp;id=58816149&amp;value=-0.1&amp;id=58816135&amp;value=-0.09&amp;id=58809909&amp;value=-0.1&amp;id=58810049&amp;value=-0.35&amp;id=58804541&amp;value=-0.07&amp;id=59368548&amp;value=-0.08&amp;" TargetMode="External"/><Relationship Id="rId2575" Type="http://schemas.openxmlformats.org/officeDocument/2006/relationships/hyperlink" Target="https://www.daloopa.com/src/58988243" TargetMode="External"/><Relationship Id="rId2782" Type="http://schemas.openxmlformats.org/officeDocument/2006/relationships/hyperlink" Target="https://www.daloopa.com/src/59006421" TargetMode="External"/><Relationship Id="rId102" Type="http://schemas.openxmlformats.org/officeDocument/2006/relationships/hyperlink" Target="https://www.daloopa.com/src/59374992" TargetMode="External"/><Relationship Id="rId547" Type="http://schemas.openxmlformats.org/officeDocument/2006/relationships/hyperlink" Target="https://www.daloopa.com/src/58815176" TargetMode="External"/><Relationship Id="rId754" Type="http://schemas.openxmlformats.org/officeDocument/2006/relationships/hyperlink" Target="https://www.daloopa.com/src/59756361" TargetMode="External"/><Relationship Id="rId961" Type="http://schemas.openxmlformats.org/officeDocument/2006/relationships/hyperlink" Target="https://www.daloopa.com/src/58930835" TargetMode="External"/><Relationship Id="rId1384" Type="http://schemas.openxmlformats.org/officeDocument/2006/relationships/hyperlink" Target="https://www.daloopa.com/src/58815949" TargetMode="External"/><Relationship Id="rId1591" Type="http://schemas.openxmlformats.org/officeDocument/2006/relationships/hyperlink" Target="https://www.daloopa.com/src/58934394" TargetMode="External"/><Relationship Id="rId1689" Type="http://schemas.openxmlformats.org/officeDocument/2006/relationships/hyperlink" Target="https://www.daloopa.com/src/58936268" TargetMode="External"/><Relationship Id="rId2228" Type="http://schemas.openxmlformats.org/officeDocument/2006/relationships/hyperlink" Target="https://www.daloopa.com/src/58944624" TargetMode="External"/><Relationship Id="rId2435" Type="http://schemas.openxmlformats.org/officeDocument/2006/relationships/hyperlink" Target="https://www.daloopa.com/src/58985416" TargetMode="External"/><Relationship Id="rId2642" Type="http://schemas.openxmlformats.org/officeDocument/2006/relationships/hyperlink" Target="https://marketplace.daloopa.com/text-fundamental?id=58990170&amp;value=-132&amp;id=58990061&amp;value=-32&amp;id=58990048&amp;value=-18&amp;id=59372551&amp;value=-11&amp;" TargetMode="External"/><Relationship Id="rId90" Type="http://schemas.openxmlformats.org/officeDocument/2006/relationships/hyperlink" Target="https://marketplace.daloopa.com/text-fundamental?id=59069568&amp;value=1&amp;id=59069524&amp;value=1&amp;id=59068034&amp;value=1&amp;id=59068024&amp;value=1&amp;id=59374991&amp;value=1&amp;" TargetMode="External"/><Relationship Id="rId407" Type="http://schemas.openxmlformats.org/officeDocument/2006/relationships/hyperlink" Target="https://www.daloopa.com/src/58873663" TargetMode="External"/><Relationship Id="rId614" Type="http://schemas.openxmlformats.org/officeDocument/2006/relationships/hyperlink" Target="https://www.daloopa.com/src/58881570" TargetMode="External"/><Relationship Id="rId821" Type="http://schemas.openxmlformats.org/officeDocument/2006/relationships/hyperlink" Target="https://www.daloopa.com/src/59368483" TargetMode="External"/><Relationship Id="rId1037" Type="http://schemas.openxmlformats.org/officeDocument/2006/relationships/hyperlink" Target="https://www.daloopa.com/src/58930911" TargetMode="External"/><Relationship Id="rId1244" Type="http://schemas.openxmlformats.org/officeDocument/2006/relationships/hyperlink" Target="https://www.daloopa.com/src/58865922" TargetMode="External"/><Relationship Id="rId1451" Type="http://schemas.openxmlformats.org/officeDocument/2006/relationships/hyperlink" Target="https://www.daloopa.com/src/58865870" TargetMode="External"/><Relationship Id="rId1896" Type="http://schemas.openxmlformats.org/officeDocument/2006/relationships/hyperlink" Target="https://www.daloopa.com/src/58816115" TargetMode="External"/><Relationship Id="rId2502" Type="http://schemas.openxmlformats.org/officeDocument/2006/relationships/hyperlink" Target="https://marketplace.daloopa.com/text-fundamental?id=58988192&amp;value=-118&amp;id=58988182&amp;value=-290&amp;id=58988177&amp;value=1129&amp;" TargetMode="External"/><Relationship Id="rId919" Type="http://schemas.openxmlformats.org/officeDocument/2006/relationships/hyperlink" Target="https://www.daloopa.com/src/58800587" TargetMode="External"/><Relationship Id="rId1104" Type="http://schemas.openxmlformats.org/officeDocument/2006/relationships/hyperlink" Target="https://www.daloopa.com/src/58934069" TargetMode="External"/><Relationship Id="rId1311" Type="http://schemas.openxmlformats.org/officeDocument/2006/relationships/hyperlink" Target="https://www.daloopa.com/src/58815942" TargetMode="External"/><Relationship Id="rId1549" Type="http://schemas.openxmlformats.org/officeDocument/2006/relationships/hyperlink" Target="https://www.daloopa.com/src/58932434" TargetMode="External"/><Relationship Id="rId1756" Type="http://schemas.openxmlformats.org/officeDocument/2006/relationships/hyperlink" Target="https://www.daloopa.com/src/59066250" TargetMode="External"/><Relationship Id="rId1963" Type="http://schemas.openxmlformats.org/officeDocument/2006/relationships/hyperlink" Target="https://marketplace.daloopa.com/text-fundamental?id=58936792&amp;value=2462&amp;id=58936801&amp;value=4639&amp;id=58936808&amp;value=4684&amp;id=58936824&amp;value=4332&amp;id=58936949&amp;value=16117&amp;id=58936843&amp;value=1604&amp;id=58935494&amp;value=4223&amp;id=58935514&amp;value=7713&amp;id=58935519&amp;value=8561&amp;id=58935541&amp;value=22101&amp;id=58874704&amp;value=7092&amp;id=58816113&amp;value=12896&amp;id=58816125&amp;value=13443&amp;id=58809651&amp;value=15747&amp;id=58809717&amp;value=49178&amp;id=58802514&amp;value=11219&amp;id=59368539&amp;value=12669&amp;" TargetMode="External"/><Relationship Id="rId2807" Type="http://schemas.openxmlformats.org/officeDocument/2006/relationships/hyperlink" Target="https://www.daloopa.com/src/58978550" TargetMode="External"/><Relationship Id="rId48" Type="http://schemas.openxmlformats.org/officeDocument/2006/relationships/hyperlink" Target="https://www.daloopa.com/src/58816162" TargetMode="External"/><Relationship Id="rId1409" Type="http://schemas.openxmlformats.org/officeDocument/2006/relationships/hyperlink" Target="https://www.daloopa.com/src/58931045" TargetMode="External"/><Relationship Id="rId1616" Type="http://schemas.openxmlformats.org/officeDocument/2006/relationships/hyperlink" Target="https://www.daloopa.com/src/59368530" TargetMode="External"/><Relationship Id="rId1823" Type="http://schemas.openxmlformats.org/officeDocument/2006/relationships/hyperlink" Target="https://www.daloopa.com/src/58874696" TargetMode="External"/><Relationship Id="rId197" Type="http://schemas.openxmlformats.org/officeDocument/2006/relationships/hyperlink" Target="https://www.daloopa.com/src/58977061" TargetMode="External"/><Relationship Id="rId2085" Type="http://schemas.openxmlformats.org/officeDocument/2006/relationships/hyperlink" Target="https://www.daloopa.com/src/58816145" TargetMode="External"/><Relationship Id="rId2292" Type="http://schemas.openxmlformats.org/officeDocument/2006/relationships/hyperlink" Target="https://www.daloopa.com/src/59152841" TargetMode="External"/><Relationship Id="rId264" Type="http://schemas.openxmlformats.org/officeDocument/2006/relationships/hyperlink" Target="https://www.daloopa.com/src/58976225" TargetMode="External"/><Relationship Id="rId471" Type="http://schemas.openxmlformats.org/officeDocument/2006/relationships/hyperlink" Target="https://www.daloopa.com/src/59368445" TargetMode="External"/><Relationship Id="rId2152" Type="http://schemas.openxmlformats.org/officeDocument/2006/relationships/hyperlink" Target="https://www.daloopa.com/src/58809916" TargetMode="External"/><Relationship Id="rId2597" Type="http://schemas.openxmlformats.org/officeDocument/2006/relationships/hyperlink" Target="https://www.daloopa.com/src/58988233" TargetMode="External"/><Relationship Id="rId124" Type="http://schemas.openxmlformats.org/officeDocument/2006/relationships/hyperlink" Target="https://www.daloopa.com/src/59730559" TargetMode="External"/><Relationship Id="rId569" Type="http://schemas.openxmlformats.org/officeDocument/2006/relationships/hyperlink" Target="https://www.daloopa.com/src/58804862" TargetMode="External"/><Relationship Id="rId776" Type="http://schemas.openxmlformats.org/officeDocument/2006/relationships/hyperlink" Target="https://www.daloopa.com/src/58815515" TargetMode="External"/><Relationship Id="rId983" Type="http://schemas.openxmlformats.org/officeDocument/2006/relationships/hyperlink" Target="https://www.daloopa.com/src/59368500" TargetMode="External"/><Relationship Id="rId1199" Type="http://schemas.openxmlformats.org/officeDocument/2006/relationships/hyperlink" Target="https://www.daloopa.com/src/58933717" TargetMode="External"/><Relationship Id="rId2457" Type="http://schemas.openxmlformats.org/officeDocument/2006/relationships/hyperlink" Target="https://www.daloopa.com/src/59066131" TargetMode="External"/><Relationship Id="rId2664" Type="http://schemas.openxmlformats.org/officeDocument/2006/relationships/hyperlink" Target="https://www.daloopa.com/src/58992489" TargetMode="External"/><Relationship Id="rId331" Type="http://schemas.openxmlformats.org/officeDocument/2006/relationships/hyperlink" Target="https://www.daloopa.com/src/58815460" TargetMode="External"/><Relationship Id="rId429" Type="http://schemas.openxmlformats.org/officeDocument/2006/relationships/hyperlink" Target="https://www.daloopa.com/src/58873710" TargetMode="External"/><Relationship Id="rId636" Type="http://schemas.openxmlformats.org/officeDocument/2006/relationships/hyperlink" Target="https://www.daloopa.com/src/58929977" TargetMode="External"/><Relationship Id="rId1059" Type="http://schemas.openxmlformats.org/officeDocument/2006/relationships/hyperlink" Target="https://www.daloopa.com/src/59379354" TargetMode="External"/><Relationship Id="rId1266" Type="http://schemas.openxmlformats.org/officeDocument/2006/relationships/hyperlink" Target="https://www.daloopa.com/src/59379394" TargetMode="External"/><Relationship Id="rId1473" Type="http://schemas.openxmlformats.org/officeDocument/2006/relationships/hyperlink" Target="https://www.daloopa.com/src/59379429" TargetMode="External"/><Relationship Id="rId2012" Type="http://schemas.openxmlformats.org/officeDocument/2006/relationships/hyperlink" Target="https://www.daloopa.com/src/59695636" TargetMode="External"/><Relationship Id="rId2317" Type="http://schemas.openxmlformats.org/officeDocument/2006/relationships/hyperlink" Target="https://marketplace.daloopa.com/text-fundamental?id=59150521&amp;value=0.8&amp;" TargetMode="External"/><Relationship Id="rId2871" Type="http://schemas.openxmlformats.org/officeDocument/2006/relationships/hyperlink" Target="https://marketplace.daloopa.com/text-fundamental?id=59085250&amp;value=1.7&amp;id=59085232&amp;value=1.5&amp;id=59085415&amp;value=3.3&amp;id=59085330&amp;value=1.3&amp;id=59085262&amp;value=1.7&amp;" TargetMode="External"/><Relationship Id="rId843" Type="http://schemas.openxmlformats.org/officeDocument/2006/relationships/hyperlink" Target="https://marketplace.daloopa.com/text-fundamental?id=58930188&amp;value=6858&amp;id=58873795&amp;value=6208&amp;id=58930012&amp;value=5825&amp;id=58815545&amp;value=7306&amp;id=58815528&amp;value=6607&amp;id=58805324&amp;value=5539&amp;id=58800601&amp;value=3406&amp;id=59368486&amp;value=3104&amp;" TargetMode="External"/><Relationship Id="rId1126" Type="http://schemas.openxmlformats.org/officeDocument/2006/relationships/hyperlink" Target="https://www.daloopa.com/src/58815810" TargetMode="External"/><Relationship Id="rId1680" Type="http://schemas.openxmlformats.org/officeDocument/2006/relationships/hyperlink" Target="https://www.daloopa.com/src/58816063" TargetMode="External"/><Relationship Id="rId1778" Type="http://schemas.openxmlformats.org/officeDocument/2006/relationships/hyperlink" Target="https://marketplace.daloopa.com/text-fundamental?id=59695234&amp;value=10533&amp;" TargetMode="External"/><Relationship Id="rId1985" Type="http://schemas.openxmlformats.org/officeDocument/2006/relationships/hyperlink" Target="https://www.daloopa.com/src/58936827" TargetMode="External"/><Relationship Id="rId2524" Type="http://schemas.openxmlformats.org/officeDocument/2006/relationships/hyperlink" Target="https://marketplace.daloopa.com/text-fundamental?id=58988186&amp;value=-149&amp;" TargetMode="External"/><Relationship Id="rId2731" Type="http://schemas.openxmlformats.org/officeDocument/2006/relationships/hyperlink" Target="https://marketplace.daloopa.com/text-fundamental?id=59004909&amp;value=158279&amp;id=59004651&amp;value=501210&amp;id=59005073&amp;value=505109&amp;id=59004657&amp;value=504774&amp;id=59004624&amp;value=503788&amp;id=59004679&amp;value=515524&amp;id=59004587&amp;value=521411&amp;id=59371635&amp;value=517866&amp;" TargetMode="External"/><Relationship Id="rId2829" Type="http://schemas.openxmlformats.org/officeDocument/2006/relationships/hyperlink" Target="https://www.daloopa.com/src/58978547" TargetMode="External"/><Relationship Id="rId703" Type="http://schemas.openxmlformats.org/officeDocument/2006/relationships/hyperlink" Target="https://www.daloopa.com/src/58815496" TargetMode="External"/><Relationship Id="rId910" Type="http://schemas.openxmlformats.org/officeDocument/2006/relationships/hyperlink" Target="https://www.daloopa.com/src/58800586" TargetMode="External"/><Relationship Id="rId1333" Type="http://schemas.openxmlformats.org/officeDocument/2006/relationships/hyperlink" Target="https://www.daloopa.com/src/58931051" TargetMode="External"/><Relationship Id="rId1540" Type="http://schemas.openxmlformats.org/officeDocument/2006/relationships/hyperlink" Target="https://marketplace.daloopa.com/text-fundamental?id=58932428&amp;value=41143&amp;" TargetMode="External"/><Relationship Id="rId1638" Type="http://schemas.openxmlformats.org/officeDocument/2006/relationships/hyperlink" Target="https://marketplace.daloopa.com/text-fundamental?id=58874670&amp;value=13938&amp;id=58809474&amp;value=13938&amp;" TargetMode="External"/><Relationship Id="rId1400" Type="http://schemas.openxmlformats.org/officeDocument/2006/relationships/hyperlink" Target="https://www.daloopa.com/src/58815966" TargetMode="External"/><Relationship Id="rId1845" Type="http://schemas.openxmlformats.org/officeDocument/2006/relationships/hyperlink" Target="https://www.daloopa.com/src/58802512" TargetMode="External"/><Relationship Id="rId1705" Type="http://schemas.openxmlformats.org/officeDocument/2006/relationships/hyperlink" Target="https://www.daloopa.com/src/58936389" TargetMode="External"/><Relationship Id="rId1912" Type="http://schemas.openxmlformats.org/officeDocument/2006/relationships/hyperlink" Target="https://www.daloopa.com/src/58816108" TargetMode="External"/><Relationship Id="rId286" Type="http://schemas.openxmlformats.org/officeDocument/2006/relationships/hyperlink" Target="https://www.daloopa.com/src/58873667" TargetMode="External"/><Relationship Id="rId493" Type="http://schemas.openxmlformats.org/officeDocument/2006/relationships/hyperlink" Target="https://marketplace.daloopa.com/text-fundamental?id=58881591&amp;value=-341&amp;id=59581267&amp;value=-8659&amp;id=58873632&amp;value=486&amp;id=58873657&amp;value=7009&amp;id=58873707&amp;value=3648&amp;id=58881263&amp;value=2484&amp;id=58864799&amp;value=2760&amp;id=58815463&amp;value=-1295&amp;id=58815141&amp;value=-3059&amp;id=58804869&amp;value=-2527&amp;id=58815181&amp;value=-4121&amp;id=58800402&amp;value=-1517&amp;id=59368458&amp;value=-11319&amp;" TargetMode="External"/><Relationship Id="rId2174" Type="http://schemas.openxmlformats.org/officeDocument/2006/relationships/hyperlink" Target="https://www.daloopa.com/src/58809915" TargetMode="External"/><Relationship Id="rId2381" Type="http://schemas.openxmlformats.org/officeDocument/2006/relationships/hyperlink" Target="https://marketplace.daloopa.com/text-fundamental?id=58987732&amp;value=8277&amp;id=58985450&amp;value=8808&amp;id=58985417&amp;value=5556&amp;" TargetMode="External"/><Relationship Id="rId146" Type="http://schemas.openxmlformats.org/officeDocument/2006/relationships/hyperlink" Target="https://marketplace.daloopa.com/text-fundamental?id=59751932&amp;value=0.1200000000000001&amp;id=59071658&amp;value=1&amp;id=59071644&amp;value=0.4&amp;id=59071655&amp;value=0.08&amp;id=59071654&amp;value=1.6&amp;" TargetMode="External"/><Relationship Id="rId353" Type="http://schemas.openxmlformats.org/officeDocument/2006/relationships/hyperlink" Target="https://marketplace.daloopa.com/text-fundamental?id=58882227&amp;value=92566&amp;id=58882147&amp;value=95888&amp;id=58881411&amp;value=97252&amp;id=58881387&amp;value=103894&amp;id=58881602&amp;value=389600&amp;id=59581281&amp;value=78535&amp;id=58873638&amp;value=111195&amp;id=58873666&amp;value=131489&amp;id=58873695&amp;value=153190&amp;id=58881247&amp;value=474409&amp;id=58864806&amp;value=135239&amp;id=58815452&amp;value=157541&amp;id=58815147&amp;value=168479&amp;id=58804876&amp;value=187213&amp;id=58815183&amp;value=648472&amp;id=58800399&amp;value=172783&amp;id=59368453&amp;value=178781&amp;" TargetMode="External"/><Relationship Id="rId560" Type="http://schemas.openxmlformats.org/officeDocument/2006/relationships/hyperlink" Target="https://www.daloopa.com/src/58881266" TargetMode="External"/><Relationship Id="rId798" Type="http://schemas.openxmlformats.org/officeDocument/2006/relationships/hyperlink" Target="https://www.daloopa.com/src/58930013" TargetMode="External"/><Relationship Id="rId1190" Type="http://schemas.openxmlformats.org/officeDocument/2006/relationships/hyperlink" Target="https://www.daloopa.com/src/58815873" TargetMode="External"/><Relationship Id="rId2034" Type="http://schemas.openxmlformats.org/officeDocument/2006/relationships/hyperlink" Target="https://www.daloopa.com/src/58940283" TargetMode="External"/><Relationship Id="rId2241" Type="http://schemas.openxmlformats.org/officeDocument/2006/relationships/hyperlink" Target="https://marketplace.daloopa.com/text-fundamental?id=58944815&amp;value=190250&amp;id=58944665&amp;value=252054&amp;id=58945175&amp;value=259316&amp;id=58944656&amp;value=268417&amp;id=58944628&amp;value=274916&amp;id=58944575&amp;value=285794&amp;id=58944618&amp;value=294461&amp;id=59370351&amp;value=301649&amp;" TargetMode="External"/><Relationship Id="rId2479" Type="http://schemas.openxmlformats.org/officeDocument/2006/relationships/hyperlink" Target="https://www.daloopa.com/src/58988134" TargetMode="External"/><Relationship Id="rId2686" Type="http://schemas.openxmlformats.org/officeDocument/2006/relationships/hyperlink" Target="https://www.daloopa.com/src/58992494" TargetMode="External"/><Relationship Id="rId2893" Type="http://schemas.openxmlformats.org/officeDocument/2006/relationships/hyperlink" Target="https://www.daloopa.com/src/59373957" TargetMode="External"/><Relationship Id="rId213" Type="http://schemas.openxmlformats.org/officeDocument/2006/relationships/hyperlink" Target="https://www.daloopa.com/src/58947589" TargetMode="External"/><Relationship Id="rId420" Type="http://schemas.openxmlformats.org/officeDocument/2006/relationships/hyperlink" Target="https://www.daloopa.com/src/58815189" TargetMode="External"/><Relationship Id="rId658" Type="http://schemas.openxmlformats.org/officeDocument/2006/relationships/hyperlink" Target="https://www.daloopa.com/src/58815505" TargetMode="External"/><Relationship Id="rId865" Type="http://schemas.openxmlformats.org/officeDocument/2006/relationships/hyperlink" Target="https://www.daloopa.com/src/58815543" TargetMode="External"/><Relationship Id="rId1050" Type="http://schemas.openxmlformats.org/officeDocument/2006/relationships/hyperlink" Target="https://www.daloopa.com/src/58930830" TargetMode="External"/><Relationship Id="rId1288" Type="http://schemas.openxmlformats.org/officeDocument/2006/relationships/hyperlink" Target="https://www.daloopa.com/src/58815928" TargetMode="External"/><Relationship Id="rId1495" Type="http://schemas.openxmlformats.org/officeDocument/2006/relationships/hyperlink" Target="https://www.daloopa.com/src/59379434" TargetMode="External"/><Relationship Id="rId2101" Type="http://schemas.openxmlformats.org/officeDocument/2006/relationships/hyperlink" Target="https://www.daloopa.com/src/58809911" TargetMode="External"/><Relationship Id="rId2339" Type="http://schemas.openxmlformats.org/officeDocument/2006/relationships/hyperlink" Target="https://www.daloopa.com/src/59372018" TargetMode="External"/><Relationship Id="rId2546" Type="http://schemas.openxmlformats.org/officeDocument/2006/relationships/hyperlink" Target="https://www.daloopa.com/src/58988225" TargetMode="External"/><Relationship Id="rId2753" Type="http://schemas.openxmlformats.org/officeDocument/2006/relationships/hyperlink" Target="https://www.daloopa.com/src/59005301" TargetMode="External"/><Relationship Id="rId518" Type="http://schemas.openxmlformats.org/officeDocument/2006/relationships/hyperlink" Target="https://www.daloopa.com/src/58881595" TargetMode="External"/><Relationship Id="rId725" Type="http://schemas.openxmlformats.org/officeDocument/2006/relationships/hyperlink" Target="https://marketplace.daloopa.com/text-fundamental?id=58930153&amp;value=52569&amp;id=58873740&amp;value=435661&amp;id=58929983&amp;value=423117&amp;id=58815478&amp;value=406415&amp;id=58815500&amp;value=389216&amp;id=58805147&amp;value=384766&amp;id=58800557&amp;value=375428&amp;id=59368465&amp;value=357697&amp;" TargetMode="External"/><Relationship Id="rId932" Type="http://schemas.openxmlformats.org/officeDocument/2006/relationships/hyperlink" Target="https://www.daloopa.com/src/59368505" TargetMode="External"/><Relationship Id="rId1148" Type="http://schemas.openxmlformats.org/officeDocument/2006/relationships/hyperlink" Target="https://www.daloopa.com/src/58800679" TargetMode="External"/><Relationship Id="rId1355" Type="http://schemas.openxmlformats.org/officeDocument/2006/relationships/hyperlink" Target="https://www.daloopa.com/src/59379411" TargetMode="External"/><Relationship Id="rId1562" Type="http://schemas.openxmlformats.org/officeDocument/2006/relationships/hyperlink" Target="https://marketplace.daloopa.com/text-fundamental?id=58932444&amp;value=289&amp;" TargetMode="External"/><Relationship Id="rId2406" Type="http://schemas.openxmlformats.org/officeDocument/2006/relationships/hyperlink" Target="https://www.daloopa.com/src/58987739" TargetMode="External"/><Relationship Id="rId2613" Type="http://schemas.openxmlformats.org/officeDocument/2006/relationships/hyperlink" Target="https://www.daloopa.com/src/58988360" TargetMode="External"/><Relationship Id="rId1008" Type="http://schemas.openxmlformats.org/officeDocument/2006/relationships/hyperlink" Target="https://www.daloopa.com/src/58865908" TargetMode="External"/><Relationship Id="rId1215" Type="http://schemas.openxmlformats.org/officeDocument/2006/relationships/hyperlink" Target="https://www.daloopa.com/src/58815904" TargetMode="External"/><Relationship Id="rId1422" Type="http://schemas.openxmlformats.org/officeDocument/2006/relationships/hyperlink" Target="https://www.daloopa.com/src/58933752" TargetMode="External"/><Relationship Id="rId1867" Type="http://schemas.openxmlformats.org/officeDocument/2006/relationships/hyperlink" Target="https://www.daloopa.com/src/58809709" TargetMode="External"/><Relationship Id="rId2820" Type="http://schemas.openxmlformats.org/officeDocument/2006/relationships/hyperlink" Target="https://www.daloopa.com/src/58978531" TargetMode="External"/><Relationship Id="rId2918" Type="http://schemas.openxmlformats.org/officeDocument/2006/relationships/hyperlink" Target="https://www.daloopa.com/src/59086314" TargetMode="External"/><Relationship Id="rId61" Type="http://schemas.openxmlformats.org/officeDocument/2006/relationships/hyperlink" Target="https://www.daloopa.com/src/59066393" TargetMode="External"/><Relationship Id="rId1727" Type="http://schemas.openxmlformats.org/officeDocument/2006/relationships/hyperlink" Target="https://www.daloopa.com/src/58874665" TargetMode="External"/><Relationship Id="rId1934" Type="http://schemas.openxmlformats.org/officeDocument/2006/relationships/hyperlink" Target="https://www.daloopa.com/src/58936811" TargetMode="External"/><Relationship Id="rId19" Type="http://schemas.openxmlformats.org/officeDocument/2006/relationships/hyperlink" Target="https://www.daloopa.com/src/58816174" TargetMode="External"/><Relationship Id="rId2196" Type="http://schemas.openxmlformats.org/officeDocument/2006/relationships/hyperlink" Target="https://www.daloopa.com/src/58941042" TargetMode="External"/><Relationship Id="rId168" Type="http://schemas.openxmlformats.org/officeDocument/2006/relationships/hyperlink" Target="https://www.daloopa.com/src/59084120" TargetMode="External"/><Relationship Id="rId375" Type="http://schemas.openxmlformats.org/officeDocument/2006/relationships/hyperlink" Target="https://www.daloopa.com/src/58881388" TargetMode="External"/><Relationship Id="rId582" Type="http://schemas.openxmlformats.org/officeDocument/2006/relationships/hyperlink" Target="https://www.daloopa.com/src/58815137" TargetMode="External"/><Relationship Id="rId2056" Type="http://schemas.openxmlformats.org/officeDocument/2006/relationships/hyperlink" Target="https://www.daloopa.com/src/58874715" TargetMode="External"/><Relationship Id="rId2263" Type="http://schemas.openxmlformats.org/officeDocument/2006/relationships/hyperlink" Target="https://www.daloopa.com/src/58944655" TargetMode="External"/><Relationship Id="rId2470" Type="http://schemas.openxmlformats.org/officeDocument/2006/relationships/hyperlink" Target="https://www.daloopa.com/src/58988044" TargetMode="External"/><Relationship Id="rId3" Type="http://schemas.openxmlformats.org/officeDocument/2006/relationships/hyperlink" Target="https://www.daloopa.com/document/23015438" TargetMode="External"/><Relationship Id="rId235" Type="http://schemas.openxmlformats.org/officeDocument/2006/relationships/hyperlink" Target="https://www.daloopa.com/src/59379439" TargetMode="External"/><Relationship Id="rId442" Type="http://schemas.openxmlformats.org/officeDocument/2006/relationships/hyperlink" Target="https://www.daloopa.com/src/58881413" TargetMode="External"/><Relationship Id="rId887" Type="http://schemas.openxmlformats.org/officeDocument/2006/relationships/hyperlink" Target="https://www.daloopa.com/src/58930020" TargetMode="External"/><Relationship Id="rId1072" Type="http://schemas.openxmlformats.org/officeDocument/2006/relationships/hyperlink" Target="https://www.daloopa.com/src/59379355" TargetMode="External"/><Relationship Id="rId2123" Type="http://schemas.openxmlformats.org/officeDocument/2006/relationships/hyperlink" Target="https://www.daloopa.com/src/58935582" TargetMode="External"/><Relationship Id="rId2330" Type="http://schemas.openxmlformats.org/officeDocument/2006/relationships/hyperlink" Target="https://www.daloopa.com/src/58979829" TargetMode="External"/><Relationship Id="rId2568" Type="http://schemas.openxmlformats.org/officeDocument/2006/relationships/hyperlink" Target="https://www.daloopa.com/src/58988231" TargetMode="External"/><Relationship Id="rId2775" Type="http://schemas.openxmlformats.org/officeDocument/2006/relationships/hyperlink" Target="https://marketplace.daloopa.com/text-fundamental?id=59006505&amp;value=13224&amp;id=59006351&amp;value=87702&amp;id=59006649&amp;value=85877&amp;id=59006397&amp;value=83828&amp;id=59006286&amp;value=81691&amp;id=59006257&amp;value=79585&amp;id=59006421&amp;value=77641&amp;id=59371642&amp;value=75235&amp;" TargetMode="External"/><Relationship Id="rId302" Type="http://schemas.openxmlformats.org/officeDocument/2006/relationships/hyperlink" Target="https://www.daloopa.com/src/58864791" TargetMode="External"/><Relationship Id="rId747" Type="http://schemas.openxmlformats.org/officeDocument/2006/relationships/hyperlink" Target="https://www.daloopa.com/src/58815487" TargetMode="External"/><Relationship Id="rId954" Type="http://schemas.openxmlformats.org/officeDocument/2006/relationships/hyperlink" Target="https://www.daloopa.com/src/58815844" TargetMode="External"/><Relationship Id="rId1377" Type="http://schemas.openxmlformats.org/officeDocument/2006/relationships/hyperlink" Target="https://www.daloopa.com/src/58933749" TargetMode="External"/><Relationship Id="rId1584" Type="http://schemas.openxmlformats.org/officeDocument/2006/relationships/hyperlink" Target="https://marketplace.daloopa.com/text-fundamental?id=58936246&amp;value=13023&amp;id=58936253&amp;value=12829&amp;id=58936270&amp;value=12757&amp;id=58936283&amp;value=12410&amp;id=58936405&amp;value=51019&amp;id=58936387&amp;value=12830&amp;id=58934460&amp;value=13663&amp;id=58934394&amp;value=11630&amp;id=58934408&amp;value=9261&amp;id=58934447&amp;value=47384&amp;id=58874659&amp;value=6717&amp;id=58816058&amp;value=10452&amp;id=58816049&amp;value=4706&amp;id=58809369&amp;value=3097&amp;id=58809472&amp;value=24972&amp;id=58800878&amp;value=-850&amp;id=59368534&amp;value=3112&amp;" TargetMode="External"/><Relationship Id="rId1791" Type="http://schemas.openxmlformats.org/officeDocument/2006/relationships/hyperlink" Target="https://www.daloopa.com/src/59695233" TargetMode="External"/><Relationship Id="rId2428" Type="http://schemas.openxmlformats.org/officeDocument/2006/relationships/hyperlink" Target="https://marketplace.daloopa.com/text-fundamental?id=58987747&amp;value=-33200&amp;id=58985454&amp;value=-3600&amp;id=58985420&amp;value=-7340&amp;" TargetMode="External"/><Relationship Id="rId2635" Type="http://schemas.openxmlformats.org/officeDocument/2006/relationships/hyperlink" Target="https://www.daloopa.com/src/58990046" TargetMode="External"/><Relationship Id="rId2842" Type="http://schemas.openxmlformats.org/officeDocument/2006/relationships/hyperlink" Target="https://www.daloopa.com/src/58978535" TargetMode="External"/><Relationship Id="rId83" Type="http://schemas.openxmlformats.org/officeDocument/2006/relationships/hyperlink" Target="https://www.daloopa.com/src/59374989" TargetMode="External"/><Relationship Id="rId607" Type="http://schemas.openxmlformats.org/officeDocument/2006/relationships/hyperlink" Target="https://marketplace.daloopa.com/text-fundamental?id=58881566&amp;value=10533&amp;" TargetMode="External"/><Relationship Id="rId814" Type="http://schemas.openxmlformats.org/officeDocument/2006/relationships/hyperlink" Target="https://www.daloopa.com/src/58930181" TargetMode="External"/><Relationship Id="rId1237" Type="http://schemas.openxmlformats.org/officeDocument/2006/relationships/hyperlink" Target="https://www.daloopa.com/src/59379389" TargetMode="External"/><Relationship Id="rId1444" Type="http://schemas.openxmlformats.org/officeDocument/2006/relationships/hyperlink" Target="https://www.daloopa.com/src/59368521" TargetMode="External"/><Relationship Id="rId1651" Type="http://schemas.openxmlformats.org/officeDocument/2006/relationships/hyperlink" Target="https://www.daloopa.com/src/58816061" TargetMode="External"/><Relationship Id="rId1889" Type="http://schemas.openxmlformats.org/officeDocument/2006/relationships/hyperlink" Target="https://www.daloopa.com/src/58936814" TargetMode="External"/><Relationship Id="rId2702" Type="http://schemas.openxmlformats.org/officeDocument/2006/relationships/hyperlink" Target="https://www.daloopa.com/src/58992572" TargetMode="External"/><Relationship Id="rId1304" Type="http://schemas.openxmlformats.org/officeDocument/2006/relationships/hyperlink" Target="https://www.daloopa.com/src/58815941" TargetMode="External"/><Relationship Id="rId1511" Type="http://schemas.openxmlformats.org/officeDocument/2006/relationships/hyperlink" Target="https://www.daloopa.com/src/58932340" TargetMode="External"/><Relationship Id="rId1749" Type="http://schemas.openxmlformats.org/officeDocument/2006/relationships/hyperlink" Target="https://www.daloopa.com/src/58800881" TargetMode="External"/><Relationship Id="rId1956" Type="http://schemas.openxmlformats.org/officeDocument/2006/relationships/hyperlink" Target="https://www.daloopa.com/src/58816126" TargetMode="External"/><Relationship Id="rId1609" Type="http://schemas.openxmlformats.org/officeDocument/2006/relationships/hyperlink" Target="https://www.daloopa.com/src/58934393" TargetMode="External"/><Relationship Id="rId1816" Type="http://schemas.openxmlformats.org/officeDocument/2006/relationships/hyperlink" Target="https://www.daloopa.com/src/58936795" TargetMode="External"/><Relationship Id="rId10" Type="http://schemas.openxmlformats.org/officeDocument/2006/relationships/hyperlink" Target="https://www.daloopa.com/document/23054452" TargetMode="External"/><Relationship Id="rId397" Type="http://schemas.openxmlformats.org/officeDocument/2006/relationships/hyperlink" Target="https://www.daloopa.com/src/58873706" TargetMode="External"/><Relationship Id="rId2078" Type="http://schemas.openxmlformats.org/officeDocument/2006/relationships/hyperlink" Target="https://www.daloopa.com/src/58810055" TargetMode="External"/><Relationship Id="rId2285" Type="http://schemas.openxmlformats.org/officeDocument/2006/relationships/hyperlink" Target="https://marketplace.daloopa.com/text-fundamental?id=59163826&amp;value=231&amp;" TargetMode="External"/><Relationship Id="rId2492" Type="http://schemas.openxmlformats.org/officeDocument/2006/relationships/hyperlink" Target="https://www.daloopa.com/src/58988129" TargetMode="External"/><Relationship Id="rId257" Type="http://schemas.openxmlformats.org/officeDocument/2006/relationships/hyperlink" Target="https://marketplace.daloopa.com/text-fundamental?id=59706383&amp;value=-291&amp;" TargetMode="External"/><Relationship Id="rId464" Type="http://schemas.openxmlformats.org/officeDocument/2006/relationships/hyperlink" Target="https://www.daloopa.com/src/58873656" TargetMode="External"/><Relationship Id="rId1094" Type="http://schemas.openxmlformats.org/officeDocument/2006/relationships/hyperlink" Target="https://www.daloopa.com/src/58930828" TargetMode="External"/><Relationship Id="rId2145" Type="http://schemas.openxmlformats.org/officeDocument/2006/relationships/hyperlink" Target="https://www.daloopa.com/src/59751943" TargetMode="External"/><Relationship Id="rId2797" Type="http://schemas.openxmlformats.org/officeDocument/2006/relationships/hyperlink" Target="https://www.daloopa.com/src/59006399" TargetMode="External"/><Relationship Id="rId117" Type="http://schemas.openxmlformats.org/officeDocument/2006/relationships/hyperlink" Target="https://www.daloopa.com/src/59734139" TargetMode="External"/><Relationship Id="rId671" Type="http://schemas.openxmlformats.org/officeDocument/2006/relationships/hyperlink" Target="https://marketplace.daloopa.com/text-fundamental?id=58930152&amp;value=7640&amp;id=58873735&amp;value=8699&amp;id=58929979&amp;value=13865&amp;id=58815483&amp;value=11338&amp;id=58815503&amp;value=17294&amp;id=58805146&amp;value=14365&amp;id=58800563&amp;value=19089&amp;id=59368468&amp;value=23368&amp;" TargetMode="External"/><Relationship Id="rId769" Type="http://schemas.openxmlformats.org/officeDocument/2006/relationships/hyperlink" Target="https://www.daloopa.com/src/58800596" TargetMode="External"/><Relationship Id="rId976" Type="http://schemas.openxmlformats.org/officeDocument/2006/relationships/hyperlink" Target="https://www.daloopa.com/src/58930834" TargetMode="External"/><Relationship Id="rId1399" Type="http://schemas.openxmlformats.org/officeDocument/2006/relationships/hyperlink" Target="https://www.daloopa.com/src/58815951" TargetMode="External"/><Relationship Id="rId2352" Type="http://schemas.openxmlformats.org/officeDocument/2006/relationships/hyperlink" Target="https://www.daloopa.com/src/58979866" TargetMode="External"/><Relationship Id="rId2657" Type="http://schemas.openxmlformats.org/officeDocument/2006/relationships/hyperlink" Target="https://www.daloopa.com/src/58990067" TargetMode="External"/><Relationship Id="rId324" Type="http://schemas.openxmlformats.org/officeDocument/2006/relationships/hyperlink" Target="https://www.daloopa.com/src/58815175" TargetMode="External"/><Relationship Id="rId531" Type="http://schemas.openxmlformats.org/officeDocument/2006/relationships/hyperlink" Target="https://www.daloopa.com/src/59368444" TargetMode="External"/><Relationship Id="rId629" Type="http://schemas.openxmlformats.org/officeDocument/2006/relationships/hyperlink" Target="https://marketplace.daloopa.com/text-fundamental?id=58881574&amp;value=149686460&amp;" TargetMode="External"/><Relationship Id="rId1161" Type="http://schemas.openxmlformats.org/officeDocument/2006/relationships/hyperlink" Target="https://www.daloopa.com/src/59368499" TargetMode="External"/><Relationship Id="rId1259" Type="http://schemas.openxmlformats.org/officeDocument/2006/relationships/hyperlink" Target="https://www.daloopa.com/src/58865925" TargetMode="External"/><Relationship Id="rId1466" Type="http://schemas.openxmlformats.org/officeDocument/2006/relationships/hyperlink" Target="https://www.daloopa.com/src/58865868" TargetMode="External"/><Relationship Id="rId2005" Type="http://schemas.openxmlformats.org/officeDocument/2006/relationships/hyperlink" Target="https://marketplace.daloopa.com/text-fundamental?id=59695625&amp;value=11102&amp;" TargetMode="External"/><Relationship Id="rId2212" Type="http://schemas.openxmlformats.org/officeDocument/2006/relationships/hyperlink" Target="https://www.daloopa.com/src/58944614" TargetMode="External"/><Relationship Id="rId2864" Type="http://schemas.openxmlformats.org/officeDocument/2006/relationships/hyperlink" Target="https://www.daloopa.com/src/59084776" TargetMode="External"/><Relationship Id="rId836" Type="http://schemas.openxmlformats.org/officeDocument/2006/relationships/hyperlink" Target="https://www.daloopa.com/src/58815526" TargetMode="External"/><Relationship Id="rId1021" Type="http://schemas.openxmlformats.org/officeDocument/2006/relationships/hyperlink" Target="https://www.daloopa.com/src/58930832" TargetMode="External"/><Relationship Id="rId1119" Type="http://schemas.openxmlformats.org/officeDocument/2006/relationships/hyperlink" Target="https://www.daloopa.com/src/58934068" TargetMode="External"/><Relationship Id="rId1673" Type="http://schemas.openxmlformats.org/officeDocument/2006/relationships/hyperlink" Target="https://www.daloopa.com/src/58934449" TargetMode="External"/><Relationship Id="rId1880" Type="http://schemas.openxmlformats.org/officeDocument/2006/relationships/hyperlink" Target="https://www.daloopa.com/src/58809645" TargetMode="External"/><Relationship Id="rId1978" Type="http://schemas.openxmlformats.org/officeDocument/2006/relationships/hyperlink" Target="https://www.daloopa.com/src/58936949" TargetMode="External"/><Relationship Id="rId2517" Type="http://schemas.openxmlformats.org/officeDocument/2006/relationships/hyperlink" Target="https://www.daloopa.com/src/58988131" TargetMode="External"/><Relationship Id="rId2724" Type="http://schemas.openxmlformats.org/officeDocument/2006/relationships/hyperlink" Target="https://www.daloopa.com/src/59004650" TargetMode="External"/><Relationship Id="rId903" Type="http://schemas.openxmlformats.org/officeDocument/2006/relationships/hyperlink" Target="https://www.daloopa.com/src/58930192" TargetMode="External"/><Relationship Id="rId1326" Type="http://schemas.openxmlformats.org/officeDocument/2006/relationships/hyperlink" Target="https://marketplace.daloopa.com/text-fundamental?id=58931044&amp;value=-25000&amp;id=58931066&amp;value=0&amp;id=58931083&amp;value=0&amp;id=59379407&amp;value=-25000&amp;" TargetMode="External"/><Relationship Id="rId1533" Type="http://schemas.openxmlformats.org/officeDocument/2006/relationships/hyperlink" Target="https://www.daloopa.com/src/58932381" TargetMode="External"/><Relationship Id="rId1740" Type="http://schemas.openxmlformats.org/officeDocument/2006/relationships/hyperlink" Target="https://www.daloopa.com/src/59736795" TargetMode="External"/><Relationship Id="rId32" Type="http://schemas.openxmlformats.org/officeDocument/2006/relationships/hyperlink" Target="https://www.daloopa.com/src/58810747" TargetMode="External"/><Relationship Id="rId1600" Type="http://schemas.openxmlformats.org/officeDocument/2006/relationships/hyperlink" Target="https://www.daloopa.com/src/58934447" TargetMode="External"/><Relationship Id="rId1838" Type="http://schemas.openxmlformats.org/officeDocument/2006/relationships/hyperlink" Target="https://www.daloopa.com/src/58935501" TargetMode="External"/><Relationship Id="rId181" Type="http://schemas.openxmlformats.org/officeDocument/2006/relationships/hyperlink" Target="https://www.daloopa.com/src/59083061" TargetMode="External"/><Relationship Id="rId1905" Type="http://schemas.openxmlformats.org/officeDocument/2006/relationships/hyperlink" Target="https://www.daloopa.com/src/58936813" TargetMode="External"/><Relationship Id="rId279" Type="http://schemas.openxmlformats.org/officeDocument/2006/relationships/hyperlink" Target="https://marketplace.daloopa.com/text-fundamental?id=58882224&amp;value=109687&amp;id=58882146&amp;value=121621&amp;id=58881410&amp;value=123769&amp;id=58881386&amp;value=126690&amp;id=58881598&amp;value=481767&amp;id=59581275&amp;value=74054&amp;id=58873637&amp;value=104993&amp;id=58873667&amp;value=136778&amp;id=58873697&amp;value=156544&amp;id=58881253&amp;value=472369&amp;id=58864805&amp;value=132070&amp;id=58815456&amp;value=174826&amp;id=58815136&amp;value=192867&amp;id=58804872&amp;value=212532&amp;id=58815172&amp;value=712295&amp;id=58800398&amp;value=189881&amp;id=59368455&amp;value=201561&amp;" TargetMode="External"/><Relationship Id="rId486" Type="http://schemas.openxmlformats.org/officeDocument/2006/relationships/hyperlink" Target="https://www.daloopa.com/src/58815142" TargetMode="External"/><Relationship Id="rId693" Type="http://schemas.openxmlformats.org/officeDocument/2006/relationships/hyperlink" Target="https://www.daloopa.com/src/58815481" TargetMode="External"/><Relationship Id="rId2167" Type="http://schemas.openxmlformats.org/officeDocument/2006/relationships/hyperlink" Target="https://www.daloopa.com/src/58810058" TargetMode="External"/><Relationship Id="rId2374" Type="http://schemas.openxmlformats.org/officeDocument/2006/relationships/hyperlink" Target="https://www.daloopa.com/src/58987733" TargetMode="External"/><Relationship Id="rId2581" Type="http://schemas.openxmlformats.org/officeDocument/2006/relationships/hyperlink" Target="https://www.daloopa.com/src/58988235" TargetMode="External"/><Relationship Id="rId139" Type="http://schemas.openxmlformats.org/officeDocument/2006/relationships/hyperlink" Target="https://www.daloopa.com/src/59071557" TargetMode="External"/><Relationship Id="rId346" Type="http://schemas.openxmlformats.org/officeDocument/2006/relationships/hyperlink" Target="https://www.daloopa.com/src/58815148" TargetMode="External"/><Relationship Id="rId553" Type="http://schemas.openxmlformats.org/officeDocument/2006/relationships/hyperlink" Target="https://www.daloopa.com/src/58864801" TargetMode="External"/><Relationship Id="rId760" Type="http://schemas.openxmlformats.org/officeDocument/2006/relationships/hyperlink" Target="https://www.daloopa.com/src/58800560" TargetMode="External"/><Relationship Id="rId998" Type="http://schemas.openxmlformats.org/officeDocument/2006/relationships/hyperlink" Target="https://www.daloopa.com/src/59368493" TargetMode="External"/><Relationship Id="rId1183" Type="http://schemas.openxmlformats.org/officeDocument/2006/relationships/hyperlink" Target="https://www.daloopa.com/src/58881408" TargetMode="External"/><Relationship Id="rId1390" Type="http://schemas.openxmlformats.org/officeDocument/2006/relationships/hyperlink" Target="https://www.daloopa.com/src/59379418" TargetMode="External"/><Relationship Id="rId2027" Type="http://schemas.openxmlformats.org/officeDocument/2006/relationships/hyperlink" Target="https://www.daloopa.com/src/58935556" TargetMode="External"/><Relationship Id="rId2234" Type="http://schemas.openxmlformats.org/officeDocument/2006/relationships/hyperlink" Target="https://www.daloopa.com/src/58944660" TargetMode="External"/><Relationship Id="rId2441" Type="http://schemas.openxmlformats.org/officeDocument/2006/relationships/hyperlink" Target="https://www.daloopa.com/src/58987731" TargetMode="External"/><Relationship Id="rId2679" Type="http://schemas.openxmlformats.org/officeDocument/2006/relationships/hyperlink" Target="https://www.daloopa.com/src/58990259" TargetMode="External"/><Relationship Id="rId2886" Type="http://schemas.openxmlformats.org/officeDocument/2006/relationships/hyperlink" Target="https://www.daloopa.com/src/59085462" TargetMode="External"/><Relationship Id="rId206" Type="http://schemas.openxmlformats.org/officeDocument/2006/relationships/hyperlink" Target="https://www.daloopa.com/src/58947614" TargetMode="External"/><Relationship Id="rId413" Type="http://schemas.openxmlformats.org/officeDocument/2006/relationships/hyperlink" Target="https://www.daloopa.com/src/58881265" TargetMode="External"/><Relationship Id="rId858" Type="http://schemas.openxmlformats.org/officeDocument/2006/relationships/hyperlink" Target="https://www.daloopa.com/src/58815523" TargetMode="External"/><Relationship Id="rId1043" Type="http://schemas.openxmlformats.org/officeDocument/2006/relationships/hyperlink" Target="https://www.daloopa.com/src/59368494" TargetMode="External"/><Relationship Id="rId1488" Type="http://schemas.openxmlformats.org/officeDocument/2006/relationships/hyperlink" Target="https://www.daloopa.com/src/58816035" TargetMode="External"/><Relationship Id="rId1695" Type="http://schemas.openxmlformats.org/officeDocument/2006/relationships/hyperlink" Target="https://www.daloopa.com/src/58816055" TargetMode="External"/><Relationship Id="rId2539" Type="http://schemas.openxmlformats.org/officeDocument/2006/relationships/hyperlink" Target="https://www.daloopa.com/src/58988214" TargetMode="External"/><Relationship Id="rId2746" Type="http://schemas.openxmlformats.org/officeDocument/2006/relationships/hyperlink" Target="https://www.daloopa.com/src/59004678" TargetMode="External"/><Relationship Id="rId620" Type="http://schemas.openxmlformats.org/officeDocument/2006/relationships/hyperlink" Target="https://www.daloopa.com/src/58881571" TargetMode="External"/><Relationship Id="rId718" Type="http://schemas.openxmlformats.org/officeDocument/2006/relationships/hyperlink" Target="https://www.daloopa.com/src/58873730" TargetMode="External"/><Relationship Id="rId925" Type="http://schemas.openxmlformats.org/officeDocument/2006/relationships/hyperlink" Target="https://www.daloopa.com/src/58930838" TargetMode="External"/><Relationship Id="rId1250" Type="http://schemas.openxmlformats.org/officeDocument/2006/relationships/hyperlink" Target="https://www.daloopa.com/src/59379390" TargetMode="External"/><Relationship Id="rId1348" Type="http://schemas.openxmlformats.org/officeDocument/2006/relationships/hyperlink" Target="https://www.daloopa.com/src/58865954" TargetMode="External"/><Relationship Id="rId1555" Type="http://schemas.openxmlformats.org/officeDocument/2006/relationships/hyperlink" Target="https://www.daloopa.com/src/58932427" TargetMode="External"/><Relationship Id="rId1762" Type="http://schemas.openxmlformats.org/officeDocument/2006/relationships/hyperlink" Target="https://www.daloopa.com/src/58816066" TargetMode="External"/><Relationship Id="rId2301" Type="http://schemas.openxmlformats.org/officeDocument/2006/relationships/hyperlink" Target="https://marketplace.daloopa.com/text-fundamental?id=59153199&amp;value=1.3&amp;" TargetMode="External"/><Relationship Id="rId2606" Type="http://schemas.openxmlformats.org/officeDocument/2006/relationships/hyperlink" Target="https://www.daloopa.com/src/59372879" TargetMode="External"/><Relationship Id="rId1110" Type="http://schemas.openxmlformats.org/officeDocument/2006/relationships/hyperlink" Target="https://www.daloopa.com/src/58815829" TargetMode="External"/><Relationship Id="rId1208" Type="http://schemas.openxmlformats.org/officeDocument/2006/relationships/hyperlink" Target="https://www.daloopa.com/src/59379382" TargetMode="External"/><Relationship Id="rId1415" Type="http://schemas.openxmlformats.org/officeDocument/2006/relationships/hyperlink" Target="https://www.daloopa.com/src/58815965" TargetMode="External"/><Relationship Id="rId2813" Type="http://schemas.openxmlformats.org/officeDocument/2006/relationships/hyperlink" Target="https://www.daloopa.com/src/58978538" TargetMode="External"/><Relationship Id="rId54" Type="http://schemas.openxmlformats.org/officeDocument/2006/relationships/hyperlink" Target="https://www.daloopa.com/src/58816167" TargetMode="External"/><Relationship Id="rId1622" Type="http://schemas.openxmlformats.org/officeDocument/2006/relationships/hyperlink" Target="https://www.daloopa.com/src/58936255" TargetMode="External"/><Relationship Id="rId1927" Type="http://schemas.openxmlformats.org/officeDocument/2006/relationships/hyperlink" Target="https://www.daloopa.com/src/58802508" TargetMode="External"/><Relationship Id="rId2091" Type="http://schemas.openxmlformats.org/officeDocument/2006/relationships/hyperlink" Target="https://www.daloopa.com/src/58935578" TargetMode="External"/><Relationship Id="rId2189" Type="http://schemas.openxmlformats.org/officeDocument/2006/relationships/hyperlink" Target="https://marketplace.daloopa.com/text-fundamental?id=58941039&amp;value=0.03&amp;" TargetMode="External"/><Relationship Id="rId270" Type="http://schemas.openxmlformats.org/officeDocument/2006/relationships/hyperlink" Target="https://www.daloopa.com/src/58976226" TargetMode="External"/><Relationship Id="rId2396" Type="http://schemas.openxmlformats.org/officeDocument/2006/relationships/hyperlink" Target="https://www.daloopa.com/src/58985421" TargetMode="External"/><Relationship Id="rId130" Type="http://schemas.openxmlformats.org/officeDocument/2006/relationships/hyperlink" Target="https://www.daloopa.com/src/59071642" TargetMode="External"/><Relationship Id="rId368" Type="http://schemas.openxmlformats.org/officeDocument/2006/relationships/hyperlink" Target="https://www.daloopa.com/src/58881602" TargetMode="External"/><Relationship Id="rId575" Type="http://schemas.openxmlformats.org/officeDocument/2006/relationships/hyperlink" Target="https://marketplace.daloopa.com/text-fundamental?id=58881607&amp;value=163879766&amp;id=59581273&amp;value=130000000&amp;id=58873635&amp;value=130000000&amp;id=58873669&amp;value=130000000&amp;id=58873693&amp;value=130000000&amp;id=58881248&amp;value=130000000&amp;id=58864803&amp;value=130000000&amp;id=58815450&amp;value=135368909&amp;id=58815137&amp;value=152400419&amp;id=58804863&amp;value=152284628&amp;id=58815174&amp;value=141687384&amp;id=58800415&amp;value=152348806&amp;id=59368451&amp;value=152360350&amp;" TargetMode="External"/><Relationship Id="rId782" Type="http://schemas.openxmlformats.org/officeDocument/2006/relationships/hyperlink" Target="https://www.daloopa.com/src/58873793" TargetMode="External"/><Relationship Id="rId2049" Type="http://schemas.openxmlformats.org/officeDocument/2006/relationships/hyperlink" Target="https://www.daloopa.com/src/58935580" TargetMode="External"/><Relationship Id="rId2256" Type="http://schemas.openxmlformats.org/officeDocument/2006/relationships/hyperlink" Target="https://www.daloopa.com/src/58944574" TargetMode="External"/><Relationship Id="rId2463" Type="http://schemas.openxmlformats.org/officeDocument/2006/relationships/hyperlink" Target="https://www.daloopa.com/src/58987996" TargetMode="External"/><Relationship Id="rId2670" Type="http://schemas.openxmlformats.org/officeDocument/2006/relationships/hyperlink" Target="https://www.daloopa.com/src/59372597" TargetMode="External"/><Relationship Id="rId228" Type="http://schemas.openxmlformats.org/officeDocument/2006/relationships/hyperlink" Target="https://www.daloopa.com/src/58947474" TargetMode="External"/><Relationship Id="rId435" Type="http://schemas.openxmlformats.org/officeDocument/2006/relationships/hyperlink" Target="https://www.daloopa.com/src/59368447" TargetMode="External"/><Relationship Id="rId642" Type="http://schemas.openxmlformats.org/officeDocument/2006/relationships/hyperlink" Target="https://marketplace.daloopa.com/text-fundamental?id=58930149&amp;value=126&amp;id=58873737&amp;value=152&amp;id=58929978&amp;value=156&amp;id=58815489&amp;value=156&amp;id=58815504&amp;value=150&amp;id=58805152&amp;value=148&amp;id=58800565&amp;value=248&amp;id=59368471&amp;value=229&amp;" TargetMode="External"/><Relationship Id="rId1065" Type="http://schemas.openxmlformats.org/officeDocument/2006/relationships/hyperlink" Target="https://www.daloopa.com/src/58930912" TargetMode="External"/><Relationship Id="rId1272" Type="http://schemas.openxmlformats.org/officeDocument/2006/relationships/hyperlink" Target="https://www.daloopa.com/src/59379396" TargetMode="External"/><Relationship Id="rId2116" Type="http://schemas.openxmlformats.org/officeDocument/2006/relationships/hyperlink" Target="https://www.daloopa.com/src/58804540" TargetMode="External"/><Relationship Id="rId2323" Type="http://schemas.openxmlformats.org/officeDocument/2006/relationships/hyperlink" Target="https://www.daloopa.com/src/58979971" TargetMode="External"/><Relationship Id="rId2530" Type="http://schemas.openxmlformats.org/officeDocument/2006/relationships/hyperlink" Target="https://marketplace.daloopa.com/text-fundamental?id=58988189&amp;value=-871&amp;" TargetMode="External"/><Relationship Id="rId2768" Type="http://schemas.openxmlformats.org/officeDocument/2006/relationships/hyperlink" Target="https://www.daloopa.com/src/59006034" TargetMode="External"/><Relationship Id="rId502" Type="http://schemas.openxmlformats.org/officeDocument/2006/relationships/hyperlink" Target="https://www.daloopa.com/src/58800402" TargetMode="External"/><Relationship Id="rId947" Type="http://schemas.openxmlformats.org/officeDocument/2006/relationships/hyperlink" Target="https://www.daloopa.com/src/59368506" TargetMode="External"/><Relationship Id="rId1132" Type="http://schemas.openxmlformats.org/officeDocument/2006/relationships/hyperlink" Target="https://marketplace.daloopa.com/text-fundamental?id=58933607&amp;value=-13&amp;id=59379370&amp;value=-13&amp;id=58934067&amp;value=296&amp;id=58930727&amp;value=-312&amp;id=58930829&amp;value=-64&amp;id=58930921&amp;value=-191&amp;id=59379371&amp;value=-271&amp;id=58865900&amp;value=31&amp;id=58815867&amp;value=75&amp;id=58815835&amp;value=-33&amp;id=58815809&amp;value=123&amp;id=59379372&amp;value=196&amp;id=58800678&amp;value=-254&amp;id=59368498&amp;value=-18&amp;" TargetMode="External"/><Relationship Id="rId1577" Type="http://schemas.openxmlformats.org/officeDocument/2006/relationships/hyperlink" Target="https://www.daloopa.com/src/58816046" TargetMode="External"/><Relationship Id="rId1784" Type="http://schemas.openxmlformats.org/officeDocument/2006/relationships/hyperlink" Target="https://marketplace.daloopa.com/text-fundamental?id=59695229&amp;value=327&amp;" TargetMode="External"/><Relationship Id="rId1991" Type="http://schemas.openxmlformats.org/officeDocument/2006/relationships/hyperlink" Target="https://www.daloopa.com/src/58816110" TargetMode="External"/><Relationship Id="rId2628" Type="http://schemas.openxmlformats.org/officeDocument/2006/relationships/hyperlink" Target="https://www.daloopa.com/src/59372555" TargetMode="External"/><Relationship Id="rId2835" Type="http://schemas.openxmlformats.org/officeDocument/2006/relationships/hyperlink" Target="https://www.daloopa.com/src/58978554" TargetMode="External"/><Relationship Id="rId76" Type="http://schemas.openxmlformats.org/officeDocument/2006/relationships/hyperlink" Target="https://marketplace.daloopa.com/text-fundamental?id=59066395&amp;value=0.5&amp;id=59066390&amp;value=0.5&amp;id=59374988&amp;value=0.5&amp;" TargetMode="External"/><Relationship Id="rId807" Type="http://schemas.openxmlformats.org/officeDocument/2006/relationships/hyperlink" Target="https://www.daloopa.com/src/58930015" TargetMode="External"/><Relationship Id="rId1437" Type="http://schemas.openxmlformats.org/officeDocument/2006/relationships/hyperlink" Target="https://www.daloopa.com/src/58931072" TargetMode="External"/><Relationship Id="rId1644" Type="http://schemas.openxmlformats.org/officeDocument/2006/relationships/hyperlink" Target="https://www.daloopa.com/src/58936264" TargetMode="External"/><Relationship Id="rId1851" Type="http://schemas.openxmlformats.org/officeDocument/2006/relationships/hyperlink" Target="https://www.daloopa.com/src/58936791" TargetMode="External"/><Relationship Id="rId2902" Type="http://schemas.openxmlformats.org/officeDocument/2006/relationships/hyperlink" Target="https://www.daloopa.com/src/59091621" TargetMode="External"/><Relationship Id="rId1504" Type="http://schemas.openxmlformats.org/officeDocument/2006/relationships/hyperlink" Target="https://marketplace.daloopa.com/text-fundamental?id=58932349&amp;value=102&amp;" TargetMode="External"/><Relationship Id="rId1711" Type="http://schemas.openxmlformats.org/officeDocument/2006/relationships/hyperlink" Target="https://www.daloopa.com/src/58816048" TargetMode="External"/><Relationship Id="rId1949" Type="http://schemas.openxmlformats.org/officeDocument/2006/relationships/hyperlink" Target="https://www.daloopa.com/src/58936830" TargetMode="External"/><Relationship Id="rId292" Type="http://schemas.openxmlformats.org/officeDocument/2006/relationships/hyperlink" Target="https://www.daloopa.com/src/58800398" TargetMode="External"/><Relationship Id="rId1809" Type="http://schemas.openxmlformats.org/officeDocument/2006/relationships/hyperlink" Target="https://www.daloopa.com/src/58802510" TargetMode="External"/><Relationship Id="rId597" Type="http://schemas.openxmlformats.org/officeDocument/2006/relationships/hyperlink" Target="https://marketplace.daloopa.com/text-fundamental?id=58881558&amp;value=2105&amp;" TargetMode="External"/><Relationship Id="rId2180" Type="http://schemas.openxmlformats.org/officeDocument/2006/relationships/hyperlink" Target="https://www.daloopa.com/src/59368549" TargetMode="External"/><Relationship Id="rId2278" Type="http://schemas.openxmlformats.org/officeDocument/2006/relationships/hyperlink" Target="https://www.daloopa.com/src/59078301" TargetMode="External"/><Relationship Id="rId2485" Type="http://schemas.openxmlformats.org/officeDocument/2006/relationships/hyperlink" Target="https://www.daloopa.com/src/58988123" TargetMode="External"/><Relationship Id="rId152" Type="http://schemas.openxmlformats.org/officeDocument/2006/relationships/hyperlink" Target="https://marketplace.daloopa.com/text-fundamental?id=59073101&amp;value=189881&amp;id=59375039&amp;value=201561&amp;" TargetMode="External"/><Relationship Id="rId457" Type="http://schemas.openxmlformats.org/officeDocument/2006/relationships/hyperlink" Target="https://marketplace.daloopa.com/text-fundamental?id=58882223&amp;value=902&amp;id=58882145&amp;value=2184&amp;id=58881406&amp;value=2172&amp;id=58881392&amp;value=1640&amp;id=58881589&amp;value=6898&amp;id=59581269&amp;value=-4920&amp;id=58873630&amp;value=-3499&amp;id=58873656&amp;value=-2889&amp;id=58873692&amp;value=-47&amp;id=58881259&amp;value=-11355&amp;id=58864792&amp;value=-4435&amp;id=58815454&amp;value=3063&amp;id=58815150&amp;value=3397&amp;id=58804867&amp;value=6837&amp;id=58815184&amp;value=8862&amp;id=58800401&amp;value=4935&amp;id=59368445&amp;value=5432&amp;" TargetMode="External"/><Relationship Id="rId1087" Type="http://schemas.openxmlformats.org/officeDocument/2006/relationships/hyperlink" Target="https://www.daloopa.com/src/59379358" TargetMode="External"/><Relationship Id="rId1294" Type="http://schemas.openxmlformats.org/officeDocument/2006/relationships/hyperlink" Target="https://www.daloopa.com/src/58865952" TargetMode="External"/><Relationship Id="rId2040" Type="http://schemas.openxmlformats.org/officeDocument/2006/relationships/hyperlink" Target="https://www.daloopa.com/src/58935593" TargetMode="External"/><Relationship Id="rId2138" Type="http://schemas.openxmlformats.org/officeDocument/2006/relationships/hyperlink" Target="https://www.daloopa.com/src/58809909" TargetMode="External"/><Relationship Id="rId2692" Type="http://schemas.openxmlformats.org/officeDocument/2006/relationships/hyperlink" Target="https://www.daloopa.com/src/58992294" TargetMode="External"/><Relationship Id="rId664" Type="http://schemas.openxmlformats.org/officeDocument/2006/relationships/hyperlink" Target="https://www.daloopa.com/src/58873731" TargetMode="External"/><Relationship Id="rId871" Type="http://schemas.openxmlformats.org/officeDocument/2006/relationships/hyperlink" Target="https://www.daloopa.com/src/58873786" TargetMode="External"/><Relationship Id="rId969" Type="http://schemas.openxmlformats.org/officeDocument/2006/relationships/hyperlink" Target="https://www.daloopa.com/src/59379335" TargetMode="External"/><Relationship Id="rId1599" Type="http://schemas.openxmlformats.org/officeDocument/2006/relationships/hyperlink" Target="https://www.daloopa.com/src/58936405" TargetMode="External"/><Relationship Id="rId2345" Type="http://schemas.openxmlformats.org/officeDocument/2006/relationships/hyperlink" Target="https://www.daloopa.com/src/58979969" TargetMode="External"/><Relationship Id="rId2552" Type="http://schemas.openxmlformats.org/officeDocument/2006/relationships/hyperlink" Target="https://marketplace.daloopa.com/text-fundamental?id=58988226&amp;value=-0.0109&amp;id=58988211&amp;value=0.0521&amp;" TargetMode="External"/><Relationship Id="rId317" Type="http://schemas.openxmlformats.org/officeDocument/2006/relationships/hyperlink" Target="https://www.daloopa.com/src/58815461" TargetMode="External"/><Relationship Id="rId524" Type="http://schemas.openxmlformats.org/officeDocument/2006/relationships/hyperlink" Target="https://www.daloopa.com/src/58873654" TargetMode="External"/><Relationship Id="rId731" Type="http://schemas.openxmlformats.org/officeDocument/2006/relationships/hyperlink" Target="https://www.daloopa.com/src/58805147" TargetMode="External"/><Relationship Id="rId1154" Type="http://schemas.openxmlformats.org/officeDocument/2006/relationships/hyperlink" Target="https://www.daloopa.com/src/58930822" TargetMode="External"/><Relationship Id="rId1361" Type="http://schemas.openxmlformats.org/officeDocument/2006/relationships/hyperlink" Target="https://www.daloopa.com/src/58816006" TargetMode="External"/><Relationship Id="rId1459" Type="http://schemas.openxmlformats.org/officeDocument/2006/relationships/hyperlink" Target="https://www.daloopa.com/src/59379427" TargetMode="External"/><Relationship Id="rId2205" Type="http://schemas.openxmlformats.org/officeDocument/2006/relationships/hyperlink" Target="https://marketplace.daloopa.com/text-fundamental?id=58944814&amp;value=46639&amp;id=58944661&amp;value=15214&amp;id=58945172&amp;value=16793&amp;id=58944652&amp;value=17626&amp;id=58944627&amp;value=18687&amp;id=58944580&amp;value=20462&amp;id=58944614&amp;value=22385&amp;id=59370349&amp;value=23450&amp;" TargetMode="External"/><Relationship Id="rId2412" Type="http://schemas.openxmlformats.org/officeDocument/2006/relationships/hyperlink" Target="https://www.daloopa.com/src/58987737" TargetMode="External"/><Relationship Id="rId2857" Type="http://schemas.openxmlformats.org/officeDocument/2006/relationships/hyperlink" Target="https://www.daloopa.com/src/59085081" TargetMode="External"/><Relationship Id="rId98" Type="http://schemas.openxmlformats.org/officeDocument/2006/relationships/hyperlink" Target="https://www.daloopa.com/src/59069570" TargetMode="External"/><Relationship Id="rId829" Type="http://schemas.openxmlformats.org/officeDocument/2006/relationships/hyperlink" Target="https://www.daloopa.com/src/58800592" TargetMode="External"/><Relationship Id="rId1014" Type="http://schemas.openxmlformats.org/officeDocument/2006/relationships/hyperlink" Target="https://www.daloopa.com/src/59379344" TargetMode="External"/><Relationship Id="rId1221" Type="http://schemas.openxmlformats.org/officeDocument/2006/relationships/hyperlink" Target="https://www.daloopa.com/src/59368511" TargetMode="External"/><Relationship Id="rId1666" Type="http://schemas.openxmlformats.org/officeDocument/2006/relationships/hyperlink" Target="https://www.daloopa.com/src/58874668" TargetMode="External"/><Relationship Id="rId1873" Type="http://schemas.openxmlformats.org/officeDocument/2006/relationships/hyperlink" Target="https://www.daloopa.com/src/58936847" TargetMode="External"/><Relationship Id="rId2717" Type="http://schemas.openxmlformats.org/officeDocument/2006/relationships/hyperlink" Target="https://www.daloopa.com/src/58992574" TargetMode="External"/><Relationship Id="rId2924" Type="http://schemas.openxmlformats.org/officeDocument/2006/relationships/hyperlink" Target="https://marketplace.daloopa.com/text-fundamental?id=59373956&amp;value=1.3&amp;" TargetMode="External"/><Relationship Id="rId1319" Type="http://schemas.openxmlformats.org/officeDocument/2006/relationships/hyperlink" Target="https://www.daloopa.com/src/59379405" TargetMode="External"/><Relationship Id="rId1526" Type="http://schemas.openxmlformats.org/officeDocument/2006/relationships/hyperlink" Target="https://marketplace.daloopa.com/text-fundamental?id=58932338&amp;value=767&amp;" TargetMode="External"/><Relationship Id="rId1733" Type="http://schemas.openxmlformats.org/officeDocument/2006/relationships/hyperlink" Target="https://www.daloopa.com/src/58939671" TargetMode="External"/><Relationship Id="rId1940" Type="http://schemas.openxmlformats.org/officeDocument/2006/relationships/hyperlink" Target="https://www.daloopa.com/src/58816127" TargetMode="External"/><Relationship Id="rId25" Type="http://schemas.openxmlformats.org/officeDocument/2006/relationships/hyperlink" Target="https://www.daloopa.com/src/58816171" TargetMode="External"/><Relationship Id="rId1800" Type="http://schemas.openxmlformats.org/officeDocument/2006/relationships/hyperlink" Target="https://www.daloopa.com/src/58936823" TargetMode="External"/><Relationship Id="rId174" Type="http://schemas.openxmlformats.org/officeDocument/2006/relationships/hyperlink" Target="https://www.daloopa.com/src/59084280" TargetMode="External"/><Relationship Id="rId381" Type="http://schemas.openxmlformats.org/officeDocument/2006/relationships/hyperlink" Target="https://www.daloopa.com/src/58815458" TargetMode="External"/><Relationship Id="rId2062" Type="http://schemas.openxmlformats.org/officeDocument/2006/relationships/hyperlink" Target="https://www.daloopa.com/src/58940284" TargetMode="External"/><Relationship Id="rId241" Type="http://schemas.openxmlformats.org/officeDocument/2006/relationships/hyperlink" Target="https://marketplace.daloopa.com/text-fundamental?id=58947569&amp;value=481767&amp;id=58947592&amp;value=104993&amp;id=58947521&amp;value=136778&amp;id=58947530&amp;value=472369&amp;id=58947613&amp;value=132070&amp;id=58947588&amp;value=174826&amp;id=58947491&amp;value=192867&amp;id=59379440&amp;value=212532&amp;id=58947475&amp;value=712295&amp;id=58946694&amp;value=189881&amp;id=59372935&amp;value=201561&amp;" TargetMode="External"/><Relationship Id="rId479" Type="http://schemas.openxmlformats.org/officeDocument/2006/relationships/hyperlink" Target="https://www.daloopa.com/src/58881391" TargetMode="External"/><Relationship Id="rId686" Type="http://schemas.openxmlformats.org/officeDocument/2006/relationships/hyperlink" Target="https://www.daloopa.com/src/58805144" TargetMode="External"/><Relationship Id="rId893" Type="http://schemas.openxmlformats.org/officeDocument/2006/relationships/hyperlink" Target="https://marketplace.daloopa.com/text-fundamental?id=58930191&amp;value=-12852&amp;id=58873791&amp;value=2484&amp;id=58930017&amp;value=5244&amp;id=58815544&amp;value=3949&amp;id=58815530&amp;value=890&amp;id=58805322&amp;value=-1637&amp;id=58800598&amp;value=-3154&amp;id=59368476&amp;value=-14473&amp;" TargetMode="External"/><Relationship Id="rId2367" Type="http://schemas.openxmlformats.org/officeDocument/2006/relationships/hyperlink" Target="https://marketplace.daloopa.com/text-fundamental?id=58981014&amp;value=156&amp;" TargetMode="External"/><Relationship Id="rId2574" Type="http://schemas.openxmlformats.org/officeDocument/2006/relationships/hyperlink" Target="https://marketplace.daloopa.com/text-fundamental?id=58988243&amp;value=0.1671&amp;id=58988229&amp;value=0.1929&amp;id=58988215&amp;value=0.3557&amp;" TargetMode="External"/><Relationship Id="rId2781" Type="http://schemas.openxmlformats.org/officeDocument/2006/relationships/hyperlink" Target="https://www.daloopa.com/src/59006257" TargetMode="External"/><Relationship Id="rId339" Type="http://schemas.openxmlformats.org/officeDocument/2006/relationships/hyperlink" Target="https://marketplace.daloopa.com/text-fundamental?id=58881599&amp;value=25953&amp;id=59581282&amp;value=24487&amp;id=58873624&amp;value=36572&amp;id=58873652&amp;value=36756&amp;id=58873699&amp;value=37242&amp;id=58881255&amp;value=135057&amp;id=58864795&amp;value=34763&amp;id=58815459&amp;value=35918&amp;id=58815148&amp;value=35812&amp;id=58804874&amp;value=36322&amp;id=58815180&amp;value=142815&amp;id=58800410&amp;value=34034&amp;id=59368443&amp;value=34407&amp;" TargetMode="External"/><Relationship Id="rId546" Type="http://schemas.openxmlformats.org/officeDocument/2006/relationships/hyperlink" Target="https://www.daloopa.com/src/58881267" TargetMode="External"/><Relationship Id="rId753" Type="http://schemas.openxmlformats.org/officeDocument/2006/relationships/hyperlink" Target="https://www.daloopa.com/src/58930154" TargetMode="External"/><Relationship Id="rId1176" Type="http://schemas.openxmlformats.org/officeDocument/2006/relationships/hyperlink" Target="https://www.daloopa.com/src/59368496" TargetMode="External"/><Relationship Id="rId1383" Type="http://schemas.openxmlformats.org/officeDocument/2006/relationships/hyperlink" Target="https://www.daloopa.com/src/58815921" TargetMode="External"/><Relationship Id="rId2227" Type="http://schemas.openxmlformats.org/officeDocument/2006/relationships/hyperlink" Target="https://www.daloopa.com/src/58944651" TargetMode="External"/><Relationship Id="rId2434" Type="http://schemas.openxmlformats.org/officeDocument/2006/relationships/hyperlink" Target="https://www.daloopa.com/src/58985456" TargetMode="External"/><Relationship Id="rId2879" Type="http://schemas.openxmlformats.org/officeDocument/2006/relationships/hyperlink" Target="https://marketplace.daloopa.com/text-fundamental?id=59085461&amp;value=7.3&amp;" TargetMode="External"/><Relationship Id="rId101" Type="http://schemas.openxmlformats.org/officeDocument/2006/relationships/hyperlink" Target="https://www.daloopa.com/src/59068025" TargetMode="External"/><Relationship Id="rId406" Type="http://schemas.openxmlformats.org/officeDocument/2006/relationships/hyperlink" Target="https://www.daloopa.com/src/58873631" TargetMode="External"/><Relationship Id="rId960" Type="http://schemas.openxmlformats.org/officeDocument/2006/relationships/hyperlink" Target="https://www.daloopa.com/src/58930740" TargetMode="External"/><Relationship Id="rId1036" Type="http://schemas.openxmlformats.org/officeDocument/2006/relationships/hyperlink" Target="https://www.daloopa.com/src/58930831" TargetMode="External"/><Relationship Id="rId1243" Type="http://schemas.openxmlformats.org/officeDocument/2006/relationships/hyperlink" Target="https://www.daloopa.com/src/58930959" TargetMode="External"/><Relationship Id="rId1590" Type="http://schemas.openxmlformats.org/officeDocument/2006/relationships/hyperlink" Target="https://www.daloopa.com/src/58934460" TargetMode="External"/><Relationship Id="rId1688" Type="http://schemas.openxmlformats.org/officeDocument/2006/relationships/hyperlink" Target="https://www.daloopa.com/src/58936252" TargetMode="External"/><Relationship Id="rId1895" Type="http://schemas.openxmlformats.org/officeDocument/2006/relationships/hyperlink" Target="https://www.daloopa.com/src/58874700" TargetMode="External"/><Relationship Id="rId2641" Type="http://schemas.openxmlformats.org/officeDocument/2006/relationships/hyperlink" Target="https://www.daloopa.com/src/59372552" TargetMode="External"/><Relationship Id="rId2739" Type="http://schemas.openxmlformats.org/officeDocument/2006/relationships/hyperlink" Target="https://www.daloopa.com/src/59371635" TargetMode="External"/><Relationship Id="rId613" Type="http://schemas.openxmlformats.org/officeDocument/2006/relationships/hyperlink" Target="https://marketplace.daloopa.com/text-fundamental?id=58881570&amp;value=-37401&amp;" TargetMode="External"/><Relationship Id="rId820" Type="http://schemas.openxmlformats.org/officeDocument/2006/relationships/hyperlink" Target="https://www.daloopa.com/src/58800594" TargetMode="External"/><Relationship Id="rId918" Type="http://schemas.openxmlformats.org/officeDocument/2006/relationships/hyperlink" Target="https://www.daloopa.com/src/58805328" TargetMode="External"/><Relationship Id="rId1450" Type="http://schemas.openxmlformats.org/officeDocument/2006/relationships/hyperlink" Target="https://www.daloopa.com/src/58931097" TargetMode="External"/><Relationship Id="rId1548" Type="http://schemas.openxmlformats.org/officeDocument/2006/relationships/hyperlink" Target="https://marketplace.daloopa.com/text-fundamental?id=58932434&amp;value=-11122&amp;" TargetMode="External"/><Relationship Id="rId1755" Type="http://schemas.openxmlformats.org/officeDocument/2006/relationships/hyperlink" Target="https://www.daloopa.com/src/59066249" TargetMode="External"/><Relationship Id="rId2501" Type="http://schemas.openxmlformats.org/officeDocument/2006/relationships/hyperlink" Target="https://www.daloopa.com/src/58988176" TargetMode="External"/><Relationship Id="rId1103" Type="http://schemas.openxmlformats.org/officeDocument/2006/relationships/hyperlink" Target="https://www.daloopa.com/src/58933595" TargetMode="External"/><Relationship Id="rId1310" Type="http://schemas.openxmlformats.org/officeDocument/2006/relationships/hyperlink" Target="https://www.daloopa.com/src/58815930" TargetMode="External"/><Relationship Id="rId1408" Type="http://schemas.openxmlformats.org/officeDocument/2006/relationships/hyperlink" Target="https://www.daloopa.com/src/58934111" TargetMode="External"/><Relationship Id="rId1962" Type="http://schemas.openxmlformats.org/officeDocument/2006/relationships/hyperlink" Target="https://www.daloopa.com/src/58809720" TargetMode="External"/><Relationship Id="rId2806" Type="http://schemas.openxmlformats.org/officeDocument/2006/relationships/hyperlink" Target="https://www.daloopa.com/src/58978552" TargetMode="External"/><Relationship Id="rId47" Type="http://schemas.openxmlformats.org/officeDocument/2006/relationships/hyperlink" Target="https://marketplace.daloopa.com/text-fundamental?id=58816162&amp;value=25&amp;id=58816173&amp;value=25&amp;id=58810745&amp;value=28&amp;id=58804635&amp;value=28&amp;id=59368557&amp;value=28&amp;" TargetMode="External"/><Relationship Id="rId1615" Type="http://schemas.openxmlformats.org/officeDocument/2006/relationships/hyperlink" Target="https://www.daloopa.com/src/58800874" TargetMode="External"/><Relationship Id="rId1822" Type="http://schemas.openxmlformats.org/officeDocument/2006/relationships/hyperlink" Target="https://www.daloopa.com/src/58935526" TargetMode="External"/><Relationship Id="rId196" Type="http://schemas.openxmlformats.org/officeDocument/2006/relationships/hyperlink" Target="https://marketplace.daloopa.com/text-fundamental?id=58977061&amp;value=46819&amp;id=59373410&amp;value=52954&amp;" TargetMode="External"/><Relationship Id="rId2084" Type="http://schemas.openxmlformats.org/officeDocument/2006/relationships/hyperlink" Target="https://www.daloopa.com/src/58874717" TargetMode="External"/><Relationship Id="rId2291" Type="http://schemas.openxmlformats.org/officeDocument/2006/relationships/hyperlink" Target="https://www.daloopa.com/src/59379450" TargetMode="External"/><Relationship Id="rId263" Type="http://schemas.openxmlformats.org/officeDocument/2006/relationships/hyperlink" Target="https://www.daloopa.com/src/58976229" TargetMode="External"/><Relationship Id="rId470" Type="http://schemas.openxmlformats.org/officeDocument/2006/relationships/hyperlink" Target="https://www.daloopa.com/src/58800401" TargetMode="External"/><Relationship Id="rId2151" Type="http://schemas.openxmlformats.org/officeDocument/2006/relationships/hyperlink" Target="https://www.daloopa.com/src/58816134" TargetMode="External"/><Relationship Id="rId2389" Type="http://schemas.openxmlformats.org/officeDocument/2006/relationships/hyperlink" Target="https://marketplace.daloopa.com/text-fundamental?id=58987738&amp;value=290&amp;id=58985447&amp;value=277&amp;id=58985427&amp;value=203&amp;" TargetMode="External"/><Relationship Id="rId2596" Type="http://schemas.openxmlformats.org/officeDocument/2006/relationships/hyperlink" Target="https://marketplace.daloopa.com/text-fundamental?id=58988233&amp;value=0.0233&amp;" TargetMode="External"/><Relationship Id="rId123" Type="http://schemas.openxmlformats.org/officeDocument/2006/relationships/hyperlink" Target="https://marketplace.daloopa.com/text-fundamental?id=59730562&amp;value=0.078&amp;id=59730559&amp;value=0.011000000000000001&amp;id=59730506&amp;value=0.13699999999999998&amp;id=59730458&amp;value=0.105&amp;id=59730439&amp;value=0.23600000000000002&amp;id=59730432&amp;value=0.192&amp;id=59071656&amp;value=0.6&amp;id=59071642&amp;value=0.345&amp;id=59071556&amp;value=0.303&amp;id=59071652&amp;value=0.35100000000000003&amp;id=59071494&amp;value=0.326&amp;id=59375022&amp;value=0.105&amp;" TargetMode="External"/><Relationship Id="rId330" Type="http://schemas.openxmlformats.org/officeDocument/2006/relationships/hyperlink" Target="https://www.daloopa.com/src/58864794" TargetMode="External"/><Relationship Id="rId568" Type="http://schemas.openxmlformats.org/officeDocument/2006/relationships/hyperlink" Target="https://www.daloopa.com/src/58815138" TargetMode="External"/><Relationship Id="rId775" Type="http://schemas.openxmlformats.org/officeDocument/2006/relationships/hyperlink" Target="https://www.daloopa.com/src/58815542" TargetMode="External"/><Relationship Id="rId982" Type="http://schemas.openxmlformats.org/officeDocument/2006/relationships/hyperlink" Target="https://www.daloopa.com/src/58800684" TargetMode="External"/><Relationship Id="rId1198" Type="http://schemas.openxmlformats.org/officeDocument/2006/relationships/hyperlink" Target="https://marketplace.daloopa.com/text-fundamental?id=58933717&amp;value=-1120&amp;id=59379382&amp;value=-1120&amp;id=58934089&amp;value=706&amp;id=58931033&amp;value=0&amp;id=58930982&amp;value=2&amp;id=58930960&amp;value=-451&amp;id=59379383&amp;value=257&amp;id=58865921&amp;value=440&amp;id=58815878&amp;value=-532&amp;id=58815889&amp;value=397&amp;id=58815903&amp;value=0&amp;id=59379384&amp;value=305&amp;" TargetMode="External"/><Relationship Id="rId2011" Type="http://schemas.openxmlformats.org/officeDocument/2006/relationships/hyperlink" Target="https://marketplace.daloopa.com/text-fundamental?id=59695636&amp;value=22840&amp;" TargetMode="External"/><Relationship Id="rId2249" Type="http://schemas.openxmlformats.org/officeDocument/2006/relationships/hyperlink" Target="https://www.daloopa.com/src/59370351" TargetMode="External"/><Relationship Id="rId2456" Type="http://schemas.openxmlformats.org/officeDocument/2006/relationships/hyperlink" Target="https://marketplace.daloopa.com/text-fundamental?id=59066131&amp;value=384635&amp;id=59008894&amp;value=399795&amp;id=59008890&amp;value=292732&amp;" TargetMode="External"/><Relationship Id="rId2663" Type="http://schemas.openxmlformats.org/officeDocument/2006/relationships/hyperlink" Target="https://marketplace.daloopa.com/text-fundamental?id=58992489&amp;value=3620&amp;id=58992288&amp;value=7303&amp;" TargetMode="External"/><Relationship Id="rId2870" Type="http://schemas.openxmlformats.org/officeDocument/2006/relationships/hyperlink" Target="https://www.daloopa.com/src/59085031" TargetMode="External"/><Relationship Id="rId428" Type="http://schemas.openxmlformats.org/officeDocument/2006/relationships/hyperlink" Target="https://www.daloopa.com/src/58873655" TargetMode="External"/><Relationship Id="rId635" Type="http://schemas.openxmlformats.org/officeDocument/2006/relationships/hyperlink" Target="https://www.daloopa.com/src/58873729" TargetMode="External"/><Relationship Id="rId842" Type="http://schemas.openxmlformats.org/officeDocument/2006/relationships/hyperlink" Target="https://www.daloopa.com/src/59368488" TargetMode="External"/><Relationship Id="rId1058" Type="http://schemas.openxmlformats.org/officeDocument/2006/relationships/hyperlink" Target="https://www.daloopa.com/src/59379353" TargetMode="External"/><Relationship Id="rId1265" Type="http://schemas.openxmlformats.org/officeDocument/2006/relationships/hyperlink" Target="https://www.daloopa.com/src/59379393" TargetMode="External"/><Relationship Id="rId1472" Type="http://schemas.openxmlformats.org/officeDocument/2006/relationships/hyperlink" Target="https://www.daloopa.com/src/59379428" TargetMode="External"/><Relationship Id="rId2109" Type="http://schemas.openxmlformats.org/officeDocument/2006/relationships/hyperlink" Target="https://www.daloopa.com/src/58935603" TargetMode="External"/><Relationship Id="rId2316" Type="http://schemas.openxmlformats.org/officeDocument/2006/relationships/hyperlink" Target="https://www.daloopa.com/src/59148644" TargetMode="External"/><Relationship Id="rId2523" Type="http://schemas.openxmlformats.org/officeDocument/2006/relationships/hyperlink" Target="https://www.daloopa.com/src/58988185" TargetMode="External"/><Relationship Id="rId2730" Type="http://schemas.openxmlformats.org/officeDocument/2006/relationships/hyperlink" Target="https://www.daloopa.com/src/59371637" TargetMode="External"/><Relationship Id="rId702" Type="http://schemas.openxmlformats.org/officeDocument/2006/relationships/hyperlink" Target="https://www.daloopa.com/src/58815480" TargetMode="External"/><Relationship Id="rId1125" Type="http://schemas.openxmlformats.org/officeDocument/2006/relationships/hyperlink" Target="https://www.daloopa.com/src/58815830" TargetMode="External"/><Relationship Id="rId1332" Type="http://schemas.openxmlformats.org/officeDocument/2006/relationships/hyperlink" Target="https://www.daloopa.com/src/58934114" TargetMode="External"/><Relationship Id="rId1777" Type="http://schemas.openxmlformats.org/officeDocument/2006/relationships/hyperlink" Target="https://www.daloopa.com/src/59695225" TargetMode="External"/><Relationship Id="rId1984" Type="http://schemas.openxmlformats.org/officeDocument/2006/relationships/hyperlink" Target="https://www.daloopa.com/src/58936807" TargetMode="External"/><Relationship Id="rId2828" Type="http://schemas.openxmlformats.org/officeDocument/2006/relationships/hyperlink" Target="https://www.daloopa.com/src/58978553" TargetMode="External"/><Relationship Id="rId69" Type="http://schemas.openxmlformats.org/officeDocument/2006/relationships/hyperlink" Target="https://marketplace.daloopa.com/text-fundamental?id=59067982&amp;value=0.95&amp;id=59066771&amp;value=0.95&amp;id=59066728&amp;value=0.95&amp;id=59066397&amp;value=0.96&amp;id=59066392&amp;value=0.96&amp;id=59374990&amp;value=0.96&amp;" TargetMode="External"/><Relationship Id="rId1637" Type="http://schemas.openxmlformats.org/officeDocument/2006/relationships/hyperlink" Target="https://www.daloopa.com/src/58809475" TargetMode="External"/><Relationship Id="rId1844" Type="http://schemas.openxmlformats.org/officeDocument/2006/relationships/hyperlink" Target="https://www.daloopa.com/src/58809643" TargetMode="External"/><Relationship Id="rId1704" Type="http://schemas.openxmlformats.org/officeDocument/2006/relationships/hyperlink" Target="https://www.daloopa.com/src/58936282" TargetMode="External"/><Relationship Id="rId285" Type="http://schemas.openxmlformats.org/officeDocument/2006/relationships/hyperlink" Target="https://www.daloopa.com/src/58873637" TargetMode="External"/><Relationship Id="rId1911" Type="http://schemas.openxmlformats.org/officeDocument/2006/relationships/hyperlink" Target="https://www.daloopa.com/src/58874701" TargetMode="External"/><Relationship Id="rId492" Type="http://schemas.openxmlformats.org/officeDocument/2006/relationships/hyperlink" Target="https://www.daloopa.com/src/58815182" TargetMode="External"/><Relationship Id="rId797" Type="http://schemas.openxmlformats.org/officeDocument/2006/relationships/hyperlink" Target="https://www.daloopa.com/src/58873788" TargetMode="External"/><Relationship Id="rId2173" Type="http://schemas.openxmlformats.org/officeDocument/2006/relationships/hyperlink" Target="https://www.daloopa.com/src/58816136" TargetMode="External"/><Relationship Id="rId2380" Type="http://schemas.openxmlformats.org/officeDocument/2006/relationships/hyperlink" Target="https://www.daloopa.com/src/58985419" TargetMode="External"/><Relationship Id="rId2478" Type="http://schemas.openxmlformats.org/officeDocument/2006/relationships/hyperlink" Target="https://marketplace.daloopa.com/text-fundamental?id=58988134&amp;value=-96&amp;id=58988126&amp;value=51&amp;id=58988122&amp;value=58&amp;" TargetMode="External"/><Relationship Id="rId145" Type="http://schemas.openxmlformats.org/officeDocument/2006/relationships/hyperlink" Target="https://www.daloopa.com/src/59375024" TargetMode="External"/><Relationship Id="rId352" Type="http://schemas.openxmlformats.org/officeDocument/2006/relationships/hyperlink" Target="https://www.daloopa.com/src/58815180" TargetMode="External"/><Relationship Id="rId1287" Type="http://schemas.openxmlformats.org/officeDocument/2006/relationships/hyperlink" Target="https://www.daloopa.com/src/58931081" TargetMode="External"/><Relationship Id="rId2033" Type="http://schemas.openxmlformats.org/officeDocument/2006/relationships/hyperlink" Target="https://www.daloopa.com/src/59368555" TargetMode="External"/><Relationship Id="rId2240" Type="http://schemas.openxmlformats.org/officeDocument/2006/relationships/hyperlink" Target="https://www.daloopa.com/src/59370355" TargetMode="External"/><Relationship Id="rId2685" Type="http://schemas.openxmlformats.org/officeDocument/2006/relationships/hyperlink" Target="https://marketplace.daloopa.com/text-fundamental?id=58992494&amp;value=476&amp;id=58992293&amp;value=459&amp;id=58990264&amp;value=397&amp;id=59372592&amp;value=402&amp;" TargetMode="External"/><Relationship Id="rId2892" Type="http://schemas.openxmlformats.org/officeDocument/2006/relationships/hyperlink" Target="https://www.daloopa.com/src/59091250" TargetMode="External"/><Relationship Id="rId212" Type="http://schemas.openxmlformats.org/officeDocument/2006/relationships/hyperlink" Target="https://marketplace.daloopa.com/text-fundamental?id=58947589&amp;value=94209&amp;id=58947520&amp;value=125757&amp;id=58947585&amp;value=146300&amp;id=58947488&amp;value=158972&amp;" TargetMode="External"/><Relationship Id="rId657" Type="http://schemas.openxmlformats.org/officeDocument/2006/relationships/hyperlink" Target="https://www.daloopa.com/src/58815488" TargetMode="External"/><Relationship Id="rId864" Type="http://schemas.openxmlformats.org/officeDocument/2006/relationships/hyperlink" Target="https://www.daloopa.com/src/58930016" TargetMode="External"/><Relationship Id="rId1494" Type="http://schemas.openxmlformats.org/officeDocument/2006/relationships/hyperlink" Target="https://www.daloopa.com/src/59379433" TargetMode="External"/><Relationship Id="rId1799" Type="http://schemas.openxmlformats.org/officeDocument/2006/relationships/hyperlink" Target="https://www.daloopa.com/src/58936804" TargetMode="External"/><Relationship Id="rId2100" Type="http://schemas.openxmlformats.org/officeDocument/2006/relationships/hyperlink" Target="https://www.daloopa.com/src/58816142" TargetMode="External"/><Relationship Id="rId2338" Type="http://schemas.openxmlformats.org/officeDocument/2006/relationships/hyperlink" Target="https://www.daloopa.com/src/58979782" TargetMode="External"/><Relationship Id="rId2545" Type="http://schemas.openxmlformats.org/officeDocument/2006/relationships/hyperlink" Target="https://www.daloopa.com/src/58988250" TargetMode="External"/><Relationship Id="rId2752" Type="http://schemas.openxmlformats.org/officeDocument/2006/relationships/hyperlink" Target="https://www.daloopa.com/src/59005354" TargetMode="External"/><Relationship Id="rId517" Type="http://schemas.openxmlformats.org/officeDocument/2006/relationships/hyperlink" Target="https://www.daloopa.com/src/59368448" TargetMode="External"/><Relationship Id="rId724" Type="http://schemas.openxmlformats.org/officeDocument/2006/relationships/hyperlink" Target="https://www.daloopa.com/src/59368469" TargetMode="External"/><Relationship Id="rId931" Type="http://schemas.openxmlformats.org/officeDocument/2006/relationships/hyperlink" Target="https://www.daloopa.com/src/58800690" TargetMode="External"/><Relationship Id="rId1147" Type="http://schemas.openxmlformats.org/officeDocument/2006/relationships/hyperlink" Target="https://marketplace.daloopa.com/text-fundamental?id=58800679&amp;value=-405&amp;id=59368495&amp;value=-191&amp;" TargetMode="External"/><Relationship Id="rId1354" Type="http://schemas.openxmlformats.org/officeDocument/2006/relationships/hyperlink" Target="https://www.daloopa.com/src/59379410" TargetMode="External"/><Relationship Id="rId1561" Type="http://schemas.openxmlformats.org/officeDocument/2006/relationships/hyperlink" Target="https://www.daloopa.com/src/58932443" TargetMode="External"/><Relationship Id="rId2405" Type="http://schemas.openxmlformats.org/officeDocument/2006/relationships/hyperlink" Target="https://marketplace.daloopa.com/text-fundamental?id=58987739&amp;value=8861&amp;" TargetMode="External"/><Relationship Id="rId2612" Type="http://schemas.openxmlformats.org/officeDocument/2006/relationships/hyperlink" Target="https://marketplace.daloopa.com/text-fundamental?id=58988360&amp;value=210&amp;id=59372885&amp;value=190&amp;" TargetMode="External"/><Relationship Id="rId60" Type="http://schemas.openxmlformats.org/officeDocument/2006/relationships/hyperlink" Target="https://www.daloopa.com/src/59066586" TargetMode="External"/><Relationship Id="rId1007" Type="http://schemas.openxmlformats.org/officeDocument/2006/relationships/hyperlink" Target="https://www.daloopa.com/src/58930920" TargetMode="External"/><Relationship Id="rId1214" Type="http://schemas.openxmlformats.org/officeDocument/2006/relationships/hyperlink" Target="https://www.daloopa.com/src/58815893" TargetMode="External"/><Relationship Id="rId1421" Type="http://schemas.openxmlformats.org/officeDocument/2006/relationships/hyperlink" Target="https://marketplace.daloopa.com/text-fundamental?id=58933752&amp;value=30258&amp;id=58934108&amp;value=48263&amp;id=58931049&amp;value=48263&amp;id=58931071&amp;value=48263&amp;id=58931077&amp;value=48263&amp;id=58865949&amp;value=152970&amp;id=58815933&amp;value=152970&amp;id=58815943&amp;value=152970&amp;id=58815963&amp;value=152970&amp;id=58816009&amp;value=292790&amp;id=59368520&amp;value=292790&amp;" TargetMode="External"/><Relationship Id="rId1659" Type="http://schemas.openxmlformats.org/officeDocument/2006/relationships/hyperlink" Target="https://marketplace.daloopa.com/text-fundamental?id=58936266&amp;value=349&amp;id=58936280&amp;value=849&amp;id=58936399&amp;value=1198&amp;id=58936384&amp;value=9446&amp;id=58934466&amp;value=76&amp;id=58934390&amp;value=56&amp;id=58934401&amp;value=568&amp;id=58934449&amp;value=10146&amp;id=58874668&amp;value=3984&amp;id=58816062&amp;value=382&amp;id=58816050&amp;value=2144&amp;id=58809362&amp;value=2804&amp;id=58809480&amp;value=9314&amp;id=58800875&amp;value=1498&amp;id=59368531&amp;value=1179&amp;" TargetMode="External"/><Relationship Id="rId1866" Type="http://schemas.openxmlformats.org/officeDocument/2006/relationships/hyperlink" Target="https://www.daloopa.com/src/58935546" TargetMode="External"/><Relationship Id="rId2917" Type="http://schemas.openxmlformats.org/officeDocument/2006/relationships/hyperlink" Target="https://www.daloopa.com/src/59091781" TargetMode="External"/><Relationship Id="rId1519" Type="http://schemas.openxmlformats.org/officeDocument/2006/relationships/hyperlink" Target="https://www.daloopa.com/src/58932341" TargetMode="External"/><Relationship Id="rId1726" Type="http://schemas.openxmlformats.org/officeDocument/2006/relationships/hyperlink" Target="https://www.daloopa.com/src/58934403" TargetMode="External"/><Relationship Id="rId1933" Type="http://schemas.openxmlformats.org/officeDocument/2006/relationships/hyperlink" Target="https://www.daloopa.com/src/58936803" TargetMode="External"/><Relationship Id="rId18" Type="http://schemas.openxmlformats.org/officeDocument/2006/relationships/hyperlink" Target="https://www.daloopa.com/src/58816169" TargetMode="External"/><Relationship Id="rId2195" Type="http://schemas.openxmlformats.org/officeDocument/2006/relationships/hyperlink" Target="https://marketplace.daloopa.com/text-fundamental?id=58941042&amp;value=0&amp;" TargetMode="External"/><Relationship Id="rId167" Type="http://schemas.openxmlformats.org/officeDocument/2006/relationships/hyperlink" Target="https://www.daloopa.com/src/59373925" TargetMode="External"/><Relationship Id="rId374" Type="http://schemas.openxmlformats.org/officeDocument/2006/relationships/hyperlink" Target="https://www.daloopa.com/src/58881409" TargetMode="External"/><Relationship Id="rId581" Type="http://schemas.openxmlformats.org/officeDocument/2006/relationships/hyperlink" Target="https://www.daloopa.com/src/58815450" TargetMode="External"/><Relationship Id="rId2055" Type="http://schemas.openxmlformats.org/officeDocument/2006/relationships/hyperlink" Target="https://www.daloopa.com/src/58935559" TargetMode="External"/><Relationship Id="rId2262" Type="http://schemas.openxmlformats.org/officeDocument/2006/relationships/hyperlink" Target="https://www.daloopa.com/src/58945173" TargetMode="External"/><Relationship Id="rId234" Type="http://schemas.openxmlformats.org/officeDocument/2006/relationships/hyperlink" Target="https://www.daloopa.com/src/58947490" TargetMode="External"/><Relationship Id="rId679" Type="http://schemas.openxmlformats.org/officeDocument/2006/relationships/hyperlink" Target="https://www.daloopa.com/src/59368468" TargetMode="External"/><Relationship Id="rId886" Type="http://schemas.openxmlformats.org/officeDocument/2006/relationships/hyperlink" Target="https://www.daloopa.com/src/58873792" TargetMode="External"/><Relationship Id="rId2567" Type="http://schemas.openxmlformats.org/officeDocument/2006/relationships/hyperlink" Target="https://www.daloopa.com/src/58988245" TargetMode="External"/><Relationship Id="rId2774" Type="http://schemas.openxmlformats.org/officeDocument/2006/relationships/hyperlink" Target="https://www.daloopa.com/src/59371638" TargetMode="External"/><Relationship Id="rId2" Type="http://schemas.openxmlformats.org/officeDocument/2006/relationships/hyperlink" Target="https://www.daloopa.com/document/23015469" TargetMode="External"/><Relationship Id="rId441" Type="http://schemas.openxmlformats.org/officeDocument/2006/relationships/hyperlink" Target="https://www.daloopa.com/src/58882142" TargetMode="External"/><Relationship Id="rId539" Type="http://schemas.openxmlformats.org/officeDocument/2006/relationships/hyperlink" Target="https://www.daloopa.com/src/58864800" TargetMode="External"/><Relationship Id="rId746" Type="http://schemas.openxmlformats.org/officeDocument/2006/relationships/hyperlink" Target="https://www.daloopa.com/src/58929971" TargetMode="External"/><Relationship Id="rId1071" Type="http://schemas.openxmlformats.org/officeDocument/2006/relationships/hyperlink" Target="https://www.daloopa.com/src/59368503" TargetMode="External"/><Relationship Id="rId1169" Type="http://schemas.openxmlformats.org/officeDocument/2006/relationships/hyperlink" Target="https://www.daloopa.com/src/58930823" TargetMode="External"/><Relationship Id="rId1376" Type="http://schemas.openxmlformats.org/officeDocument/2006/relationships/hyperlink" Target="https://marketplace.daloopa.com/text-fundamental?id=58933749&amp;value=-3176&amp;id=59379416&amp;value=-3176&amp;id=58934110&amp;value=81757&amp;id=58931050&amp;value=-28795&amp;id=58931068&amp;value=-2606&amp;id=58931079&amp;value=-3952&amp;id=59379417&amp;value=46404&amp;id=58865945&amp;value=-50762&amp;id=58815921&amp;value=118631&amp;id=58815949&amp;value=-3497&amp;id=58815968&amp;value=-524&amp;id=59379418&amp;value=63848&amp;id=58816003&amp;value=-40&amp;id=59368518&amp;value=227&amp;" TargetMode="External"/><Relationship Id="rId1583" Type="http://schemas.openxmlformats.org/officeDocument/2006/relationships/hyperlink" Target="https://www.daloopa.com/src/58809471" TargetMode="External"/><Relationship Id="rId2122" Type="http://schemas.openxmlformats.org/officeDocument/2006/relationships/hyperlink" Target="https://www.daloopa.com/src/58935604" TargetMode="External"/><Relationship Id="rId2427" Type="http://schemas.openxmlformats.org/officeDocument/2006/relationships/hyperlink" Target="https://www.daloopa.com/src/58985429" TargetMode="External"/><Relationship Id="rId301" Type="http://schemas.openxmlformats.org/officeDocument/2006/relationships/hyperlink" Target="https://www.daloopa.com/src/58873698" TargetMode="External"/><Relationship Id="rId953" Type="http://schemas.openxmlformats.org/officeDocument/2006/relationships/hyperlink" Target="https://www.daloopa.com/src/58815856" TargetMode="External"/><Relationship Id="rId1029" Type="http://schemas.openxmlformats.org/officeDocument/2006/relationships/hyperlink" Target="https://www.daloopa.com/src/59379347" TargetMode="External"/><Relationship Id="rId1236" Type="http://schemas.openxmlformats.org/officeDocument/2006/relationships/hyperlink" Target="https://www.daloopa.com/src/59379388" TargetMode="External"/><Relationship Id="rId1790" Type="http://schemas.openxmlformats.org/officeDocument/2006/relationships/hyperlink" Target="https://marketplace.daloopa.com/text-fundamental?id=59695233&amp;value=36785&amp;" TargetMode="External"/><Relationship Id="rId1888" Type="http://schemas.openxmlformats.org/officeDocument/2006/relationships/hyperlink" Target="https://www.daloopa.com/src/58936799" TargetMode="External"/><Relationship Id="rId2634" Type="http://schemas.openxmlformats.org/officeDocument/2006/relationships/hyperlink" Target="https://www.daloopa.com/src/58990063" TargetMode="External"/><Relationship Id="rId2841" Type="http://schemas.openxmlformats.org/officeDocument/2006/relationships/hyperlink" Target="https://www.daloopa.com/src/58978595" TargetMode="External"/><Relationship Id="rId82" Type="http://schemas.openxmlformats.org/officeDocument/2006/relationships/hyperlink" Target="https://www.daloopa.com/src/59066391" TargetMode="External"/><Relationship Id="rId606" Type="http://schemas.openxmlformats.org/officeDocument/2006/relationships/hyperlink" Target="https://www.daloopa.com/src/58881565" TargetMode="External"/><Relationship Id="rId813" Type="http://schemas.openxmlformats.org/officeDocument/2006/relationships/hyperlink" Target="https://marketplace.daloopa.com/text-fundamental?id=58930181&amp;value=78433&amp;id=58873799&amp;value=97838&amp;id=58930008&amp;value=96144&amp;id=58815534&amp;value=99366&amp;id=58815525&amp;value=99299&amp;id=58805334&amp;value=109306&amp;id=58800594&amp;value=100422&amp;id=59368483&amp;value=101438&amp;" TargetMode="External"/><Relationship Id="rId1443" Type="http://schemas.openxmlformats.org/officeDocument/2006/relationships/hyperlink" Target="https://www.daloopa.com/src/58816008" TargetMode="External"/><Relationship Id="rId1650" Type="http://schemas.openxmlformats.org/officeDocument/2006/relationships/hyperlink" Target="https://www.daloopa.com/src/58874669" TargetMode="External"/><Relationship Id="rId1748" Type="http://schemas.openxmlformats.org/officeDocument/2006/relationships/hyperlink" Target="https://www.daloopa.com/src/59736348" TargetMode="External"/><Relationship Id="rId2701" Type="http://schemas.openxmlformats.org/officeDocument/2006/relationships/hyperlink" Target="https://marketplace.daloopa.com/text-fundamental?id=58992572&amp;value=6328&amp;id=59372601&amp;value=4354&amp;" TargetMode="External"/><Relationship Id="rId1303" Type="http://schemas.openxmlformats.org/officeDocument/2006/relationships/hyperlink" Target="https://www.daloopa.com/src/58815931" TargetMode="External"/><Relationship Id="rId1510" Type="http://schemas.openxmlformats.org/officeDocument/2006/relationships/hyperlink" Target="https://marketplace.daloopa.com/text-fundamental?id=58932340&amp;value=-82&amp;" TargetMode="External"/><Relationship Id="rId1955" Type="http://schemas.openxmlformats.org/officeDocument/2006/relationships/hyperlink" Target="https://www.daloopa.com/src/58816112" TargetMode="External"/><Relationship Id="rId1608" Type="http://schemas.openxmlformats.org/officeDocument/2006/relationships/hyperlink" Target="https://www.daloopa.com/src/58934463" TargetMode="External"/><Relationship Id="rId1815" Type="http://schemas.openxmlformats.org/officeDocument/2006/relationships/hyperlink" Target="https://www.daloopa.com/src/58936784" TargetMode="External"/><Relationship Id="rId189" Type="http://schemas.openxmlformats.org/officeDocument/2006/relationships/hyperlink" Target="https://www.daloopa.com/src/59371408" TargetMode="External"/><Relationship Id="rId396" Type="http://schemas.openxmlformats.org/officeDocument/2006/relationships/hyperlink" Target="https://www.daloopa.com/src/58873653" TargetMode="External"/><Relationship Id="rId2077" Type="http://schemas.openxmlformats.org/officeDocument/2006/relationships/hyperlink" Target="https://www.daloopa.com/src/58935579" TargetMode="External"/><Relationship Id="rId2284" Type="http://schemas.openxmlformats.org/officeDocument/2006/relationships/hyperlink" Target="https://www.daloopa.com/src/59162368" TargetMode="External"/><Relationship Id="rId2491" Type="http://schemas.openxmlformats.org/officeDocument/2006/relationships/hyperlink" Target="https://www.daloopa.com/src/58988137" TargetMode="External"/><Relationship Id="rId256" Type="http://schemas.openxmlformats.org/officeDocument/2006/relationships/hyperlink" Target="https://www.daloopa.com/src/59706385" TargetMode="External"/><Relationship Id="rId463" Type="http://schemas.openxmlformats.org/officeDocument/2006/relationships/hyperlink" Target="https://www.daloopa.com/src/58873630" TargetMode="External"/><Relationship Id="rId670" Type="http://schemas.openxmlformats.org/officeDocument/2006/relationships/hyperlink" Target="https://www.daloopa.com/src/59368462" TargetMode="External"/><Relationship Id="rId1093" Type="http://schemas.openxmlformats.org/officeDocument/2006/relationships/hyperlink" Target="https://www.daloopa.com/src/58930729" TargetMode="External"/><Relationship Id="rId2144" Type="http://schemas.openxmlformats.org/officeDocument/2006/relationships/hyperlink" Target="https://marketplace.daloopa.com/text-fundamental?id=58940290&amp;value=0.27&amp;id=59751943&amp;value=0.03999999999999998&amp;id=58935606&amp;value=0.09&amp;id=58935583&amp;value=0.17&amp;id=58935566&amp;value=0.19&amp;id=58935573&amp;value=0.49&amp;id=58874721&amp;value=0.16&amp;id=58816153&amp;value=0.25&amp;id=58816134&amp;value=0.28&amp;id=58809916&amp;value=0.31&amp;id=58810052&amp;value=1.01&amp;id=58804543&amp;value=0.22&amp;id=59368550&amp;value=0.25&amp;" TargetMode="External"/><Relationship Id="rId2351" Type="http://schemas.openxmlformats.org/officeDocument/2006/relationships/hyperlink" Target="https://www.daloopa.com/src/59372020" TargetMode="External"/><Relationship Id="rId2589" Type="http://schemas.openxmlformats.org/officeDocument/2006/relationships/hyperlink" Target="https://www.daloopa.com/src/58988238" TargetMode="External"/><Relationship Id="rId2796" Type="http://schemas.openxmlformats.org/officeDocument/2006/relationships/hyperlink" Target="https://www.daloopa.com/src/59006648" TargetMode="External"/><Relationship Id="rId116" Type="http://schemas.openxmlformats.org/officeDocument/2006/relationships/hyperlink" Target="https://marketplace.daloopa.com/text-fundamental?id=59734139&amp;value=600&amp;id=59069572&amp;value=480&amp;id=59069522&amp;value=600&amp;id=59068033&amp;value=616&amp;id=59068027&amp;value=616&amp;id=59374994&amp;value=650&amp;" TargetMode="External"/><Relationship Id="rId323" Type="http://schemas.openxmlformats.org/officeDocument/2006/relationships/hyperlink" Target="https://www.daloopa.com/src/58881261" TargetMode="External"/><Relationship Id="rId530" Type="http://schemas.openxmlformats.org/officeDocument/2006/relationships/hyperlink" Target="https://www.daloopa.com/src/58800407" TargetMode="External"/><Relationship Id="rId768" Type="http://schemas.openxmlformats.org/officeDocument/2006/relationships/hyperlink" Target="https://www.daloopa.com/src/58805323" TargetMode="External"/><Relationship Id="rId975" Type="http://schemas.openxmlformats.org/officeDocument/2006/relationships/hyperlink" Target="https://www.daloopa.com/src/58930738" TargetMode="External"/><Relationship Id="rId1160" Type="http://schemas.openxmlformats.org/officeDocument/2006/relationships/hyperlink" Target="https://www.daloopa.com/src/58800692" TargetMode="External"/><Relationship Id="rId1398" Type="http://schemas.openxmlformats.org/officeDocument/2006/relationships/hyperlink" Target="https://www.daloopa.com/src/58815925" TargetMode="External"/><Relationship Id="rId2004" Type="http://schemas.openxmlformats.org/officeDocument/2006/relationships/hyperlink" Target="https://www.daloopa.com/src/59695635" TargetMode="External"/><Relationship Id="rId2211" Type="http://schemas.openxmlformats.org/officeDocument/2006/relationships/hyperlink" Target="https://www.daloopa.com/src/58944580" TargetMode="External"/><Relationship Id="rId2449" Type="http://schemas.openxmlformats.org/officeDocument/2006/relationships/hyperlink" Target="https://www.daloopa.com/src/59066130" TargetMode="External"/><Relationship Id="rId2656" Type="http://schemas.openxmlformats.org/officeDocument/2006/relationships/hyperlink" Target="https://www.daloopa.com/src/58990172" TargetMode="External"/><Relationship Id="rId2863" Type="http://schemas.openxmlformats.org/officeDocument/2006/relationships/hyperlink" Target="https://www.daloopa.com/src/59085030" TargetMode="External"/><Relationship Id="rId628" Type="http://schemas.openxmlformats.org/officeDocument/2006/relationships/hyperlink" Target="https://www.daloopa.com/src/58881576" TargetMode="External"/><Relationship Id="rId835" Type="http://schemas.openxmlformats.org/officeDocument/2006/relationships/hyperlink" Target="https://www.daloopa.com/src/58815537" TargetMode="External"/><Relationship Id="rId1258" Type="http://schemas.openxmlformats.org/officeDocument/2006/relationships/hyperlink" Target="https://www.daloopa.com/src/58930958" TargetMode="External"/><Relationship Id="rId1465" Type="http://schemas.openxmlformats.org/officeDocument/2006/relationships/hyperlink" Target="https://www.daloopa.com/src/58931096" TargetMode="External"/><Relationship Id="rId1672" Type="http://schemas.openxmlformats.org/officeDocument/2006/relationships/hyperlink" Target="https://www.daloopa.com/src/58936399" TargetMode="External"/><Relationship Id="rId2309" Type="http://schemas.openxmlformats.org/officeDocument/2006/relationships/hyperlink" Target="https://www.daloopa.com/src/59148588" TargetMode="External"/><Relationship Id="rId2516" Type="http://schemas.openxmlformats.org/officeDocument/2006/relationships/hyperlink" Target="https://marketplace.daloopa.com/text-fundamental?id=58988131&amp;value=-79&amp;" TargetMode="External"/><Relationship Id="rId2723" Type="http://schemas.openxmlformats.org/officeDocument/2006/relationships/hyperlink" Target="https://www.daloopa.com/src/59004907" TargetMode="External"/><Relationship Id="rId1020" Type="http://schemas.openxmlformats.org/officeDocument/2006/relationships/hyperlink" Target="https://www.daloopa.com/src/58930735" TargetMode="External"/><Relationship Id="rId1118" Type="http://schemas.openxmlformats.org/officeDocument/2006/relationships/hyperlink" Target="https://www.daloopa.com/src/58933596" TargetMode="External"/><Relationship Id="rId1325" Type="http://schemas.openxmlformats.org/officeDocument/2006/relationships/hyperlink" Target="https://www.daloopa.com/src/59379406" TargetMode="External"/><Relationship Id="rId1532" Type="http://schemas.openxmlformats.org/officeDocument/2006/relationships/hyperlink" Target="https://marketplace.daloopa.com/text-fundamental?id=58932381&amp;value=-163&amp;" TargetMode="External"/><Relationship Id="rId1977" Type="http://schemas.openxmlformats.org/officeDocument/2006/relationships/hyperlink" Target="https://www.daloopa.com/src/59368539" TargetMode="External"/><Relationship Id="rId902" Type="http://schemas.openxmlformats.org/officeDocument/2006/relationships/hyperlink" Target="https://marketplace.daloopa.com/text-fundamental?id=58930192&amp;value=-94217&amp;id=59756358&amp;value=808957&amp;id=58873785&amp;value=794270&amp;id=58930019&amp;value=778203&amp;id=58815535&amp;value=1099795&amp;id=58815520&amp;value=1114219&amp;id=58805326&amp;value=1132238&amp;id=58800586&amp;value=1146140&amp;id=59368477&amp;value=1151625&amp;" TargetMode="External"/><Relationship Id="rId1837" Type="http://schemas.openxmlformats.org/officeDocument/2006/relationships/hyperlink" Target="https://www.daloopa.com/src/58936846" TargetMode="External"/><Relationship Id="rId31" Type="http://schemas.openxmlformats.org/officeDocument/2006/relationships/hyperlink" Target="https://www.daloopa.com/src/58816176" TargetMode="External"/><Relationship Id="rId2099" Type="http://schemas.openxmlformats.org/officeDocument/2006/relationships/hyperlink" Target="https://www.daloopa.com/src/58816152" TargetMode="External"/><Relationship Id="rId180" Type="http://schemas.openxmlformats.org/officeDocument/2006/relationships/hyperlink" Target="https://www.daloopa.com/src/59084119" TargetMode="External"/><Relationship Id="rId278" Type="http://schemas.openxmlformats.org/officeDocument/2006/relationships/hyperlink" Target="https://www.daloopa.com/src/59372939" TargetMode="External"/><Relationship Id="rId1904" Type="http://schemas.openxmlformats.org/officeDocument/2006/relationships/hyperlink" Target="https://marketplace.daloopa.com/text-fundamental?id=58936813&amp;value=349&amp;id=58936826&amp;value=849&amp;id=58936955&amp;value=1198&amp;id=58936840&amp;value=9446&amp;id=58935497&amp;value=76&amp;id=58935511&amp;value=56&amp;id=58935530&amp;value=568&amp;id=58935543&amp;value=10146&amp;id=58874701&amp;value=3984&amp;id=58816108&amp;value=382&amp;id=58816129&amp;value=2144&amp;id=58809646&amp;value=2804&amp;id=58809713&amp;value=9314&amp;id=58802517&amp;value=1498&amp;id=59368542&amp;value=1179&amp;" TargetMode="External"/><Relationship Id="rId485" Type="http://schemas.openxmlformats.org/officeDocument/2006/relationships/hyperlink" Target="https://www.daloopa.com/src/58815453" TargetMode="External"/><Relationship Id="rId692" Type="http://schemas.openxmlformats.org/officeDocument/2006/relationships/hyperlink" Target="https://www.daloopa.com/src/58929974" TargetMode="External"/><Relationship Id="rId2166" Type="http://schemas.openxmlformats.org/officeDocument/2006/relationships/hyperlink" Target="https://www.daloopa.com/src/58935571" TargetMode="External"/><Relationship Id="rId2373" Type="http://schemas.openxmlformats.org/officeDocument/2006/relationships/hyperlink" Target="https://marketplace.daloopa.com/text-fundamental?id=58987733&amp;value=36550&amp;id=58985442&amp;value=41498&amp;id=58985430&amp;value=25227&amp;" TargetMode="External"/><Relationship Id="rId2580" Type="http://schemas.openxmlformats.org/officeDocument/2006/relationships/hyperlink" Target="https://marketplace.daloopa.com/text-fundamental?id=58988235&amp;value=-0.009899999999999999&amp;" TargetMode="External"/><Relationship Id="rId138" Type="http://schemas.openxmlformats.org/officeDocument/2006/relationships/hyperlink" Target="https://www.daloopa.com/src/59071643" TargetMode="External"/><Relationship Id="rId345" Type="http://schemas.openxmlformats.org/officeDocument/2006/relationships/hyperlink" Target="https://www.daloopa.com/src/58815459" TargetMode="External"/><Relationship Id="rId552" Type="http://schemas.openxmlformats.org/officeDocument/2006/relationships/hyperlink" Target="https://www.daloopa.com/src/58873709" TargetMode="External"/><Relationship Id="rId997" Type="http://schemas.openxmlformats.org/officeDocument/2006/relationships/hyperlink" Target="https://www.daloopa.com/src/58800683" TargetMode="External"/><Relationship Id="rId1182" Type="http://schemas.openxmlformats.org/officeDocument/2006/relationships/hyperlink" Target="https://www.daloopa.com/src/58882143" TargetMode="External"/><Relationship Id="rId2026" Type="http://schemas.openxmlformats.org/officeDocument/2006/relationships/hyperlink" Target="https://www.daloopa.com/src/58935591" TargetMode="External"/><Relationship Id="rId2233" Type="http://schemas.openxmlformats.org/officeDocument/2006/relationships/hyperlink" Target="https://www.daloopa.com/src/58944813" TargetMode="External"/><Relationship Id="rId2440" Type="http://schemas.openxmlformats.org/officeDocument/2006/relationships/hyperlink" Target="https://marketplace.daloopa.com/text-fundamental?id=58987731&amp;value=-11835&amp;id=58985458&amp;value=-85963&amp;id=58985426&amp;value=-83240&amp;" TargetMode="External"/><Relationship Id="rId2678" Type="http://schemas.openxmlformats.org/officeDocument/2006/relationships/hyperlink" Target="https://www.daloopa.com/src/58992291" TargetMode="External"/><Relationship Id="rId2885" Type="http://schemas.openxmlformats.org/officeDocument/2006/relationships/hyperlink" Target="https://www.daloopa.com/src/59373950" TargetMode="External"/><Relationship Id="rId205" Type="http://schemas.openxmlformats.org/officeDocument/2006/relationships/hyperlink" Target="https://marketplace.daloopa.com/text-fundamental?id=58947570&amp;value=423164&amp;id=58947528&amp;value=430002&amp;id=58947614&amp;value=116524&amp;id=58947477&amp;value=604413&amp;id=58946697&amp;value=160088&amp;id=59372934&amp;value=170591&amp;" TargetMode="External"/><Relationship Id="rId412" Type="http://schemas.openxmlformats.org/officeDocument/2006/relationships/hyperlink" Target="https://www.daloopa.com/src/58881597" TargetMode="External"/><Relationship Id="rId857" Type="http://schemas.openxmlformats.org/officeDocument/2006/relationships/hyperlink" Target="https://www.daloopa.com/src/58815538" TargetMode="External"/><Relationship Id="rId1042" Type="http://schemas.openxmlformats.org/officeDocument/2006/relationships/hyperlink" Target="https://www.daloopa.com/src/58800680" TargetMode="External"/><Relationship Id="rId1487" Type="http://schemas.openxmlformats.org/officeDocument/2006/relationships/hyperlink" Target="https://www.daloopa.com/src/58865869" TargetMode="External"/><Relationship Id="rId1694" Type="http://schemas.openxmlformats.org/officeDocument/2006/relationships/hyperlink" Target="https://www.daloopa.com/src/58934398" TargetMode="External"/><Relationship Id="rId2300" Type="http://schemas.openxmlformats.org/officeDocument/2006/relationships/hyperlink" Target="https://www.daloopa.com/src/59153146" TargetMode="External"/><Relationship Id="rId2538" Type="http://schemas.openxmlformats.org/officeDocument/2006/relationships/hyperlink" Target="https://www.daloopa.com/src/58988223" TargetMode="External"/><Relationship Id="rId2745" Type="http://schemas.openxmlformats.org/officeDocument/2006/relationships/hyperlink" Target="https://www.daloopa.com/src/59004622" TargetMode="External"/><Relationship Id="rId717" Type="http://schemas.openxmlformats.org/officeDocument/2006/relationships/hyperlink" Target="https://www.daloopa.com/src/58930148" TargetMode="External"/><Relationship Id="rId924" Type="http://schemas.openxmlformats.org/officeDocument/2006/relationships/hyperlink" Target="https://www.daloopa.com/src/58930741" TargetMode="External"/><Relationship Id="rId1347" Type="http://schemas.openxmlformats.org/officeDocument/2006/relationships/hyperlink" Target="https://www.daloopa.com/src/58931085" TargetMode="External"/><Relationship Id="rId1554" Type="http://schemas.openxmlformats.org/officeDocument/2006/relationships/hyperlink" Target="https://marketplace.daloopa.com/text-fundamental?id=58932427&amp;value=80746&amp;" TargetMode="External"/><Relationship Id="rId1761" Type="http://schemas.openxmlformats.org/officeDocument/2006/relationships/hyperlink" Target="https://www.daloopa.com/src/58874663" TargetMode="External"/><Relationship Id="rId1999" Type="http://schemas.openxmlformats.org/officeDocument/2006/relationships/hyperlink" Target="https://marketplace.daloopa.com/text-fundamental?id=59695634&amp;value=-36530&amp;" TargetMode="External"/><Relationship Id="rId2605" Type="http://schemas.openxmlformats.org/officeDocument/2006/relationships/hyperlink" Target="https://www.daloopa.com/src/58988359" TargetMode="External"/><Relationship Id="rId2812" Type="http://schemas.openxmlformats.org/officeDocument/2006/relationships/hyperlink" Target="https://www.daloopa.com/src/58978594" TargetMode="External"/><Relationship Id="rId53" Type="http://schemas.openxmlformats.org/officeDocument/2006/relationships/hyperlink" Target="https://marketplace.daloopa.com/text-fundamental?id=58816167&amp;value=26&amp;id=58816177&amp;value=26&amp;id=58810750&amp;value=30&amp;id=58804638&amp;value=30&amp;id=59368561&amp;value=30&amp;" TargetMode="External"/><Relationship Id="rId1207" Type="http://schemas.openxmlformats.org/officeDocument/2006/relationships/hyperlink" Target="https://www.daloopa.com/src/58815903" TargetMode="External"/><Relationship Id="rId1414" Type="http://schemas.openxmlformats.org/officeDocument/2006/relationships/hyperlink" Target="https://www.daloopa.com/src/58815945" TargetMode="External"/><Relationship Id="rId1621" Type="http://schemas.openxmlformats.org/officeDocument/2006/relationships/hyperlink" Target="https://www.daloopa.com/src/58936241" TargetMode="External"/><Relationship Id="rId1859" Type="http://schemas.openxmlformats.org/officeDocument/2006/relationships/hyperlink" Target="https://www.daloopa.com/src/58874698" TargetMode="External"/><Relationship Id="rId1719" Type="http://schemas.openxmlformats.org/officeDocument/2006/relationships/hyperlink" Target="https://www.daloopa.com/src/59737788" TargetMode="External"/><Relationship Id="rId1926" Type="http://schemas.openxmlformats.org/officeDocument/2006/relationships/hyperlink" Target="https://www.daloopa.com/src/58816128" TargetMode="External"/><Relationship Id="rId2090" Type="http://schemas.openxmlformats.org/officeDocument/2006/relationships/hyperlink" Target="https://www.daloopa.com/src/58940291" TargetMode="External"/><Relationship Id="rId2188" Type="http://schemas.openxmlformats.org/officeDocument/2006/relationships/hyperlink" Target="https://www.daloopa.com/src/58941038" TargetMode="External"/><Relationship Id="rId2395" Type="http://schemas.openxmlformats.org/officeDocument/2006/relationships/hyperlink" Target="https://www.daloopa.com/src/58985444" TargetMode="External"/><Relationship Id="rId367" Type="http://schemas.openxmlformats.org/officeDocument/2006/relationships/hyperlink" Target="https://www.daloopa.com/src/59368453" TargetMode="External"/><Relationship Id="rId574" Type="http://schemas.openxmlformats.org/officeDocument/2006/relationships/hyperlink" Target="https://www.daloopa.com/src/58815171" TargetMode="External"/><Relationship Id="rId2048" Type="http://schemas.openxmlformats.org/officeDocument/2006/relationships/hyperlink" Target="https://www.daloopa.com/src/58940285" TargetMode="External"/><Relationship Id="rId2255" Type="http://schemas.openxmlformats.org/officeDocument/2006/relationships/hyperlink" Target="https://www.daloopa.com/src/58944629" TargetMode="External"/><Relationship Id="rId227" Type="http://schemas.openxmlformats.org/officeDocument/2006/relationships/hyperlink" Target="https://www.daloopa.com/src/58947529" TargetMode="External"/><Relationship Id="rId781" Type="http://schemas.openxmlformats.org/officeDocument/2006/relationships/hyperlink" Target="https://www.daloopa.com/src/58930196" TargetMode="External"/><Relationship Id="rId879" Type="http://schemas.openxmlformats.org/officeDocument/2006/relationships/hyperlink" Target="https://www.daloopa.com/src/58930182" TargetMode="External"/><Relationship Id="rId2462" Type="http://schemas.openxmlformats.org/officeDocument/2006/relationships/hyperlink" Target="https://www.daloopa.com/src/58988046" TargetMode="External"/><Relationship Id="rId2767" Type="http://schemas.openxmlformats.org/officeDocument/2006/relationships/hyperlink" Target="https://www.daloopa.com/src/59005216" TargetMode="External"/><Relationship Id="rId434" Type="http://schemas.openxmlformats.org/officeDocument/2006/relationships/hyperlink" Target="https://www.daloopa.com/src/58800403" TargetMode="External"/><Relationship Id="rId641" Type="http://schemas.openxmlformats.org/officeDocument/2006/relationships/hyperlink" Target="https://www.daloopa.com/src/59368466" TargetMode="External"/><Relationship Id="rId739" Type="http://schemas.openxmlformats.org/officeDocument/2006/relationships/hyperlink" Target="https://www.daloopa.com/src/58815497" TargetMode="External"/><Relationship Id="rId1064" Type="http://schemas.openxmlformats.org/officeDocument/2006/relationships/hyperlink" Target="https://www.daloopa.com/src/58930836" TargetMode="External"/><Relationship Id="rId1271" Type="http://schemas.openxmlformats.org/officeDocument/2006/relationships/hyperlink" Target="https://www.daloopa.com/src/58815955" TargetMode="External"/><Relationship Id="rId1369" Type="http://schemas.openxmlformats.org/officeDocument/2006/relationships/hyperlink" Target="https://www.daloopa.com/src/59379414" TargetMode="External"/><Relationship Id="rId1576" Type="http://schemas.openxmlformats.org/officeDocument/2006/relationships/hyperlink" Target="https://www.daloopa.com/src/58816059" TargetMode="External"/><Relationship Id="rId2115" Type="http://schemas.openxmlformats.org/officeDocument/2006/relationships/hyperlink" Target="https://www.daloopa.com/src/59751940" TargetMode="External"/><Relationship Id="rId2322" Type="http://schemas.openxmlformats.org/officeDocument/2006/relationships/hyperlink" Target="https://www.daloopa.com/src/58979821" TargetMode="External"/><Relationship Id="rId501" Type="http://schemas.openxmlformats.org/officeDocument/2006/relationships/hyperlink" Target="https://www.daloopa.com/src/58804869" TargetMode="External"/><Relationship Id="rId946" Type="http://schemas.openxmlformats.org/officeDocument/2006/relationships/hyperlink" Target="https://www.daloopa.com/src/58800687" TargetMode="External"/><Relationship Id="rId1131" Type="http://schemas.openxmlformats.org/officeDocument/2006/relationships/hyperlink" Target="https://www.daloopa.com/src/59379369" TargetMode="External"/><Relationship Id="rId1229" Type="http://schemas.openxmlformats.org/officeDocument/2006/relationships/hyperlink" Target="https://www.daloopa.com/src/58865924" TargetMode="External"/><Relationship Id="rId1783" Type="http://schemas.openxmlformats.org/officeDocument/2006/relationships/hyperlink" Target="https://www.daloopa.com/src/59695232" TargetMode="External"/><Relationship Id="rId1990" Type="http://schemas.openxmlformats.org/officeDocument/2006/relationships/hyperlink" Target="https://www.daloopa.com/src/58874705" TargetMode="External"/><Relationship Id="rId2627" Type="http://schemas.openxmlformats.org/officeDocument/2006/relationships/hyperlink" Target="https://www.daloopa.com/src/58990045" TargetMode="External"/><Relationship Id="rId2834" Type="http://schemas.openxmlformats.org/officeDocument/2006/relationships/hyperlink" Target="https://www.daloopa.com/src/58978970" TargetMode="External"/><Relationship Id="rId75" Type="http://schemas.openxmlformats.org/officeDocument/2006/relationships/hyperlink" Target="https://www.daloopa.com/src/59374990" TargetMode="External"/><Relationship Id="rId806" Type="http://schemas.openxmlformats.org/officeDocument/2006/relationships/hyperlink" Target="https://www.daloopa.com/src/58873796" TargetMode="External"/><Relationship Id="rId1436" Type="http://schemas.openxmlformats.org/officeDocument/2006/relationships/hyperlink" Target="https://www.daloopa.com/src/58931047" TargetMode="External"/><Relationship Id="rId1643" Type="http://schemas.openxmlformats.org/officeDocument/2006/relationships/hyperlink" Target="https://www.daloopa.com/src/58936251" TargetMode="External"/><Relationship Id="rId1850" Type="http://schemas.openxmlformats.org/officeDocument/2006/relationships/hyperlink" Target="https://marketplace.daloopa.com/text-fundamental?id=58936791&amp;value=768&amp;id=58936794&amp;value=785&amp;id=58936806&amp;value=802&amp;id=58936825&amp;value=819&amp;id=58936953&amp;value=3174&amp;id=58936838&amp;value=578&amp;id=58935500&amp;value=877&amp;id=58935507&amp;value=889&amp;id=58935528&amp;value=898&amp;id=58935546&amp;value=3242&amp;id=58874698&amp;value=14911&amp;id=58816117&amp;value=4355&amp;id=58816122&amp;value=437&amp;id=58809644&amp;value=440&amp;id=58809709&amp;value=20143&amp;id=58802515&amp;value=-4815&amp;id=59368545&amp;value=-1669&amp;" TargetMode="External"/><Relationship Id="rId2901" Type="http://schemas.openxmlformats.org/officeDocument/2006/relationships/hyperlink" Target="https://www.daloopa.com/src/59092034" TargetMode="External"/><Relationship Id="rId1503" Type="http://schemas.openxmlformats.org/officeDocument/2006/relationships/hyperlink" Target="https://www.daloopa.com/src/58932347" TargetMode="External"/><Relationship Id="rId1710" Type="http://schemas.openxmlformats.org/officeDocument/2006/relationships/hyperlink" Target="https://www.daloopa.com/src/58816064" TargetMode="External"/><Relationship Id="rId1948" Type="http://schemas.openxmlformats.org/officeDocument/2006/relationships/hyperlink" Target="https://www.daloopa.com/src/58936809" TargetMode="External"/><Relationship Id="rId291" Type="http://schemas.openxmlformats.org/officeDocument/2006/relationships/hyperlink" Target="https://www.daloopa.com/src/58804872" TargetMode="External"/><Relationship Id="rId1808" Type="http://schemas.openxmlformats.org/officeDocument/2006/relationships/hyperlink" Target="https://www.daloopa.com/src/58809652" TargetMode="External"/><Relationship Id="rId151" Type="http://schemas.openxmlformats.org/officeDocument/2006/relationships/hyperlink" Target="https://www.daloopa.com/src/59071654" TargetMode="External"/><Relationship Id="rId389" Type="http://schemas.openxmlformats.org/officeDocument/2006/relationships/hyperlink" Target="https://marketplace.daloopa.com/text-fundamental?id=58864802&amp;value=6717&amp;id=58800404&amp;value=-850&amp;id=59368446&amp;value=3112&amp;" TargetMode="External"/><Relationship Id="rId596" Type="http://schemas.openxmlformats.org/officeDocument/2006/relationships/hyperlink" Target="https://www.daloopa.com/src/58881562" TargetMode="External"/><Relationship Id="rId2277" Type="http://schemas.openxmlformats.org/officeDocument/2006/relationships/hyperlink" Target="https://www.daloopa.com/src/59076190" TargetMode="External"/><Relationship Id="rId2484" Type="http://schemas.openxmlformats.org/officeDocument/2006/relationships/hyperlink" Target="https://www.daloopa.com/src/58988127" TargetMode="External"/><Relationship Id="rId2691" Type="http://schemas.openxmlformats.org/officeDocument/2006/relationships/hyperlink" Target="https://www.daloopa.com/src/58992495" TargetMode="External"/><Relationship Id="rId249" Type="http://schemas.openxmlformats.org/officeDocument/2006/relationships/hyperlink" Target="https://www.daloopa.com/src/59372935" TargetMode="External"/><Relationship Id="rId456" Type="http://schemas.openxmlformats.org/officeDocument/2006/relationships/hyperlink" Target="https://www.daloopa.com/src/58815185" TargetMode="External"/><Relationship Id="rId663" Type="http://schemas.openxmlformats.org/officeDocument/2006/relationships/hyperlink" Target="https://www.daloopa.com/src/58930156" TargetMode="External"/><Relationship Id="rId870" Type="http://schemas.openxmlformats.org/officeDocument/2006/relationships/hyperlink" Target="https://marketplace.daloopa.com/text-fundamental?id=58873786&amp;value=839148&amp;id=58930004&amp;value=839710&amp;id=58815533&amp;value=1158804&amp;id=58815518&amp;value=1160002&amp;id=58805325&amp;value=1165163&amp;id=58800589&amp;value=1167569&amp;id=59368478&amp;value=1170137&amp;" TargetMode="External"/><Relationship Id="rId1086" Type="http://schemas.openxmlformats.org/officeDocument/2006/relationships/hyperlink" Target="https://www.daloopa.com/src/59368497" TargetMode="External"/><Relationship Id="rId1293" Type="http://schemas.openxmlformats.org/officeDocument/2006/relationships/hyperlink" Target="https://marketplace.daloopa.com/text-fundamental?id=58865952&amp;value=261413&amp;id=58815929&amp;value=0&amp;id=58815940&amp;value=0&amp;id=58815958&amp;value=0&amp;id=59379401&amp;value=261413&amp;" TargetMode="External"/><Relationship Id="rId2137" Type="http://schemas.openxmlformats.org/officeDocument/2006/relationships/hyperlink" Target="https://www.daloopa.com/src/58816135" TargetMode="External"/><Relationship Id="rId2344" Type="http://schemas.openxmlformats.org/officeDocument/2006/relationships/hyperlink" Target="https://www.daloopa.com/src/58979977" TargetMode="External"/><Relationship Id="rId2551" Type="http://schemas.openxmlformats.org/officeDocument/2006/relationships/hyperlink" Target="https://www.daloopa.com/src/58988209" TargetMode="External"/><Relationship Id="rId2789" Type="http://schemas.openxmlformats.org/officeDocument/2006/relationships/hyperlink" Target="https://www.daloopa.com/src/59006284" TargetMode="External"/><Relationship Id="rId109" Type="http://schemas.openxmlformats.org/officeDocument/2006/relationships/hyperlink" Target="https://marketplace.daloopa.com/text-fundamental?id=59734140&amp;value=70&amp;id=59069569&amp;value=65&amp;id=59069523&amp;value=70&amp;id=59068032&amp;value=75&amp;id=59068028&amp;value=75&amp;id=59374995&amp;value=75&amp;" TargetMode="External"/><Relationship Id="rId316" Type="http://schemas.openxmlformats.org/officeDocument/2006/relationships/hyperlink" Target="https://www.daloopa.com/src/58864793" TargetMode="External"/><Relationship Id="rId523" Type="http://schemas.openxmlformats.org/officeDocument/2006/relationships/hyperlink" Target="https://www.daloopa.com/src/58873620" TargetMode="External"/><Relationship Id="rId968" Type="http://schemas.openxmlformats.org/officeDocument/2006/relationships/hyperlink" Target="https://www.daloopa.com/src/59368502" TargetMode="External"/><Relationship Id="rId1153" Type="http://schemas.openxmlformats.org/officeDocument/2006/relationships/hyperlink" Target="https://www.daloopa.com/src/58930725" TargetMode="External"/><Relationship Id="rId1598" Type="http://schemas.openxmlformats.org/officeDocument/2006/relationships/hyperlink" Target="https://www.daloopa.com/src/59368534" TargetMode="External"/><Relationship Id="rId2204" Type="http://schemas.openxmlformats.org/officeDocument/2006/relationships/hyperlink" Target="https://www.daloopa.com/src/58941046" TargetMode="External"/><Relationship Id="rId2649" Type="http://schemas.openxmlformats.org/officeDocument/2006/relationships/hyperlink" Target="https://www.daloopa.com/src/58990065" TargetMode="External"/><Relationship Id="rId2856" Type="http://schemas.openxmlformats.org/officeDocument/2006/relationships/hyperlink" Target="https://marketplace.daloopa.com/text-fundamental?id=59085030&amp;value=23.2&amp;id=59085081&amp;value=7.8&amp;id=59084476&amp;value=27.4&amp;id=59084425&amp;value=22.1&amp;id=59379437&amp;value=20.5&amp;id=59084776&amp;value=77.8&amp;id=59084400&amp;value=24&amp;id=59373927&amp;value=10.1&amp;" TargetMode="External"/><Relationship Id="rId97" Type="http://schemas.openxmlformats.org/officeDocument/2006/relationships/hyperlink" Target="https://www.daloopa.com/src/59734138" TargetMode="External"/><Relationship Id="rId730" Type="http://schemas.openxmlformats.org/officeDocument/2006/relationships/hyperlink" Target="https://www.daloopa.com/src/58815500" TargetMode="External"/><Relationship Id="rId828" Type="http://schemas.openxmlformats.org/officeDocument/2006/relationships/hyperlink" Target="https://www.daloopa.com/src/58805336" TargetMode="External"/><Relationship Id="rId1013" Type="http://schemas.openxmlformats.org/officeDocument/2006/relationships/hyperlink" Target="https://www.daloopa.com/src/59368510" TargetMode="External"/><Relationship Id="rId1360" Type="http://schemas.openxmlformats.org/officeDocument/2006/relationships/hyperlink" Target="https://www.daloopa.com/src/58815967" TargetMode="External"/><Relationship Id="rId1458" Type="http://schemas.openxmlformats.org/officeDocument/2006/relationships/hyperlink" Target="https://www.daloopa.com/src/59379426" TargetMode="External"/><Relationship Id="rId1665" Type="http://schemas.openxmlformats.org/officeDocument/2006/relationships/hyperlink" Target="https://www.daloopa.com/src/58934401" TargetMode="External"/><Relationship Id="rId1872" Type="http://schemas.openxmlformats.org/officeDocument/2006/relationships/hyperlink" Target="https://www.daloopa.com/src/58936829" TargetMode="External"/><Relationship Id="rId2411" Type="http://schemas.openxmlformats.org/officeDocument/2006/relationships/hyperlink" Target="https://marketplace.daloopa.com/text-fundamental?id=58987737&amp;value=11317&amp;" TargetMode="External"/><Relationship Id="rId2509" Type="http://schemas.openxmlformats.org/officeDocument/2006/relationships/hyperlink" Target="https://www.daloopa.com/src/58988178" TargetMode="External"/><Relationship Id="rId2716" Type="http://schemas.openxmlformats.org/officeDocument/2006/relationships/hyperlink" Target="https://marketplace.daloopa.com/text-fundamental?id=58992574&amp;value=397&amp;id=59372600&amp;value=402&amp;" TargetMode="External"/><Relationship Id="rId1220" Type="http://schemas.openxmlformats.org/officeDocument/2006/relationships/hyperlink" Target="https://www.daloopa.com/src/58933718" TargetMode="External"/><Relationship Id="rId1318" Type="http://schemas.openxmlformats.org/officeDocument/2006/relationships/hyperlink" Target="https://www.daloopa.com/src/58931086" TargetMode="External"/><Relationship Id="rId1525" Type="http://schemas.openxmlformats.org/officeDocument/2006/relationships/hyperlink" Target="https://www.daloopa.com/src/58932342" TargetMode="External"/><Relationship Id="rId2923" Type="http://schemas.openxmlformats.org/officeDocument/2006/relationships/hyperlink" Target="https://www.daloopa.com/src/59373959" TargetMode="External"/><Relationship Id="rId1732" Type="http://schemas.openxmlformats.org/officeDocument/2006/relationships/hyperlink" Target="https://www.daloopa.com/src/59368528" TargetMode="External"/><Relationship Id="rId24" Type="http://schemas.openxmlformats.org/officeDocument/2006/relationships/hyperlink" Target="https://www.daloopa.com/src/58816163" TargetMode="External"/><Relationship Id="rId2299" Type="http://schemas.openxmlformats.org/officeDocument/2006/relationships/hyperlink" Target="https://www.daloopa.com/src/59153169" TargetMode="External"/><Relationship Id="rId173" Type="http://schemas.openxmlformats.org/officeDocument/2006/relationships/hyperlink" Target="https://marketplace.daloopa.com/text-fundamental?id=59084119&amp;value=44.6&amp;id=59084280&amp;value=10.6&amp;id=59083035&amp;value=13.4&amp;id=59080200&amp;value=7.4&amp;id=59379436&amp;value=7.700000000000003&amp;id=59083061&amp;value=39.1&amp;id=59080108&amp;value=9.1&amp;id=59373926&amp;value=8.8&amp;" TargetMode="External"/><Relationship Id="rId380" Type="http://schemas.openxmlformats.org/officeDocument/2006/relationships/hyperlink" Target="https://www.daloopa.com/src/58864797" TargetMode="External"/><Relationship Id="rId2061" Type="http://schemas.openxmlformats.org/officeDocument/2006/relationships/hyperlink" Target="https://www.daloopa.com/src/59368556" TargetMode="External"/><Relationship Id="rId240" Type="http://schemas.openxmlformats.org/officeDocument/2006/relationships/hyperlink" Target="https://www.daloopa.com/src/58947476" TargetMode="External"/><Relationship Id="rId478" Type="http://schemas.openxmlformats.org/officeDocument/2006/relationships/hyperlink" Target="https://www.daloopa.com/src/58881407" TargetMode="External"/><Relationship Id="rId685" Type="http://schemas.openxmlformats.org/officeDocument/2006/relationships/hyperlink" Target="https://www.daloopa.com/src/58815493" TargetMode="External"/><Relationship Id="rId892" Type="http://schemas.openxmlformats.org/officeDocument/2006/relationships/hyperlink" Target="https://www.daloopa.com/src/59368491" TargetMode="External"/><Relationship Id="rId2159" Type="http://schemas.openxmlformats.org/officeDocument/2006/relationships/hyperlink" Target="https://www.daloopa.com/src/58935607" TargetMode="External"/><Relationship Id="rId2366" Type="http://schemas.openxmlformats.org/officeDocument/2006/relationships/hyperlink" Target="https://www.daloopa.com/src/58979826" TargetMode="External"/><Relationship Id="rId2573" Type="http://schemas.openxmlformats.org/officeDocument/2006/relationships/hyperlink" Target="https://www.daloopa.com/src/58988212" TargetMode="External"/><Relationship Id="rId2780" Type="http://schemas.openxmlformats.org/officeDocument/2006/relationships/hyperlink" Target="https://www.daloopa.com/src/59006286" TargetMode="External"/><Relationship Id="rId100" Type="http://schemas.openxmlformats.org/officeDocument/2006/relationships/hyperlink" Target="https://www.daloopa.com/src/59068030" TargetMode="External"/><Relationship Id="rId338" Type="http://schemas.openxmlformats.org/officeDocument/2006/relationships/hyperlink" Target="https://www.daloopa.com/src/58815177" TargetMode="External"/><Relationship Id="rId545" Type="http://schemas.openxmlformats.org/officeDocument/2006/relationships/hyperlink" Target="https://www.daloopa.com/src/58881592" TargetMode="External"/><Relationship Id="rId752" Type="http://schemas.openxmlformats.org/officeDocument/2006/relationships/hyperlink" Target="https://marketplace.daloopa.com/text-fundamental?id=58930154&amp;value=544733&amp;id=59756361&amp;value=1820939&amp;id=58873738&amp;value=1763691&amp;id=58929972&amp;value=1703049&amp;id=58815485&amp;value=1842179&amp;id=58815492&amp;value=1856693&amp;id=58805153&amp;value=1886581&amp;id=58800560&amp;value=1903331&amp;id=59368461&amp;value=1911177&amp;" TargetMode="External"/><Relationship Id="rId1175" Type="http://schemas.openxmlformats.org/officeDocument/2006/relationships/hyperlink" Target="https://www.daloopa.com/src/58800691" TargetMode="External"/><Relationship Id="rId1382" Type="http://schemas.openxmlformats.org/officeDocument/2006/relationships/hyperlink" Target="https://www.daloopa.com/src/58865945" TargetMode="External"/><Relationship Id="rId2019" Type="http://schemas.openxmlformats.org/officeDocument/2006/relationships/hyperlink" Target="https://marketplace.daloopa.com/text-fundamental?id=59695630&amp;value=474&amp;" TargetMode="External"/><Relationship Id="rId2226" Type="http://schemas.openxmlformats.org/officeDocument/2006/relationships/hyperlink" Target="https://www.daloopa.com/src/58945170" TargetMode="External"/><Relationship Id="rId2433" Type="http://schemas.openxmlformats.org/officeDocument/2006/relationships/hyperlink" Target="https://www.daloopa.com/src/58987745" TargetMode="External"/><Relationship Id="rId2640" Type="http://schemas.openxmlformats.org/officeDocument/2006/relationships/hyperlink" Target="https://www.daloopa.com/src/58990047" TargetMode="External"/><Relationship Id="rId2878" Type="http://schemas.openxmlformats.org/officeDocument/2006/relationships/hyperlink" Target="https://www.daloopa.com/src/59085328" TargetMode="External"/><Relationship Id="rId405" Type="http://schemas.openxmlformats.org/officeDocument/2006/relationships/hyperlink" Target="https://www.daloopa.com/src/59581268" TargetMode="External"/><Relationship Id="rId612" Type="http://schemas.openxmlformats.org/officeDocument/2006/relationships/hyperlink" Target="https://www.daloopa.com/src/58881568" TargetMode="External"/><Relationship Id="rId1035" Type="http://schemas.openxmlformats.org/officeDocument/2006/relationships/hyperlink" Target="https://www.daloopa.com/src/58930733" TargetMode="External"/><Relationship Id="rId1242" Type="http://schemas.openxmlformats.org/officeDocument/2006/relationships/hyperlink" Target="https://www.daloopa.com/src/58930981" TargetMode="External"/><Relationship Id="rId1687" Type="http://schemas.openxmlformats.org/officeDocument/2006/relationships/hyperlink" Target="https://www.daloopa.com/src/58936244" TargetMode="External"/><Relationship Id="rId1894" Type="http://schemas.openxmlformats.org/officeDocument/2006/relationships/hyperlink" Target="https://www.daloopa.com/src/58935529" TargetMode="External"/><Relationship Id="rId2500" Type="http://schemas.openxmlformats.org/officeDocument/2006/relationships/hyperlink" Target="https://www.daloopa.com/src/58988181" TargetMode="External"/><Relationship Id="rId2738" Type="http://schemas.openxmlformats.org/officeDocument/2006/relationships/hyperlink" Target="https://www.daloopa.com/src/59004587" TargetMode="External"/><Relationship Id="rId917" Type="http://schemas.openxmlformats.org/officeDocument/2006/relationships/hyperlink" Target="https://www.daloopa.com/src/58815521" TargetMode="External"/><Relationship Id="rId1102" Type="http://schemas.openxmlformats.org/officeDocument/2006/relationships/hyperlink" Target="https://marketplace.daloopa.com/text-fundamental?id=58933595&amp;value=12760&amp;id=59379364&amp;value=12760&amp;id=58934069&amp;value=5434&amp;id=58930730&amp;value=-1783&amp;id=58930824&amp;value=8025&amp;id=58930922&amp;value=4854&amp;id=59379365&amp;value=16530&amp;id=58865898&amp;value=-8087&amp;id=58815859&amp;value=10677&amp;id=58815829&amp;value=-1043&amp;id=58815812&amp;value=5969&amp;id=59379366&amp;value=7516&amp;id=58800689&amp;value=-1329&amp;id=59368509&amp;value=-1419&amp;" TargetMode="External"/><Relationship Id="rId1547" Type="http://schemas.openxmlformats.org/officeDocument/2006/relationships/hyperlink" Target="https://www.daloopa.com/src/58932429" TargetMode="External"/><Relationship Id="rId1754" Type="http://schemas.openxmlformats.org/officeDocument/2006/relationships/hyperlink" Target="https://www.daloopa.com/src/59066248" TargetMode="External"/><Relationship Id="rId1961" Type="http://schemas.openxmlformats.org/officeDocument/2006/relationships/hyperlink" Target="https://www.daloopa.com/src/58935542" TargetMode="External"/><Relationship Id="rId2805" Type="http://schemas.openxmlformats.org/officeDocument/2006/relationships/hyperlink" Target="https://www.daloopa.com/src/58978974" TargetMode="External"/><Relationship Id="rId46" Type="http://schemas.openxmlformats.org/officeDocument/2006/relationships/hyperlink" Target="https://www.daloopa.com/src/59368564" TargetMode="External"/><Relationship Id="rId1407" Type="http://schemas.openxmlformats.org/officeDocument/2006/relationships/hyperlink" Target="https://www.daloopa.com/src/58933748" TargetMode="External"/><Relationship Id="rId1614" Type="http://schemas.openxmlformats.org/officeDocument/2006/relationships/hyperlink" Target="https://www.daloopa.com/src/58809368" TargetMode="External"/><Relationship Id="rId1821" Type="http://schemas.openxmlformats.org/officeDocument/2006/relationships/hyperlink" Target="https://www.daloopa.com/src/58935517" TargetMode="External"/><Relationship Id="rId195" Type="http://schemas.openxmlformats.org/officeDocument/2006/relationships/hyperlink" Target="https://www.daloopa.com/src/59371406" TargetMode="External"/><Relationship Id="rId1919" Type="http://schemas.openxmlformats.org/officeDocument/2006/relationships/hyperlink" Target="https://www.daloopa.com/src/58809713" TargetMode="External"/><Relationship Id="rId2083" Type="http://schemas.openxmlformats.org/officeDocument/2006/relationships/hyperlink" Target="https://www.daloopa.com/src/58935561" TargetMode="External"/><Relationship Id="rId2290" Type="http://schemas.openxmlformats.org/officeDocument/2006/relationships/hyperlink" Target="https://www.daloopa.com/src/59152996" TargetMode="External"/><Relationship Id="rId2388" Type="http://schemas.openxmlformats.org/officeDocument/2006/relationships/hyperlink" Target="https://www.daloopa.com/src/58985418" TargetMode="External"/><Relationship Id="rId2595" Type="http://schemas.openxmlformats.org/officeDocument/2006/relationships/hyperlink" Target="https://www.daloopa.com/src/58988242" TargetMode="External"/><Relationship Id="rId262" Type="http://schemas.openxmlformats.org/officeDocument/2006/relationships/hyperlink" Target="https://www.daloopa.com/src/58976354" TargetMode="External"/><Relationship Id="rId567" Type="http://schemas.openxmlformats.org/officeDocument/2006/relationships/hyperlink" Target="https://www.daloopa.com/src/58815451" TargetMode="External"/><Relationship Id="rId1197" Type="http://schemas.openxmlformats.org/officeDocument/2006/relationships/hyperlink" Target="https://www.daloopa.com/src/59379381" TargetMode="External"/><Relationship Id="rId2150" Type="http://schemas.openxmlformats.org/officeDocument/2006/relationships/hyperlink" Target="https://www.daloopa.com/src/58816153" TargetMode="External"/><Relationship Id="rId2248" Type="http://schemas.openxmlformats.org/officeDocument/2006/relationships/hyperlink" Target="https://www.daloopa.com/src/58944618" TargetMode="External"/><Relationship Id="rId122" Type="http://schemas.openxmlformats.org/officeDocument/2006/relationships/hyperlink" Target="https://www.daloopa.com/src/59374994" TargetMode="External"/><Relationship Id="rId774" Type="http://schemas.openxmlformats.org/officeDocument/2006/relationships/hyperlink" Target="https://www.daloopa.com/src/58930005" TargetMode="External"/><Relationship Id="rId981" Type="http://schemas.openxmlformats.org/officeDocument/2006/relationships/hyperlink" Target="https://www.daloopa.com/src/58815805" TargetMode="External"/><Relationship Id="rId1057" Type="http://schemas.openxmlformats.org/officeDocument/2006/relationships/hyperlink" Target="https://www.daloopa.com/src/59368508" TargetMode="External"/><Relationship Id="rId2010" Type="http://schemas.openxmlformats.org/officeDocument/2006/relationships/hyperlink" Target="https://www.daloopa.com/src/59695628" TargetMode="External"/><Relationship Id="rId2455" Type="http://schemas.openxmlformats.org/officeDocument/2006/relationships/hyperlink" Target="https://www.daloopa.com/src/59008889" TargetMode="External"/><Relationship Id="rId2662" Type="http://schemas.openxmlformats.org/officeDocument/2006/relationships/hyperlink" Target="https://www.daloopa.com/src/59372595" TargetMode="External"/><Relationship Id="rId427" Type="http://schemas.openxmlformats.org/officeDocument/2006/relationships/hyperlink" Target="https://www.daloopa.com/src/58873622" TargetMode="External"/><Relationship Id="rId634" Type="http://schemas.openxmlformats.org/officeDocument/2006/relationships/hyperlink" Target="https://www.daloopa.com/src/58930157" TargetMode="External"/><Relationship Id="rId841" Type="http://schemas.openxmlformats.org/officeDocument/2006/relationships/hyperlink" Target="https://www.daloopa.com/src/58800600" TargetMode="External"/><Relationship Id="rId1264" Type="http://schemas.openxmlformats.org/officeDocument/2006/relationships/hyperlink" Target="https://www.daloopa.com/src/59368513" TargetMode="External"/><Relationship Id="rId1471" Type="http://schemas.openxmlformats.org/officeDocument/2006/relationships/hyperlink" Target="https://www.daloopa.com/src/59368566" TargetMode="External"/><Relationship Id="rId1569" Type="http://schemas.openxmlformats.org/officeDocument/2006/relationships/hyperlink" Target="https://www.daloopa.com/src/58936271" TargetMode="External"/><Relationship Id="rId2108" Type="http://schemas.openxmlformats.org/officeDocument/2006/relationships/hyperlink" Target="https://www.daloopa.com/src/59751939" TargetMode="External"/><Relationship Id="rId2315" Type="http://schemas.openxmlformats.org/officeDocument/2006/relationships/hyperlink" Target="https://www.daloopa.com/src/59150520" TargetMode="External"/><Relationship Id="rId2522" Type="http://schemas.openxmlformats.org/officeDocument/2006/relationships/hyperlink" Target="https://marketplace.daloopa.com/text-fundamental?id=58988185&amp;value=-701&amp;" TargetMode="External"/><Relationship Id="rId701" Type="http://schemas.openxmlformats.org/officeDocument/2006/relationships/hyperlink" Target="https://www.daloopa.com/src/58929976" TargetMode="External"/><Relationship Id="rId939" Type="http://schemas.openxmlformats.org/officeDocument/2006/relationships/hyperlink" Target="https://www.daloopa.com/src/58930739" TargetMode="External"/><Relationship Id="rId1124" Type="http://schemas.openxmlformats.org/officeDocument/2006/relationships/hyperlink" Target="https://www.daloopa.com/src/58815860" TargetMode="External"/><Relationship Id="rId1331" Type="http://schemas.openxmlformats.org/officeDocument/2006/relationships/hyperlink" Target="https://marketplace.daloopa.com/text-fundamental?id=58934114&amp;value=-1397&amp;id=58931051&amp;value=0&amp;id=58931063&amp;value=0&amp;id=58931084&amp;value=0&amp;id=59379408&amp;value=-1397&amp;id=58865947&amp;value=-1257&amp;id=58815922&amp;value=0&amp;id=58815948&amp;value=0&amp;id=58815962&amp;value=0&amp;id=59379409&amp;value=-1257&amp;" TargetMode="External"/><Relationship Id="rId1776" Type="http://schemas.openxmlformats.org/officeDocument/2006/relationships/hyperlink" Target="https://marketplace.daloopa.com/text-fundamental?id=59695225&amp;value=2105&amp;" TargetMode="External"/><Relationship Id="rId1983" Type="http://schemas.openxmlformats.org/officeDocument/2006/relationships/hyperlink" Target="https://www.daloopa.com/src/58936802" TargetMode="External"/><Relationship Id="rId2827" Type="http://schemas.openxmlformats.org/officeDocument/2006/relationships/hyperlink" Target="https://www.daloopa.com/src/58978971" TargetMode="External"/><Relationship Id="rId68" Type="http://schemas.openxmlformats.org/officeDocument/2006/relationships/hyperlink" Target="https://www.daloopa.com/src/59374987" TargetMode="External"/><Relationship Id="rId1429" Type="http://schemas.openxmlformats.org/officeDocument/2006/relationships/hyperlink" Target="https://www.daloopa.com/src/58815943" TargetMode="External"/><Relationship Id="rId1636" Type="http://schemas.openxmlformats.org/officeDocument/2006/relationships/hyperlink" Target="https://www.daloopa.com/src/58934441" TargetMode="External"/><Relationship Id="rId1843" Type="http://schemas.openxmlformats.org/officeDocument/2006/relationships/hyperlink" Target="https://www.daloopa.com/src/58816121" TargetMode="External"/><Relationship Id="rId1703" Type="http://schemas.openxmlformats.org/officeDocument/2006/relationships/hyperlink" Target="https://www.daloopa.com/src/58936269" TargetMode="External"/><Relationship Id="rId1910" Type="http://schemas.openxmlformats.org/officeDocument/2006/relationships/hyperlink" Target="https://www.daloopa.com/src/58935530" TargetMode="External"/><Relationship Id="rId284" Type="http://schemas.openxmlformats.org/officeDocument/2006/relationships/hyperlink" Target="https://www.daloopa.com/src/59581275" TargetMode="External"/><Relationship Id="rId491" Type="http://schemas.openxmlformats.org/officeDocument/2006/relationships/hyperlink" Target="https://www.daloopa.com/src/58881252" TargetMode="External"/><Relationship Id="rId2172" Type="http://schemas.openxmlformats.org/officeDocument/2006/relationships/hyperlink" Target="https://www.daloopa.com/src/58816143" TargetMode="External"/><Relationship Id="rId144" Type="http://schemas.openxmlformats.org/officeDocument/2006/relationships/hyperlink" Target="https://www.daloopa.com/src/59071496" TargetMode="External"/><Relationship Id="rId589" Type="http://schemas.openxmlformats.org/officeDocument/2006/relationships/hyperlink" Target="https://marketplace.daloopa.com/text-fundamental?id=58881560&amp;value=36785&amp;" TargetMode="External"/><Relationship Id="rId796" Type="http://schemas.openxmlformats.org/officeDocument/2006/relationships/hyperlink" Target="https://www.daloopa.com/src/58930197" TargetMode="External"/><Relationship Id="rId2477" Type="http://schemas.openxmlformats.org/officeDocument/2006/relationships/hyperlink" Target="https://www.daloopa.com/src/58988049" TargetMode="External"/><Relationship Id="rId2684" Type="http://schemas.openxmlformats.org/officeDocument/2006/relationships/hyperlink" Target="https://www.daloopa.com/src/59372596" TargetMode="External"/><Relationship Id="rId351" Type="http://schemas.openxmlformats.org/officeDocument/2006/relationships/hyperlink" Target="https://www.daloopa.com/src/58881255" TargetMode="External"/><Relationship Id="rId449" Type="http://schemas.openxmlformats.org/officeDocument/2006/relationships/hyperlink" Target="https://www.daloopa.com/src/58815455" TargetMode="External"/><Relationship Id="rId656" Type="http://schemas.openxmlformats.org/officeDocument/2006/relationships/hyperlink" Target="https://www.daloopa.com/src/58929981" TargetMode="External"/><Relationship Id="rId863" Type="http://schemas.openxmlformats.org/officeDocument/2006/relationships/hyperlink" Target="https://www.daloopa.com/src/58873794" TargetMode="External"/><Relationship Id="rId1079" Type="http://schemas.openxmlformats.org/officeDocument/2006/relationships/hyperlink" Target="https://www.daloopa.com/src/58930827" TargetMode="External"/><Relationship Id="rId1286" Type="http://schemas.openxmlformats.org/officeDocument/2006/relationships/hyperlink" Target="https://www.daloopa.com/src/58931069" TargetMode="External"/><Relationship Id="rId1493" Type="http://schemas.openxmlformats.org/officeDocument/2006/relationships/hyperlink" Target="https://www.daloopa.com/src/59379432" TargetMode="External"/><Relationship Id="rId2032" Type="http://schemas.openxmlformats.org/officeDocument/2006/relationships/hyperlink" Target="https://www.daloopa.com/src/58804538" TargetMode="External"/><Relationship Id="rId2337" Type="http://schemas.openxmlformats.org/officeDocument/2006/relationships/hyperlink" Target="https://www.daloopa.com/src/59379443" TargetMode="External"/><Relationship Id="rId2544" Type="http://schemas.openxmlformats.org/officeDocument/2006/relationships/hyperlink" Target="https://marketplace.daloopa.com/text-fundamental?id=58988250&amp;value=-0.1381&amp;id=58988225&amp;value=0&amp;id=58988210&amp;value=-0.027200000000000002&amp;" TargetMode="External"/><Relationship Id="rId2891" Type="http://schemas.openxmlformats.org/officeDocument/2006/relationships/hyperlink" Target="https://www.daloopa.com/src/59091493" TargetMode="External"/><Relationship Id="rId211" Type="http://schemas.openxmlformats.org/officeDocument/2006/relationships/hyperlink" Target="https://www.daloopa.com/src/58947477" TargetMode="External"/><Relationship Id="rId309" Type="http://schemas.openxmlformats.org/officeDocument/2006/relationships/hyperlink" Target="https://www.daloopa.com/src/58881254" TargetMode="External"/><Relationship Id="rId516" Type="http://schemas.openxmlformats.org/officeDocument/2006/relationships/hyperlink" Target="https://www.daloopa.com/src/58800405" TargetMode="External"/><Relationship Id="rId1146" Type="http://schemas.openxmlformats.org/officeDocument/2006/relationships/hyperlink" Target="https://www.daloopa.com/src/59379372" TargetMode="External"/><Relationship Id="rId1798" Type="http://schemas.openxmlformats.org/officeDocument/2006/relationships/hyperlink" Target="https://www.daloopa.com/src/58936796" TargetMode="External"/><Relationship Id="rId2751" Type="http://schemas.openxmlformats.org/officeDocument/2006/relationships/hyperlink" Target="https://www.daloopa.com/src/59005134" TargetMode="External"/><Relationship Id="rId2849" Type="http://schemas.openxmlformats.org/officeDocument/2006/relationships/hyperlink" Target="https://marketplace.daloopa.com/text-fundamental?id=59085032&amp;value=-6&amp;id=59084477&amp;value=4.7&amp;id=59084426&amp;value=3.7&amp;id=59084777&amp;value=11.9&amp;id=59084398&amp;value=6&amp;id=59373928&amp;value=4.7&amp;" TargetMode="External"/><Relationship Id="rId723" Type="http://schemas.openxmlformats.org/officeDocument/2006/relationships/hyperlink" Target="https://www.daloopa.com/src/58800556" TargetMode="External"/><Relationship Id="rId930" Type="http://schemas.openxmlformats.org/officeDocument/2006/relationships/hyperlink" Target="https://www.daloopa.com/src/58815801" TargetMode="External"/><Relationship Id="rId1006" Type="http://schemas.openxmlformats.org/officeDocument/2006/relationships/hyperlink" Target="https://www.daloopa.com/src/58930833" TargetMode="External"/><Relationship Id="rId1353" Type="http://schemas.openxmlformats.org/officeDocument/2006/relationships/hyperlink" Target="https://www.daloopa.com/src/59368516" TargetMode="External"/><Relationship Id="rId1560" Type="http://schemas.openxmlformats.org/officeDocument/2006/relationships/hyperlink" Target="https://marketplace.daloopa.com/text-fundamental?id=58932443&amp;value=224&amp;" TargetMode="External"/><Relationship Id="rId1658" Type="http://schemas.openxmlformats.org/officeDocument/2006/relationships/hyperlink" Target="https://www.daloopa.com/src/58809476" TargetMode="External"/><Relationship Id="rId1865" Type="http://schemas.openxmlformats.org/officeDocument/2006/relationships/hyperlink" Target="https://www.daloopa.com/src/58936953" TargetMode="External"/><Relationship Id="rId2404" Type="http://schemas.openxmlformats.org/officeDocument/2006/relationships/hyperlink" Target="https://www.daloopa.com/src/58985423" TargetMode="External"/><Relationship Id="rId2611" Type="http://schemas.openxmlformats.org/officeDocument/2006/relationships/hyperlink" Target="https://www.daloopa.com/src/59372884" TargetMode="External"/><Relationship Id="rId2709" Type="http://schemas.openxmlformats.org/officeDocument/2006/relationships/hyperlink" Target="https://www.daloopa.com/src/59372603" TargetMode="External"/><Relationship Id="rId1213" Type="http://schemas.openxmlformats.org/officeDocument/2006/relationships/hyperlink" Target="https://www.daloopa.com/src/58815879" TargetMode="External"/><Relationship Id="rId1420" Type="http://schemas.openxmlformats.org/officeDocument/2006/relationships/hyperlink" Target="https://www.daloopa.com/src/59379424" TargetMode="External"/><Relationship Id="rId1518" Type="http://schemas.openxmlformats.org/officeDocument/2006/relationships/hyperlink" Target="https://marketplace.daloopa.com/text-fundamental?id=58932341&amp;value=-62&amp;" TargetMode="External"/><Relationship Id="rId2916" Type="http://schemas.openxmlformats.org/officeDocument/2006/relationships/hyperlink" Target="https://www.daloopa.com/src/59091494" TargetMode="External"/><Relationship Id="rId1725" Type="http://schemas.openxmlformats.org/officeDocument/2006/relationships/hyperlink" Target="https://www.daloopa.com/src/58934396" TargetMode="External"/><Relationship Id="rId1932" Type="http://schemas.openxmlformats.org/officeDocument/2006/relationships/hyperlink" Target="https://www.daloopa.com/src/58936790" TargetMode="External"/><Relationship Id="rId17" Type="http://schemas.openxmlformats.org/officeDocument/2006/relationships/hyperlink" Target="https://marketplace.daloopa.com/text-fundamental?id=58816169&amp;value=650&amp;id=58816174&amp;value=686&amp;id=58810746&amp;value=828&amp;id=58804636&amp;value=835&amp;id=59368562&amp;value=835&amp;" TargetMode="External"/><Relationship Id="rId2194" Type="http://schemas.openxmlformats.org/officeDocument/2006/relationships/hyperlink" Target="https://www.daloopa.com/src/58941041" TargetMode="External"/><Relationship Id="rId166" Type="http://schemas.openxmlformats.org/officeDocument/2006/relationships/hyperlink" Target="https://www.daloopa.com/src/59080109" TargetMode="External"/><Relationship Id="rId373" Type="http://schemas.openxmlformats.org/officeDocument/2006/relationships/hyperlink" Target="https://www.daloopa.com/src/58882148" TargetMode="External"/><Relationship Id="rId580" Type="http://schemas.openxmlformats.org/officeDocument/2006/relationships/hyperlink" Target="https://www.daloopa.com/src/58864803" TargetMode="External"/><Relationship Id="rId2054" Type="http://schemas.openxmlformats.org/officeDocument/2006/relationships/hyperlink" Target="https://www.daloopa.com/src/58935587" TargetMode="External"/><Relationship Id="rId2261" Type="http://schemas.openxmlformats.org/officeDocument/2006/relationships/hyperlink" Target="https://www.daloopa.com/src/58944664" TargetMode="External"/><Relationship Id="rId2499" Type="http://schemas.openxmlformats.org/officeDocument/2006/relationships/hyperlink" Target="https://www.daloopa.com/src/58988191" TargetMode="External"/><Relationship Id="rId1" Type="http://schemas.openxmlformats.org/officeDocument/2006/relationships/hyperlink" Target="https://www.daloopa.com/document/23015463" TargetMode="External"/><Relationship Id="rId233" Type="http://schemas.openxmlformats.org/officeDocument/2006/relationships/hyperlink" Target="https://www.daloopa.com/src/58947587" TargetMode="External"/><Relationship Id="rId440" Type="http://schemas.openxmlformats.org/officeDocument/2006/relationships/hyperlink" Target="https://www.daloopa.com/src/58882222" TargetMode="External"/><Relationship Id="rId678" Type="http://schemas.openxmlformats.org/officeDocument/2006/relationships/hyperlink" Target="https://www.daloopa.com/src/58800563" TargetMode="External"/><Relationship Id="rId885" Type="http://schemas.openxmlformats.org/officeDocument/2006/relationships/hyperlink" Target="https://www.daloopa.com/src/58930189" TargetMode="External"/><Relationship Id="rId1070" Type="http://schemas.openxmlformats.org/officeDocument/2006/relationships/hyperlink" Target="https://www.daloopa.com/src/58800676" TargetMode="External"/><Relationship Id="rId2121" Type="http://schemas.openxmlformats.org/officeDocument/2006/relationships/hyperlink" Target="https://www.daloopa.com/src/59751941" TargetMode="External"/><Relationship Id="rId2359" Type="http://schemas.openxmlformats.org/officeDocument/2006/relationships/hyperlink" Target="https://www.daloopa.com/src/58979974" TargetMode="External"/><Relationship Id="rId2566" Type="http://schemas.openxmlformats.org/officeDocument/2006/relationships/hyperlink" Target="https://marketplace.daloopa.com/text-fundamental?id=58988245&amp;value=0.0078000000000000005&amp;id=58988231&amp;value=-0.019&amp;id=58988219&amp;value=0.053399999999999996&amp;" TargetMode="External"/><Relationship Id="rId2773" Type="http://schemas.openxmlformats.org/officeDocument/2006/relationships/hyperlink" Target="https://www.daloopa.com/src/59005260" TargetMode="External"/><Relationship Id="rId300" Type="http://schemas.openxmlformats.org/officeDocument/2006/relationships/hyperlink" Target="https://www.daloopa.com/src/58873651" TargetMode="External"/><Relationship Id="rId538" Type="http://schemas.openxmlformats.org/officeDocument/2006/relationships/hyperlink" Target="https://www.daloopa.com/src/58873708" TargetMode="External"/><Relationship Id="rId745" Type="http://schemas.openxmlformats.org/officeDocument/2006/relationships/hyperlink" Target="https://www.daloopa.com/src/58873734" TargetMode="External"/><Relationship Id="rId952" Type="http://schemas.openxmlformats.org/officeDocument/2006/relationships/hyperlink" Target="https://www.daloopa.com/src/58865904" TargetMode="External"/><Relationship Id="rId1168" Type="http://schemas.openxmlformats.org/officeDocument/2006/relationships/hyperlink" Target="https://www.daloopa.com/src/58930726" TargetMode="External"/><Relationship Id="rId1375" Type="http://schemas.openxmlformats.org/officeDocument/2006/relationships/hyperlink" Target="https://www.daloopa.com/src/59368517" TargetMode="External"/><Relationship Id="rId1582" Type="http://schemas.openxmlformats.org/officeDocument/2006/relationships/hyperlink" Target="https://www.daloopa.com/src/58934451" TargetMode="External"/><Relationship Id="rId2219" Type="http://schemas.openxmlformats.org/officeDocument/2006/relationships/hyperlink" Target="https://www.daloopa.com/src/58944626" TargetMode="External"/><Relationship Id="rId2426" Type="http://schemas.openxmlformats.org/officeDocument/2006/relationships/hyperlink" Target="https://www.daloopa.com/src/58985448" TargetMode="External"/><Relationship Id="rId2633" Type="http://schemas.openxmlformats.org/officeDocument/2006/relationships/hyperlink" Target="https://www.daloopa.com/src/58990176" TargetMode="External"/><Relationship Id="rId81" Type="http://schemas.openxmlformats.org/officeDocument/2006/relationships/hyperlink" Target="https://www.daloopa.com/src/59066396" TargetMode="External"/><Relationship Id="rId605" Type="http://schemas.openxmlformats.org/officeDocument/2006/relationships/hyperlink" Target="https://marketplace.daloopa.com/text-fundamental?id=58881565&amp;value=-25&amp;" TargetMode="External"/><Relationship Id="rId812" Type="http://schemas.openxmlformats.org/officeDocument/2006/relationships/hyperlink" Target="https://www.daloopa.com/src/59368492" TargetMode="External"/><Relationship Id="rId1028" Type="http://schemas.openxmlformats.org/officeDocument/2006/relationships/hyperlink" Target="https://www.daloopa.com/src/59368501" TargetMode="External"/><Relationship Id="rId1235" Type="http://schemas.openxmlformats.org/officeDocument/2006/relationships/hyperlink" Target="https://www.daloopa.com/src/59379387" TargetMode="External"/><Relationship Id="rId1442" Type="http://schemas.openxmlformats.org/officeDocument/2006/relationships/hyperlink" Target="https://www.daloopa.com/src/58815970" TargetMode="External"/><Relationship Id="rId1887" Type="http://schemas.openxmlformats.org/officeDocument/2006/relationships/hyperlink" Target="https://www.daloopa.com/src/58936787" TargetMode="External"/><Relationship Id="rId2840" Type="http://schemas.openxmlformats.org/officeDocument/2006/relationships/hyperlink" Target="https://marketplace.daloopa.com/text-fundamental?id=58978595&amp;value=540839&amp;id=58978535&amp;value=778605&amp;id=58978969&amp;value=741908&amp;id=58978555&amp;value=553968&amp;id=58978548&amp;value=554405&amp;id=58978529&amp;value=554845&amp;id=58978507&amp;value=555290&amp;id=59371999&amp;value=555739&amp;" TargetMode="External"/><Relationship Id="rId1302" Type="http://schemas.openxmlformats.org/officeDocument/2006/relationships/hyperlink" Target="https://www.daloopa.com/src/58865951" TargetMode="External"/><Relationship Id="rId1747" Type="http://schemas.openxmlformats.org/officeDocument/2006/relationships/hyperlink" Target="https://www.daloopa.com/src/59736399" TargetMode="External"/><Relationship Id="rId1954" Type="http://schemas.openxmlformats.org/officeDocument/2006/relationships/hyperlink" Target="https://www.daloopa.com/src/58874703" TargetMode="External"/><Relationship Id="rId2700" Type="http://schemas.openxmlformats.org/officeDocument/2006/relationships/hyperlink" Target="https://www.daloopa.com/src/59372589" TargetMode="External"/><Relationship Id="rId39" Type="http://schemas.openxmlformats.org/officeDocument/2006/relationships/hyperlink" Target="https://www.daloopa.com/src/58804633" TargetMode="External"/><Relationship Id="rId1607" Type="http://schemas.openxmlformats.org/officeDocument/2006/relationships/hyperlink" Target="https://www.daloopa.com/src/58936385" TargetMode="External"/><Relationship Id="rId1814" Type="http://schemas.openxmlformats.org/officeDocument/2006/relationships/hyperlink" Target="https://marketplace.daloopa.com/text-fundamental?id=58936784&amp;value=902&amp;id=58936795&amp;value=2184&amp;id=58936805&amp;value=2172&amp;id=58936832&amp;value=1640&amp;id=58936952&amp;value=6898&amp;id=58936848&amp;value=-4920&amp;id=58935502&amp;value=-3499&amp;id=58935517&amp;value=-2889&amp;id=58935526&amp;value=-47&amp;id=58935551&amp;value=-11355&amp;id=58874696&amp;value=-4435&amp;id=58816114&amp;value=3063&amp;id=58816119&amp;value=3397&amp;id=58809653&amp;value=6837&amp;id=58809711&amp;value=8862&amp;id=58802518&amp;value=4935&amp;id=59368537&amp;value=5432&amp;" TargetMode="External"/><Relationship Id="rId188" Type="http://schemas.openxmlformats.org/officeDocument/2006/relationships/hyperlink" Target="https://www.daloopa.com/src/58946059" TargetMode="External"/><Relationship Id="rId395" Type="http://schemas.openxmlformats.org/officeDocument/2006/relationships/hyperlink" Target="https://www.daloopa.com/src/58873626" TargetMode="External"/><Relationship Id="rId2076" Type="http://schemas.openxmlformats.org/officeDocument/2006/relationships/hyperlink" Target="https://www.daloopa.com/src/58940286" TargetMode="External"/><Relationship Id="rId2283" Type="http://schemas.openxmlformats.org/officeDocument/2006/relationships/hyperlink" Target="https://www.daloopa.com/src/59163825" TargetMode="External"/><Relationship Id="rId2490" Type="http://schemas.openxmlformats.org/officeDocument/2006/relationships/hyperlink" Target="https://marketplace.daloopa.com/text-fundamental?id=58988137&amp;value=4849&amp;id=58988129&amp;value=5863&amp;id=58988125&amp;value=11679&amp;" TargetMode="External"/><Relationship Id="rId2588" Type="http://schemas.openxmlformats.org/officeDocument/2006/relationships/hyperlink" Target="https://marketplace.daloopa.com/text-fundamental?id=58988238&amp;value=-0.031400000000000004&amp;" TargetMode="External"/><Relationship Id="rId255" Type="http://schemas.openxmlformats.org/officeDocument/2006/relationships/hyperlink" Target="https://marketplace.daloopa.com/text-fundamental?id=59706385&amp;value=4665&amp;" TargetMode="External"/><Relationship Id="rId462" Type="http://schemas.openxmlformats.org/officeDocument/2006/relationships/hyperlink" Target="https://www.daloopa.com/src/59581269" TargetMode="External"/><Relationship Id="rId1092" Type="http://schemas.openxmlformats.org/officeDocument/2006/relationships/hyperlink" Target="https://www.daloopa.com/src/58934070" TargetMode="External"/><Relationship Id="rId1397" Type="http://schemas.openxmlformats.org/officeDocument/2006/relationships/hyperlink" Target="https://www.daloopa.com/src/58865953" TargetMode="External"/><Relationship Id="rId2143" Type="http://schemas.openxmlformats.org/officeDocument/2006/relationships/hyperlink" Target="https://www.daloopa.com/src/58810049" TargetMode="External"/><Relationship Id="rId2350" Type="http://schemas.openxmlformats.org/officeDocument/2006/relationships/hyperlink" Target="https://www.daloopa.com/src/58979780" TargetMode="External"/><Relationship Id="rId2795" Type="http://schemas.openxmlformats.org/officeDocument/2006/relationships/hyperlink" Target="https://www.daloopa.com/src/59006352" TargetMode="External"/><Relationship Id="rId115" Type="http://schemas.openxmlformats.org/officeDocument/2006/relationships/hyperlink" Target="https://www.daloopa.com/src/59374995" TargetMode="External"/><Relationship Id="rId322" Type="http://schemas.openxmlformats.org/officeDocument/2006/relationships/hyperlink" Target="https://www.daloopa.com/src/58881601" TargetMode="External"/><Relationship Id="rId767" Type="http://schemas.openxmlformats.org/officeDocument/2006/relationships/hyperlink" Target="https://www.daloopa.com/src/58815516" TargetMode="External"/><Relationship Id="rId974" Type="http://schemas.openxmlformats.org/officeDocument/2006/relationships/hyperlink" Target="https://www.daloopa.com/src/58934075" TargetMode="External"/><Relationship Id="rId2003" Type="http://schemas.openxmlformats.org/officeDocument/2006/relationships/hyperlink" Target="https://marketplace.daloopa.com/text-fundamental?id=59695635&amp;value=-37401&amp;" TargetMode="External"/><Relationship Id="rId2210" Type="http://schemas.openxmlformats.org/officeDocument/2006/relationships/hyperlink" Target="https://www.daloopa.com/src/58944627" TargetMode="External"/><Relationship Id="rId2448" Type="http://schemas.openxmlformats.org/officeDocument/2006/relationships/hyperlink" Target="https://marketplace.daloopa.com/text-fundamental?id=59066130&amp;value=172905&amp;id=59008892&amp;value=166196&amp;id=59008888&amp;value=147539&amp;" TargetMode="External"/><Relationship Id="rId2655" Type="http://schemas.openxmlformats.org/officeDocument/2006/relationships/hyperlink" Target="https://marketplace.daloopa.com/text-fundamental?id=58990172&amp;value=988&amp;id=58990067&amp;value=104&amp;" TargetMode="External"/><Relationship Id="rId2862" Type="http://schemas.openxmlformats.org/officeDocument/2006/relationships/hyperlink" Target="https://www.daloopa.com/src/59373927" TargetMode="External"/><Relationship Id="rId627" Type="http://schemas.openxmlformats.org/officeDocument/2006/relationships/hyperlink" Target="https://marketplace.daloopa.com/text-fundamental?id=58881576&amp;value=-0.24&amp;" TargetMode="External"/><Relationship Id="rId834" Type="http://schemas.openxmlformats.org/officeDocument/2006/relationships/hyperlink" Target="https://www.daloopa.com/src/58930007" TargetMode="External"/><Relationship Id="rId1257" Type="http://schemas.openxmlformats.org/officeDocument/2006/relationships/hyperlink" Target="https://www.daloopa.com/src/58930979" TargetMode="External"/><Relationship Id="rId1464" Type="http://schemas.openxmlformats.org/officeDocument/2006/relationships/hyperlink" Target="https://www.daloopa.com/src/58931100" TargetMode="External"/><Relationship Id="rId1671" Type="http://schemas.openxmlformats.org/officeDocument/2006/relationships/hyperlink" Target="https://www.daloopa.com/src/59368531" TargetMode="External"/><Relationship Id="rId2308" Type="http://schemas.openxmlformats.org/officeDocument/2006/relationships/hyperlink" Target="https://www.daloopa.com/src/59148611" TargetMode="External"/><Relationship Id="rId2515" Type="http://schemas.openxmlformats.org/officeDocument/2006/relationships/hyperlink" Target="https://www.daloopa.com/src/58988130" TargetMode="External"/><Relationship Id="rId2722" Type="http://schemas.openxmlformats.org/officeDocument/2006/relationships/hyperlink" Target="https://marketplace.daloopa.com/text-fundamental?id=59004907&amp;value=13224&amp;id=59004650&amp;value=95230&amp;id=59005075&amp;value=95410&amp;id=59004655&amp;value=95343&amp;id=59004623&amp;value=95171&amp;id=59004677&amp;value=95026&amp;id=59004588&amp;value=94976&amp;id=59371637&amp;value=94346&amp;" TargetMode="External"/><Relationship Id="rId901" Type="http://schemas.openxmlformats.org/officeDocument/2006/relationships/hyperlink" Target="https://www.daloopa.com/src/59368476" TargetMode="External"/><Relationship Id="rId1117" Type="http://schemas.openxmlformats.org/officeDocument/2006/relationships/hyperlink" Target="https://marketplace.daloopa.com/text-fundamental?id=58933596&amp;value=-7335&amp;id=59379367&amp;value=-7335&amp;id=58934068&amp;value=248&amp;id=58930728&amp;value=-11585&amp;id=58930826&amp;value=5481&amp;id=58930916&amp;value=6736&amp;id=59379368&amp;value=880&amp;id=58865897&amp;value=5579&amp;id=58815860&amp;value=-2799&amp;id=58815830&amp;value=3118&amp;id=58815810&amp;value=2643&amp;id=59379369&amp;value=8541&amp;id=58800686&amp;value=-13215&amp;id=59368507&amp;value=4435&amp;" TargetMode="External"/><Relationship Id="rId1324" Type="http://schemas.openxmlformats.org/officeDocument/2006/relationships/hyperlink" Target="https://www.daloopa.com/src/58931082" TargetMode="External"/><Relationship Id="rId1531" Type="http://schemas.openxmlformats.org/officeDocument/2006/relationships/hyperlink" Target="https://www.daloopa.com/src/58932344" TargetMode="External"/><Relationship Id="rId1769" Type="http://schemas.openxmlformats.org/officeDocument/2006/relationships/hyperlink" Target="https://www.daloopa.com/src/58809482" TargetMode="External"/><Relationship Id="rId1976" Type="http://schemas.openxmlformats.org/officeDocument/2006/relationships/hyperlink" Target="https://www.daloopa.com/src/58802514" TargetMode="External"/><Relationship Id="rId30" Type="http://schemas.openxmlformats.org/officeDocument/2006/relationships/hyperlink" Target="https://www.daloopa.com/src/58816168" TargetMode="External"/><Relationship Id="rId1629" Type="http://schemas.openxmlformats.org/officeDocument/2006/relationships/hyperlink" Target="https://www.daloopa.com/src/58874662" TargetMode="External"/><Relationship Id="rId1836" Type="http://schemas.openxmlformats.org/officeDocument/2006/relationships/hyperlink" Target="https://www.daloopa.com/src/58936822" TargetMode="External"/><Relationship Id="rId1903" Type="http://schemas.openxmlformats.org/officeDocument/2006/relationships/hyperlink" Target="https://www.daloopa.com/src/58809716" TargetMode="External"/><Relationship Id="rId2098" Type="http://schemas.openxmlformats.org/officeDocument/2006/relationships/hyperlink" Target="https://www.daloopa.com/src/58874718" TargetMode="External"/><Relationship Id="rId277" Type="http://schemas.openxmlformats.org/officeDocument/2006/relationships/hyperlink" Target="https://www.daloopa.com/src/58975967" TargetMode="External"/><Relationship Id="rId484" Type="http://schemas.openxmlformats.org/officeDocument/2006/relationships/hyperlink" Target="https://www.daloopa.com/src/58864789" TargetMode="External"/><Relationship Id="rId2165" Type="http://schemas.openxmlformats.org/officeDocument/2006/relationships/hyperlink" Target="https://www.daloopa.com/src/58940292" TargetMode="External"/><Relationship Id="rId137" Type="http://schemas.openxmlformats.org/officeDocument/2006/relationships/hyperlink" Target="https://www.daloopa.com/src/59071657" TargetMode="External"/><Relationship Id="rId344" Type="http://schemas.openxmlformats.org/officeDocument/2006/relationships/hyperlink" Target="https://www.daloopa.com/src/58864795" TargetMode="External"/><Relationship Id="rId691" Type="http://schemas.openxmlformats.org/officeDocument/2006/relationships/hyperlink" Target="https://www.daloopa.com/src/58873728" TargetMode="External"/><Relationship Id="rId789" Type="http://schemas.openxmlformats.org/officeDocument/2006/relationships/hyperlink" Target="https://marketplace.daloopa.com/text-fundamental?id=58800603&amp;value=6253&amp;id=59368490&amp;value=6070&amp;" TargetMode="External"/><Relationship Id="rId996" Type="http://schemas.openxmlformats.org/officeDocument/2006/relationships/hyperlink" Target="https://www.daloopa.com/src/58815808" TargetMode="External"/><Relationship Id="rId2025" Type="http://schemas.openxmlformats.org/officeDocument/2006/relationships/hyperlink" Target="https://www.daloopa.com/src/58935597" TargetMode="External"/><Relationship Id="rId2372" Type="http://schemas.openxmlformats.org/officeDocument/2006/relationships/hyperlink" Target="https://www.daloopa.com/src/58981016" TargetMode="External"/><Relationship Id="rId2677" Type="http://schemas.openxmlformats.org/officeDocument/2006/relationships/hyperlink" Target="https://www.daloopa.com/src/58992493" TargetMode="External"/><Relationship Id="rId2884" Type="http://schemas.openxmlformats.org/officeDocument/2006/relationships/hyperlink" Target="https://www.daloopa.com/src/59085263" TargetMode="External"/><Relationship Id="rId551" Type="http://schemas.openxmlformats.org/officeDocument/2006/relationships/hyperlink" Target="https://www.daloopa.com/src/58873665" TargetMode="External"/><Relationship Id="rId649" Type="http://schemas.openxmlformats.org/officeDocument/2006/relationships/hyperlink" Target="https://www.daloopa.com/src/58800565" TargetMode="External"/><Relationship Id="rId856" Type="http://schemas.openxmlformats.org/officeDocument/2006/relationships/hyperlink" Target="https://www.daloopa.com/src/58930010" TargetMode="External"/><Relationship Id="rId1181" Type="http://schemas.openxmlformats.org/officeDocument/2006/relationships/hyperlink" Target="https://www.daloopa.com/src/58882226" TargetMode="External"/><Relationship Id="rId1279" Type="http://schemas.openxmlformats.org/officeDocument/2006/relationships/hyperlink" Target="https://www.daloopa.com/src/58815924" TargetMode="External"/><Relationship Id="rId1486" Type="http://schemas.openxmlformats.org/officeDocument/2006/relationships/hyperlink" Target="https://www.daloopa.com/src/58931095" TargetMode="External"/><Relationship Id="rId2232" Type="http://schemas.openxmlformats.org/officeDocument/2006/relationships/hyperlink" Target="https://marketplace.daloopa.com/text-fundamental?id=58944813&amp;value=5204&amp;id=58944660&amp;value=2402&amp;id=58945176&amp;value=2508&amp;id=58944653&amp;value=2510&amp;id=58944625&amp;value=3000&amp;id=58944578&amp;value=3001&amp;id=58944615&amp;value=2922&amp;id=59370355&amp;value=2902&amp;" TargetMode="External"/><Relationship Id="rId2537" Type="http://schemas.openxmlformats.org/officeDocument/2006/relationships/hyperlink" Target="https://www.daloopa.com/src/58988252" TargetMode="External"/><Relationship Id="rId204" Type="http://schemas.openxmlformats.org/officeDocument/2006/relationships/hyperlink" Target="https://www.daloopa.com/src/59373412" TargetMode="External"/><Relationship Id="rId411" Type="http://schemas.openxmlformats.org/officeDocument/2006/relationships/hyperlink" Target="https://www.daloopa.com/src/58804865" TargetMode="External"/><Relationship Id="rId509" Type="http://schemas.openxmlformats.org/officeDocument/2006/relationships/hyperlink" Target="https://www.daloopa.com/src/58873619" TargetMode="External"/><Relationship Id="rId1041" Type="http://schemas.openxmlformats.org/officeDocument/2006/relationships/hyperlink" Target="https://www.daloopa.com/src/58815817" TargetMode="External"/><Relationship Id="rId1139" Type="http://schemas.openxmlformats.org/officeDocument/2006/relationships/hyperlink" Target="https://www.daloopa.com/src/58815867" TargetMode="External"/><Relationship Id="rId1346" Type="http://schemas.openxmlformats.org/officeDocument/2006/relationships/hyperlink" Target="https://www.daloopa.com/src/58931062" TargetMode="External"/><Relationship Id="rId1693" Type="http://schemas.openxmlformats.org/officeDocument/2006/relationships/hyperlink" Target="https://www.daloopa.com/src/58934388" TargetMode="External"/><Relationship Id="rId1998" Type="http://schemas.openxmlformats.org/officeDocument/2006/relationships/hyperlink" Target="https://www.daloopa.com/src/58809719" TargetMode="External"/><Relationship Id="rId2744" Type="http://schemas.openxmlformats.org/officeDocument/2006/relationships/hyperlink" Target="https://www.daloopa.com/src/59004656" TargetMode="External"/><Relationship Id="rId716" Type="http://schemas.openxmlformats.org/officeDocument/2006/relationships/hyperlink" Target="https://marketplace.daloopa.com/text-fundamental?id=58930148&amp;value=13224&amp;id=58873730&amp;value=87702&amp;id=58929982&amp;value=85877&amp;id=58815490&amp;value=83828&amp;id=58815502&amp;value=81691&amp;id=58805145&amp;value=79585&amp;id=58800556&amp;value=77641&amp;id=59368469&amp;value=75235&amp;" TargetMode="External"/><Relationship Id="rId923" Type="http://schemas.openxmlformats.org/officeDocument/2006/relationships/hyperlink" Target="https://www.daloopa.com/src/58934076" TargetMode="External"/><Relationship Id="rId1553" Type="http://schemas.openxmlformats.org/officeDocument/2006/relationships/hyperlink" Target="https://www.daloopa.com/src/58932433" TargetMode="External"/><Relationship Id="rId1760" Type="http://schemas.openxmlformats.org/officeDocument/2006/relationships/hyperlink" Target="https://www.daloopa.com/src/58934399" TargetMode="External"/><Relationship Id="rId1858" Type="http://schemas.openxmlformats.org/officeDocument/2006/relationships/hyperlink" Target="https://www.daloopa.com/src/58935528" TargetMode="External"/><Relationship Id="rId2604" Type="http://schemas.openxmlformats.org/officeDocument/2006/relationships/hyperlink" Target="https://marketplace.daloopa.com/text-fundamental?id=58988359&amp;value=6&amp;id=59372879&amp;value=8&amp;" TargetMode="External"/><Relationship Id="rId2811" Type="http://schemas.openxmlformats.org/officeDocument/2006/relationships/hyperlink" Target="https://marketplace.daloopa.com/text-fundamental?id=58978594&amp;value=150000&amp;id=58978538&amp;value=145000&amp;" TargetMode="External"/><Relationship Id="rId52" Type="http://schemas.openxmlformats.org/officeDocument/2006/relationships/hyperlink" Target="https://www.daloopa.com/src/59368557" TargetMode="External"/><Relationship Id="rId1206" Type="http://schemas.openxmlformats.org/officeDocument/2006/relationships/hyperlink" Target="https://www.daloopa.com/src/58815889" TargetMode="External"/><Relationship Id="rId1413" Type="http://schemas.openxmlformats.org/officeDocument/2006/relationships/hyperlink" Target="https://www.daloopa.com/src/58815934" TargetMode="External"/><Relationship Id="rId1620" Type="http://schemas.openxmlformats.org/officeDocument/2006/relationships/hyperlink" Target="https://marketplace.daloopa.com/text-fundamental?id=58936241&amp;value=6268&amp;id=58936255&amp;value=6545&amp;id=58936267&amp;value=6552&amp;id=58936276&amp;value=6588&amp;id=58936404&amp;value=25953&amp;id=58936386&amp;value=24487&amp;id=58934462&amp;value=36572&amp;id=58934392&amp;value=36756&amp;id=58934405&amp;value=37242&amp;id=58934441&amp;value=135057&amp;id=58874662&amp;value=34763&amp;id=58816060&amp;value=35918&amp;id=58816054&amp;value=35812&amp;id=58809364&amp;value=36322&amp;id=58809475&amp;value=142815&amp;id=58800877&amp;value=34034&amp;id=59368533&amp;value=34407&amp;" TargetMode="External"/><Relationship Id="rId2909" Type="http://schemas.openxmlformats.org/officeDocument/2006/relationships/hyperlink" Target="https://marketplace.daloopa.com/text-fundamental?id=59091622&amp;value=3.1&amp;id=59091495&amp;value=0.6&amp;id=59086312&amp;value=5.9&amp;id=59091248&amp;value=1.8&amp;" TargetMode="External"/><Relationship Id="rId1718" Type="http://schemas.openxmlformats.org/officeDocument/2006/relationships/hyperlink" Target="https://marketplace.daloopa.com/text-fundamental?id=59737788&amp;value=109687&amp;id=59737789&amp;value=121621&amp;id=59737790&amp;value=123769&amp;id=59737791&amp;value=126690&amp;id=58939671&amp;value=481767&amp;id=58939749&amp;value=74054&amp;id=58934469&amp;value=104993&amp;id=58934396&amp;value=136778&amp;id=58934403&amp;value=156544&amp;id=58934442&amp;value=472369&amp;id=58874665&amp;value=132070&amp;id=58816065&amp;value=174826&amp;id=58816047&amp;value=192867&amp;id=58809367&amp;value=212532&amp;id=58809478&amp;value=712295&amp;id=58800871&amp;value=189881&amp;id=59368528&amp;value=201561&amp;" TargetMode="External"/><Relationship Id="rId1925" Type="http://schemas.openxmlformats.org/officeDocument/2006/relationships/hyperlink" Target="https://www.daloopa.com/src/58816109" TargetMode="External"/><Relationship Id="rId299" Type="http://schemas.openxmlformats.org/officeDocument/2006/relationships/hyperlink" Target="https://www.daloopa.com/src/58873627" TargetMode="External"/><Relationship Id="rId2187" Type="http://schemas.openxmlformats.org/officeDocument/2006/relationships/hyperlink" Target="https://marketplace.daloopa.com/text-fundamental?id=58941038&amp;value=0.01&amp;" TargetMode="External"/><Relationship Id="rId2394" Type="http://schemas.openxmlformats.org/officeDocument/2006/relationships/hyperlink" Target="https://www.daloopa.com/src/58987740" TargetMode="External"/><Relationship Id="rId159" Type="http://schemas.openxmlformats.org/officeDocument/2006/relationships/hyperlink" Target="https://www.daloopa.com/src/59073103" TargetMode="External"/><Relationship Id="rId366" Type="http://schemas.openxmlformats.org/officeDocument/2006/relationships/hyperlink" Target="https://www.daloopa.com/src/58800399" TargetMode="External"/><Relationship Id="rId573" Type="http://schemas.openxmlformats.org/officeDocument/2006/relationships/hyperlink" Target="https://www.daloopa.com/src/58881249" TargetMode="External"/><Relationship Id="rId780" Type="http://schemas.openxmlformats.org/officeDocument/2006/relationships/hyperlink" Target="https://marketplace.daloopa.com/text-fundamental?id=58930196&amp;value=22764&amp;id=58873793&amp;value=25200&amp;id=58930006&amp;value=25893&amp;id=58815540&amp;value=27346&amp;id=58815517&amp;value=23966&amp;id=58805329&amp;value=21829&amp;id=58800591&amp;value=17985&amp;id=59368482&amp;value=17779&amp;" TargetMode="External"/><Relationship Id="rId2047" Type="http://schemas.openxmlformats.org/officeDocument/2006/relationships/hyperlink" Target="https://www.daloopa.com/src/59368554" TargetMode="External"/><Relationship Id="rId2254" Type="http://schemas.openxmlformats.org/officeDocument/2006/relationships/hyperlink" Target="https://www.daloopa.com/src/58944650" TargetMode="External"/><Relationship Id="rId2461" Type="http://schemas.openxmlformats.org/officeDocument/2006/relationships/hyperlink" Target="https://www.daloopa.com/src/58988032" TargetMode="External"/><Relationship Id="rId2699" Type="http://schemas.openxmlformats.org/officeDocument/2006/relationships/hyperlink" Target="https://www.daloopa.com/src/58990263" TargetMode="External"/><Relationship Id="rId226" Type="http://schemas.openxmlformats.org/officeDocument/2006/relationships/hyperlink" Target="https://www.daloopa.com/src/58947568" TargetMode="External"/><Relationship Id="rId433" Type="http://schemas.openxmlformats.org/officeDocument/2006/relationships/hyperlink" Target="https://www.daloopa.com/src/58804868" TargetMode="External"/><Relationship Id="rId878" Type="http://schemas.openxmlformats.org/officeDocument/2006/relationships/hyperlink" Target="https://marketplace.daloopa.com/text-fundamental?id=58930182&amp;value=106090&amp;" TargetMode="External"/><Relationship Id="rId1063" Type="http://schemas.openxmlformats.org/officeDocument/2006/relationships/hyperlink" Target="https://www.daloopa.com/src/58930736" TargetMode="External"/><Relationship Id="rId1270" Type="http://schemas.openxmlformats.org/officeDocument/2006/relationships/hyperlink" Target="https://www.daloopa.com/src/58815939" TargetMode="External"/><Relationship Id="rId2114" Type="http://schemas.openxmlformats.org/officeDocument/2006/relationships/hyperlink" Target="https://www.daloopa.com/src/58816139" TargetMode="External"/><Relationship Id="rId2559" Type="http://schemas.openxmlformats.org/officeDocument/2006/relationships/hyperlink" Target="https://marketplace.daloopa.com/text-fundamental?id=58988247&amp;value=0.0137&amp;id=58988216&amp;value=0.0223&amp;" TargetMode="External"/><Relationship Id="rId2766" Type="http://schemas.openxmlformats.org/officeDocument/2006/relationships/hyperlink" Target="https://marketplace.daloopa.com/text-fundamental?id=59005216&amp;value=-105710&amp;id=59006034&amp;value=-73077&amp;id=59005135&amp;value=-91525&amp;id=59005355&amp;value=-109874&amp;id=59005300&amp;value=-128052&amp;id=59005528&amp;value=-146199&amp;id=59005260&amp;value=-163318&amp;id=59371638&amp;value=-179280&amp;" TargetMode="External"/><Relationship Id="rId640" Type="http://schemas.openxmlformats.org/officeDocument/2006/relationships/hyperlink" Target="https://www.daloopa.com/src/58800562" TargetMode="External"/><Relationship Id="rId738" Type="http://schemas.openxmlformats.org/officeDocument/2006/relationships/hyperlink" Target="https://www.daloopa.com/src/58815484" TargetMode="External"/><Relationship Id="rId945" Type="http://schemas.openxmlformats.org/officeDocument/2006/relationships/hyperlink" Target="https://www.daloopa.com/src/58815802" TargetMode="External"/><Relationship Id="rId1368" Type="http://schemas.openxmlformats.org/officeDocument/2006/relationships/hyperlink" Target="https://www.daloopa.com/src/59368524" TargetMode="External"/><Relationship Id="rId1575" Type="http://schemas.openxmlformats.org/officeDocument/2006/relationships/hyperlink" Target="https://www.daloopa.com/src/58874660" TargetMode="External"/><Relationship Id="rId1782" Type="http://schemas.openxmlformats.org/officeDocument/2006/relationships/hyperlink" Target="https://marketplace.daloopa.com/text-fundamental?id=59695232&amp;value=22840&amp;" TargetMode="External"/><Relationship Id="rId2321" Type="http://schemas.openxmlformats.org/officeDocument/2006/relationships/hyperlink" Target="https://www.daloopa.com/src/58979967" TargetMode="External"/><Relationship Id="rId2419" Type="http://schemas.openxmlformats.org/officeDocument/2006/relationships/hyperlink" Target="https://www.daloopa.com/src/58985443" TargetMode="External"/><Relationship Id="rId2626" Type="http://schemas.openxmlformats.org/officeDocument/2006/relationships/hyperlink" Target="https://marketplace.daloopa.com/text-fundamental?id=58990045&amp;value=606&amp;id=59372555&amp;value=435&amp;" TargetMode="External"/><Relationship Id="rId2833" Type="http://schemas.openxmlformats.org/officeDocument/2006/relationships/hyperlink" Target="https://www.daloopa.com/src/58978539" TargetMode="External"/><Relationship Id="rId74" Type="http://schemas.openxmlformats.org/officeDocument/2006/relationships/hyperlink" Target="https://www.daloopa.com/src/59066392" TargetMode="External"/><Relationship Id="rId500" Type="http://schemas.openxmlformats.org/officeDocument/2006/relationships/hyperlink" Target="https://www.daloopa.com/src/58815141" TargetMode="External"/><Relationship Id="rId805" Type="http://schemas.openxmlformats.org/officeDocument/2006/relationships/hyperlink" Target="https://www.daloopa.com/src/58930193" TargetMode="External"/><Relationship Id="rId1130" Type="http://schemas.openxmlformats.org/officeDocument/2006/relationships/hyperlink" Target="https://www.daloopa.com/src/59379368" TargetMode="External"/><Relationship Id="rId1228" Type="http://schemas.openxmlformats.org/officeDocument/2006/relationships/hyperlink" Target="https://www.daloopa.com/src/58930961" TargetMode="External"/><Relationship Id="rId1435" Type="http://schemas.openxmlformats.org/officeDocument/2006/relationships/hyperlink" Target="https://www.daloopa.com/src/58934117" TargetMode="External"/><Relationship Id="rId1642" Type="http://schemas.openxmlformats.org/officeDocument/2006/relationships/hyperlink" Target="https://www.daloopa.com/src/58936242" TargetMode="External"/><Relationship Id="rId1947" Type="http://schemas.openxmlformats.org/officeDocument/2006/relationships/hyperlink" Target="https://www.daloopa.com/src/58936800" TargetMode="External"/><Relationship Id="rId2900" Type="http://schemas.openxmlformats.org/officeDocument/2006/relationships/hyperlink" Target="https://marketplace.daloopa.com/text-fundamental?id=59091782&amp;value=7.4&amp;id=59092034&amp;value=-3.6&amp;id=59091621&amp;value=2.1&amp;id=59091491&amp;value=0.8&amp;id=59751944&amp;value=4.2&amp;id=59086313&amp;value=3.5&amp;id=59091249&amp;value=0.9&amp;id=59373955&amp;value=-1.2&amp;" TargetMode="External"/><Relationship Id="rId1502" Type="http://schemas.openxmlformats.org/officeDocument/2006/relationships/hyperlink" Target="https://marketplace.daloopa.com/text-fundamental?id=58932347&amp;value=569&amp;" TargetMode="External"/><Relationship Id="rId1807" Type="http://schemas.openxmlformats.org/officeDocument/2006/relationships/hyperlink" Target="https://www.daloopa.com/src/58816120" TargetMode="External"/><Relationship Id="rId290" Type="http://schemas.openxmlformats.org/officeDocument/2006/relationships/hyperlink" Target="https://www.daloopa.com/src/58815136" TargetMode="External"/><Relationship Id="rId388" Type="http://schemas.openxmlformats.org/officeDocument/2006/relationships/hyperlink" Target="https://www.daloopa.com/src/58815186" TargetMode="External"/><Relationship Id="rId2069" Type="http://schemas.openxmlformats.org/officeDocument/2006/relationships/hyperlink" Target="https://www.daloopa.com/src/58935560" TargetMode="External"/><Relationship Id="rId150" Type="http://schemas.openxmlformats.org/officeDocument/2006/relationships/hyperlink" Target="https://www.daloopa.com/src/59071655" TargetMode="External"/><Relationship Id="rId595" Type="http://schemas.openxmlformats.org/officeDocument/2006/relationships/hyperlink" Target="https://marketplace.daloopa.com/text-fundamental?id=58881562&amp;value=11235&amp;" TargetMode="External"/><Relationship Id="rId2276" Type="http://schemas.openxmlformats.org/officeDocument/2006/relationships/hyperlink" Target="https://www.daloopa.com/src/59079907" TargetMode="External"/><Relationship Id="rId2483" Type="http://schemas.openxmlformats.org/officeDocument/2006/relationships/hyperlink" Target="https://www.daloopa.com/src/58988135" TargetMode="External"/><Relationship Id="rId2690" Type="http://schemas.openxmlformats.org/officeDocument/2006/relationships/hyperlink" Target="https://marketplace.daloopa.com/text-fundamental?id=58992495&amp;value=14016&amp;id=58992294&amp;value=23003&amp;id=58990257&amp;value=19898&amp;id=59372591&amp;value=19511&amp;" TargetMode="External"/><Relationship Id="rId248" Type="http://schemas.openxmlformats.org/officeDocument/2006/relationships/hyperlink" Target="https://www.daloopa.com/src/58946694" TargetMode="External"/><Relationship Id="rId455" Type="http://schemas.openxmlformats.org/officeDocument/2006/relationships/hyperlink" Target="https://www.daloopa.com/src/58881256" TargetMode="External"/><Relationship Id="rId662" Type="http://schemas.openxmlformats.org/officeDocument/2006/relationships/hyperlink" Target="https://marketplace.daloopa.com/text-fundamental?id=58930156&amp;value=92510&amp;id=58873731&amp;value=111363&amp;id=58929973&amp;value=104694&amp;id=58815486&amp;value=128906&amp;id=58815499&amp;value=147138&amp;id=58805148&amp;value=155772&amp;id=58800561&amp;value=148163&amp;id=59368462&amp;value=144376&amp;" TargetMode="External"/><Relationship Id="rId1085" Type="http://schemas.openxmlformats.org/officeDocument/2006/relationships/hyperlink" Target="https://www.daloopa.com/src/58800677" TargetMode="External"/><Relationship Id="rId1292" Type="http://schemas.openxmlformats.org/officeDocument/2006/relationships/hyperlink" Target="https://www.daloopa.com/src/59379400" TargetMode="External"/><Relationship Id="rId2136" Type="http://schemas.openxmlformats.org/officeDocument/2006/relationships/hyperlink" Target="https://www.daloopa.com/src/58816149" TargetMode="External"/><Relationship Id="rId2343" Type="http://schemas.openxmlformats.org/officeDocument/2006/relationships/hyperlink" Target="https://marketplace.daloopa.com/text-fundamental?id=58979866&amp;value=953&amp;id=58979977&amp;value=445&amp;id=58979969&amp;value=452&amp;id=58979870&amp;value=1597&amp;id=58979823&amp;value=475&amp;id=58979973&amp;value=2556&amp;id=58979965&amp;value=1285&amp;id=59379445&amp;value=4592&amp;id=58979827&amp;value=8908&amp;id=58979780&amp;value=1381&amp;id=59372020&amp;value=1354&amp;" TargetMode="External"/><Relationship Id="rId2550" Type="http://schemas.openxmlformats.org/officeDocument/2006/relationships/hyperlink" Target="https://www.daloopa.com/src/58988227" TargetMode="External"/><Relationship Id="rId2788" Type="http://schemas.openxmlformats.org/officeDocument/2006/relationships/hyperlink" Target="https://www.daloopa.com/src/59006398" TargetMode="External"/><Relationship Id="rId108" Type="http://schemas.openxmlformats.org/officeDocument/2006/relationships/hyperlink" Target="https://www.daloopa.com/src/59374993" TargetMode="External"/><Relationship Id="rId315" Type="http://schemas.openxmlformats.org/officeDocument/2006/relationships/hyperlink" Target="https://www.daloopa.com/src/58873701" TargetMode="External"/><Relationship Id="rId522" Type="http://schemas.openxmlformats.org/officeDocument/2006/relationships/hyperlink" Target="https://www.daloopa.com/src/59581278" TargetMode="External"/><Relationship Id="rId967" Type="http://schemas.openxmlformats.org/officeDocument/2006/relationships/hyperlink" Target="https://www.daloopa.com/src/58800685" TargetMode="External"/><Relationship Id="rId1152" Type="http://schemas.openxmlformats.org/officeDocument/2006/relationships/hyperlink" Target="https://www.daloopa.com/src/58934064" TargetMode="External"/><Relationship Id="rId1597" Type="http://schemas.openxmlformats.org/officeDocument/2006/relationships/hyperlink" Target="https://www.daloopa.com/src/58800878" TargetMode="External"/><Relationship Id="rId2203" Type="http://schemas.openxmlformats.org/officeDocument/2006/relationships/hyperlink" Target="https://marketplace.daloopa.com/text-fundamental?id=58941046&amp;value=149686460&amp;" TargetMode="External"/><Relationship Id="rId2410" Type="http://schemas.openxmlformats.org/officeDocument/2006/relationships/hyperlink" Target="https://www.daloopa.com/src/58985424" TargetMode="External"/><Relationship Id="rId2648" Type="http://schemas.openxmlformats.org/officeDocument/2006/relationships/hyperlink" Target="https://www.daloopa.com/src/58990171" TargetMode="External"/><Relationship Id="rId2855" Type="http://schemas.openxmlformats.org/officeDocument/2006/relationships/hyperlink" Target="https://www.daloopa.com/src/59084777" TargetMode="External"/><Relationship Id="rId96" Type="http://schemas.openxmlformats.org/officeDocument/2006/relationships/hyperlink" Target="https://marketplace.daloopa.com/text-fundamental?id=59734138&amp;value=600&amp;id=59069570&amp;value=600&amp;id=59069520&amp;value=600&amp;id=59068030&amp;value=850&amp;id=59068025&amp;value=850&amp;id=59374992&amp;value=850&amp;" TargetMode="External"/><Relationship Id="rId827" Type="http://schemas.openxmlformats.org/officeDocument/2006/relationships/hyperlink" Target="https://www.daloopa.com/src/58815524" TargetMode="External"/><Relationship Id="rId1012" Type="http://schemas.openxmlformats.org/officeDocument/2006/relationships/hyperlink" Target="https://www.daloopa.com/src/58800682" TargetMode="External"/><Relationship Id="rId1457" Type="http://schemas.openxmlformats.org/officeDocument/2006/relationships/hyperlink" Target="https://www.daloopa.com/src/59379425" TargetMode="External"/><Relationship Id="rId1664" Type="http://schemas.openxmlformats.org/officeDocument/2006/relationships/hyperlink" Target="https://www.daloopa.com/src/58934390" TargetMode="External"/><Relationship Id="rId1871" Type="http://schemas.openxmlformats.org/officeDocument/2006/relationships/hyperlink" Target="https://www.daloopa.com/src/58936810" TargetMode="External"/><Relationship Id="rId2508" Type="http://schemas.openxmlformats.org/officeDocument/2006/relationships/hyperlink" Target="https://www.daloopa.com/src/58988183" TargetMode="External"/><Relationship Id="rId2715" Type="http://schemas.openxmlformats.org/officeDocument/2006/relationships/hyperlink" Target="https://www.daloopa.com/src/59372604" TargetMode="External"/><Relationship Id="rId2922" Type="http://schemas.openxmlformats.org/officeDocument/2006/relationships/hyperlink" Target="https://marketplace.daloopa.com/text-fundamental?id=59373959&amp;value=0.9&amp;" TargetMode="External"/><Relationship Id="rId1317" Type="http://schemas.openxmlformats.org/officeDocument/2006/relationships/hyperlink" Target="https://www.daloopa.com/src/58931065" TargetMode="External"/><Relationship Id="rId1524" Type="http://schemas.openxmlformats.org/officeDocument/2006/relationships/hyperlink" Target="https://marketplace.daloopa.com/text-fundamental?id=58932342&amp;value=11&amp;" TargetMode="External"/><Relationship Id="rId1731" Type="http://schemas.openxmlformats.org/officeDocument/2006/relationships/hyperlink" Target="https://www.daloopa.com/src/58800871" TargetMode="External"/><Relationship Id="rId1969" Type="http://schemas.openxmlformats.org/officeDocument/2006/relationships/hyperlink" Target="https://www.daloopa.com/src/58935494" TargetMode="External"/><Relationship Id="rId23" Type="http://schemas.openxmlformats.org/officeDocument/2006/relationships/hyperlink" Target="https://marketplace.daloopa.com/text-fundamental?id=58816163&amp;value=186&amp;id=58816171&amp;value=208&amp;id=58810743&amp;value=250&amp;id=58804634&amp;value=253&amp;id=59368560&amp;value=254&amp;" TargetMode="External"/><Relationship Id="rId1829" Type="http://schemas.openxmlformats.org/officeDocument/2006/relationships/hyperlink" Target="https://www.daloopa.com/src/58936952" TargetMode="External"/><Relationship Id="rId2298" Type="http://schemas.openxmlformats.org/officeDocument/2006/relationships/hyperlink" Target="https://www.daloopa.com/src/59153200" TargetMode="External"/><Relationship Id="rId172" Type="http://schemas.openxmlformats.org/officeDocument/2006/relationships/hyperlink" Target="https://www.daloopa.com/src/59373924" TargetMode="External"/><Relationship Id="rId477" Type="http://schemas.openxmlformats.org/officeDocument/2006/relationships/hyperlink" Target="https://www.daloopa.com/src/58882144" TargetMode="External"/><Relationship Id="rId684" Type="http://schemas.openxmlformats.org/officeDocument/2006/relationships/hyperlink" Target="https://www.daloopa.com/src/58815482" TargetMode="External"/><Relationship Id="rId2060" Type="http://schemas.openxmlformats.org/officeDocument/2006/relationships/hyperlink" Target="https://www.daloopa.com/src/58804542" TargetMode="External"/><Relationship Id="rId2158" Type="http://schemas.openxmlformats.org/officeDocument/2006/relationships/hyperlink" Target="https://marketplace.daloopa.com/text-fundamental?id=58940292&amp;value=163879766&amp;id=58935607&amp;value=130000000&amp;id=58935590&amp;value=130000000&amp;id=58935558&amp;value=130000000&amp;id=58935571&amp;value=130000000&amp;id=58816144&amp;value=135368909&amp;id=58816133&amp;value=152400419&amp;id=58809913&amp;value=152284628&amp;id=58810058&amp;value=141687384&amp;" TargetMode="External"/><Relationship Id="rId2365" Type="http://schemas.openxmlformats.org/officeDocument/2006/relationships/hyperlink" Target="https://www.daloopa.com/src/58979871" TargetMode="External"/><Relationship Id="rId337" Type="http://schemas.openxmlformats.org/officeDocument/2006/relationships/hyperlink" Target="https://www.daloopa.com/src/58881262" TargetMode="External"/><Relationship Id="rId891" Type="http://schemas.openxmlformats.org/officeDocument/2006/relationships/hyperlink" Target="https://www.daloopa.com/src/58800588" TargetMode="External"/><Relationship Id="rId989" Type="http://schemas.openxmlformats.org/officeDocument/2006/relationships/hyperlink" Target="https://www.daloopa.com/src/58934066" TargetMode="External"/><Relationship Id="rId2018" Type="http://schemas.openxmlformats.org/officeDocument/2006/relationships/hyperlink" Target="https://www.daloopa.com/src/59695627" TargetMode="External"/><Relationship Id="rId2572" Type="http://schemas.openxmlformats.org/officeDocument/2006/relationships/hyperlink" Target="https://www.daloopa.com/src/58988230" TargetMode="External"/><Relationship Id="rId2877" Type="http://schemas.openxmlformats.org/officeDocument/2006/relationships/hyperlink" Target="https://marketplace.daloopa.com/text-fundamental?id=59085328&amp;value=0.6&amp;" TargetMode="External"/><Relationship Id="rId544" Type="http://schemas.openxmlformats.org/officeDocument/2006/relationships/hyperlink" Target="https://www.daloopa.com/src/59368449" TargetMode="External"/><Relationship Id="rId751" Type="http://schemas.openxmlformats.org/officeDocument/2006/relationships/hyperlink" Target="https://www.daloopa.com/src/59368470" TargetMode="External"/><Relationship Id="rId849" Type="http://schemas.openxmlformats.org/officeDocument/2006/relationships/hyperlink" Target="https://www.daloopa.com/src/58805324" TargetMode="External"/><Relationship Id="rId1174" Type="http://schemas.openxmlformats.org/officeDocument/2006/relationships/hyperlink" Target="https://www.daloopa.com/src/58815806" TargetMode="External"/><Relationship Id="rId1381" Type="http://schemas.openxmlformats.org/officeDocument/2006/relationships/hyperlink" Target="https://www.daloopa.com/src/58931079" TargetMode="External"/><Relationship Id="rId1479" Type="http://schemas.openxmlformats.org/officeDocument/2006/relationships/hyperlink" Target="https://www.daloopa.com/src/58816036" TargetMode="External"/><Relationship Id="rId1686" Type="http://schemas.openxmlformats.org/officeDocument/2006/relationships/hyperlink" Target="https://marketplace.daloopa.com/text-fundamental?id=58936244&amp;value=1349&amp;id=58936252&amp;value=760&amp;id=58936268&amp;value=-200&amp;id=58936281&amp;value=1330&amp;id=58936402&amp;value=3239&amp;id=58936382&amp;value=-121&amp;id=58934464&amp;value=427&amp;id=58934388&amp;value=630&amp;id=58934398&amp;value=-189&amp;id=58934444&amp;value=747&amp;id=58816055&amp;value=194&amp;id=58809365&amp;value=32&amp;id=58809479&amp;value=228&amp;" TargetMode="External"/><Relationship Id="rId2225" Type="http://schemas.openxmlformats.org/officeDocument/2006/relationships/hyperlink" Target="https://www.daloopa.com/src/58944662" TargetMode="External"/><Relationship Id="rId2432" Type="http://schemas.openxmlformats.org/officeDocument/2006/relationships/hyperlink" Target="https://marketplace.daloopa.com/text-fundamental?id=58987745&amp;value=-64&amp;id=58985456&amp;value=-130&amp;id=58985416&amp;value=-1406&amp;" TargetMode="External"/><Relationship Id="rId404" Type="http://schemas.openxmlformats.org/officeDocument/2006/relationships/hyperlink" Target="https://marketplace.daloopa.com/text-fundamental?id=58881597&amp;value=-945&amp;id=59581268&amp;value=-53&amp;id=58873631&amp;value=-153&amp;id=58873663&amp;value=-76&amp;id=58873691&amp;value=-248&amp;id=58881265&amp;value=-530&amp;id=58815467&amp;value=-15&amp;id=58815153&amp;value=-28&amp;id=58804865&amp;value=-10&amp;id=58815191&amp;value=-150&amp;" TargetMode="External"/><Relationship Id="rId611" Type="http://schemas.openxmlformats.org/officeDocument/2006/relationships/hyperlink" Target="https://marketplace.daloopa.com/text-fundamental?id=58881568&amp;value=37392&amp;" TargetMode="External"/><Relationship Id="rId1034" Type="http://schemas.openxmlformats.org/officeDocument/2006/relationships/hyperlink" Target="https://www.daloopa.com/src/58934078" TargetMode="External"/><Relationship Id="rId1241" Type="http://schemas.openxmlformats.org/officeDocument/2006/relationships/hyperlink" Target="https://www.daloopa.com/src/58931034" TargetMode="External"/><Relationship Id="rId1339" Type="http://schemas.openxmlformats.org/officeDocument/2006/relationships/hyperlink" Target="https://www.daloopa.com/src/58815962" TargetMode="External"/><Relationship Id="rId1893" Type="http://schemas.openxmlformats.org/officeDocument/2006/relationships/hyperlink" Target="https://www.daloopa.com/src/58935509" TargetMode="External"/><Relationship Id="rId2737" Type="http://schemas.openxmlformats.org/officeDocument/2006/relationships/hyperlink" Target="https://www.daloopa.com/src/59004679" TargetMode="External"/><Relationship Id="rId709" Type="http://schemas.openxmlformats.org/officeDocument/2006/relationships/hyperlink" Target="https://www.daloopa.com/src/58873739" TargetMode="External"/><Relationship Id="rId916" Type="http://schemas.openxmlformats.org/officeDocument/2006/relationships/hyperlink" Target="https://www.daloopa.com/src/58815539" TargetMode="External"/><Relationship Id="rId1101" Type="http://schemas.openxmlformats.org/officeDocument/2006/relationships/hyperlink" Target="https://www.daloopa.com/src/59379363" TargetMode="External"/><Relationship Id="rId1546" Type="http://schemas.openxmlformats.org/officeDocument/2006/relationships/hyperlink" Target="https://marketplace.daloopa.com/text-fundamental?id=58932429&amp;value=-274&amp;" TargetMode="External"/><Relationship Id="rId1753" Type="http://schemas.openxmlformats.org/officeDocument/2006/relationships/hyperlink" Target="https://www.daloopa.com/src/59066247" TargetMode="External"/><Relationship Id="rId1960" Type="http://schemas.openxmlformats.org/officeDocument/2006/relationships/hyperlink" Target="https://www.daloopa.com/src/58936947" TargetMode="External"/><Relationship Id="rId2804" Type="http://schemas.openxmlformats.org/officeDocument/2006/relationships/hyperlink" Target="https://www.daloopa.com/src/58978533" TargetMode="External"/><Relationship Id="rId45" Type="http://schemas.openxmlformats.org/officeDocument/2006/relationships/hyperlink" Target="https://www.daloopa.com/src/58804637" TargetMode="External"/><Relationship Id="rId1406" Type="http://schemas.openxmlformats.org/officeDocument/2006/relationships/hyperlink" Target="https://marketplace.daloopa.com/text-fundamental?id=58933748&amp;value=50488&amp;id=59379422&amp;value=50488&amp;id=58934111&amp;value=81514&amp;id=58931045&amp;value=-12767&amp;id=58931070&amp;value=6772&amp;id=58931075&amp;value=29188&amp;id=59379423&amp;value=104707&amp;id=58865950&amp;value=-39486&amp;id=58815934&amp;value=143794&amp;id=58815945&amp;value=18410&amp;id=58815965&amp;value=17102&amp;id=59379424&amp;value=139820&amp;id=58816010&amp;value=15129&amp;id=59368523&amp;value=44561&amp;" TargetMode="External"/><Relationship Id="rId1613" Type="http://schemas.openxmlformats.org/officeDocument/2006/relationships/hyperlink" Target="https://www.daloopa.com/src/58816052" TargetMode="External"/><Relationship Id="rId1820" Type="http://schemas.openxmlformats.org/officeDocument/2006/relationships/hyperlink" Target="https://www.daloopa.com/src/58935502" TargetMode="External"/><Relationship Id="rId194" Type="http://schemas.openxmlformats.org/officeDocument/2006/relationships/hyperlink" Target="https://www.daloopa.com/src/58946057" TargetMode="External"/><Relationship Id="rId1918" Type="http://schemas.openxmlformats.org/officeDocument/2006/relationships/hyperlink" Target="https://www.daloopa.com/src/58935543" TargetMode="External"/><Relationship Id="rId2082" Type="http://schemas.openxmlformats.org/officeDocument/2006/relationships/hyperlink" Target="https://www.daloopa.com/src/58935586" TargetMode="External"/><Relationship Id="rId261" Type="http://schemas.openxmlformats.org/officeDocument/2006/relationships/hyperlink" Target="https://marketplace.daloopa.com/text-fundamental?id=58976354&amp;value=347856&amp;id=58976229&amp;value=1266000&amp;id=58976225&amp;value=1213093&amp;id=58975968&amp;value=1211881&amp;id=59372940&amp;value=1186972&amp;" TargetMode="External"/><Relationship Id="rId499" Type="http://schemas.openxmlformats.org/officeDocument/2006/relationships/hyperlink" Target="https://www.daloopa.com/src/58815463" TargetMode="External"/><Relationship Id="rId2387" Type="http://schemas.openxmlformats.org/officeDocument/2006/relationships/hyperlink" Target="https://www.daloopa.com/src/58985449" TargetMode="External"/><Relationship Id="rId2594" Type="http://schemas.openxmlformats.org/officeDocument/2006/relationships/hyperlink" Target="https://marketplace.daloopa.com/text-fundamental?id=58988242&amp;value=-0.0001&amp;" TargetMode="External"/><Relationship Id="rId359" Type="http://schemas.openxmlformats.org/officeDocument/2006/relationships/hyperlink" Target="https://www.daloopa.com/src/58873638" TargetMode="External"/><Relationship Id="rId566" Type="http://schemas.openxmlformats.org/officeDocument/2006/relationships/hyperlink" Target="https://www.daloopa.com/src/58864804" TargetMode="External"/><Relationship Id="rId773" Type="http://schemas.openxmlformats.org/officeDocument/2006/relationships/hyperlink" Target="https://www.daloopa.com/src/58873798" TargetMode="External"/><Relationship Id="rId1196" Type="http://schemas.openxmlformats.org/officeDocument/2006/relationships/hyperlink" Target="https://www.daloopa.com/src/59379380" TargetMode="External"/><Relationship Id="rId2247" Type="http://schemas.openxmlformats.org/officeDocument/2006/relationships/hyperlink" Target="https://www.daloopa.com/src/58944575" TargetMode="External"/><Relationship Id="rId2454" Type="http://schemas.openxmlformats.org/officeDocument/2006/relationships/hyperlink" Target="https://www.daloopa.com/src/59008893" TargetMode="External"/><Relationship Id="rId2899" Type="http://schemas.openxmlformats.org/officeDocument/2006/relationships/hyperlink" Target="https://www.daloopa.com/src/59086310" TargetMode="External"/><Relationship Id="rId121" Type="http://schemas.openxmlformats.org/officeDocument/2006/relationships/hyperlink" Target="https://www.daloopa.com/src/59068027" TargetMode="External"/><Relationship Id="rId219" Type="http://schemas.openxmlformats.org/officeDocument/2006/relationships/hyperlink" Target="https://www.daloopa.com/src/58947523" TargetMode="External"/><Relationship Id="rId426" Type="http://schemas.openxmlformats.org/officeDocument/2006/relationships/hyperlink" Target="https://www.daloopa.com/src/59581283" TargetMode="External"/><Relationship Id="rId633" Type="http://schemas.openxmlformats.org/officeDocument/2006/relationships/hyperlink" Target="https://marketplace.daloopa.com/text-fundamental?id=58930157&amp;value=80620&amp;id=58873729&amp;value=152818&amp;id=58929977&amp;value=113328&amp;id=58815491&amp;value=257122&amp;id=58815501&amp;value=275538&amp;id=58805154&amp;value=292642&amp;id=58800562&amp;value=307671&amp;id=59368466&amp;value=352251&amp;" TargetMode="External"/><Relationship Id="rId980" Type="http://schemas.openxmlformats.org/officeDocument/2006/relationships/hyperlink" Target="https://www.daloopa.com/src/58815833" TargetMode="External"/><Relationship Id="rId1056" Type="http://schemas.openxmlformats.org/officeDocument/2006/relationships/hyperlink" Target="https://www.daloopa.com/src/58800688" TargetMode="External"/><Relationship Id="rId1263" Type="http://schemas.openxmlformats.org/officeDocument/2006/relationships/hyperlink" Target="https://www.daloopa.com/src/58800714" TargetMode="External"/><Relationship Id="rId2107" Type="http://schemas.openxmlformats.org/officeDocument/2006/relationships/hyperlink" Target="https://marketplace.daloopa.com/text-fundamental?id=59751939&amp;value=0.009999999999999998&amp;id=58935603&amp;value=0&amp;id=58935584&amp;value=0&amp;id=58935563&amp;value=0.02&amp;id=58935576&amp;value=0.03&amp;id=58874719&amp;value=0&amp;id=58816150&amp;value=0&amp;id=58816139&amp;value=0&amp;id=59751940&amp;value=0&amp;id=58810054&amp;value=0&amp;id=58804540&amp;value=-0.01&amp;id=59368551&amp;value=0&amp;" TargetMode="External"/><Relationship Id="rId2314" Type="http://schemas.openxmlformats.org/officeDocument/2006/relationships/hyperlink" Target="https://www.daloopa.com/src/59150542" TargetMode="External"/><Relationship Id="rId2661" Type="http://schemas.openxmlformats.org/officeDocument/2006/relationships/hyperlink" Target="https://www.daloopa.com/src/58990260" TargetMode="External"/><Relationship Id="rId2759" Type="http://schemas.openxmlformats.org/officeDocument/2006/relationships/hyperlink" Target="https://www.daloopa.com/src/59006032" TargetMode="External"/><Relationship Id="rId840" Type="http://schemas.openxmlformats.org/officeDocument/2006/relationships/hyperlink" Target="https://marketplace.daloopa.com/text-fundamental?id=58800600&amp;value=11583&amp;id=59368488&amp;value=11514&amp;" TargetMode="External"/><Relationship Id="rId938" Type="http://schemas.openxmlformats.org/officeDocument/2006/relationships/hyperlink" Target="https://www.daloopa.com/src/58934077" TargetMode="External"/><Relationship Id="rId1470" Type="http://schemas.openxmlformats.org/officeDocument/2006/relationships/hyperlink" Target="https://www.daloopa.com/src/58816027" TargetMode="External"/><Relationship Id="rId1568" Type="http://schemas.openxmlformats.org/officeDocument/2006/relationships/hyperlink" Target="https://www.daloopa.com/src/58936254" TargetMode="External"/><Relationship Id="rId1775" Type="http://schemas.openxmlformats.org/officeDocument/2006/relationships/hyperlink" Target="https://www.daloopa.com/src/59695227" TargetMode="External"/><Relationship Id="rId2521" Type="http://schemas.openxmlformats.org/officeDocument/2006/relationships/hyperlink" Target="https://www.daloopa.com/src/58988133" TargetMode="External"/><Relationship Id="rId2619" Type="http://schemas.openxmlformats.org/officeDocument/2006/relationships/hyperlink" Target="https://www.daloopa.com/src/58988363" TargetMode="External"/><Relationship Id="rId2826" Type="http://schemas.openxmlformats.org/officeDocument/2006/relationships/hyperlink" Target="https://www.daloopa.com/src/58978536" TargetMode="External"/><Relationship Id="rId67" Type="http://schemas.openxmlformats.org/officeDocument/2006/relationships/hyperlink" Target="https://www.daloopa.com/src/59066389" TargetMode="External"/><Relationship Id="rId700" Type="http://schemas.openxmlformats.org/officeDocument/2006/relationships/hyperlink" Target="https://www.daloopa.com/src/58873727" TargetMode="External"/><Relationship Id="rId1123" Type="http://schemas.openxmlformats.org/officeDocument/2006/relationships/hyperlink" Target="https://www.daloopa.com/src/58865897" TargetMode="External"/><Relationship Id="rId1330" Type="http://schemas.openxmlformats.org/officeDocument/2006/relationships/hyperlink" Target="https://www.daloopa.com/src/59379407" TargetMode="External"/><Relationship Id="rId1428" Type="http://schemas.openxmlformats.org/officeDocument/2006/relationships/hyperlink" Target="https://www.daloopa.com/src/58815933" TargetMode="External"/><Relationship Id="rId1635" Type="http://schemas.openxmlformats.org/officeDocument/2006/relationships/hyperlink" Target="https://www.daloopa.com/src/58936404" TargetMode="External"/><Relationship Id="rId1982" Type="http://schemas.openxmlformats.org/officeDocument/2006/relationships/hyperlink" Target="https://www.daloopa.com/src/58936788" TargetMode="External"/><Relationship Id="rId1842" Type="http://schemas.openxmlformats.org/officeDocument/2006/relationships/hyperlink" Target="https://www.daloopa.com/src/58816118" TargetMode="External"/><Relationship Id="rId1702" Type="http://schemas.openxmlformats.org/officeDocument/2006/relationships/hyperlink" Target="https://www.daloopa.com/src/58936256" TargetMode="External"/><Relationship Id="rId283" Type="http://schemas.openxmlformats.org/officeDocument/2006/relationships/hyperlink" Target="https://www.daloopa.com/src/58881386" TargetMode="External"/><Relationship Id="rId490" Type="http://schemas.openxmlformats.org/officeDocument/2006/relationships/hyperlink" Target="https://www.daloopa.com/src/58881590" TargetMode="External"/><Relationship Id="rId2171" Type="http://schemas.openxmlformats.org/officeDocument/2006/relationships/hyperlink" Target="https://www.daloopa.com/src/58935555" TargetMode="External"/><Relationship Id="rId143" Type="http://schemas.openxmlformats.org/officeDocument/2006/relationships/hyperlink" Target="https://marketplace.daloopa.com/text-fundamental?id=59071496&amp;value=1&amp;id=59375024&amp;value=2.2&amp;" TargetMode="External"/><Relationship Id="rId350" Type="http://schemas.openxmlformats.org/officeDocument/2006/relationships/hyperlink" Target="https://www.daloopa.com/src/58881599" TargetMode="External"/><Relationship Id="rId588" Type="http://schemas.openxmlformats.org/officeDocument/2006/relationships/hyperlink" Target="https://www.daloopa.com/src/58815174" TargetMode="External"/><Relationship Id="rId795" Type="http://schemas.openxmlformats.org/officeDocument/2006/relationships/hyperlink" Target="https://marketplace.daloopa.com/text-fundamental?id=58930197&amp;value=1878&amp;id=58873788&amp;value=2451&amp;id=58930013&amp;value=2742&amp;id=58815546&amp;value=1922&amp;id=58815522&amp;value=2578&amp;id=58805335&amp;value=2573&amp;id=58800597&amp;value=3300&amp;id=59368487&amp;value=2608&amp;" TargetMode="External"/><Relationship Id="rId2031" Type="http://schemas.openxmlformats.org/officeDocument/2006/relationships/hyperlink" Target="https://www.daloopa.com/src/58809908" TargetMode="External"/><Relationship Id="rId2269" Type="http://schemas.openxmlformats.org/officeDocument/2006/relationships/hyperlink" Target="https://www.daloopa.com/src/59075084" TargetMode="External"/><Relationship Id="rId2476" Type="http://schemas.openxmlformats.org/officeDocument/2006/relationships/hyperlink" Target="https://marketplace.daloopa.com/text-fundamental?id=58988049&amp;value=-37401&amp;" TargetMode="External"/><Relationship Id="rId2683" Type="http://schemas.openxmlformats.org/officeDocument/2006/relationships/hyperlink" Target="https://www.daloopa.com/src/58990261" TargetMode="External"/><Relationship Id="rId2890" Type="http://schemas.openxmlformats.org/officeDocument/2006/relationships/hyperlink" Target="https://www.daloopa.com/src/59091623" TargetMode="External"/><Relationship Id="rId9" Type="http://schemas.openxmlformats.org/officeDocument/2006/relationships/hyperlink" Target="https://www.daloopa.com/document/23013351" TargetMode="External"/><Relationship Id="rId210" Type="http://schemas.openxmlformats.org/officeDocument/2006/relationships/hyperlink" Target="https://www.daloopa.com/src/58947528" TargetMode="External"/><Relationship Id="rId448" Type="http://schemas.openxmlformats.org/officeDocument/2006/relationships/hyperlink" Target="https://www.daloopa.com/src/58864790" TargetMode="External"/><Relationship Id="rId655" Type="http://schemas.openxmlformats.org/officeDocument/2006/relationships/hyperlink" Target="https://www.daloopa.com/src/58873736" TargetMode="External"/><Relationship Id="rId862" Type="http://schemas.openxmlformats.org/officeDocument/2006/relationships/hyperlink" Target="https://marketplace.daloopa.com/text-fundamental?id=58873794&amp;value=130&amp;id=58930016&amp;value=130&amp;id=58815543&amp;value=153&amp;id=58815529&amp;value=153&amp;id=58805330&amp;value=153&amp;id=58800599&amp;value=153&amp;id=59368489&amp;value=153&amp;" TargetMode="External"/><Relationship Id="rId1078" Type="http://schemas.openxmlformats.org/officeDocument/2006/relationships/hyperlink" Target="https://www.daloopa.com/src/58930734" TargetMode="External"/><Relationship Id="rId1285" Type="http://schemas.openxmlformats.org/officeDocument/2006/relationships/hyperlink" Target="https://www.daloopa.com/src/58931046" TargetMode="External"/><Relationship Id="rId1492" Type="http://schemas.openxmlformats.org/officeDocument/2006/relationships/hyperlink" Target="https://www.daloopa.com/src/59368567" TargetMode="External"/><Relationship Id="rId2129" Type="http://schemas.openxmlformats.org/officeDocument/2006/relationships/hyperlink" Target="https://www.daloopa.com/src/58810050" TargetMode="External"/><Relationship Id="rId2336" Type="http://schemas.openxmlformats.org/officeDocument/2006/relationships/hyperlink" Target="https://www.daloopa.com/src/58979964" TargetMode="External"/><Relationship Id="rId2543" Type="http://schemas.openxmlformats.org/officeDocument/2006/relationships/hyperlink" Target="https://www.daloopa.com/src/58988213" TargetMode="External"/><Relationship Id="rId2750" Type="http://schemas.openxmlformats.org/officeDocument/2006/relationships/hyperlink" Target="https://www.daloopa.com/src/59006033" TargetMode="External"/><Relationship Id="rId308" Type="http://schemas.openxmlformats.org/officeDocument/2006/relationships/hyperlink" Target="https://www.daloopa.com/src/58881604" TargetMode="External"/><Relationship Id="rId515" Type="http://schemas.openxmlformats.org/officeDocument/2006/relationships/hyperlink" Target="https://www.daloopa.com/src/58804858" TargetMode="External"/><Relationship Id="rId722" Type="http://schemas.openxmlformats.org/officeDocument/2006/relationships/hyperlink" Target="https://www.daloopa.com/src/58805145" TargetMode="External"/><Relationship Id="rId1145" Type="http://schemas.openxmlformats.org/officeDocument/2006/relationships/hyperlink" Target="https://www.daloopa.com/src/59379371" TargetMode="External"/><Relationship Id="rId1352" Type="http://schemas.openxmlformats.org/officeDocument/2006/relationships/hyperlink" Target="https://www.daloopa.com/src/58816007" TargetMode="External"/><Relationship Id="rId1797" Type="http://schemas.openxmlformats.org/officeDocument/2006/relationships/hyperlink" Target="https://www.daloopa.com/src/58936785" TargetMode="External"/><Relationship Id="rId2403" Type="http://schemas.openxmlformats.org/officeDocument/2006/relationships/hyperlink" Target="https://www.daloopa.com/src/58985453" TargetMode="External"/><Relationship Id="rId2848" Type="http://schemas.openxmlformats.org/officeDocument/2006/relationships/hyperlink" Target="https://www.daloopa.com/src/59371999" TargetMode="External"/><Relationship Id="rId89" Type="http://schemas.openxmlformats.org/officeDocument/2006/relationships/hyperlink" Target="https://www.daloopa.com/src/59066727" TargetMode="External"/><Relationship Id="rId1005" Type="http://schemas.openxmlformats.org/officeDocument/2006/relationships/hyperlink" Target="https://www.daloopa.com/src/58930732" TargetMode="External"/><Relationship Id="rId1212" Type="http://schemas.openxmlformats.org/officeDocument/2006/relationships/hyperlink" Target="https://www.daloopa.com/src/58865923" TargetMode="External"/><Relationship Id="rId1657" Type="http://schemas.openxmlformats.org/officeDocument/2006/relationships/hyperlink" Target="https://www.daloopa.com/src/58934448" TargetMode="External"/><Relationship Id="rId1864" Type="http://schemas.openxmlformats.org/officeDocument/2006/relationships/hyperlink" Target="https://www.daloopa.com/src/59368545" TargetMode="External"/><Relationship Id="rId2610" Type="http://schemas.openxmlformats.org/officeDocument/2006/relationships/hyperlink" Target="https://www.daloopa.com/src/58988358" TargetMode="External"/><Relationship Id="rId2708" Type="http://schemas.openxmlformats.org/officeDocument/2006/relationships/hyperlink" Target="https://www.daloopa.com/src/58992573" TargetMode="External"/><Relationship Id="rId2915" Type="http://schemas.openxmlformats.org/officeDocument/2006/relationships/hyperlink" Target="https://www.daloopa.com/src/59091620" TargetMode="External"/><Relationship Id="rId1517" Type="http://schemas.openxmlformats.org/officeDocument/2006/relationships/hyperlink" Target="https://www.daloopa.com/src/58932335" TargetMode="External"/><Relationship Id="rId1724" Type="http://schemas.openxmlformats.org/officeDocument/2006/relationships/hyperlink" Target="https://www.daloopa.com/src/58934469" TargetMode="External"/><Relationship Id="rId16" Type="http://schemas.openxmlformats.org/officeDocument/2006/relationships/hyperlink" Target="https://www.daloopa.com/src/59368559" TargetMode="External"/><Relationship Id="rId1931" Type="http://schemas.openxmlformats.org/officeDocument/2006/relationships/hyperlink" Target="https://marketplace.daloopa.com/text-fundamental?id=58936790&amp;value=1349&amp;id=58936803&amp;value=760&amp;id=58936811&amp;value=-200&amp;id=58936828&amp;value=1330&amp;id=58936956&amp;value=3239&amp;id=58936841&amp;value=-121&amp;id=58935504&amp;value=427&amp;id=58935508&amp;value=630&amp;id=58935520&amp;value=-189&amp;id=58935549&amp;value=747&amp;id=58816127&amp;value=194&amp;id=58809649&amp;value=32&amp;id=58809715&amp;value=228&amp;" TargetMode="External"/><Relationship Id="rId2193" Type="http://schemas.openxmlformats.org/officeDocument/2006/relationships/hyperlink" Target="https://marketplace.daloopa.com/text-fundamental?id=58941041&amp;value=0&amp;" TargetMode="External"/><Relationship Id="rId2498" Type="http://schemas.openxmlformats.org/officeDocument/2006/relationships/hyperlink" Target="https://marketplace.daloopa.com/text-fundamental?id=58988191&amp;value=389&amp;id=58988181&amp;value=-784&amp;id=58988176&amp;value=-4495&amp;" TargetMode="External"/><Relationship Id="rId165" Type="http://schemas.openxmlformats.org/officeDocument/2006/relationships/hyperlink" Target="https://www.daloopa.com/src/59379435" TargetMode="External"/><Relationship Id="rId372" Type="http://schemas.openxmlformats.org/officeDocument/2006/relationships/hyperlink" Target="https://www.daloopa.com/src/58882225" TargetMode="External"/><Relationship Id="rId677" Type="http://schemas.openxmlformats.org/officeDocument/2006/relationships/hyperlink" Target="https://www.daloopa.com/src/58805146" TargetMode="External"/><Relationship Id="rId2053" Type="http://schemas.openxmlformats.org/officeDocument/2006/relationships/hyperlink" Target="https://www.daloopa.com/src/58935599" TargetMode="External"/><Relationship Id="rId2260" Type="http://schemas.openxmlformats.org/officeDocument/2006/relationships/hyperlink" Target="https://www.daloopa.com/src/58944816" TargetMode="External"/><Relationship Id="rId2358" Type="http://schemas.openxmlformats.org/officeDocument/2006/relationships/hyperlink" Target="https://www.daloopa.com/src/58979824" TargetMode="External"/><Relationship Id="rId232" Type="http://schemas.openxmlformats.org/officeDocument/2006/relationships/hyperlink" Target="https://www.daloopa.com/src/58947616" TargetMode="External"/><Relationship Id="rId884" Type="http://schemas.openxmlformats.org/officeDocument/2006/relationships/hyperlink" Target="https://marketplace.daloopa.com/text-fundamental?id=58930189&amp;value=-201233&amp;id=58873792&amp;value=-47492&amp;id=58930020&amp;value=-66881&amp;id=58815536&amp;value=-63111&amp;id=58815519&amp;value=-46826&amp;id=58805331&amp;value=-31441&amp;id=58800588&amp;value=-18428&amp;id=59368491&amp;value=-4192&amp;" TargetMode="External"/><Relationship Id="rId2120" Type="http://schemas.openxmlformats.org/officeDocument/2006/relationships/hyperlink" Target="https://marketplace.daloopa.com/text-fundamental?id=58940289&amp;value=0.02&amp;id=59751941&amp;value=0.01&amp;id=58935604&amp;value=0&amp;id=58935582&amp;value=0&amp;id=58935564&amp;value=0&amp;id=58935575&amp;value=0.01&amp;id=58816137&amp;value=0&amp;id=58809910&amp;value=0&amp;id=58810050&amp;value=0&amp;" TargetMode="External"/><Relationship Id="rId2565" Type="http://schemas.openxmlformats.org/officeDocument/2006/relationships/hyperlink" Target="https://www.daloopa.com/src/58988217" TargetMode="External"/><Relationship Id="rId2772" Type="http://schemas.openxmlformats.org/officeDocument/2006/relationships/hyperlink" Target="https://www.daloopa.com/src/59005528" TargetMode="External"/><Relationship Id="rId537" Type="http://schemas.openxmlformats.org/officeDocument/2006/relationships/hyperlink" Target="https://www.daloopa.com/src/58873664" TargetMode="External"/><Relationship Id="rId744" Type="http://schemas.openxmlformats.org/officeDocument/2006/relationships/hyperlink" Target="https://www.daloopa.com/src/58930155" TargetMode="External"/><Relationship Id="rId951" Type="http://schemas.openxmlformats.org/officeDocument/2006/relationships/hyperlink" Target="https://marketplace.daloopa.com/text-fundamental?id=58865904&amp;value=13938&amp;id=58815856&amp;value=0&amp;id=58815844&amp;value=0&amp;id=58815800&amp;value=0&amp;id=59379334&amp;value=13938&amp;" TargetMode="External"/><Relationship Id="rId1167" Type="http://schemas.openxmlformats.org/officeDocument/2006/relationships/hyperlink" Target="https://www.daloopa.com/src/58934063" TargetMode="External"/><Relationship Id="rId1374" Type="http://schemas.openxmlformats.org/officeDocument/2006/relationships/hyperlink" Target="https://marketplace.daloopa.com/text-fundamental?id=59368517&amp;value=-98&amp;" TargetMode="External"/><Relationship Id="rId1581" Type="http://schemas.openxmlformats.org/officeDocument/2006/relationships/hyperlink" Target="https://www.daloopa.com/src/58936403" TargetMode="External"/><Relationship Id="rId1679" Type="http://schemas.openxmlformats.org/officeDocument/2006/relationships/hyperlink" Target="https://www.daloopa.com/src/58874667" TargetMode="External"/><Relationship Id="rId2218" Type="http://schemas.openxmlformats.org/officeDocument/2006/relationships/hyperlink" Target="https://www.daloopa.com/src/58944654" TargetMode="External"/><Relationship Id="rId2425" Type="http://schemas.openxmlformats.org/officeDocument/2006/relationships/hyperlink" Target="https://www.daloopa.com/src/58987744" TargetMode="External"/><Relationship Id="rId2632" Type="http://schemas.openxmlformats.org/officeDocument/2006/relationships/hyperlink" Target="https://marketplace.daloopa.com/text-fundamental?id=58990176&amp;value=106&amp;id=58990063&amp;value=106&amp;id=58990046&amp;value=106&amp;id=59372554&amp;value=108&amp;" TargetMode="External"/><Relationship Id="rId80" Type="http://schemas.openxmlformats.org/officeDocument/2006/relationships/hyperlink" Target="https://marketplace.daloopa.com/text-fundamental?id=59066396&amp;value=0.33&amp;id=59066391&amp;value=0.33&amp;id=59374989&amp;value=0.33&amp;" TargetMode="External"/><Relationship Id="rId604" Type="http://schemas.openxmlformats.org/officeDocument/2006/relationships/hyperlink" Target="https://www.daloopa.com/src/58881564" TargetMode="External"/><Relationship Id="rId811" Type="http://schemas.openxmlformats.org/officeDocument/2006/relationships/hyperlink" Target="https://www.daloopa.com/src/58800602" TargetMode="External"/><Relationship Id="rId1027" Type="http://schemas.openxmlformats.org/officeDocument/2006/relationships/hyperlink" Target="https://www.daloopa.com/src/58800681" TargetMode="External"/><Relationship Id="rId1234" Type="http://schemas.openxmlformats.org/officeDocument/2006/relationships/hyperlink" Target="https://www.daloopa.com/src/59368515" TargetMode="External"/><Relationship Id="rId1441" Type="http://schemas.openxmlformats.org/officeDocument/2006/relationships/hyperlink" Target="https://www.daloopa.com/src/58815944" TargetMode="External"/><Relationship Id="rId1886" Type="http://schemas.openxmlformats.org/officeDocument/2006/relationships/hyperlink" Target="https://marketplace.daloopa.com/text-fundamental?id=58936787&amp;value=354&amp;id=58936799&amp;value=324&amp;id=58936814&amp;value=274&amp;id=58936831&amp;value=264&amp;id=58936954&amp;value=1216&amp;id=58936839&amp;value=281&amp;id=58935498&amp;value=520&amp;id=58935509&amp;value=530&amp;id=58935529&amp;value=545&amp;id=58935547&amp;value=1876&amp;id=58874700&amp;value=562&amp;id=58816115&amp;value=2664&amp;id=58816130&amp;value=1343&amp;id=58809647&amp;value=4961&amp;id=58809716&amp;value=9530&amp;id=58802516&amp;value=1859&amp;id=59368543&amp;value=1943&amp;" TargetMode="External"/><Relationship Id="rId909" Type="http://schemas.openxmlformats.org/officeDocument/2006/relationships/hyperlink" Target="https://www.daloopa.com/src/58805326" TargetMode="External"/><Relationship Id="rId1301" Type="http://schemas.openxmlformats.org/officeDocument/2006/relationships/hyperlink" Target="https://www.daloopa.com/src/58931080" TargetMode="External"/><Relationship Id="rId1539" Type="http://schemas.openxmlformats.org/officeDocument/2006/relationships/hyperlink" Target="https://www.daloopa.com/src/58932378" TargetMode="External"/><Relationship Id="rId1746" Type="http://schemas.openxmlformats.org/officeDocument/2006/relationships/hyperlink" Target="https://www.daloopa.com/src/59695055" TargetMode="External"/><Relationship Id="rId1953" Type="http://schemas.openxmlformats.org/officeDocument/2006/relationships/hyperlink" Target="https://www.daloopa.com/src/58935521" TargetMode="External"/><Relationship Id="rId38" Type="http://schemas.openxmlformats.org/officeDocument/2006/relationships/hyperlink" Target="https://www.daloopa.com/src/58810744" TargetMode="External"/><Relationship Id="rId1606" Type="http://schemas.openxmlformats.org/officeDocument/2006/relationships/hyperlink" Target="https://www.daloopa.com/src/58936277" TargetMode="External"/><Relationship Id="rId1813" Type="http://schemas.openxmlformats.org/officeDocument/2006/relationships/hyperlink" Target="https://www.daloopa.com/src/58809710" TargetMode="External"/><Relationship Id="rId187" Type="http://schemas.openxmlformats.org/officeDocument/2006/relationships/hyperlink" Target="https://marketplace.daloopa.com/text-fundamental?id=58946059&amp;value=677014&amp;id=59371408&amp;value=677153&amp;" TargetMode="External"/><Relationship Id="rId394" Type="http://schemas.openxmlformats.org/officeDocument/2006/relationships/hyperlink" Target="https://www.daloopa.com/src/59581279" TargetMode="External"/><Relationship Id="rId2075" Type="http://schemas.openxmlformats.org/officeDocument/2006/relationships/hyperlink" Target="https://www.daloopa.com/src/59368552" TargetMode="External"/><Relationship Id="rId2282" Type="http://schemas.openxmlformats.org/officeDocument/2006/relationships/hyperlink" Target="https://www.daloopa.com/src/59162379" TargetMode="External"/><Relationship Id="rId254" Type="http://schemas.openxmlformats.org/officeDocument/2006/relationships/hyperlink" Target="https://www.daloopa.com/src/59706386" TargetMode="External"/><Relationship Id="rId699" Type="http://schemas.openxmlformats.org/officeDocument/2006/relationships/hyperlink" Target="https://www.daloopa.com/src/58930159" TargetMode="External"/><Relationship Id="rId1091" Type="http://schemas.openxmlformats.org/officeDocument/2006/relationships/hyperlink" Target="https://www.daloopa.com/src/58933606" TargetMode="External"/><Relationship Id="rId2587" Type="http://schemas.openxmlformats.org/officeDocument/2006/relationships/hyperlink" Target="https://www.daloopa.com/src/58988240" TargetMode="External"/><Relationship Id="rId2794" Type="http://schemas.openxmlformats.org/officeDocument/2006/relationships/hyperlink" Target="https://www.daloopa.com/src/59006504" TargetMode="External"/><Relationship Id="rId114" Type="http://schemas.openxmlformats.org/officeDocument/2006/relationships/hyperlink" Target="https://www.daloopa.com/src/59068028" TargetMode="External"/><Relationship Id="rId461" Type="http://schemas.openxmlformats.org/officeDocument/2006/relationships/hyperlink" Target="https://www.daloopa.com/src/58881392" TargetMode="External"/><Relationship Id="rId559" Type="http://schemas.openxmlformats.org/officeDocument/2006/relationships/hyperlink" Target="https://www.daloopa.com/src/58881593" TargetMode="External"/><Relationship Id="rId766" Type="http://schemas.openxmlformats.org/officeDocument/2006/relationships/hyperlink" Target="https://www.daloopa.com/src/58815541" TargetMode="External"/><Relationship Id="rId1189" Type="http://schemas.openxmlformats.org/officeDocument/2006/relationships/hyperlink" Target="https://www.daloopa.com/src/58865894" TargetMode="External"/><Relationship Id="rId1396" Type="http://schemas.openxmlformats.org/officeDocument/2006/relationships/hyperlink" Target="https://www.daloopa.com/src/58931078" TargetMode="External"/><Relationship Id="rId2142" Type="http://schemas.openxmlformats.org/officeDocument/2006/relationships/hyperlink" Target="https://www.daloopa.com/src/58935574" TargetMode="External"/><Relationship Id="rId2447" Type="http://schemas.openxmlformats.org/officeDocument/2006/relationships/hyperlink" Target="https://www.daloopa.com/src/59008887" TargetMode="External"/><Relationship Id="rId321" Type="http://schemas.openxmlformats.org/officeDocument/2006/relationships/hyperlink" Target="https://www.daloopa.com/src/59368452" TargetMode="External"/><Relationship Id="rId419" Type="http://schemas.openxmlformats.org/officeDocument/2006/relationships/hyperlink" Target="https://www.daloopa.com/src/58864796" TargetMode="External"/><Relationship Id="rId626" Type="http://schemas.openxmlformats.org/officeDocument/2006/relationships/hyperlink" Target="https://www.daloopa.com/src/58881578" TargetMode="External"/><Relationship Id="rId973" Type="http://schemas.openxmlformats.org/officeDocument/2006/relationships/hyperlink" Target="https://www.daloopa.com/src/58933609" TargetMode="External"/><Relationship Id="rId1049" Type="http://schemas.openxmlformats.org/officeDocument/2006/relationships/hyperlink" Target="https://www.daloopa.com/src/58930731" TargetMode="External"/><Relationship Id="rId1256" Type="http://schemas.openxmlformats.org/officeDocument/2006/relationships/hyperlink" Target="https://www.daloopa.com/src/58931035" TargetMode="External"/><Relationship Id="rId2002" Type="http://schemas.openxmlformats.org/officeDocument/2006/relationships/hyperlink" Target="https://www.daloopa.com/src/59695629" TargetMode="External"/><Relationship Id="rId2307" Type="http://schemas.openxmlformats.org/officeDocument/2006/relationships/hyperlink" Target="https://www.daloopa.com/src/59379448" TargetMode="External"/><Relationship Id="rId2654" Type="http://schemas.openxmlformats.org/officeDocument/2006/relationships/hyperlink" Target="https://www.daloopa.com/src/58990066" TargetMode="External"/><Relationship Id="rId2861" Type="http://schemas.openxmlformats.org/officeDocument/2006/relationships/hyperlink" Target="https://www.daloopa.com/src/59084400" TargetMode="External"/><Relationship Id="rId833" Type="http://schemas.openxmlformats.org/officeDocument/2006/relationships/hyperlink" Target="https://www.daloopa.com/src/58873789" TargetMode="External"/><Relationship Id="rId1116" Type="http://schemas.openxmlformats.org/officeDocument/2006/relationships/hyperlink" Target="https://www.daloopa.com/src/59379366" TargetMode="External"/><Relationship Id="rId1463" Type="http://schemas.openxmlformats.org/officeDocument/2006/relationships/hyperlink" Target="https://www.daloopa.com/src/58931104" TargetMode="External"/><Relationship Id="rId1670" Type="http://schemas.openxmlformats.org/officeDocument/2006/relationships/hyperlink" Target="https://www.daloopa.com/src/58800875" TargetMode="External"/><Relationship Id="rId1768" Type="http://schemas.openxmlformats.org/officeDocument/2006/relationships/hyperlink" Target="https://www.daloopa.com/src/58934445" TargetMode="External"/><Relationship Id="rId2514" Type="http://schemas.openxmlformats.org/officeDocument/2006/relationships/hyperlink" Target="https://marketplace.daloopa.com/text-fundamental?id=58988130&amp;value=-2&amp;" TargetMode="External"/><Relationship Id="rId2721" Type="http://schemas.openxmlformats.org/officeDocument/2006/relationships/hyperlink" Target="https://www.daloopa.com/src/59372599" TargetMode="External"/><Relationship Id="rId2819" Type="http://schemas.openxmlformats.org/officeDocument/2006/relationships/hyperlink" Target="https://www.daloopa.com/src/58978549" TargetMode="External"/><Relationship Id="rId900" Type="http://schemas.openxmlformats.org/officeDocument/2006/relationships/hyperlink" Target="https://www.daloopa.com/src/58800598" TargetMode="External"/><Relationship Id="rId1323" Type="http://schemas.openxmlformats.org/officeDocument/2006/relationships/hyperlink" Target="https://www.daloopa.com/src/58931067" TargetMode="External"/><Relationship Id="rId1530" Type="http://schemas.openxmlformats.org/officeDocument/2006/relationships/hyperlink" Target="https://marketplace.daloopa.com/text-fundamental?id=58932344&amp;value=-19216&amp;" TargetMode="External"/><Relationship Id="rId1628" Type="http://schemas.openxmlformats.org/officeDocument/2006/relationships/hyperlink" Target="https://www.daloopa.com/src/58934405" TargetMode="External"/><Relationship Id="rId1975" Type="http://schemas.openxmlformats.org/officeDocument/2006/relationships/hyperlink" Target="https://www.daloopa.com/src/58809651" TargetMode="External"/><Relationship Id="rId1835" Type="http://schemas.openxmlformats.org/officeDocument/2006/relationships/hyperlink" Target="https://www.daloopa.com/src/58936812" TargetMode="External"/><Relationship Id="rId1902" Type="http://schemas.openxmlformats.org/officeDocument/2006/relationships/hyperlink" Target="https://www.daloopa.com/src/58935547" TargetMode="External"/><Relationship Id="rId2097" Type="http://schemas.openxmlformats.org/officeDocument/2006/relationships/hyperlink" Target="https://www.daloopa.com/src/58935562" TargetMode="External"/><Relationship Id="rId276" Type="http://schemas.openxmlformats.org/officeDocument/2006/relationships/hyperlink" Target="https://www.daloopa.com/src/58976224" TargetMode="External"/><Relationship Id="rId483" Type="http://schemas.openxmlformats.org/officeDocument/2006/relationships/hyperlink" Target="https://www.daloopa.com/src/58873700" TargetMode="External"/><Relationship Id="rId690" Type="http://schemas.openxmlformats.org/officeDocument/2006/relationships/hyperlink" Target="https://www.daloopa.com/src/58930160" TargetMode="External"/><Relationship Id="rId2164" Type="http://schemas.openxmlformats.org/officeDocument/2006/relationships/hyperlink" Target="https://www.daloopa.com/src/58809913" TargetMode="External"/><Relationship Id="rId2371" Type="http://schemas.openxmlformats.org/officeDocument/2006/relationships/hyperlink" Target="https://marketplace.daloopa.com/text-fundamental?id=58981016&amp;value=3976&amp;" TargetMode="External"/><Relationship Id="rId136" Type="http://schemas.openxmlformats.org/officeDocument/2006/relationships/hyperlink" Target="https://marketplace.daloopa.com/text-fundamental?id=59071657&amp;value=0.07&amp;id=59071643&amp;value=0.065&amp;id=59071557&amp;value=0.055&amp;id=59071653&amp;value=0.048&amp;id=59071495&amp;value=0.11199999999999999&amp;id=59375023&amp;value=0.048&amp;" TargetMode="External"/><Relationship Id="rId343" Type="http://schemas.openxmlformats.org/officeDocument/2006/relationships/hyperlink" Target="https://www.daloopa.com/src/58873699" TargetMode="External"/><Relationship Id="rId550" Type="http://schemas.openxmlformats.org/officeDocument/2006/relationships/hyperlink" Target="https://www.daloopa.com/src/58873634" TargetMode="External"/><Relationship Id="rId788" Type="http://schemas.openxmlformats.org/officeDocument/2006/relationships/hyperlink" Target="https://www.daloopa.com/src/59368482" TargetMode="External"/><Relationship Id="rId995" Type="http://schemas.openxmlformats.org/officeDocument/2006/relationships/hyperlink" Target="https://www.daloopa.com/src/58815841" TargetMode="External"/><Relationship Id="rId1180" Type="http://schemas.openxmlformats.org/officeDocument/2006/relationships/hyperlink" Target="https://marketplace.daloopa.com/text-fundamental?id=58882226&amp;value=16776&amp;id=58882143&amp;value=17144&amp;id=58881408&amp;value=13055&amp;id=58933601&amp;value=24608&amp;id=59379379&amp;value=71583&amp;id=58881377&amp;value=1698&amp;id=58930724&amp;value=21711&amp;id=58930821&amp;value=14217&amp;id=58930913&amp;value=35225&amp;id=59379380&amp;value=72851&amp;id=58865894&amp;value=23713&amp;id=58815873&amp;value=32385&amp;id=58815846&amp;value=27762&amp;id=58815818&amp;value=64817&amp;id=59379381&amp;value=148677&amp;id=58800693&amp;value=41583&amp;id=59368504&amp;value=54829&amp;" TargetMode="External"/><Relationship Id="rId2024" Type="http://schemas.openxmlformats.org/officeDocument/2006/relationships/hyperlink" Target="https://www.daloopa.com/src/59751933" TargetMode="External"/><Relationship Id="rId2231" Type="http://schemas.openxmlformats.org/officeDocument/2006/relationships/hyperlink" Target="https://www.daloopa.com/src/59370354" TargetMode="External"/><Relationship Id="rId2469" Type="http://schemas.openxmlformats.org/officeDocument/2006/relationships/hyperlink" Target="https://www.daloopa.com/src/58988030" TargetMode="External"/><Relationship Id="rId2676" Type="http://schemas.openxmlformats.org/officeDocument/2006/relationships/hyperlink" Target="https://marketplace.daloopa.com/text-fundamental?id=58992493&amp;value=519&amp;id=58992291&amp;value=2124&amp;id=58990259&amp;value=1708&amp;id=59372594&amp;value=2096&amp;" TargetMode="External"/><Relationship Id="rId2883" Type="http://schemas.openxmlformats.org/officeDocument/2006/relationships/hyperlink" Target="https://www.daloopa.com/src/59085329" TargetMode="External"/><Relationship Id="rId203" Type="http://schemas.openxmlformats.org/officeDocument/2006/relationships/hyperlink" Target="https://www.daloopa.com/src/58977060" TargetMode="External"/><Relationship Id="rId648" Type="http://schemas.openxmlformats.org/officeDocument/2006/relationships/hyperlink" Target="https://www.daloopa.com/src/58805152" TargetMode="External"/><Relationship Id="rId855" Type="http://schemas.openxmlformats.org/officeDocument/2006/relationships/hyperlink" Target="https://www.daloopa.com/src/58873784" TargetMode="External"/><Relationship Id="rId1040" Type="http://schemas.openxmlformats.org/officeDocument/2006/relationships/hyperlink" Target="https://www.daloopa.com/src/58815834" TargetMode="External"/><Relationship Id="rId1278" Type="http://schemas.openxmlformats.org/officeDocument/2006/relationships/hyperlink" Target="https://marketplace.daloopa.com/text-fundamental?id=58815924&amp;value=-313&amp;id=58815947&amp;value=0&amp;id=58815957&amp;value=0&amp;id=59379398&amp;value=-313&amp;" TargetMode="External"/><Relationship Id="rId1485" Type="http://schemas.openxmlformats.org/officeDocument/2006/relationships/hyperlink" Target="https://www.daloopa.com/src/58931101" TargetMode="External"/><Relationship Id="rId1692" Type="http://schemas.openxmlformats.org/officeDocument/2006/relationships/hyperlink" Target="https://www.daloopa.com/src/58934464" TargetMode="External"/><Relationship Id="rId2329" Type="http://schemas.openxmlformats.org/officeDocument/2006/relationships/hyperlink" Target="https://www.daloopa.com/src/58979868" TargetMode="External"/><Relationship Id="rId2536" Type="http://schemas.openxmlformats.org/officeDocument/2006/relationships/hyperlink" Target="https://marketplace.daloopa.com/text-fundamental?id=58988252&amp;value=0.0484&amp;id=58988223&amp;value=-0.015&amp;id=58988214&amp;value=-0.053200000000000004&amp;" TargetMode="External"/><Relationship Id="rId2743" Type="http://schemas.openxmlformats.org/officeDocument/2006/relationships/hyperlink" Target="https://www.daloopa.com/src/59005074" TargetMode="External"/><Relationship Id="rId410" Type="http://schemas.openxmlformats.org/officeDocument/2006/relationships/hyperlink" Target="https://www.daloopa.com/src/58815153" TargetMode="External"/><Relationship Id="rId508" Type="http://schemas.openxmlformats.org/officeDocument/2006/relationships/hyperlink" Target="https://www.daloopa.com/src/59581277" TargetMode="External"/><Relationship Id="rId715" Type="http://schemas.openxmlformats.org/officeDocument/2006/relationships/hyperlink" Target="https://www.daloopa.com/src/59368464" TargetMode="External"/><Relationship Id="rId922" Type="http://schemas.openxmlformats.org/officeDocument/2006/relationships/hyperlink" Target="https://www.daloopa.com/src/58933598" TargetMode="External"/><Relationship Id="rId1138" Type="http://schemas.openxmlformats.org/officeDocument/2006/relationships/hyperlink" Target="https://www.daloopa.com/src/58865900" TargetMode="External"/><Relationship Id="rId1345" Type="http://schemas.openxmlformats.org/officeDocument/2006/relationships/hyperlink" Target="https://www.daloopa.com/src/58931054" TargetMode="External"/><Relationship Id="rId1552" Type="http://schemas.openxmlformats.org/officeDocument/2006/relationships/hyperlink" Target="https://marketplace.daloopa.com/text-fundamental?id=58932433&amp;value=-32483&amp;" TargetMode="External"/><Relationship Id="rId1997" Type="http://schemas.openxmlformats.org/officeDocument/2006/relationships/hyperlink" Target="https://www.daloopa.com/src/58935540" TargetMode="External"/><Relationship Id="rId2603" Type="http://schemas.openxmlformats.org/officeDocument/2006/relationships/hyperlink" Target="https://www.daloopa.com/src/59372880" TargetMode="External"/><Relationship Id="rId1205" Type="http://schemas.openxmlformats.org/officeDocument/2006/relationships/hyperlink" Target="https://www.daloopa.com/src/58815878" TargetMode="External"/><Relationship Id="rId1857" Type="http://schemas.openxmlformats.org/officeDocument/2006/relationships/hyperlink" Target="https://www.daloopa.com/src/58935507" TargetMode="External"/><Relationship Id="rId2810" Type="http://schemas.openxmlformats.org/officeDocument/2006/relationships/hyperlink" Target="https://www.daloopa.com/src/59371997" TargetMode="External"/><Relationship Id="rId2908" Type="http://schemas.openxmlformats.org/officeDocument/2006/relationships/hyperlink" Target="https://www.daloopa.com/src/59086313" TargetMode="External"/><Relationship Id="rId51" Type="http://schemas.openxmlformats.org/officeDocument/2006/relationships/hyperlink" Target="https://www.daloopa.com/src/58804635" TargetMode="External"/><Relationship Id="rId1412" Type="http://schemas.openxmlformats.org/officeDocument/2006/relationships/hyperlink" Target="https://www.daloopa.com/src/58865950" TargetMode="External"/><Relationship Id="rId1717" Type="http://schemas.openxmlformats.org/officeDocument/2006/relationships/hyperlink" Target="https://www.daloopa.com/src/58809481" TargetMode="External"/><Relationship Id="rId1924" Type="http://schemas.openxmlformats.org/officeDocument/2006/relationships/hyperlink" Target="https://www.daloopa.com/src/58874702" TargetMode="External"/><Relationship Id="rId298" Type="http://schemas.openxmlformats.org/officeDocument/2006/relationships/hyperlink" Target="https://www.daloopa.com/src/59581276" TargetMode="External"/><Relationship Id="rId158" Type="http://schemas.openxmlformats.org/officeDocument/2006/relationships/hyperlink" Target="https://marketplace.daloopa.com/text-fundamental?id=59073103&amp;value=190842&amp;id=59375041&amp;value=203779&amp;" TargetMode="External"/><Relationship Id="rId2186" Type="http://schemas.openxmlformats.org/officeDocument/2006/relationships/hyperlink" Target="https://www.daloopa.com/src/58941037" TargetMode="External"/><Relationship Id="rId2393" Type="http://schemas.openxmlformats.org/officeDocument/2006/relationships/hyperlink" Target="https://marketplace.daloopa.com/text-fundamental?id=58987740&amp;value=2128&amp;id=58985444&amp;value=2211&amp;id=58985421&amp;value=3118&amp;" TargetMode="External"/><Relationship Id="rId2698" Type="http://schemas.openxmlformats.org/officeDocument/2006/relationships/hyperlink" Target="https://marketplace.daloopa.com/text-fundamental?id=58990263&amp;value=18433&amp;id=59372589&amp;value=18000&amp;" TargetMode="External"/><Relationship Id="rId365" Type="http://schemas.openxmlformats.org/officeDocument/2006/relationships/hyperlink" Target="https://www.daloopa.com/src/58804876" TargetMode="External"/><Relationship Id="rId572" Type="http://schemas.openxmlformats.org/officeDocument/2006/relationships/hyperlink" Target="https://www.daloopa.com/src/58881606" TargetMode="External"/><Relationship Id="rId2046" Type="http://schemas.openxmlformats.org/officeDocument/2006/relationships/hyperlink" Target="https://www.daloopa.com/src/58804537" TargetMode="External"/><Relationship Id="rId2253" Type="http://schemas.openxmlformats.org/officeDocument/2006/relationships/hyperlink" Target="https://www.daloopa.com/src/58945174" TargetMode="External"/><Relationship Id="rId2460" Type="http://schemas.openxmlformats.org/officeDocument/2006/relationships/hyperlink" Target="https://marketplace.daloopa.com/text-fundamental?id=58988032&amp;value=29196&amp;id=58988046&amp;value=-68008&amp;id=58987996&amp;value=-7791&amp;" TargetMode="External"/><Relationship Id="rId225" Type="http://schemas.openxmlformats.org/officeDocument/2006/relationships/hyperlink" Target="https://www.daloopa.com/src/59372936" TargetMode="External"/><Relationship Id="rId432" Type="http://schemas.openxmlformats.org/officeDocument/2006/relationships/hyperlink" Target="https://www.daloopa.com/src/58815144" TargetMode="External"/><Relationship Id="rId877" Type="http://schemas.openxmlformats.org/officeDocument/2006/relationships/hyperlink" Target="https://www.daloopa.com/src/59368478" TargetMode="External"/><Relationship Id="rId1062" Type="http://schemas.openxmlformats.org/officeDocument/2006/relationships/hyperlink" Target="https://www.daloopa.com/src/58934065" TargetMode="External"/><Relationship Id="rId2113" Type="http://schemas.openxmlformats.org/officeDocument/2006/relationships/hyperlink" Target="https://www.daloopa.com/src/58816150" TargetMode="External"/><Relationship Id="rId2320" Type="http://schemas.openxmlformats.org/officeDocument/2006/relationships/hyperlink" Target="https://www.daloopa.com/src/58979975" TargetMode="External"/><Relationship Id="rId2558" Type="http://schemas.openxmlformats.org/officeDocument/2006/relationships/hyperlink" Target="https://www.daloopa.com/src/58988220" TargetMode="External"/><Relationship Id="rId2765" Type="http://schemas.openxmlformats.org/officeDocument/2006/relationships/hyperlink" Target="https://www.daloopa.com/src/59371639" TargetMode="External"/><Relationship Id="rId737" Type="http://schemas.openxmlformats.org/officeDocument/2006/relationships/hyperlink" Target="https://www.daloopa.com/src/58929970" TargetMode="External"/><Relationship Id="rId944" Type="http://schemas.openxmlformats.org/officeDocument/2006/relationships/hyperlink" Target="https://www.daloopa.com/src/58815839" TargetMode="External"/><Relationship Id="rId1367" Type="http://schemas.openxmlformats.org/officeDocument/2006/relationships/hyperlink" Target="https://www.daloopa.com/src/58816005" TargetMode="External"/><Relationship Id="rId1574" Type="http://schemas.openxmlformats.org/officeDocument/2006/relationships/hyperlink" Target="https://www.daloopa.com/src/58934406" TargetMode="External"/><Relationship Id="rId1781" Type="http://schemas.openxmlformats.org/officeDocument/2006/relationships/hyperlink" Target="https://www.daloopa.com/src/59695235" TargetMode="External"/><Relationship Id="rId2418" Type="http://schemas.openxmlformats.org/officeDocument/2006/relationships/hyperlink" Target="https://www.daloopa.com/src/58987735" TargetMode="External"/><Relationship Id="rId2625" Type="http://schemas.openxmlformats.org/officeDocument/2006/relationships/hyperlink" Target="https://www.daloopa.com/src/58990173" TargetMode="External"/><Relationship Id="rId2832" Type="http://schemas.openxmlformats.org/officeDocument/2006/relationships/hyperlink" Target="https://www.daloopa.com/src/58978591" TargetMode="External"/><Relationship Id="rId73" Type="http://schemas.openxmlformats.org/officeDocument/2006/relationships/hyperlink" Target="https://www.daloopa.com/src/59066397" TargetMode="External"/><Relationship Id="rId804" Type="http://schemas.openxmlformats.org/officeDocument/2006/relationships/hyperlink" Target="https://marketplace.daloopa.com/text-fundamental?id=58930193&amp;value=691&amp;id=58873796&amp;value=431&amp;id=58930015&amp;value=462&amp;id=58815547&amp;value=540&amp;id=58815527&amp;value=504&amp;id=58805327&amp;value=873&amp;id=58800602&amp;value=725&amp;id=59368492&amp;value=697&amp;" TargetMode="External"/><Relationship Id="rId1227" Type="http://schemas.openxmlformats.org/officeDocument/2006/relationships/hyperlink" Target="https://www.daloopa.com/src/58930980" TargetMode="External"/><Relationship Id="rId1434" Type="http://schemas.openxmlformats.org/officeDocument/2006/relationships/hyperlink" Target="https://www.daloopa.com/src/58933753" TargetMode="External"/><Relationship Id="rId1641" Type="http://schemas.openxmlformats.org/officeDocument/2006/relationships/hyperlink" Target="https://marketplace.daloopa.com/text-fundamental?id=58936242&amp;value=354&amp;id=58936251&amp;value=324&amp;id=58936264&amp;value=274&amp;id=58936278&amp;value=264&amp;id=58936400&amp;value=1216&amp;id=58936383&amp;value=281&amp;id=58934467&amp;value=520&amp;id=58934391&amp;value=530&amp;id=58934402&amp;value=545&amp;id=58934448&amp;value=1876&amp;id=58874669&amp;value=562&amp;id=58816061&amp;value=2664&amp;id=58816053&amp;value=1343&amp;id=58809363&amp;value=4961&amp;id=58809476&amp;value=9530&amp;id=58800876&amp;value=1859&amp;id=59368532&amp;value=1943&amp;" TargetMode="External"/><Relationship Id="rId1879" Type="http://schemas.openxmlformats.org/officeDocument/2006/relationships/hyperlink" Target="https://www.daloopa.com/src/58816124" TargetMode="External"/><Relationship Id="rId1501" Type="http://schemas.openxmlformats.org/officeDocument/2006/relationships/hyperlink" Target="https://www.daloopa.com/src/58932346" TargetMode="External"/><Relationship Id="rId1739" Type="http://schemas.openxmlformats.org/officeDocument/2006/relationships/hyperlink" Target="https://www.daloopa.com/src/59736807" TargetMode="External"/><Relationship Id="rId1946" Type="http://schemas.openxmlformats.org/officeDocument/2006/relationships/hyperlink" Target="https://www.daloopa.com/src/58936786" TargetMode="External"/><Relationship Id="rId1806" Type="http://schemas.openxmlformats.org/officeDocument/2006/relationships/hyperlink" Target="https://www.daloopa.com/src/58816116" TargetMode="External"/><Relationship Id="rId387" Type="http://schemas.openxmlformats.org/officeDocument/2006/relationships/hyperlink" Target="https://www.daloopa.com/src/58881258" TargetMode="External"/><Relationship Id="rId594" Type="http://schemas.openxmlformats.org/officeDocument/2006/relationships/hyperlink" Target="https://www.daloopa.com/src/58881559" TargetMode="External"/><Relationship Id="rId2068" Type="http://schemas.openxmlformats.org/officeDocument/2006/relationships/hyperlink" Target="https://www.daloopa.com/src/58935588" TargetMode="External"/><Relationship Id="rId2275" Type="http://schemas.openxmlformats.org/officeDocument/2006/relationships/hyperlink" Target="https://marketplace.daloopa.com/text-fundamental?id=59079907&amp;value=4000&amp;id=59076190&amp;value=4200&amp;id=59078301&amp;value=4700&amp;id=59076853&amp;value=5100&amp;id=59075589&amp;value=5500&amp;" TargetMode="External"/><Relationship Id="rId247" Type="http://schemas.openxmlformats.org/officeDocument/2006/relationships/hyperlink" Target="https://www.daloopa.com/src/59379440" TargetMode="External"/><Relationship Id="rId899" Type="http://schemas.openxmlformats.org/officeDocument/2006/relationships/hyperlink" Target="https://www.daloopa.com/src/58805322" TargetMode="External"/><Relationship Id="rId1084" Type="http://schemas.openxmlformats.org/officeDocument/2006/relationships/hyperlink" Target="https://www.daloopa.com/src/58815815" TargetMode="External"/><Relationship Id="rId2482" Type="http://schemas.openxmlformats.org/officeDocument/2006/relationships/hyperlink" Target="https://marketplace.daloopa.com/text-fundamental?id=58988135&amp;value=784&amp;id=58988127&amp;value=1994&amp;id=58988123&amp;value=4003&amp;" TargetMode="External"/><Relationship Id="rId2787" Type="http://schemas.openxmlformats.org/officeDocument/2006/relationships/hyperlink" Target="https://www.daloopa.com/src/59006650" TargetMode="External"/><Relationship Id="rId107" Type="http://schemas.openxmlformats.org/officeDocument/2006/relationships/hyperlink" Target="https://www.daloopa.com/src/59068026" TargetMode="External"/><Relationship Id="rId454" Type="http://schemas.openxmlformats.org/officeDocument/2006/relationships/hyperlink" Target="https://www.daloopa.com/src/58881588" TargetMode="External"/><Relationship Id="rId661" Type="http://schemas.openxmlformats.org/officeDocument/2006/relationships/hyperlink" Target="https://www.daloopa.com/src/59368472" TargetMode="External"/><Relationship Id="rId759" Type="http://schemas.openxmlformats.org/officeDocument/2006/relationships/hyperlink" Target="https://www.daloopa.com/src/58805153" TargetMode="External"/><Relationship Id="rId966" Type="http://schemas.openxmlformats.org/officeDocument/2006/relationships/hyperlink" Target="https://www.daloopa.com/src/58815803" TargetMode="External"/><Relationship Id="rId1291" Type="http://schemas.openxmlformats.org/officeDocument/2006/relationships/hyperlink" Target="https://www.daloopa.com/src/59379399" TargetMode="External"/><Relationship Id="rId1389" Type="http://schemas.openxmlformats.org/officeDocument/2006/relationships/hyperlink" Target="https://www.daloopa.com/src/59379417" TargetMode="External"/><Relationship Id="rId1596" Type="http://schemas.openxmlformats.org/officeDocument/2006/relationships/hyperlink" Target="https://www.daloopa.com/src/58809369" TargetMode="External"/><Relationship Id="rId2135" Type="http://schemas.openxmlformats.org/officeDocument/2006/relationships/hyperlink" Target="https://www.daloopa.com/src/58874720" TargetMode="External"/><Relationship Id="rId2342" Type="http://schemas.openxmlformats.org/officeDocument/2006/relationships/hyperlink" Target="https://www.daloopa.com/src/58979828" TargetMode="External"/><Relationship Id="rId2647" Type="http://schemas.openxmlformats.org/officeDocument/2006/relationships/hyperlink" Target="https://marketplace.daloopa.com/text-fundamental?id=58990171&amp;value=2667&amp;id=58990065&amp;value=988&amp;id=58990049&amp;value=694&amp;id=59372553&amp;value=532&amp;" TargetMode="External"/><Relationship Id="rId314" Type="http://schemas.openxmlformats.org/officeDocument/2006/relationships/hyperlink" Target="https://www.daloopa.com/src/58873658" TargetMode="External"/><Relationship Id="rId521" Type="http://schemas.openxmlformats.org/officeDocument/2006/relationships/hyperlink" Target="https://marketplace.daloopa.com/text-fundamental?id=58881594&amp;value=34250&amp;id=59581278&amp;value=-21814&amp;id=58873620&amp;value=-16366&amp;id=58873654&amp;value=-3452&amp;id=58873704&amp;value=-5860&amp;id=58881250&amp;value=-47492&amp;id=58864787&amp;value=-19389&amp;id=58815466&amp;value=3770&amp;id=58815139&amp;value=16285&amp;id=58804859&amp;value=15385&amp;id=58815178&amp;value=16051&amp;id=58800407&amp;value=13013&amp;id=59368444&amp;value=14236&amp;" TargetMode="External"/><Relationship Id="rId619" Type="http://schemas.openxmlformats.org/officeDocument/2006/relationships/hyperlink" Target="https://marketplace.daloopa.com/text-fundamental?id=58881571&amp;value=-31&amp;" TargetMode="External"/><Relationship Id="rId1151" Type="http://schemas.openxmlformats.org/officeDocument/2006/relationships/hyperlink" Target="https://www.daloopa.com/src/58933608" TargetMode="External"/><Relationship Id="rId1249" Type="http://schemas.openxmlformats.org/officeDocument/2006/relationships/hyperlink" Target="https://www.daloopa.com/src/59368512" TargetMode="External"/><Relationship Id="rId2202" Type="http://schemas.openxmlformats.org/officeDocument/2006/relationships/hyperlink" Target="https://www.daloopa.com/src/58941045" TargetMode="External"/><Relationship Id="rId2854" Type="http://schemas.openxmlformats.org/officeDocument/2006/relationships/hyperlink" Target="https://www.daloopa.com/src/59085032" TargetMode="External"/><Relationship Id="rId95" Type="http://schemas.openxmlformats.org/officeDocument/2006/relationships/hyperlink" Target="https://www.daloopa.com/src/59374991" TargetMode="External"/><Relationship Id="rId826" Type="http://schemas.openxmlformats.org/officeDocument/2006/relationships/hyperlink" Target="https://www.daloopa.com/src/58815532" TargetMode="External"/><Relationship Id="rId1011" Type="http://schemas.openxmlformats.org/officeDocument/2006/relationships/hyperlink" Target="https://www.daloopa.com/src/58815811" TargetMode="External"/><Relationship Id="rId1109" Type="http://schemas.openxmlformats.org/officeDocument/2006/relationships/hyperlink" Target="https://www.daloopa.com/src/58815859" TargetMode="External"/><Relationship Id="rId1456" Type="http://schemas.openxmlformats.org/officeDocument/2006/relationships/hyperlink" Target="https://www.daloopa.com/src/59368565" TargetMode="External"/><Relationship Id="rId1663" Type="http://schemas.openxmlformats.org/officeDocument/2006/relationships/hyperlink" Target="https://www.daloopa.com/src/58934466" TargetMode="External"/><Relationship Id="rId1870" Type="http://schemas.openxmlformats.org/officeDocument/2006/relationships/hyperlink" Target="https://www.daloopa.com/src/58936797" TargetMode="External"/><Relationship Id="rId1968" Type="http://schemas.openxmlformats.org/officeDocument/2006/relationships/hyperlink" Target="https://www.daloopa.com/src/58936843" TargetMode="External"/><Relationship Id="rId2507" Type="http://schemas.openxmlformats.org/officeDocument/2006/relationships/hyperlink" Target="https://www.daloopa.com/src/58988193" TargetMode="External"/><Relationship Id="rId2714" Type="http://schemas.openxmlformats.org/officeDocument/2006/relationships/hyperlink" Target="https://www.daloopa.com/src/58992569" TargetMode="External"/><Relationship Id="rId2921" Type="http://schemas.openxmlformats.org/officeDocument/2006/relationships/hyperlink" Target="https://www.daloopa.com/src/59091780" TargetMode="External"/><Relationship Id="rId1316" Type="http://schemas.openxmlformats.org/officeDocument/2006/relationships/hyperlink" Target="https://www.daloopa.com/src/58931053" TargetMode="External"/><Relationship Id="rId1523" Type="http://schemas.openxmlformats.org/officeDocument/2006/relationships/hyperlink" Target="https://www.daloopa.com/src/58932336" TargetMode="External"/><Relationship Id="rId1730" Type="http://schemas.openxmlformats.org/officeDocument/2006/relationships/hyperlink" Target="https://www.daloopa.com/src/58809367" TargetMode="External"/><Relationship Id="rId22" Type="http://schemas.openxmlformats.org/officeDocument/2006/relationships/hyperlink" Target="https://www.daloopa.com/src/59368562" TargetMode="External"/><Relationship Id="rId1828" Type="http://schemas.openxmlformats.org/officeDocument/2006/relationships/hyperlink" Target="https://www.daloopa.com/src/59368537" TargetMode="External"/><Relationship Id="rId171" Type="http://schemas.openxmlformats.org/officeDocument/2006/relationships/hyperlink" Target="https://www.daloopa.com/src/59080110" TargetMode="External"/><Relationship Id="rId2297" Type="http://schemas.openxmlformats.org/officeDocument/2006/relationships/hyperlink" Target="https://www.daloopa.com/src/59371932" TargetMode="External"/><Relationship Id="rId269" Type="http://schemas.openxmlformats.org/officeDocument/2006/relationships/hyperlink" Target="https://www.daloopa.com/src/58976227" TargetMode="External"/><Relationship Id="rId476" Type="http://schemas.openxmlformats.org/officeDocument/2006/relationships/hyperlink" Target="https://www.daloopa.com/src/58882221" TargetMode="External"/><Relationship Id="rId683" Type="http://schemas.openxmlformats.org/officeDocument/2006/relationships/hyperlink" Target="https://www.daloopa.com/src/58929980" TargetMode="External"/><Relationship Id="rId890" Type="http://schemas.openxmlformats.org/officeDocument/2006/relationships/hyperlink" Target="https://www.daloopa.com/src/58805331" TargetMode="External"/><Relationship Id="rId2157" Type="http://schemas.openxmlformats.org/officeDocument/2006/relationships/hyperlink" Target="https://www.daloopa.com/src/58810052" TargetMode="External"/><Relationship Id="rId2364" Type="http://schemas.openxmlformats.org/officeDocument/2006/relationships/hyperlink" Target="https://www.daloopa.com/src/58979867" TargetMode="External"/><Relationship Id="rId2571" Type="http://schemas.openxmlformats.org/officeDocument/2006/relationships/hyperlink" Target="https://www.daloopa.com/src/58988244" TargetMode="External"/><Relationship Id="rId129" Type="http://schemas.openxmlformats.org/officeDocument/2006/relationships/hyperlink" Target="https://www.daloopa.com/src/59071656" TargetMode="External"/><Relationship Id="rId336" Type="http://schemas.openxmlformats.org/officeDocument/2006/relationships/hyperlink" Target="https://www.daloopa.com/src/58881603" TargetMode="External"/><Relationship Id="rId543" Type="http://schemas.openxmlformats.org/officeDocument/2006/relationships/hyperlink" Target="https://www.daloopa.com/src/58800408" TargetMode="External"/><Relationship Id="rId988" Type="http://schemas.openxmlformats.org/officeDocument/2006/relationships/hyperlink" Target="https://www.daloopa.com/src/58933603" TargetMode="External"/><Relationship Id="rId1173" Type="http://schemas.openxmlformats.org/officeDocument/2006/relationships/hyperlink" Target="https://www.daloopa.com/src/58815837" TargetMode="External"/><Relationship Id="rId1380" Type="http://schemas.openxmlformats.org/officeDocument/2006/relationships/hyperlink" Target="https://www.daloopa.com/src/58931068" TargetMode="External"/><Relationship Id="rId2017" Type="http://schemas.openxmlformats.org/officeDocument/2006/relationships/hyperlink" Target="https://marketplace.daloopa.com/text-fundamental?id=59695627&amp;value=1845&amp;" TargetMode="External"/><Relationship Id="rId2224" Type="http://schemas.openxmlformats.org/officeDocument/2006/relationships/hyperlink" Target="https://www.daloopa.com/src/58944812" TargetMode="External"/><Relationship Id="rId2669" Type="http://schemas.openxmlformats.org/officeDocument/2006/relationships/hyperlink" Target="https://www.daloopa.com/src/58990262" TargetMode="External"/><Relationship Id="rId2876" Type="http://schemas.openxmlformats.org/officeDocument/2006/relationships/hyperlink" Target="https://www.daloopa.com/src/59085250" TargetMode="External"/><Relationship Id="rId403" Type="http://schemas.openxmlformats.org/officeDocument/2006/relationships/hyperlink" Target="https://www.daloopa.com/src/58815190" TargetMode="External"/><Relationship Id="rId750" Type="http://schemas.openxmlformats.org/officeDocument/2006/relationships/hyperlink" Target="https://www.daloopa.com/src/58800555" TargetMode="External"/><Relationship Id="rId848" Type="http://schemas.openxmlformats.org/officeDocument/2006/relationships/hyperlink" Target="https://www.daloopa.com/src/58815528" TargetMode="External"/><Relationship Id="rId1033" Type="http://schemas.openxmlformats.org/officeDocument/2006/relationships/hyperlink" Target="https://www.daloopa.com/src/58933610" TargetMode="External"/><Relationship Id="rId1478" Type="http://schemas.openxmlformats.org/officeDocument/2006/relationships/hyperlink" Target="https://marketplace.daloopa.com/text-fundamental?id=58816036&amp;value=3006&amp;id=58816034&amp;value=-2819&amp;" TargetMode="External"/><Relationship Id="rId1685" Type="http://schemas.openxmlformats.org/officeDocument/2006/relationships/hyperlink" Target="https://www.daloopa.com/src/58809477" TargetMode="External"/><Relationship Id="rId1892" Type="http://schemas.openxmlformats.org/officeDocument/2006/relationships/hyperlink" Target="https://www.daloopa.com/src/58935498" TargetMode="External"/><Relationship Id="rId2431" Type="http://schemas.openxmlformats.org/officeDocument/2006/relationships/hyperlink" Target="https://www.daloopa.com/src/58985420" TargetMode="External"/><Relationship Id="rId2529" Type="http://schemas.openxmlformats.org/officeDocument/2006/relationships/hyperlink" Target="https://www.daloopa.com/src/58988188" TargetMode="External"/><Relationship Id="rId2736" Type="http://schemas.openxmlformats.org/officeDocument/2006/relationships/hyperlink" Target="https://www.daloopa.com/src/59004624" TargetMode="External"/><Relationship Id="rId610" Type="http://schemas.openxmlformats.org/officeDocument/2006/relationships/hyperlink" Target="https://www.daloopa.com/src/58881567" TargetMode="External"/><Relationship Id="rId708" Type="http://schemas.openxmlformats.org/officeDocument/2006/relationships/hyperlink" Target="https://www.daloopa.com/src/58930151" TargetMode="External"/><Relationship Id="rId915" Type="http://schemas.openxmlformats.org/officeDocument/2006/relationships/hyperlink" Target="https://www.daloopa.com/src/58930018" TargetMode="External"/><Relationship Id="rId1240" Type="http://schemas.openxmlformats.org/officeDocument/2006/relationships/hyperlink" Target="https://www.daloopa.com/src/58934087" TargetMode="External"/><Relationship Id="rId1338" Type="http://schemas.openxmlformats.org/officeDocument/2006/relationships/hyperlink" Target="https://www.daloopa.com/src/58815948" TargetMode="External"/><Relationship Id="rId1545" Type="http://schemas.openxmlformats.org/officeDocument/2006/relationships/hyperlink" Target="https://www.daloopa.com/src/58932431" TargetMode="External"/><Relationship Id="rId1100" Type="http://schemas.openxmlformats.org/officeDocument/2006/relationships/hyperlink" Target="https://www.daloopa.com/src/59379362" TargetMode="External"/><Relationship Id="rId1405" Type="http://schemas.openxmlformats.org/officeDocument/2006/relationships/hyperlink" Target="https://www.daloopa.com/src/59379421" TargetMode="External"/><Relationship Id="rId1752" Type="http://schemas.openxmlformats.org/officeDocument/2006/relationships/hyperlink" Target="https://marketplace.daloopa.com/text-fundamental?id=59066247&amp;value=0.22899999999999998&amp;id=59066248&amp;value=0.27399999999999997&amp;id=59066249&amp;value=0.271&amp;id=59066250&amp;value=0.251&amp;id=58938469&amp;value=0.26&amp;id=58938649&amp;value=0.27&amp;id=58934468&amp;value=0.301&amp;id=58934397&amp;value=0.316&amp;id=58934399&amp;value=0.285&amp;id=58934445&amp;value=0.29600000000000004&amp;id=58874663&amp;value=0.27699999999999997&amp;id=58816066&amp;value=0.322&amp;id=58816051&amp;value=0.332&amp;id=58809361&amp;value=0.327&amp;id=58809482&amp;value=0.318&amp;id=58800880&amp;value=0.282&amp;id=59368526&amp;value=0.302&amp;" TargetMode="External"/><Relationship Id="rId2803" Type="http://schemas.openxmlformats.org/officeDocument/2006/relationships/hyperlink" Target="https://www.daloopa.com/src/58978592" TargetMode="External"/><Relationship Id="rId44" Type="http://schemas.openxmlformats.org/officeDocument/2006/relationships/hyperlink" Target="https://www.daloopa.com/src/58810749" TargetMode="External"/><Relationship Id="rId1612" Type="http://schemas.openxmlformats.org/officeDocument/2006/relationships/hyperlink" Target="https://www.daloopa.com/src/58816057" TargetMode="External"/><Relationship Id="rId1917" Type="http://schemas.openxmlformats.org/officeDocument/2006/relationships/hyperlink" Target="https://www.daloopa.com/src/58936955" TargetMode="External"/><Relationship Id="rId193" Type="http://schemas.openxmlformats.org/officeDocument/2006/relationships/hyperlink" Target="https://marketplace.daloopa.com/text-fundamental?id=58946057&amp;value=802675&amp;id=59371406&amp;value=796556&amp;" TargetMode="External"/><Relationship Id="rId498" Type="http://schemas.openxmlformats.org/officeDocument/2006/relationships/hyperlink" Target="https://www.daloopa.com/src/58864799" TargetMode="External"/><Relationship Id="rId2081" Type="http://schemas.openxmlformats.org/officeDocument/2006/relationships/hyperlink" Target="https://www.daloopa.com/src/58935601" TargetMode="External"/><Relationship Id="rId2179" Type="http://schemas.openxmlformats.org/officeDocument/2006/relationships/hyperlink" Target="https://www.daloopa.com/src/58804544" TargetMode="External"/><Relationship Id="rId260" Type="http://schemas.openxmlformats.org/officeDocument/2006/relationships/hyperlink" Target="https://www.daloopa.com/src/59706384" TargetMode="External"/><Relationship Id="rId2386" Type="http://schemas.openxmlformats.org/officeDocument/2006/relationships/hyperlink" Target="https://www.daloopa.com/src/58987743" TargetMode="External"/><Relationship Id="rId2593" Type="http://schemas.openxmlformats.org/officeDocument/2006/relationships/hyperlink" Target="https://www.daloopa.com/src/58988241" TargetMode="External"/><Relationship Id="rId120" Type="http://schemas.openxmlformats.org/officeDocument/2006/relationships/hyperlink" Target="https://www.daloopa.com/src/59068033" TargetMode="External"/><Relationship Id="rId358" Type="http://schemas.openxmlformats.org/officeDocument/2006/relationships/hyperlink" Target="https://www.daloopa.com/src/59581281" TargetMode="External"/><Relationship Id="rId565" Type="http://schemas.openxmlformats.org/officeDocument/2006/relationships/hyperlink" Target="https://www.daloopa.com/src/58873694" TargetMode="External"/><Relationship Id="rId772" Type="http://schemas.openxmlformats.org/officeDocument/2006/relationships/hyperlink" Target="https://www.daloopa.com/src/58930194" TargetMode="External"/><Relationship Id="rId1195" Type="http://schemas.openxmlformats.org/officeDocument/2006/relationships/hyperlink" Target="https://www.daloopa.com/src/59379379" TargetMode="External"/><Relationship Id="rId2039" Type="http://schemas.openxmlformats.org/officeDocument/2006/relationships/hyperlink" Target="https://www.daloopa.com/src/58935598" TargetMode="External"/><Relationship Id="rId2246" Type="http://schemas.openxmlformats.org/officeDocument/2006/relationships/hyperlink" Target="https://www.daloopa.com/src/58944628" TargetMode="External"/><Relationship Id="rId2453" Type="http://schemas.openxmlformats.org/officeDocument/2006/relationships/hyperlink" Target="https://www.daloopa.com/src/59066132" TargetMode="External"/><Relationship Id="rId2660" Type="http://schemas.openxmlformats.org/officeDocument/2006/relationships/hyperlink" Target="https://marketplace.daloopa.com/text-fundamental?id=58990260&amp;value=5722&amp;id=59372595&amp;value=3919&amp;" TargetMode="External"/><Relationship Id="rId2898" Type="http://schemas.openxmlformats.org/officeDocument/2006/relationships/hyperlink" Target="https://www.daloopa.com/src/59091251" TargetMode="External"/><Relationship Id="rId218" Type="http://schemas.openxmlformats.org/officeDocument/2006/relationships/hyperlink" Target="https://www.daloopa.com/src/58947590" TargetMode="External"/><Relationship Id="rId425" Type="http://schemas.openxmlformats.org/officeDocument/2006/relationships/hyperlink" Target="https://www.daloopa.com/src/58881389" TargetMode="External"/><Relationship Id="rId632" Type="http://schemas.openxmlformats.org/officeDocument/2006/relationships/hyperlink" Target="https://www.daloopa.com/src/58881577" TargetMode="External"/><Relationship Id="rId1055" Type="http://schemas.openxmlformats.org/officeDocument/2006/relationships/hyperlink" Target="https://www.daloopa.com/src/58815804" TargetMode="External"/><Relationship Id="rId1262" Type="http://schemas.openxmlformats.org/officeDocument/2006/relationships/hyperlink" Target="https://www.daloopa.com/src/58815907" TargetMode="External"/><Relationship Id="rId2106" Type="http://schemas.openxmlformats.org/officeDocument/2006/relationships/hyperlink" Target="https://www.daloopa.com/src/58810056" TargetMode="External"/><Relationship Id="rId2313" Type="http://schemas.openxmlformats.org/officeDocument/2006/relationships/hyperlink" Target="https://www.daloopa.com/src/59371912" TargetMode="External"/><Relationship Id="rId2520" Type="http://schemas.openxmlformats.org/officeDocument/2006/relationships/hyperlink" Target="https://marketplace.daloopa.com/text-fundamental?id=58988133&amp;value=47&amp;" TargetMode="External"/><Relationship Id="rId2758" Type="http://schemas.openxmlformats.org/officeDocument/2006/relationships/hyperlink" Target="https://www.daloopa.com/src/59005217" TargetMode="External"/><Relationship Id="rId937" Type="http://schemas.openxmlformats.org/officeDocument/2006/relationships/hyperlink" Target="https://www.daloopa.com/src/58933597" TargetMode="External"/><Relationship Id="rId1122" Type="http://schemas.openxmlformats.org/officeDocument/2006/relationships/hyperlink" Target="https://www.daloopa.com/src/58930916" TargetMode="External"/><Relationship Id="rId1567" Type="http://schemas.openxmlformats.org/officeDocument/2006/relationships/hyperlink" Target="https://www.daloopa.com/src/58936243" TargetMode="External"/><Relationship Id="rId1774" Type="http://schemas.openxmlformats.org/officeDocument/2006/relationships/hyperlink" Target="https://marketplace.daloopa.com/text-fundamental?id=59695227&amp;value=-871&amp;" TargetMode="External"/><Relationship Id="rId1981" Type="http://schemas.openxmlformats.org/officeDocument/2006/relationships/hyperlink" Target="https://marketplace.daloopa.com/text-fundamental?id=58936788&amp;value=6865&amp;id=58936802&amp;value=12934&amp;id=58936807&amp;value=13058&amp;id=58936827&amp;value=12075&amp;id=58936946&amp;value=44932&amp;id=58936842&amp;value=4637&amp;id=58935495&amp;value=12209&amp;id=58935513&amp;value=22300&amp;id=58935524&amp;value=24749&amp;id=58935540&amp;value=63895&amp;id=58874705&amp;value=20503&amp;id=58816110&amp;value=33197&amp;id=58816123&amp;value=42169&amp;id=58809650&amp;value=46530&amp;id=58809719&amp;value=142399&amp;id=58802509&amp;value=33497&amp;id=59368538&amp;value=38006&amp;" TargetMode="External"/><Relationship Id="rId2618" Type="http://schemas.openxmlformats.org/officeDocument/2006/relationships/hyperlink" Target="https://marketplace.daloopa.com/text-fundamental?id=58988363&amp;value=221&amp;id=59372886&amp;value=200&amp;" TargetMode="External"/><Relationship Id="rId2825" Type="http://schemas.openxmlformats.org/officeDocument/2006/relationships/hyperlink" Target="https://www.daloopa.com/src/58978593" TargetMode="External"/><Relationship Id="rId66" Type="http://schemas.openxmlformats.org/officeDocument/2006/relationships/hyperlink" Target="https://www.daloopa.com/src/59066394" TargetMode="External"/><Relationship Id="rId1427" Type="http://schemas.openxmlformats.org/officeDocument/2006/relationships/hyperlink" Target="https://www.daloopa.com/src/58865949" TargetMode="External"/><Relationship Id="rId1634" Type="http://schemas.openxmlformats.org/officeDocument/2006/relationships/hyperlink" Target="https://www.daloopa.com/src/59368533" TargetMode="External"/><Relationship Id="rId1841" Type="http://schemas.openxmlformats.org/officeDocument/2006/relationships/hyperlink" Target="https://www.daloopa.com/src/58874697" TargetMode="External"/><Relationship Id="rId1939" Type="http://schemas.openxmlformats.org/officeDocument/2006/relationships/hyperlink" Target="https://www.daloopa.com/src/58935520" TargetMode="External"/><Relationship Id="rId1701" Type="http://schemas.openxmlformats.org/officeDocument/2006/relationships/hyperlink" Target="https://www.daloopa.com/src/58936245" TargetMode="External"/><Relationship Id="rId282" Type="http://schemas.openxmlformats.org/officeDocument/2006/relationships/hyperlink" Target="https://www.daloopa.com/src/58881410" TargetMode="External"/><Relationship Id="rId587" Type="http://schemas.openxmlformats.org/officeDocument/2006/relationships/hyperlink" Target="https://www.daloopa.com/src/58881248" TargetMode="External"/><Relationship Id="rId2170" Type="http://schemas.openxmlformats.org/officeDocument/2006/relationships/hyperlink" Target="https://www.daloopa.com/src/58935589" TargetMode="External"/><Relationship Id="rId2268" Type="http://schemas.openxmlformats.org/officeDocument/2006/relationships/hyperlink" Target="https://marketplace.daloopa.com/text-fundamental?id=59075084&amp;value=149875000&amp;id=59074035&amp;value=152856250&amp;id=59074005&amp;value=152875076&amp;id=59074055&amp;value=152941584&amp;id=59073997&amp;value=152982128&amp;id=59371336&amp;value=153236293&amp;" TargetMode="External"/><Relationship Id="rId8" Type="http://schemas.openxmlformats.org/officeDocument/2006/relationships/hyperlink" Target="https://www.daloopa.com/document/23013346" TargetMode="External"/><Relationship Id="rId142" Type="http://schemas.openxmlformats.org/officeDocument/2006/relationships/hyperlink" Target="https://www.daloopa.com/src/59071653" TargetMode="External"/><Relationship Id="rId447" Type="http://schemas.openxmlformats.org/officeDocument/2006/relationships/hyperlink" Target="https://www.daloopa.com/src/58873702" TargetMode="External"/><Relationship Id="rId794" Type="http://schemas.openxmlformats.org/officeDocument/2006/relationships/hyperlink" Target="https://www.daloopa.com/src/58930014" TargetMode="External"/><Relationship Id="rId1077" Type="http://schemas.openxmlformats.org/officeDocument/2006/relationships/hyperlink" Target="https://www.daloopa.com/src/58934071" TargetMode="External"/><Relationship Id="rId2030" Type="http://schemas.openxmlformats.org/officeDocument/2006/relationships/hyperlink" Target="https://www.daloopa.com/src/58816131" TargetMode="External"/><Relationship Id="rId2128" Type="http://schemas.openxmlformats.org/officeDocument/2006/relationships/hyperlink" Target="https://www.daloopa.com/src/58935575" TargetMode="External"/><Relationship Id="rId2475" Type="http://schemas.openxmlformats.org/officeDocument/2006/relationships/hyperlink" Target="https://www.daloopa.com/src/58988047" TargetMode="External"/><Relationship Id="rId2682" Type="http://schemas.openxmlformats.org/officeDocument/2006/relationships/hyperlink" Target="https://www.daloopa.com/src/58992292" TargetMode="External"/><Relationship Id="rId654" Type="http://schemas.openxmlformats.org/officeDocument/2006/relationships/hyperlink" Target="https://www.daloopa.com/src/58930158" TargetMode="External"/><Relationship Id="rId861" Type="http://schemas.openxmlformats.org/officeDocument/2006/relationships/hyperlink" Target="https://www.daloopa.com/src/59368479" TargetMode="External"/><Relationship Id="rId959" Type="http://schemas.openxmlformats.org/officeDocument/2006/relationships/hyperlink" Target="https://www.daloopa.com/src/58934062" TargetMode="External"/><Relationship Id="rId1284" Type="http://schemas.openxmlformats.org/officeDocument/2006/relationships/hyperlink" Target="https://www.daloopa.com/src/58934109" TargetMode="External"/><Relationship Id="rId1491" Type="http://schemas.openxmlformats.org/officeDocument/2006/relationships/hyperlink" Target="https://www.daloopa.com/src/58816029" TargetMode="External"/><Relationship Id="rId1589" Type="http://schemas.openxmlformats.org/officeDocument/2006/relationships/hyperlink" Target="https://www.daloopa.com/src/58936387" TargetMode="External"/><Relationship Id="rId2335" Type="http://schemas.openxmlformats.org/officeDocument/2006/relationships/hyperlink" Target="https://www.daloopa.com/src/58979972" TargetMode="External"/><Relationship Id="rId2542" Type="http://schemas.openxmlformats.org/officeDocument/2006/relationships/hyperlink" Target="https://www.daloopa.com/src/58988224" TargetMode="External"/><Relationship Id="rId307" Type="http://schemas.openxmlformats.org/officeDocument/2006/relationships/hyperlink" Target="https://www.daloopa.com/src/59368457" TargetMode="External"/><Relationship Id="rId514" Type="http://schemas.openxmlformats.org/officeDocument/2006/relationships/hyperlink" Target="https://www.daloopa.com/src/58815140" TargetMode="External"/><Relationship Id="rId721" Type="http://schemas.openxmlformats.org/officeDocument/2006/relationships/hyperlink" Target="https://www.daloopa.com/src/58815502" TargetMode="External"/><Relationship Id="rId1144" Type="http://schemas.openxmlformats.org/officeDocument/2006/relationships/hyperlink" Target="https://www.daloopa.com/src/59379370" TargetMode="External"/><Relationship Id="rId1351" Type="http://schemas.openxmlformats.org/officeDocument/2006/relationships/hyperlink" Target="https://www.daloopa.com/src/58815964" TargetMode="External"/><Relationship Id="rId1449" Type="http://schemas.openxmlformats.org/officeDocument/2006/relationships/hyperlink" Target="https://www.daloopa.com/src/58931102" TargetMode="External"/><Relationship Id="rId1796" Type="http://schemas.openxmlformats.org/officeDocument/2006/relationships/hyperlink" Target="https://marketplace.daloopa.com/text-fundamental?id=58936785&amp;value=3196&amp;id=58936796&amp;value=10720&amp;id=58936804&amp;value=11587&amp;id=58936823&amp;value=8747&amp;id=58936948&amp;value=34250&amp;id=58936845&amp;value=-21814&amp;id=58935503&amp;value=-16366&amp;id=58935516&amp;value=-3452&amp;id=58935525&amp;value=-5860&amp;id=58935550&amp;value=-47492&amp;id=58874695&amp;value=-19389&amp;id=58816116&amp;value=3770&amp;id=58816120&amp;value=16285&amp;id=58809652&amp;value=15385&amp;id=58809710&amp;value=16051&amp;id=58802510&amp;value=13013&amp;id=59368536&amp;value=14236&amp;" TargetMode="External"/><Relationship Id="rId2402" Type="http://schemas.openxmlformats.org/officeDocument/2006/relationships/hyperlink" Target="https://www.daloopa.com/src/58987741" TargetMode="External"/><Relationship Id="rId2847" Type="http://schemas.openxmlformats.org/officeDocument/2006/relationships/hyperlink" Target="https://www.daloopa.com/src/58978507" TargetMode="External"/><Relationship Id="rId88" Type="http://schemas.openxmlformats.org/officeDocument/2006/relationships/hyperlink" Target="https://www.daloopa.com/src/59066770" TargetMode="External"/><Relationship Id="rId819" Type="http://schemas.openxmlformats.org/officeDocument/2006/relationships/hyperlink" Target="https://www.daloopa.com/src/58805334" TargetMode="External"/><Relationship Id="rId1004" Type="http://schemas.openxmlformats.org/officeDocument/2006/relationships/hyperlink" Target="https://www.daloopa.com/src/58934074" TargetMode="External"/><Relationship Id="rId1211" Type="http://schemas.openxmlformats.org/officeDocument/2006/relationships/hyperlink" Target="https://marketplace.daloopa.com/text-fundamental?id=58865923&amp;value=-7588&amp;id=58815879&amp;value=0&amp;id=58815893&amp;value=0&amp;id=58815904&amp;value=-41346&amp;id=59379385&amp;value=-48934&amp;id=58800715&amp;value=-18920&amp;id=59368514&amp;value=-124&amp;" TargetMode="External"/><Relationship Id="rId1656" Type="http://schemas.openxmlformats.org/officeDocument/2006/relationships/hyperlink" Target="https://www.daloopa.com/src/58936400" TargetMode="External"/><Relationship Id="rId1863" Type="http://schemas.openxmlformats.org/officeDocument/2006/relationships/hyperlink" Target="https://www.daloopa.com/src/58802515" TargetMode="External"/><Relationship Id="rId2707" Type="http://schemas.openxmlformats.org/officeDocument/2006/relationships/hyperlink" Target="https://marketplace.daloopa.com/text-fundamental?id=58992573&amp;value=4995&amp;id=59372603&amp;value=5357&amp;" TargetMode="External"/><Relationship Id="rId2914" Type="http://schemas.openxmlformats.org/officeDocument/2006/relationships/hyperlink" Target="https://marketplace.daloopa.com/text-fundamental?id=59091781&amp;value=-3.4&amp;id=59091620&amp;value=0.6&amp;id=59091494&amp;value=0.8&amp;id=59086314&amp;value=2&amp;" TargetMode="External"/><Relationship Id="rId1309" Type="http://schemas.openxmlformats.org/officeDocument/2006/relationships/hyperlink" Target="https://www.daloopa.com/src/58865946" TargetMode="External"/><Relationship Id="rId1516" Type="http://schemas.openxmlformats.org/officeDocument/2006/relationships/hyperlink" Target="https://marketplace.daloopa.com/text-fundamental?id=58932335&amp;value=-4604&amp;" TargetMode="External"/><Relationship Id="rId1723" Type="http://schemas.openxmlformats.org/officeDocument/2006/relationships/hyperlink" Target="https://www.daloopa.com/src/58939749" TargetMode="External"/><Relationship Id="rId1930" Type="http://schemas.openxmlformats.org/officeDocument/2006/relationships/hyperlink" Target="https://www.daloopa.com/src/58809714" TargetMode="External"/><Relationship Id="rId15" Type="http://schemas.openxmlformats.org/officeDocument/2006/relationships/hyperlink" Target="https://www.daloopa.com/src/58804632" TargetMode="External"/><Relationship Id="rId2192" Type="http://schemas.openxmlformats.org/officeDocument/2006/relationships/hyperlink" Target="https://www.daloopa.com/src/58941040" TargetMode="External"/><Relationship Id="rId164" Type="http://schemas.openxmlformats.org/officeDocument/2006/relationships/hyperlink" Target="https://www.daloopa.com/src/59080199" TargetMode="External"/><Relationship Id="rId371" Type="http://schemas.openxmlformats.org/officeDocument/2006/relationships/hyperlink" Target="https://marketplace.daloopa.com/text-fundamental?id=58882225&amp;value=17121&amp;id=58882148&amp;value=25733&amp;id=58881409&amp;value=26517&amp;id=58881388&amp;value=22796&amp;id=58881600&amp;value=92167&amp;id=59581270&amp;value=-4481&amp;id=58873628&amp;value=-6202&amp;id=58873660&amp;value=5289&amp;id=58873705&amp;value=3354&amp;id=58881258&amp;value=-2040&amp;id=58864797&amp;value=-3169&amp;id=58815458&amp;value=17285&amp;id=58815146&amp;value=24388&amp;id=58804877&amp;value=25319&amp;id=58815186&amp;value=63823&amp;id=58800406&amp;value=17098&amp;id=59368456&amp;value=22780&amp;" TargetMode="External"/><Relationship Id="rId2052" Type="http://schemas.openxmlformats.org/officeDocument/2006/relationships/hyperlink" Target="https://www.daloopa.com/src/59751935" TargetMode="External"/><Relationship Id="rId2497" Type="http://schemas.openxmlformats.org/officeDocument/2006/relationships/hyperlink" Target="https://www.daloopa.com/src/58988175" TargetMode="External"/><Relationship Id="rId469" Type="http://schemas.openxmlformats.org/officeDocument/2006/relationships/hyperlink" Target="https://www.daloopa.com/src/58804867" TargetMode="External"/><Relationship Id="rId676" Type="http://schemas.openxmlformats.org/officeDocument/2006/relationships/hyperlink" Target="https://www.daloopa.com/src/58815503" TargetMode="External"/><Relationship Id="rId883" Type="http://schemas.openxmlformats.org/officeDocument/2006/relationships/hyperlink" Target="https://www.daloopa.com/src/58930187" TargetMode="External"/><Relationship Id="rId1099" Type="http://schemas.openxmlformats.org/officeDocument/2006/relationships/hyperlink" Target="https://www.daloopa.com/src/59379361" TargetMode="External"/><Relationship Id="rId2357" Type="http://schemas.openxmlformats.org/officeDocument/2006/relationships/hyperlink" Target="https://www.daloopa.com/src/58979970" TargetMode="External"/><Relationship Id="rId2564" Type="http://schemas.openxmlformats.org/officeDocument/2006/relationships/hyperlink" Target="https://www.daloopa.com/src/58988232" TargetMode="External"/><Relationship Id="rId231" Type="http://schemas.openxmlformats.org/officeDocument/2006/relationships/hyperlink" Target="https://www.daloopa.com/src/58947522" TargetMode="External"/><Relationship Id="rId329" Type="http://schemas.openxmlformats.org/officeDocument/2006/relationships/hyperlink" Target="https://www.daloopa.com/src/58873696" TargetMode="External"/><Relationship Id="rId536" Type="http://schemas.openxmlformats.org/officeDocument/2006/relationships/hyperlink" Target="https://www.daloopa.com/src/58873633" TargetMode="External"/><Relationship Id="rId1166" Type="http://schemas.openxmlformats.org/officeDocument/2006/relationships/hyperlink" Target="https://www.daloopa.com/src/58933605" TargetMode="External"/><Relationship Id="rId1373" Type="http://schemas.openxmlformats.org/officeDocument/2006/relationships/hyperlink" Target="https://www.daloopa.com/src/59379415" TargetMode="External"/><Relationship Id="rId2217" Type="http://schemas.openxmlformats.org/officeDocument/2006/relationships/hyperlink" Target="https://www.daloopa.com/src/58945171" TargetMode="External"/><Relationship Id="rId2771" Type="http://schemas.openxmlformats.org/officeDocument/2006/relationships/hyperlink" Target="https://www.daloopa.com/src/59005300" TargetMode="External"/><Relationship Id="rId2869" Type="http://schemas.openxmlformats.org/officeDocument/2006/relationships/hyperlink" Target="https://marketplace.daloopa.com/text-fundamental?id=59085031&amp;value=-1.7&amp;" TargetMode="External"/><Relationship Id="rId743" Type="http://schemas.openxmlformats.org/officeDocument/2006/relationships/hyperlink" Target="https://marketplace.daloopa.com/text-fundamental?id=58930155&amp;value=1368&amp;id=58873734&amp;value=1372&amp;id=58929971&amp;value=2370&amp;id=58815487&amp;value=2397&amp;id=58815494&amp;value=6841&amp;id=58805151&amp;value=6456&amp;id=58800555&amp;value=21921&amp;id=59368470&amp;value=20698&amp;" TargetMode="External"/><Relationship Id="rId950" Type="http://schemas.openxmlformats.org/officeDocument/2006/relationships/hyperlink" Target="https://www.daloopa.com/src/59379333" TargetMode="External"/><Relationship Id="rId1026" Type="http://schemas.openxmlformats.org/officeDocument/2006/relationships/hyperlink" Target="https://www.daloopa.com/src/58815814" TargetMode="External"/><Relationship Id="rId1580" Type="http://schemas.openxmlformats.org/officeDocument/2006/relationships/hyperlink" Target="https://www.daloopa.com/src/59368535" TargetMode="External"/><Relationship Id="rId1678" Type="http://schemas.openxmlformats.org/officeDocument/2006/relationships/hyperlink" Target="https://www.daloopa.com/src/58934407" TargetMode="External"/><Relationship Id="rId1885" Type="http://schemas.openxmlformats.org/officeDocument/2006/relationships/hyperlink" Target="https://www.daloopa.com/src/58809718" TargetMode="External"/><Relationship Id="rId2424" Type="http://schemas.openxmlformats.org/officeDocument/2006/relationships/hyperlink" Target="https://marketplace.daloopa.com/text-fundamental?id=58987744&amp;value=-2179&amp;id=58985448&amp;value=-22124&amp;id=58985429&amp;value=-19809&amp;" TargetMode="External"/><Relationship Id="rId2631" Type="http://schemas.openxmlformats.org/officeDocument/2006/relationships/hyperlink" Target="https://www.daloopa.com/src/58990062" TargetMode="External"/><Relationship Id="rId2729" Type="http://schemas.openxmlformats.org/officeDocument/2006/relationships/hyperlink" Target="https://www.daloopa.com/src/59004588" TargetMode="External"/><Relationship Id="rId603" Type="http://schemas.openxmlformats.org/officeDocument/2006/relationships/hyperlink" Target="https://marketplace.daloopa.com/text-fundamental?id=58881564&amp;value=4514&amp;" TargetMode="External"/><Relationship Id="rId810" Type="http://schemas.openxmlformats.org/officeDocument/2006/relationships/hyperlink" Target="https://www.daloopa.com/src/58805327" TargetMode="External"/><Relationship Id="rId908" Type="http://schemas.openxmlformats.org/officeDocument/2006/relationships/hyperlink" Target="https://www.daloopa.com/src/58815520" TargetMode="External"/><Relationship Id="rId1233" Type="http://schemas.openxmlformats.org/officeDocument/2006/relationships/hyperlink" Target="https://www.daloopa.com/src/58800713" TargetMode="External"/><Relationship Id="rId1440" Type="http://schemas.openxmlformats.org/officeDocument/2006/relationships/hyperlink" Target="https://www.daloopa.com/src/58815932" TargetMode="External"/><Relationship Id="rId1538" Type="http://schemas.openxmlformats.org/officeDocument/2006/relationships/hyperlink" Target="https://marketplace.daloopa.com/text-fundamental?id=58932378&amp;value=-2043&amp;" TargetMode="External"/><Relationship Id="rId1300" Type="http://schemas.openxmlformats.org/officeDocument/2006/relationships/hyperlink" Target="https://www.daloopa.com/src/58931064" TargetMode="External"/><Relationship Id="rId1745" Type="http://schemas.openxmlformats.org/officeDocument/2006/relationships/hyperlink" Target="https://www.daloopa.com/src/58874664" TargetMode="External"/><Relationship Id="rId1952" Type="http://schemas.openxmlformats.org/officeDocument/2006/relationships/hyperlink" Target="https://www.daloopa.com/src/58935515" TargetMode="External"/><Relationship Id="rId37" Type="http://schemas.openxmlformats.org/officeDocument/2006/relationships/hyperlink" Target="https://www.daloopa.com/src/58816172" TargetMode="External"/><Relationship Id="rId1605" Type="http://schemas.openxmlformats.org/officeDocument/2006/relationships/hyperlink" Target="https://www.daloopa.com/src/58936265" TargetMode="External"/><Relationship Id="rId1812" Type="http://schemas.openxmlformats.org/officeDocument/2006/relationships/hyperlink" Target="https://www.daloopa.com/src/58935550" TargetMode="External"/><Relationship Id="rId186" Type="http://schemas.openxmlformats.org/officeDocument/2006/relationships/hyperlink" Target="https://www.daloopa.com/src/59080201" TargetMode="External"/><Relationship Id="rId393" Type="http://schemas.openxmlformats.org/officeDocument/2006/relationships/hyperlink" Target="https://marketplace.daloopa.com/text-fundamental?id=58881596&amp;value=51964&amp;id=59581279&amp;value=12883&amp;id=58873626&amp;value=13816&amp;id=58873653&amp;value=11706&amp;id=58873706&amp;value=9509&amp;id=58881260&amp;value=47914&amp;id=58815457&amp;value=10467&amp;id=58815145&amp;value=4734&amp;id=58804866&amp;value=3107&amp;id=58815190&amp;value=25122&amp;" TargetMode="External"/><Relationship Id="rId2074" Type="http://schemas.openxmlformats.org/officeDocument/2006/relationships/hyperlink" Target="https://www.daloopa.com/src/58804536" TargetMode="External"/><Relationship Id="rId2281" Type="http://schemas.openxmlformats.org/officeDocument/2006/relationships/hyperlink" Target="https://marketplace.daloopa.com/text-fundamental?id=59162379&amp;value=3173&amp;id=59163825&amp;value=2282&amp;id=59162368&amp;value=1441&amp;" TargetMode="External"/><Relationship Id="rId253" Type="http://schemas.openxmlformats.org/officeDocument/2006/relationships/hyperlink" Target="https://marketplace.daloopa.com/text-fundamental?id=59706386&amp;value=32411&amp;" TargetMode="External"/><Relationship Id="rId460" Type="http://schemas.openxmlformats.org/officeDocument/2006/relationships/hyperlink" Target="https://www.daloopa.com/src/58881406" TargetMode="External"/><Relationship Id="rId698" Type="http://schemas.openxmlformats.org/officeDocument/2006/relationships/hyperlink" Target="https://marketplace.daloopa.com/text-fundamental?id=58930159&amp;value=29094&amp;id=58873727&amp;value=190282&amp;id=58929976&amp;value=180602&amp;id=58815480&amp;value=172239&amp;id=58815496&amp;value=161330&amp;id=58805141&amp;value=154309&amp;id=58800559&amp;value=146392&amp;id=59368463&amp;value=136536&amp;" TargetMode="External"/><Relationship Id="rId1090" Type="http://schemas.openxmlformats.org/officeDocument/2006/relationships/hyperlink" Target="https://marketplace.daloopa.com/text-fundamental?id=58933606&amp;value=424&amp;id=59379361&amp;value=424&amp;id=58934070&amp;value=-293&amp;id=58930729&amp;value=6&amp;id=58930828&amp;value=-38&amp;id=58930919&amp;value=380&amp;id=59379362&amp;value=55&amp;id=58815858&amp;value=-1032&amp;id=58815843&amp;value=-4445&amp;id=58815813&amp;value=405&amp;id=59379363&amp;value=-5072&amp;" TargetMode="External"/><Relationship Id="rId2141" Type="http://schemas.openxmlformats.org/officeDocument/2006/relationships/hyperlink" Target="https://www.daloopa.com/src/58940287" TargetMode="External"/><Relationship Id="rId2379" Type="http://schemas.openxmlformats.org/officeDocument/2006/relationships/hyperlink" Target="https://www.daloopa.com/src/58985446" TargetMode="External"/><Relationship Id="rId2586" Type="http://schemas.openxmlformats.org/officeDocument/2006/relationships/hyperlink" Target="https://marketplace.daloopa.com/text-fundamental?id=58988240&amp;value=-0.0034000000000000002&amp;" TargetMode="External"/><Relationship Id="rId2793" Type="http://schemas.openxmlformats.org/officeDocument/2006/relationships/hyperlink" Target="https://marketplace.daloopa.com/text-fundamental?id=59006504&amp;value=65793&amp;id=59006352&amp;value=523363&amp;id=59006648&amp;value=508994&amp;id=59006399&amp;value=490243&amp;id=59006285&amp;value=470907&amp;id=59006255&amp;value=464351&amp;id=59006422&amp;value=453069&amp;id=59371641&amp;value=432932&amp;" TargetMode="External"/><Relationship Id="rId113" Type="http://schemas.openxmlformats.org/officeDocument/2006/relationships/hyperlink" Target="https://www.daloopa.com/src/59068032" TargetMode="External"/><Relationship Id="rId320" Type="http://schemas.openxmlformats.org/officeDocument/2006/relationships/hyperlink" Target="https://www.daloopa.com/src/58800412" TargetMode="External"/><Relationship Id="rId558" Type="http://schemas.openxmlformats.org/officeDocument/2006/relationships/hyperlink" Target="https://www.daloopa.com/src/59368450" TargetMode="External"/><Relationship Id="rId765" Type="http://schemas.openxmlformats.org/officeDocument/2006/relationships/hyperlink" Target="https://www.daloopa.com/src/58930011" TargetMode="External"/><Relationship Id="rId972" Type="http://schemas.openxmlformats.org/officeDocument/2006/relationships/hyperlink" Target="https://marketplace.daloopa.com/text-fundamental?id=58933609&amp;value=88&amp;id=59379338&amp;value=88&amp;id=58934075&amp;value=248&amp;id=58930738&amp;value=-192&amp;id=58930834&amp;value=110&amp;id=58930914&amp;value=184&amp;id=59379339&amp;value=350&amp;id=58865907&amp;value=-173&amp;id=58815871&amp;value=-194&amp;id=58815833&amp;value=204&amp;id=58815805&amp;value=146&amp;id=59379340&amp;value=-17&amp;id=58800684&amp;value=-184&amp;id=59368500&amp;value=64&amp;" TargetMode="External"/><Relationship Id="rId1188" Type="http://schemas.openxmlformats.org/officeDocument/2006/relationships/hyperlink" Target="https://www.daloopa.com/src/58930913" TargetMode="External"/><Relationship Id="rId1395" Type="http://schemas.openxmlformats.org/officeDocument/2006/relationships/hyperlink" Target="https://www.daloopa.com/src/58931061" TargetMode="External"/><Relationship Id="rId2001" Type="http://schemas.openxmlformats.org/officeDocument/2006/relationships/hyperlink" Target="https://marketplace.daloopa.com/text-fundamental?id=59695629&amp;value=-871&amp;" TargetMode="External"/><Relationship Id="rId2239" Type="http://schemas.openxmlformats.org/officeDocument/2006/relationships/hyperlink" Target="https://www.daloopa.com/src/58944615" TargetMode="External"/><Relationship Id="rId2446" Type="http://schemas.openxmlformats.org/officeDocument/2006/relationships/hyperlink" Target="https://www.daloopa.com/src/59008891" TargetMode="External"/><Relationship Id="rId2653" Type="http://schemas.openxmlformats.org/officeDocument/2006/relationships/hyperlink" Target="https://www.daloopa.com/src/58990177" TargetMode="External"/><Relationship Id="rId2860" Type="http://schemas.openxmlformats.org/officeDocument/2006/relationships/hyperlink" Target="https://www.daloopa.com/src/59379437" TargetMode="External"/><Relationship Id="rId418" Type="http://schemas.openxmlformats.org/officeDocument/2006/relationships/hyperlink" Target="https://marketplace.daloopa.com/text-fundamental?id=58864796&amp;value=13938&amp;id=58815189&amp;value=13938&amp;" TargetMode="External"/><Relationship Id="rId625" Type="http://schemas.openxmlformats.org/officeDocument/2006/relationships/hyperlink" Target="https://marketplace.daloopa.com/text-fundamental?id=58881578&amp;value=-0.24&amp;" TargetMode="External"/><Relationship Id="rId832" Type="http://schemas.openxmlformats.org/officeDocument/2006/relationships/hyperlink" Target="https://www.daloopa.com/src/58930185" TargetMode="External"/><Relationship Id="rId1048" Type="http://schemas.openxmlformats.org/officeDocument/2006/relationships/hyperlink" Target="https://www.daloopa.com/src/58934072" TargetMode="External"/><Relationship Id="rId1255" Type="http://schemas.openxmlformats.org/officeDocument/2006/relationships/hyperlink" Target="https://www.daloopa.com/src/58934088" TargetMode="External"/><Relationship Id="rId1462" Type="http://schemas.openxmlformats.org/officeDocument/2006/relationships/hyperlink" Target="https://www.daloopa.com/src/58934129" TargetMode="External"/><Relationship Id="rId2306" Type="http://schemas.openxmlformats.org/officeDocument/2006/relationships/hyperlink" Target="https://www.daloopa.com/src/59148514" TargetMode="External"/><Relationship Id="rId2513" Type="http://schemas.openxmlformats.org/officeDocument/2006/relationships/hyperlink" Target="https://www.daloopa.com/src/58988179" TargetMode="External"/><Relationship Id="rId1115" Type="http://schemas.openxmlformats.org/officeDocument/2006/relationships/hyperlink" Target="https://www.daloopa.com/src/59379365" TargetMode="External"/><Relationship Id="rId1322" Type="http://schemas.openxmlformats.org/officeDocument/2006/relationships/hyperlink" Target="https://www.daloopa.com/src/58931048" TargetMode="External"/><Relationship Id="rId1767" Type="http://schemas.openxmlformats.org/officeDocument/2006/relationships/hyperlink" Target="https://www.daloopa.com/src/58938469" TargetMode="External"/><Relationship Id="rId1974" Type="http://schemas.openxmlformats.org/officeDocument/2006/relationships/hyperlink" Target="https://www.daloopa.com/src/58816125" TargetMode="External"/><Relationship Id="rId2720" Type="http://schemas.openxmlformats.org/officeDocument/2006/relationships/hyperlink" Target="https://www.daloopa.com/src/58992568" TargetMode="External"/><Relationship Id="rId2818" Type="http://schemas.openxmlformats.org/officeDocument/2006/relationships/hyperlink" Target="https://www.daloopa.com/src/58978551" TargetMode="External"/><Relationship Id="rId59" Type="http://schemas.openxmlformats.org/officeDocument/2006/relationships/hyperlink" Target="https://marketplace.daloopa.com/text-fundamental?id=59066586&amp;value=30&amp;id=59066393&amp;value=33&amp;id=59066388&amp;value=33&amp;id=59374986&amp;value=33&amp;" TargetMode="External"/><Relationship Id="rId1627" Type="http://schemas.openxmlformats.org/officeDocument/2006/relationships/hyperlink" Target="https://www.daloopa.com/src/58934392" TargetMode="External"/><Relationship Id="rId1834" Type="http://schemas.openxmlformats.org/officeDocument/2006/relationships/hyperlink" Target="https://www.daloopa.com/src/58936798" TargetMode="External"/><Relationship Id="rId2096" Type="http://schemas.openxmlformats.org/officeDocument/2006/relationships/hyperlink" Target="https://www.daloopa.com/src/58935585" TargetMode="External"/><Relationship Id="rId1901" Type="http://schemas.openxmlformats.org/officeDocument/2006/relationships/hyperlink" Target="https://www.daloopa.com/src/58936954" TargetMode="External"/><Relationship Id="rId275" Type="http://schemas.openxmlformats.org/officeDocument/2006/relationships/hyperlink" Target="https://www.daloopa.com/src/58976228" TargetMode="External"/><Relationship Id="rId482" Type="http://schemas.openxmlformats.org/officeDocument/2006/relationships/hyperlink" Target="https://www.daloopa.com/src/58873659" TargetMode="External"/><Relationship Id="rId2163" Type="http://schemas.openxmlformats.org/officeDocument/2006/relationships/hyperlink" Target="https://www.daloopa.com/src/58816133" TargetMode="External"/><Relationship Id="rId2370" Type="http://schemas.openxmlformats.org/officeDocument/2006/relationships/hyperlink" Target="https://www.daloopa.com/src/58981015" TargetMode="External"/><Relationship Id="rId135" Type="http://schemas.openxmlformats.org/officeDocument/2006/relationships/hyperlink" Target="https://www.daloopa.com/src/59071652" TargetMode="External"/><Relationship Id="rId342" Type="http://schemas.openxmlformats.org/officeDocument/2006/relationships/hyperlink" Target="https://www.daloopa.com/src/58873652" TargetMode="External"/><Relationship Id="rId787" Type="http://schemas.openxmlformats.org/officeDocument/2006/relationships/hyperlink" Target="https://www.daloopa.com/src/58800591" TargetMode="External"/><Relationship Id="rId994" Type="http://schemas.openxmlformats.org/officeDocument/2006/relationships/hyperlink" Target="https://www.daloopa.com/src/58815864" TargetMode="External"/><Relationship Id="rId2023" Type="http://schemas.openxmlformats.org/officeDocument/2006/relationships/hyperlink" Target="https://marketplace.daloopa.com/text-fundamental?id=58940283&amp;value=0.21&amp;id=59751933&amp;value=-0.15999999999999998&amp;id=58935597&amp;value=-0.13&amp;id=58935591&amp;value=-0.03&amp;id=58935556&amp;value=-0.05&amp;id=58935570&amp;value=-0.37&amp;id=58874713&amp;value=-0.15&amp;id=58816151&amp;value=0.03&amp;id=58816131&amp;value=0.11&amp;id=58809908&amp;value=0.1&amp;id=58810048&amp;value=0.11&amp;id=58804538&amp;value=0.09&amp;id=59368555&amp;value=0.09&amp;" TargetMode="External"/><Relationship Id="rId2230" Type="http://schemas.openxmlformats.org/officeDocument/2006/relationships/hyperlink" Target="https://www.daloopa.com/src/58944616" TargetMode="External"/><Relationship Id="rId2468" Type="http://schemas.openxmlformats.org/officeDocument/2006/relationships/hyperlink" Target="https://marketplace.daloopa.com/text-fundamental?id=58988030&amp;value=41148&amp;id=58988044&amp;value=-58847&amp;id=58987997&amp;value=24913&amp;" TargetMode="External"/><Relationship Id="rId2675" Type="http://schemas.openxmlformats.org/officeDocument/2006/relationships/hyperlink" Target="https://www.daloopa.com/src/59372593" TargetMode="External"/><Relationship Id="rId2882" Type="http://schemas.openxmlformats.org/officeDocument/2006/relationships/hyperlink" Target="https://www.daloopa.com/src/59085416" TargetMode="External"/><Relationship Id="rId202" Type="http://schemas.openxmlformats.org/officeDocument/2006/relationships/hyperlink" Target="https://marketplace.daloopa.com/text-fundamental?id=58977060&amp;value=53600&amp;id=59373412&amp;value=60834&amp;" TargetMode="External"/><Relationship Id="rId647" Type="http://schemas.openxmlformats.org/officeDocument/2006/relationships/hyperlink" Target="https://www.daloopa.com/src/58815504" TargetMode="External"/><Relationship Id="rId854" Type="http://schemas.openxmlformats.org/officeDocument/2006/relationships/hyperlink" Target="https://www.daloopa.com/src/59756359" TargetMode="External"/><Relationship Id="rId1277" Type="http://schemas.openxmlformats.org/officeDocument/2006/relationships/hyperlink" Target="https://www.daloopa.com/src/59379397" TargetMode="External"/><Relationship Id="rId1484" Type="http://schemas.openxmlformats.org/officeDocument/2006/relationships/hyperlink" Target="https://www.daloopa.com/src/58931103" TargetMode="External"/><Relationship Id="rId1691" Type="http://schemas.openxmlformats.org/officeDocument/2006/relationships/hyperlink" Target="https://www.daloopa.com/src/58936382" TargetMode="External"/><Relationship Id="rId2328" Type="http://schemas.openxmlformats.org/officeDocument/2006/relationships/hyperlink" Target="https://www.daloopa.com/src/58979864" TargetMode="External"/><Relationship Id="rId2535" Type="http://schemas.openxmlformats.org/officeDocument/2006/relationships/hyperlink" Target="https://www.daloopa.com/src/58988218" TargetMode="External"/><Relationship Id="rId2742" Type="http://schemas.openxmlformats.org/officeDocument/2006/relationships/hyperlink" Target="https://www.daloopa.com/src/59004652" TargetMode="External"/><Relationship Id="rId507" Type="http://schemas.openxmlformats.org/officeDocument/2006/relationships/hyperlink" Target="https://marketplace.daloopa.com/text-fundamental?id=58881595&amp;value=33909&amp;id=59581277&amp;value=-30473&amp;id=58873619&amp;value=-15880&amp;id=58873662&amp;value=3557&amp;id=58873703&amp;value=-2212&amp;id=58881251&amp;value=-45008&amp;id=58864788&amp;value=-16629&amp;id=58815464&amp;value=2475&amp;id=58815140&amp;value=13226&amp;id=58804858&amp;value=12858&amp;id=58815179&amp;value=11930&amp;id=58800405&amp;value=11496&amp;id=59368448&amp;value=2917&amp;" TargetMode="External"/><Relationship Id="rId714" Type="http://schemas.openxmlformats.org/officeDocument/2006/relationships/hyperlink" Target="https://www.daloopa.com/src/58800558" TargetMode="External"/><Relationship Id="rId921" Type="http://schemas.openxmlformats.org/officeDocument/2006/relationships/hyperlink" Target="https://marketplace.daloopa.com/text-fundamental?id=58933598&amp;value=34250&amp;id=59379328&amp;value=34250&amp;id=58934076&amp;value=-21814&amp;id=58930741&amp;value=-16366&amp;id=58930838&amp;value=-3452&amp;id=58930917&amp;value=-5860&amp;id=59379329&amp;value=-47492&amp;id=58865903&amp;value=-19389&amp;id=58815872&amp;value=3770&amp;id=58815838&amp;value=16285&amp;id=58815801&amp;value=15385&amp;id=59379330&amp;value=16051&amp;id=58800690&amp;value=13013&amp;id=59368505&amp;value=14236&amp;" TargetMode="External"/><Relationship Id="rId1137" Type="http://schemas.openxmlformats.org/officeDocument/2006/relationships/hyperlink" Target="https://www.daloopa.com/src/58930921" TargetMode="External"/><Relationship Id="rId1344" Type="http://schemas.openxmlformats.org/officeDocument/2006/relationships/hyperlink" Target="https://www.daloopa.com/src/58934116" TargetMode="External"/><Relationship Id="rId1551" Type="http://schemas.openxmlformats.org/officeDocument/2006/relationships/hyperlink" Target="https://www.daloopa.com/src/58932430" TargetMode="External"/><Relationship Id="rId1789" Type="http://schemas.openxmlformats.org/officeDocument/2006/relationships/hyperlink" Target="https://www.daloopa.com/src/59695226" TargetMode="External"/><Relationship Id="rId1996" Type="http://schemas.openxmlformats.org/officeDocument/2006/relationships/hyperlink" Target="https://www.daloopa.com/src/58936946" TargetMode="External"/><Relationship Id="rId2602" Type="http://schemas.openxmlformats.org/officeDocument/2006/relationships/hyperlink" Target="https://www.daloopa.com/src/58988362" TargetMode="External"/><Relationship Id="rId50" Type="http://schemas.openxmlformats.org/officeDocument/2006/relationships/hyperlink" Target="https://www.daloopa.com/src/58810745" TargetMode="External"/><Relationship Id="rId1204" Type="http://schemas.openxmlformats.org/officeDocument/2006/relationships/hyperlink" Target="https://www.daloopa.com/src/58865921" TargetMode="External"/><Relationship Id="rId1411" Type="http://schemas.openxmlformats.org/officeDocument/2006/relationships/hyperlink" Target="https://www.daloopa.com/src/58931075" TargetMode="External"/><Relationship Id="rId1649" Type="http://schemas.openxmlformats.org/officeDocument/2006/relationships/hyperlink" Target="https://www.daloopa.com/src/58934402" TargetMode="External"/><Relationship Id="rId1856" Type="http://schemas.openxmlformats.org/officeDocument/2006/relationships/hyperlink" Target="https://www.daloopa.com/src/58935500" TargetMode="External"/><Relationship Id="rId2907" Type="http://schemas.openxmlformats.org/officeDocument/2006/relationships/hyperlink" Target="https://www.daloopa.com/src/59091782" TargetMode="External"/><Relationship Id="rId1509" Type="http://schemas.openxmlformats.org/officeDocument/2006/relationships/hyperlink" Target="https://www.daloopa.com/src/58932333" TargetMode="External"/><Relationship Id="rId1716" Type="http://schemas.openxmlformats.org/officeDocument/2006/relationships/hyperlink" Target="https://www.daloopa.com/src/58934443" TargetMode="External"/><Relationship Id="rId1923" Type="http://schemas.openxmlformats.org/officeDocument/2006/relationships/hyperlink" Target="https://www.daloopa.com/src/58935523" TargetMode="External"/><Relationship Id="rId297" Type="http://schemas.openxmlformats.org/officeDocument/2006/relationships/hyperlink" Target="https://marketplace.daloopa.com/text-fundamental?id=58881604&amp;value=245324&amp;id=59581276&amp;value=36816&amp;id=58873627&amp;value=52404&amp;id=58873651&amp;value=67483&amp;id=58873698&amp;value=83584&amp;id=58881254&amp;value=240287&amp;id=58864791&amp;value=65945&amp;id=58815462&amp;value=84868&amp;id=58815135&amp;value=94151&amp;id=58804871&amp;value=107206&amp;id=58815187&amp;value=352170&amp;id=58800413&amp;value=96431&amp;id=59368457&amp;value=100292&amp;" TargetMode="External"/><Relationship Id="rId2185" Type="http://schemas.openxmlformats.org/officeDocument/2006/relationships/hyperlink" Target="https://marketplace.daloopa.com/text-fundamental?id=58941037&amp;value=0.07&amp;" TargetMode="External"/><Relationship Id="rId2392" Type="http://schemas.openxmlformats.org/officeDocument/2006/relationships/hyperlink" Target="https://www.daloopa.com/src/58985427" TargetMode="External"/><Relationship Id="rId157" Type="http://schemas.openxmlformats.org/officeDocument/2006/relationships/hyperlink" Target="https://www.daloopa.com/src/59375040" TargetMode="External"/><Relationship Id="rId364" Type="http://schemas.openxmlformats.org/officeDocument/2006/relationships/hyperlink" Target="https://www.daloopa.com/src/58815147" TargetMode="External"/><Relationship Id="rId2045" Type="http://schemas.openxmlformats.org/officeDocument/2006/relationships/hyperlink" Target="https://www.daloopa.com/src/58809914" TargetMode="External"/><Relationship Id="rId2697" Type="http://schemas.openxmlformats.org/officeDocument/2006/relationships/hyperlink" Target="https://www.daloopa.com/src/59372590" TargetMode="External"/><Relationship Id="rId571" Type="http://schemas.openxmlformats.org/officeDocument/2006/relationships/hyperlink" Target="https://www.daloopa.com/src/59368454" TargetMode="External"/><Relationship Id="rId669" Type="http://schemas.openxmlformats.org/officeDocument/2006/relationships/hyperlink" Target="https://www.daloopa.com/src/58800561" TargetMode="External"/><Relationship Id="rId876" Type="http://schemas.openxmlformats.org/officeDocument/2006/relationships/hyperlink" Target="https://www.daloopa.com/src/58800589" TargetMode="External"/><Relationship Id="rId1299" Type="http://schemas.openxmlformats.org/officeDocument/2006/relationships/hyperlink" Target="https://marketplace.daloopa.com/text-fundamental?id=58931064&amp;value=-1675&amp;id=58931080&amp;value=-1675&amp;id=59379402&amp;value=-3350&amp;id=58865951&amp;value=-163875&amp;id=58815931&amp;value=-200000&amp;id=58815941&amp;value=0&amp;id=58815960&amp;value=0&amp;id=59379403&amp;value=-363875&amp;" TargetMode="External"/><Relationship Id="rId2252" Type="http://schemas.openxmlformats.org/officeDocument/2006/relationships/hyperlink" Target="https://www.daloopa.com/src/58944663" TargetMode="External"/><Relationship Id="rId2557" Type="http://schemas.openxmlformats.org/officeDocument/2006/relationships/hyperlink" Target="https://www.daloopa.com/src/58988228" TargetMode="External"/><Relationship Id="rId224" Type="http://schemas.openxmlformats.org/officeDocument/2006/relationships/hyperlink" Target="https://www.daloopa.com/src/58946696" TargetMode="External"/><Relationship Id="rId431" Type="http://schemas.openxmlformats.org/officeDocument/2006/relationships/hyperlink" Target="https://www.daloopa.com/src/58815465" TargetMode="External"/><Relationship Id="rId529" Type="http://schemas.openxmlformats.org/officeDocument/2006/relationships/hyperlink" Target="https://www.daloopa.com/src/58804859" TargetMode="External"/><Relationship Id="rId736" Type="http://schemas.openxmlformats.org/officeDocument/2006/relationships/hyperlink" Target="https://www.daloopa.com/src/58873733" TargetMode="External"/><Relationship Id="rId1061" Type="http://schemas.openxmlformats.org/officeDocument/2006/relationships/hyperlink" Target="https://www.daloopa.com/src/58933602" TargetMode="External"/><Relationship Id="rId1159" Type="http://schemas.openxmlformats.org/officeDocument/2006/relationships/hyperlink" Target="https://www.daloopa.com/src/58815807" TargetMode="External"/><Relationship Id="rId1366" Type="http://schemas.openxmlformats.org/officeDocument/2006/relationships/hyperlink" Target="https://www.daloopa.com/src/58815959" TargetMode="External"/><Relationship Id="rId2112" Type="http://schemas.openxmlformats.org/officeDocument/2006/relationships/hyperlink" Target="https://www.daloopa.com/src/58874719" TargetMode="External"/><Relationship Id="rId2417" Type="http://schemas.openxmlformats.org/officeDocument/2006/relationships/hyperlink" Target="https://marketplace.daloopa.com/text-fundamental?id=58987735&amp;value=23608&amp;id=58985443&amp;value=70414&amp;id=58985425&amp;value=52395&amp;" TargetMode="External"/><Relationship Id="rId2764" Type="http://schemas.openxmlformats.org/officeDocument/2006/relationships/hyperlink" Target="https://www.daloopa.com/src/59005259" TargetMode="External"/><Relationship Id="rId943" Type="http://schemas.openxmlformats.org/officeDocument/2006/relationships/hyperlink" Target="https://www.daloopa.com/src/58815857" TargetMode="External"/><Relationship Id="rId1019" Type="http://schemas.openxmlformats.org/officeDocument/2006/relationships/hyperlink" Target="https://www.daloopa.com/src/58934073" TargetMode="External"/><Relationship Id="rId1573" Type="http://schemas.openxmlformats.org/officeDocument/2006/relationships/hyperlink" Target="https://www.daloopa.com/src/58934395" TargetMode="External"/><Relationship Id="rId1780" Type="http://schemas.openxmlformats.org/officeDocument/2006/relationships/hyperlink" Target="https://marketplace.daloopa.com/text-fundamental?id=59695235&amp;value=3976&amp;" TargetMode="External"/><Relationship Id="rId1878" Type="http://schemas.openxmlformats.org/officeDocument/2006/relationships/hyperlink" Target="https://www.daloopa.com/src/58816111" TargetMode="External"/><Relationship Id="rId2624" Type="http://schemas.openxmlformats.org/officeDocument/2006/relationships/hyperlink" Target="https://marketplace.daloopa.com/text-fundamental?id=58990173&amp;value=1777&amp;" TargetMode="External"/><Relationship Id="rId2831" Type="http://schemas.openxmlformats.org/officeDocument/2006/relationships/hyperlink" Target="https://marketplace.daloopa.com/text-fundamental?id=58978591&amp;value=-11102&amp;id=58978539&amp;value=-26345&amp;id=58978970&amp;value=-15111&amp;id=58978554&amp;value=-10756&amp;id=58978546&amp;value=-10319&amp;id=58978530&amp;value=-9879&amp;id=58978509&amp;value=-9434&amp;id=59371998&amp;value=-8985&amp;" TargetMode="External"/><Relationship Id="rId72" Type="http://schemas.openxmlformats.org/officeDocument/2006/relationships/hyperlink" Target="https://www.daloopa.com/src/59066728" TargetMode="External"/><Relationship Id="rId803" Type="http://schemas.openxmlformats.org/officeDocument/2006/relationships/hyperlink" Target="https://www.daloopa.com/src/59368487" TargetMode="External"/><Relationship Id="rId1226" Type="http://schemas.openxmlformats.org/officeDocument/2006/relationships/hyperlink" Target="https://www.daloopa.com/src/58931036" TargetMode="External"/><Relationship Id="rId1433" Type="http://schemas.openxmlformats.org/officeDocument/2006/relationships/hyperlink" Target="https://marketplace.daloopa.com/text-fundamental?id=58933753&amp;value=80746&amp;id=58934117&amp;value=129777&amp;id=58931047&amp;value=117010&amp;id=58931072&amp;value=123782&amp;id=58931076&amp;value=152970&amp;id=58865948&amp;value=113484&amp;id=58815932&amp;value=257278&amp;id=58815944&amp;value=275688&amp;id=58815970&amp;value=292790&amp;id=58816008&amp;value=307919&amp;id=59368521&amp;value=352480&amp;" TargetMode="External"/><Relationship Id="rId1640" Type="http://schemas.openxmlformats.org/officeDocument/2006/relationships/hyperlink" Target="https://www.daloopa.com/src/58809474" TargetMode="External"/><Relationship Id="rId1738" Type="http://schemas.openxmlformats.org/officeDocument/2006/relationships/hyperlink" Target="https://www.daloopa.com/src/59736833" TargetMode="External"/><Relationship Id="rId1500" Type="http://schemas.openxmlformats.org/officeDocument/2006/relationships/hyperlink" Target="https://marketplace.daloopa.com/text-fundamental?id=58932346&amp;value=10533&amp;" TargetMode="External"/><Relationship Id="rId1945" Type="http://schemas.openxmlformats.org/officeDocument/2006/relationships/hyperlink" Target="https://marketplace.daloopa.com/text-fundamental?id=58936786&amp;value=9327&amp;id=58936800&amp;value=17573&amp;id=58936809&amp;value=17742&amp;id=58936830&amp;value=16407&amp;id=58936947&amp;value=61049&amp;id=58936844&amp;value=6241&amp;id=58935493&amp;value=16432&amp;id=58935515&amp;value=30013&amp;id=58935521&amp;value=33310&amp;id=58935542&amp;value=85996&amp;id=58874703&amp;value=27595&amp;id=58816112&amp;value=46093&amp;id=58816126&amp;value=55612&amp;id=58809648&amp;value=62277&amp;id=58809720&amp;value=191577&amp;id=58802511&amp;value=44716&amp;id=59368540&amp;value=50675&amp;" TargetMode="External"/><Relationship Id="rId1805" Type="http://schemas.openxmlformats.org/officeDocument/2006/relationships/hyperlink" Target="https://www.daloopa.com/src/58874695" TargetMode="External"/><Relationship Id="rId179" Type="http://schemas.openxmlformats.org/officeDocument/2006/relationships/hyperlink" Target="https://www.daloopa.com/src/59373926" TargetMode="External"/><Relationship Id="rId386" Type="http://schemas.openxmlformats.org/officeDocument/2006/relationships/hyperlink" Target="https://www.daloopa.com/src/58881600" TargetMode="External"/><Relationship Id="rId593" Type="http://schemas.openxmlformats.org/officeDocument/2006/relationships/hyperlink" Target="https://marketplace.daloopa.com/text-fundamental?id=58881559&amp;value=3189&amp;" TargetMode="External"/><Relationship Id="rId2067" Type="http://schemas.openxmlformats.org/officeDocument/2006/relationships/hyperlink" Target="https://www.daloopa.com/src/58935600" TargetMode="External"/><Relationship Id="rId2274" Type="http://schemas.openxmlformats.org/officeDocument/2006/relationships/hyperlink" Target="https://www.daloopa.com/src/59371336" TargetMode="External"/><Relationship Id="rId2481" Type="http://schemas.openxmlformats.org/officeDocument/2006/relationships/hyperlink" Target="https://www.daloopa.com/src/58988122" TargetMode="External"/><Relationship Id="rId246" Type="http://schemas.openxmlformats.org/officeDocument/2006/relationships/hyperlink" Target="https://www.daloopa.com/src/58947491" TargetMode="External"/><Relationship Id="rId453" Type="http://schemas.openxmlformats.org/officeDocument/2006/relationships/hyperlink" Target="https://www.daloopa.com/src/59368442" TargetMode="External"/><Relationship Id="rId660" Type="http://schemas.openxmlformats.org/officeDocument/2006/relationships/hyperlink" Target="https://www.daloopa.com/src/58800564" TargetMode="External"/><Relationship Id="rId898" Type="http://schemas.openxmlformats.org/officeDocument/2006/relationships/hyperlink" Target="https://www.daloopa.com/src/58815530" TargetMode="External"/><Relationship Id="rId1083" Type="http://schemas.openxmlformats.org/officeDocument/2006/relationships/hyperlink" Target="https://www.daloopa.com/src/58815842" TargetMode="External"/><Relationship Id="rId1290" Type="http://schemas.openxmlformats.org/officeDocument/2006/relationships/hyperlink" Target="https://www.daloopa.com/src/58815954" TargetMode="External"/><Relationship Id="rId2134" Type="http://schemas.openxmlformats.org/officeDocument/2006/relationships/hyperlink" Target="https://www.daloopa.com/src/58935565" TargetMode="External"/><Relationship Id="rId2341" Type="http://schemas.openxmlformats.org/officeDocument/2006/relationships/hyperlink" Target="https://www.daloopa.com/src/58979869" TargetMode="External"/><Relationship Id="rId2579" Type="http://schemas.openxmlformats.org/officeDocument/2006/relationships/hyperlink" Target="https://www.daloopa.com/src/58988234" TargetMode="External"/><Relationship Id="rId2786" Type="http://schemas.openxmlformats.org/officeDocument/2006/relationships/hyperlink" Target="https://www.daloopa.com/src/59006353" TargetMode="External"/><Relationship Id="rId106" Type="http://schemas.openxmlformats.org/officeDocument/2006/relationships/hyperlink" Target="https://www.daloopa.com/src/59068031" TargetMode="External"/><Relationship Id="rId313" Type="http://schemas.openxmlformats.org/officeDocument/2006/relationships/hyperlink" Target="https://www.daloopa.com/src/58873629" TargetMode="External"/><Relationship Id="rId758" Type="http://schemas.openxmlformats.org/officeDocument/2006/relationships/hyperlink" Target="https://www.daloopa.com/src/58815492" TargetMode="External"/><Relationship Id="rId965" Type="http://schemas.openxmlformats.org/officeDocument/2006/relationships/hyperlink" Target="https://www.daloopa.com/src/58815845" TargetMode="External"/><Relationship Id="rId1150" Type="http://schemas.openxmlformats.org/officeDocument/2006/relationships/hyperlink" Target="https://marketplace.daloopa.com/text-fundamental?id=58933608&amp;value=836&amp;id=59379373&amp;value=836&amp;id=58934064&amp;value=-3207&amp;id=58930725&amp;value=2818&amp;id=58930822&amp;value=1546&amp;id=58930918&amp;value=-331&amp;id=59379374&amp;value=826&amp;id=58865899&amp;value=363&amp;id=58815866&amp;value=182&amp;id=58815836&amp;value=-36&amp;id=58815807&amp;value=-596&amp;id=59379375&amp;value=-87&amp;id=58800692&amp;value=-26&amp;id=59368499&amp;value=583&amp;" TargetMode="External"/><Relationship Id="rId1388" Type="http://schemas.openxmlformats.org/officeDocument/2006/relationships/hyperlink" Target="https://www.daloopa.com/src/59379416" TargetMode="External"/><Relationship Id="rId1595" Type="http://schemas.openxmlformats.org/officeDocument/2006/relationships/hyperlink" Target="https://www.daloopa.com/src/58816049" TargetMode="External"/><Relationship Id="rId2439" Type="http://schemas.openxmlformats.org/officeDocument/2006/relationships/hyperlink" Target="https://www.daloopa.com/src/58985431" TargetMode="External"/><Relationship Id="rId2646" Type="http://schemas.openxmlformats.org/officeDocument/2006/relationships/hyperlink" Target="https://www.daloopa.com/src/59372551" TargetMode="External"/><Relationship Id="rId2853" Type="http://schemas.openxmlformats.org/officeDocument/2006/relationships/hyperlink" Target="https://www.daloopa.com/src/59373928" TargetMode="External"/><Relationship Id="rId94" Type="http://schemas.openxmlformats.org/officeDocument/2006/relationships/hyperlink" Target="https://www.daloopa.com/src/59068024" TargetMode="External"/><Relationship Id="rId520" Type="http://schemas.openxmlformats.org/officeDocument/2006/relationships/hyperlink" Target="https://www.daloopa.com/src/58815179" TargetMode="External"/><Relationship Id="rId618" Type="http://schemas.openxmlformats.org/officeDocument/2006/relationships/hyperlink" Target="https://www.daloopa.com/src/58881569" TargetMode="External"/><Relationship Id="rId825" Type="http://schemas.openxmlformats.org/officeDocument/2006/relationships/hyperlink" Target="https://www.daloopa.com/src/58930009" TargetMode="External"/><Relationship Id="rId1248" Type="http://schemas.openxmlformats.org/officeDocument/2006/relationships/hyperlink" Target="https://www.daloopa.com/src/58800712" TargetMode="External"/><Relationship Id="rId1455" Type="http://schemas.openxmlformats.org/officeDocument/2006/relationships/hyperlink" Target="https://www.daloopa.com/src/58816028" TargetMode="External"/><Relationship Id="rId1662" Type="http://schemas.openxmlformats.org/officeDocument/2006/relationships/hyperlink" Target="https://www.daloopa.com/src/58936384" TargetMode="External"/><Relationship Id="rId2201" Type="http://schemas.openxmlformats.org/officeDocument/2006/relationships/hyperlink" Target="https://marketplace.daloopa.com/text-fundamental?id=58941045&amp;value=149686460&amp;" TargetMode="External"/><Relationship Id="rId2506" Type="http://schemas.openxmlformats.org/officeDocument/2006/relationships/hyperlink" Target="https://marketplace.daloopa.com/text-fundamental?id=58988193&amp;value=2049&amp;id=58988183&amp;value=-17218&amp;id=58988178&amp;value=-2817&amp;" TargetMode="External"/><Relationship Id="rId1010" Type="http://schemas.openxmlformats.org/officeDocument/2006/relationships/hyperlink" Target="https://www.daloopa.com/src/58815828" TargetMode="External"/><Relationship Id="rId1108" Type="http://schemas.openxmlformats.org/officeDocument/2006/relationships/hyperlink" Target="https://www.daloopa.com/src/58865898" TargetMode="External"/><Relationship Id="rId1315" Type="http://schemas.openxmlformats.org/officeDocument/2006/relationships/hyperlink" Target="https://www.daloopa.com/src/58934115" TargetMode="External"/><Relationship Id="rId1967" Type="http://schemas.openxmlformats.org/officeDocument/2006/relationships/hyperlink" Target="https://www.daloopa.com/src/58936824" TargetMode="External"/><Relationship Id="rId2713" Type="http://schemas.openxmlformats.org/officeDocument/2006/relationships/hyperlink" Target="https://marketplace.daloopa.com/text-fundamental?id=58992569&amp;value=1236&amp;id=59372604&amp;value=1584&amp;" TargetMode="External"/><Relationship Id="rId2920" Type="http://schemas.openxmlformats.org/officeDocument/2006/relationships/hyperlink" Target="https://www.daloopa.com/src/59373958" TargetMode="External"/><Relationship Id="rId1522" Type="http://schemas.openxmlformats.org/officeDocument/2006/relationships/hyperlink" Target="https://marketplace.daloopa.com/text-fundamental?id=58932336&amp;value=4102&amp;" TargetMode="External"/><Relationship Id="rId21" Type="http://schemas.openxmlformats.org/officeDocument/2006/relationships/hyperlink" Target="https://www.daloopa.com/src/58804636" TargetMode="External"/><Relationship Id="rId2089" Type="http://schemas.openxmlformats.org/officeDocument/2006/relationships/hyperlink" Target="https://www.daloopa.com/src/59368547" TargetMode="External"/><Relationship Id="rId2296" Type="http://schemas.openxmlformats.org/officeDocument/2006/relationships/hyperlink" Target="https://www.daloopa.com/src/59152840" TargetMode="External"/><Relationship Id="rId268" Type="http://schemas.openxmlformats.org/officeDocument/2006/relationships/hyperlink" Target="https://www.daloopa.com/src/58976352" TargetMode="External"/><Relationship Id="rId475" Type="http://schemas.openxmlformats.org/officeDocument/2006/relationships/hyperlink" Target="https://marketplace.daloopa.com/text-fundamental?id=58882221&amp;value=3196&amp;id=58882144&amp;value=10720&amp;id=58881407&amp;value=11587&amp;id=58881391&amp;value=8747&amp;id=58881590&amp;value=34250&amp;id=59581274&amp;value=-21814&amp;id=58873621&amp;value=-16366&amp;id=58873659&amp;value=-3452&amp;id=58873700&amp;value=-5860&amp;id=58881252&amp;value=-47492&amp;id=58864789&amp;value=-19389&amp;id=58815453&amp;value=3770&amp;id=58815142&amp;value=16285&amp;id=58804875&amp;value=15385&amp;id=58815182&amp;value=16051&amp;id=58800414&amp;value=13013&amp;id=59368460&amp;value=14236&amp;" TargetMode="External"/><Relationship Id="rId682" Type="http://schemas.openxmlformats.org/officeDocument/2006/relationships/hyperlink" Target="https://www.daloopa.com/src/58873732" TargetMode="External"/><Relationship Id="rId2156" Type="http://schemas.openxmlformats.org/officeDocument/2006/relationships/hyperlink" Target="https://www.daloopa.com/src/58935573" TargetMode="External"/><Relationship Id="rId2363" Type="http://schemas.openxmlformats.org/officeDocument/2006/relationships/hyperlink" Target="https://www.daloopa.com/src/59372017" TargetMode="External"/><Relationship Id="rId2570" Type="http://schemas.openxmlformats.org/officeDocument/2006/relationships/hyperlink" Target="https://marketplace.daloopa.com/text-fundamental?id=58988244&amp;value=-0.006&amp;id=58988230&amp;value=-0.0024&amp;id=58988212&amp;value=-0.0001&amp;" TargetMode="External"/><Relationship Id="rId128" Type="http://schemas.openxmlformats.org/officeDocument/2006/relationships/hyperlink" Target="https://www.daloopa.com/src/59730432" TargetMode="External"/><Relationship Id="rId335" Type="http://schemas.openxmlformats.org/officeDocument/2006/relationships/hyperlink" Target="https://www.daloopa.com/src/59368459" TargetMode="External"/><Relationship Id="rId542" Type="http://schemas.openxmlformats.org/officeDocument/2006/relationships/hyperlink" Target="https://www.daloopa.com/src/58804860" TargetMode="External"/><Relationship Id="rId1172" Type="http://schemas.openxmlformats.org/officeDocument/2006/relationships/hyperlink" Target="https://www.daloopa.com/src/58815865" TargetMode="External"/><Relationship Id="rId2016" Type="http://schemas.openxmlformats.org/officeDocument/2006/relationships/hyperlink" Target="https://www.daloopa.com/src/59695631" TargetMode="External"/><Relationship Id="rId2223" Type="http://schemas.openxmlformats.org/officeDocument/2006/relationships/hyperlink" Target="https://marketplace.daloopa.com/text-fundamental?id=58944812&amp;value=56607&amp;id=58944662&amp;value=14438&amp;id=58945170&amp;value=18610&amp;id=58944651&amp;value=26876&amp;id=58944624&amp;value=31824&amp;id=58944579&amp;value=37326&amp;id=58944616&amp;value=38049&amp;id=59370354&amp;value=44192&amp;" TargetMode="External"/><Relationship Id="rId2430" Type="http://schemas.openxmlformats.org/officeDocument/2006/relationships/hyperlink" Target="https://www.daloopa.com/src/58985454" TargetMode="External"/><Relationship Id="rId402" Type="http://schemas.openxmlformats.org/officeDocument/2006/relationships/hyperlink" Target="https://www.daloopa.com/src/58881260" TargetMode="External"/><Relationship Id="rId1032" Type="http://schemas.openxmlformats.org/officeDocument/2006/relationships/hyperlink" Target="https://marketplace.daloopa.com/text-fundamental?id=58933610&amp;value=-23&amp;id=59379350&amp;value=-23&amp;id=58934078&amp;value=1&amp;id=58930733&amp;value=62&amp;id=58930831&amp;value=-22&amp;id=58930911&amp;value=-22&amp;id=59379351&amp;value=19&amp;id=58865910&amp;value=1&amp;id=58815869&amp;value=80&amp;id=58815834&amp;value=-1&amp;id=58815817&amp;value=-4&amp;id=59379352&amp;value=76&amp;id=58800680&amp;value=163&amp;id=59368494&amp;value=-1&amp;" TargetMode="External"/><Relationship Id="rId1989" Type="http://schemas.openxmlformats.org/officeDocument/2006/relationships/hyperlink" Target="https://www.daloopa.com/src/58935524" TargetMode="External"/><Relationship Id="rId1849" Type="http://schemas.openxmlformats.org/officeDocument/2006/relationships/hyperlink" Target="https://www.daloopa.com/src/58809712" TargetMode="External"/><Relationship Id="rId192" Type="http://schemas.openxmlformats.org/officeDocument/2006/relationships/hyperlink" Target="https://www.daloopa.com/src/59371407" TargetMode="External"/><Relationship Id="rId1709" Type="http://schemas.openxmlformats.org/officeDocument/2006/relationships/hyperlink" Target="https://www.daloopa.com/src/58874666" TargetMode="External"/><Relationship Id="rId1916" Type="http://schemas.openxmlformats.org/officeDocument/2006/relationships/hyperlink" Target="https://www.daloopa.com/src/59368542" TargetMode="External"/><Relationship Id="rId2080" Type="http://schemas.openxmlformats.org/officeDocument/2006/relationships/hyperlink" Target="https://www.daloopa.com/src/59751937" TargetMode="External"/><Relationship Id="rId2897" Type="http://schemas.openxmlformats.org/officeDocument/2006/relationships/hyperlink" Target="https://www.daloopa.com/src/59091492" TargetMode="External"/><Relationship Id="rId869" Type="http://schemas.openxmlformats.org/officeDocument/2006/relationships/hyperlink" Target="https://www.daloopa.com/src/59368489" TargetMode="External"/><Relationship Id="rId1499" Type="http://schemas.openxmlformats.org/officeDocument/2006/relationships/hyperlink" Target="https://www.daloopa.com/src/58932348" TargetMode="External"/><Relationship Id="rId729" Type="http://schemas.openxmlformats.org/officeDocument/2006/relationships/hyperlink" Target="https://www.daloopa.com/src/58815478" TargetMode="External"/><Relationship Id="rId1359" Type="http://schemas.openxmlformats.org/officeDocument/2006/relationships/hyperlink" Target="https://www.daloopa.com/src/58815952" TargetMode="External"/><Relationship Id="rId2757" Type="http://schemas.openxmlformats.org/officeDocument/2006/relationships/hyperlink" Target="https://marketplace.daloopa.com/text-fundamental?id=59005217&amp;value=-105710&amp;id=59006032&amp;value=-65549&amp;id=59005136&amp;value=-81992&amp;id=59005356&amp;value=-98359&amp;id=59005299&amp;value=-114572&amp;id=59005530&amp;value=-130758&amp;id=59005259&amp;value=-145983&amp;id=59371639&amp;value=-160169&amp;" TargetMode="External"/><Relationship Id="rId936" Type="http://schemas.openxmlformats.org/officeDocument/2006/relationships/hyperlink" Target="https://marketplace.daloopa.com/text-fundamental?id=58933597&amp;value=25953&amp;id=59379331&amp;value=25953&amp;id=58934077&amp;value=24487&amp;id=58930739&amp;value=36572&amp;id=58930825&amp;value=36756&amp;id=58930923&amp;value=37242&amp;id=59379332&amp;value=135057&amp;id=58865901&amp;value=34763&amp;id=58815857&amp;value=35918&amp;id=58815839&amp;value=35812&amp;id=58815802&amp;value=36322&amp;id=59379333&amp;value=142815&amp;id=58800687&amp;value=34034&amp;id=59368506&amp;value=34407&amp;" TargetMode="External"/><Relationship Id="rId1219" Type="http://schemas.openxmlformats.org/officeDocument/2006/relationships/hyperlink" Target="https://marketplace.daloopa.com/text-fundamental?id=58933718&amp;value=34&amp;id=59379386&amp;value=34&amp;id=59368511&amp;value=82&amp;" TargetMode="External"/><Relationship Id="rId1566" Type="http://schemas.openxmlformats.org/officeDocument/2006/relationships/hyperlink" Target="https://marketplace.daloopa.com/text-fundamental?id=58936243&amp;value=3196&amp;id=58936254&amp;value=10720&amp;id=58936271&amp;value=11587&amp;id=58936279&amp;value=8747&amp;id=58936403&amp;value=34250&amp;id=58936388&amp;value=-21814&amp;id=58934470&amp;value=-16366&amp;id=58934395&amp;value=-3452&amp;id=58934406&amp;value=-5860&amp;id=58934451&amp;value=-47492&amp;id=58874660&amp;value=-19389&amp;id=58816059&amp;value=3770&amp;id=58816046&amp;value=16285&amp;id=58809370&amp;value=15385&amp;id=58809471&amp;value=16051&amp;id=58800873&amp;value=13013&amp;id=59368535&amp;value=14236&amp;" TargetMode="External"/><Relationship Id="rId1773" Type="http://schemas.openxmlformats.org/officeDocument/2006/relationships/hyperlink" Target="https://www.daloopa.com/src/59695236" TargetMode="External"/><Relationship Id="rId1980" Type="http://schemas.openxmlformats.org/officeDocument/2006/relationships/hyperlink" Target="https://www.daloopa.com/src/58809717" TargetMode="External"/><Relationship Id="rId2617" Type="http://schemas.openxmlformats.org/officeDocument/2006/relationships/hyperlink" Target="https://www.daloopa.com/src/59372878" TargetMode="External"/><Relationship Id="rId2824" Type="http://schemas.openxmlformats.org/officeDocument/2006/relationships/hyperlink" Target="https://marketplace.daloopa.com/text-fundamental?id=58978593&amp;value=551941&amp;id=58978536&amp;value=804950&amp;id=58978971&amp;value=757019&amp;id=58978553&amp;value=564724&amp;id=58978547&amp;value=564724&amp;id=58978532&amp;value=564724&amp;" TargetMode="External"/><Relationship Id="rId65" Type="http://schemas.openxmlformats.org/officeDocument/2006/relationships/hyperlink" Target="https://www.daloopa.com/src/59066587" TargetMode="External"/><Relationship Id="rId1426" Type="http://schemas.openxmlformats.org/officeDocument/2006/relationships/hyperlink" Target="https://www.daloopa.com/src/58931077" TargetMode="External"/><Relationship Id="rId1633" Type="http://schemas.openxmlformats.org/officeDocument/2006/relationships/hyperlink" Target="https://www.daloopa.com/src/58800877" TargetMode="External"/><Relationship Id="rId1840" Type="http://schemas.openxmlformats.org/officeDocument/2006/relationships/hyperlink" Target="https://www.daloopa.com/src/58935527" TargetMode="External"/><Relationship Id="rId1700" Type="http://schemas.openxmlformats.org/officeDocument/2006/relationships/hyperlink" Target="https://marketplace.daloopa.com/text-fundamental?id=58936245&amp;value=25092&amp;id=58936256&amp;value=33362&amp;id=58936269&amp;value=33491&amp;id=58936282&amp;value=31828&amp;id=58936401&amp;value=123773&amp;id=58936389&amp;value=20189&amp;id=58934461&amp;value=31655&amp;id=58934387&amp;value=43287&amp;id=58934404&amp;value=44645&amp;id=58934443&amp;value=139776&amp;id=58874666&amp;value=36590&amp;id=58816064&amp;value=56322&amp;id=58816048&amp;value=63944&amp;id=58809366&amp;value=69438&amp;id=58809481&amp;value=226294&amp;id=58800872&amp;value=53600&amp;id=59368529&amp;value=60834&amp;" TargetMode="External"/><Relationship Id="rId379" Type="http://schemas.openxmlformats.org/officeDocument/2006/relationships/hyperlink" Target="https://www.daloopa.com/src/58873705" TargetMode="External"/><Relationship Id="rId586" Type="http://schemas.openxmlformats.org/officeDocument/2006/relationships/hyperlink" Target="https://www.daloopa.com/src/58881607" TargetMode="External"/><Relationship Id="rId793" Type="http://schemas.openxmlformats.org/officeDocument/2006/relationships/hyperlink" Target="https://www.daloopa.com/src/58873790" TargetMode="External"/><Relationship Id="rId2267" Type="http://schemas.openxmlformats.org/officeDocument/2006/relationships/hyperlink" Target="https://www.daloopa.com/src/59370352" TargetMode="External"/><Relationship Id="rId2474" Type="http://schemas.openxmlformats.org/officeDocument/2006/relationships/hyperlink" Target="https://marketplace.daloopa.com/text-fundamental?id=58988047&amp;value=780&amp;" TargetMode="External"/><Relationship Id="rId2681" Type="http://schemas.openxmlformats.org/officeDocument/2006/relationships/hyperlink" Target="https://marketplace.daloopa.com/text-fundamental?id=58992292&amp;value=1653&amp;id=58990261&amp;value=1236&amp;id=59372596&amp;value=1584&amp;" TargetMode="External"/><Relationship Id="rId239" Type="http://schemas.openxmlformats.org/officeDocument/2006/relationships/hyperlink" Target="https://www.daloopa.com/src/58947531" TargetMode="External"/><Relationship Id="rId446" Type="http://schemas.openxmlformats.org/officeDocument/2006/relationships/hyperlink" Target="https://www.daloopa.com/src/58873661" TargetMode="External"/><Relationship Id="rId653" Type="http://schemas.openxmlformats.org/officeDocument/2006/relationships/hyperlink" Target="https://marketplace.daloopa.com/text-fundamental?id=58930158&amp;value=1326&amp;id=58873736&amp;value=1267&amp;id=58929981&amp;value=844&amp;id=58815488&amp;value=1352&amp;id=58815505&amp;value=958&amp;id=58805150&amp;value=941&amp;id=58800564&amp;value=927&amp;id=59368472&amp;value=904&amp;" TargetMode="External"/><Relationship Id="rId1076" Type="http://schemas.openxmlformats.org/officeDocument/2006/relationships/hyperlink" Target="https://www.daloopa.com/src/58933599" TargetMode="External"/><Relationship Id="rId1283" Type="http://schemas.openxmlformats.org/officeDocument/2006/relationships/hyperlink" Target="https://marketplace.daloopa.com/text-fundamental?id=58934109&amp;value=59423&amp;id=58931046&amp;value=0&amp;id=58931069&amp;value=0&amp;id=58931081&amp;value=0&amp;id=59379399&amp;value=59423&amp;id=58815928&amp;value=241&amp;id=58815937&amp;value=0&amp;id=58815954&amp;value=0&amp;id=59379400&amp;value=241&amp;" TargetMode="External"/><Relationship Id="rId1490" Type="http://schemas.openxmlformats.org/officeDocument/2006/relationships/hyperlink" Target="https://www.daloopa.com/src/58816030" TargetMode="External"/><Relationship Id="rId2127" Type="http://schemas.openxmlformats.org/officeDocument/2006/relationships/hyperlink" Target="https://www.daloopa.com/src/58940289" TargetMode="External"/><Relationship Id="rId2334" Type="http://schemas.openxmlformats.org/officeDocument/2006/relationships/hyperlink" Target="https://www.daloopa.com/src/58979822" TargetMode="External"/><Relationship Id="rId306" Type="http://schemas.openxmlformats.org/officeDocument/2006/relationships/hyperlink" Target="https://www.daloopa.com/src/58800413" TargetMode="External"/><Relationship Id="rId860" Type="http://schemas.openxmlformats.org/officeDocument/2006/relationships/hyperlink" Target="https://www.daloopa.com/src/58800593" TargetMode="External"/><Relationship Id="rId1143" Type="http://schemas.openxmlformats.org/officeDocument/2006/relationships/hyperlink" Target="https://www.daloopa.com/src/59368498" TargetMode="External"/><Relationship Id="rId2541" Type="http://schemas.openxmlformats.org/officeDocument/2006/relationships/hyperlink" Target="https://www.daloopa.com/src/58988251" TargetMode="External"/><Relationship Id="rId513" Type="http://schemas.openxmlformats.org/officeDocument/2006/relationships/hyperlink" Target="https://www.daloopa.com/src/58815464" TargetMode="External"/><Relationship Id="rId720" Type="http://schemas.openxmlformats.org/officeDocument/2006/relationships/hyperlink" Target="https://www.daloopa.com/src/58815490" TargetMode="External"/><Relationship Id="rId1350" Type="http://schemas.openxmlformats.org/officeDocument/2006/relationships/hyperlink" Target="https://www.daloopa.com/src/58815950" TargetMode="External"/><Relationship Id="rId2401" Type="http://schemas.openxmlformats.org/officeDocument/2006/relationships/hyperlink" Target="https://marketplace.daloopa.com/text-fundamental?id=58987741&amp;value=1381&amp;id=58985453&amp;value=3997&amp;id=58985423&amp;value=2346&amp;" TargetMode="External"/><Relationship Id="rId1003" Type="http://schemas.openxmlformats.org/officeDocument/2006/relationships/hyperlink" Target="https://www.daloopa.com/src/58933604" TargetMode="External"/><Relationship Id="rId1210" Type="http://schemas.openxmlformats.org/officeDocument/2006/relationships/hyperlink" Target="https://www.daloopa.com/src/59379384" TargetMode="External"/><Relationship Id="rId2191" Type="http://schemas.openxmlformats.org/officeDocument/2006/relationships/hyperlink" Target="https://marketplace.daloopa.com/text-fundamental?id=58941040&amp;value=0.15&amp;" TargetMode="External"/><Relationship Id="rId163" Type="http://schemas.openxmlformats.org/officeDocument/2006/relationships/hyperlink" Target="https://www.daloopa.com/src/59083036" TargetMode="External"/><Relationship Id="rId370" Type="http://schemas.openxmlformats.org/officeDocument/2006/relationships/hyperlink" Target="https://www.daloopa.com/src/58815183" TargetMode="External"/><Relationship Id="rId2051" Type="http://schemas.openxmlformats.org/officeDocument/2006/relationships/hyperlink" Target="https://marketplace.daloopa.com/text-fundamental?id=58940284&amp;value=0.02&amp;id=59751935&amp;value=-0.009999999999999998&amp;id=58935599&amp;value=0.01&amp;id=58935587&amp;value=0.01&amp;id=58935559&amp;value=0.01&amp;id=58935581&amp;value=0.02&amp;id=58874715&amp;value=0.11&amp;id=58816147&amp;value=0.03&amp;id=58816138&amp;value=0&amp;id=58809912&amp;value=0&amp;id=58810053&amp;value=0.14&amp;id=58804542&amp;value=-0.03&amp;id=59368556&amp;value=-0.01&amp;" TargetMode="External"/><Relationship Id="rId230" Type="http://schemas.openxmlformats.org/officeDocument/2006/relationships/hyperlink" Target="https://www.daloopa.com/src/58947591" TargetMode="External"/><Relationship Id="rId2868" Type="http://schemas.openxmlformats.org/officeDocument/2006/relationships/hyperlink" Target="https://www.daloopa.com/src/59084775" TargetMode="External"/><Relationship Id="rId1677" Type="http://schemas.openxmlformats.org/officeDocument/2006/relationships/hyperlink" Target="https://www.daloopa.com/src/58934389" TargetMode="External"/><Relationship Id="rId1884" Type="http://schemas.openxmlformats.org/officeDocument/2006/relationships/hyperlink" Target="https://www.daloopa.com/src/58935544" TargetMode="External"/><Relationship Id="rId2728" Type="http://schemas.openxmlformats.org/officeDocument/2006/relationships/hyperlink" Target="https://www.daloopa.com/src/59004677" TargetMode="External"/><Relationship Id="rId907" Type="http://schemas.openxmlformats.org/officeDocument/2006/relationships/hyperlink" Target="https://www.daloopa.com/src/58815535" TargetMode="External"/><Relationship Id="rId1537" Type="http://schemas.openxmlformats.org/officeDocument/2006/relationships/hyperlink" Target="https://www.daloopa.com/src/58932379" TargetMode="External"/><Relationship Id="rId1744" Type="http://schemas.openxmlformats.org/officeDocument/2006/relationships/hyperlink" Target="https://www.daloopa.com/src/59736552" TargetMode="External"/><Relationship Id="rId1951" Type="http://schemas.openxmlformats.org/officeDocument/2006/relationships/hyperlink" Target="https://www.daloopa.com/src/58935493" TargetMode="External"/><Relationship Id="rId36" Type="http://schemas.openxmlformats.org/officeDocument/2006/relationships/hyperlink" Target="https://www.daloopa.com/src/58816164" TargetMode="External"/><Relationship Id="rId1604" Type="http://schemas.openxmlformats.org/officeDocument/2006/relationships/hyperlink" Target="https://www.daloopa.com/src/58936257" TargetMode="External"/><Relationship Id="rId1811" Type="http://schemas.openxmlformats.org/officeDocument/2006/relationships/hyperlink" Target="https://www.daloopa.com/src/58936948" TargetMode="External"/><Relationship Id="rId697" Type="http://schemas.openxmlformats.org/officeDocument/2006/relationships/hyperlink" Target="https://www.daloopa.com/src/59368467" TargetMode="External"/><Relationship Id="rId2378" Type="http://schemas.openxmlformats.org/officeDocument/2006/relationships/hyperlink" Target="https://www.daloopa.com/src/58987742" TargetMode="External"/><Relationship Id="rId1187" Type="http://schemas.openxmlformats.org/officeDocument/2006/relationships/hyperlink" Target="https://www.daloopa.com/src/58930821" TargetMode="External"/><Relationship Id="rId2585" Type="http://schemas.openxmlformats.org/officeDocument/2006/relationships/hyperlink" Target="https://www.daloopa.com/src/58988236" TargetMode="External"/><Relationship Id="rId2792" Type="http://schemas.openxmlformats.org/officeDocument/2006/relationships/hyperlink" Target="https://www.daloopa.com/src/59371643" TargetMode="External"/><Relationship Id="rId557" Type="http://schemas.openxmlformats.org/officeDocument/2006/relationships/hyperlink" Target="https://www.daloopa.com/src/58800409" TargetMode="External"/><Relationship Id="rId764" Type="http://schemas.openxmlformats.org/officeDocument/2006/relationships/hyperlink" Target="https://www.daloopa.com/src/58873797" TargetMode="External"/><Relationship Id="rId971" Type="http://schemas.openxmlformats.org/officeDocument/2006/relationships/hyperlink" Target="https://www.daloopa.com/src/59379337" TargetMode="External"/><Relationship Id="rId1394" Type="http://schemas.openxmlformats.org/officeDocument/2006/relationships/hyperlink" Target="https://www.daloopa.com/src/58931052" TargetMode="External"/><Relationship Id="rId2238" Type="http://schemas.openxmlformats.org/officeDocument/2006/relationships/hyperlink" Target="https://www.daloopa.com/src/58944578" TargetMode="External"/><Relationship Id="rId2445" Type="http://schemas.openxmlformats.org/officeDocument/2006/relationships/hyperlink" Target="https://www.daloopa.com/src/59066129" TargetMode="External"/><Relationship Id="rId2652" Type="http://schemas.openxmlformats.org/officeDocument/2006/relationships/hyperlink" Target="https://marketplace.daloopa.com/text-fundamental?id=58990177&amp;value=-1679&amp;id=58990066&amp;value=-884&amp;" TargetMode="External"/><Relationship Id="rId417" Type="http://schemas.openxmlformats.org/officeDocument/2006/relationships/hyperlink" Target="https://www.daloopa.com/src/58881264" TargetMode="External"/><Relationship Id="rId624" Type="http://schemas.openxmlformats.org/officeDocument/2006/relationships/hyperlink" Target="https://www.daloopa.com/src/58881575" TargetMode="External"/><Relationship Id="rId831" Type="http://schemas.openxmlformats.org/officeDocument/2006/relationships/hyperlink" Target="https://marketplace.daloopa.com/text-fundamental?id=58930185&amp;value=12820&amp;id=58873789&amp;value=86770&amp;id=58930007&amp;value=80969&amp;id=58815537&amp;value=81744&amp;id=58815526&amp;value=82163&amp;id=58805337&amp;value=84653&amp;id=58800595&amp;value=86490&amp;id=59368480&amp;value=87757&amp;" TargetMode="External"/><Relationship Id="rId1047" Type="http://schemas.openxmlformats.org/officeDocument/2006/relationships/hyperlink" Target="https://marketplace.daloopa.com/text-fundamental?id=58934072&amp;value=3977&amp;id=58930731&amp;value=1179&amp;id=58930830&amp;value=-744&amp;id=58930924&amp;value=-796&amp;id=59379353&amp;value=3616&amp;id=58865902&amp;value=-1032&amp;id=58815868&amp;value=79&amp;id=58815832&amp;value=108&amp;id=58815804&amp;value=-1439&amp;id=59379354&amp;value=-2284&amp;id=58800688&amp;value=-5260&amp;id=59368508&amp;value=-2118&amp;" TargetMode="External"/><Relationship Id="rId1254" Type="http://schemas.openxmlformats.org/officeDocument/2006/relationships/hyperlink" Target="https://www.daloopa.com/src/58933719" TargetMode="External"/><Relationship Id="rId1461" Type="http://schemas.openxmlformats.org/officeDocument/2006/relationships/hyperlink" Target="https://www.daloopa.com/src/58933758" TargetMode="External"/><Relationship Id="rId2305" Type="http://schemas.openxmlformats.org/officeDocument/2006/relationships/hyperlink" Target="https://www.daloopa.com/src/59148589" TargetMode="External"/><Relationship Id="rId2512" Type="http://schemas.openxmlformats.org/officeDocument/2006/relationships/hyperlink" Target="https://www.daloopa.com/src/58988184" TargetMode="External"/><Relationship Id="rId1114" Type="http://schemas.openxmlformats.org/officeDocument/2006/relationships/hyperlink" Target="https://www.daloopa.com/src/59379364" TargetMode="External"/><Relationship Id="rId1321" Type="http://schemas.openxmlformats.org/officeDocument/2006/relationships/hyperlink" Target="https://www.daloopa.com/src/58934107" TargetMode="External"/><Relationship Id="rId2095" Type="http://schemas.openxmlformats.org/officeDocument/2006/relationships/hyperlink" Target="https://www.daloopa.com/src/58935602" TargetMode="External"/><Relationship Id="rId274" Type="http://schemas.openxmlformats.org/officeDocument/2006/relationships/hyperlink" Target="https://www.daloopa.com/src/58976353" TargetMode="External"/><Relationship Id="rId481" Type="http://schemas.openxmlformats.org/officeDocument/2006/relationships/hyperlink" Target="https://www.daloopa.com/src/58873621" TargetMode="External"/><Relationship Id="rId2162" Type="http://schemas.openxmlformats.org/officeDocument/2006/relationships/hyperlink" Target="https://www.daloopa.com/src/58816144" TargetMode="External"/><Relationship Id="rId134" Type="http://schemas.openxmlformats.org/officeDocument/2006/relationships/hyperlink" Target="https://www.daloopa.com/src/59730562" TargetMode="External"/><Relationship Id="rId341" Type="http://schemas.openxmlformats.org/officeDocument/2006/relationships/hyperlink" Target="https://www.daloopa.com/src/58873624" TargetMode="External"/><Relationship Id="rId2022" Type="http://schemas.openxmlformats.org/officeDocument/2006/relationships/hyperlink" Target="https://www.daloopa.com/src/59695626" TargetMode="External"/><Relationship Id="rId201" Type="http://schemas.openxmlformats.org/officeDocument/2006/relationships/hyperlink" Target="https://www.daloopa.com/src/59373411" TargetMode="External"/><Relationship Id="rId1788" Type="http://schemas.openxmlformats.org/officeDocument/2006/relationships/hyperlink" Target="https://marketplace.daloopa.com/text-fundamental?id=59695226&amp;value=7022&amp;" TargetMode="External"/><Relationship Id="rId1995" Type="http://schemas.openxmlformats.org/officeDocument/2006/relationships/hyperlink" Target="https://www.daloopa.com/src/59368538" TargetMode="External"/><Relationship Id="rId2839" Type="http://schemas.openxmlformats.org/officeDocument/2006/relationships/hyperlink" Target="https://www.daloopa.com/src/59371998" TargetMode="External"/><Relationship Id="rId1648" Type="http://schemas.openxmlformats.org/officeDocument/2006/relationships/hyperlink" Target="https://www.daloopa.com/src/58934391" TargetMode="External"/><Relationship Id="rId1508" Type="http://schemas.openxmlformats.org/officeDocument/2006/relationships/hyperlink" Target="https://marketplace.daloopa.com/text-fundamental?id=58932333&amp;value=3976&amp;" TargetMode="External"/><Relationship Id="rId1855" Type="http://schemas.openxmlformats.org/officeDocument/2006/relationships/hyperlink" Target="https://www.daloopa.com/src/58936838" TargetMode="External"/><Relationship Id="rId2906" Type="http://schemas.openxmlformats.org/officeDocument/2006/relationships/hyperlink" Target="https://www.daloopa.com/src/59373955" TargetMode="External"/><Relationship Id="rId1715" Type="http://schemas.openxmlformats.org/officeDocument/2006/relationships/hyperlink" Target="https://www.daloopa.com/src/58936401" TargetMode="External"/><Relationship Id="rId1922" Type="http://schemas.openxmlformats.org/officeDocument/2006/relationships/hyperlink" Target="https://www.daloopa.com/src/58935510" TargetMode="External"/><Relationship Id="rId2489" Type="http://schemas.openxmlformats.org/officeDocument/2006/relationships/hyperlink" Target="https://www.daloopa.com/src/58988124" TargetMode="External"/><Relationship Id="rId2696" Type="http://schemas.openxmlformats.org/officeDocument/2006/relationships/hyperlink" Target="https://www.daloopa.com/src/58990265" TargetMode="External"/><Relationship Id="rId668" Type="http://schemas.openxmlformats.org/officeDocument/2006/relationships/hyperlink" Target="https://www.daloopa.com/src/58805148" TargetMode="External"/><Relationship Id="rId875" Type="http://schemas.openxmlformats.org/officeDocument/2006/relationships/hyperlink" Target="https://www.daloopa.com/src/58805325" TargetMode="External"/><Relationship Id="rId1298" Type="http://schemas.openxmlformats.org/officeDocument/2006/relationships/hyperlink" Target="https://www.daloopa.com/src/59379401" TargetMode="External"/><Relationship Id="rId2349" Type="http://schemas.openxmlformats.org/officeDocument/2006/relationships/hyperlink" Target="https://www.daloopa.com/src/59379445" TargetMode="External"/><Relationship Id="rId2556" Type="http://schemas.openxmlformats.org/officeDocument/2006/relationships/hyperlink" Target="https://www.daloopa.com/src/58988248" TargetMode="External"/><Relationship Id="rId2763" Type="http://schemas.openxmlformats.org/officeDocument/2006/relationships/hyperlink" Target="https://www.daloopa.com/src/59005530" TargetMode="External"/><Relationship Id="rId528" Type="http://schemas.openxmlformats.org/officeDocument/2006/relationships/hyperlink" Target="https://www.daloopa.com/src/58815139" TargetMode="External"/><Relationship Id="rId735" Type="http://schemas.openxmlformats.org/officeDocument/2006/relationships/hyperlink" Target="https://www.daloopa.com/src/58930150" TargetMode="External"/><Relationship Id="rId942" Type="http://schemas.openxmlformats.org/officeDocument/2006/relationships/hyperlink" Target="https://www.daloopa.com/src/58865901" TargetMode="External"/><Relationship Id="rId1158" Type="http://schemas.openxmlformats.org/officeDocument/2006/relationships/hyperlink" Target="https://www.daloopa.com/src/58815836" TargetMode="External"/><Relationship Id="rId1365" Type="http://schemas.openxmlformats.org/officeDocument/2006/relationships/hyperlink" Target="https://www.daloopa.com/src/58815938" TargetMode="External"/><Relationship Id="rId1572" Type="http://schemas.openxmlformats.org/officeDocument/2006/relationships/hyperlink" Target="https://www.daloopa.com/src/58934470" TargetMode="External"/><Relationship Id="rId2209" Type="http://schemas.openxmlformats.org/officeDocument/2006/relationships/hyperlink" Target="https://www.daloopa.com/src/58944652" TargetMode="External"/><Relationship Id="rId2416" Type="http://schemas.openxmlformats.org/officeDocument/2006/relationships/hyperlink" Target="https://www.daloopa.com/src/58985422" TargetMode="External"/><Relationship Id="rId2623" Type="http://schemas.openxmlformats.org/officeDocument/2006/relationships/hyperlink" Target="https://www.daloopa.com/src/59372883" TargetMode="External"/><Relationship Id="rId1018" Type="http://schemas.openxmlformats.org/officeDocument/2006/relationships/hyperlink" Target="https://www.daloopa.com/src/58933594" TargetMode="External"/><Relationship Id="rId1225" Type="http://schemas.openxmlformats.org/officeDocument/2006/relationships/hyperlink" Target="https://www.daloopa.com/src/58934090" TargetMode="External"/><Relationship Id="rId1432" Type="http://schemas.openxmlformats.org/officeDocument/2006/relationships/hyperlink" Target="https://www.daloopa.com/src/59368520" TargetMode="External"/><Relationship Id="rId2830" Type="http://schemas.openxmlformats.org/officeDocument/2006/relationships/hyperlink" Target="https://www.daloopa.com/src/58978532" TargetMode="External"/><Relationship Id="rId71" Type="http://schemas.openxmlformats.org/officeDocument/2006/relationships/hyperlink" Target="https://www.daloopa.com/src/59066771" TargetMode="External"/><Relationship Id="rId802" Type="http://schemas.openxmlformats.org/officeDocument/2006/relationships/hyperlink" Target="https://www.daloopa.com/src/58800597" TargetMode="External"/><Relationship Id="rId178" Type="http://schemas.openxmlformats.org/officeDocument/2006/relationships/hyperlink" Target="https://www.daloopa.com/src/59080108" TargetMode="External"/><Relationship Id="rId385" Type="http://schemas.openxmlformats.org/officeDocument/2006/relationships/hyperlink" Target="https://www.daloopa.com/src/59368456" TargetMode="External"/><Relationship Id="rId592" Type="http://schemas.openxmlformats.org/officeDocument/2006/relationships/hyperlink" Target="https://www.daloopa.com/src/58881561" TargetMode="External"/><Relationship Id="rId2066" Type="http://schemas.openxmlformats.org/officeDocument/2006/relationships/hyperlink" Target="https://www.daloopa.com/src/59751936" TargetMode="External"/><Relationship Id="rId2273" Type="http://schemas.openxmlformats.org/officeDocument/2006/relationships/hyperlink" Target="https://www.daloopa.com/src/59073997" TargetMode="External"/><Relationship Id="rId2480" Type="http://schemas.openxmlformats.org/officeDocument/2006/relationships/hyperlink" Target="https://www.daloopa.com/src/58988126" TargetMode="External"/><Relationship Id="rId245" Type="http://schemas.openxmlformats.org/officeDocument/2006/relationships/hyperlink" Target="https://www.daloopa.com/src/58947588" TargetMode="External"/><Relationship Id="rId452" Type="http://schemas.openxmlformats.org/officeDocument/2006/relationships/hyperlink" Target="https://www.daloopa.com/src/58800400" TargetMode="External"/><Relationship Id="rId1082" Type="http://schemas.openxmlformats.org/officeDocument/2006/relationships/hyperlink" Target="https://www.daloopa.com/src/58815861" TargetMode="External"/><Relationship Id="rId2133" Type="http://schemas.openxmlformats.org/officeDocument/2006/relationships/hyperlink" Target="https://www.daloopa.com/src/58935592" TargetMode="External"/><Relationship Id="rId2340" Type="http://schemas.openxmlformats.org/officeDocument/2006/relationships/hyperlink" Target="https://www.daloopa.com/src/58979865" TargetMode="External"/><Relationship Id="rId105" Type="http://schemas.openxmlformats.org/officeDocument/2006/relationships/hyperlink" Target="https://www.daloopa.com/src/59069521" TargetMode="External"/><Relationship Id="rId312" Type="http://schemas.openxmlformats.org/officeDocument/2006/relationships/hyperlink" Target="https://www.daloopa.com/src/59581266" TargetMode="External"/><Relationship Id="rId2200" Type="http://schemas.openxmlformats.org/officeDocument/2006/relationships/hyperlink" Target="https://www.daloopa.com/src/58941044" TargetMode="External"/><Relationship Id="rId1899" Type="http://schemas.openxmlformats.org/officeDocument/2006/relationships/hyperlink" Target="https://www.daloopa.com/src/58802516" TargetMode="External"/><Relationship Id="rId1759" Type="http://schemas.openxmlformats.org/officeDocument/2006/relationships/hyperlink" Target="https://www.daloopa.com/src/58934397" TargetMode="External"/><Relationship Id="rId1966" Type="http://schemas.openxmlformats.org/officeDocument/2006/relationships/hyperlink" Target="https://www.daloopa.com/src/58936808" TargetMode="External"/><Relationship Id="rId1619" Type="http://schemas.openxmlformats.org/officeDocument/2006/relationships/hyperlink" Target="https://www.daloopa.com/src/58809473" TargetMode="External"/><Relationship Id="rId1826" Type="http://schemas.openxmlformats.org/officeDocument/2006/relationships/hyperlink" Target="https://www.daloopa.com/src/58809653" TargetMode="External"/><Relationship Id="rId779" Type="http://schemas.openxmlformats.org/officeDocument/2006/relationships/hyperlink" Target="https://www.daloopa.com/src/59368485" TargetMode="External"/><Relationship Id="rId986" Type="http://schemas.openxmlformats.org/officeDocument/2006/relationships/hyperlink" Target="https://www.daloopa.com/src/59379340" TargetMode="External"/><Relationship Id="rId2667" Type="http://schemas.openxmlformats.org/officeDocument/2006/relationships/hyperlink" Target="https://www.daloopa.com/src/58992490" TargetMode="External"/><Relationship Id="rId639" Type="http://schemas.openxmlformats.org/officeDocument/2006/relationships/hyperlink" Target="https://www.daloopa.com/src/58805154" TargetMode="External"/><Relationship Id="rId1269" Type="http://schemas.openxmlformats.org/officeDocument/2006/relationships/hyperlink" Target="https://www.daloopa.com/src/58815920" TargetMode="External"/><Relationship Id="rId1476" Type="http://schemas.openxmlformats.org/officeDocument/2006/relationships/hyperlink" Target="https://www.daloopa.com/src/58933757" TargetMode="External"/><Relationship Id="rId2874" Type="http://schemas.openxmlformats.org/officeDocument/2006/relationships/hyperlink" Target="https://www.daloopa.com/src/59085330" TargetMode="External"/><Relationship Id="rId846" Type="http://schemas.openxmlformats.org/officeDocument/2006/relationships/hyperlink" Target="https://www.daloopa.com/src/58930012" TargetMode="External"/><Relationship Id="rId1129" Type="http://schemas.openxmlformats.org/officeDocument/2006/relationships/hyperlink" Target="https://www.daloopa.com/src/59379367" TargetMode="External"/><Relationship Id="rId1683" Type="http://schemas.openxmlformats.org/officeDocument/2006/relationships/hyperlink" Target="https://www.daloopa.com/src/59368525" TargetMode="External"/><Relationship Id="rId1890" Type="http://schemas.openxmlformats.org/officeDocument/2006/relationships/hyperlink" Target="https://www.daloopa.com/src/58936831" TargetMode="External"/><Relationship Id="rId2527" Type="http://schemas.openxmlformats.org/officeDocument/2006/relationships/hyperlink" Target="https://www.daloopa.com/src/58988187" TargetMode="External"/><Relationship Id="rId2734" Type="http://schemas.openxmlformats.org/officeDocument/2006/relationships/hyperlink" Target="https://www.daloopa.com/src/59005073" TargetMode="External"/><Relationship Id="rId706" Type="http://schemas.openxmlformats.org/officeDocument/2006/relationships/hyperlink" Target="https://www.daloopa.com/src/59368463" TargetMode="External"/><Relationship Id="rId913" Type="http://schemas.openxmlformats.org/officeDocument/2006/relationships/hyperlink" Target="https://www.daloopa.com/src/58930190" TargetMode="External"/><Relationship Id="rId1336" Type="http://schemas.openxmlformats.org/officeDocument/2006/relationships/hyperlink" Target="https://www.daloopa.com/src/58865947" TargetMode="External"/><Relationship Id="rId1543" Type="http://schemas.openxmlformats.org/officeDocument/2006/relationships/hyperlink" Target="https://www.daloopa.com/src/58932432" TargetMode="External"/><Relationship Id="rId1750" Type="http://schemas.openxmlformats.org/officeDocument/2006/relationships/hyperlink" Target="https://www.daloopa.com/src/59368527" TargetMode="External"/><Relationship Id="rId2801" Type="http://schemas.openxmlformats.org/officeDocument/2006/relationships/hyperlink" Target="https://www.daloopa.com/src/59371641" TargetMode="External"/><Relationship Id="rId42" Type="http://schemas.openxmlformats.org/officeDocument/2006/relationships/hyperlink" Target="https://www.daloopa.com/src/58816166" TargetMode="External"/><Relationship Id="rId1403" Type="http://schemas.openxmlformats.org/officeDocument/2006/relationships/hyperlink" Target="https://www.daloopa.com/src/59379419" TargetMode="External"/><Relationship Id="rId1610" Type="http://schemas.openxmlformats.org/officeDocument/2006/relationships/hyperlink" Target="https://www.daloopa.com/src/58934400" TargetMode="External"/><Relationship Id="rId289" Type="http://schemas.openxmlformats.org/officeDocument/2006/relationships/hyperlink" Target="https://www.daloopa.com/src/58815456" TargetMode="External"/><Relationship Id="rId496" Type="http://schemas.openxmlformats.org/officeDocument/2006/relationships/hyperlink" Target="https://www.daloopa.com/src/58873657" TargetMode="External"/><Relationship Id="rId2177" Type="http://schemas.openxmlformats.org/officeDocument/2006/relationships/hyperlink" Target="https://marketplace.daloopa.com/text-fundamental?id=58874722&amp;value=130000000&amp;id=58804544&amp;value=152348806&amp;id=59368549&amp;value=152360350&amp;" TargetMode="External"/><Relationship Id="rId2384" Type="http://schemas.openxmlformats.org/officeDocument/2006/relationships/hyperlink" Target="https://www.daloopa.com/src/58985417" TargetMode="External"/><Relationship Id="rId2591" Type="http://schemas.openxmlformats.org/officeDocument/2006/relationships/hyperlink" Target="https://www.daloopa.com/src/58988239" TargetMode="External"/><Relationship Id="rId149" Type="http://schemas.openxmlformats.org/officeDocument/2006/relationships/hyperlink" Target="https://www.daloopa.com/src/59071644" TargetMode="External"/><Relationship Id="rId356" Type="http://schemas.openxmlformats.org/officeDocument/2006/relationships/hyperlink" Target="https://www.daloopa.com/src/58881411" TargetMode="External"/><Relationship Id="rId563" Type="http://schemas.openxmlformats.org/officeDocument/2006/relationships/hyperlink" Target="https://www.daloopa.com/src/58873636" TargetMode="External"/><Relationship Id="rId770" Type="http://schemas.openxmlformats.org/officeDocument/2006/relationships/hyperlink" Target="https://www.daloopa.com/src/59368484" TargetMode="External"/><Relationship Id="rId1193" Type="http://schemas.openxmlformats.org/officeDocument/2006/relationships/hyperlink" Target="https://www.daloopa.com/src/58800693" TargetMode="External"/><Relationship Id="rId2037" Type="http://schemas.openxmlformats.org/officeDocument/2006/relationships/hyperlink" Target="https://marketplace.daloopa.com/text-fundamental?id=58940285&amp;value=0.04&amp;id=59751934&amp;value=-0.039999999999999994&amp;id=58935598&amp;value=-0.03&amp;id=58935593&amp;value=-0.02&amp;id=58935557&amp;value=0&amp;id=58935580&amp;value=-0.09&amp;id=58874714&amp;value=-0.03&amp;id=58816146&amp;value=0.02&amp;id=58816132&amp;value=0.02&amp;id=58809914&amp;value=0.04&amp;id=58810051&amp;value=0.06&amp;id=58804537&amp;value=0.03&amp;id=59368554&amp;value=0.04&amp;" TargetMode="External"/><Relationship Id="rId2244" Type="http://schemas.openxmlformats.org/officeDocument/2006/relationships/hyperlink" Target="https://www.daloopa.com/src/58945175" TargetMode="External"/><Relationship Id="rId2451" Type="http://schemas.openxmlformats.org/officeDocument/2006/relationships/hyperlink" Target="https://www.daloopa.com/src/59008888" TargetMode="External"/><Relationship Id="rId216" Type="http://schemas.openxmlformats.org/officeDocument/2006/relationships/hyperlink" Target="https://www.daloopa.com/src/58947488" TargetMode="External"/><Relationship Id="rId423" Type="http://schemas.openxmlformats.org/officeDocument/2006/relationships/hyperlink" Target="https://www.daloopa.com/src/58882141" TargetMode="External"/><Relationship Id="rId1053" Type="http://schemas.openxmlformats.org/officeDocument/2006/relationships/hyperlink" Target="https://www.daloopa.com/src/58815868" TargetMode="External"/><Relationship Id="rId1260" Type="http://schemas.openxmlformats.org/officeDocument/2006/relationships/hyperlink" Target="https://www.daloopa.com/src/58815875" TargetMode="External"/><Relationship Id="rId2104" Type="http://schemas.openxmlformats.org/officeDocument/2006/relationships/hyperlink" Target="https://www.daloopa.com/src/58940288" TargetMode="External"/><Relationship Id="rId630" Type="http://schemas.openxmlformats.org/officeDocument/2006/relationships/hyperlink" Target="https://www.daloopa.com/src/58881574" TargetMode="External"/><Relationship Id="rId2311" Type="http://schemas.openxmlformats.org/officeDocument/2006/relationships/hyperlink" Target="https://www.daloopa.com/src/59379449" TargetMode="External"/><Relationship Id="rId1120" Type="http://schemas.openxmlformats.org/officeDocument/2006/relationships/hyperlink" Target="https://www.daloopa.com/src/58930728" TargetMode="External"/><Relationship Id="rId1937" Type="http://schemas.openxmlformats.org/officeDocument/2006/relationships/hyperlink" Target="https://www.daloopa.com/src/58935504" TargetMode="External"/><Relationship Id="rId280" Type="http://schemas.openxmlformats.org/officeDocument/2006/relationships/hyperlink" Target="https://www.daloopa.com/src/58882224" TargetMode="External"/><Relationship Id="rId140" Type="http://schemas.openxmlformats.org/officeDocument/2006/relationships/hyperlink" Target="https://www.daloopa.com/src/59071495" TargetMode="External"/><Relationship Id="rId6" Type="http://schemas.openxmlformats.org/officeDocument/2006/relationships/hyperlink" Target="https://www.daloopa.com/document/23015367" TargetMode="External"/><Relationship Id="rId2778" Type="http://schemas.openxmlformats.org/officeDocument/2006/relationships/hyperlink" Target="https://www.daloopa.com/src/59006649" TargetMode="External"/><Relationship Id="rId957" Type="http://schemas.openxmlformats.org/officeDocument/2006/relationships/hyperlink" Target="https://marketplace.daloopa.com/text-fundamental?id=58933600&amp;value=3174&amp;id=59379335&amp;value=3174&amp;id=58934062&amp;value=578&amp;id=58930740&amp;value=878&amp;id=58930835&amp;value=888&amp;id=58930925&amp;value=898&amp;id=59379336&amp;value=3242&amp;id=58865906&amp;value=704&amp;id=58815862&amp;value=4355&amp;id=58815845&amp;value=437&amp;id=58815803&amp;value=440&amp;id=59379337&amp;value=5936&amp;id=58800685&amp;value=445&amp;id=59368502&amp;value=449&amp;" TargetMode="External"/><Relationship Id="rId1587" Type="http://schemas.openxmlformats.org/officeDocument/2006/relationships/hyperlink" Target="https://www.daloopa.com/src/58936270" TargetMode="External"/><Relationship Id="rId1794" Type="http://schemas.openxmlformats.org/officeDocument/2006/relationships/hyperlink" Target="https://marketplace.daloopa.com/text-fundamental?id=59695230&amp;value=0.191&amp;" TargetMode="External"/><Relationship Id="rId2638" Type="http://schemas.openxmlformats.org/officeDocument/2006/relationships/hyperlink" Target="https://www.daloopa.com/src/58990175" TargetMode="External"/><Relationship Id="rId2845" Type="http://schemas.openxmlformats.org/officeDocument/2006/relationships/hyperlink" Target="https://www.daloopa.com/src/58978548" TargetMode="External"/><Relationship Id="rId86" Type="http://schemas.openxmlformats.org/officeDocument/2006/relationships/hyperlink" Target="https://www.daloopa.com/src/59066726" TargetMode="External"/><Relationship Id="rId817" Type="http://schemas.openxmlformats.org/officeDocument/2006/relationships/hyperlink" Target="https://www.daloopa.com/src/58815534" TargetMode="External"/><Relationship Id="rId1447" Type="http://schemas.openxmlformats.org/officeDocument/2006/relationships/hyperlink" Target="https://www.daloopa.com/src/58934130" TargetMode="External"/><Relationship Id="rId1654" Type="http://schemas.openxmlformats.org/officeDocument/2006/relationships/hyperlink" Target="https://www.daloopa.com/src/58800876" TargetMode="External"/><Relationship Id="rId1861" Type="http://schemas.openxmlformats.org/officeDocument/2006/relationships/hyperlink" Target="https://www.daloopa.com/src/58816122" TargetMode="External"/><Relationship Id="rId2705" Type="http://schemas.openxmlformats.org/officeDocument/2006/relationships/hyperlink" Target="https://www.daloopa.com/src/58992571" TargetMode="External"/><Relationship Id="rId2912" Type="http://schemas.openxmlformats.org/officeDocument/2006/relationships/hyperlink" Target="https://www.daloopa.com/src/59091248" TargetMode="External"/><Relationship Id="rId1307" Type="http://schemas.openxmlformats.org/officeDocument/2006/relationships/hyperlink" Target="https://www.daloopa.com/src/59379403" TargetMode="External"/><Relationship Id="rId1514" Type="http://schemas.openxmlformats.org/officeDocument/2006/relationships/hyperlink" Target="https://marketplace.daloopa.com/text-fundamental?id=58932337&amp;value=9384&amp;" TargetMode="External"/><Relationship Id="rId1721" Type="http://schemas.openxmlformats.org/officeDocument/2006/relationships/hyperlink" Target="https://www.daloopa.com/src/59737790" TargetMode="External"/><Relationship Id="rId13" Type="http://schemas.openxmlformats.org/officeDocument/2006/relationships/hyperlink" Target="https://www.daloopa.com/src/58816170" TargetMode="External"/><Relationship Id="rId2288" Type="http://schemas.openxmlformats.org/officeDocument/2006/relationships/hyperlink" Target="https://www.daloopa.com/src/59153682" TargetMode="External"/><Relationship Id="rId2495" Type="http://schemas.openxmlformats.org/officeDocument/2006/relationships/hyperlink" Target="https://www.daloopa.com/src/58988190" TargetMode="External"/><Relationship Id="rId467" Type="http://schemas.openxmlformats.org/officeDocument/2006/relationships/hyperlink" Target="https://www.daloopa.com/src/58815454" TargetMode="External"/><Relationship Id="rId1097" Type="http://schemas.openxmlformats.org/officeDocument/2006/relationships/hyperlink" Target="https://www.daloopa.com/src/58815843" TargetMode="External"/><Relationship Id="rId2148" Type="http://schemas.openxmlformats.org/officeDocument/2006/relationships/hyperlink" Target="https://www.daloopa.com/src/58935566" TargetMode="External"/><Relationship Id="rId674" Type="http://schemas.openxmlformats.org/officeDocument/2006/relationships/hyperlink" Target="https://www.daloopa.com/src/58929979" TargetMode="External"/><Relationship Id="rId881" Type="http://schemas.openxmlformats.org/officeDocument/2006/relationships/hyperlink" Target="https://www.daloopa.com/src/58930183" TargetMode="External"/><Relationship Id="rId2355" Type="http://schemas.openxmlformats.org/officeDocument/2006/relationships/hyperlink" Target="https://marketplace.daloopa.com/text-fundamental?id=58979867&amp;value=1216&amp;id=58979978&amp;value=520&amp;id=58979970&amp;value=530&amp;id=58979871&amp;value=1876&amp;id=58979824&amp;value=562&amp;id=58979974&amp;value=2664&amp;id=58979966&amp;value=1343&amp;id=59379447&amp;value=4961&amp;id=58979826&amp;value=9530&amp;id=58979779&amp;value=1859&amp;id=59372017&amp;value=1943&amp;" TargetMode="External"/><Relationship Id="rId2562" Type="http://schemas.openxmlformats.org/officeDocument/2006/relationships/hyperlink" Target="https://marketplace.daloopa.com/text-fundamental?id=58988246&amp;value=-0.0203&amp;id=58988232&amp;value=0.0085&amp;id=58988217&amp;value=-0.07150000000000001&amp;" TargetMode="External"/><Relationship Id="rId327" Type="http://schemas.openxmlformats.org/officeDocument/2006/relationships/hyperlink" Target="https://www.daloopa.com/src/58873625" TargetMode="External"/><Relationship Id="rId534" Type="http://schemas.openxmlformats.org/officeDocument/2006/relationships/hyperlink" Target="https://www.daloopa.com/src/58815178" TargetMode="External"/><Relationship Id="rId741" Type="http://schemas.openxmlformats.org/officeDocument/2006/relationships/hyperlink" Target="https://www.daloopa.com/src/58800567" TargetMode="External"/><Relationship Id="rId1164" Type="http://schemas.openxmlformats.org/officeDocument/2006/relationships/hyperlink" Target="https://www.daloopa.com/src/59379375" TargetMode="External"/><Relationship Id="rId1371" Type="http://schemas.openxmlformats.org/officeDocument/2006/relationships/hyperlink" Target="https://www.daloopa.com/src/58815953" TargetMode="External"/><Relationship Id="rId2008" Type="http://schemas.openxmlformats.org/officeDocument/2006/relationships/hyperlink" Target="https://www.daloopa.com/src/59695633" TargetMode="External"/><Relationship Id="rId2215" Type="http://schemas.openxmlformats.org/officeDocument/2006/relationships/hyperlink" Target="https://www.daloopa.com/src/58944818" TargetMode="External"/><Relationship Id="rId2422" Type="http://schemas.openxmlformats.org/officeDocument/2006/relationships/hyperlink" Target="https://www.daloopa.com/src/58985455" TargetMode="External"/><Relationship Id="rId601" Type="http://schemas.openxmlformats.org/officeDocument/2006/relationships/hyperlink" Target="https://marketplace.daloopa.com/text-fundamental?id=58881557&amp;value=-9&amp;" TargetMode="External"/><Relationship Id="rId1024" Type="http://schemas.openxmlformats.org/officeDocument/2006/relationships/hyperlink" Target="https://www.daloopa.com/src/58815870" TargetMode="External"/><Relationship Id="rId1231" Type="http://schemas.openxmlformats.org/officeDocument/2006/relationships/hyperlink" Target="https://www.daloopa.com/src/58815892" TargetMode="External"/><Relationship Id="rId184" Type="http://schemas.openxmlformats.org/officeDocument/2006/relationships/hyperlink" Target="https://www.daloopa.com/src/59083062" TargetMode="External"/><Relationship Id="rId391" Type="http://schemas.openxmlformats.org/officeDocument/2006/relationships/hyperlink" Target="https://www.daloopa.com/src/58800404" TargetMode="External"/><Relationship Id="rId1908" Type="http://schemas.openxmlformats.org/officeDocument/2006/relationships/hyperlink" Target="https://www.daloopa.com/src/58935497" TargetMode="External"/><Relationship Id="rId2072" Type="http://schemas.openxmlformats.org/officeDocument/2006/relationships/hyperlink" Target="https://www.daloopa.com/src/58816140" TargetMode="External"/><Relationship Id="rId251" Type="http://schemas.openxmlformats.org/officeDocument/2006/relationships/hyperlink" Target="https://www.daloopa.com/src/58947530" TargetMode="External"/><Relationship Id="rId2889" Type="http://schemas.openxmlformats.org/officeDocument/2006/relationships/hyperlink" Target="https://marketplace.daloopa.com/text-fundamental?id=59091623&amp;value=1.8&amp;id=59091493&amp;value=2.4&amp;id=59086311&amp;value=7.3&amp;id=59091250&amp;value=2.8&amp;id=59373957&amp;value=2.1&amp;" TargetMode="External"/><Relationship Id="rId111" Type="http://schemas.openxmlformats.org/officeDocument/2006/relationships/hyperlink" Target="https://www.daloopa.com/src/59069569" TargetMode="External"/><Relationship Id="rId1698" Type="http://schemas.openxmlformats.org/officeDocument/2006/relationships/hyperlink" Target="https://www.daloopa.com/src/58934444" TargetMode="External"/><Relationship Id="rId2749" Type="http://schemas.openxmlformats.org/officeDocument/2006/relationships/hyperlink" Target="https://marketplace.daloopa.com/text-fundamental?id=59006033&amp;value=-7528&amp;id=59005134&amp;value=-9533&amp;id=59005354&amp;value=-11515&amp;id=59005301&amp;value=-13480&amp;id=59005529&amp;value=-15441&amp;id=59005261&amp;value=-17335&amp;id=59371640&amp;value=-19111&amp;" TargetMode="External"/><Relationship Id="rId928" Type="http://schemas.openxmlformats.org/officeDocument/2006/relationships/hyperlink" Target="https://www.daloopa.com/src/58815872" TargetMode="External"/><Relationship Id="rId1558" Type="http://schemas.openxmlformats.org/officeDocument/2006/relationships/hyperlink" Target="https://marketplace.daloopa.com/text-fundamental?id=58932442&amp;value=279&amp;" TargetMode="External"/><Relationship Id="rId1765" Type="http://schemas.openxmlformats.org/officeDocument/2006/relationships/hyperlink" Target="https://www.daloopa.com/src/58800880" TargetMode="External"/><Relationship Id="rId2609" Type="http://schemas.openxmlformats.org/officeDocument/2006/relationships/hyperlink" Target="https://marketplace.daloopa.com/text-fundamental?id=58988358&amp;value=1823&amp;id=59372884&amp;value=1878&amp;" TargetMode="External"/><Relationship Id="rId57" Type="http://schemas.openxmlformats.org/officeDocument/2006/relationships/hyperlink" Target="https://www.daloopa.com/src/58804638" TargetMode="External"/><Relationship Id="rId1418" Type="http://schemas.openxmlformats.org/officeDocument/2006/relationships/hyperlink" Target="https://www.daloopa.com/src/59379422" TargetMode="External"/><Relationship Id="rId1972" Type="http://schemas.openxmlformats.org/officeDocument/2006/relationships/hyperlink" Target="https://www.daloopa.com/src/58874704" TargetMode="External"/><Relationship Id="rId2816" Type="http://schemas.openxmlformats.org/officeDocument/2006/relationships/hyperlink" Target="https://www.daloopa.com/src/58978534" TargetMode="External"/><Relationship Id="rId1625" Type="http://schemas.openxmlformats.org/officeDocument/2006/relationships/hyperlink" Target="https://www.daloopa.com/src/58936386" TargetMode="External"/><Relationship Id="rId1832" Type="http://schemas.openxmlformats.org/officeDocument/2006/relationships/hyperlink" Target="https://marketplace.daloopa.com/text-fundamental?id=58936789&amp;value=4098&amp;id=58936798&amp;value=12904&amp;id=58936812&amp;value=13759&amp;id=58936822&amp;value=10387&amp;id=58936951&amp;value=41148&amp;id=58936846&amp;value=-26734&amp;id=58935501&amp;value=-19865&amp;id=58935518&amp;value=-6341&amp;id=58935527&amp;value=-5907&amp;id=58935545&amp;value=-58847&amp;id=58874697&amp;value=-23824&amp;id=58816118&amp;value=6833&amp;id=58816121&amp;value=19682&amp;id=58809643&amp;value=22222&amp;id=58809712&amp;value=24913&amp;id=58802512&amp;value=17948&amp;id=59368546&amp;value=19668&amp;" TargetMode="External"/><Relationship Id="rId2399" Type="http://schemas.openxmlformats.org/officeDocument/2006/relationships/hyperlink" Target="https://www.daloopa.com/src/58985445" TargetMode="External"/><Relationship Id="rId578" Type="http://schemas.openxmlformats.org/officeDocument/2006/relationships/hyperlink" Target="https://www.daloopa.com/src/58873669" TargetMode="External"/><Relationship Id="rId785" Type="http://schemas.openxmlformats.org/officeDocument/2006/relationships/hyperlink" Target="https://www.daloopa.com/src/58815517" TargetMode="External"/><Relationship Id="rId992" Type="http://schemas.openxmlformats.org/officeDocument/2006/relationships/hyperlink" Target="https://www.daloopa.com/src/58930926" TargetMode="External"/><Relationship Id="rId2259" Type="http://schemas.openxmlformats.org/officeDocument/2006/relationships/hyperlink" Target="https://marketplace.daloopa.com/text-fundamental?id=58944816&amp;value=29094&amp;id=58944664&amp;value=190282&amp;id=58945173&amp;value=180602&amp;id=58944655&amp;value=172239&amp;id=58944623&amp;value=161330&amp;id=58944577&amp;value=154309&amp;id=58944613&amp;value=146392&amp;id=59370352&amp;value=136536&amp;" TargetMode="External"/><Relationship Id="rId2466" Type="http://schemas.openxmlformats.org/officeDocument/2006/relationships/hyperlink" Target="https://www.daloopa.com/src/58988045" TargetMode="External"/><Relationship Id="rId2673" Type="http://schemas.openxmlformats.org/officeDocument/2006/relationships/hyperlink" Target="https://www.daloopa.com/src/58992290" TargetMode="External"/><Relationship Id="rId2880" Type="http://schemas.openxmlformats.org/officeDocument/2006/relationships/hyperlink" Target="https://www.daloopa.com/src/59085461" TargetMode="External"/><Relationship Id="rId438" Type="http://schemas.openxmlformats.org/officeDocument/2006/relationships/hyperlink" Target="https://www.daloopa.com/src/58815188" TargetMode="External"/><Relationship Id="rId645" Type="http://schemas.openxmlformats.org/officeDocument/2006/relationships/hyperlink" Target="https://www.daloopa.com/src/58929978" TargetMode="External"/><Relationship Id="rId852" Type="http://schemas.openxmlformats.org/officeDocument/2006/relationships/hyperlink" Target="https://marketplace.daloopa.com/text-fundamental?id=58930186&amp;value=638950&amp;id=59756359&amp;value=1011982&amp;id=58873784&amp;value=969421&amp;id=58930010&amp;value=924846&amp;id=58815538&amp;value=742384&amp;id=58815523&amp;value=742474&amp;id=58805333&amp;value=754343&amp;id=58800593&amp;value=757191&amp;id=59368479&amp;value=759552&amp;" TargetMode="External"/><Relationship Id="rId1068" Type="http://schemas.openxmlformats.org/officeDocument/2006/relationships/hyperlink" Target="https://www.daloopa.com/src/58815840" TargetMode="External"/><Relationship Id="rId1275" Type="http://schemas.openxmlformats.org/officeDocument/2006/relationships/hyperlink" Target="https://www.daloopa.com/src/58815946" TargetMode="External"/><Relationship Id="rId1482" Type="http://schemas.openxmlformats.org/officeDocument/2006/relationships/hyperlink" Target="https://www.daloopa.com/src/58933760" TargetMode="External"/><Relationship Id="rId2119" Type="http://schemas.openxmlformats.org/officeDocument/2006/relationships/hyperlink" Target="https://www.daloopa.com/src/58810054" TargetMode="External"/><Relationship Id="rId2326" Type="http://schemas.openxmlformats.org/officeDocument/2006/relationships/hyperlink" Target="https://www.daloopa.com/src/58979781" TargetMode="External"/><Relationship Id="rId2533" Type="http://schemas.openxmlformats.org/officeDocument/2006/relationships/hyperlink" Target="https://www.daloopa.com/src/58988253" TargetMode="External"/><Relationship Id="rId2740" Type="http://schemas.openxmlformats.org/officeDocument/2006/relationships/hyperlink" Target="https://marketplace.daloopa.com/text-fundamental?id=59004908&amp;value=171503&amp;id=59004652&amp;value=596440&amp;id=59005074&amp;value=600519&amp;id=59004656&amp;value=600117&amp;id=59004622&amp;value=598959&amp;id=59004678&amp;value=610550&amp;id=59004586&amp;value=616387&amp;id=59371636&amp;value=612212&amp;" TargetMode="External"/><Relationship Id="rId505" Type="http://schemas.openxmlformats.org/officeDocument/2006/relationships/hyperlink" Target="https://www.daloopa.com/src/58881263" TargetMode="External"/><Relationship Id="rId712" Type="http://schemas.openxmlformats.org/officeDocument/2006/relationships/hyperlink" Target="https://www.daloopa.com/src/58815498" TargetMode="External"/><Relationship Id="rId1135" Type="http://schemas.openxmlformats.org/officeDocument/2006/relationships/hyperlink" Target="https://www.daloopa.com/src/58930727" TargetMode="External"/><Relationship Id="rId1342" Type="http://schemas.openxmlformats.org/officeDocument/2006/relationships/hyperlink" Target="https://marketplace.daloopa.com/text-fundamental?id=58933751&amp;value=-3176&amp;id=59379410&amp;value=-3176&amp;id=58934116&amp;value=-487&amp;id=58931054&amp;value=-490&amp;id=58931062&amp;value=-931&amp;id=58931085&amp;value=-530&amp;id=59379411&amp;value=-2438&amp;id=58865954&amp;value=-459&amp;id=58815926&amp;value=-466&amp;id=58815950&amp;value=-361&amp;id=58815964&amp;value=-366&amp;id=59379412&amp;value=-1652&amp;id=58816007&amp;value=-238&amp;id=59368516&amp;value=-221&amp;" TargetMode="External"/><Relationship Id="rId1202" Type="http://schemas.openxmlformats.org/officeDocument/2006/relationships/hyperlink" Target="https://www.daloopa.com/src/58930982" TargetMode="External"/><Relationship Id="rId2600" Type="http://schemas.openxmlformats.org/officeDocument/2006/relationships/hyperlink" Target="https://www.daloopa.com/src/59372882" TargetMode="External"/><Relationship Id="rId295" Type="http://schemas.openxmlformats.org/officeDocument/2006/relationships/hyperlink" Target="https://www.daloopa.com/src/58881253" TargetMode="External"/><Relationship Id="rId2183" Type="http://schemas.openxmlformats.org/officeDocument/2006/relationships/hyperlink" Target="https://marketplace.daloopa.com/text-fundamental?id=58941036&amp;value=-0.01&amp;" TargetMode="External"/><Relationship Id="rId2390" Type="http://schemas.openxmlformats.org/officeDocument/2006/relationships/hyperlink" Target="https://www.daloopa.com/src/58987738" TargetMode="External"/><Relationship Id="rId155" Type="http://schemas.openxmlformats.org/officeDocument/2006/relationships/hyperlink" Target="https://marketplace.daloopa.com/text-fundamental?id=59073102&amp;value=961&amp;id=59375040&amp;value=2218&amp;" TargetMode="External"/><Relationship Id="rId362" Type="http://schemas.openxmlformats.org/officeDocument/2006/relationships/hyperlink" Target="https://www.daloopa.com/src/58864806" TargetMode="External"/><Relationship Id="rId2043" Type="http://schemas.openxmlformats.org/officeDocument/2006/relationships/hyperlink" Target="https://www.daloopa.com/src/58816146" TargetMode="External"/><Relationship Id="rId2250" Type="http://schemas.openxmlformats.org/officeDocument/2006/relationships/hyperlink" Target="https://marketplace.daloopa.com/text-fundamental?id=58944817&amp;value=-161156&amp;id=58944663&amp;value=-61772&amp;id=58945174&amp;value=-78714&amp;id=58944650&amp;value=-96178&amp;id=58944629&amp;value=-113586&amp;id=58944574&amp;value=-131485&amp;id=58944617&amp;value=-148069&amp;id=59370350&amp;value=-165113&amp;" TargetMode="External"/><Relationship Id="rId222" Type="http://schemas.openxmlformats.org/officeDocument/2006/relationships/hyperlink" Target="https://www.daloopa.com/src/58947489" TargetMode="External"/><Relationship Id="rId2110" Type="http://schemas.openxmlformats.org/officeDocument/2006/relationships/hyperlink" Target="https://www.daloopa.com/src/58935584" TargetMode="External"/><Relationship Id="rId1669" Type="http://schemas.openxmlformats.org/officeDocument/2006/relationships/hyperlink" Target="https://www.daloopa.com/src/58809362" TargetMode="External"/><Relationship Id="rId1876" Type="http://schemas.openxmlformats.org/officeDocument/2006/relationships/hyperlink" Target="https://www.daloopa.com/src/58935522" TargetMode="External"/><Relationship Id="rId2927" Type="http://schemas.openxmlformats.org/officeDocument/2006/relationships/vmlDrawing" Target="../drawings/vmlDrawing13.vml"/><Relationship Id="rId1529" Type="http://schemas.openxmlformats.org/officeDocument/2006/relationships/hyperlink" Target="https://www.daloopa.com/src/58932339" TargetMode="External"/><Relationship Id="rId1736" Type="http://schemas.openxmlformats.org/officeDocument/2006/relationships/hyperlink" Target="https://marketplace.daloopa.com/text-fundamental?id=59736870&amp;value=0.028999999999999998&amp;id=59736833&amp;value=0.08800000000000001&amp;id=59736807&amp;value=0.094&amp;id=59736795&amp;value=0.069&amp;id=59736672&amp;value=-0.295&amp;id=59736629&amp;value=-0.156&amp;id=59736601&amp;value=-0.025&amp;id=59736552&amp;value=-0.037000000000000005&amp;id=58874664&amp;value=-0.147&amp;id=59695055&amp;value=0.022000000000000002&amp;id=59736399&amp;value=0.084&amp;id=59736348&amp;value=0.07200000000000001&amp;id=59736362&amp;value=0.023&amp;id=58800881&amp;value=0.069&amp;id=59368527&amp;value=0.071&amp;" TargetMode="External"/><Relationship Id="rId1943" Type="http://schemas.openxmlformats.org/officeDocument/2006/relationships/hyperlink" Target="https://www.daloopa.com/src/58935549" TargetMode="External"/><Relationship Id="rId28" Type="http://schemas.openxmlformats.org/officeDocument/2006/relationships/hyperlink" Target="https://www.daloopa.com/src/59368560" TargetMode="External"/><Relationship Id="rId1803" Type="http://schemas.openxmlformats.org/officeDocument/2006/relationships/hyperlink" Target="https://www.daloopa.com/src/58935516" TargetMode="External"/><Relationship Id="rId689" Type="http://schemas.openxmlformats.org/officeDocument/2006/relationships/hyperlink" Target="https://marketplace.daloopa.com/text-fundamental?id=58930160&amp;value=185903&amp;id=58873728&amp;value=277778&amp;id=58929974&amp;value=235037&amp;id=58815481&amp;value=401146&amp;id=58815495&amp;value=443504&amp;id=58805142&amp;value=466160&amp;id=58800554&amp;value=477670&amp;id=59368467&amp;value=522736&amp;" TargetMode="External"/><Relationship Id="rId896" Type="http://schemas.openxmlformats.org/officeDocument/2006/relationships/hyperlink" Target="https://www.daloopa.com/src/58930017" TargetMode="External"/><Relationship Id="rId2577" Type="http://schemas.openxmlformats.org/officeDocument/2006/relationships/hyperlink" Target="https://www.daloopa.com/src/58988215" TargetMode="External"/><Relationship Id="rId2784" Type="http://schemas.openxmlformats.org/officeDocument/2006/relationships/hyperlink" Target="https://marketplace.daloopa.com/text-fundamental?id=59006506&amp;value=52569&amp;id=59006353&amp;value=435661&amp;id=59006650&amp;value=423117&amp;id=59006398&amp;value=406415&amp;id=59006284&amp;value=389216&amp;id=59006256&amp;value=384766&amp;id=59006420&amp;value=375428&amp;id=59371643&amp;value=357697&amp;" TargetMode="External"/><Relationship Id="rId549" Type="http://schemas.openxmlformats.org/officeDocument/2006/relationships/hyperlink" Target="https://www.daloopa.com/src/59581272" TargetMode="External"/><Relationship Id="rId756" Type="http://schemas.openxmlformats.org/officeDocument/2006/relationships/hyperlink" Target="https://www.daloopa.com/src/58929972" TargetMode="External"/><Relationship Id="rId1179" Type="http://schemas.openxmlformats.org/officeDocument/2006/relationships/hyperlink" Target="https://www.daloopa.com/src/59379378" TargetMode="External"/><Relationship Id="rId1386" Type="http://schemas.openxmlformats.org/officeDocument/2006/relationships/hyperlink" Target="https://www.daloopa.com/src/58816003" TargetMode="External"/><Relationship Id="rId1593" Type="http://schemas.openxmlformats.org/officeDocument/2006/relationships/hyperlink" Target="https://www.daloopa.com/src/58874659" TargetMode="External"/><Relationship Id="rId2437" Type="http://schemas.openxmlformats.org/officeDocument/2006/relationships/hyperlink" Target="https://www.daloopa.com/src/58987746" TargetMode="External"/><Relationship Id="rId409" Type="http://schemas.openxmlformats.org/officeDocument/2006/relationships/hyperlink" Target="https://www.daloopa.com/src/58815467" TargetMode="External"/><Relationship Id="rId963" Type="http://schemas.openxmlformats.org/officeDocument/2006/relationships/hyperlink" Target="https://www.daloopa.com/src/58865906" TargetMode="External"/><Relationship Id="rId1039" Type="http://schemas.openxmlformats.org/officeDocument/2006/relationships/hyperlink" Target="https://www.daloopa.com/src/58815869" TargetMode="External"/><Relationship Id="rId1246" Type="http://schemas.openxmlformats.org/officeDocument/2006/relationships/hyperlink" Target="https://www.daloopa.com/src/58815890" TargetMode="External"/><Relationship Id="rId2644" Type="http://schemas.openxmlformats.org/officeDocument/2006/relationships/hyperlink" Target="https://www.daloopa.com/src/58990061" TargetMode="External"/><Relationship Id="rId2851" Type="http://schemas.openxmlformats.org/officeDocument/2006/relationships/hyperlink" Target="https://www.daloopa.com/src/59084426" TargetMode="External"/><Relationship Id="rId92" Type="http://schemas.openxmlformats.org/officeDocument/2006/relationships/hyperlink" Target="https://www.daloopa.com/src/59069524" TargetMode="External"/><Relationship Id="rId616" Type="http://schemas.openxmlformats.org/officeDocument/2006/relationships/hyperlink" Target="https://www.daloopa.com/src/58881572" TargetMode="External"/><Relationship Id="rId823" Type="http://schemas.openxmlformats.org/officeDocument/2006/relationships/hyperlink" Target="https://www.daloopa.com/src/58930184" TargetMode="External"/><Relationship Id="rId1453" Type="http://schemas.openxmlformats.org/officeDocument/2006/relationships/hyperlink" Target="https://www.daloopa.com/src/58816031" TargetMode="External"/><Relationship Id="rId1660" Type="http://schemas.openxmlformats.org/officeDocument/2006/relationships/hyperlink" Target="https://www.daloopa.com/src/58936266" TargetMode="External"/><Relationship Id="rId2504" Type="http://schemas.openxmlformats.org/officeDocument/2006/relationships/hyperlink" Target="https://www.daloopa.com/src/58988182" TargetMode="External"/><Relationship Id="rId2711" Type="http://schemas.openxmlformats.org/officeDocument/2006/relationships/hyperlink" Target="https://www.daloopa.com/src/58992570" TargetMode="External"/><Relationship Id="rId1106" Type="http://schemas.openxmlformats.org/officeDocument/2006/relationships/hyperlink" Target="https://www.daloopa.com/src/58930824" TargetMode="External"/><Relationship Id="rId1313" Type="http://schemas.openxmlformats.org/officeDocument/2006/relationships/hyperlink" Target="https://www.daloopa.com/src/59379404" TargetMode="External"/><Relationship Id="rId1520" Type="http://schemas.openxmlformats.org/officeDocument/2006/relationships/hyperlink" Target="https://marketplace.daloopa.com/text-fundamental?id=58932334&amp;value=-8871&amp;" TargetMode="External"/><Relationship Id="rId199" Type="http://schemas.openxmlformats.org/officeDocument/2006/relationships/hyperlink" Target="https://marketplace.daloopa.com/text-fundamental?id=58977059&amp;value=6781&amp;id=59373411&amp;value=7880&amp;" TargetMode="External"/><Relationship Id="rId2087" Type="http://schemas.openxmlformats.org/officeDocument/2006/relationships/hyperlink" Target="https://www.daloopa.com/src/58809917" TargetMode="External"/><Relationship Id="rId2294" Type="http://schemas.openxmlformats.org/officeDocument/2006/relationships/hyperlink" Target="https://www.daloopa.com/src/59152995" TargetMode="External"/><Relationship Id="rId266" Type="http://schemas.openxmlformats.org/officeDocument/2006/relationships/hyperlink" Target="https://www.daloopa.com/src/59372940" TargetMode="External"/><Relationship Id="rId473" Type="http://schemas.openxmlformats.org/officeDocument/2006/relationships/hyperlink" Target="https://www.daloopa.com/src/58881259" TargetMode="External"/><Relationship Id="rId680" Type="http://schemas.openxmlformats.org/officeDocument/2006/relationships/hyperlink" Target="https://marketplace.daloopa.com/text-fundamental?id=58930161&amp;value=3681&amp;id=58873732&amp;value=3479&amp;id=58929980&amp;value=2150&amp;id=58815482&amp;value=2272&amp;id=58815493&amp;value=2426&amp;id=58805144&amp;value=2292&amp;id=58800566&amp;value=1572&amp;id=59368473&amp;value=1608&amp;" TargetMode="External"/><Relationship Id="rId2154" Type="http://schemas.openxmlformats.org/officeDocument/2006/relationships/hyperlink" Target="https://www.daloopa.com/src/59368550" TargetMode="External"/><Relationship Id="rId2361" Type="http://schemas.openxmlformats.org/officeDocument/2006/relationships/hyperlink" Target="https://www.daloopa.com/src/59379447" TargetMode="External"/><Relationship Id="rId126" Type="http://schemas.openxmlformats.org/officeDocument/2006/relationships/hyperlink" Target="https://www.daloopa.com/src/59730458" TargetMode="External"/><Relationship Id="rId333" Type="http://schemas.openxmlformats.org/officeDocument/2006/relationships/hyperlink" Target="https://www.daloopa.com/src/58804873" TargetMode="External"/><Relationship Id="rId540" Type="http://schemas.openxmlformats.org/officeDocument/2006/relationships/hyperlink" Target="https://www.daloopa.com/src/58815468" TargetMode="External"/><Relationship Id="rId1170" Type="http://schemas.openxmlformats.org/officeDocument/2006/relationships/hyperlink" Target="https://www.daloopa.com/src/58930910" TargetMode="External"/><Relationship Id="rId2014" Type="http://schemas.openxmlformats.org/officeDocument/2006/relationships/hyperlink" Target="https://www.daloopa.com/src/59695632" TargetMode="External"/><Relationship Id="rId2221" Type="http://schemas.openxmlformats.org/officeDocument/2006/relationships/hyperlink" Target="https://www.daloopa.com/src/58944619" TargetMode="External"/><Relationship Id="rId1030" Type="http://schemas.openxmlformats.org/officeDocument/2006/relationships/hyperlink" Target="https://www.daloopa.com/src/59379348" TargetMode="External"/><Relationship Id="rId400" Type="http://schemas.openxmlformats.org/officeDocument/2006/relationships/hyperlink" Target="https://www.daloopa.com/src/58804866" TargetMode="External"/><Relationship Id="rId1987" Type="http://schemas.openxmlformats.org/officeDocument/2006/relationships/hyperlink" Target="https://www.daloopa.com/src/58935495" TargetMode="External"/><Relationship Id="rId1847" Type="http://schemas.openxmlformats.org/officeDocument/2006/relationships/hyperlink" Target="https://www.daloopa.com/src/58936951" TargetMode="External"/><Relationship Id="rId1707" Type="http://schemas.openxmlformats.org/officeDocument/2006/relationships/hyperlink" Target="https://www.daloopa.com/src/58934387" TargetMode="External"/><Relationship Id="rId190" Type="http://schemas.openxmlformats.org/officeDocument/2006/relationships/hyperlink" Target="https://marketplace.daloopa.com/text-fundamental?id=58946058&amp;value=125661&amp;id=59371407&amp;value=119403&amp;" TargetMode="External"/><Relationship Id="rId1914" Type="http://schemas.openxmlformats.org/officeDocument/2006/relationships/hyperlink" Target="https://www.daloopa.com/src/58809646" TargetMode="External"/><Relationship Id="rId2688" Type="http://schemas.openxmlformats.org/officeDocument/2006/relationships/hyperlink" Target="https://www.daloopa.com/src/58990264" TargetMode="External"/><Relationship Id="rId2895" Type="http://schemas.openxmlformats.org/officeDocument/2006/relationships/hyperlink" Target="https://marketplace.daloopa.com/text-fundamental?id=59092033&amp;value=3.6&amp;id=59091492&amp;value=2.2&amp;id=59086310&amp;value=7.8&amp;id=59091251&amp;value=-3.1&amp;" TargetMode="External"/><Relationship Id="rId867" Type="http://schemas.openxmlformats.org/officeDocument/2006/relationships/hyperlink" Target="https://www.daloopa.com/src/58805330" TargetMode="External"/><Relationship Id="rId1497" Type="http://schemas.openxmlformats.org/officeDocument/2006/relationships/hyperlink" Target="https://www.daloopa.com/src/58932345" TargetMode="External"/><Relationship Id="rId2548" Type="http://schemas.openxmlformats.org/officeDocument/2006/relationships/hyperlink" Target="https://marketplace.daloopa.com/text-fundamental?id=58988249&amp;value=0.0341&amp;id=58988227&amp;value=0.0271&amp;id=58988209&amp;value=0.07919999999999999&amp;" TargetMode="External"/><Relationship Id="rId2755" Type="http://schemas.openxmlformats.org/officeDocument/2006/relationships/hyperlink" Target="https://www.daloopa.com/src/59005261" TargetMode="External"/><Relationship Id="rId727" Type="http://schemas.openxmlformats.org/officeDocument/2006/relationships/hyperlink" Target="https://www.daloopa.com/src/58873740" TargetMode="External"/><Relationship Id="rId934" Type="http://schemas.openxmlformats.org/officeDocument/2006/relationships/hyperlink" Target="https://www.daloopa.com/src/59379329" TargetMode="External"/><Relationship Id="rId1357" Type="http://schemas.openxmlformats.org/officeDocument/2006/relationships/hyperlink" Target="https://marketplace.daloopa.com/text-fundamental?id=58815927&amp;value=-362&amp;id=58815952&amp;value=-171&amp;id=58815967&amp;value=-172&amp;id=59379413&amp;value=-705&amp;id=58816006&amp;value=-349&amp;id=59368519&amp;value=-177&amp;" TargetMode="External"/><Relationship Id="rId1564" Type="http://schemas.openxmlformats.org/officeDocument/2006/relationships/hyperlink" Target="https://marketplace.daloopa.com/text-fundamental?id=58932445&amp;value=781&amp;" TargetMode="External"/><Relationship Id="rId1771" Type="http://schemas.openxmlformats.org/officeDocument/2006/relationships/hyperlink" Target="https://www.daloopa.com/src/59695231" TargetMode="External"/><Relationship Id="rId2408" Type="http://schemas.openxmlformats.org/officeDocument/2006/relationships/hyperlink" Target="https://www.daloopa.com/src/58987734" TargetMode="External"/><Relationship Id="rId2615" Type="http://schemas.openxmlformats.org/officeDocument/2006/relationships/hyperlink" Target="https://marketplace.daloopa.com/text-fundamental?id=58988361&amp;value=11&amp;id=59372878&amp;value=10&amp;" TargetMode="External"/><Relationship Id="rId2822" Type="http://schemas.openxmlformats.org/officeDocument/2006/relationships/hyperlink" Target="https://www.daloopa.com/src/58978537" TargetMode="External"/><Relationship Id="rId63" Type="http://schemas.openxmlformats.org/officeDocument/2006/relationships/hyperlink" Target="https://www.daloopa.com/src/59374986" TargetMode="External"/><Relationship Id="rId1217" Type="http://schemas.openxmlformats.org/officeDocument/2006/relationships/hyperlink" Target="https://www.daloopa.com/src/59368514" TargetMode="External"/><Relationship Id="rId1424" Type="http://schemas.openxmlformats.org/officeDocument/2006/relationships/hyperlink" Target="https://www.daloopa.com/src/58931049" TargetMode="External"/><Relationship Id="rId1631" Type="http://schemas.openxmlformats.org/officeDocument/2006/relationships/hyperlink" Target="https://www.daloopa.com/src/58816054" TargetMode="External"/><Relationship Id="rId2198" Type="http://schemas.openxmlformats.org/officeDocument/2006/relationships/hyperlink" Target="https://www.daloopa.com/src/58941043" TargetMode="External"/><Relationship Id="rId377" Type="http://schemas.openxmlformats.org/officeDocument/2006/relationships/hyperlink" Target="https://www.daloopa.com/src/58873628" TargetMode="External"/><Relationship Id="rId584" Type="http://schemas.openxmlformats.org/officeDocument/2006/relationships/hyperlink" Target="https://www.daloopa.com/src/58800415" TargetMode="External"/><Relationship Id="rId2058" Type="http://schemas.openxmlformats.org/officeDocument/2006/relationships/hyperlink" Target="https://www.daloopa.com/src/58816138" TargetMode="External"/><Relationship Id="rId2265" Type="http://schemas.openxmlformats.org/officeDocument/2006/relationships/hyperlink" Target="https://www.daloopa.com/src/58944577" TargetMode="External"/><Relationship Id="rId237" Type="http://schemas.openxmlformats.org/officeDocument/2006/relationships/hyperlink" Target="https://www.daloopa.com/src/59372937" TargetMode="External"/><Relationship Id="rId791" Type="http://schemas.openxmlformats.org/officeDocument/2006/relationships/hyperlink" Target="https://www.daloopa.com/src/59368490" TargetMode="External"/><Relationship Id="rId1074" Type="http://schemas.openxmlformats.org/officeDocument/2006/relationships/hyperlink" Target="https://www.daloopa.com/src/59379357" TargetMode="External"/><Relationship Id="rId2472" Type="http://schemas.openxmlformats.org/officeDocument/2006/relationships/hyperlink" Target="https://marketplace.daloopa.com/text-fundamental?id=58988048&amp;value=-38181&amp;" TargetMode="External"/><Relationship Id="rId444" Type="http://schemas.openxmlformats.org/officeDocument/2006/relationships/hyperlink" Target="https://www.daloopa.com/src/59581284" TargetMode="External"/><Relationship Id="rId651" Type="http://schemas.openxmlformats.org/officeDocument/2006/relationships/hyperlink" Target="https://marketplace.daloopa.com/text-fundamental?id=59756360&amp;value=129777&amp;" TargetMode="External"/><Relationship Id="rId1281" Type="http://schemas.openxmlformats.org/officeDocument/2006/relationships/hyperlink" Target="https://www.daloopa.com/src/58815957" TargetMode="External"/><Relationship Id="rId2125" Type="http://schemas.openxmlformats.org/officeDocument/2006/relationships/hyperlink" Target="https://www.daloopa.com/src/58816137" TargetMode="External"/><Relationship Id="rId2332" Type="http://schemas.openxmlformats.org/officeDocument/2006/relationships/hyperlink" Target="https://www.daloopa.com/src/58979976" TargetMode="External"/><Relationship Id="rId304" Type="http://schemas.openxmlformats.org/officeDocument/2006/relationships/hyperlink" Target="https://www.daloopa.com/src/58815135" TargetMode="External"/><Relationship Id="rId511" Type="http://schemas.openxmlformats.org/officeDocument/2006/relationships/hyperlink" Target="https://www.daloopa.com/src/58873703" TargetMode="External"/><Relationship Id="rId1141" Type="http://schemas.openxmlformats.org/officeDocument/2006/relationships/hyperlink" Target="https://www.daloopa.com/src/58815809" TargetMode="External"/><Relationship Id="rId1001" Type="http://schemas.openxmlformats.org/officeDocument/2006/relationships/hyperlink" Target="https://www.daloopa.com/src/59379343" TargetMode="External"/><Relationship Id="rId1958" Type="http://schemas.openxmlformats.org/officeDocument/2006/relationships/hyperlink" Target="https://www.daloopa.com/src/58802511" TargetMode="External"/><Relationship Id="rId1818" Type="http://schemas.openxmlformats.org/officeDocument/2006/relationships/hyperlink" Target="https://www.daloopa.com/src/58936832" TargetMode="External"/><Relationship Id="rId161" Type="http://schemas.openxmlformats.org/officeDocument/2006/relationships/hyperlink" Target="https://marketplace.daloopa.com/text-fundamental?id=59084120&amp;value=-17.2&amp;id=59084281&amp;value=10.6&amp;id=59083036&amp;value=49.3&amp;id=59080199&amp;value=39.9&amp;id=59379435&amp;value=39.60000000000001&amp;id=59083063&amp;value=139.4&amp;id=59080109&amp;value=33.9&amp;id=59373925&amp;value=9.6&amp;" TargetMode="External"/><Relationship Id="rId2799" Type="http://schemas.openxmlformats.org/officeDocument/2006/relationships/hyperlink" Target="https://www.daloopa.com/src/59006255" TargetMode="External"/><Relationship Id="rId978" Type="http://schemas.openxmlformats.org/officeDocument/2006/relationships/hyperlink" Target="https://www.daloopa.com/src/58865907" TargetMode="External"/><Relationship Id="rId2659" Type="http://schemas.openxmlformats.org/officeDocument/2006/relationships/hyperlink" Target="https://www.daloopa.com/src/58992491" TargetMode="External"/><Relationship Id="rId2866" Type="http://schemas.openxmlformats.org/officeDocument/2006/relationships/hyperlink" Target="https://www.daloopa.com/src/59085082" TargetMode="External"/><Relationship Id="rId838" Type="http://schemas.openxmlformats.org/officeDocument/2006/relationships/hyperlink" Target="https://www.daloopa.com/src/58800595" TargetMode="External"/><Relationship Id="rId1468" Type="http://schemas.openxmlformats.org/officeDocument/2006/relationships/hyperlink" Target="https://www.daloopa.com/src/58816033" TargetMode="External"/><Relationship Id="rId1675" Type="http://schemas.openxmlformats.org/officeDocument/2006/relationships/hyperlink" Target="https://marketplace.daloopa.com/text-fundamental?id=58934465&amp;value=262&amp;id=58934389&amp;value=26&amp;id=58934407&amp;value=3125&amp;id=58934446&amp;value=3413&amp;id=58874667&amp;value=450&amp;id=58816063&amp;value=73&amp;id=58816056&amp;value=63&amp;id=58809477&amp;value=584&amp;id=58800879&amp;value=-889&amp;id=59368525&amp;value=525&amp;" TargetMode="External"/><Relationship Id="rId1882" Type="http://schemas.openxmlformats.org/officeDocument/2006/relationships/hyperlink" Target="https://www.daloopa.com/src/59368544" TargetMode="External"/><Relationship Id="rId2519" Type="http://schemas.openxmlformats.org/officeDocument/2006/relationships/hyperlink" Target="https://www.daloopa.com/src/58988132" TargetMode="External"/><Relationship Id="rId2726" Type="http://schemas.openxmlformats.org/officeDocument/2006/relationships/hyperlink" Target="https://www.daloopa.com/src/59004655" TargetMode="External"/><Relationship Id="rId1328" Type="http://schemas.openxmlformats.org/officeDocument/2006/relationships/hyperlink" Target="https://www.daloopa.com/src/58931066" TargetMode="External"/><Relationship Id="rId1535" Type="http://schemas.openxmlformats.org/officeDocument/2006/relationships/hyperlink" Target="https://www.daloopa.com/src/58932380" TargetMode="External"/><Relationship Id="rId905" Type="http://schemas.openxmlformats.org/officeDocument/2006/relationships/hyperlink" Target="https://www.daloopa.com/src/58873785" TargetMode="External"/><Relationship Id="rId1742" Type="http://schemas.openxmlformats.org/officeDocument/2006/relationships/hyperlink" Target="https://www.daloopa.com/src/59736629" TargetMode="External"/><Relationship Id="rId34" Type="http://schemas.openxmlformats.org/officeDocument/2006/relationships/hyperlink" Target="https://www.daloopa.com/src/59368563" TargetMode="External"/><Relationship Id="rId1602" Type="http://schemas.openxmlformats.org/officeDocument/2006/relationships/hyperlink" Target="https://marketplace.daloopa.com/text-fundamental?id=58936247&amp;value=902&amp;id=58936257&amp;value=2184&amp;id=58936265&amp;value=2172&amp;id=58936277&amp;value=1640&amp;id=58936398&amp;value=6898&amp;id=58936385&amp;value=-4920&amp;id=58934463&amp;value=-3499&amp;id=58934393&amp;value=-2889&amp;id=58934400&amp;value=-47&amp;id=58934450&amp;value=-11355&amp;id=58874661&amp;value=-4435&amp;id=58816057&amp;value=3063&amp;id=58816052&amp;value=3397&amp;id=58809368&amp;value=6837&amp;id=58809473&amp;value=8862&amp;id=58800874&amp;value=4935&amp;id=59368530&amp;value=5432&amp;" TargetMode="External"/><Relationship Id="rId488" Type="http://schemas.openxmlformats.org/officeDocument/2006/relationships/hyperlink" Target="https://www.daloopa.com/src/58800414" TargetMode="External"/><Relationship Id="rId695" Type="http://schemas.openxmlformats.org/officeDocument/2006/relationships/hyperlink" Target="https://www.daloopa.com/src/58805142" TargetMode="External"/><Relationship Id="rId2169" Type="http://schemas.openxmlformats.org/officeDocument/2006/relationships/hyperlink" Target="https://www.daloopa.com/src/58935608" TargetMode="External"/><Relationship Id="rId2376" Type="http://schemas.openxmlformats.org/officeDocument/2006/relationships/hyperlink" Target="https://www.daloopa.com/src/58985430" TargetMode="External"/><Relationship Id="rId2583" Type="http://schemas.openxmlformats.org/officeDocument/2006/relationships/hyperlink" Target="https://www.daloopa.com/src/58988237" TargetMode="External"/><Relationship Id="rId2790" Type="http://schemas.openxmlformats.org/officeDocument/2006/relationships/hyperlink" Target="https://www.daloopa.com/src/59006256" TargetMode="External"/><Relationship Id="rId348" Type="http://schemas.openxmlformats.org/officeDocument/2006/relationships/hyperlink" Target="https://www.daloopa.com/src/58800410" TargetMode="External"/><Relationship Id="rId555" Type="http://schemas.openxmlformats.org/officeDocument/2006/relationships/hyperlink" Target="https://www.daloopa.com/src/58815151" TargetMode="External"/><Relationship Id="rId762" Type="http://schemas.openxmlformats.org/officeDocument/2006/relationships/hyperlink" Target="https://marketplace.daloopa.com/text-fundamental?id=58930195&amp;value=36342&amp;id=58873797&amp;value=44117&amp;id=58930011&amp;value=36008&amp;id=58815541&amp;value=47314&amp;id=58815516&amp;value=46078&amp;id=58805323&amp;value=53977&amp;id=58800596&amp;value=51450&amp;id=59368484&amp;value=49534&amp;" TargetMode="External"/><Relationship Id="rId1185" Type="http://schemas.openxmlformats.org/officeDocument/2006/relationships/hyperlink" Target="https://www.daloopa.com/src/58881377" TargetMode="External"/><Relationship Id="rId1392" Type="http://schemas.openxmlformats.org/officeDocument/2006/relationships/hyperlink" Target="https://www.daloopa.com/src/58933750" TargetMode="External"/><Relationship Id="rId2029" Type="http://schemas.openxmlformats.org/officeDocument/2006/relationships/hyperlink" Target="https://www.daloopa.com/src/58816151" TargetMode="External"/><Relationship Id="rId2236" Type="http://schemas.openxmlformats.org/officeDocument/2006/relationships/hyperlink" Target="https://www.daloopa.com/src/58944653" TargetMode="External"/><Relationship Id="rId2443" Type="http://schemas.openxmlformats.org/officeDocument/2006/relationships/hyperlink" Target="https://www.daloopa.com/src/58985426" TargetMode="External"/><Relationship Id="rId2650" Type="http://schemas.openxmlformats.org/officeDocument/2006/relationships/hyperlink" Target="https://www.daloopa.com/src/58990049" TargetMode="External"/><Relationship Id="rId208" Type="http://schemas.openxmlformats.org/officeDocument/2006/relationships/hyperlink" Target="https://www.daloopa.com/src/59372934" TargetMode="External"/><Relationship Id="rId415" Type="http://schemas.openxmlformats.org/officeDocument/2006/relationships/hyperlink" Target="https://marketplace.daloopa.com/text-fundamental?id=59581271&amp;value=9423&amp;id=58881264&amp;value=9423&amp;" TargetMode="External"/><Relationship Id="rId622" Type="http://schemas.openxmlformats.org/officeDocument/2006/relationships/hyperlink" Target="https://www.daloopa.com/src/58881573" TargetMode="External"/><Relationship Id="rId1045" Type="http://schemas.openxmlformats.org/officeDocument/2006/relationships/hyperlink" Target="https://www.daloopa.com/src/59379351" TargetMode="External"/><Relationship Id="rId1252" Type="http://schemas.openxmlformats.org/officeDocument/2006/relationships/hyperlink" Target="https://www.daloopa.com/src/59379392" TargetMode="External"/><Relationship Id="rId2303" Type="http://schemas.openxmlformats.org/officeDocument/2006/relationships/hyperlink" Target="https://marketplace.daloopa.com/text-fundamental?id=59150542&amp;value=11.1&amp;id=59151429&amp;value=13.2&amp;id=59148589&amp;value=19.8&amp;id=59148514&amp;value=19.9&amp;id=59379448&amp;value=19.800000000000004&amp;id=59150520&amp;value=72.7&amp;id=59148611&amp;value=18.3&amp;id=59148588&amp;value=18.4&amp;id=59148496&amp;value=18.4&amp;id=59379449&amp;value=18.4&amp;id=59148644&amp;value=73.5&amp;id=59148373&amp;value=17.2&amp;id=59371912&amp;value=17.1&amp;" TargetMode="External"/><Relationship Id="rId2510" Type="http://schemas.openxmlformats.org/officeDocument/2006/relationships/hyperlink" Target="https://marketplace.daloopa.com/text-fundamental?id=58988194&amp;value=6898&amp;id=58988184&amp;value=-11355&amp;id=58988179&amp;value=8862&amp;" TargetMode="External"/><Relationship Id="rId1112" Type="http://schemas.openxmlformats.org/officeDocument/2006/relationships/hyperlink" Target="https://www.daloopa.com/src/58800689" TargetMode="External"/><Relationship Id="rId1929" Type="http://schemas.openxmlformats.org/officeDocument/2006/relationships/hyperlink" Target="https://www.daloopa.com/src/58935548" TargetMode="External"/><Relationship Id="rId2093" Type="http://schemas.openxmlformats.org/officeDocument/2006/relationships/hyperlink" Target="https://marketplace.daloopa.com/text-fundamental?id=58940288&amp;value=0.01&amp;id=59751938&amp;value=0.08&amp;id=58935602&amp;value=0&amp;id=58935585&amp;value=0&amp;id=58935562&amp;value=0&amp;id=58935577&amp;value=0.08&amp;id=58874718&amp;value=0.03&amp;id=58816152&amp;value=0&amp;id=58816142&amp;value=0.01&amp;id=58809911&amp;value=0.02&amp;id=58810056&amp;value=0.07&amp;id=58804535&amp;value=0.01&amp;id=59368553&amp;value=0.01&amp;" TargetMode="External"/><Relationship Id="rId272" Type="http://schemas.openxmlformats.org/officeDocument/2006/relationships/hyperlink" Target="https://www.daloopa.com/src/59372938" TargetMode="External"/><Relationship Id="rId2160" Type="http://schemas.openxmlformats.org/officeDocument/2006/relationships/hyperlink" Target="https://www.daloopa.com/src/58935590" TargetMode="External"/><Relationship Id="rId132" Type="http://schemas.openxmlformats.org/officeDocument/2006/relationships/hyperlink" Target="https://www.daloopa.com/src/59071494" TargetMode="External"/><Relationship Id="rId2020" Type="http://schemas.openxmlformats.org/officeDocument/2006/relationships/hyperlink" Target="https://www.daloopa.com/src/59695630" TargetMode="External"/><Relationship Id="rId1579" Type="http://schemas.openxmlformats.org/officeDocument/2006/relationships/hyperlink" Target="https://www.daloopa.com/src/58800873" TargetMode="External"/><Relationship Id="rId949" Type="http://schemas.openxmlformats.org/officeDocument/2006/relationships/hyperlink" Target="https://www.daloopa.com/src/59379332" TargetMode="External"/><Relationship Id="rId1786" Type="http://schemas.openxmlformats.org/officeDocument/2006/relationships/hyperlink" Target="https://marketplace.daloopa.com/text-fundamental?id=59695228&amp;value=153&amp;" TargetMode="External"/><Relationship Id="rId1993" Type="http://schemas.openxmlformats.org/officeDocument/2006/relationships/hyperlink" Target="https://www.daloopa.com/src/58809650" TargetMode="External"/><Relationship Id="rId2837" Type="http://schemas.openxmlformats.org/officeDocument/2006/relationships/hyperlink" Target="https://www.daloopa.com/src/58978530" TargetMode="External"/><Relationship Id="rId78" Type="http://schemas.openxmlformats.org/officeDocument/2006/relationships/hyperlink" Target="https://www.daloopa.com/src/59066390" TargetMode="External"/><Relationship Id="rId809" Type="http://schemas.openxmlformats.org/officeDocument/2006/relationships/hyperlink" Target="https://www.daloopa.com/src/58815527" TargetMode="External"/><Relationship Id="rId1439" Type="http://schemas.openxmlformats.org/officeDocument/2006/relationships/hyperlink" Target="https://www.daloopa.com/src/58865948" TargetMode="External"/><Relationship Id="rId1646" Type="http://schemas.openxmlformats.org/officeDocument/2006/relationships/hyperlink" Target="https://www.daloopa.com/src/58936383" TargetMode="External"/><Relationship Id="rId1853" Type="http://schemas.openxmlformats.org/officeDocument/2006/relationships/hyperlink" Target="https://www.daloopa.com/src/58936806" TargetMode="External"/><Relationship Id="rId2904" Type="http://schemas.openxmlformats.org/officeDocument/2006/relationships/hyperlink" Target="https://www.daloopa.com/src/59751944" TargetMode="External"/><Relationship Id="rId1506" Type="http://schemas.openxmlformats.org/officeDocument/2006/relationships/hyperlink" Target="https://marketplace.daloopa.com/text-fundamental?id=58932350&amp;value=-997&amp;" TargetMode="External"/><Relationship Id="rId1713" Type="http://schemas.openxmlformats.org/officeDocument/2006/relationships/hyperlink" Target="https://www.daloopa.com/src/58800872" TargetMode="External"/><Relationship Id="rId1920" Type="http://schemas.openxmlformats.org/officeDocument/2006/relationships/hyperlink" Target="https://marketplace.daloopa.com/text-fundamental?id=58935496&amp;value=262&amp;id=58935510&amp;value=26&amp;id=58935523&amp;value=3125&amp;id=58935548&amp;value=3413&amp;id=58874702&amp;value=450&amp;id=58816109&amp;value=73&amp;id=58816128&amp;value=63&amp;id=58809714&amp;value=584&amp;id=58802508&amp;value=-889&amp;id=59368541&amp;value=525&amp;" TargetMode="External"/><Relationship Id="rId599" Type="http://schemas.openxmlformats.org/officeDocument/2006/relationships/hyperlink" Target="https://marketplace.daloopa.com/text-fundamental?id=58881563&amp;value=36794&amp;" TargetMode="External"/><Relationship Id="rId2487" Type="http://schemas.openxmlformats.org/officeDocument/2006/relationships/hyperlink" Target="https://www.daloopa.com/src/58988136" TargetMode="External"/><Relationship Id="rId2694" Type="http://schemas.openxmlformats.org/officeDocument/2006/relationships/hyperlink" Target="https://www.daloopa.com/src/59372591" TargetMode="External"/><Relationship Id="rId459" Type="http://schemas.openxmlformats.org/officeDocument/2006/relationships/hyperlink" Target="https://www.daloopa.com/src/58882145" TargetMode="External"/><Relationship Id="rId666" Type="http://schemas.openxmlformats.org/officeDocument/2006/relationships/hyperlink" Target="https://www.daloopa.com/src/58815486" TargetMode="External"/><Relationship Id="rId873" Type="http://schemas.openxmlformats.org/officeDocument/2006/relationships/hyperlink" Target="https://www.daloopa.com/src/58815533" TargetMode="External"/><Relationship Id="rId1089" Type="http://schemas.openxmlformats.org/officeDocument/2006/relationships/hyperlink" Target="https://www.daloopa.com/src/59379360" TargetMode="External"/><Relationship Id="rId1296" Type="http://schemas.openxmlformats.org/officeDocument/2006/relationships/hyperlink" Target="https://www.daloopa.com/src/58815940" TargetMode="External"/><Relationship Id="rId2347" Type="http://schemas.openxmlformats.org/officeDocument/2006/relationships/hyperlink" Target="https://www.daloopa.com/src/58979973" TargetMode="External"/><Relationship Id="rId2554" Type="http://schemas.openxmlformats.org/officeDocument/2006/relationships/hyperlink" Target="https://www.daloopa.com/src/58988211" TargetMode="External"/><Relationship Id="rId319" Type="http://schemas.openxmlformats.org/officeDocument/2006/relationships/hyperlink" Target="https://www.daloopa.com/src/58804870" TargetMode="External"/><Relationship Id="rId526" Type="http://schemas.openxmlformats.org/officeDocument/2006/relationships/hyperlink" Target="https://www.daloopa.com/src/58864787" TargetMode="External"/><Relationship Id="rId1156" Type="http://schemas.openxmlformats.org/officeDocument/2006/relationships/hyperlink" Target="https://www.daloopa.com/src/58865899" TargetMode="External"/><Relationship Id="rId1363" Type="http://schemas.openxmlformats.org/officeDocument/2006/relationships/hyperlink" Target="https://www.daloopa.com/src/59379413" TargetMode="External"/><Relationship Id="rId2207" Type="http://schemas.openxmlformats.org/officeDocument/2006/relationships/hyperlink" Target="https://www.daloopa.com/src/58944661" TargetMode="External"/><Relationship Id="rId2761" Type="http://schemas.openxmlformats.org/officeDocument/2006/relationships/hyperlink" Target="https://www.daloopa.com/src/59005356" TargetMode="External"/><Relationship Id="rId733" Type="http://schemas.openxmlformats.org/officeDocument/2006/relationships/hyperlink" Target="https://www.daloopa.com/src/59368465" TargetMode="External"/><Relationship Id="rId940" Type="http://schemas.openxmlformats.org/officeDocument/2006/relationships/hyperlink" Target="https://www.daloopa.com/src/58930825" TargetMode="External"/><Relationship Id="rId1016" Type="http://schemas.openxmlformats.org/officeDocument/2006/relationships/hyperlink" Target="https://www.daloopa.com/src/59379346" TargetMode="External"/><Relationship Id="rId1570" Type="http://schemas.openxmlformats.org/officeDocument/2006/relationships/hyperlink" Target="https://www.daloopa.com/src/58936279" TargetMode="External"/><Relationship Id="rId2414" Type="http://schemas.openxmlformats.org/officeDocument/2006/relationships/hyperlink" Target="https://www.daloopa.com/src/58987748" TargetMode="External"/><Relationship Id="rId2621" Type="http://schemas.openxmlformats.org/officeDocument/2006/relationships/hyperlink" Target="https://marketplace.daloopa.com/text-fundamental?id=58988357&amp;value=2044&amp;id=59372883&amp;value=2078&amp;" TargetMode="External"/><Relationship Id="rId800" Type="http://schemas.openxmlformats.org/officeDocument/2006/relationships/hyperlink" Target="https://www.daloopa.com/src/58815522" TargetMode="External"/><Relationship Id="rId1223" Type="http://schemas.openxmlformats.org/officeDocument/2006/relationships/hyperlink" Target="https://marketplace.daloopa.com/text-fundamental?id=58933716&amp;value=-6578&amp;id=59379387&amp;value=-6578&amp;id=58934090&amp;value=-826&amp;id=58931036&amp;value=-1898&amp;id=58930980&amp;value=-1359&amp;id=58930961&amp;value=-1221&amp;id=59379388&amp;value=-5304&amp;id=58865924&amp;value=-1443&amp;id=58815877&amp;value=-2398&amp;id=58815892&amp;value=-1902&amp;id=58815905&amp;value=-1570&amp;id=59379389&amp;value=-7313&amp;id=58800713&amp;value=-2909&amp;id=59368515&amp;value=-2256&amp;" TargetMode="External"/><Relationship Id="rId1430" Type="http://schemas.openxmlformats.org/officeDocument/2006/relationships/hyperlink" Target="https://www.daloopa.com/src/58815963" TargetMode="External"/><Relationship Id="rId176" Type="http://schemas.openxmlformats.org/officeDocument/2006/relationships/hyperlink" Target="https://www.daloopa.com/src/59080200" TargetMode="External"/><Relationship Id="rId383" Type="http://schemas.openxmlformats.org/officeDocument/2006/relationships/hyperlink" Target="https://www.daloopa.com/src/58804877" TargetMode="External"/><Relationship Id="rId590" Type="http://schemas.openxmlformats.org/officeDocument/2006/relationships/hyperlink" Target="https://www.daloopa.com/src/58881560" TargetMode="External"/><Relationship Id="rId2064" Type="http://schemas.openxmlformats.org/officeDocument/2006/relationships/hyperlink" Target="https://www.daloopa.com/src/58810053" TargetMode="External"/><Relationship Id="rId2271" Type="http://schemas.openxmlformats.org/officeDocument/2006/relationships/hyperlink" Target="https://www.daloopa.com/src/59074005" TargetMode="External"/><Relationship Id="rId243" Type="http://schemas.openxmlformats.org/officeDocument/2006/relationships/hyperlink" Target="https://www.daloopa.com/src/58947521" TargetMode="External"/><Relationship Id="rId450" Type="http://schemas.openxmlformats.org/officeDocument/2006/relationships/hyperlink" Target="https://www.daloopa.com/src/58815143" TargetMode="External"/><Relationship Id="rId1080" Type="http://schemas.openxmlformats.org/officeDocument/2006/relationships/hyperlink" Target="https://www.daloopa.com/src/58930915" TargetMode="External"/><Relationship Id="rId2131" Type="http://schemas.openxmlformats.org/officeDocument/2006/relationships/hyperlink" Target="https://www.daloopa.com/src/59751942" TargetMode="External"/><Relationship Id="rId103" Type="http://schemas.openxmlformats.org/officeDocument/2006/relationships/hyperlink" Target="https://marketplace.daloopa.com/text-fundamental?id=59069571&amp;value=2200&amp;id=59069521&amp;value=2750&amp;id=59068031&amp;value=2875&amp;id=59068026&amp;value=2875&amp;id=59374993&amp;value=2875&amp;" TargetMode="External"/><Relationship Id="rId310" Type="http://schemas.openxmlformats.org/officeDocument/2006/relationships/hyperlink" Target="https://www.daloopa.com/src/58815187" TargetMode="External"/><Relationship Id="rId1897" Type="http://schemas.openxmlformats.org/officeDocument/2006/relationships/hyperlink" Target="https://www.daloopa.com/src/58816130" TargetMode="External"/><Relationship Id="rId1757" Type="http://schemas.openxmlformats.org/officeDocument/2006/relationships/hyperlink" Target="https://www.daloopa.com/src/58938649" TargetMode="External"/><Relationship Id="rId1964" Type="http://schemas.openxmlformats.org/officeDocument/2006/relationships/hyperlink" Target="https://www.daloopa.com/src/58936792" TargetMode="External"/><Relationship Id="rId2808" Type="http://schemas.openxmlformats.org/officeDocument/2006/relationships/hyperlink" Target="https://www.daloopa.com/src/58978528" TargetMode="External"/><Relationship Id="rId49" Type="http://schemas.openxmlformats.org/officeDocument/2006/relationships/hyperlink" Target="https://www.daloopa.com/src/58816173" TargetMode="External"/><Relationship Id="rId1617" Type="http://schemas.openxmlformats.org/officeDocument/2006/relationships/hyperlink" Target="https://www.daloopa.com/src/58936398" TargetMode="External"/><Relationship Id="rId1824" Type="http://schemas.openxmlformats.org/officeDocument/2006/relationships/hyperlink" Target="https://www.daloopa.com/src/58816114" TargetMode="External"/><Relationship Id="rId2598" Type="http://schemas.openxmlformats.org/officeDocument/2006/relationships/hyperlink" Target="https://marketplace.daloopa.com/text-fundamental?id=58988356&amp;value=1759&amp;id=59372882&amp;value=1828&amp;" TargetMode="External"/><Relationship Id="rId777" Type="http://schemas.openxmlformats.org/officeDocument/2006/relationships/hyperlink" Target="https://www.daloopa.com/src/58805332" TargetMode="External"/><Relationship Id="rId984" Type="http://schemas.openxmlformats.org/officeDocument/2006/relationships/hyperlink" Target="https://www.daloopa.com/src/59379338" TargetMode="External"/><Relationship Id="rId2458" Type="http://schemas.openxmlformats.org/officeDocument/2006/relationships/hyperlink" Target="https://www.daloopa.com/src/59008894" TargetMode="External"/><Relationship Id="rId2665" Type="http://schemas.openxmlformats.org/officeDocument/2006/relationships/hyperlink" Target="https://www.daloopa.com/src/58992288" TargetMode="External"/><Relationship Id="rId2872" Type="http://schemas.openxmlformats.org/officeDocument/2006/relationships/hyperlink" Target="https://www.daloopa.com/src/59085232" TargetMode="External"/><Relationship Id="rId637" Type="http://schemas.openxmlformats.org/officeDocument/2006/relationships/hyperlink" Target="https://www.daloopa.com/src/58815491" TargetMode="External"/><Relationship Id="rId844" Type="http://schemas.openxmlformats.org/officeDocument/2006/relationships/hyperlink" Target="https://www.daloopa.com/src/58930188" TargetMode="External"/><Relationship Id="rId1267" Type="http://schemas.openxmlformats.org/officeDocument/2006/relationships/hyperlink" Target="https://www.daloopa.com/src/59379395" TargetMode="External"/><Relationship Id="rId1474" Type="http://schemas.openxmlformats.org/officeDocument/2006/relationships/hyperlink" Target="https://www.daloopa.com/src/59379430" TargetMode="External"/><Relationship Id="rId1681" Type="http://schemas.openxmlformats.org/officeDocument/2006/relationships/hyperlink" Target="https://www.daloopa.com/src/58816056" TargetMode="External"/><Relationship Id="rId2318" Type="http://schemas.openxmlformats.org/officeDocument/2006/relationships/hyperlink" Target="https://www.daloopa.com/src/59150521" TargetMode="External"/><Relationship Id="rId2525" Type="http://schemas.openxmlformats.org/officeDocument/2006/relationships/hyperlink" Target="https://www.daloopa.com/src/58988186" TargetMode="External"/><Relationship Id="rId2732" Type="http://schemas.openxmlformats.org/officeDocument/2006/relationships/hyperlink" Target="https://www.daloopa.com/src/59004909" TargetMode="External"/><Relationship Id="rId704" Type="http://schemas.openxmlformats.org/officeDocument/2006/relationships/hyperlink" Target="https://www.daloopa.com/src/58805141" TargetMode="External"/><Relationship Id="rId911" Type="http://schemas.openxmlformats.org/officeDocument/2006/relationships/hyperlink" Target="https://www.daloopa.com/src/59368477" TargetMode="External"/><Relationship Id="rId1127" Type="http://schemas.openxmlformats.org/officeDocument/2006/relationships/hyperlink" Target="https://www.daloopa.com/src/58800686" TargetMode="External"/><Relationship Id="rId1334" Type="http://schemas.openxmlformats.org/officeDocument/2006/relationships/hyperlink" Target="https://www.daloopa.com/src/58931063" TargetMode="External"/><Relationship Id="rId1541" Type="http://schemas.openxmlformats.org/officeDocument/2006/relationships/hyperlink" Target="https://www.daloopa.com/src/58932428" TargetMode="External"/><Relationship Id="rId40" Type="http://schemas.openxmlformats.org/officeDocument/2006/relationships/hyperlink" Target="https://www.daloopa.com/src/59368558" TargetMode="External"/><Relationship Id="rId1401" Type="http://schemas.openxmlformats.org/officeDocument/2006/relationships/hyperlink" Target="https://www.daloopa.com/src/58816004" TargetMode="External"/><Relationship Id="rId287" Type="http://schemas.openxmlformats.org/officeDocument/2006/relationships/hyperlink" Target="https://www.daloopa.com/src/58873697" TargetMode="External"/><Relationship Id="rId494" Type="http://schemas.openxmlformats.org/officeDocument/2006/relationships/hyperlink" Target="https://www.daloopa.com/src/59581267" TargetMode="External"/><Relationship Id="rId2175" Type="http://schemas.openxmlformats.org/officeDocument/2006/relationships/hyperlink" Target="https://www.daloopa.com/src/58935572" TargetMode="External"/><Relationship Id="rId2382" Type="http://schemas.openxmlformats.org/officeDocument/2006/relationships/hyperlink" Target="https://www.daloopa.com/src/58987732" TargetMode="External"/><Relationship Id="rId147" Type="http://schemas.openxmlformats.org/officeDocument/2006/relationships/hyperlink" Target="https://www.daloopa.com/src/59751932" TargetMode="External"/><Relationship Id="rId354" Type="http://schemas.openxmlformats.org/officeDocument/2006/relationships/hyperlink" Target="https://www.daloopa.com/src/58882227" TargetMode="External"/><Relationship Id="rId1191" Type="http://schemas.openxmlformats.org/officeDocument/2006/relationships/hyperlink" Target="https://www.daloopa.com/src/58815846" TargetMode="External"/><Relationship Id="rId2035" Type="http://schemas.openxmlformats.org/officeDocument/2006/relationships/hyperlink" Target="https://www.daloopa.com/src/58935570" TargetMode="External"/><Relationship Id="rId561" Type="http://schemas.openxmlformats.org/officeDocument/2006/relationships/hyperlink" Target="https://www.daloopa.com/src/58815173" TargetMode="External"/><Relationship Id="rId2242" Type="http://schemas.openxmlformats.org/officeDocument/2006/relationships/hyperlink" Target="https://www.daloopa.com/src/58944815" TargetMode="External"/><Relationship Id="rId214" Type="http://schemas.openxmlformats.org/officeDocument/2006/relationships/hyperlink" Target="https://www.daloopa.com/src/58947520" TargetMode="External"/><Relationship Id="rId421" Type="http://schemas.openxmlformats.org/officeDocument/2006/relationships/hyperlink" Target="https://marketplace.daloopa.com/text-fundamental?id=58882228&amp;value=13023&amp;id=58882141&amp;value=12829&amp;id=58881412&amp;value=12758&amp;id=58881389&amp;value=12409&amp;id=58881605&amp;value=51019&amp;id=59581283&amp;value=22253&amp;id=58873622&amp;value=13663&amp;id=58873655&amp;value=11630&amp;id=58873710&amp;value=9261&amp;id=58881257&amp;value=56807&amp;id=58864798&amp;value=20655&amp;id=58815465&amp;value=10452&amp;id=58815144&amp;value=4706&amp;id=58804868&amp;value=3097&amp;id=58815188&amp;value=38910&amp;id=58800403&amp;value=-850&amp;id=59368447&amp;value=3112&amp;" TargetMode="External"/><Relationship Id="rId1051" Type="http://schemas.openxmlformats.org/officeDocument/2006/relationships/hyperlink" Target="https://www.daloopa.com/src/58930924" TargetMode="External"/><Relationship Id="rId2102" Type="http://schemas.openxmlformats.org/officeDocument/2006/relationships/hyperlink" Target="https://www.daloopa.com/src/58804535" TargetMode="External"/><Relationship Id="rId1868" Type="http://schemas.openxmlformats.org/officeDocument/2006/relationships/hyperlink" Target="https://marketplace.daloopa.com/text-fundamental?id=58936793&amp;value=2758&amp;id=58936797&amp;value=2800&amp;id=58936810&amp;value=2758&amp;id=58936829&amp;value=2758&amp;id=58936950&amp;value=11074&amp;id=58936847&amp;value=22791&amp;id=58935499&amp;value=34135&amp;id=58935512&amp;value=34223&amp;id=58935522&amp;value=34270&amp;id=58935544&amp;value=125419&amp;id=58874699&amp;value=31512&amp;id=58816111&amp;value=31786&amp;id=58816124&amp;value=31749&amp;id=58809645&amp;value=31818&amp;id=58809718&amp;value=126865&amp;id=58802513&amp;value=29115&amp;id=59368544&amp;value=29029&amp;" TargetMode="External"/><Relationship Id="rId2919" Type="http://schemas.openxmlformats.org/officeDocument/2006/relationships/hyperlink" Target="https://marketplace.daloopa.com/text-fundamental?id=59091780&amp;value=-4.5&amp;id=59373958&amp;value=0.9&amp;" TargetMode="External"/><Relationship Id="rId1728" Type="http://schemas.openxmlformats.org/officeDocument/2006/relationships/hyperlink" Target="https://www.daloopa.com/src/58816065" TargetMode="External"/><Relationship Id="rId1935" Type="http://schemas.openxmlformats.org/officeDocument/2006/relationships/hyperlink" Target="https://www.daloopa.com/src/58936828" TargetMode="External"/><Relationship Id="rId4" Type="http://schemas.openxmlformats.org/officeDocument/2006/relationships/hyperlink" Target="https://www.daloopa.com/document/23015249" TargetMode="External"/><Relationship Id="rId888" Type="http://schemas.openxmlformats.org/officeDocument/2006/relationships/hyperlink" Target="https://www.daloopa.com/src/58815536" TargetMode="External"/><Relationship Id="rId2569" Type="http://schemas.openxmlformats.org/officeDocument/2006/relationships/hyperlink" Target="https://www.daloopa.com/src/58988219" TargetMode="External"/><Relationship Id="rId2776" Type="http://schemas.openxmlformats.org/officeDocument/2006/relationships/hyperlink" Target="https://www.daloopa.com/src/59006505" TargetMode="External"/><Relationship Id="rId748" Type="http://schemas.openxmlformats.org/officeDocument/2006/relationships/hyperlink" Target="https://www.daloopa.com/src/58815494" TargetMode="External"/><Relationship Id="rId955" Type="http://schemas.openxmlformats.org/officeDocument/2006/relationships/hyperlink" Target="https://www.daloopa.com/src/58815800" TargetMode="External"/><Relationship Id="rId1378" Type="http://schemas.openxmlformats.org/officeDocument/2006/relationships/hyperlink" Target="https://www.daloopa.com/src/58934110" TargetMode="External"/><Relationship Id="rId1585" Type="http://schemas.openxmlformats.org/officeDocument/2006/relationships/hyperlink" Target="https://www.daloopa.com/src/58936246" TargetMode="External"/><Relationship Id="rId1792" Type="http://schemas.openxmlformats.org/officeDocument/2006/relationships/hyperlink" Target="https://marketplace.daloopa.com/text-fundamental?id=59736761&amp;value=-0.993&amp;" TargetMode="External"/><Relationship Id="rId2429" Type="http://schemas.openxmlformats.org/officeDocument/2006/relationships/hyperlink" Target="https://www.daloopa.com/src/58987747" TargetMode="External"/><Relationship Id="rId2636" Type="http://schemas.openxmlformats.org/officeDocument/2006/relationships/hyperlink" Target="https://www.daloopa.com/src/59372554" TargetMode="External"/><Relationship Id="rId2843" Type="http://schemas.openxmlformats.org/officeDocument/2006/relationships/hyperlink" Target="https://www.daloopa.com/src/58978969" TargetMode="External"/><Relationship Id="rId84" Type="http://schemas.openxmlformats.org/officeDocument/2006/relationships/hyperlink" Target="https://marketplace.daloopa.com/text-fundamental?id=59066769&amp;value=55&amp;id=59066726&amp;value=55&amp;" TargetMode="External"/><Relationship Id="rId608" Type="http://schemas.openxmlformats.org/officeDocument/2006/relationships/hyperlink" Target="https://www.daloopa.com/src/58881566" TargetMode="External"/><Relationship Id="rId815" Type="http://schemas.openxmlformats.org/officeDocument/2006/relationships/hyperlink" Target="https://www.daloopa.com/src/58873799" TargetMode="External"/><Relationship Id="rId1238" Type="http://schemas.openxmlformats.org/officeDocument/2006/relationships/hyperlink" Target="https://marketplace.daloopa.com/text-fundamental?id=58933715&amp;value=-10125&amp;id=59379390&amp;value=-10125&amp;id=58934087&amp;value=-1741&amp;id=58931034&amp;value=-2724&amp;id=58930981&amp;value=-2958&amp;id=58930959&amp;value=-3099&amp;id=59379391&amp;value=-10522&amp;id=58865922&amp;value=-3536&amp;id=58815876&amp;value=-3946&amp;id=58815890&amp;value=-4484&amp;id=58815906&amp;value=-4519&amp;id=59379392&amp;value=-16485&amp;id=58800712&amp;value=-4643&amp;id=59368512&amp;value=-5593&amp;" TargetMode="External"/><Relationship Id="rId1445" Type="http://schemas.openxmlformats.org/officeDocument/2006/relationships/hyperlink" Target="https://marketplace.daloopa.com/text-fundamental?id=58933759&amp;value=5249&amp;id=59379425&amp;value=5249&amp;id=58934130&amp;value=968&amp;id=58931105&amp;value=947&amp;id=58931102&amp;value=1079&amp;id=58931097&amp;value=1792&amp;id=59379426&amp;value=4786&amp;id=58865870&amp;value=298&amp;id=58816037&amp;value=3438&amp;id=58816031&amp;value=2333&amp;id=58815992&amp;value=4292&amp;id=59379427&amp;value=10361&amp;id=58816028&amp;value=1713&amp;id=59368565&amp;value=4468&amp;" TargetMode="External"/><Relationship Id="rId1652" Type="http://schemas.openxmlformats.org/officeDocument/2006/relationships/hyperlink" Target="https://www.daloopa.com/src/58816053" TargetMode="External"/><Relationship Id="rId1305" Type="http://schemas.openxmlformats.org/officeDocument/2006/relationships/hyperlink" Target="https://www.daloopa.com/src/58815960" TargetMode="External"/><Relationship Id="rId2703" Type="http://schemas.openxmlformats.org/officeDocument/2006/relationships/hyperlink" Target="https://www.daloopa.com/src/59372601" TargetMode="External"/><Relationship Id="rId2910" Type="http://schemas.openxmlformats.org/officeDocument/2006/relationships/hyperlink" Target="https://www.daloopa.com/src/59091622" TargetMode="External"/><Relationship Id="rId1512" Type="http://schemas.openxmlformats.org/officeDocument/2006/relationships/hyperlink" Target="https://marketplace.daloopa.com/text-fundamental?id=58932343&amp;value=8&amp;" TargetMode="External"/><Relationship Id="rId11" Type="http://schemas.openxmlformats.org/officeDocument/2006/relationships/hyperlink" Target="https://marketplace.daloopa.com/text-fundamental?id=58816165&amp;value=640&amp;id=58816170&amp;value=680&amp;id=58810742&amp;value=813&amp;id=58804632&amp;value=820&amp;id=59368559&amp;value=823&amp;" TargetMode="External"/><Relationship Id="rId398" Type="http://schemas.openxmlformats.org/officeDocument/2006/relationships/hyperlink" Target="https://www.daloopa.com/src/58815457" TargetMode="External"/><Relationship Id="rId2079" Type="http://schemas.openxmlformats.org/officeDocument/2006/relationships/hyperlink" Target="https://marketplace.daloopa.com/text-fundamental?id=58940291&amp;value=0.01&amp;id=59751937&amp;value=0.01&amp;id=58935601&amp;value=0&amp;id=58935586&amp;value=0&amp;id=58935561&amp;value=0&amp;id=58935578&amp;value=0.01&amp;id=58874717&amp;value=0&amp;id=58816145&amp;value=0.02&amp;id=58816141&amp;value=0.01&amp;id=58809917&amp;value=0.03&amp;id=58810057&amp;value=0.07&amp;id=58804539&amp;value=0.01&amp;id=59368547&amp;value=0.01&amp;" TargetMode="External"/><Relationship Id="rId2286" Type="http://schemas.openxmlformats.org/officeDocument/2006/relationships/hyperlink" Target="https://www.daloopa.com/src/59163826" TargetMode="External"/><Relationship Id="rId2493" Type="http://schemas.openxmlformats.org/officeDocument/2006/relationships/hyperlink" Target="https://www.daloopa.com/src/58988125" TargetMode="External"/><Relationship Id="rId258" Type="http://schemas.openxmlformats.org/officeDocument/2006/relationships/hyperlink" Target="https://www.daloopa.com/src/59706383" TargetMode="External"/><Relationship Id="rId465" Type="http://schemas.openxmlformats.org/officeDocument/2006/relationships/hyperlink" Target="https://www.daloopa.com/src/58873692" TargetMode="External"/><Relationship Id="rId672" Type="http://schemas.openxmlformats.org/officeDocument/2006/relationships/hyperlink" Target="https://www.daloopa.com/src/58930152" TargetMode="External"/><Relationship Id="rId1095" Type="http://schemas.openxmlformats.org/officeDocument/2006/relationships/hyperlink" Target="https://www.daloopa.com/src/58930919" TargetMode="External"/><Relationship Id="rId2146" Type="http://schemas.openxmlformats.org/officeDocument/2006/relationships/hyperlink" Target="https://www.daloopa.com/src/58935606" TargetMode="External"/><Relationship Id="rId2353" Type="http://schemas.openxmlformats.org/officeDocument/2006/relationships/hyperlink" Target="https://www.daloopa.com/src/58979870" TargetMode="External"/><Relationship Id="rId2560" Type="http://schemas.openxmlformats.org/officeDocument/2006/relationships/hyperlink" Target="https://www.daloopa.com/src/58988247" TargetMode="External"/><Relationship Id="rId118" Type="http://schemas.openxmlformats.org/officeDocument/2006/relationships/hyperlink" Target="https://www.daloopa.com/src/59069572" TargetMode="External"/><Relationship Id="rId325" Type="http://schemas.openxmlformats.org/officeDocument/2006/relationships/hyperlink" Target="https://marketplace.daloopa.com/text-fundamental?id=58881603&amp;value=85084&amp;id=59581280&amp;value=12285&amp;id=58873625&amp;value=15014&amp;id=58873650&amp;value=18907&amp;id=58873696&amp;value=20658&amp;id=58881262&amp;value=66864&amp;id=58864794&amp;value=23978&amp;id=58815460&amp;value=25075&amp;id=58815149&amp;value=27203&amp;id=58804873&amp;value=31724&amp;id=58815177&amp;value=107980&amp;id=58800411&amp;value=28545&amp;id=59368459&amp;value=31136&amp;" TargetMode="External"/><Relationship Id="rId532" Type="http://schemas.openxmlformats.org/officeDocument/2006/relationships/hyperlink" Target="https://www.daloopa.com/src/58881594" TargetMode="External"/><Relationship Id="rId1162" Type="http://schemas.openxmlformats.org/officeDocument/2006/relationships/hyperlink" Target="https://www.daloopa.com/src/59379373" TargetMode="External"/><Relationship Id="rId2006" Type="http://schemas.openxmlformats.org/officeDocument/2006/relationships/hyperlink" Target="https://www.daloopa.com/src/59695625" TargetMode="External"/><Relationship Id="rId2213" Type="http://schemas.openxmlformats.org/officeDocument/2006/relationships/hyperlink" Target="https://www.daloopa.com/src/59370349" TargetMode="External"/><Relationship Id="rId2420" Type="http://schemas.openxmlformats.org/officeDocument/2006/relationships/hyperlink" Target="https://www.daloopa.com/src/58985425" TargetMode="External"/><Relationship Id="rId1022" Type="http://schemas.openxmlformats.org/officeDocument/2006/relationships/hyperlink" Target="https://www.daloopa.com/src/58930909" TargetMode="External"/><Relationship Id="rId1979" Type="http://schemas.openxmlformats.org/officeDocument/2006/relationships/hyperlink" Target="https://www.daloopa.com/src/58935541" TargetMode="External"/><Relationship Id="rId1839" Type="http://schemas.openxmlformats.org/officeDocument/2006/relationships/hyperlink" Target="https://www.daloopa.com/src/58935518" TargetMode="External"/><Relationship Id="rId182" Type="http://schemas.openxmlformats.org/officeDocument/2006/relationships/hyperlink" Target="https://marketplace.daloopa.com/text-fundamental?id=59083034&amp;value=7.1&amp;id=59083062&amp;value=24.6&amp;" TargetMode="External"/><Relationship Id="rId1906" Type="http://schemas.openxmlformats.org/officeDocument/2006/relationships/hyperlink" Target="https://www.daloopa.com/src/58936826" TargetMode="External"/><Relationship Id="rId2070" Type="http://schemas.openxmlformats.org/officeDocument/2006/relationships/hyperlink" Target="https://www.daloopa.com/src/58874716" TargetMode="External"/><Relationship Id="rId999" Type="http://schemas.openxmlformats.org/officeDocument/2006/relationships/hyperlink" Target="https://www.daloopa.com/src/59379341" TargetMode="External"/><Relationship Id="rId2887" Type="http://schemas.openxmlformats.org/officeDocument/2006/relationships/hyperlink" Target="https://marketplace.daloopa.com/text-fundamental?id=59085460&amp;value=-2.5&amp;" TargetMode="External"/><Relationship Id="rId859" Type="http://schemas.openxmlformats.org/officeDocument/2006/relationships/hyperlink" Target="https://www.daloopa.com/src/58805333" TargetMode="External"/><Relationship Id="rId1489" Type="http://schemas.openxmlformats.org/officeDocument/2006/relationships/hyperlink" Target="https://www.daloopa.com/src/58816032" TargetMode="External"/><Relationship Id="rId1696" Type="http://schemas.openxmlformats.org/officeDocument/2006/relationships/hyperlink" Target="https://www.daloopa.com/src/58809365" TargetMode="External"/><Relationship Id="rId1349" Type="http://schemas.openxmlformats.org/officeDocument/2006/relationships/hyperlink" Target="https://www.daloopa.com/src/58815926" TargetMode="External"/><Relationship Id="rId2747" Type="http://schemas.openxmlformats.org/officeDocument/2006/relationships/hyperlink" Target="https://www.daloopa.com/src/59004586" TargetMode="External"/><Relationship Id="rId719" Type="http://schemas.openxmlformats.org/officeDocument/2006/relationships/hyperlink" Target="https://www.daloopa.com/src/58929982" TargetMode="External"/><Relationship Id="rId926" Type="http://schemas.openxmlformats.org/officeDocument/2006/relationships/hyperlink" Target="https://www.daloopa.com/src/58930917" TargetMode="External"/><Relationship Id="rId1556" Type="http://schemas.openxmlformats.org/officeDocument/2006/relationships/hyperlink" Target="https://marketplace.daloopa.com/text-fundamental?id=58932426&amp;value=48263&amp;" TargetMode="External"/><Relationship Id="rId1763" Type="http://schemas.openxmlformats.org/officeDocument/2006/relationships/hyperlink" Target="https://www.daloopa.com/src/58816051" TargetMode="External"/><Relationship Id="rId1970" Type="http://schemas.openxmlformats.org/officeDocument/2006/relationships/hyperlink" Target="https://www.daloopa.com/src/58935514" TargetMode="External"/><Relationship Id="rId2607" Type="http://schemas.openxmlformats.org/officeDocument/2006/relationships/hyperlink" Target="https://marketplace.daloopa.com/text-fundamental?id=59372881&amp;value=-12&amp;" TargetMode="External"/><Relationship Id="rId2814" Type="http://schemas.openxmlformats.org/officeDocument/2006/relationships/hyperlink" Target="https://marketplace.daloopa.com/text-fundamental?id=58978596&amp;value=551941&amp;id=58978534&amp;value=811650&amp;id=58978973&amp;value=764724&amp;id=58978551&amp;value=564724&amp;id=58978549&amp;value=564724&amp;id=58978531&amp;value=564724&amp;" TargetMode="External"/><Relationship Id="rId55" Type="http://schemas.openxmlformats.org/officeDocument/2006/relationships/hyperlink" Target="https://www.daloopa.com/src/58816177" TargetMode="External"/><Relationship Id="rId1209" Type="http://schemas.openxmlformats.org/officeDocument/2006/relationships/hyperlink" Target="https://www.daloopa.com/src/59379383" TargetMode="External"/><Relationship Id="rId1416" Type="http://schemas.openxmlformats.org/officeDocument/2006/relationships/hyperlink" Target="https://www.daloopa.com/src/58816010" TargetMode="External"/><Relationship Id="rId1623" Type="http://schemas.openxmlformats.org/officeDocument/2006/relationships/hyperlink" Target="https://www.daloopa.com/src/58936267" TargetMode="External"/><Relationship Id="rId1830" Type="http://schemas.openxmlformats.org/officeDocument/2006/relationships/hyperlink" Target="https://www.daloopa.com/src/58935551" TargetMode="External"/><Relationship Id="rId2397" Type="http://schemas.openxmlformats.org/officeDocument/2006/relationships/hyperlink" Target="https://marketplace.daloopa.com/text-fundamental?id=58987736&amp;value=561&amp;id=58985445&amp;value=195&amp;id=58985432&amp;value=586&amp;" TargetMode="External"/><Relationship Id="rId369" Type="http://schemas.openxmlformats.org/officeDocument/2006/relationships/hyperlink" Target="https://www.daloopa.com/src/58881247" TargetMode="External"/><Relationship Id="rId576" Type="http://schemas.openxmlformats.org/officeDocument/2006/relationships/hyperlink" Target="https://www.daloopa.com/src/59581273" TargetMode="External"/><Relationship Id="rId783" Type="http://schemas.openxmlformats.org/officeDocument/2006/relationships/hyperlink" Target="https://www.daloopa.com/src/58930006" TargetMode="External"/><Relationship Id="rId990" Type="http://schemas.openxmlformats.org/officeDocument/2006/relationships/hyperlink" Target="https://www.daloopa.com/src/58930737" TargetMode="External"/><Relationship Id="rId2257" Type="http://schemas.openxmlformats.org/officeDocument/2006/relationships/hyperlink" Target="https://www.daloopa.com/src/58944617" TargetMode="External"/><Relationship Id="rId2464" Type="http://schemas.openxmlformats.org/officeDocument/2006/relationships/hyperlink" Target="https://marketplace.daloopa.com/text-fundamental?id=58988031&amp;value=11952&amp;id=58988045&amp;value=9161&amp;id=58987995&amp;value=32704&amp;" TargetMode="External"/><Relationship Id="rId2671" Type="http://schemas.openxmlformats.org/officeDocument/2006/relationships/hyperlink" Target="https://marketplace.daloopa.com/text-fundamental?id=58992492&amp;value=1725&amp;id=58992290&amp;value=5354&amp;id=58990258&amp;value=4995&amp;id=59372593&amp;value=5357&amp;" TargetMode="External"/><Relationship Id="rId229" Type="http://schemas.openxmlformats.org/officeDocument/2006/relationships/hyperlink" Target="https://marketplace.daloopa.com/text-fundamental?id=58947571&amp;value=-4345&amp;id=58947591&amp;value=-715&amp;id=58947522&amp;value=-970&amp;id=58947531&amp;value=-3451&amp;id=58947616&amp;value=-1016&amp;id=58947587&amp;value=-1554&amp;id=58947490&amp;value=-1700&amp;id=59379439&amp;value=-1857&amp;id=58947476&amp;value=-6127&amp;id=58946695&amp;value=-1948&amp;id=59372937&amp;value=-2074&amp;" TargetMode="External"/><Relationship Id="rId436" Type="http://schemas.openxmlformats.org/officeDocument/2006/relationships/hyperlink" Target="https://www.daloopa.com/src/58881605" TargetMode="External"/><Relationship Id="rId643" Type="http://schemas.openxmlformats.org/officeDocument/2006/relationships/hyperlink" Target="https://www.daloopa.com/src/58930149" TargetMode="External"/><Relationship Id="rId1066" Type="http://schemas.openxmlformats.org/officeDocument/2006/relationships/hyperlink" Target="https://www.daloopa.com/src/58865893" TargetMode="External"/><Relationship Id="rId1273" Type="http://schemas.openxmlformats.org/officeDocument/2006/relationships/hyperlink" Target="https://marketplace.daloopa.com/text-fundamental?id=58815923&amp;value=-1028&amp;id=58815946&amp;value=-2820&amp;id=58815956&amp;value=-186&amp;id=59379397&amp;value=-4034&amp;" TargetMode="External"/><Relationship Id="rId1480" Type="http://schemas.openxmlformats.org/officeDocument/2006/relationships/hyperlink" Target="https://www.daloopa.com/src/58816034" TargetMode="External"/><Relationship Id="rId2117" Type="http://schemas.openxmlformats.org/officeDocument/2006/relationships/hyperlink" Target="https://www.daloopa.com/src/59368551" TargetMode="External"/><Relationship Id="rId2324" Type="http://schemas.openxmlformats.org/officeDocument/2006/relationships/hyperlink" Target="https://www.daloopa.com/src/58979963" TargetMode="External"/><Relationship Id="rId850" Type="http://schemas.openxmlformats.org/officeDocument/2006/relationships/hyperlink" Target="https://www.daloopa.com/src/58800601" TargetMode="External"/><Relationship Id="rId1133" Type="http://schemas.openxmlformats.org/officeDocument/2006/relationships/hyperlink" Target="https://www.daloopa.com/src/58933607" TargetMode="External"/><Relationship Id="rId2531" Type="http://schemas.openxmlformats.org/officeDocument/2006/relationships/hyperlink" Target="https://www.daloopa.com/src/58988189" TargetMode="External"/><Relationship Id="rId503" Type="http://schemas.openxmlformats.org/officeDocument/2006/relationships/hyperlink" Target="https://www.daloopa.com/src/59368458" TargetMode="External"/><Relationship Id="rId710" Type="http://schemas.openxmlformats.org/officeDocument/2006/relationships/hyperlink" Target="https://www.daloopa.com/src/58929975" TargetMode="External"/><Relationship Id="rId1340" Type="http://schemas.openxmlformats.org/officeDocument/2006/relationships/hyperlink" Target="https://www.daloopa.com/src/59379408" TargetMode="External"/><Relationship Id="rId1200" Type="http://schemas.openxmlformats.org/officeDocument/2006/relationships/hyperlink" Target="https://www.daloopa.com/src/58934089" TargetMode="External"/><Relationship Id="rId293" Type="http://schemas.openxmlformats.org/officeDocument/2006/relationships/hyperlink" Target="https://www.daloopa.com/src/59368455" TargetMode="External"/><Relationship Id="rId2181" Type="http://schemas.openxmlformats.org/officeDocument/2006/relationships/hyperlink" Target="https://marketplace.daloopa.com/text-fundamental?id=58941035&amp;value=-0.24&amp;" TargetMode="External"/><Relationship Id="rId153" Type="http://schemas.openxmlformats.org/officeDocument/2006/relationships/hyperlink" Target="https://www.daloopa.com/src/59073101" TargetMode="External"/><Relationship Id="rId360" Type="http://schemas.openxmlformats.org/officeDocument/2006/relationships/hyperlink" Target="https://www.daloopa.com/src/58873666" TargetMode="External"/><Relationship Id="rId2041" Type="http://schemas.openxmlformats.org/officeDocument/2006/relationships/hyperlink" Target="https://www.daloopa.com/src/589355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76E37-20D1-48BF-B87C-E123C23C04B1}">
  <dimension ref="A1"/>
  <sheetViews>
    <sheetView workbookViewId="0"/>
  </sheetViews>
  <sheetFormatPr defaultRowHeight="14.5" x14ac:dyDescent="0.35"/>
  <sheetData>
    <row r="1" spans="1:1" x14ac:dyDescent="0.35">
      <c r="A1" t="s">
        <v>1846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07C5-EC82-47B1-927A-BEDBC38AD8DC}">
  <dimension ref="A1:E1"/>
  <sheetViews>
    <sheetView workbookViewId="0"/>
  </sheetViews>
  <sheetFormatPr defaultRowHeight="14.5" x14ac:dyDescent="0.35"/>
  <sheetData>
    <row r="1" spans="1:5" x14ac:dyDescent="0.35">
      <c r="A1">
        <v>5</v>
      </c>
      <c r="B1" t="s">
        <v>0</v>
      </c>
      <c r="C1" t="s">
        <v>1</v>
      </c>
      <c r="D1" t="s">
        <v>2</v>
      </c>
      <c r="E1" t="s">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0ACC-E121-4CB8-B89C-C655E0618B2D}">
  <sheetPr>
    <pageSetUpPr fitToPage="1"/>
  </sheetPr>
  <dimension ref="A1:AC92"/>
  <sheetViews>
    <sheetView tabSelected="1" view="pageBreakPreview" zoomScale="70" zoomScaleNormal="70" zoomScaleSheetLayoutView="70" workbookViewId="0">
      <pane xSplit="2" ySplit="5" topLeftCell="C6" activePane="bottomRight" state="frozen"/>
      <selection activeCell="U1" sqref="U1"/>
      <selection pane="topRight" activeCell="U1" sqref="U1"/>
      <selection pane="bottomLeft" activeCell="U1" sqref="U1"/>
      <selection pane="bottomRight" activeCell="I29" sqref="I29"/>
    </sheetView>
  </sheetViews>
  <sheetFormatPr defaultColWidth="9.1796875" defaultRowHeight="10" outlineLevelRow="1" x14ac:dyDescent="0.2"/>
  <cols>
    <col min="1" max="1" width="1.453125" style="1" customWidth="1"/>
    <col min="2" max="2" width="21.54296875" style="1" customWidth="1"/>
    <col min="3" max="3" width="3.453125" style="1" customWidth="1"/>
    <col min="4" max="21" width="11" style="1" customWidth="1"/>
    <col min="22" max="22" width="14.1796875" style="1" bestFit="1" customWidth="1"/>
    <col min="23" max="23" width="10.453125" style="1" bestFit="1" customWidth="1"/>
    <col min="24" max="16384" width="9.1796875" style="1"/>
  </cols>
  <sheetData>
    <row r="1" spans="1:23" x14ac:dyDescent="0.2">
      <c r="A1" s="1" t="s">
        <v>174</v>
      </c>
      <c r="B1" s="1" t="s">
        <v>4</v>
      </c>
      <c r="P1" s="2"/>
      <c r="R1" s="2"/>
      <c r="S1" s="2"/>
      <c r="T1" s="2"/>
      <c r="U1" s="2375">
        <v>45657</v>
      </c>
    </row>
    <row r="2" spans="1:23" ht="10.5" x14ac:dyDescent="0.25">
      <c r="B2" s="3" t="s">
        <v>5</v>
      </c>
      <c r="C2" s="3"/>
    </row>
    <row r="3" spans="1:23" s="4" customFormat="1" x14ac:dyDescent="0.2">
      <c r="B3" s="5" t="s">
        <v>6</v>
      </c>
      <c r="C3" s="5"/>
      <c r="F3" s="56"/>
      <c r="G3" s="6"/>
      <c r="H3" s="6"/>
      <c r="I3" s="6">
        <f>+U1</f>
        <v>45657</v>
      </c>
      <c r="J3" s="6">
        <v>46022</v>
      </c>
      <c r="K3" s="6">
        <f t="shared" ref="K3:T3" si="0">+J3+365.25</f>
        <v>46387.25</v>
      </c>
      <c r="L3" s="6">
        <f t="shared" si="0"/>
        <v>46752.5</v>
      </c>
      <c r="M3" s="6">
        <f t="shared" si="0"/>
        <v>47117.75</v>
      </c>
      <c r="N3" s="6">
        <f t="shared" si="0"/>
        <v>47483</v>
      </c>
      <c r="O3" s="6">
        <f t="shared" si="0"/>
        <v>47848.25</v>
      </c>
      <c r="P3" s="6">
        <f t="shared" si="0"/>
        <v>48213.5</v>
      </c>
      <c r="Q3" s="6">
        <f t="shared" si="0"/>
        <v>48578.75</v>
      </c>
      <c r="R3" s="6">
        <f t="shared" si="0"/>
        <v>48944</v>
      </c>
      <c r="S3" s="6">
        <f t="shared" si="0"/>
        <v>49309.25</v>
      </c>
      <c r="T3" s="6">
        <f t="shared" si="0"/>
        <v>49674.5</v>
      </c>
      <c r="U3" s="6">
        <f t="shared" ref="U3" si="1">+T3+365.25</f>
        <v>50039.75</v>
      </c>
    </row>
    <row r="4" spans="1:23" ht="10.5" x14ac:dyDescent="0.25">
      <c r="D4" s="7" t="s">
        <v>7</v>
      </c>
      <c r="E4" s="8"/>
      <c r="F4" s="8"/>
      <c r="G4" s="8"/>
      <c r="H4" s="8"/>
      <c r="I4" s="8"/>
      <c r="J4" s="8"/>
      <c r="K4" s="8"/>
      <c r="L4" s="8"/>
      <c r="M4" s="8"/>
      <c r="N4" s="8"/>
      <c r="O4" s="8"/>
      <c r="P4" s="8"/>
      <c r="Q4" s="8"/>
      <c r="R4" s="8"/>
      <c r="S4" s="8"/>
      <c r="T4" s="8"/>
      <c r="U4" s="8"/>
    </row>
    <row r="5" spans="1:23" ht="13.5" x14ac:dyDescent="0.55000000000000004">
      <c r="D5" s="9" t="s">
        <v>8</v>
      </c>
      <c r="E5" s="9" t="s">
        <v>9</v>
      </c>
      <c r="F5" s="9" t="s">
        <v>10</v>
      </c>
      <c r="G5" s="9" t="s">
        <v>11</v>
      </c>
      <c r="H5" s="9" t="s">
        <v>12</v>
      </c>
      <c r="I5" s="98" t="s">
        <v>13</v>
      </c>
      <c r="J5" s="9" t="s">
        <v>14</v>
      </c>
      <c r="K5" s="9" t="s">
        <v>15</v>
      </c>
      <c r="L5" s="9" t="s">
        <v>16</v>
      </c>
      <c r="M5" s="9" t="s">
        <v>17</v>
      </c>
      <c r="N5" s="9" t="s">
        <v>18</v>
      </c>
      <c r="O5" s="9" t="s">
        <v>19</v>
      </c>
      <c r="P5" s="9" t="s">
        <v>20</v>
      </c>
      <c r="Q5" s="9" t="s">
        <v>21</v>
      </c>
      <c r="R5" s="9" t="s">
        <v>22</v>
      </c>
      <c r="S5" s="9" t="s">
        <v>23</v>
      </c>
      <c r="T5" s="9" t="s">
        <v>24</v>
      </c>
      <c r="U5" s="9" t="s">
        <v>25</v>
      </c>
    </row>
    <row r="6" spans="1:23" ht="10.5" x14ac:dyDescent="0.25">
      <c r="A6" s="1" t="s">
        <v>26</v>
      </c>
      <c r="B6" s="11" t="s">
        <v>27</v>
      </c>
      <c r="C6" s="3"/>
      <c r="H6" s="89"/>
      <c r="I6" s="100"/>
    </row>
    <row r="7" spans="1:23" x14ac:dyDescent="0.2">
      <c r="G7" s="692"/>
      <c r="H7" s="89"/>
      <c r="I7" s="2256"/>
      <c r="M7" s="88"/>
      <c r="V7" s="57"/>
    </row>
    <row r="8" spans="1:23" x14ac:dyDescent="0.2">
      <c r="B8" s="1" t="s">
        <v>28</v>
      </c>
      <c r="D8" s="70">
        <f>+'PF Basic Historical Fin'!AG11</f>
        <v>978.88259999999991</v>
      </c>
      <c r="E8" s="70">
        <f>+'PF Basic Historical Fin'!AH11</f>
        <v>963.20659999999998</v>
      </c>
      <c r="F8" s="70">
        <f>+'PF Basic Historical Fin'!AI11</f>
        <v>1354.1790000000001</v>
      </c>
      <c r="G8" s="70">
        <f>+'PF Basic Historical Fin'!AJ11</f>
        <v>1576.8049999999998</v>
      </c>
      <c r="H8" s="70">
        <f>+'PF Basic Historical Fin'!AK11</f>
        <v>1483.4010000000001</v>
      </c>
      <c r="I8" s="101">
        <f>+'PF Basic Historical Fin'!AL11</f>
        <v>1520.6795207542884</v>
      </c>
      <c r="J8" s="70">
        <f>+'PF Basic Historical Fin'!AM11</f>
        <v>1615.8376750743787</v>
      </c>
      <c r="K8" s="49">
        <f t="shared" ref="K8:T8" si="2">+J8*(1+K9)</f>
        <v>1745.1046890803291</v>
      </c>
      <c r="L8" s="49">
        <f t="shared" si="2"/>
        <v>1884.7130642067555</v>
      </c>
      <c r="M8" s="49">
        <f>+L8*(1+M9)</f>
        <v>2035.4901093432961</v>
      </c>
      <c r="N8" s="49">
        <f t="shared" si="2"/>
        <v>2198.3293180907599</v>
      </c>
      <c r="O8" s="49">
        <f t="shared" si="2"/>
        <v>2352.2123703571133</v>
      </c>
      <c r="P8" s="49">
        <f t="shared" si="2"/>
        <v>2493.34511257854</v>
      </c>
      <c r="Q8" s="49">
        <f t="shared" si="2"/>
        <v>2618.0123682074673</v>
      </c>
      <c r="R8" s="49">
        <f t="shared" si="2"/>
        <v>2748.9129866178409</v>
      </c>
      <c r="S8" s="49">
        <f t="shared" si="2"/>
        <v>2886.3586359487331</v>
      </c>
      <c r="T8" s="49">
        <f t="shared" si="2"/>
        <v>3030.6765677461699</v>
      </c>
      <c r="U8" s="49">
        <f t="shared" ref="U8" si="3">+T8*(1+U9)</f>
        <v>3182.2103961334783</v>
      </c>
      <c r="V8" s="57"/>
    </row>
    <row r="9" spans="1:23" s="12" customFormat="1" x14ac:dyDescent="0.2">
      <c r="B9" s="13" t="s">
        <v>29</v>
      </c>
      <c r="C9" s="14"/>
      <c r="D9" s="15">
        <f>+'PF Basic Historical Fin'!AG16</f>
        <v>7.9281506666961876E-2</v>
      </c>
      <c r="E9" s="15">
        <f>IFERROR(IF(OR(E8&lt;0, D8&lt;0), "NM", E8/D8-1),"N/A")</f>
        <v>-1.601417779823644E-2</v>
      </c>
      <c r="F9" s="15">
        <f>IFERROR(IF(OR(F8&lt;0, E8&lt;0), "NM", F8/E8-1),"N/A")</f>
        <v>0.40590710238073546</v>
      </c>
      <c r="G9" s="15">
        <f>IFERROR(IF(OR(G8&lt;0, F8&lt;0), "NM", G8/F8-1),"N/A")</f>
        <v>0.1643992411638342</v>
      </c>
      <c r="H9" s="15">
        <f t="shared" ref="H9:J9" si="4">IFERROR(IF(OR(H8&lt;0, G8&lt;0), "NM", H8/G8-1),"N/A")</f>
        <v>-5.9236240372144811E-2</v>
      </c>
      <c r="I9" s="103">
        <f t="shared" si="4"/>
        <v>2.5130440625487305E-2</v>
      </c>
      <c r="J9" s="16">
        <f t="shared" si="4"/>
        <v>6.2576074065158638E-2</v>
      </c>
      <c r="K9" s="1262">
        <f>+'FA Base'!K9</f>
        <v>0.08</v>
      </c>
      <c r="L9" s="1262">
        <f>+'FA Base'!L9</f>
        <v>0.08</v>
      </c>
      <c r="M9" s="1262">
        <f>+'FA Base'!M9</f>
        <v>0.08</v>
      </c>
      <c r="N9" s="1262">
        <f>+'FA Base'!N9</f>
        <v>0.08</v>
      </c>
      <c r="O9" s="1262">
        <f>+'FA Base'!O9</f>
        <v>7.0000000000000007E-2</v>
      </c>
      <c r="P9" s="1262">
        <f>+'FA Base'!P9</f>
        <v>0.06</v>
      </c>
      <c r="Q9" s="1262">
        <f>+'FA Base'!Q9</f>
        <v>0.05</v>
      </c>
      <c r="R9" s="1262">
        <f>+'FA Base'!R9</f>
        <v>0.05</v>
      </c>
      <c r="S9" s="1262">
        <f>+'FA Base'!S9</f>
        <v>0.05</v>
      </c>
      <c r="T9" s="1262">
        <f>+'FA Base'!T9</f>
        <v>0.05</v>
      </c>
      <c r="U9" s="15">
        <f>+T9</f>
        <v>0.05</v>
      </c>
      <c r="W9" s="1"/>
    </row>
    <row r="10" spans="1:23" s="12" customFormat="1" x14ac:dyDescent="0.2">
      <c r="B10" s="13" t="s">
        <v>30</v>
      </c>
      <c r="C10" s="14"/>
      <c r="D10" s="15">
        <f>+'PF Basic Historical Fin'!AG21</f>
        <v>7.2009874566670351E-2</v>
      </c>
      <c r="E10" s="15">
        <f>+'PF Basic Historical Fin'!AH21</f>
        <v>-1.7328079114558113E-2</v>
      </c>
      <c r="F10" s="15">
        <f>+'PF Basic Historical Fin'!AI21</f>
        <v>0.36935274661116163</v>
      </c>
      <c r="G10" s="15">
        <f>+'PF Basic Historical Fin'!AJ21</f>
        <v>0.12062856904441738</v>
      </c>
      <c r="H10" s="15">
        <f>+'PF Basic Historical Fin'!AK21</f>
        <v>-6.968684858715754E-2</v>
      </c>
      <c r="I10" s="103">
        <f>+'PF Basic Historical Fin'!AL21</f>
        <v>-1.4798398410139942E-2</v>
      </c>
      <c r="J10" s="16">
        <f>+'PF Basic Historical Fin'!AM21</f>
        <v>5.9618966667857265E-2</v>
      </c>
      <c r="K10" s="15">
        <f t="shared" ref="K10:T10" si="5">+K9</f>
        <v>0.08</v>
      </c>
      <c r="L10" s="15">
        <f t="shared" si="5"/>
        <v>0.08</v>
      </c>
      <c r="M10" s="15">
        <f t="shared" si="5"/>
        <v>0.08</v>
      </c>
      <c r="N10" s="15">
        <f t="shared" si="5"/>
        <v>0.08</v>
      </c>
      <c r="O10" s="15">
        <f t="shared" si="5"/>
        <v>7.0000000000000007E-2</v>
      </c>
      <c r="P10" s="15">
        <f t="shared" si="5"/>
        <v>0.06</v>
      </c>
      <c r="Q10" s="15">
        <f t="shared" si="5"/>
        <v>0.05</v>
      </c>
      <c r="R10" s="15">
        <f t="shared" si="5"/>
        <v>0.05</v>
      </c>
      <c r="S10" s="15">
        <f t="shared" si="5"/>
        <v>0.05</v>
      </c>
      <c r="T10" s="15">
        <f t="shared" si="5"/>
        <v>0.05</v>
      </c>
      <c r="U10" s="15">
        <f t="shared" ref="U10" si="6">+U9</f>
        <v>0.05</v>
      </c>
      <c r="W10" s="1"/>
    </row>
    <row r="11" spans="1:23" s="12" customFormat="1" x14ac:dyDescent="0.2">
      <c r="B11" s="13"/>
      <c r="C11" s="14"/>
      <c r="D11" s="33"/>
      <c r="E11" s="33"/>
      <c r="F11" s="16"/>
      <c r="G11" s="16"/>
      <c r="H11" s="89"/>
      <c r="I11" s="2257" t="s">
        <v>31</v>
      </c>
      <c r="J11" s="16"/>
      <c r="K11" s="16"/>
      <c r="L11" s="16"/>
      <c r="M11" s="16"/>
      <c r="N11" s="16"/>
      <c r="O11" s="16"/>
      <c r="P11" s="16"/>
      <c r="Q11" s="16"/>
      <c r="R11" s="16"/>
      <c r="S11" s="16"/>
      <c r="T11" s="16"/>
      <c r="U11" s="16"/>
    </row>
    <row r="12" spans="1:23" x14ac:dyDescent="0.2">
      <c r="B12" s="18" t="s">
        <v>32</v>
      </c>
      <c r="C12" s="22"/>
      <c r="D12" s="49">
        <f>+D18-D17</f>
        <v>242.75669999999997</v>
      </c>
      <c r="E12" s="49">
        <f t="shared" ref="E12:H12" si="7">+E18-E17</f>
        <v>246.6311</v>
      </c>
      <c r="F12" s="49">
        <f t="shared" si="7"/>
        <v>405.47989999999999</v>
      </c>
      <c r="G12" s="49">
        <f t="shared" si="7"/>
        <v>447.41300000000001</v>
      </c>
      <c r="H12" s="49">
        <f t="shared" si="7"/>
        <v>422.58</v>
      </c>
      <c r="I12" s="2258">
        <f>+'PF Basic Historical Fin'!AL51</f>
        <v>403.10816508438319</v>
      </c>
      <c r="J12" s="2254">
        <f>+'PF Basic Historical Fin'!AM51</f>
        <v>442.57344069810631</v>
      </c>
      <c r="K12" s="49">
        <f t="shared" ref="K12:T12" si="8">+J12+(K8-J8)*K15</f>
        <v>494.28024630048645</v>
      </c>
      <c r="L12" s="49">
        <f t="shared" si="8"/>
        <v>550.12359635105702</v>
      </c>
      <c r="M12" s="49">
        <f t="shared" si="8"/>
        <v>610.43441440567324</v>
      </c>
      <c r="N12" s="49">
        <f t="shared" si="8"/>
        <v>675.57009790465872</v>
      </c>
      <c r="O12" s="49">
        <f t="shared" si="8"/>
        <v>737.12331881120008</v>
      </c>
      <c r="P12" s="49">
        <f t="shared" si="8"/>
        <v>793.57641569977079</v>
      </c>
      <c r="Q12" s="49">
        <f t="shared" si="8"/>
        <v>843.44331795134167</v>
      </c>
      <c r="R12" s="49">
        <f t="shared" si="8"/>
        <v>895.80356531549114</v>
      </c>
      <c r="S12" s="49">
        <f t="shared" si="8"/>
        <v>950.78182504784797</v>
      </c>
      <c r="T12" s="49">
        <f t="shared" si="8"/>
        <v>1008.5089977668227</v>
      </c>
      <c r="U12" s="49">
        <f t="shared" ref="U12" si="9">+T12+(U8-T8)*U15</f>
        <v>1008.5089977668227</v>
      </c>
    </row>
    <row r="13" spans="1:23" s="12" customFormat="1" ht="11.25" customHeight="1" x14ac:dyDescent="0.2">
      <c r="B13" s="13" t="s">
        <v>29</v>
      </c>
      <c r="C13" s="14"/>
      <c r="D13" s="15"/>
      <c r="E13" s="15">
        <f t="shared" ref="E13" si="10">IF(OR(E12&lt;0, D12&lt;0), "NM", E12/D12-1)</f>
        <v>1.5960012638168264E-2</v>
      </c>
      <c r="F13" s="15">
        <f t="shared" ref="F13" si="11">IF(OR(F12&lt;0, E12&lt;0), "NM", F12/E12-1)</f>
        <v>0.64407449020014096</v>
      </c>
      <c r="G13" s="15">
        <f t="shared" ref="G13" si="12">IF(OR(G12&lt;0, F12&lt;0), "NM", G12/F12-1)</f>
        <v>0.10341597696951199</v>
      </c>
      <c r="H13" s="15">
        <f t="shared" ref="H13" si="13">IF(OR(H12&lt;0, G12&lt;0), "NM", H12/G12-1)</f>
        <v>-5.5503528060203977E-2</v>
      </c>
      <c r="I13" s="102">
        <f t="shared" ref="I13" si="14">IF(OR(I12&lt;0, H12&lt;0), "NM", I12/H12-1)</f>
        <v>-4.6078458317044824E-2</v>
      </c>
      <c r="J13" s="15">
        <f t="shared" ref="J13" si="15">IF(OR(J12&lt;0, I12&lt;0), "NM", J12/I12-1)</f>
        <v>9.7902446618668204E-2</v>
      </c>
      <c r="K13" s="15">
        <f t="shared" ref="K13" si="16">IF(OR(K12&lt;0, J12&lt;0), "NM", K12/J12-1)</f>
        <v>0.11683214772404527</v>
      </c>
      <c r="L13" s="15">
        <f t="shared" ref="L13" si="17">IF(OR(L12&lt;0, K12&lt;0), "NM", L12/K12-1)</f>
        <v>0.11297912564489154</v>
      </c>
      <c r="M13" s="15">
        <f t="shared" ref="M13" si="18">IF(OR(M12&lt;0, L12&lt;0), "NM", M12/L12-1)</f>
        <v>0.10963139638920216</v>
      </c>
      <c r="N13" s="15">
        <f t="shared" ref="N13" si="19">IF(OR(N12&lt;0, M12&lt;0), "NM", N12/M12-1)</f>
        <v>0.10670381938148488</v>
      </c>
      <c r="O13" s="15">
        <f t="shared" ref="O13" si="20">IF(OR(O12&lt;0, N12&lt;0), "NM", O12/N12-1)</f>
        <v>9.1113003813304116E-2</v>
      </c>
      <c r="P13" s="15">
        <f t="shared" ref="P13" si="21">IF(OR(P12&lt;0, O12&lt;0), "NM", P12/O12-1)</f>
        <v>7.6585688510866445E-2</v>
      </c>
      <c r="Q13" s="15">
        <f t="shared" ref="Q13" si="22">IF(OR(Q12&lt;0, P12&lt;0), "NM", Q12/P12-1)</f>
        <v>6.2838185794116042E-2</v>
      </c>
      <c r="R13" s="15">
        <f t="shared" ref="R13" si="23">IF(OR(R12&lt;0, Q12&lt;0), "NM", R12/Q12-1)</f>
        <v>6.2079153690290045E-2</v>
      </c>
      <c r="S13" s="15">
        <f t="shared" ref="S13" si="24">IF(OR(S12&lt;0, R12&lt;0), "NM", S12/R12-1)</f>
        <v>6.1373120024359462E-2</v>
      </c>
      <c r="T13" s="15">
        <f t="shared" ref="T13" si="25">IF(OR(T12&lt;0, S12&lt;0), "NM", T12/S12-1)</f>
        <v>6.0715477723892741E-2</v>
      </c>
      <c r="U13" s="15">
        <f t="shared" ref="U13" si="26">IF(OR(U12&lt;0, T12&lt;0), "NM", U12/T12-1)</f>
        <v>0</v>
      </c>
    </row>
    <row r="14" spans="1:23" s="12" customFormat="1" x14ac:dyDescent="0.2">
      <c r="B14" s="13" t="s">
        <v>33</v>
      </c>
      <c r="C14" s="14"/>
      <c r="D14" s="19">
        <f t="shared" ref="D14:T14" si="27">+D12/D$8</f>
        <v>0.2479936817755265</v>
      </c>
      <c r="E14" s="19">
        <f t="shared" si="27"/>
        <v>0.25605212838034958</v>
      </c>
      <c r="F14" s="19">
        <f t="shared" si="27"/>
        <v>0.29942858366582259</v>
      </c>
      <c r="G14" s="19">
        <f t="shared" si="27"/>
        <v>0.28374656346219096</v>
      </c>
      <c r="H14" s="19">
        <f t="shared" si="27"/>
        <v>0.28487239795577862</v>
      </c>
      <c r="I14" s="105">
        <f t="shared" si="27"/>
        <v>0.26508423345139365</v>
      </c>
      <c r="J14" s="19">
        <f t="shared" ref="J14" si="28">+J12/J$8</f>
        <v>0.27389721599215355</v>
      </c>
      <c r="K14" s="19">
        <f t="shared" si="27"/>
        <v>0.2832381629556977</v>
      </c>
      <c r="L14" s="19">
        <f t="shared" si="27"/>
        <v>0.29188718792194235</v>
      </c>
      <c r="M14" s="19">
        <f t="shared" si="27"/>
        <v>0.29989554437216881</v>
      </c>
      <c r="N14" s="19">
        <f t="shared" si="27"/>
        <v>0.30731068923348964</v>
      </c>
      <c r="O14" s="19">
        <f t="shared" si="27"/>
        <v>0.31337447591914919</v>
      </c>
      <c r="P14" s="19">
        <f t="shared" si="27"/>
        <v>0.31827780747089551</v>
      </c>
      <c r="Q14" s="19">
        <f t="shared" si="27"/>
        <v>0.3221693404484719</v>
      </c>
      <c r="R14" s="19">
        <f t="shared" si="27"/>
        <v>0.32587556233187798</v>
      </c>
      <c r="S14" s="19">
        <f t="shared" si="27"/>
        <v>0.32940529745893143</v>
      </c>
      <c r="T14" s="19">
        <f t="shared" si="27"/>
        <v>0.33276694996088707</v>
      </c>
      <c r="U14" s="19">
        <f t="shared" ref="U14" si="29">+U12/U$8</f>
        <v>0.3169209047246544</v>
      </c>
    </row>
    <row r="15" spans="1:23" s="12" customFormat="1" x14ac:dyDescent="0.2">
      <c r="B15" s="13" t="s">
        <v>34</v>
      </c>
      <c r="C15" s="14"/>
      <c r="D15" s="19"/>
      <c r="E15" s="19">
        <f t="shared" ref="E15:I15" si="30">(E12-D12)/(E8-D8)</f>
        <v>-0.24715488645062861</v>
      </c>
      <c r="F15" s="19">
        <f t="shared" si="30"/>
        <v>0.40629159500772927</v>
      </c>
      <c r="G15" s="19">
        <f t="shared" si="30"/>
        <v>0.18835670586544281</v>
      </c>
      <c r="H15" s="19">
        <f t="shared" si="30"/>
        <v>0.26586655817738092</v>
      </c>
      <c r="I15" s="105">
        <f t="shared" si="30"/>
        <v>-0.52233389420037102</v>
      </c>
      <c r="J15" s="19">
        <f t="shared" ref="J15" si="31">(J12-I12)/(J8-I8)</f>
        <v>0.41473351281037846</v>
      </c>
      <c r="K15" s="1262">
        <f>+'FA Base'!K23</f>
        <v>0.4</v>
      </c>
      <c r="L15" s="1262">
        <f>+'FA Base'!L23</f>
        <v>0.4</v>
      </c>
      <c r="M15" s="1262">
        <f>+'FA Base'!M23</f>
        <v>0.4</v>
      </c>
      <c r="N15" s="1262">
        <f>+'FA Base'!N23</f>
        <v>0.4</v>
      </c>
      <c r="O15" s="1262">
        <f>+'FA Base'!O23</f>
        <v>0.4</v>
      </c>
      <c r="P15" s="1262">
        <f>+'FA Base'!P23</f>
        <v>0.4</v>
      </c>
      <c r="Q15" s="1262">
        <f>+'FA Base'!Q23</f>
        <v>0.4</v>
      </c>
      <c r="R15" s="1262">
        <f>+'FA Base'!R23</f>
        <v>0.4</v>
      </c>
      <c r="S15" s="1262">
        <f>+'FA Base'!S23</f>
        <v>0.4</v>
      </c>
      <c r="T15" s="1262">
        <f>+'FA Base'!T23</f>
        <v>0.4</v>
      </c>
      <c r="U15" s="1262">
        <f>+'FA Base'!U23</f>
        <v>0</v>
      </c>
    </row>
    <row r="16" spans="1:23" s="12" customFormat="1" x14ac:dyDescent="0.2">
      <c r="B16" s="13"/>
      <c r="C16" s="14"/>
      <c r="D16" s="33"/>
      <c r="E16" s="33"/>
      <c r="F16" s="16"/>
      <c r="G16" s="16"/>
      <c r="H16" s="89"/>
      <c r="I16" s="2259"/>
      <c r="J16" s="16"/>
      <c r="K16" s="16"/>
      <c r="L16" s="16"/>
      <c r="M16" s="16"/>
      <c r="N16" s="16"/>
      <c r="O16" s="16"/>
      <c r="P16" s="16"/>
      <c r="Q16" s="16"/>
      <c r="R16" s="16"/>
      <c r="S16" s="16"/>
      <c r="T16" s="16"/>
      <c r="U16" s="16"/>
    </row>
    <row r="17" spans="1:25" ht="11.5" x14ac:dyDescent="0.35">
      <c r="A17" s="72"/>
      <c r="B17" s="1" t="s">
        <v>35</v>
      </c>
      <c r="C17" s="72"/>
      <c r="D17" s="2353">
        <f>+'PF Combined Historical Fin'!AG30</f>
        <v>0</v>
      </c>
      <c r="E17" s="2353">
        <f>+'PF Combined Historical Fin'!AH30</f>
        <v>0</v>
      </c>
      <c r="F17" s="2353">
        <f>+'PF Combined Historical Fin'!AI30</f>
        <v>0</v>
      </c>
      <c r="G17" s="2353">
        <f>+'PF Combined Historical Fin'!AJ30</f>
        <v>0</v>
      </c>
      <c r="H17" s="2353">
        <f>+'PF Combined Historical Fin'!AK30</f>
        <v>0</v>
      </c>
      <c r="I17" s="109">
        <f>+'PF Combined Historical Fin'!AL30</f>
        <v>1.6666666666666667</v>
      </c>
      <c r="J17" s="54">
        <f>+'PF Combined Historical Fin'!AM30</f>
        <v>27.1875</v>
      </c>
      <c r="K17" s="60">
        <f>+(L17+'PF Combined Historical Fin'!AD26)/2</f>
        <v>56.25</v>
      </c>
      <c r="L17" s="60">
        <v>70</v>
      </c>
      <c r="M17" s="60">
        <f t="shared" ref="M17:T17" si="32">+L17</f>
        <v>70</v>
      </c>
      <c r="N17" s="60">
        <f t="shared" si="32"/>
        <v>70</v>
      </c>
      <c r="O17" s="60">
        <f t="shared" si="32"/>
        <v>70</v>
      </c>
      <c r="P17" s="60">
        <f t="shared" si="32"/>
        <v>70</v>
      </c>
      <c r="Q17" s="60">
        <f t="shared" si="32"/>
        <v>70</v>
      </c>
      <c r="R17" s="60">
        <f t="shared" si="32"/>
        <v>70</v>
      </c>
      <c r="S17" s="60">
        <f t="shared" si="32"/>
        <v>70</v>
      </c>
      <c r="T17" s="60">
        <f t="shared" si="32"/>
        <v>70</v>
      </c>
      <c r="U17" s="60">
        <f t="shared" ref="U17" si="33">+T17</f>
        <v>70</v>
      </c>
    </row>
    <row r="18" spans="1:25" x14ac:dyDescent="0.2">
      <c r="B18" s="22" t="s">
        <v>36</v>
      </c>
      <c r="C18" s="22"/>
      <c r="D18" s="49">
        <f>+D24+D23</f>
        <v>242.75669999999997</v>
      </c>
      <c r="E18" s="49">
        <f t="shared" ref="E18:H18" si="34">+E24+E23</f>
        <v>246.6311</v>
      </c>
      <c r="F18" s="49">
        <f t="shared" si="34"/>
        <v>405.47989999999999</v>
      </c>
      <c r="G18" s="49">
        <f t="shared" si="34"/>
        <v>447.41300000000001</v>
      </c>
      <c r="H18" s="49">
        <f t="shared" si="34"/>
        <v>422.58</v>
      </c>
      <c r="I18" s="110">
        <f>+I17+I12</f>
        <v>404.77483175104987</v>
      </c>
      <c r="J18" s="64">
        <f>+J12+J17</f>
        <v>469.76094069810631</v>
      </c>
      <c r="K18" s="64">
        <f t="shared" ref="K18:T18" si="35">+K12+K17</f>
        <v>550.5302463004864</v>
      </c>
      <c r="L18" s="64">
        <f t="shared" si="35"/>
        <v>620.12359635105702</v>
      </c>
      <c r="M18" s="64">
        <f t="shared" si="35"/>
        <v>680.43441440567324</v>
      </c>
      <c r="N18" s="64">
        <f t="shared" si="35"/>
        <v>745.57009790465872</v>
      </c>
      <c r="O18" s="64">
        <f t="shared" si="35"/>
        <v>807.12331881120008</v>
      </c>
      <c r="P18" s="64">
        <f t="shared" si="35"/>
        <v>863.57641569977079</v>
      </c>
      <c r="Q18" s="64">
        <f t="shared" si="35"/>
        <v>913.44331795134167</v>
      </c>
      <c r="R18" s="64">
        <f t="shared" si="35"/>
        <v>965.80356531549114</v>
      </c>
      <c r="S18" s="64">
        <f t="shared" si="35"/>
        <v>1020.781825047848</v>
      </c>
      <c r="T18" s="64">
        <f t="shared" si="35"/>
        <v>1078.5089977668226</v>
      </c>
      <c r="U18" s="64">
        <f t="shared" ref="U18" si="36">+U12+U17</f>
        <v>1078.5089977668226</v>
      </c>
    </row>
    <row r="19" spans="1:25" s="12" customFormat="1" ht="11.25" customHeight="1" x14ac:dyDescent="0.2">
      <c r="B19" s="13" t="s">
        <v>29</v>
      </c>
      <c r="C19" s="14"/>
      <c r="D19" s="15"/>
      <c r="E19" s="15">
        <f t="shared" ref="E19:J19" si="37">IF(OR(E18&lt;0, D18&lt;0), "NM", E18/D18-1)</f>
        <v>1.5960012638168264E-2</v>
      </c>
      <c r="F19" s="15">
        <f t="shared" si="37"/>
        <v>0.64407449020014096</v>
      </c>
      <c r="G19" s="15">
        <f t="shared" si="37"/>
        <v>0.10341597696951199</v>
      </c>
      <c r="H19" s="15">
        <f t="shared" si="37"/>
        <v>-5.5503528060203977E-2</v>
      </c>
      <c r="I19" s="102">
        <f t="shared" si="37"/>
        <v>-4.2134431939396366E-2</v>
      </c>
      <c r="J19" s="15">
        <f t="shared" si="37"/>
        <v>0.16054878873255896</v>
      </c>
      <c r="K19" s="15">
        <f t="shared" ref="K19" si="38">IF(OR(K18&lt;0, J18&lt;0), "NM", K18/J18-1)</f>
        <v>0.17193703989597298</v>
      </c>
      <c r="L19" s="15">
        <f t="shared" ref="L19" si="39">IF(OR(L18&lt;0, K18&lt;0), "NM", L18/K18-1)</f>
        <v>0.12641149240796778</v>
      </c>
      <c r="M19" s="15">
        <f t="shared" ref="M19" si="40">IF(OR(M18&lt;0, L18&lt;0), "NM", M18/L18-1)</f>
        <v>9.725612508457715E-2</v>
      </c>
      <c r="N19" s="15">
        <f t="shared" ref="N19" si="41">IF(OR(N18&lt;0, M18&lt;0), "NM", N18/M18-1)</f>
        <v>9.5726615409184479E-2</v>
      </c>
      <c r="O19" s="15">
        <f t="shared" ref="O19" si="42">IF(OR(O18&lt;0, N18&lt;0), "NM", O18/N18-1)</f>
        <v>8.2558596541800311E-2</v>
      </c>
      <c r="P19" s="15">
        <f t="shared" ref="P19" si="43">IF(OR(P18&lt;0, O18&lt;0), "NM", P18/O18-1)</f>
        <v>6.9943583059549841E-2</v>
      </c>
      <c r="Q19" s="15">
        <f t="shared" ref="Q19" si="44">IF(OR(Q18&lt;0, P18&lt;0), "NM", Q18/P18-1)</f>
        <v>5.7744631910961575E-2</v>
      </c>
      <c r="R19" s="15">
        <f t="shared" ref="R19" si="45">IF(OR(R18&lt;0, Q18&lt;0), "NM", R18/Q18-1)</f>
        <v>5.7321835230654816E-2</v>
      </c>
      <c r="S19" s="15">
        <f t="shared" ref="S19" si="46">IF(OR(S18&lt;0, R18&lt;0), "NM", S18/R18-1)</f>
        <v>5.6924887944887148E-2</v>
      </c>
      <c r="T19" s="15">
        <f t="shared" ref="T19" si="47">IF(OR(T18&lt;0, S18&lt;0), "NM", T18/S18-1)</f>
        <v>5.6551920598967076E-2</v>
      </c>
      <c r="U19" s="15">
        <f t="shared" ref="U19" si="48">IF(OR(U18&lt;0, T18&lt;0), "NM", U18/T18-1)</f>
        <v>0</v>
      </c>
    </row>
    <row r="20" spans="1:25" s="12" customFormat="1" x14ac:dyDescent="0.2">
      <c r="B20" s="13" t="s">
        <v>33</v>
      </c>
      <c r="C20" s="14"/>
      <c r="D20" s="19">
        <f t="shared" ref="D20:J20" si="49">+D18/D$8</f>
        <v>0.2479936817755265</v>
      </c>
      <c r="E20" s="19">
        <f t="shared" si="49"/>
        <v>0.25605212838034958</v>
      </c>
      <c r="F20" s="19">
        <f t="shared" si="49"/>
        <v>0.29942858366582259</v>
      </c>
      <c r="G20" s="19">
        <f t="shared" si="49"/>
        <v>0.28374656346219096</v>
      </c>
      <c r="H20" s="19">
        <f t="shared" si="49"/>
        <v>0.28487239795577862</v>
      </c>
      <c r="I20" s="105">
        <f t="shared" si="49"/>
        <v>0.26618023470867364</v>
      </c>
      <c r="J20" s="19">
        <f t="shared" si="49"/>
        <v>0.2907228541236252</v>
      </c>
      <c r="K20" s="19">
        <f t="shared" ref="K20:T20" si="50">+K18/K$8</f>
        <v>0.3154711861960649</v>
      </c>
      <c r="L20" s="19">
        <f t="shared" si="50"/>
        <v>0.32902812005076049</v>
      </c>
      <c r="M20" s="19">
        <f t="shared" si="50"/>
        <v>0.33428529634329673</v>
      </c>
      <c r="N20" s="19">
        <f t="shared" si="50"/>
        <v>0.33915305216971919</v>
      </c>
      <c r="O20" s="19">
        <f t="shared" si="50"/>
        <v>0.34313369361655999</v>
      </c>
      <c r="P20" s="19">
        <f t="shared" si="50"/>
        <v>0.34635254114769815</v>
      </c>
      <c r="Q20" s="19">
        <f t="shared" si="50"/>
        <v>0.34890718204542676</v>
      </c>
      <c r="R20" s="19">
        <f t="shared" si="50"/>
        <v>0.35134017337659695</v>
      </c>
      <c r="S20" s="19">
        <f t="shared" si="50"/>
        <v>0.35365730797771139</v>
      </c>
      <c r="T20" s="19">
        <f t="shared" si="50"/>
        <v>0.35586410283591557</v>
      </c>
      <c r="U20" s="19">
        <f t="shared" ref="U20" si="51">+U18/U$8</f>
        <v>0.33891819317706245</v>
      </c>
    </row>
    <row r="21" spans="1:25" s="12" customFormat="1" hidden="1" outlineLevel="1" x14ac:dyDescent="0.2">
      <c r="B21" s="13" t="s">
        <v>34</v>
      </c>
      <c r="C21" s="14"/>
      <c r="D21" s="19"/>
      <c r="E21" s="19">
        <f t="shared" ref="E21:J21" si="52">(E18-D18)/(E8-D8)</f>
        <v>-0.24715488645062861</v>
      </c>
      <c r="F21" s="19">
        <f t="shared" si="52"/>
        <v>0.40629159500772927</v>
      </c>
      <c r="G21" s="19">
        <f t="shared" si="52"/>
        <v>0.18835670586544281</v>
      </c>
      <c r="H21" s="19">
        <f t="shared" si="52"/>
        <v>0.26586655817738092</v>
      </c>
      <c r="I21" s="105">
        <f t="shared" si="52"/>
        <v>-0.47762539630550865</v>
      </c>
      <c r="J21" s="19">
        <f t="shared" si="52"/>
        <v>0.6829273792812125</v>
      </c>
      <c r="K21" s="19">
        <f t="shared" ref="K21" si="53">(K18-J18)/(K8-J8)</f>
        <v>0.62482533710156041</v>
      </c>
      <c r="L21" s="19">
        <f t="shared" ref="L21" si="54">(L18-K18)/(L8-K8)</f>
        <v>0.49848979323445575</v>
      </c>
      <c r="M21" s="19">
        <f t="shared" ref="M21" si="55">(M18-L18)/(M8-L8)</f>
        <v>0.39999999999999969</v>
      </c>
      <c r="N21" s="19">
        <f t="shared" ref="N21" si="56">(N18-M18)/(N8-M8)</f>
        <v>0.39999999999999986</v>
      </c>
      <c r="O21" s="19">
        <f t="shared" ref="O21" si="57">(O18-N18)/(O8-N8)</f>
        <v>0.4</v>
      </c>
      <c r="P21" s="19">
        <f t="shared" ref="P21" si="58">(P18-O18)/(P8-O8)</f>
        <v>0.40000000000000019</v>
      </c>
      <c r="Q21" s="19">
        <f t="shared" ref="Q21" si="59">(Q18-P18)/(Q8-P8)</f>
        <v>0.3999999999999998</v>
      </c>
      <c r="R21" s="19">
        <f t="shared" ref="R21" si="60">(R18-Q18)/(R8-Q8)</f>
        <v>0.4</v>
      </c>
      <c r="S21" s="19">
        <f t="shared" ref="S21" si="61">(S18-R18)/(S8-R8)</f>
        <v>0.39999999999999986</v>
      </c>
      <c r="T21" s="19">
        <f t="shared" ref="T21" si="62">(T18-S18)/(T8-S8)</f>
        <v>0.39999999999999952</v>
      </c>
      <c r="U21" s="19">
        <f t="shared" ref="U21" si="63">(U18-T18)/(U8-T8)</f>
        <v>0</v>
      </c>
    </row>
    <row r="22" spans="1:25" s="12" customFormat="1" collapsed="1" x14ac:dyDescent="0.2">
      <c r="B22" s="18"/>
      <c r="C22" s="14"/>
      <c r="D22" s="40"/>
      <c r="E22" s="40"/>
      <c r="F22" s="40"/>
      <c r="G22" s="49"/>
      <c r="H22" s="49"/>
      <c r="I22" s="106"/>
      <c r="J22" s="49"/>
      <c r="K22" s="49"/>
      <c r="L22" s="49"/>
      <c r="M22" s="49"/>
      <c r="N22" s="49"/>
      <c r="O22" s="49"/>
      <c r="P22" s="49"/>
      <c r="Q22" s="49"/>
      <c r="R22" s="49"/>
      <c r="S22" s="49"/>
      <c r="T22" s="49"/>
      <c r="U22" s="49"/>
    </row>
    <row r="23" spans="1:25" s="1011" customFormat="1" ht="11.5" x14ac:dyDescent="0.35">
      <c r="B23" s="18" t="s">
        <v>37</v>
      </c>
      <c r="C23" s="1012"/>
      <c r="D23" s="54">
        <f>+'PF Basic Historical Fin'!AG71</f>
        <v>2.7186000000000003</v>
      </c>
      <c r="E23" s="54">
        <f>+'PF Basic Historical Fin'!AH71</f>
        <v>9.3167000000000009</v>
      </c>
      <c r="F23" s="54">
        <f>+'PF Basic Historical Fin'!AI71</f>
        <v>21.637500000000003</v>
      </c>
      <c r="G23" s="54">
        <f>+'PF Basic Historical Fin'!AJ71</f>
        <v>31.661000000000001</v>
      </c>
      <c r="H23" s="54">
        <f>+'PF Basic Historical Fin'!AK71</f>
        <v>49.914999999999999</v>
      </c>
      <c r="I23" s="2260">
        <f>+'PF Basic Historical Fin'!AL71</f>
        <v>39.798999999999999</v>
      </c>
      <c r="J23" s="2255">
        <f>+'PF Basic Historical Fin'!AM71</f>
        <v>42.810907589198173</v>
      </c>
      <c r="K23" s="1394">
        <f t="shared" ref="K23" si="64">+J23/J8*K8</f>
        <v>46.235780196334034</v>
      </c>
      <c r="L23" s="1394">
        <f t="shared" ref="L23" si="65">+K23/K8*L8</f>
        <v>49.934642612040761</v>
      </c>
      <c r="M23" s="1394">
        <f t="shared" ref="M23" si="66">+L23/L8*M8</f>
        <v>53.929414021004028</v>
      </c>
      <c r="N23" s="1394">
        <f t="shared" ref="N23" si="67">+M23/M8*N8</f>
        <v>58.243767142684355</v>
      </c>
      <c r="O23" s="1394">
        <f t="shared" ref="O23" si="68">+N23/N8*O8</f>
        <v>62.320830842672258</v>
      </c>
      <c r="P23" s="1394">
        <f t="shared" ref="P23" si="69">+O23/O8*P8</f>
        <v>66.060080693232592</v>
      </c>
      <c r="Q23" s="1394">
        <f t="shared" ref="Q23" si="70">+P23/P8*Q8</f>
        <v>69.363084727894233</v>
      </c>
      <c r="R23" s="1394">
        <f t="shared" ref="R23" si="71">+Q23/Q8*R8</f>
        <v>72.831238964288957</v>
      </c>
      <c r="S23" s="1394">
        <f t="shared" ref="S23" si="72">+R23/R8*S8</f>
        <v>76.472800912503416</v>
      </c>
      <c r="T23" s="1394">
        <f t="shared" ref="T23" si="73">+S23/S8*T8</f>
        <v>80.296440958128585</v>
      </c>
      <c r="U23" s="1394">
        <f t="shared" ref="U23" si="74">+T23/T8*U8</f>
        <v>84.31126300603502</v>
      </c>
    </row>
    <row r="24" spans="1:25" s="12" customFormat="1" x14ac:dyDescent="0.2">
      <c r="B24" s="22" t="s">
        <v>38</v>
      </c>
      <c r="C24" s="14"/>
      <c r="D24" s="70">
        <f>+'PF Basic Historical Fin'!AG81</f>
        <v>240.03809999999996</v>
      </c>
      <c r="E24" s="70">
        <f>+'PF Basic Historical Fin'!AH81</f>
        <v>237.31440000000001</v>
      </c>
      <c r="F24" s="70">
        <f>+'PF Basic Historical Fin'!AI81</f>
        <v>383.8424</v>
      </c>
      <c r="G24" s="70">
        <f>+'PF Basic Historical Fin'!AJ81</f>
        <v>415.75200000000001</v>
      </c>
      <c r="H24" s="70">
        <f>+'PF Basic Historical Fin'!AK81</f>
        <v>372.66499999999996</v>
      </c>
      <c r="I24" s="106">
        <f>+I18-I23</f>
        <v>364.9758317510499</v>
      </c>
      <c r="J24" s="49">
        <f>+J18-J23</f>
        <v>426.95003310890814</v>
      </c>
      <c r="K24" s="49">
        <f t="shared" ref="K24:T24" si="75">+K18-K23</f>
        <v>504.29446610415238</v>
      </c>
      <c r="L24" s="49">
        <f t="shared" si="75"/>
        <v>570.18895373901626</v>
      </c>
      <c r="M24" s="49">
        <f t="shared" si="75"/>
        <v>626.50500038466919</v>
      </c>
      <c r="N24" s="49">
        <f t="shared" si="75"/>
        <v>687.32633076197442</v>
      </c>
      <c r="O24" s="49">
        <f t="shared" si="75"/>
        <v>744.80248796852777</v>
      </c>
      <c r="P24" s="49">
        <f t="shared" si="75"/>
        <v>797.51633500653816</v>
      </c>
      <c r="Q24" s="49">
        <f t="shared" si="75"/>
        <v>844.08023322344741</v>
      </c>
      <c r="R24" s="49">
        <f t="shared" si="75"/>
        <v>892.97232635120213</v>
      </c>
      <c r="S24" s="49">
        <f t="shared" si="75"/>
        <v>944.30902413534454</v>
      </c>
      <c r="T24" s="49">
        <f t="shared" si="75"/>
        <v>998.21255680869399</v>
      </c>
      <c r="U24" s="49">
        <f t="shared" ref="U24" si="76">+U18-U23</f>
        <v>994.19773476078763</v>
      </c>
      <c r="W24" s="33"/>
      <c r="X24" s="33"/>
      <c r="Y24" s="33"/>
    </row>
    <row r="25" spans="1:25" s="12" customFormat="1" x14ac:dyDescent="0.2">
      <c r="B25" s="24" t="s">
        <v>1845</v>
      </c>
      <c r="C25" s="14"/>
      <c r="D25" s="15"/>
      <c r="E25" s="15">
        <f>IFERROR(IF(OR(E24&lt;0, D24&lt;0), "NM", E24/D24-1),"N/A")</f>
        <v>-1.1346948671898116E-2</v>
      </c>
      <c r="F25" s="15">
        <f>IFERROR(IF(OR(F24&lt;0, E24&lt;0), "NM", F24/E24-1),"N/A")</f>
        <v>0.61744251507704551</v>
      </c>
      <c r="G25" s="15">
        <f>IFERROR(IF(OR(G24&lt;0, F24&lt;0), "NM", G24/F24-1),"N/A")</f>
        <v>8.313203543954506E-2</v>
      </c>
      <c r="H25" s="15">
        <f t="shared" ref="H25:J25" si="77">IFERROR(IF(OR(H24&lt;0, G24&lt;0), "NM", H24/G24-1),"N/A")</f>
        <v>-0.10363630241105282</v>
      </c>
      <c r="I25" s="102">
        <f t="shared" si="77"/>
        <v>-2.0632922997732783E-2</v>
      </c>
      <c r="J25" s="15">
        <f t="shared" si="77"/>
        <v>0.1698035759259009</v>
      </c>
      <c r="K25" s="15">
        <f t="shared" ref="K25" si="78">IFERROR(IF(OR(K24&lt;0, J24&lt;0), "NM", K24/J24-1),"N/A")</f>
        <v>0.18115570206669807</v>
      </c>
      <c r="L25" s="15">
        <f t="shared" ref="L25" si="79">IFERROR(IF(OR(L24&lt;0, K24&lt;0), "NM", L24/K24-1),"N/A")</f>
        <v>0.13066668794508374</v>
      </c>
      <c r="M25" s="15">
        <f t="shared" ref="M25" si="80">IFERROR(IF(OR(M24&lt;0, L24&lt;0), "NM", M24/L24-1),"N/A")</f>
        <v>9.8767340679541737E-2</v>
      </c>
      <c r="N25" s="15">
        <f t="shared" ref="N25" si="81">IFERROR(IF(OR(N24&lt;0, M24&lt;0), "NM", N24/M24-1),"N/A")</f>
        <v>9.70803590393714E-2</v>
      </c>
      <c r="O25" s="15">
        <f t="shared" ref="O25" si="82">IFERROR(IF(OR(O24&lt;0, N24&lt;0), "NM", O24/N24-1),"N/A")</f>
        <v>8.3622807150185663E-2</v>
      </c>
      <c r="P25" s="15">
        <f t="shared" ref="P25" si="83">IFERROR(IF(OR(P24&lt;0, O24&lt;0), "NM", P24/O24-1),"N/A")</f>
        <v>7.0775605465267732E-2</v>
      </c>
      <c r="Q25" s="15">
        <f t="shared" ref="Q25" si="84">IFERROR(IF(OR(Q24&lt;0, P24&lt;0), "NM", Q24/P24-1),"N/A")</f>
        <v>5.8386137277711692E-2</v>
      </c>
      <c r="R25" s="15">
        <f t="shared" ref="R25" si="85">IFERROR(IF(OR(R24&lt;0, Q24&lt;0), "NM", R24/Q24-1),"N/A")</f>
        <v>5.792351390701489E-2</v>
      </c>
      <c r="S25" s="15">
        <f t="shared" ref="S25" si="86">IFERROR(IF(OR(S24&lt;0, R24&lt;0), "NM", S24/R24-1),"N/A")</f>
        <v>5.7489685031909765E-2</v>
      </c>
      <c r="T25" s="15">
        <f t="shared" ref="T25" si="87">IFERROR(IF(OR(T24&lt;0, S24&lt;0), "NM", T24/S24-1),"N/A")</f>
        <v>5.708251355821381E-2</v>
      </c>
      <c r="U25" s="15">
        <f t="shared" ref="U25" si="88">IFERROR(IF(OR(U24&lt;0, T24&lt;0), "NM", U24/T24-1),"N/A")</f>
        <v>-4.0220111643775036E-3</v>
      </c>
    </row>
    <row r="26" spans="1:25" s="12" customFormat="1" x14ac:dyDescent="0.2">
      <c r="B26" s="24" t="s">
        <v>33</v>
      </c>
      <c r="C26" s="14"/>
      <c r="D26" s="15">
        <f>+IFERROR(D24/D$8,"N/A")</f>
        <v>0.24521643351306885</v>
      </c>
      <c r="E26" s="15">
        <f>+IFERROR(E24/E$8,"N/A")</f>
        <v>0.24637954100397569</v>
      </c>
      <c r="F26" s="15">
        <f>+IFERROR(F24/F$8,"N/A")</f>
        <v>0.2834502676529469</v>
      </c>
      <c r="G26" s="15">
        <f>+IFERROR(G24/G$8,"N/A")</f>
        <v>0.26366735265299135</v>
      </c>
      <c r="H26" s="15">
        <f t="shared" ref="H26:J26" si="89">+IFERROR(H24/H$8,"N/A")</f>
        <v>0.25122337115857407</v>
      </c>
      <c r="I26" s="102">
        <f t="shared" si="89"/>
        <v>0.24000838228558136</v>
      </c>
      <c r="J26" s="15">
        <f t="shared" si="89"/>
        <v>0.26422829452175955</v>
      </c>
      <c r="K26" s="15">
        <f t="shared" ref="K26:T26" si="90">+IFERROR(K24/K$8,"N/A")</f>
        <v>0.2889766265941992</v>
      </c>
      <c r="L26" s="15">
        <f t="shared" si="90"/>
        <v>0.30253356044889484</v>
      </c>
      <c r="M26" s="15">
        <f t="shared" si="90"/>
        <v>0.30779073674143104</v>
      </c>
      <c r="N26" s="15">
        <f t="shared" si="90"/>
        <v>0.31265849256785355</v>
      </c>
      <c r="O26" s="15">
        <f t="shared" si="90"/>
        <v>0.31663913401469429</v>
      </c>
      <c r="P26" s="15">
        <f t="shared" si="90"/>
        <v>0.31985798154583245</v>
      </c>
      <c r="Q26" s="15">
        <f t="shared" si="90"/>
        <v>0.32241262244356111</v>
      </c>
      <c r="R26" s="15">
        <f t="shared" si="90"/>
        <v>0.32484561377473126</v>
      </c>
      <c r="S26" s="15">
        <f t="shared" si="90"/>
        <v>0.32716274837584569</v>
      </c>
      <c r="T26" s="15">
        <f t="shared" si="90"/>
        <v>0.32936954323404988</v>
      </c>
      <c r="U26" s="15">
        <f t="shared" ref="U26" si="91">+IFERROR(U24/U$8,"N/A")</f>
        <v>0.31242363357519676</v>
      </c>
      <c r="V26" s="59"/>
    </row>
    <row r="27" spans="1:25" s="12" customFormat="1" hidden="1" outlineLevel="1" x14ac:dyDescent="0.2">
      <c r="B27" s="24" t="s">
        <v>39</v>
      </c>
      <c r="C27" s="14"/>
      <c r="D27" s="15"/>
      <c r="E27" s="16">
        <f t="shared" ref="E27:J27" si="92">(E24-D24)/(E8-D8)</f>
        <v>0.17374968104107955</v>
      </c>
      <c r="F27" s="16">
        <f t="shared" si="92"/>
        <v>0.37477837310255135</v>
      </c>
      <c r="G27" s="16">
        <f t="shared" si="92"/>
        <v>0.14333276436714512</v>
      </c>
      <c r="H27" s="16">
        <f t="shared" si="92"/>
        <v>0.46129716072116989</v>
      </c>
      <c r="I27" s="103">
        <f t="shared" si="92"/>
        <v>-0.20626269748285381</v>
      </c>
      <c r="J27" s="12">
        <f t="shared" si="92"/>
        <v>0.65127578188823643</v>
      </c>
      <c r="K27" s="12">
        <f t="shared" ref="K27:T27" si="93">(K24-J24)/(K8-J8)</f>
        <v>0.59833077749969477</v>
      </c>
      <c r="L27" s="12">
        <f t="shared" si="93"/>
        <v>0.47199523363258994</v>
      </c>
      <c r="M27" s="12">
        <f t="shared" si="93"/>
        <v>0.37350544039813388</v>
      </c>
      <c r="N27" s="12">
        <f t="shared" si="93"/>
        <v>0.3735054403981346</v>
      </c>
      <c r="O27" s="12">
        <f t="shared" si="93"/>
        <v>0.37350544039813371</v>
      </c>
      <c r="P27" s="12">
        <f t="shared" si="93"/>
        <v>0.37350544039813455</v>
      </c>
      <c r="Q27" s="12">
        <f t="shared" si="93"/>
        <v>0.37350544039813421</v>
      </c>
      <c r="R27" s="12">
        <f t="shared" si="93"/>
        <v>0.3735054403981341</v>
      </c>
      <c r="S27" s="12">
        <f t="shared" si="93"/>
        <v>0.37350544039813438</v>
      </c>
      <c r="T27" s="12">
        <f t="shared" si="93"/>
        <v>0.3735054403981336</v>
      </c>
      <c r="U27" s="12">
        <f t="shared" ref="U27" si="94">(U24-T24)/(U8-T8)</f>
        <v>-2.6494559601865256E-2</v>
      </c>
      <c r="V27" s="59"/>
    </row>
    <row r="28" spans="1:25" collapsed="1" x14ac:dyDescent="0.2">
      <c r="F28" s="20"/>
      <c r="G28" s="20"/>
      <c r="H28" s="20"/>
      <c r="I28" s="104"/>
      <c r="J28" s="15"/>
      <c r="K28" s="20"/>
      <c r="L28" s="20"/>
      <c r="M28" s="20"/>
      <c r="N28" s="20"/>
      <c r="O28" s="20"/>
      <c r="P28" s="20"/>
      <c r="Q28" s="20"/>
      <c r="R28" s="20"/>
      <c r="S28" s="20"/>
      <c r="T28" s="20"/>
      <c r="U28" s="20"/>
    </row>
    <row r="29" spans="1:25" x14ac:dyDescent="0.2">
      <c r="B29" s="1" t="s">
        <v>40</v>
      </c>
      <c r="D29" s="70">
        <f>+'PF Basic Historical Fin'!AG96</f>
        <v>51.733199999999997</v>
      </c>
      <c r="E29" s="70">
        <f>+'PF Basic Historical Fin'!AH96</f>
        <v>36.92</v>
      </c>
      <c r="F29" s="70">
        <f>+'PF Basic Historical Fin'!AI96</f>
        <v>44.543999999999997</v>
      </c>
      <c r="G29" s="70">
        <f>+'PF Basic Historical Fin'!AJ96</f>
        <v>50.084000000000003</v>
      </c>
      <c r="H29" s="70">
        <f>+'PF Basic Historical Fin'!AK96</f>
        <v>48.164999999999992</v>
      </c>
      <c r="I29" s="101">
        <f>+'PF Basic Historical Fin'!AL96</f>
        <v>51.78844822305949</v>
      </c>
      <c r="J29" s="2254">
        <f>+'PF Basic Historical Fin'!AM96</f>
        <v>51.381340865561043</v>
      </c>
      <c r="K29" s="49">
        <f t="shared" ref="K29:U29" si="95">+K30*K$8</f>
        <v>55.491848134805934</v>
      </c>
      <c r="L29" s="49">
        <f t="shared" si="95"/>
        <v>59.931195985590406</v>
      </c>
      <c r="M29" s="49">
        <f t="shared" si="95"/>
        <v>64.725691664437647</v>
      </c>
      <c r="N29" s="49">
        <f t="shared" si="95"/>
        <v>69.903746997592663</v>
      </c>
      <c r="O29" s="49">
        <f t="shared" si="95"/>
        <v>74.79700928742416</v>
      </c>
      <c r="P29" s="49">
        <f t="shared" si="95"/>
        <v>79.284829844669602</v>
      </c>
      <c r="Q29" s="49">
        <f t="shared" si="95"/>
        <v>83.249071336903086</v>
      </c>
      <c r="R29" s="49">
        <f t="shared" si="95"/>
        <v>87.411524903748258</v>
      </c>
      <c r="S29" s="49">
        <f t="shared" si="95"/>
        <v>91.782101148935666</v>
      </c>
      <c r="T29" s="49">
        <f t="shared" si="95"/>
        <v>96.371206206382453</v>
      </c>
      <c r="U29" s="49">
        <f t="shared" si="95"/>
        <v>101.18976651670158</v>
      </c>
    </row>
    <row r="30" spans="1:25" s="12" customFormat="1" x14ac:dyDescent="0.2">
      <c r="B30" s="13" t="s">
        <v>41</v>
      </c>
      <c r="C30" s="14"/>
      <c r="D30" s="19">
        <f>+D29/D$8</f>
        <v>5.2849238509296216E-2</v>
      </c>
      <c r="E30" s="19">
        <f>+E29/E$8</f>
        <v>3.8330302138710429E-2</v>
      </c>
      <c r="F30" s="19">
        <f>+F29/F$8</f>
        <v>3.2893731183248294E-2</v>
      </c>
      <c r="G30" s="19">
        <f>+G29/G$8</f>
        <v>3.17629637146001E-2</v>
      </c>
      <c r="H30" s="19">
        <f t="shared" ref="H30:J30" si="96">+H29/H$8</f>
        <v>3.2469305332812899E-2</v>
      </c>
      <c r="I30" s="102">
        <f t="shared" si="96"/>
        <v>3.405612261903241E-2</v>
      </c>
      <c r="J30" s="15">
        <f t="shared" si="96"/>
        <v>3.1798578321424464E-2</v>
      </c>
      <c r="K30" s="59">
        <f>+J30</f>
        <v>3.1798578321424464E-2</v>
      </c>
      <c r="L30" s="59">
        <f t="shared" ref="L30:T30" si="97">+K30</f>
        <v>3.1798578321424464E-2</v>
      </c>
      <c r="M30" s="59">
        <f t="shared" si="97"/>
        <v>3.1798578321424464E-2</v>
      </c>
      <c r="N30" s="59">
        <f t="shared" si="97"/>
        <v>3.1798578321424464E-2</v>
      </c>
      <c r="O30" s="59">
        <f t="shared" si="97"/>
        <v>3.1798578321424464E-2</v>
      </c>
      <c r="P30" s="59">
        <f t="shared" si="97"/>
        <v>3.1798578321424464E-2</v>
      </c>
      <c r="Q30" s="59">
        <f t="shared" si="97"/>
        <v>3.1798578321424464E-2</v>
      </c>
      <c r="R30" s="59">
        <f t="shared" si="97"/>
        <v>3.1798578321424464E-2</v>
      </c>
      <c r="S30" s="59">
        <f t="shared" si="97"/>
        <v>3.1798578321424464E-2</v>
      </c>
      <c r="T30" s="59">
        <f t="shared" si="97"/>
        <v>3.1798578321424464E-2</v>
      </c>
      <c r="U30" s="59">
        <f t="shared" ref="U30" si="98">+T30</f>
        <v>3.1798578321424464E-2</v>
      </c>
    </row>
    <row r="31" spans="1:25" x14ac:dyDescent="0.2">
      <c r="F31" s="20"/>
      <c r="G31" s="20"/>
      <c r="H31" s="20"/>
      <c r="I31" s="104"/>
      <c r="J31" s="20"/>
      <c r="K31" s="20"/>
      <c r="L31" s="20"/>
      <c r="M31" s="20"/>
      <c r="N31" s="20"/>
      <c r="O31" s="20"/>
      <c r="P31" s="20"/>
      <c r="Q31" s="20"/>
      <c r="R31" s="20"/>
      <c r="S31" s="20"/>
      <c r="T31" s="20"/>
      <c r="U31" s="20"/>
      <c r="X31" s="1">
        <v>20000</v>
      </c>
    </row>
    <row r="32" spans="1:25" ht="11.25" customHeight="1" x14ac:dyDescent="0.2">
      <c r="B32" s="21" t="s">
        <v>42</v>
      </c>
      <c r="D32" s="40">
        <f t="shared" ref="D32:T32" si="99">+D24-D29</f>
        <v>188.30489999999998</v>
      </c>
      <c r="E32" s="40">
        <f t="shared" si="99"/>
        <v>200.39440000000002</v>
      </c>
      <c r="F32" s="40">
        <f t="shared" si="99"/>
        <v>339.29840000000002</v>
      </c>
      <c r="G32" s="49">
        <f t="shared" si="99"/>
        <v>365.66800000000001</v>
      </c>
      <c r="H32" s="49">
        <f t="shared" si="99"/>
        <v>324.5</v>
      </c>
      <c r="I32" s="106">
        <f t="shared" si="99"/>
        <v>313.18738352799039</v>
      </c>
      <c r="J32" s="49">
        <f t="shared" si="99"/>
        <v>375.56869224334707</v>
      </c>
      <c r="K32" s="49">
        <f t="shared" si="99"/>
        <v>448.80261796934644</v>
      </c>
      <c r="L32" s="49">
        <f t="shared" si="99"/>
        <v>510.25775775342584</v>
      </c>
      <c r="M32" s="49">
        <f t="shared" si="99"/>
        <v>561.77930872023148</v>
      </c>
      <c r="N32" s="49">
        <f t="shared" si="99"/>
        <v>617.42258376438178</v>
      </c>
      <c r="O32" s="49">
        <f t="shared" si="99"/>
        <v>670.00547868110357</v>
      </c>
      <c r="P32" s="49">
        <f t="shared" si="99"/>
        <v>718.23150516186854</v>
      </c>
      <c r="Q32" s="49">
        <f t="shared" si="99"/>
        <v>760.83116188654435</v>
      </c>
      <c r="R32" s="49">
        <f t="shared" si="99"/>
        <v>805.56080144745385</v>
      </c>
      <c r="S32" s="49">
        <f t="shared" si="99"/>
        <v>852.52692298640886</v>
      </c>
      <c r="T32" s="49">
        <f t="shared" si="99"/>
        <v>901.84135060231154</v>
      </c>
      <c r="U32" s="49">
        <f t="shared" ref="U32" si="100">+U24-U29</f>
        <v>893.00796824408599</v>
      </c>
    </row>
    <row r="33" spans="2:21" s="12" customFormat="1" ht="11.25" customHeight="1" x14ac:dyDescent="0.2">
      <c r="B33" s="13" t="s">
        <v>1845</v>
      </c>
      <c r="C33" s="14"/>
      <c r="D33" s="15"/>
      <c r="E33" s="15">
        <f t="shared" ref="E33:T33" si="101">IF(OR(E32&lt;0, D32&lt;0), "NM", E32/D32-1)</f>
        <v>6.4201728154710924E-2</v>
      </c>
      <c r="F33" s="15">
        <f t="shared" si="101"/>
        <v>0.69315310208269287</v>
      </c>
      <c r="G33" s="15">
        <f t="shared" si="101"/>
        <v>7.7718020479907945E-2</v>
      </c>
      <c r="H33" s="15">
        <f t="shared" si="101"/>
        <v>-0.11258299878578382</v>
      </c>
      <c r="I33" s="102">
        <f t="shared" si="101"/>
        <v>-3.4861684043172914E-2</v>
      </c>
      <c r="J33" s="15">
        <f t="shared" si="101"/>
        <v>0.19918206159087348</v>
      </c>
      <c r="K33" s="15">
        <f t="shared" si="101"/>
        <v>0.19499475658782539</v>
      </c>
      <c r="L33" s="15">
        <f t="shared" si="101"/>
        <v>0.13693133088692644</v>
      </c>
      <c r="M33" s="15">
        <f t="shared" si="101"/>
        <v>0.10097161715609348</v>
      </c>
      <c r="N33" s="15">
        <f t="shared" si="101"/>
        <v>9.9048281381009184E-2</v>
      </c>
      <c r="O33" s="15">
        <f t="shared" si="101"/>
        <v>8.5165162887511414E-2</v>
      </c>
      <c r="P33" s="15">
        <f t="shared" si="101"/>
        <v>7.1978555422706814E-2</v>
      </c>
      <c r="Q33" s="15">
        <f t="shared" si="101"/>
        <v>5.9311874261315012E-2</v>
      </c>
      <c r="R33" s="15">
        <f t="shared" si="101"/>
        <v>5.8790493609644834E-2</v>
      </c>
      <c r="S33" s="15">
        <f t="shared" si="101"/>
        <v>5.8302391892163907E-2</v>
      </c>
      <c r="T33" s="15">
        <f t="shared" si="101"/>
        <v>5.7845009097371225E-2</v>
      </c>
      <c r="U33" s="15">
        <f t="shared" ref="U33" si="102">IF(OR(U32&lt;0, T32&lt;0), "NM", U32/T32-1)</f>
        <v>-9.7948296031513671E-3</v>
      </c>
    </row>
    <row r="34" spans="2:21" s="12" customFormat="1" x14ac:dyDescent="0.2">
      <c r="B34" s="13" t="s">
        <v>33</v>
      </c>
      <c r="C34" s="14"/>
      <c r="D34" s="19">
        <f t="shared" ref="D34:T34" si="103">+D32/D$8</f>
        <v>0.19236719500377267</v>
      </c>
      <c r="E34" s="19">
        <f t="shared" si="103"/>
        <v>0.20804923886526527</v>
      </c>
      <c r="F34" s="19">
        <f t="shared" si="103"/>
        <v>0.25055653646969861</v>
      </c>
      <c r="G34" s="19">
        <f t="shared" si="103"/>
        <v>0.23190438893839127</v>
      </c>
      <c r="H34" s="19">
        <f t="shared" si="103"/>
        <v>0.21875406582576121</v>
      </c>
      <c r="I34" s="105">
        <f t="shared" si="103"/>
        <v>0.20595225966654893</v>
      </c>
      <c r="J34" s="19">
        <f t="shared" si="103"/>
        <v>0.23242971620033506</v>
      </c>
      <c r="K34" s="19">
        <f t="shared" si="103"/>
        <v>0.25717804827277474</v>
      </c>
      <c r="L34" s="19">
        <f t="shared" si="103"/>
        <v>0.27073498212747038</v>
      </c>
      <c r="M34" s="19">
        <f t="shared" si="103"/>
        <v>0.27599215842000657</v>
      </c>
      <c r="N34" s="19">
        <f t="shared" si="103"/>
        <v>0.28085991424642909</v>
      </c>
      <c r="O34" s="19">
        <f t="shared" si="103"/>
        <v>0.28484055569326983</v>
      </c>
      <c r="P34" s="19">
        <f t="shared" si="103"/>
        <v>0.28805940322440798</v>
      </c>
      <c r="Q34" s="19">
        <f t="shared" si="103"/>
        <v>0.29061404412213665</v>
      </c>
      <c r="R34" s="19">
        <f t="shared" si="103"/>
        <v>0.29304703545330679</v>
      </c>
      <c r="S34" s="19">
        <f t="shared" si="103"/>
        <v>0.29536417005442123</v>
      </c>
      <c r="T34" s="19">
        <f t="shared" si="103"/>
        <v>0.29757096491262541</v>
      </c>
      <c r="U34" s="19">
        <f t="shared" ref="U34" si="104">+U32/U$8</f>
        <v>0.28062505525377229</v>
      </c>
    </row>
    <row r="35" spans="2:21" x14ac:dyDescent="0.2">
      <c r="F35" s="20"/>
      <c r="G35" s="20"/>
      <c r="H35" s="20"/>
      <c r="I35" s="104"/>
      <c r="J35" s="20"/>
      <c r="K35" s="20"/>
      <c r="L35" s="20"/>
      <c r="M35" s="20"/>
      <c r="N35" s="20"/>
      <c r="O35" s="20"/>
      <c r="P35" s="20"/>
      <c r="Q35" s="20"/>
      <c r="R35" s="20"/>
      <c r="S35" s="20"/>
      <c r="T35" s="20"/>
      <c r="U35" s="20"/>
    </row>
    <row r="36" spans="2:21" x14ac:dyDescent="0.2">
      <c r="B36" s="1" t="s">
        <v>43</v>
      </c>
      <c r="D36" s="70">
        <f>+'PF Basic Historical Fin'!AG121</f>
        <v>43.151600000000002</v>
      </c>
      <c r="E36" s="70">
        <f>+'PF Basic Historical Fin'!AH121</f>
        <v>41.748100000000001</v>
      </c>
      <c r="F36" s="70">
        <f>+'PF Basic Historical Fin'!AI121</f>
        <v>45.238699999999994</v>
      </c>
      <c r="G36" s="70">
        <f>+'PF Basic Historical Fin'!AJ121</f>
        <v>48.661999999999992</v>
      </c>
      <c r="H36" s="70">
        <f>+'PF Basic Historical Fin'!AK121</f>
        <v>47.908999999999992</v>
      </c>
      <c r="I36" s="101">
        <f>+'PF Basic Historical Fin'!AL121</f>
        <v>50.008100045137112</v>
      </c>
      <c r="J36" s="2254">
        <f>+'PF Basic Historical Fin'!AM121</f>
        <v>53.061707537622809</v>
      </c>
      <c r="K36" s="49">
        <f t="shared" ref="K36:S36" si="105">($T$36-$I$36)/11+J36</f>
        <v>57.276535370463293</v>
      </c>
      <c r="L36" s="49">
        <f t="shared" si="105"/>
        <v>61.491363203303777</v>
      </c>
      <c r="M36" s="49">
        <f t="shared" si="105"/>
        <v>65.706191036144261</v>
      </c>
      <c r="N36" s="49">
        <f t="shared" si="105"/>
        <v>69.921018868984746</v>
      </c>
      <c r="O36" s="49">
        <f t="shared" si="105"/>
        <v>74.13584670182523</v>
      </c>
      <c r="P36" s="49">
        <f t="shared" si="105"/>
        <v>78.350674534665714</v>
      </c>
      <c r="Q36" s="49">
        <f t="shared" si="105"/>
        <v>82.565502367506198</v>
      </c>
      <c r="R36" s="49">
        <f t="shared" si="105"/>
        <v>86.780330200346683</v>
      </c>
      <c r="S36" s="49">
        <f t="shared" si="105"/>
        <v>90.995158033187167</v>
      </c>
      <c r="T36" s="61">
        <f t="shared" ref="T36:U36" si="106">T29</f>
        <v>96.371206206382453</v>
      </c>
      <c r="U36" s="61">
        <f t="shared" si="106"/>
        <v>101.18976651670158</v>
      </c>
    </row>
    <row r="37" spans="2:21" s="12" customFormat="1" x14ac:dyDescent="0.2">
      <c r="B37" s="13" t="s">
        <v>41</v>
      </c>
      <c r="C37" s="14"/>
      <c r="D37" s="19">
        <f>+D36/D$8</f>
        <v>4.4082507953456328E-2</v>
      </c>
      <c r="E37" s="19">
        <f>+E36/E$8</f>
        <v>4.3342830084428408E-2</v>
      </c>
      <c r="F37" s="19">
        <f>+F36/F$8</f>
        <v>3.3406735741729851E-2</v>
      </c>
      <c r="G37" s="19">
        <f>+G36/G$8</f>
        <v>3.0861140090245778E-2</v>
      </c>
      <c r="H37" s="19">
        <f t="shared" ref="H37:T37" si="107">+H36/H$8</f>
        <v>3.229672893573618E-2</v>
      </c>
      <c r="I37" s="105">
        <f t="shared" si="107"/>
        <v>3.288536431419295E-2</v>
      </c>
      <c r="J37" s="15">
        <f t="shared" ref="J37" si="108">+J36/J$8</f>
        <v>3.2838513642888242E-2</v>
      </c>
      <c r="K37" s="19">
        <f t="shared" si="107"/>
        <v>3.2821260368424116E-2</v>
      </c>
      <c r="L37" s="19">
        <f t="shared" si="107"/>
        <v>3.262637924632017E-2</v>
      </c>
      <c r="M37" s="19">
        <f t="shared" si="107"/>
        <v>3.2280280181436423E-2</v>
      </c>
      <c r="N37" s="19">
        <f t="shared" si="107"/>
        <v>3.1806435138530958E-2</v>
      </c>
      <c r="O37" s="19">
        <f t="shared" si="107"/>
        <v>3.1517497159735584E-2</v>
      </c>
      <c r="P37" s="19">
        <f t="shared" si="107"/>
        <v>3.1423918870836891E-2</v>
      </c>
      <c r="Q37" s="19">
        <f t="shared" si="107"/>
        <v>3.1537476052505495E-2</v>
      </c>
      <c r="R37" s="19">
        <f t="shared" si="107"/>
        <v>3.1568962212630065E-2</v>
      </c>
      <c r="S37" s="19">
        <f t="shared" si="107"/>
        <v>3.1525936139698549E-2</v>
      </c>
      <c r="T37" s="19">
        <f t="shared" si="107"/>
        <v>3.1798578321424464E-2</v>
      </c>
      <c r="U37" s="19">
        <f t="shared" ref="U37" si="109">+U36/U$8</f>
        <v>3.1798578321424464E-2</v>
      </c>
    </row>
    <row r="38" spans="2:21" x14ac:dyDescent="0.2">
      <c r="F38" s="20"/>
      <c r="G38" s="20"/>
      <c r="H38" s="20"/>
      <c r="I38" s="104"/>
      <c r="J38" s="20"/>
      <c r="K38" s="20"/>
      <c r="L38" s="20"/>
      <c r="M38" s="20"/>
      <c r="N38" s="20"/>
      <c r="O38" s="20"/>
      <c r="P38" s="20"/>
      <c r="Q38" s="20"/>
      <c r="R38" s="20"/>
      <c r="S38" s="20"/>
      <c r="T38" s="20"/>
      <c r="U38" s="20"/>
    </row>
    <row r="39" spans="2:21" x14ac:dyDescent="0.2">
      <c r="B39" s="1" t="s">
        <v>44</v>
      </c>
      <c r="D39" s="70">
        <f>+'PF Basic Historical Fin'!AG129</f>
        <v>102.038</v>
      </c>
      <c r="E39" s="70">
        <f>+'PF Basic Historical Fin'!AH129</f>
        <v>83.173400000000001</v>
      </c>
      <c r="F39" s="70">
        <f>+'PF Basic Historical Fin'!AI129</f>
        <v>54.298200000000001</v>
      </c>
      <c r="G39" s="70">
        <f>+'PF Basic Historical Fin'!AJ129</f>
        <v>37.275999999999996</v>
      </c>
      <c r="H39" s="70">
        <f>+'PF Basic Historical Fin'!AK129</f>
        <v>68.835999999999999</v>
      </c>
      <c r="I39" s="101">
        <f>+'PF STER Capitalization'!H125</f>
        <v>159.42263888888886</v>
      </c>
      <c r="J39" s="49">
        <f>+J40*AVERAGE(I53)</f>
        <v>150.37397433073289</v>
      </c>
      <c r="K39" s="49">
        <f t="shared" ref="K39:M39" si="110">+K40*AVERAGE(J53)</f>
        <v>141.4545614480472</v>
      </c>
      <c r="L39" s="49">
        <f t="shared" si="110"/>
        <v>128.01753600805554</v>
      </c>
      <c r="M39" s="49">
        <f t="shared" si="110"/>
        <v>128.29251459127866</v>
      </c>
      <c r="N39" s="49">
        <f t="shared" ref="N39:T39" si="111">+N40*AVERAGE(M53:N53)</f>
        <v>147.80602475399741</v>
      </c>
      <c r="O39" s="49">
        <f t="shared" si="111"/>
        <v>161.11449210718152</v>
      </c>
      <c r="P39" s="49">
        <f t="shared" si="111"/>
        <v>173.51086758469492</v>
      </c>
      <c r="Q39" s="49">
        <f t="shared" si="111"/>
        <v>184.67961392587335</v>
      </c>
      <c r="R39" s="49">
        <f t="shared" si="111"/>
        <v>195.41841295214806</v>
      </c>
      <c r="S39" s="49">
        <f t="shared" si="111"/>
        <v>206.69415192973648</v>
      </c>
      <c r="T39" s="49">
        <f t="shared" si="111"/>
        <v>218.53367785620432</v>
      </c>
      <c r="U39" s="49">
        <f t="shared" ref="U39" si="112">+U40*AVERAGE(T53:U53)</f>
        <v>224.14615780156666</v>
      </c>
    </row>
    <row r="40" spans="2:21" s="12" customFormat="1" x14ac:dyDescent="0.2">
      <c r="B40" s="13" t="s">
        <v>45</v>
      </c>
      <c r="C40" s="14"/>
      <c r="D40" s="16"/>
      <c r="E40" s="16">
        <f>+E39/AVERAGE(D53:E53)</f>
        <v>7.53317388751992E-2</v>
      </c>
      <c r="F40" s="16">
        <f>+F39/AVERAGE(E53:F53)</f>
        <v>5.7189955783747179E-2</v>
      </c>
      <c r="G40" s="16">
        <f>+G39/AVERAGE(F53:G53)</f>
        <v>5.8231694219556096E-2</v>
      </c>
      <c r="H40" s="19">
        <f>+H39/AVERAGE(G53:H53)</f>
        <v>0.10223074689662495</v>
      </c>
      <c r="I40" s="2261">
        <f>+'PF interest'!I21</f>
        <v>7.7389630528586828E-2</v>
      </c>
      <c r="J40" s="59">
        <v>7.4999999999999997E-2</v>
      </c>
      <c r="K40" s="59">
        <f>+J40</f>
        <v>7.4999999999999997E-2</v>
      </c>
      <c r="L40" s="59">
        <f t="shared" ref="L40:T40" si="113">+K40</f>
        <v>7.4999999999999997E-2</v>
      </c>
      <c r="M40" s="59">
        <f t="shared" si="113"/>
        <v>7.4999999999999997E-2</v>
      </c>
      <c r="N40" s="59">
        <f t="shared" si="113"/>
        <v>7.4999999999999997E-2</v>
      </c>
      <c r="O40" s="59">
        <f t="shared" si="113"/>
        <v>7.4999999999999997E-2</v>
      </c>
      <c r="P40" s="59">
        <f t="shared" si="113"/>
        <v>7.4999999999999997E-2</v>
      </c>
      <c r="Q40" s="59">
        <f t="shared" si="113"/>
        <v>7.4999999999999997E-2</v>
      </c>
      <c r="R40" s="59">
        <f t="shared" si="113"/>
        <v>7.4999999999999997E-2</v>
      </c>
      <c r="S40" s="59">
        <f t="shared" si="113"/>
        <v>7.4999999999999997E-2</v>
      </c>
      <c r="T40" s="59">
        <f t="shared" si="113"/>
        <v>7.4999999999999997E-2</v>
      </c>
      <c r="U40" s="59">
        <f t="shared" ref="U40" si="114">+T40</f>
        <v>7.4999999999999997E-2</v>
      </c>
    </row>
    <row r="41" spans="2:21" x14ac:dyDescent="0.2">
      <c r="D41" s="34"/>
      <c r="E41" s="34"/>
      <c r="F41" s="20"/>
      <c r="G41" s="20"/>
      <c r="H41" s="20"/>
      <c r="I41" s="104"/>
      <c r="J41" s="20"/>
      <c r="K41" s="20"/>
      <c r="L41" s="20"/>
      <c r="M41" s="20"/>
      <c r="N41" s="20"/>
      <c r="O41" s="20"/>
      <c r="P41" s="20"/>
      <c r="Q41" s="20"/>
      <c r="R41" s="20"/>
      <c r="S41" s="20"/>
      <c r="T41" s="20"/>
      <c r="U41" s="20"/>
    </row>
    <row r="42" spans="2:21" x14ac:dyDescent="0.2">
      <c r="B42" s="1" t="s">
        <v>46</v>
      </c>
      <c r="D42" s="49">
        <f t="shared" ref="D42:T42" si="115">+MAX((D24-D39-D36)*D43,0)</f>
        <v>23.712124999999993</v>
      </c>
      <c r="E42" s="49">
        <f t="shared" si="115"/>
        <v>28.098225000000006</v>
      </c>
      <c r="F42" s="49">
        <f t="shared" si="115"/>
        <v>71.076374999999999</v>
      </c>
      <c r="G42" s="49">
        <f t="shared" si="115"/>
        <v>82.453500000000005</v>
      </c>
      <c r="H42" s="49">
        <f t="shared" si="115"/>
        <v>63.97999999999999</v>
      </c>
      <c r="I42" s="106">
        <f t="shared" si="115"/>
        <v>38.886273204255986</v>
      </c>
      <c r="J42" s="49">
        <f t="shared" si="115"/>
        <v>55.878587810138114</v>
      </c>
      <c r="K42" s="49">
        <f t="shared" si="115"/>
        <v>76.390842321410474</v>
      </c>
      <c r="L42" s="49">
        <f t="shared" si="115"/>
        <v>95.17001363191423</v>
      </c>
      <c r="M42" s="49">
        <f t="shared" si="115"/>
        <v>108.12657368931157</v>
      </c>
      <c r="N42" s="49">
        <f t="shared" si="115"/>
        <v>117.39982178474808</v>
      </c>
      <c r="O42" s="49">
        <f t="shared" si="115"/>
        <v>127.38803728988026</v>
      </c>
      <c r="P42" s="49">
        <f t="shared" si="115"/>
        <v>136.41369822179439</v>
      </c>
      <c r="Q42" s="49">
        <f t="shared" si="115"/>
        <v>144.20877923251697</v>
      </c>
      <c r="R42" s="49">
        <f t="shared" si="115"/>
        <v>152.69339579967684</v>
      </c>
      <c r="S42" s="49">
        <f t="shared" si="115"/>
        <v>161.65492854310523</v>
      </c>
      <c r="T42" s="49">
        <f t="shared" si="115"/>
        <v>170.8269181865268</v>
      </c>
      <c r="U42" s="49">
        <f t="shared" ref="U42" si="116">+MAX((U24-U39-U36)*U43,0)</f>
        <v>167.21545261062982</v>
      </c>
    </row>
    <row r="43" spans="2:21" x14ac:dyDescent="0.2">
      <c r="B43" s="13" t="s">
        <v>47</v>
      </c>
      <c r="C43" s="14"/>
      <c r="D43" s="86">
        <v>0.25</v>
      </c>
      <c r="E43" s="86">
        <f t="shared" ref="E43:T43" si="117">+D43</f>
        <v>0.25</v>
      </c>
      <c r="F43" s="86">
        <f t="shared" si="117"/>
        <v>0.25</v>
      </c>
      <c r="G43" s="86">
        <f t="shared" si="117"/>
        <v>0.25</v>
      </c>
      <c r="H43" s="86">
        <f t="shared" si="117"/>
        <v>0.25</v>
      </c>
      <c r="I43" s="107">
        <f t="shared" si="117"/>
        <v>0.25</v>
      </c>
      <c r="J43" s="86">
        <f t="shared" si="117"/>
        <v>0.25</v>
      </c>
      <c r="K43" s="86">
        <f t="shared" si="117"/>
        <v>0.25</v>
      </c>
      <c r="L43" s="86">
        <f t="shared" si="117"/>
        <v>0.25</v>
      </c>
      <c r="M43" s="86">
        <f t="shared" si="117"/>
        <v>0.25</v>
      </c>
      <c r="N43" s="86">
        <f t="shared" si="117"/>
        <v>0.25</v>
      </c>
      <c r="O43" s="86">
        <f t="shared" si="117"/>
        <v>0.25</v>
      </c>
      <c r="P43" s="86">
        <f t="shared" si="117"/>
        <v>0.25</v>
      </c>
      <c r="Q43" s="86">
        <f t="shared" si="117"/>
        <v>0.25</v>
      </c>
      <c r="R43" s="86">
        <f t="shared" si="117"/>
        <v>0.25</v>
      </c>
      <c r="S43" s="86">
        <f t="shared" si="117"/>
        <v>0.25</v>
      </c>
      <c r="T43" s="86">
        <f t="shared" si="117"/>
        <v>0.25</v>
      </c>
      <c r="U43" s="86">
        <f t="shared" ref="U43" si="118">+T43</f>
        <v>0.25</v>
      </c>
    </row>
    <row r="44" spans="2:21" x14ac:dyDescent="0.2">
      <c r="F44" s="20"/>
      <c r="G44" s="20"/>
      <c r="H44" s="20"/>
      <c r="I44" s="104"/>
      <c r="J44" s="20"/>
      <c r="K44" s="20"/>
      <c r="L44" s="20"/>
      <c r="M44" s="20"/>
      <c r="N44" s="20"/>
      <c r="O44" s="20"/>
      <c r="P44" s="20"/>
      <c r="Q44" s="20"/>
      <c r="R44" s="20"/>
      <c r="S44" s="20"/>
      <c r="T44" s="20"/>
      <c r="U44" s="20"/>
    </row>
    <row r="45" spans="2:21" x14ac:dyDescent="0.2">
      <c r="B45" s="1" t="s">
        <v>48</v>
      </c>
      <c r="D45" s="40">
        <f t="shared" ref="D45:T45" si="119">+D32-D39-D42</f>
        <v>62.554774999999985</v>
      </c>
      <c r="E45" s="40">
        <f t="shared" si="119"/>
        <v>89.122775000000019</v>
      </c>
      <c r="F45" s="40">
        <f t="shared" si="119"/>
        <v>213.92382500000002</v>
      </c>
      <c r="G45" s="40">
        <f t="shared" si="119"/>
        <v>245.93849999999998</v>
      </c>
      <c r="H45" s="40">
        <f t="shared" si="119"/>
        <v>191.684</v>
      </c>
      <c r="I45" s="108">
        <f t="shared" si="119"/>
        <v>114.87847143484555</v>
      </c>
      <c r="J45" s="40">
        <f t="shared" si="119"/>
        <v>169.31613010247605</v>
      </c>
      <c r="K45" s="40">
        <f t="shared" si="119"/>
        <v>230.95721419988874</v>
      </c>
      <c r="L45" s="40">
        <f t="shared" si="119"/>
        <v>287.07020811345603</v>
      </c>
      <c r="M45" s="40">
        <f t="shared" si="119"/>
        <v>325.3602204396413</v>
      </c>
      <c r="N45" s="40">
        <f t="shared" si="119"/>
        <v>352.21673722563628</v>
      </c>
      <c r="O45" s="40">
        <f t="shared" si="119"/>
        <v>381.50294928404185</v>
      </c>
      <c r="P45" s="40">
        <f t="shared" si="119"/>
        <v>408.30693935537926</v>
      </c>
      <c r="Q45" s="40">
        <f t="shared" si="119"/>
        <v>431.94276872815402</v>
      </c>
      <c r="R45" s="40">
        <f t="shared" si="119"/>
        <v>457.44899269562893</v>
      </c>
      <c r="S45" s="40">
        <f t="shared" si="119"/>
        <v>484.17784251356716</v>
      </c>
      <c r="T45" s="40">
        <f t="shared" si="119"/>
        <v>512.48075455958042</v>
      </c>
      <c r="U45" s="40">
        <f t="shared" ref="U45" si="120">+U32-U39-U42</f>
        <v>501.64635783188947</v>
      </c>
    </row>
    <row r="46" spans="2:21" s="12" customFormat="1" x14ac:dyDescent="0.2">
      <c r="B46" s="13" t="s">
        <v>29</v>
      </c>
      <c r="C46" s="14"/>
      <c r="D46" s="15"/>
      <c r="E46" s="15">
        <f t="shared" ref="E46:T46" si="121">IF(OR(E45&lt;0, D45&lt;0), "NM", E45/D45-1)</f>
        <v>0.42471577909120506</v>
      </c>
      <c r="F46" s="15">
        <f t="shared" si="121"/>
        <v>1.4003272451963036</v>
      </c>
      <c r="G46" s="15">
        <f t="shared" si="121"/>
        <v>0.14965455577470133</v>
      </c>
      <c r="H46" s="15">
        <f t="shared" si="121"/>
        <v>-0.22060189844209011</v>
      </c>
      <c r="I46" s="102">
        <f t="shared" si="121"/>
        <v>-0.40068826070592456</v>
      </c>
      <c r="J46" s="15">
        <f t="shared" si="121"/>
        <v>0.47387171841423181</v>
      </c>
      <c r="K46" s="15">
        <f t="shared" si="121"/>
        <v>0.36405913636288134</v>
      </c>
      <c r="L46" s="15">
        <f t="shared" si="121"/>
        <v>0.24295839429809996</v>
      </c>
      <c r="M46" s="15">
        <f t="shared" si="121"/>
        <v>0.13338204816799482</v>
      </c>
      <c r="N46" s="15">
        <f t="shared" si="121"/>
        <v>8.2543946981918248E-2</v>
      </c>
      <c r="O46" s="15">
        <f t="shared" si="121"/>
        <v>8.3148269128517693E-2</v>
      </c>
      <c r="P46" s="15">
        <f t="shared" si="121"/>
        <v>7.0258932785814299E-2</v>
      </c>
      <c r="Q46" s="15">
        <f t="shared" si="121"/>
        <v>5.7887405514317702E-2</v>
      </c>
      <c r="R46" s="15">
        <f t="shared" si="121"/>
        <v>5.9050008042911495E-2</v>
      </c>
      <c r="S46" s="15">
        <f t="shared" si="121"/>
        <v>5.8430229915759524E-2</v>
      </c>
      <c r="T46" s="15">
        <f t="shared" si="121"/>
        <v>5.8455611886494285E-2</v>
      </c>
      <c r="U46" s="15">
        <f t="shared" ref="U46" si="122">IF(OR(U45&lt;0, T45&lt;0), "NM", U45/T45-1)</f>
        <v>-2.1141080189444161E-2</v>
      </c>
    </row>
    <row r="47" spans="2:21" x14ac:dyDescent="0.2">
      <c r="D47" s="70"/>
      <c r="E47" s="70"/>
      <c r="F47" s="70"/>
      <c r="G47" s="70"/>
      <c r="H47" s="70"/>
      <c r="I47" s="698"/>
      <c r="J47" s="61"/>
      <c r="K47" s="61"/>
      <c r="L47" s="61"/>
      <c r="M47" s="61"/>
      <c r="N47" s="61"/>
      <c r="O47" s="61"/>
      <c r="P47" s="61"/>
      <c r="Q47" s="61"/>
      <c r="R47" s="61"/>
      <c r="S47" s="61"/>
      <c r="T47" s="61"/>
      <c r="U47" s="61"/>
    </row>
    <row r="48" spans="2:21" x14ac:dyDescent="0.2">
      <c r="B48" s="1" t="s">
        <v>37</v>
      </c>
      <c r="D48" s="49">
        <f>+D23</f>
        <v>2.7186000000000003</v>
      </c>
      <c r="E48" s="49">
        <f t="shared" ref="E48:I48" si="123">+E23</f>
        <v>9.3167000000000009</v>
      </c>
      <c r="F48" s="49">
        <f t="shared" si="123"/>
        <v>21.637500000000003</v>
      </c>
      <c r="G48" s="49">
        <f t="shared" si="123"/>
        <v>31.661000000000001</v>
      </c>
      <c r="H48" s="49">
        <f t="shared" si="123"/>
        <v>49.914999999999999</v>
      </c>
      <c r="I48" s="106">
        <f t="shared" si="123"/>
        <v>39.798999999999999</v>
      </c>
      <c r="J48" s="61">
        <v>0</v>
      </c>
      <c r="K48" s="61">
        <v>0</v>
      </c>
      <c r="L48" s="61">
        <v>0</v>
      </c>
      <c r="M48" s="61">
        <v>0</v>
      </c>
      <c r="N48" s="61">
        <v>0</v>
      </c>
      <c r="O48" s="61">
        <v>0</v>
      </c>
      <c r="P48" s="61">
        <v>0</v>
      </c>
      <c r="Q48" s="61">
        <v>0</v>
      </c>
      <c r="R48" s="61">
        <v>0</v>
      </c>
      <c r="S48" s="61">
        <v>0</v>
      </c>
      <c r="T48" s="61">
        <v>0</v>
      </c>
      <c r="U48" s="61">
        <v>0</v>
      </c>
    </row>
    <row r="49" spans="2:29" x14ac:dyDescent="0.2">
      <c r="B49" s="1" t="s">
        <v>49</v>
      </c>
      <c r="D49" s="49">
        <v>0</v>
      </c>
      <c r="E49" s="49">
        <v>0</v>
      </c>
      <c r="F49" s="49">
        <v>0</v>
      </c>
      <c r="G49" s="49">
        <v>0</v>
      </c>
      <c r="H49" s="49">
        <v>0</v>
      </c>
      <c r="I49" s="698">
        <f>-I17*(1-I43)</f>
        <v>-1.25</v>
      </c>
      <c r="J49" s="61">
        <f>-J17*(1-J43)</f>
        <v>-20.390625</v>
      </c>
      <c r="K49" s="61">
        <f>-K17*(1-K43)-J49</f>
        <v>-21.796875</v>
      </c>
      <c r="L49" s="61">
        <v>0</v>
      </c>
      <c r="M49" s="61">
        <v>0</v>
      </c>
      <c r="N49" s="61">
        <v>0</v>
      </c>
      <c r="O49" s="61">
        <v>0</v>
      </c>
      <c r="P49" s="61">
        <v>0</v>
      </c>
      <c r="Q49" s="61">
        <v>0</v>
      </c>
      <c r="R49" s="61">
        <v>0</v>
      </c>
      <c r="S49" s="61">
        <v>0</v>
      </c>
      <c r="T49" s="61">
        <v>0</v>
      </c>
      <c r="U49" s="61">
        <v>0</v>
      </c>
    </row>
    <row r="50" spans="2:29" ht="11.5" x14ac:dyDescent="0.35">
      <c r="B50" s="1" t="s">
        <v>50</v>
      </c>
      <c r="D50" s="50">
        <f>+D51-D45-D48-D49</f>
        <v>-9.2438749999999867</v>
      </c>
      <c r="E50" s="50">
        <f t="shared" ref="E50:I50" si="124">+E51-E45-E48-E49</f>
        <v>-45.539275000000018</v>
      </c>
      <c r="F50" s="50">
        <f t="shared" si="124"/>
        <v>-62.823024999999987</v>
      </c>
      <c r="G50" s="50">
        <f t="shared" si="124"/>
        <v>-9.7524999999999409</v>
      </c>
      <c r="H50" s="50">
        <f t="shared" si="124"/>
        <v>-28.704999999999963</v>
      </c>
      <c r="I50" s="2295">
        <f t="shared" si="124"/>
        <v>26.39720415538239</v>
      </c>
      <c r="J50" s="60">
        <v>-30</v>
      </c>
      <c r="K50" s="60">
        <v>-30</v>
      </c>
      <c r="L50" s="60">
        <v>-30</v>
      </c>
      <c r="M50" s="60">
        <v>-30</v>
      </c>
      <c r="N50" s="60">
        <v>-30</v>
      </c>
      <c r="O50" s="60">
        <v>-30</v>
      </c>
      <c r="P50" s="60">
        <v>-30</v>
      </c>
      <c r="Q50" s="60">
        <v>-30</v>
      </c>
      <c r="R50" s="60">
        <v>-30</v>
      </c>
      <c r="S50" s="60">
        <v>-30</v>
      </c>
      <c r="T50" s="60">
        <v>-30</v>
      </c>
      <c r="U50" s="60">
        <v>-30</v>
      </c>
    </row>
    <row r="51" spans="2:29" x14ac:dyDescent="0.2">
      <c r="B51" s="22" t="s">
        <v>51</v>
      </c>
      <c r="C51" s="22"/>
      <c r="D51" s="70">
        <f>+'PF Basic Historical Fin'!AG145</f>
        <v>56.029499999999999</v>
      </c>
      <c r="E51" s="70">
        <f>+'PF Basic Historical Fin'!AH145</f>
        <v>52.900199999999998</v>
      </c>
      <c r="F51" s="70">
        <f>+'PF Basic Historical Fin'!AI145</f>
        <v>172.73830000000004</v>
      </c>
      <c r="G51" s="70">
        <f>+'PF Basic Historical Fin'!AJ145</f>
        <v>267.84700000000004</v>
      </c>
      <c r="H51" s="70">
        <f>+'PF Basic Historical Fin'!AK145</f>
        <v>212.89400000000003</v>
      </c>
      <c r="I51" s="101">
        <f>+'PF Basic Historical Fin'!AL145</f>
        <v>179.82467559022794</v>
      </c>
      <c r="J51" s="64">
        <f t="shared" ref="J51:T51" si="125">J45+J50+J48+J49</f>
        <v>118.92550510247605</v>
      </c>
      <c r="K51" s="64">
        <f t="shared" si="125"/>
        <v>179.16033919988874</v>
      </c>
      <c r="L51" s="64">
        <f t="shared" si="125"/>
        <v>257.07020811345603</v>
      </c>
      <c r="M51" s="64">
        <f t="shared" si="125"/>
        <v>295.3602204396413</v>
      </c>
      <c r="N51" s="64">
        <f t="shared" si="125"/>
        <v>322.21673722563628</v>
      </c>
      <c r="O51" s="64">
        <f t="shared" si="125"/>
        <v>351.50294928404185</v>
      </c>
      <c r="P51" s="64">
        <f t="shared" si="125"/>
        <v>378.30693935537926</v>
      </c>
      <c r="Q51" s="64">
        <f t="shared" si="125"/>
        <v>401.94276872815402</v>
      </c>
      <c r="R51" s="64">
        <f t="shared" si="125"/>
        <v>427.44899269562893</v>
      </c>
      <c r="S51" s="64">
        <f t="shared" si="125"/>
        <v>454.17784251356716</v>
      </c>
      <c r="T51" s="64">
        <f t="shared" si="125"/>
        <v>482.48075455958042</v>
      </c>
      <c r="U51" s="64">
        <f t="shared" ref="U51" si="126">U45+U50+U48+U49</f>
        <v>471.64635783188947</v>
      </c>
    </row>
    <row r="52" spans="2:29" x14ac:dyDescent="0.2">
      <c r="D52" s="15"/>
      <c r="E52" s="15"/>
      <c r="F52" s="20"/>
      <c r="G52" s="693"/>
      <c r="H52" s="693"/>
      <c r="I52" s="104"/>
      <c r="J52" s="20"/>
      <c r="K52" s="20"/>
      <c r="L52" s="20"/>
      <c r="M52" s="20"/>
      <c r="N52" s="20"/>
      <c r="O52" s="20"/>
      <c r="P52" s="20"/>
      <c r="Q52" s="15"/>
      <c r="R52" s="15"/>
      <c r="S52" s="15"/>
      <c r="T52" s="15"/>
      <c r="U52" s="15"/>
    </row>
    <row r="53" spans="2:29" x14ac:dyDescent="0.2">
      <c r="B53" s="18" t="s">
        <v>52</v>
      </c>
      <c r="D53" s="70">
        <f>+'PF Basic Historical Fin'!AG159</f>
        <v>1028.1502</v>
      </c>
      <c r="E53" s="70">
        <f>+'PF Basic Historical Fin'!AH159</f>
        <v>1180.0399</v>
      </c>
      <c r="F53" s="70">
        <f>+'PF Basic Historical Fin'!AI159</f>
        <v>718.83200000000011</v>
      </c>
      <c r="G53" s="70">
        <f>+'PF Basic Historical Fin'!AJ159</f>
        <v>561.43299999999999</v>
      </c>
      <c r="H53" s="70">
        <f>+'PF Basic Historical Fin'!AK159</f>
        <v>785.24600000000009</v>
      </c>
      <c r="I53" s="101">
        <f>+D83-'PF Basic Historical Fin'!Z145</f>
        <v>2004.9863244097721</v>
      </c>
      <c r="J53" s="49">
        <f>+I53-J51</f>
        <v>1886.060819307296</v>
      </c>
      <c r="K53" s="49">
        <f t="shared" ref="K53" si="127">+J53-K51</f>
        <v>1706.9004801074072</v>
      </c>
      <c r="L53" s="49">
        <f t="shared" ref="L53:M53" si="128">+L54*L24</f>
        <v>1710.5668612170489</v>
      </c>
      <c r="M53" s="49">
        <f t="shared" si="128"/>
        <v>1879.5150011540077</v>
      </c>
      <c r="N53" s="49">
        <f t="shared" ref="N53:T53" si="129">+N54*N24</f>
        <v>2061.9789922859231</v>
      </c>
      <c r="O53" s="49">
        <f t="shared" si="129"/>
        <v>2234.4074639055834</v>
      </c>
      <c r="P53" s="49">
        <f t="shared" si="129"/>
        <v>2392.5490050196145</v>
      </c>
      <c r="Q53" s="49">
        <f t="shared" si="129"/>
        <v>2532.2406996703421</v>
      </c>
      <c r="R53" s="49">
        <f t="shared" si="129"/>
        <v>2678.9169790536062</v>
      </c>
      <c r="S53" s="49">
        <f t="shared" si="129"/>
        <v>2832.9270724060334</v>
      </c>
      <c r="T53" s="49">
        <f t="shared" si="129"/>
        <v>2994.637670426082</v>
      </c>
      <c r="U53" s="49">
        <f t="shared" ref="U53" si="130">+U54*U24</f>
        <v>2982.5932042823629</v>
      </c>
    </row>
    <row r="54" spans="2:29" x14ac:dyDescent="0.2">
      <c r="B54" s="13" t="s">
        <v>53</v>
      </c>
      <c r="C54" s="13"/>
      <c r="D54" s="35">
        <f t="shared" ref="D54:H54" si="131">+IF(OR(D53&lt;0,D24&lt; 0),"NM",D53/D24)</f>
        <v>4.2832791960942878</v>
      </c>
      <c r="E54" s="35">
        <f t="shared" si="131"/>
        <v>4.9724749109198596</v>
      </c>
      <c r="F54" s="35">
        <f t="shared" si="131"/>
        <v>1.8727269316782098</v>
      </c>
      <c r="G54" s="35">
        <f t="shared" si="131"/>
        <v>1.3504036059958822</v>
      </c>
      <c r="H54" s="587">
        <f t="shared" si="131"/>
        <v>2.1071096024579723</v>
      </c>
      <c r="I54" s="699">
        <f>+I53/I24</f>
        <v>5.4934769647360477</v>
      </c>
      <c r="J54" s="587">
        <f t="shared" ref="J54:K54" si="132">+J53/J24</f>
        <v>4.4175211922894784</v>
      </c>
      <c r="K54" s="587">
        <f t="shared" si="132"/>
        <v>3.3847297458839845</v>
      </c>
      <c r="L54" s="116">
        <v>3</v>
      </c>
      <c r="M54" s="116">
        <f>+L54</f>
        <v>3</v>
      </c>
      <c r="N54" s="116">
        <f>+M54</f>
        <v>3</v>
      </c>
      <c r="O54" s="116">
        <f t="shared" ref="O54:T54" si="133">+N54</f>
        <v>3</v>
      </c>
      <c r="P54" s="116">
        <f t="shared" si="133"/>
        <v>3</v>
      </c>
      <c r="Q54" s="116">
        <f t="shared" si="133"/>
        <v>3</v>
      </c>
      <c r="R54" s="116">
        <f t="shared" si="133"/>
        <v>3</v>
      </c>
      <c r="S54" s="116">
        <f t="shared" si="133"/>
        <v>3</v>
      </c>
      <c r="T54" s="116">
        <f t="shared" si="133"/>
        <v>3</v>
      </c>
      <c r="U54" s="116">
        <f t="shared" ref="U54" si="134">+T54</f>
        <v>3</v>
      </c>
    </row>
    <row r="55" spans="2:29" x14ac:dyDescent="0.2">
      <c r="B55" s="13"/>
      <c r="C55" s="13"/>
      <c r="D55" s="35"/>
      <c r="E55" s="35"/>
      <c r="F55" s="39"/>
      <c r="G55" s="39"/>
      <c r="H55" s="38"/>
      <c r="I55" s="696"/>
      <c r="J55" s="38"/>
      <c r="K55" s="38"/>
      <c r="L55" s="38"/>
      <c r="M55" s="38"/>
      <c r="N55" s="38"/>
      <c r="O55" s="38"/>
      <c r="P55" s="38"/>
      <c r="Q55" s="38"/>
      <c r="R55" s="38"/>
      <c r="S55" s="38"/>
      <c r="T55" s="38"/>
      <c r="U55" s="38"/>
    </row>
    <row r="56" spans="2:29" x14ac:dyDescent="0.2">
      <c r="B56" s="22" t="s">
        <v>54</v>
      </c>
      <c r="C56" s="22"/>
      <c r="E56" s="37"/>
      <c r="F56" s="37"/>
      <c r="G56" s="37"/>
      <c r="H56" s="40"/>
      <c r="I56" s="696"/>
      <c r="J56" s="2359">
        <f t="shared" ref="J56:T56" si="135">+J51+(J53-I53)</f>
        <v>0</v>
      </c>
      <c r="K56" s="40">
        <f t="shared" si="135"/>
        <v>0</v>
      </c>
      <c r="L56" s="40">
        <f t="shared" si="135"/>
        <v>260.73658922309767</v>
      </c>
      <c r="M56" s="40">
        <f t="shared" si="135"/>
        <v>464.30836037660009</v>
      </c>
      <c r="N56" s="40">
        <f t="shared" si="135"/>
        <v>504.68072835755174</v>
      </c>
      <c r="O56" s="40">
        <f t="shared" si="135"/>
        <v>523.93142090370213</v>
      </c>
      <c r="P56" s="40">
        <f t="shared" si="135"/>
        <v>536.44848046941024</v>
      </c>
      <c r="Q56" s="40">
        <f t="shared" si="135"/>
        <v>541.63446337888172</v>
      </c>
      <c r="R56" s="40">
        <f t="shared" si="135"/>
        <v>574.12527207889298</v>
      </c>
      <c r="S56" s="40">
        <f t="shared" si="135"/>
        <v>608.1879358659944</v>
      </c>
      <c r="T56" s="40">
        <f t="shared" si="135"/>
        <v>644.19135257962898</v>
      </c>
      <c r="U56" s="40">
        <f t="shared" ref="U56" si="136">+U51+(U53-T53)</f>
        <v>459.60189168817038</v>
      </c>
    </row>
    <row r="57" spans="2:29" s="12" customFormat="1" x14ac:dyDescent="0.2">
      <c r="B57" s="24" t="s">
        <v>55</v>
      </c>
      <c r="C57" s="25"/>
      <c r="E57" s="19"/>
      <c r="F57" s="19"/>
      <c r="G57" s="19"/>
      <c r="H57" s="19"/>
      <c r="I57" s="696"/>
      <c r="J57" s="19">
        <f t="shared" ref="J57:T57" si="137">+J56/$D$82</f>
        <v>0</v>
      </c>
      <c r="K57" s="19">
        <f t="shared" si="137"/>
        <v>0</v>
      </c>
      <c r="L57" s="19">
        <f t="shared" si="137"/>
        <v>8.1291095360130503E-2</v>
      </c>
      <c r="M57" s="19">
        <f t="shared" si="137"/>
        <v>0.14475964156907989</v>
      </c>
      <c r="N57" s="19">
        <f t="shared" si="137"/>
        <v>0.15734672811965861</v>
      </c>
      <c r="O57" s="19">
        <f t="shared" si="137"/>
        <v>0.16334860874631152</v>
      </c>
      <c r="P57" s="19">
        <f t="shared" si="137"/>
        <v>0.16725111236429729</v>
      </c>
      <c r="Q57" s="19">
        <f t="shared" si="137"/>
        <v>0.16886797109703594</v>
      </c>
      <c r="R57" s="19">
        <f t="shared" si="137"/>
        <v>0.17899778615763118</v>
      </c>
      <c r="S57" s="19">
        <f t="shared" si="137"/>
        <v>0.18961766600797339</v>
      </c>
      <c r="T57" s="19">
        <f t="shared" si="137"/>
        <v>0.20084262369450018</v>
      </c>
      <c r="U57" s="19">
        <f t="shared" ref="U57" si="138">+U56/$D$82</f>
        <v>0.14329228328192656</v>
      </c>
    </row>
    <row r="58" spans="2:29" x14ac:dyDescent="0.2">
      <c r="I58" s="100"/>
    </row>
    <row r="59" spans="2:29" x14ac:dyDescent="0.2">
      <c r="B59" s="22" t="s">
        <v>56</v>
      </c>
      <c r="C59" s="22"/>
      <c r="E59" s="37"/>
      <c r="F59" s="37"/>
      <c r="G59" s="37"/>
      <c r="H59" s="40"/>
      <c r="I59" s="108"/>
      <c r="J59" s="40">
        <f t="shared" ref="J59:T59" si="139">+I59+J56</f>
        <v>0</v>
      </c>
      <c r="K59" s="40">
        <f t="shared" si="139"/>
        <v>0</v>
      </c>
      <c r="L59" s="40">
        <f t="shared" si="139"/>
        <v>260.73658922309767</v>
      </c>
      <c r="M59" s="40">
        <f t="shared" si="139"/>
        <v>725.0449495996977</v>
      </c>
      <c r="N59" s="40">
        <f t="shared" si="139"/>
        <v>1229.7256779572494</v>
      </c>
      <c r="O59" s="40">
        <f t="shared" si="139"/>
        <v>1753.6570988609515</v>
      </c>
      <c r="P59" s="40">
        <f t="shared" si="139"/>
        <v>2290.1055793303617</v>
      </c>
      <c r="Q59" s="40">
        <f t="shared" si="139"/>
        <v>2831.7400427092434</v>
      </c>
      <c r="R59" s="40">
        <f t="shared" si="139"/>
        <v>3405.8653147881364</v>
      </c>
      <c r="S59" s="40">
        <f t="shared" si="139"/>
        <v>4014.0532506541308</v>
      </c>
      <c r="T59" s="40">
        <f t="shared" si="139"/>
        <v>4658.2446032337593</v>
      </c>
      <c r="U59" s="40">
        <f t="shared" ref="U59" si="140">+T59+U56</f>
        <v>5117.8464949219297</v>
      </c>
    </row>
    <row r="60" spans="2:29" s="12" customFormat="1" x14ac:dyDescent="0.2">
      <c r="B60" s="24" t="s">
        <v>55</v>
      </c>
      <c r="C60" s="25"/>
      <c r="E60" s="19"/>
      <c r="F60" s="19"/>
      <c r="G60" s="19"/>
      <c r="H60" s="19"/>
      <c r="I60" s="105"/>
      <c r="J60" s="19">
        <f t="shared" ref="J60:T60" si="141">+J59/$D$82</f>
        <v>0</v>
      </c>
      <c r="K60" s="19">
        <f t="shared" si="141"/>
        <v>0</v>
      </c>
      <c r="L60" s="19">
        <f t="shared" si="141"/>
        <v>8.1291095360130503E-2</v>
      </c>
      <c r="M60" s="19">
        <f t="shared" si="141"/>
        <v>0.22605073692921038</v>
      </c>
      <c r="N60" s="19">
        <f t="shared" si="141"/>
        <v>0.38339746504886901</v>
      </c>
      <c r="O60" s="19">
        <f t="shared" si="141"/>
        <v>0.54674607379518048</v>
      </c>
      <c r="P60" s="19">
        <f t="shared" si="141"/>
        <v>0.71399718615947783</v>
      </c>
      <c r="Q60" s="19">
        <f t="shared" si="141"/>
        <v>0.88286515725651371</v>
      </c>
      <c r="R60" s="19">
        <f t="shared" si="141"/>
        <v>1.0618629434141449</v>
      </c>
      <c r="S60" s="19">
        <f t="shared" si="141"/>
        <v>1.2514806094221183</v>
      </c>
      <c r="T60" s="19">
        <f t="shared" si="141"/>
        <v>1.4523232331166183</v>
      </c>
      <c r="U60" s="19">
        <f t="shared" ref="U60" si="142">+U59/$D$82</f>
        <v>1.5956155163985448</v>
      </c>
    </row>
    <row r="61" spans="2:29" x14ac:dyDescent="0.2">
      <c r="I61" s="100"/>
      <c r="W61" s="55"/>
      <c r="X61" s="55"/>
      <c r="Y61" s="55"/>
      <c r="Z61" s="55"/>
      <c r="AA61" s="55"/>
      <c r="AB61" s="55"/>
      <c r="AC61" s="55"/>
    </row>
    <row r="62" spans="2:29" x14ac:dyDescent="0.2">
      <c r="B62" s="1" t="s">
        <v>57</v>
      </c>
      <c r="G62" s="41"/>
      <c r="H62" s="41"/>
      <c r="I62" s="115">
        <f>+D82/SUM('PF Basic Historical Fin'!V145:Y145)</f>
        <v>15.928425969428801</v>
      </c>
      <c r="J62" s="1022"/>
      <c r="W62" s="55"/>
      <c r="X62" s="55"/>
      <c r="Y62" s="55"/>
      <c r="Z62" s="55"/>
      <c r="AA62" s="55"/>
      <c r="AB62" s="55"/>
      <c r="AC62" s="55"/>
    </row>
    <row r="63" spans="2:29" x14ac:dyDescent="0.2">
      <c r="B63" s="1" t="s">
        <v>58</v>
      </c>
      <c r="C63" s="41"/>
      <c r="D63" s="41"/>
      <c r="E63" s="41"/>
      <c r="F63" s="41"/>
      <c r="G63" s="41"/>
      <c r="H63" s="41"/>
      <c r="I63" s="115">
        <f>+($D$84+I$53-$D$83-I$59)/I$8</f>
        <v>3.427697734486685</v>
      </c>
      <c r="J63" s="41">
        <f t="shared" ref="J63:U63" si="143">+($D$82+J$53-J$59)/J$8</f>
        <v>3.1522375803205835</v>
      </c>
      <c r="K63" s="41">
        <f t="shared" si="143"/>
        <v>2.8160739780358215</v>
      </c>
      <c r="L63" s="41">
        <f t="shared" si="143"/>
        <v>2.4710783748475373</v>
      </c>
      <c r="M63" s="41">
        <f t="shared" si="143"/>
        <v>2.142930321936853</v>
      </c>
      <c r="N63" s="41">
        <f t="shared" si="143"/>
        <v>1.8376212812360317</v>
      </c>
      <c r="O63" s="41">
        <f t="shared" si="143"/>
        <v>1.5679680267325053</v>
      </c>
      <c r="P63" s="41">
        <f t="shared" si="143"/>
        <v>1.3274884542662733</v>
      </c>
      <c r="Q63" s="41">
        <f t="shared" si="143"/>
        <v>1.1107449743303337</v>
      </c>
      <c r="R63" s="41">
        <f t="shared" si="143"/>
        <v>0.90235489449863537</v>
      </c>
      <c r="S63" s="41">
        <f t="shared" si="143"/>
        <v>0.70203238789342648</v>
      </c>
      <c r="T63" s="41">
        <f t="shared" si="143"/>
        <v>0.50940324922247671</v>
      </c>
      <c r="U63" s="41">
        <f t="shared" si="143"/>
        <v>0.33693250905822897</v>
      </c>
      <c r="V63" s="41"/>
      <c r="W63" s="23"/>
      <c r="X63" s="23"/>
      <c r="Y63" s="23"/>
      <c r="Z63" s="23"/>
      <c r="AA63" s="23"/>
      <c r="AB63" s="23"/>
      <c r="AC63" s="23"/>
    </row>
    <row r="64" spans="2:29" x14ac:dyDescent="0.2">
      <c r="B64" s="1" t="s">
        <v>59</v>
      </c>
      <c r="C64" s="41"/>
      <c r="D64" s="41"/>
      <c r="E64" s="41"/>
      <c r="F64" s="41"/>
      <c r="G64" s="41"/>
      <c r="H64" s="41"/>
      <c r="I64" s="115">
        <f t="shared" ref="I64:U64" si="144">+($D$82+I$53-I$59)/I$24</f>
        <v>14.281575092690444</v>
      </c>
      <c r="J64" s="41">
        <f t="shared" si="144"/>
        <v>11.929977393321867</v>
      </c>
      <c r="K64" s="41">
        <f t="shared" si="144"/>
        <v>9.7449887599052971</v>
      </c>
      <c r="L64" s="41">
        <f t="shared" si="144"/>
        <v>8.1679479499100456</v>
      </c>
      <c r="M64" s="41">
        <f t="shared" si="144"/>
        <v>6.9622963466151573</v>
      </c>
      <c r="N64" s="41">
        <f t="shared" si="144"/>
        <v>5.8774072187955317</v>
      </c>
      <c r="O64" s="41">
        <f t="shared" si="144"/>
        <v>4.9519085239152414</v>
      </c>
      <c r="P64" s="41">
        <f t="shared" si="144"/>
        <v>4.1502433294010439</v>
      </c>
      <c r="Q64" s="41">
        <f t="shared" si="144"/>
        <v>3.4451038731424717</v>
      </c>
      <c r="R64" s="41">
        <f t="shared" si="144"/>
        <v>2.7777961475705379</v>
      </c>
      <c r="S64" s="41">
        <f t="shared" si="144"/>
        <v>2.1458200586056004</v>
      </c>
      <c r="T64" s="41">
        <f t="shared" si="144"/>
        <v>1.5466009522941682</v>
      </c>
      <c r="U64" s="41">
        <f t="shared" si="144"/>
        <v>1.078447571979644</v>
      </c>
      <c r="V64" s="41"/>
      <c r="W64" s="23"/>
      <c r="X64" s="23"/>
      <c r="Y64" s="23"/>
      <c r="Z64" s="23"/>
      <c r="AA64" s="23"/>
      <c r="AB64" s="23"/>
      <c r="AC64" s="23"/>
    </row>
    <row r="65" spans="1:29" x14ac:dyDescent="0.2">
      <c r="B65" s="1" t="s">
        <v>60</v>
      </c>
      <c r="C65" s="41"/>
      <c r="D65" s="41"/>
      <c r="E65" s="41"/>
      <c r="F65" s="41"/>
      <c r="G65" s="41"/>
      <c r="H65" s="41"/>
      <c r="I65" s="115">
        <f t="shared" ref="I65:U65" si="145">+($D$82+I$53-I$59)/I$32</f>
        <v>16.643166431076633</v>
      </c>
      <c r="J65" s="41">
        <f t="shared" si="145"/>
        <v>13.562110868834074</v>
      </c>
      <c r="K65" s="41">
        <f t="shared" si="145"/>
        <v>10.949900261506633</v>
      </c>
      <c r="L65" s="41">
        <f t="shared" si="145"/>
        <v>9.1272962046850594</v>
      </c>
      <c r="M65" s="41">
        <f t="shared" si="145"/>
        <v>7.7644608970220395</v>
      </c>
      <c r="N65" s="41">
        <f t="shared" si="145"/>
        <v>6.5428392875733978</v>
      </c>
      <c r="O65" s="41">
        <f t="shared" si="145"/>
        <v>5.504721836103176</v>
      </c>
      <c r="P65" s="41">
        <f t="shared" si="145"/>
        <v>4.6083843797736224</v>
      </c>
      <c r="Q65" s="41">
        <f t="shared" si="145"/>
        <v>3.8220622739881072</v>
      </c>
      <c r="R65" s="41">
        <f t="shared" si="145"/>
        <v>3.0792152294009942</v>
      </c>
      <c r="S65" s="41">
        <f t="shared" si="145"/>
        <v>2.3768366615492873</v>
      </c>
      <c r="T65" s="41">
        <f t="shared" si="145"/>
        <v>1.7118714837385118</v>
      </c>
      <c r="U65" s="41">
        <f t="shared" si="145"/>
        <v>1.2006501299520003</v>
      </c>
      <c r="V65" s="41"/>
      <c r="W65" s="23"/>
      <c r="X65" s="23"/>
      <c r="Y65" s="23"/>
      <c r="Z65" s="23"/>
      <c r="AA65" s="23"/>
      <c r="AB65" s="23"/>
      <c r="AC65" s="23"/>
    </row>
    <row r="66" spans="1:29" x14ac:dyDescent="0.2">
      <c r="B66" s="1" t="s">
        <v>61</v>
      </c>
      <c r="C66" s="41"/>
      <c r="D66" s="41"/>
      <c r="E66" s="41"/>
      <c r="F66" s="41"/>
      <c r="G66" s="41"/>
      <c r="H66" s="41"/>
      <c r="I66" s="115">
        <f>+($D$82-I59)/(I24-I36-I39-I42)</f>
        <v>27.494221477695763</v>
      </c>
      <c r="J66" s="41">
        <f>+($D$82-J59)/(J24-J36-J39-J42)</f>
        <v>19.133407801083038</v>
      </c>
      <c r="K66" s="41">
        <f t="shared" ref="K66:T66" si="146">+($D$82-K59)/(K24-K36-K39-K42)</f>
        <v>13.995758855775103</v>
      </c>
      <c r="L66" s="41">
        <f t="shared" si="146"/>
        <v>10.320851852677668</v>
      </c>
      <c r="M66" s="41">
        <f t="shared" si="146"/>
        <v>7.6527548207627145</v>
      </c>
      <c r="N66" s="41">
        <f t="shared" si="146"/>
        <v>5.6153343214577331</v>
      </c>
      <c r="O66" s="41">
        <f t="shared" si="146"/>
        <v>3.8040890804392089</v>
      </c>
      <c r="P66" s="41">
        <f t="shared" si="146"/>
        <v>2.2415584758898706</v>
      </c>
      <c r="Q66" s="41">
        <f t="shared" si="146"/>
        <v>0.8684246619155469</v>
      </c>
      <c r="R66" s="41">
        <f t="shared" si="146"/>
        <v>-0.43315973160675503</v>
      </c>
      <c r="S66" s="41">
        <f t="shared" si="146"/>
        <v>-1.6632338074762096</v>
      </c>
      <c r="T66" s="41">
        <f t="shared" si="146"/>
        <v>-2.830937877307333</v>
      </c>
      <c r="U66" s="41">
        <f t="shared" ref="U66" si="147">+($D$82-U59)/(U24-U36-U39-U42)</f>
        <v>-3.8082666032275649</v>
      </c>
      <c r="V66" s="41"/>
      <c r="W66" s="23"/>
      <c r="X66" s="23"/>
      <c r="Y66" s="23"/>
      <c r="Z66" s="23"/>
      <c r="AA66" s="23"/>
      <c r="AB66" s="23"/>
      <c r="AC66" s="23"/>
    </row>
    <row r="67" spans="1:29" x14ac:dyDescent="0.2">
      <c r="B67" s="1" t="s">
        <v>62</v>
      </c>
      <c r="D67" s="90">
        <f t="shared" ref="D67:T67" si="148">+($D$82-D59)/D45</f>
        <v>51.274158107994168</v>
      </c>
      <c r="E67" s="90">
        <f t="shared" si="148"/>
        <v>35.989043471323683</v>
      </c>
      <c r="F67" s="90">
        <f t="shared" si="148"/>
        <v>14.993390398474784</v>
      </c>
      <c r="G67" s="90">
        <f t="shared" si="148"/>
        <v>13.041648313541803</v>
      </c>
      <c r="H67" s="2253">
        <f t="shared" si="148"/>
        <v>16.732974185430191</v>
      </c>
      <c r="I67" s="115">
        <f>+($D$82-I59)/I45</f>
        <v>27.920317738377406</v>
      </c>
      <c r="J67" s="41">
        <f t="shared" si="148"/>
        <v>18.943519567915608</v>
      </c>
      <c r="K67" s="41">
        <f t="shared" si="148"/>
        <v>13.887608728186441</v>
      </c>
      <c r="L67" s="41">
        <f t="shared" si="148"/>
        <v>10.264760157112171</v>
      </c>
      <c r="M67" s="41">
        <f t="shared" si="148"/>
        <v>7.6296926243963528</v>
      </c>
      <c r="N67" s="41">
        <f t="shared" si="148"/>
        <v>5.6150589588131634</v>
      </c>
      <c r="O67" s="41">
        <f t="shared" si="148"/>
        <v>3.8106817460450504</v>
      </c>
      <c r="P67" s="41">
        <f t="shared" si="148"/>
        <v>2.2466868818783721</v>
      </c>
      <c r="Q67" s="41">
        <f t="shared" si="148"/>
        <v>0.86979898322411375</v>
      </c>
      <c r="R67" s="41">
        <f t="shared" si="148"/>
        <v>-0.4337574116381524</v>
      </c>
      <c r="S67" s="41">
        <f t="shared" si="148"/>
        <v>-1.6659370918476686</v>
      </c>
      <c r="T67" s="41">
        <f t="shared" si="148"/>
        <v>-2.830937877307333</v>
      </c>
      <c r="U67" s="41">
        <f t="shared" ref="U67" si="149">+($D$82-U59)/U45</f>
        <v>-3.8082666032275649</v>
      </c>
      <c r="V67" s="41"/>
      <c r="W67" s="41"/>
      <c r="X67" s="41"/>
      <c r="Y67" s="41"/>
      <c r="Z67" s="41"/>
      <c r="AA67" s="41"/>
      <c r="AB67" s="41"/>
      <c r="AC67" s="41"/>
    </row>
    <row r="68" spans="1:29" x14ac:dyDescent="0.2">
      <c r="E68" s="41"/>
      <c r="F68" s="41"/>
      <c r="G68" s="41"/>
      <c r="H68" s="2253"/>
      <c r="I68" s="115"/>
      <c r="J68" s="41"/>
      <c r="K68" s="41"/>
      <c r="L68" s="41"/>
      <c r="M68" s="41"/>
      <c r="N68" s="41"/>
      <c r="O68" s="41"/>
      <c r="P68" s="41"/>
      <c r="Q68" s="41"/>
      <c r="R68" s="41"/>
      <c r="S68" s="41"/>
      <c r="T68" s="41"/>
      <c r="U68" s="41"/>
    </row>
    <row r="69" spans="1:29" x14ac:dyDescent="0.2">
      <c r="B69" s="1" t="s">
        <v>63</v>
      </c>
      <c r="E69" s="41"/>
      <c r="F69" s="41"/>
      <c r="G69" s="41"/>
      <c r="H69" s="2253"/>
      <c r="I69" s="115">
        <f>+($D$82-I59)/(I24+$T$17*(1-$I$43)-I36-I39-I42)</f>
        <v>18.961136233406926</v>
      </c>
      <c r="J69" s="41">
        <f>+($D$82-J59)/(J24+($T$17-J17)*(1-$I$43)-J36-J39-J42)</f>
        <v>16.057679545864815</v>
      </c>
      <c r="K69" s="41">
        <f t="shared" ref="K69:T69" si="150">+($D$82-K59)/(K24+($T$17-K17)*(1-$I$43)-K36-K39-K42)</f>
        <v>13.393085423411677</v>
      </c>
      <c r="L69" s="41">
        <f t="shared" si="150"/>
        <v>10.320851852677668</v>
      </c>
      <c r="M69" s="41">
        <f t="shared" si="150"/>
        <v>7.6527548207627145</v>
      </c>
      <c r="N69" s="41">
        <f t="shared" si="150"/>
        <v>5.6153343214577331</v>
      </c>
      <c r="O69" s="41">
        <f t="shared" si="150"/>
        <v>3.8040890804392089</v>
      </c>
      <c r="P69" s="41">
        <f t="shared" si="150"/>
        <v>2.2415584758898706</v>
      </c>
      <c r="Q69" s="41">
        <f t="shared" si="150"/>
        <v>0.8684246619155469</v>
      </c>
      <c r="R69" s="41">
        <f t="shared" si="150"/>
        <v>-0.43315973160675503</v>
      </c>
      <c r="S69" s="41">
        <f t="shared" si="150"/>
        <v>-1.6632338074762096</v>
      </c>
      <c r="T69" s="41">
        <f t="shared" si="150"/>
        <v>-2.830937877307333</v>
      </c>
      <c r="U69" s="41">
        <f t="shared" ref="U69" si="151">+($D$82-U59)/(U24+($T$17-U17)*(1-$I$43)-U36-U39-U42)</f>
        <v>-3.8082666032275649</v>
      </c>
    </row>
    <row r="70" spans="1:29" x14ac:dyDescent="0.2">
      <c r="B70" s="1" t="s">
        <v>64</v>
      </c>
      <c r="E70" s="41"/>
      <c r="F70" s="41"/>
      <c r="G70" s="41"/>
      <c r="H70" s="2253"/>
      <c r="I70" s="115">
        <f>+($D$82-I59)/(I45+$T$17*(1-$I$43))</f>
        <v>19.162819425128657</v>
      </c>
      <c r="J70" s="41">
        <f>+($D$82-J59)/(J45+($T$17-J17)*(1-$I$43))</f>
        <v>15.923720395429568</v>
      </c>
      <c r="K70" s="41">
        <f t="shared" ref="K70:T70" si="152">+($D$82-K59)/(K45+($T$17-K17)*(1-$I$43))</f>
        <v>13.294015929005811</v>
      </c>
      <c r="L70" s="41">
        <f t="shared" si="152"/>
        <v>10.264760157112171</v>
      </c>
      <c r="M70" s="41">
        <f t="shared" si="152"/>
        <v>7.6296926243963528</v>
      </c>
      <c r="N70" s="41">
        <f t="shared" si="152"/>
        <v>5.6150589588131634</v>
      </c>
      <c r="O70" s="41">
        <f t="shared" si="152"/>
        <v>3.8106817460450504</v>
      </c>
      <c r="P70" s="41">
        <f t="shared" si="152"/>
        <v>2.2466868818783721</v>
      </c>
      <c r="Q70" s="41">
        <f t="shared" si="152"/>
        <v>0.86979898322411375</v>
      </c>
      <c r="R70" s="41">
        <f t="shared" si="152"/>
        <v>-0.4337574116381524</v>
      </c>
      <c r="S70" s="41">
        <f t="shared" si="152"/>
        <v>-1.6659370918476686</v>
      </c>
      <c r="T70" s="41">
        <f t="shared" si="152"/>
        <v>-2.830937877307333</v>
      </c>
      <c r="U70" s="41">
        <f t="shared" ref="U70" si="153">+($D$82-U59)/(U45+($T$17-U17)*(1-$I$43))</f>
        <v>-3.8082666032275649</v>
      </c>
    </row>
    <row r="71" spans="1:29" x14ac:dyDescent="0.2">
      <c r="E71" s="41"/>
      <c r="F71" s="41"/>
      <c r="G71" s="41"/>
      <c r="H71" s="41"/>
      <c r="I71" s="41"/>
      <c r="J71" s="41"/>
      <c r="K71" s="41"/>
      <c r="L71" s="41"/>
      <c r="M71" s="41"/>
      <c r="N71" s="41"/>
      <c r="O71" s="41"/>
      <c r="P71" s="41"/>
      <c r="Q71" s="41"/>
      <c r="R71" s="41"/>
      <c r="S71" s="41"/>
      <c r="T71" s="41"/>
      <c r="U71" s="41"/>
    </row>
    <row r="72" spans="1:29" ht="10.5" x14ac:dyDescent="0.25">
      <c r="A72" s="1" t="s">
        <v>26</v>
      </c>
      <c r="B72" s="11" t="s">
        <v>65</v>
      </c>
      <c r="C72" s="3"/>
      <c r="J72" s="1022"/>
      <c r="V72" s="1267"/>
      <c r="W72" s="1267"/>
      <c r="X72" s="1267"/>
      <c r="Y72" s="1267"/>
    </row>
    <row r="73" spans="1:29" ht="10.5" x14ac:dyDescent="0.25">
      <c r="J73" s="40"/>
      <c r="V73" s="1267"/>
      <c r="W73" s="1267"/>
      <c r="X73" s="1267"/>
      <c r="Y73" s="1267"/>
    </row>
    <row r="74" spans="1:29" ht="10.5" x14ac:dyDescent="0.25">
      <c r="B74" s="26" t="s">
        <v>66</v>
      </c>
      <c r="C74" s="26"/>
      <c r="V74" s="1267"/>
      <c r="W74" s="1267"/>
      <c r="X74" s="1267"/>
      <c r="Y74" s="1267"/>
    </row>
    <row r="75" spans="1:29" ht="11.5" x14ac:dyDescent="0.35">
      <c r="B75" s="1" t="s">
        <v>67</v>
      </c>
      <c r="S75" s="91">
        <v>15</v>
      </c>
      <c r="V75" s="1267"/>
      <c r="W75" s="1267"/>
      <c r="X75" s="1267"/>
      <c r="Y75" s="1267"/>
    </row>
    <row r="76" spans="1:29" ht="13.5" x14ac:dyDescent="0.55000000000000004">
      <c r="B76" s="22" t="s">
        <v>68</v>
      </c>
      <c r="C76" s="22"/>
      <c r="D76" s="37"/>
      <c r="S76" s="52">
        <f>+T45*S75</f>
        <v>7687.2113183937063</v>
      </c>
      <c r="T76" s="42"/>
      <c r="U76" s="42"/>
      <c r="V76" s="1267"/>
      <c r="W76" s="1267"/>
      <c r="X76" s="1267"/>
      <c r="Y76" s="1267"/>
    </row>
    <row r="77" spans="1:29" x14ac:dyDescent="0.2">
      <c r="B77" s="22" t="s">
        <v>69</v>
      </c>
      <c r="C77" s="22"/>
      <c r="E77" s="37"/>
      <c r="I77" s="40">
        <f>-$D$82+I59</f>
        <v>-3207.4434237600003</v>
      </c>
      <c r="J77" s="40">
        <f>+J56</f>
        <v>0</v>
      </c>
      <c r="K77" s="40">
        <f t="shared" ref="K77:R77" si="154">+K56</f>
        <v>0</v>
      </c>
      <c r="L77" s="40">
        <f t="shared" si="154"/>
        <v>260.73658922309767</v>
      </c>
      <c r="M77" s="40">
        <f t="shared" si="154"/>
        <v>464.30836037660009</v>
      </c>
      <c r="N77" s="40">
        <f t="shared" si="154"/>
        <v>504.68072835755174</v>
      </c>
      <c r="O77" s="40">
        <f t="shared" si="154"/>
        <v>523.93142090370213</v>
      </c>
      <c r="P77" s="40">
        <f t="shared" si="154"/>
        <v>536.44848046941024</v>
      </c>
      <c r="Q77" s="40">
        <f t="shared" si="154"/>
        <v>541.63446337888172</v>
      </c>
      <c r="R77" s="40">
        <f t="shared" si="154"/>
        <v>574.12527207889298</v>
      </c>
      <c r="S77" s="40">
        <f>+S56+S76</f>
        <v>8295.3992542597007</v>
      </c>
      <c r="T77" s="40"/>
      <c r="U77" s="40"/>
    </row>
    <row r="78" spans="1:29" ht="10.5" x14ac:dyDescent="0.25">
      <c r="B78" s="27" t="s">
        <v>70</v>
      </c>
      <c r="C78" s="28"/>
      <c r="D78" s="28"/>
      <c r="E78" s="28"/>
      <c r="F78" s="28"/>
      <c r="G78" s="28"/>
      <c r="H78" s="28"/>
      <c r="I78" s="29">
        <f>XIRR(I77:S77,I3:S3)</f>
        <v>0.16243819594383244</v>
      </c>
      <c r="T78" s="41"/>
      <c r="U78" s="41"/>
    </row>
    <row r="80" spans="1:29" ht="10.5" x14ac:dyDescent="0.25">
      <c r="B80" s="30" t="s">
        <v>71</v>
      </c>
      <c r="C80" s="31"/>
      <c r="D80" s="43"/>
      <c r="E80" s="44"/>
    </row>
    <row r="81" spans="1:12" ht="10.5" x14ac:dyDescent="0.25">
      <c r="D81" s="45" t="s">
        <v>72</v>
      </c>
      <c r="E81" s="45" t="s">
        <v>73</v>
      </c>
    </row>
    <row r="82" spans="1:12" x14ac:dyDescent="0.2">
      <c r="B82" s="1" t="s">
        <v>74</v>
      </c>
      <c r="D82" s="52">
        <f>+E82*E85</f>
        <v>3207.4434237600003</v>
      </c>
      <c r="E82" s="87">
        <f>_xll.SNL.Clients.Office.Excel.Functions.SPG($A$1, "SP_PRICE_CLOSE",$U$1)</f>
        <v>18.73</v>
      </c>
    </row>
    <row r="83" spans="1:12" ht="11.5" x14ac:dyDescent="0.35">
      <c r="B83" s="1" t="s">
        <v>75</v>
      </c>
      <c r="D83" s="36">
        <f>2185-125</f>
        <v>2060</v>
      </c>
      <c r="E83" s="46">
        <f>+D83/E$85</f>
        <v>12.029456143849684</v>
      </c>
      <c r="F83" s="982"/>
    </row>
    <row r="84" spans="1:12" ht="10.5" x14ac:dyDescent="0.25">
      <c r="B84" s="32" t="s">
        <v>76</v>
      </c>
      <c r="C84" s="32"/>
      <c r="D84" s="65">
        <f>+D82+D83</f>
        <v>5267.4434237599999</v>
      </c>
      <c r="E84" s="63">
        <f>+D84/E$85</f>
        <v>30.759456143849683</v>
      </c>
    </row>
    <row r="85" spans="1:12" x14ac:dyDescent="0.2">
      <c r="A85" s="1" t="s">
        <v>26</v>
      </c>
      <c r="B85" s="13" t="s">
        <v>77</v>
      </c>
      <c r="C85" s="13"/>
      <c r="D85" s="40"/>
      <c r="E85" s="2328">
        <f>27.15+'FA - Historical Financials'!Y109</f>
        <v>171.24631200000002</v>
      </c>
      <c r="F85" s="1241"/>
    </row>
    <row r="87" spans="1:12" x14ac:dyDescent="0.2">
      <c r="F87" s="1022"/>
    </row>
    <row r="88" spans="1:12" x14ac:dyDescent="0.2">
      <c r="G88" s="96"/>
      <c r="H88" s="96"/>
      <c r="I88" s="96">
        <f>+I78</f>
        <v>0.16243819594383244</v>
      </c>
    </row>
    <row r="92" spans="1:12" x14ac:dyDescent="0.2">
      <c r="D92" s="1">
        <f t="shared" ref="D92:L92" si="155">+$E$82/D67</f>
        <v>0.3652912244907206</v>
      </c>
      <c r="E92" s="1">
        <f t="shared" si="155"/>
        <v>0.52043617149547727</v>
      </c>
      <c r="F92" s="1">
        <f t="shared" si="155"/>
        <v>1.24921712182625</v>
      </c>
      <c r="G92" s="1">
        <f t="shared" si="155"/>
        <v>1.4361681552593084</v>
      </c>
      <c r="H92" s="1">
        <f t="shared" si="155"/>
        <v>1.1193467337270304</v>
      </c>
      <c r="I92" s="1">
        <f t="shared" si="155"/>
        <v>0.67083763786308892</v>
      </c>
      <c r="J92" s="1">
        <f t="shared" si="155"/>
        <v>0.98872862209421508</v>
      </c>
      <c r="K92" s="1">
        <f t="shared" si="155"/>
        <v>1.3486843103510966</v>
      </c>
      <c r="L92" s="1">
        <f t="shared" si="155"/>
        <v>1.8246894923329013</v>
      </c>
    </row>
  </sheetData>
  <pageMargins left="0.3" right="0.3" top="0.3" bottom="0.3" header="0.3" footer="0.3"/>
  <pageSetup scale="59" fitToHeight="0" orientation="landscape" r:id="rId1"/>
  <headerFooter>
    <oddFooter>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0E852-5E8F-4C3C-BF34-73D44FBF3ED8}">
  <sheetPr>
    <pageSetUpPr fitToPage="1"/>
  </sheetPr>
  <dimension ref="A1:AS884"/>
  <sheetViews>
    <sheetView view="pageBreakPreview" zoomScale="50" zoomScaleNormal="55" zoomScaleSheetLayoutView="50" workbookViewId="0">
      <pane xSplit="1" ySplit="5" topLeftCell="B6" activePane="bottomRight" state="frozen"/>
      <selection activeCell="U1" sqref="U1"/>
      <selection pane="topRight" activeCell="U1" sqref="U1"/>
      <selection pane="bottomLeft" activeCell="U1" sqref="U1"/>
      <selection pane="bottomRight" activeCell="B6" sqref="B6"/>
    </sheetView>
  </sheetViews>
  <sheetFormatPr defaultColWidth="8.7265625" defaultRowHeight="17.25" customHeight="1" outlineLevelCol="1" x14ac:dyDescent="0.35"/>
  <cols>
    <col min="1" max="1" width="31.453125" style="1272" customWidth="1"/>
    <col min="2" max="2" width="4.453125" style="1272" customWidth="1"/>
    <col min="3" max="6" width="8.7265625" style="1272" hidden="1" customWidth="1" outlineLevel="1"/>
    <col min="7" max="7" width="11.81640625" style="1272" customWidth="1" collapsed="1"/>
    <col min="8" max="30" width="11.81640625" style="1272" customWidth="1"/>
    <col min="31" max="31" width="8.81640625" style="1272" customWidth="1"/>
    <col min="32" max="32" width="8.7265625" style="1272" hidden="1" customWidth="1" outlineLevel="1"/>
    <col min="33" max="33" width="11.81640625" style="1272" customWidth="1" collapsed="1"/>
    <col min="34" max="39" width="11.81640625" style="1272" customWidth="1"/>
    <col min="40" max="40" width="10.1796875" style="1272" bestFit="1" customWidth="1"/>
    <col min="41" max="42" width="8.81640625" style="1272" bestFit="1" customWidth="1"/>
    <col min="43" max="16384" width="8.7265625" style="1272"/>
  </cols>
  <sheetData>
    <row r="1" spans="1:42" ht="17.25" customHeight="1" x14ac:dyDescent="0.35">
      <c r="A1" s="1272" t="s">
        <v>4</v>
      </c>
      <c r="AJ1" s="1273"/>
      <c r="AK1" s="1273"/>
      <c r="AL1" s="1273"/>
      <c r="AM1" s="1273">
        <f ca="1">TODAY()</f>
        <v>45797</v>
      </c>
    </row>
    <row r="2" spans="1:42" ht="17.25" customHeight="1" x14ac:dyDescent="0.35">
      <c r="A2" s="1274" t="s">
        <v>78</v>
      </c>
      <c r="B2" s="1274"/>
    </row>
    <row r="3" spans="1:42" s="1276" customFormat="1" ht="17.25" customHeight="1" x14ac:dyDescent="0.35">
      <c r="A3" s="1275" t="str">
        <f>+'[2]Simple Model (Base)'!B3</f>
        <v>(USD in mm)</v>
      </c>
      <c r="B3" s="1275"/>
      <c r="W3" s="1277" t="s">
        <v>79</v>
      </c>
      <c r="X3" s="1277" t="s">
        <v>80</v>
      </c>
      <c r="Y3" s="1277"/>
      <c r="Z3" s="1277" t="s">
        <v>81</v>
      </c>
      <c r="AA3" s="1277" t="s">
        <v>82</v>
      </c>
      <c r="AB3" s="1277" t="s">
        <v>83</v>
      </c>
      <c r="AC3" s="1277" t="s">
        <v>84</v>
      </c>
      <c r="AD3" s="1277" t="s">
        <v>85</v>
      </c>
    </row>
    <row r="4" spans="1:42" ht="17.25" customHeight="1" x14ac:dyDescent="0.35">
      <c r="C4" s="1278"/>
      <c r="D4" s="1279"/>
      <c r="E4" s="1279"/>
      <c r="F4" s="1279"/>
      <c r="G4" s="1278" t="s">
        <v>7</v>
      </c>
      <c r="H4" s="1278"/>
      <c r="I4" s="1278"/>
      <c r="J4" s="1278"/>
      <c r="K4" s="1278"/>
      <c r="L4" s="1278"/>
      <c r="M4" s="1278"/>
      <c r="N4" s="1278"/>
      <c r="O4" s="1278"/>
      <c r="P4" s="1278"/>
      <c r="Q4" s="1278"/>
      <c r="R4" s="1278"/>
      <c r="S4" s="1278"/>
      <c r="T4" s="1278"/>
      <c r="U4" s="1278"/>
      <c r="V4" s="1278"/>
      <c r="W4" s="1278"/>
      <c r="X4" s="1278"/>
      <c r="Y4" s="1278"/>
      <c r="Z4" s="1278"/>
      <c r="AA4" s="1278"/>
      <c r="AB4" s="1278"/>
      <c r="AC4" s="1278"/>
      <c r="AD4" s="1278"/>
      <c r="AE4" s="1280"/>
      <c r="AF4" s="1278"/>
      <c r="AG4" s="1278" t="s">
        <v>7</v>
      </c>
      <c r="AH4" s="1279"/>
      <c r="AI4" s="1278"/>
      <c r="AJ4" s="1278"/>
      <c r="AK4" s="1278"/>
      <c r="AL4" s="1278"/>
      <c r="AM4" s="1278"/>
    </row>
    <row r="5" spans="1:42" ht="17.25" customHeight="1" x14ac:dyDescent="0.8">
      <c r="C5" s="1281" t="s">
        <v>86</v>
      </c>
      <c r="D5" s="1281" t="s">
        <v>87</v>
      </c>
      <c r="E5" s="1281" t="s">
        <v>88</v>
      </c>
      <c r="F5" s="1282" t="s">
        <v>89</v>
      </c>
      <c r="G5" s="1281" t="s">
        <v>90</v>
      </c>
      <c r="H5" s="1281" t="s">
        <v>91</v>
      </c>
      <c r="I5" s="1281" t="s">
        <v>92</v>
      </c>
      <c r="J5" s="1282" t="s">
        <v>93</v>
      </c>
      <c r="K5" s="1281" t="s">
        <v>94</v>
      </c>
      <c r="L5" s="1281" t="s">
        <v>95</v>
      </c>
      <c r="M5" s="1281" t="s">
        <v>96</v>
      </c>
      <c r="N5" s="1282" t="s">
        <v>97</v>
      </c>
      <c r="O5" s="1281" t="s">
        <v>98</v>
      </c>
      <c r="P5" s="1281" t="s">
        <v>99</v>
      </c>
      <c r="Q5" s="1281" t="s">
        <v>100</v>
      </c>
      <c r="R5" s="1282" t="s">
        <v>101</v>
      </c>
      <c r="S5" s="1283" t="s">
        <v>102</v>
      </c>
      <c r="T5" s="1281" t="s">
        <v>103</v>
      </c>
      <c r="U5" s="1281" t="s">
        <v>104</v>
      </c>
      <c r="V5" s="1281" t="s">
        <v>105</v>
      </c>
      <c r="W5" s="1283" t="s">
        <v>106</v>
      </c>
      <c r="X5" s="1281" t="s">
        <v>107</v>
      </c>
      <c r="Y5" s="1284" t="s">
        <v>108</v>
      </c>
      <c r="Z5" s="2320" t="s">
        <v>109</v>
      </c>
      <c r="AA5" s="1281" t="s">
        <v>110</v>
      </c>
      <c r="AB5" s="1281" t="s">
        <v>111</v>
      </c>
      <c r="AC5" s="1281" t="s">
        <v>112</v>
      </c>
      <c r="AD5" s="1281" t="s">
        <v>113</v>
      </c>
      <c r="AE5" s="1280"/>
      <c r="AF5" s="1281" t="s">
        <v>114</v>
      </c>
      <c r="AG5" s="1281" t="s">
        <v>115</v>
      </c>
      <c r="AH5" s="1281" t="s">
        <v>116</v>
      </c>
      <c r="AI5" s="1281" t="s">
        <v>117</v>
      </c>
      <c r="AJ5" s="1281" t="s">
        <v>118</v>
      </c>
      <c r="AK5" s="1284" t="s">
        <v>119</v>
      </c>
      <c r="AL5" s="1281" t="s">
        <v>13</v>
      </c>
      <c r="AM5" s="1281" t="s">
        <v>14</v>
      </c>
    </row>
    <row r="6" spans="1:42" ht="17.25" customHeight="1" x14ac:dyDescent="0.8">
      <c r="A6" s="1285" t="s">
        <v>120</v>
      </c>
      <c r="C6" s="1286"/>
      <c r="D6" s="1286"/>
      <c r="E6" s="1286"/>
      <c r="F6" s="1287"/>
      <c r="G6" s="1286"/>
      <c r="H6" s="1286"/>
      <c r="I6" s="1286"/>
      <c r="J6" s="1287"/>
      <c r="K6" s="1286"/>
      <c r="L6" s="1286"/>
      <c r="M6" s="1286"/>
      <c r="N6" s="1287"/>
      <c r="O6" s="1286"/>
      <c r="P6" s="1286"/>
      <c r="Q6" s="1286"/>
      <c r="R6" s="1287"/>
      <c r="S6" s="1288"/>
      <c r="T6" s="1286"/>
      <c r="U6" s="1286"/>
      <c r="V6" s="1286"/>
      <c r="W6" s="1288"/>
      <c r="X6" s="1286"/>
      <c r="Y6" s="1289"/>
      <c r="Z6" s="1287"/>
      <c r="AA6" s="1286"/>
      <c r="AB6" s="1286"/>
      <c r="AC6" s="1286"/>
      <c r="AD6" s="1286"/>
      <c r="AE6" s="1280"/>
      <c r="AF6" s="1286"/>
      <c r="AG6" s="1286"/>
      <c r="AH6" s="1286"/>
      <c r="AI6" s="1286"/>
      <c r="AJ6" s="1286"/>
      <c r="AK6" s="1289"/>
      <c r="AL6" s="1286"/>
      <c r="AM6" s="1286"/>
    </row>
    <row r="7" spans="1:42" ht="17.25" customHeight="1" x14ac:dyDescent="0.8">
      <c r="C7" s="1286"/>
      <c r="D7" s="1286"/>
      <c r="E7" s="1286"/>
      <c r="F7" s="1287"/>
      <c r="G7" s="1286"/>
      <c r="H7" s="1286"/>
      <c r="I7" s="1286"/>
      <c r="J7" s="1287"/>
      <c r="K7" s="1286"/>
      <c r="L7" s="1286"/>
      <c r="M7" s="1286"/>
      <c r="N7" s="1287"/>
      <c r="O7" s="1286"/>
      <c r="P7" s="1286"/>
      <c r="Q7" s="1286"/>
      <c r="R7" s="1287"/>
      <c r="S7" s="1288"/>
      <c r="T7" s="1286"/>
      <c r="U7" s="1286"/>
      <c r="V7" s="1286"/>
      <c r="W7" s="1288"/>
      <c r="X7" s="1286"/>
      <c r="Y7" s="1289"/>
      <c r="Z7" s="1287"/>
      <c r="AA7" s="1286"/>
      <c r="AB7" s="1286"/>
      <c r="AC7" s="1286"/>
      <c r="AD7" s="1286"/>
      <c r="AE7" s="1280"/>
      <c r="AF7" s="1286"/>
      <c r="AG7" s="1286"/>
      <c r="AH7" s="1286"/>
      <c r="AI7" s="1286"/>
      <c r="AJ7" s="1286"/>
      <c r="AK7" s="1289"/>
      <c r="AL7" s="1286"/>
      <c r="AM7" s="1286"/>
    </row>
    <row r="8" spans="1:42" s="1307" customFormat="1" ht="17.25" customHeight="1" x14ac:dyDescent="0.35">
      <c r="A8" s="1272" t="s">
        <v>28</v>
      </c>
      <c r="C8" s="1280">
        <f>'PF Basic Historical Fin'!C11</f>
        <v>220.208</v>
      </c>
      <c r="D8" s="1280">
        <f>'PF Basic Historical Fin'!D11</f>
        <v>254.0213</v>
      </c>
      <c r="E8" s="1280">
        <f>'PF Basic Historical Fin'!E11</f>
        <v>256.53430000000003</v>
      </c>
      <c r="F8" s="1308">
        <f>'PF Basic Historical Fin'!F11</f>
        <v>248.11899999999994</v>
      </c>
      <c r="G8" s="1280">
        <f>'PF Basic Historical Fin'!G11</f>
        <v>230.215</v>
      </c>
      <c r="H8" s="1280">
        <f>'PF Basic Historical Fin'!H11</f>
        <v>193.56399999999999</v>
      </c>
      <c r="I8" s="1280">
        <f>'PF Basic Historical Fin'!I11</f>
        <v>254.38029999999998</v>
      </c>
      <c r="J8" s="1308">
        <f>'PF Basic Historical Fin'!J11</f>
        <v>285.04729999999995</v>
      </c>
      <c r="K8" s="1280">
        <f>'PF Basic Historical Fin'!K11</f>
        <v>271.44</v>
      </c>
      <c r="L8" s="1280">
        <f>'PF Basic Historical Fin'!L11</f>
        <v>334.154</v>
      </c>
      <c r="M8" s="1280">
        <f>'PF Basic Historical Fin'!M11</f>
        <v>362.42399999999998</v>
      </c>
      <c r="N8" s="1308">
        <f>'PF Basic Historical Fin'!N11</f>
        <v>386.16100000000017</v>
      </c>
      <c r="O8" s="1280">
        <f>'PF Basic Historical Fin'!O11</f>
        <v>381.85300000000001</v>
      </c>
      <c r="P8" s="1280">
        <f>'PF Basic Historical Fin'!P11</f>
        <v>407.15200000000004</v>
      </c>
      <c r="Q8" s="1280">
        <f>'PF Basic Historical Fin'!Q11</f>
        <v>405.28499999999997</v>
      </c>
      <c r="R8" s="1308">
        <f>'PF Basic Historical Fin'!R11</f>
        <v>382.51499999999999</v>
      </c>
      <c r="S8" s="1309">
        <f>'PF Basic Historical Fin'!S11</f>
        <v>354.79399999999998</v>
      </c>
      <c r="T8" s="1280">
        <f>'PF Basic Historical Fin'!T11</f>
        <v>375.69899999999996</v>
      </c>
      <c r="U8" s="1280">
        <f>'PF Basic Historical Fin'!U11</f>
        <v>380.93</v>
      </c>
      <c r="V8" s="1280">
        <f>'PF Basic Historical Fin'!V11</f>
        <v>371.97799999999995</v>
      </c>
      <c r="W8" s="1309">
        <f>'PF Basic Historical Fin'!W11</f>
        <v>355.41499999999996</v>
      </c>
      <c r="X8" s="1280">
        <f>'PF Basic Historical Fin'!X11</f>
        <v>385.07399999999996</v>
      </c>
      <c r="Y8" s="1310">
        <f>'PF Basic Historical Fin'!Y11</f>
        <v>394.61900000000003</v>
      </c>
      <c r="Z8" s="1308">
        <f>'PF Basic Historical Fin'!Z11</f>
        <v>385.57152075428837</v>
      </c>
      <c r="AA8" s="1280">
        <f>'PF Basic Historical Fin'!AA11</f>
        <v>370.45658962489864</v>
      </c>
      <c r="AB8" s="1280">
        <f>'PF Basic Historical Fin'!AB11</f>
        <v>405.95792815020297</v>
      </c>
      <c r="AC8" s="1280">
        <f>'PF Basic Historical Fin'!AC11</f>
        <v>422.08360205797669</v>
      </c>
      <c r="AD8" s="1280">
        <f>'PF Basic Historical Fin'!AD11</f>
        <v>417.33955524130045</v>
      </c>
      <c r="AE8" s="1280"/>
      <c r="AF8" s="1280">
        <f>'PF Basic Historical Fin'!AF11</f>
        <v>906.97616326530601</v>
      </c>
      <c r="AG8" s="1280">
        <f>'PF Basic Historical Fin'!AG11</f>
        <v>978.88259999999991</v>
      </c>
      <c r="AH8" s="1280">
        <f>'PF Basic Historical Fin'!AH11</f>
        <v>963.20659999999998</v>
      </c>
      <c r="AI8" s="1280">
        <f>'PF Basic Historical Fin'!AI11</f>
        <v>1354.1790000000001</v>
      </c>
      <c r="AJ8" s="1280">
        <f>'PF Basic Historical Fin'!AJ11</f>
        <v>1576.8049999999998</v>
      </c>
      <c r="AK8" s="1310">
        <f>'PF Basic Historical Fin'!AK11</f>
        <v>1483.4010000000001</v>
      </c>
      <c r="AL8" s="1280">
        <f>'PF Basic Historical Fin'!AL11</f>
        <v>1520.6795207542884</v>
      </c>
      <c r="AM8" s="1280">
        <f>'PF Basic Historical Fin'!AM11</f>
        <v>1615.8376750743787</v>
      </c>
    </row>
    <row r="9" spans="1:42" ht="17.25" customHeight="1" x14ac:dyDescent="0.35">
      <c r="A9" s="1316" t="s">
        <v>121</v>
      </c>
      <c r="C9" s="1291"/>
      <c r="D9" s="1291"/>
      <c r="E9" s="1291"/>
      <c r="F9" s="1292"/>
      <c r="G9" s="1312">
        <f t="shared" ref="G9:AD9" si="0">+G8/C8-1</f>
        <v>4.5443398968248117E-2</v>
      </c>
      <c r="H9" s="1312">
        <f t="shared" si="0"/>
        <v>-0.2380009077978894</v>
      </c>
      <c r="I9" s="1312">
        <f t="shared" si="0"/>
        <v>-8.3965380068086182E-3</v>
      </c>
      <c r="J9" s="1313">
        <f t="shared" si="0"/>
        <v>0.14883301963976958</v>
      </c>
      <c r="K9" s="1312">
        <f t="shared" si="0"/>
        <v>0.17907173728905579</v>
      </c>
      <c r="L9" s="1312">
        <f t="shared" si="0"/>
        <v>0.72632307660515383</v>
      </c>
      <c r="M9" s="1312">
        <f t="shared" si="0"/>
        <v>0.42473296870866184</v>
      </c>
      <c r="N9" s="1313">
        <f t="shared" si="0"/>
        <v>0.35472604020455645</v>
      </c>
      <c r="O9" s="1312">
        <f t="shared" si="0"/>
        <v>0.40676760978485116</v>
      </c>
      <c r="P9" s="1312">
        <f t="shared" si="0"/>
        <v>0.2184561609317861</v>
      </c>
      <c r="Q9" s="1312">
        <f t="shared" si="0"/>
        <v>0.11826203562677962</v>
      </c>
      <c r="R9" s="1313">
        <f t="shared" si="0"/>
        <v>-9.4416577541496238E-3</v>
      </c>
      <c r="S9" s="1314">
        <f t="shared" si="0"/>
        <v>-7.0862347552592242E-2</v>
      </c>
      <c r="T9" s="1312">
        <f t="shared" si="0"/>
        <v>-7.7251247691280112E-2</v>
      </c>
      <c r="U9" s="1312">
        <f t="shared" si="0"/>
        <v>-6.0093514440455409E-2</v>
      </c>
      <c r="V9" s="1312">
        <f t="shared" si="0"/>
        <v>-2.7546632158216067E-2</v>
      </c>
      <c r="W9" s="1314">
        <f t="shared" si="0"/>
        <v>1.7503114483332638E-3</v>
      </c>
      <c r="X9" s="1312">
        <f t="shared" si="0"/>
        <v>2.4953486700789673E-2</v>
      </c>
      <c r="Y9" s="1315">
        <f t="shared" si="0"/>
        <v>3.593573622450319E-2</v>
      </c>
      <c r="Z9" s="1313">
        <f t="shared" si="0"/>
        <v>3.6543883655185017E-2</v>
      </c>
      <c r="AA9" s="1312">
        <f t="shared" si="0"/>
        <v>4.2321200919766211E-2</v>
      </c>
      <c r="AB9" s="1312">
        <f t="shared" si="0"/>
        <v>5.4233545111337156E-2</v>
      </c>
      <c r="AC9" s="1312">
        <f t="shared" si="0"/>
        <v>6.9597769134219778E-2</v>
      </c>
      <c r="AD9" s="1312">
        <f t="shared" si="0"/>
        <v>8.2392066781448836E-2</v>
      </c>
      <c r="AE9" s="1291"/>
      <c r="AF9" s="1312"/>
      <c r="AG9" s="1312">
        <f t="shared" ref="AG9:AM9" si="1">+AG8/AF8-1</f>
        <v>7.9281506666961876E-2</v>
      </c>
      <c r="AH9" s="1312">
        <f t="shared" si="1"/>
        <v>-1.601417779823644E-2</v>
      </c>
      <c r="AI9" s="1312">
        <f t="shared" si="1"/>
        <v>0.40590710238073546</v>
      </c>
      <c r="AJ9" s="1312">
        <f t="shared" si="1"/>
        <v>0.1643992411638342</v>
      </c>
      <c r="AK9" s="1315">
        <f t="shared" si="1"/>
        <v>-5.9236240372144811E-2</v>
      </c>
      <c r="AL9" s="1312">
        <f t="shared" si="1"/>
        <v>2.5130440625487305E-2</v>
      </c>
      <c r="AM9" s="1312">
        <f t="shared" si="1"/>
        <v>6.2576074065158638E-2</v>
      </c>
    </row>
    <row r="10" spans="1:42" ht="17.25" customHeight="1" x14ac:dyDescent="0.35">
      <c r="A10" s="1316" t="s">
        <v>122</v>
      </c>
      <c r="C10" s="1291"/>
      <c r="D10" s="1291"/>
      <c r="E10" s="1291"/>
      <c r="F10" s="1292"/>
      <c r="G10" s="1312">
        <f>'PF Basic Historical Fin'!G21</f>
        <v>4.6351278037379304E-2</v>
      </c>
      <c r="H10" s="1312">
        <f>'PF Basic Historical Fin'!H21</f>
        <v>-0.2326582170088129</v>
      </c>
      <c r="I10" s="1312">
        <f>'PF Basic Historical Fin'!I21</f>
        <v>-1.3349701307089106E-2</v>
      </c>
      <c r="J10" s="1313">
        <f>'PF Basic Historical Fin'!J21</f>
        <v>0.14249501912213283</v>
      </c>
      <c r="K10" s="1312">
        <f>'PF Basic Historical Fin'!K21</f>
        <v>0.16691189403991019</v>
      </c>
      <c r="L10" s="1312">
        <f>'PF Basic Historical Fin'!L21</f>
        <v>0.67266736055051879</v>
      </c>
      <c r="M10" s="1312">
        <f>'PF Basic Historical Fin'!M21</f>
        <v>0.38378631128275259</v>
      </c>
      <c r="N10" s="1313">
        <f>'PF Basic Historical Fin'!N21</f>
        <v>0.31158199919802765</v>
      </c>
      <c r="O10" s="1312">
        <f>'PF Basic Historical Fin'!O21</f>
        <v>0.31830235042735044</v>
      </c>
      <c r="P10" s="1312">
        <f>'PF Basic Historical Fin'!P21</f>
        <v>0.17057902643691225</v>
      </c>
      <c r="Q10" s="1312">
        <f>'PF Basic Historical Fin'!Q21</f>
        <v>8.0524656203783379E-2</v>
      </c>
      <c r="R10" s="1313">
        <f>'PF Basic Historical Fin'!R21</f>
        <v>-2.3801075199204498E-2</v>
      </c>
      <c r="S10" s="1314">
        <f>'PF Basic Historical Fin'!S21</f>
        <v>-6.7672669849392242E-2</v>
      </c>
      <c r="T10" s="1312">
        <f>'PF Basic Historical Fin'!T21</f>
        <v>-8.8258662612488728E-2</v>
      </c>
      <c r="U10" s="1312">
        <f>'PF Basic Historical Fin'!U21</f>
        <v>-7.5718521534228936E-2</v>
      </c>
      <c r="V10" s="1312">
        <f>'PF Basic Historical Fin'!V21</f>
        <v>-4.553883452014424E-2</v>
      </c>
      <c r="W10" s="1314">
        <f>'PF Basic Historical Fin'!W21</f>
        <v>-4.9989419212275288E-2</v>
      </c>
      <c r="X10" s="1312">
        <f>'PF Basic Historical Fin'!X21</f>
        <v>-1.5412300804633497E-2</v>
      </c>
      <c r="Y10" s="1315">
        <f>'PF Basic Historical Fin'!Y21</f>
        <v>-2.3575512561362978E-3</v>
      </c>
      <c r="Z10" s="1313">
        <f>'PF Basic Historical Fin'!Z21</f>
        <v>6.6467237309733376E-3</v>
      </c>
      <c r="AA10" s="1312">
        <f>'PF Basic Historical Fin'!AA21</f>
        <v>3.9533418679571775E-2</v>
      </c>
      <c r="AB10" s="1312">
        <f>'PF Basic Historical Fin'!AB21</f>
        <v>5.2188722167687253E-2</v>
      </c>
      <c r="AC10" s="1312">
        <f>'PF Basic Historical Fin'!AC21</f>
        <v>6.5045854355720328E-2</v>
      </c>
      <c r="AD10" s="1312">
        <f>'PF Basic Historical Fin'!AD21</f>
        <v>0.08</v>
      </c>
      <c r="AE10" s="1291"/>
      <c r="AF10" s="1312"/>
      <c r="AG10" s="1312">
        <f>'PF Basic Historical Fin'!AG21</f>
        <v>7.2009874566670351E-2</v>
      </c>
      <c r="AH10" s="1312">
        <f>'PF Basic Historical Fin'!AH21</f>
        <v>-1.7328079114558113E-2</v>
      </c>
      <c r="AI10" s="1312">
        <f>'PF Basic Historical Fin'!AI21</f>
        <v>0.36935274661116163</v>
      </c>
      <c r="AJ10" s="1312">
        <f>'PF Basic Historical Fin'!AJ21</f>
        <v>0.12062856904441738</v>
      </c>
      <c r="AK10" s="1315">
        <f>'PF Basic Historical Fin'!AK21</f>
        <v>-6.968684858715754E-2</v>
      </c>
      <c r="AL10" s="1312">
        <f>'PF Basic Historical Fin'!AL21</f>
        <v>-1.4798398410139942E-2</v>
      </c>
      <c r="AM10" s="1312">
        <f>'PF Basic Historical Fin'!AM21</f>
        <v>5.9618966667857265E-2</v>
      </c>
    </row>
    <row r="11" spans="1:42" ht="17.25" customHeight="1" x14ac:dyDescent="0.35">
      <c r="A11" s="1316" t="s">
        <v>123</v>
      </c>
      <c r="C11" s="1312"/>
      <c r="D11" s="1312">
        <f t="shared" ref="D11:AD11" si="2">D8/C8-1</f>
        <v>0.15355164208384808</v>
      </c>
      <c r="E11" s="1312">
        <f t="shared" si="2"/>
        <v>9.8928711883610188E-3</v>
      </c>
      <c r="F11" s="1313">
        <f t="shared" si="2"/>
        <v>-3.2803800505429859E-2</v>
      </c>
      <c r="G11" s="1312">
        <f t="shared" si="2"/>
        <v>-7.2158923742236314E-2</v>
      </c>
      <c r="H11" s="1312">
        <f t="shared" si="2"/>
        <v>-0.15920335338705127</v>
      </c>
      <c r="I11" s="1312">
        <f t="shared" si="2"/>
        <v>0.31419220516211688</v>
      </c>
      <c r="J11" s="1313">
        <f t="shared" si="2"/>
        <v>0.12055571913391083</v>
      </c>
      <c r="K11" s="1312">
        <f t="shared" si="2"/>
        <v>-4.773698961540751E-2</v>
      </c>
      <c r="L11" s="1312">
        <f t="shared" si="2"/>
        <v>0.23104185086943718</v>
      </c>
      <c r="M11" s="1312">
        <f t="shared" si="2"/>
        <v>8.4601710588531054E-2</v>
      </c>
      <c r="N11" s="1313">
        <f t="shared" si="2"/>
        <v>6.5495110699071324E-2</v>
      </c>
      <c r="O11" s="1312">
        <f t="shared" si="2"/>
        <v>-1.115596862448609E-2</v>
      </c>
      <c r="P11" s="1312">
        <f t="shared" si="2"/>
        <v>6.6253244049411686E-2</v>
      </c>
      <c r="Q11" s="1312">
        <f t="shared" si="2"/>
        <v>-4.5855110622079476E-3</v>
      </c>
      <c r="R11" s="1313">
        <f t="shared" si="2"/>
        <v>-5.6182686257818526E-2</v>
      </c>
      <c r="S11" s="1314">
        <f t="shared" si="2"/>
        <v>-7.2470360639452114E-2</v>
      </c>
      <c r="T11" s="1312">
        <f t="shared" si="2"/>
        <v>5.8921515019983328E-2</v>
      </c>
      <c r="U11" s="1312">
        <f t="shared" si="2"/>
        <v>1.3923380152728759E-2</v>
      </c>
      <c r="V11" s="1312">
        <f t="shared" si="2"/>
        <v>-2.350038064736315E-2</v>
      </c>
      <c r="W11" s="1314">
        <f t="shared" si="2"/>
        <v>-4.4526826855351587E-2</v>
      </c>
      <c r="X11" s="1312">
        <f t="shared" si="2"/>
        <v>8.3448925903521154E-2</v>
      </c>
      <c r="Y11" s="1315">
        <f t="shared" si="2"/>
        <v>2.478744345242756E-2</v>
      </c>
      <c r="Z11" s="1313">
        <f t="shared" si="2"/>
        <v>-2.2927125266932524E-2</v>
      </c>
      <c r="AA11" s="1312">
        <f t="shared" si="2"/>
        <v>-3.920136814000319E-2</v>
      </c>
      <c r="AB11" s="1312">
        <f t="shared" si="2"/>
        <v>9.5831305258332167E-2</v>
      </c>
      <c r="AC11" s="1312">
        <f t="shared" si="2"/>
        <v>3.9722524896243172E-2</v>
      </c>
      <c r="AD11" s="1312">
        <f t="shared" si="2"/>
        <v>-1.1239590435509483E-2</v>
      </c>
      <c r="AE11" s="1291"/>
      <c r="AF11" s="1312"/>
      <c r="AG11" s="1312"/>
      <c r="AH11" s="1312"/>
      <c r="AI11" s="1312"/>
      <c r="AJ11" s="1312"/>
      <c r="AK11" s="1315"/>
      <c r="AL11" s="1312"/>
      <c r="AM11" s="1312"/>
    </row>
    <row r="12" spans="1:42" ht="17.25" customHeight="1" x14ac:dyDescent="0.35">
      <c r="A12" s="1316" t="s">
        <v>124</v>
      </c>
      <c r="C12" s="1312"/>
      <c r="D12" s="1312"/>
      <c r="E12" s="1312"/>
      <c r="F12" s="1313"/>
      <c r="G12" s="1312"/>
      <c r="H12" s="1312"/>
      <c r="I12" s="1312">
        <f>'PF Basic Historical Fin'!I31</f>
        <v>0.31867565522745939</v>
      </c>
      <c r="J12" s="1313">
        <f>'PF Basic Historical Fin'!J31</f>
        <v>0.12282737242750626</v>
      </c>
      <c r="K12" s="1312">
        <f>'PF Basic Historical Fin'!K31</f>
        <v>-4.3376172666286475E-2</v>
      </c>
      <c r="L12" s="1312">
        <f>'PF Basic Historical Fin'!L31</f>
        <v>0.23183979315359576</v>
      </c>
      <c r="M12" s="1312">
        <f>'PF Basic Historical Fin'!M31</f>
        <v>8.2384894085643798E-2</v>
      </c>
      <c r="N12" s="1313">
        <f>'PF Basic Historical Fin'!N31</f>
        <v>5.248760665803659E-2</v>
      </c>
      <c r="O12" s="1312">
        <f>'PF Basic Historical Fin'!O31</f>
        <v>-4.9524042751404991E-2</v>
      </c>
      <c r="P12" s="1312">
        <f>'PF Basic Historical Fin'!P31</f>
        <v>5.8707677792728452E-2</v>
      </c>
      <c r="Q12" s="1312">
        <f>'PF Basic Historical Fin'!Q31</f>
        <v>-1.2113845927071465E-2</v>
      </c>
      <c r="R12" s="1313">
        <f>'PF Basic Historical Fin'!R31</f>
        <v>-5.6762015879419848E-2</v>
      </c>
      <c r="S12" s="1314">
        <f>'PF Basic Historical Fin'!S31</f>
        <v>-7.5909286354507916E-2</v>
      </c>
      <c r="T12" s="1312">
        <f>'PF Basic Historical Fin'!T31</f>
        <v>5.1060424886989149E-2</v>
      </c>
      <c r="U12" s="1312">
        <f>'PF Basic Historical Fin'!U31</f>
        <v>1.2313064881438502E-2</v>
      </c>
      <c r="V12" s="1312">
        <f>'PF Basic Historical Fin'!V31</f>
        <v>-2.8557671166058278E-2</v>
      </c>
      <c r="W12" s="1314">
        <f>'PF Basic Historical Fin'!W31</f>
        <v>-7.4647455221599837E-2</v>
      </c>
      <c r="X12" s="1312">
        <f>'PF Basic Historical Fin'!X31</f>
        <v>8.2768864270841527E-2</v>
      </c>
      <c r="Y12" s="1315">
        <f>'PF Basic Historical Fin'!Y31</f>
        <v>2.737914487076936E-2</v>
      </c>
      <c r="Z12" s="1313">
        <f>'PF Basic Historical Fin'!Z31</f>
        <v>-2.4773721323154148E-2</v>
      </c>
      <c r="AA12" s="1312">
        <f>'PF Basic Historical Fin'!AA31</f>
        <v>-4.1882701907141717E-2</v>
      </c>
      <c r="AB12" s="1312">
        <f>'PF Basic Historical Fin'!AB31</f>
        <v>9.5831305258332125E-2</v>
      </c>
      <c r="AC12" s="1312">
        <f>'PF Basic Historical Fin'!AC31</f>
        <v>3.9722524896243019E-2</v>
      </c>
      <c r="AD12" s="1312">
        <f>'PF Basic Historical Fin'!AD31</f>
        <v>-1.1239590435509464E-2</v>
      </c>
      <c r="AE12" s="1291"/>
      <c r="AF12" s="1312"/>
      <c r="AG12" s="1312"/>
      <c r="AH12" s="1312"/>
      <c r="AI12" s="1312"/>
      <c r="AJ12" s="1312"/>
      <c r="AK12" s="1315"/>
      <c r="AL12" s="1312"/>
      <c r="AM12" s="1312"/>
    </row>
    <row r="13" spans="1:42" s="1274" customFormat="1" ht="17.25" customHeight="1" x14ac:dyDescent="0.35">
      <c r="A13" s="1324"/>
      <c r="C13" s="1325"/>
      <c r="D13" s="1325"/>
      <c r="E13" s="1325"/>
      <c r="F13" s="1326"/>
      <c r="G13" s="1327"/>
      <c r="H13" s="1327"/>
      <c r="I13" s="1327"/>
      <c r="J13" s="1328"/>
      <c r="K13" s="1327"/>
      <c r="L13" s="1327"/>
      <c r="M13" s="1327"/>
      <c r="N13" s="1328"/>
      <c r="O13" s="1327"/>
      <c r="P13" s="1327"/>
      <c r="Q13" s="1327"/>
      <c r="R13" s="1328"/>
      <c r="S13" s="1329"/>
      <c r="T13" s="1327"/>
      <c r="U13" s="1327"/>
      <c r="V13" s="1327"/>
      <c r="W13" s="1329"/>
      <c r="X13" s="1327"/>
      <c r="Y13" s="1330"/>
      <c r="Z13" s="1328"/>
      <c r="AA13" s="1327"/>
      <c r="AB13" s="1327"/>
      <c r="AC13" s="1327"/>
      <c r="AD13" s="1327"/>
      <c r="AE13" s="1325"/>
      <c r="AF13" s="1327"/>
      <c r="AG13" s="1327"/>
      <c r="AH13" s="1327"/>
      <c r="AI13" s="1327"/>
      <c r="AJ13" s="1327"/>
      <c r="AK13" s="1330"/>
    </row>
    <row r="14" spans="1:42" s="1307" customFormat="1" ht="17.25" customHeight="1" x14ac:dyDescent="0.35">
      <c r="A14" s="1272" t="s">
        <v>125</v>
      </c>
      <c r="C14" s="1280"/>
      <c r="D14" s="1280"/>
      <c r="E14" s="1280"/>
      <c r="F14" s="1308"/>
      <c r="G14" s="2300" t="str">
        <f>'PF Basic Historical Fin'!G36</f>
        <v>NA</v>
      </c>
      <c r="H14" s="2300" t="str">
        <f>'PF Basic Historical Fin'!H36</f>
        <v>NA</v>
      </c>
      <c r="I14" s="2300">
        <f>'PF Basic Historical Fin'!I36</f>
        <v>131.81299999999999</v>
      </c>
      <c r="J14" s="2301" t="str">
        <f>'PF Basic Historical Fin'!J36</f>
        <v>NA</v>
      </c>
      <c r="K14" s="1280">
        <f>'PF Basic Historical Fin'!K36</f>
        <v>137.94900000000001</v>
      </c>
      <c r="L14" s="1280">
        <f>'PF Basic Historical Fin'!L36</f>
        <v>173.74600000000004</v>
      </c>
      <c r="M14" s="1280">
        <f>'PF Basic Historical Fin'!M36</f>
        <v>185.63799999999998</v>
      </c>
      <c r="N14" s="1308">
        <f>'PF Basic Historical Fin'!N36</f>
        <v>191.684</v>
      </c>
      <c r="O14" s="1280">
        <f>'PF Basic Historical Fin'!O36</f>
        <v>185.15300000000002</v>
      </c>
      <c r="P14" s="1280">
        <f>'PF Basic Historical Fin'!P36</f>
        <v>199.97200000000004</v>
      </c>
      <c r="Q14" s="1280">
        <f>'PF Basic Historical Fin'!Q36</f>
        <v>195.239</v>
      </c>
      <c r="R14" s="1308">
        <f>'PF Basic Historical Fin'!R36</f>
        <v>182.46600000000001</v>
      </c>
      <c r="S14" s="1309">
        <f>'PF Basic Historical Fin'!S36</f>
        <v>169.68200000000002</v>
      </c>
      <c r="T14" s="1280">
        <f>'PF Basic Historical Fin'!T36</f>
        <v>181.35300000000001</v>
      </c>
      <c r="U14" s="1280">
        <f>'PF Basic Historical Fin'!U36</f>
        <v>184.364</v>
      </c>
      <c r="V14" s="1280">
        <f>'PF Basic Historical Fin'!V36</f>
        <v>179.44199999999995</v>
      </c>
      <c r="W14" s="1309">
        <f>'PF Basic Historical Fin'!W36</f>
        <v>164.898</v>
      </c>
      <c r="X14" s="1280">
        <f>'PF Basic Historical Fin'!X36</f>
        <v>182.648</v>
      </c>
      <c r="Y14" s="1310">
        <f>'PF Basic Historical Fin'!Y36</f>
        <v>187.44494416900267</v>
      </c>
      <c r="Z14" s="1308">
        <f>'PF Basic Historical Fin'!Z36</f>
        <v>182.56710925338587</v>
      </c>
      <c r="AA14" s="1280">
        <f>'PF Basic Historical Fin'!AA36</f>
        <v>172.95920572947438</v>
      </c>
      <c r="AB14" s="1280">
        <f>'PF Basic Historical Fin'!AB36</f>
        <v>193.60278737836472</v>
      </c>
      <c r="AC14" s="1280">
        <f>'PF Basic Historical Fin'!AC36</f>
        <v>201.80288007172584</v>
      </c>
      <c r="AD14" s="1280">
        <f>'PF Basic Historical Fin'!AD36</f>
        <v>197.72075746499678</v>
      </c>
      <c r="AE14" s="1280"/>
      <c r="AF14" s="1280"/>
      <c r="AG14" s="1280">
        <f>'PF Basic Historical Fin'!AG36</f>
        <v>513.71399999999994</v>
      </c>
      <c r="AH14" s="1280">
        <f>'PF Basic Historical Fin'!AH36</f>
        <v>485.65800000000002</v>
      </c>
      <c r="AI14" s="1280">
        <f>'PF Basic Historical Fin'!AI36</f>
        <v>688.98800000000006</v>
      </c>
      <c r="AJ14" s="1280">
        <f>'PF Basic Historical Fin'!AJ36</f>
        <v>761.26599999999996</v>
      </c>
      <c r="AK14" s="1310">
        <f>'PF Basic Historical Fin'!AK36</f>
        <v>713.25</v>
      </c>
      <c r="AL14" s="1280">
        <f>'PF Basic Historical Fin'!AL36</f>
        <v>717.55805342238853</v>
      </c>
      <c r="AM14" s="1280">
        <f>'PF Basic Historical Fin'!AM36</f>
        <v>766.08563064456166</v>
      </c>
      <c r="AP14" s="1307">
        <v>2185</v>
      </c>
    </row>
    <row r="15" spans="1:42" ht="17.25" customHeight="1" x14ac:dyDescent="0.35">
      <c r="A15" s="1316" t="s">
        <v>121</v>
      </c>
      <c r="C15" s="1291"/>
      <c r="D15" s="1291"/>
      <c r="E15" s="1291"/>
      <c r="F15" s="1292"/>
      <c r="G15" s="1312"/>
      <c r="H15" s="1312"/>
      <c r="I15" s="1312"/>
      <c r="J15" s="1313"/>
      <c r="K15" s="1332" t="s">
        <v>126</v>
      </c>
      <c r="L15" s="1332" t="s">
        <v>126</v>
      </c>
      <c r="M15" s="1312">
        <f>+M14/I14-1</f>
        <v>0.40834363833612763</v>
      </c>
      <c r="N15" s="1333" t="s">
        <v>126</v>
      </c>
      <c r="O15" s="1312">
        <f t="shared" ref="O15:AD15" si="3">+O14/K14-1</f>
        <v>0.34218443047793023</v>
      </c>
      <c r="P15" s="1312">
        <f t="shared" si="3"/>
        <v>0.15094448217512912</v>
      </c>
      <c r="Q15" s="1312">
        <f t="shared" si="3"/>
        <v>5.1718936855600806E-2</v>
      </c>
      <c r="R15" s="1313">
        <f t="shared" si="3"/>
        <v>-4.8089564074205393E-2</v>
      </c>
      <c r="S15" s="1314">
        <f t="shared" si="3"/>
        <v>-8.35579223669074E-2</v>
      </c>
      <c r="T15" s="1312">
        <f t="shared" si="3"/>
        <v>-9.310803512491761E-2</v>
      </c>
      <c r="U15" s="1312">
        <f t="shared" si="3"/>
        <v>-5.5700961385788728E-2</v>
      </c>
      <c r="V15" s="1312">
        <f t="shared" si="3"/>
        <v>-1.6572950577094181E-2</v>
      </c>
      <c r="W15" s="1314">
        <f t="shared" si="3"/>
        <v>-2.8193915677561687E-2</v>
      </c>
      <c r="X15" s="1312">
        <f t="shared" si="3"/>
        <v>7.1407696591729852E-3</v>
      </c>
      <c r="Y15" s="1315">
        <f t="shared" si="3"/>
        <v>1.6711202669733138E-2</v>
      </c>
      <c r="Z15" s="1313">
        <f t="shared" si="3"/>
        <v>1.7415706765338657E-2</v>
      </c>
      <c r="AA15" s="1312">
        <f t="shared" si="3"/>
        <v>4.8886012744086438E-2</v>
      </c>
      <c r="AB15" s="1312">
        <f t="shared" si="3"/>
        <v>5.9977592847251238E-2</v>
      </c>
      <c r="AC15" s="1312">
        <f t="shared" si="3"/>
        <v>7.6598149746721855E-2</v>
      </c>
      <c r="AD15" s="1312">
        <f t="shared" si="3"/>
        <v>8.3003166745544865E-2</v>
      </c>
      <c r="AE15" s="1291"/>
      <c r="AF15" s="1312"/>
      <c r="AG15" s="1312"/>
      <c r="AH15" s="1312">
        <f t="shared" ref="AH15:AM15" si="4">+AH14/AG14-1</f>
        <v>-5.4614045947745105E-2</v>
      </c>
      <c r="AI15" s="1312">
        <f t="shared" si="4"/>
        <v>0.41866910459623852</v>
      </c>
      <c r="AJ15" s="1312">
        <f t="shared" si="4"/>
        <v>0.10490458469523412</v>
      </c>
      <c r="AK15" s="1315">
        <f t="shared" si="4"/>
        <v>-6.3073879563779189E-2</v>
      </c>
      <c r="AL15" s="1312">
        <f t="shared" si="4"/>
        <v>6.0400328389604852E-3</v>
      </c>
      <c r="AM15" s="1312">
        <f t="shared" si="4"/>
        <v>6.7628782076545768E-2</v>
      </c>
    </row>
    <row r="16" spans="1:42" ht="17.25" customHeight="1" x14ac:dyDescent="0.35">
      <c r="A16" s="1316" t="s">
        <v>127</v>
      </c>
      <c r="C16" s="1291"/>
      <c r="D16" s="1291"/>
      <c r="E16" s="1291"/>
      <c r="F16" s="1292"/>
      <c r="G16" s="1332" t="s">
        <v>126</v>
      </c>
      <c r="H16" s="1332" t="s">
        <v>126</v>
      </c>
      <c r="I16" s="1312">
        <f>+I14/I8</f>
        <v>0.5181729874522516</v>
      </c>
      <c r="J16" s="1333" t="s">
        <v>126</v>
      </c>
      <c r="K16" s="1312">
        <f t="shared" ref="K16:AD16" si="5">+K14/K8</f>
        <v>0.50821175950486297</v>
      </c>
      <c r="L16" s="1312">
        <f t="shared" si="5"/>
        <v>0.5199578637394735</v>
      </c>
      <c r="M16" s="1312">
        <f t="shared" si="5"/>
        <v>0.51221221552656548</v>
      </c>
      <c r="N16" s="1313">
        <f t="shared" si="5"/>
        <v>0.49638363273349695</v>
      </c>
      <c r="O16" s="1312">
        <f t="shared" si="5"/>
        <v>0.48488030734340182</v>
      </c>
      <c r="P16" s="1312">
        <f t="shared" si="5"/>
        <v>0.49114826895115343</v>
      </c>
      <c r="Q16" s="1312">
        <f t="shared" si="5"/>
        <v>0.48173260791788497</v>
      </c>
      <c r="R16" s="1313">
        <f t="shared" si="5"/>
        <v>0.47701658758480064</v>
      </c>
      <c r="S16" s="1314">
        <f t="shared" si="5"/>
        <v>0.47825498740113986</v>
      </c>
      <c r="T16" s="1312">
        <f t="shared" si="5"/>
        <v>0.48270823185582085</v>
      </c>
      <c r="U16" s="1312">
        <f t="shared" si="5"/>
        <v>0.48398393405612578</v>
      </c>
      <c r="V16" s="1312">
        <f t="shared" si="5"/>
        <v>0.48239949674443106</v>
      </c>
      <c r="W16" s="1314">
        <f t="shared" si="5"/>
        <v>0.46395903380555131</v>
      </c>
      <c r="X16" s="1312">
        <f t="shared" si="5"/>
        <v>0.47431922175997343</v>
      </c>
      <c r="Y16" s="1315">
        <f t="shared" si="5"/>
        <v>0.47500232925683422</v>
      </c>
      <c r="Z16" s="1313">
        <f t="shared" si="5"/>
        <v>0.47349739134319957</v>
      </c>
      <c r="AA16" s="1312">
        <f t="shared" si="5"/>
        <v>0.46688116927438689</v>
      </c>
      <c r="AB16" s="1312">
        <f t="shared" si="5"/>
        <v>0.47690357535456823</v>
      </c>
      <c r="AC16" s="1312">
        <f t="shared" si="5"/>
        <v>0.47811115875571619</v>
      </c>
      <c r="AD16" s="1312">
        <f t="shared" si="5"/>
        <v>0.47376471983509244</v>
      </c>
      <c r="AE16" s="1291"/>
      <c r="AF16" s="1312"/>
      <c r="AG16" s="1312">
        <f t="shared" ref="AG16:AM16" si="6">+AG14/AG8</f>
        <v>0.52479633410584681</v>
      </c>
      <c r="AH16" s="1312">
        <f t="shared" si="6"/>
        <v>0.50420958494262813</v>
      </c>
      <c r="AI16" s="1312">
        <f t="shared" si="6"/>
        <v>0.50878650459060437</v>
      </c>
      <c r="AJ16" s="1312">
        <f t="shared" si="6"/>
        <v>0.48279019916857191</v>
      </c>
      <c r="AK16" s="1315">
        <f t="shared" si="6"/>
        <v>0.480820762558472</v>
      </c>
      <c r="AL16" s="1312">
        <f t="shared" si="6"/>
        <v>0.47186671723340162</v>
      </c>
      <c r="AM16" s="1312">
        <f t="shared" si="6"/>
        <v>0.47411051398420817</v>
      </c>
    </row>
    <row r="17" spans="1:39" s="1274" customFormat="1" ht="17.25" customHeight="1" x14ac:dyDescent="0.35">
      <c r="A17" s="1324"/>
      <c r="C17" s="1325"/>
      <c r="D17" s="1325"/>
      <c r="E17" s="1325"/>
      <c r="F17" s="1326"/>
      <c r="G17" s="1327"/>
      <c r="H17" s="1327"/>
      <c r="I17" s="1327"/>
      <c r="J17" s="1328"/>
      <c r="K17" s="1327"/>
      <c r="L17" s="1327"/>
      <c r="M17" s="1327"/>
      <c r="N17" s="1328"/>
      <c r="O17" s="1327"/>
      <c r="P17" s="1327"/>
      <c r="Q17" s="1327"/>
      <c r="R17" s="1328"/>
      <c r="S17" s="1329"/>
      <c r="T17" s="1327"/>
      <c r="U17" s="1327"/>
      <c r="V17" s="1327"/>
      <c r="W17" s="1329"/>
      <c r="X17" s="1327"/>
      <c r="Y17" s="1330"/>
      <c r="Z17" s="1328"/>
      <c r="AA17" s="1327"/>
      <c r="AB17" s="1327"/>
      <c r="AC17" s="1327"/>
      <c r="AD17" s="1327"/>
      <c r="AE17" s="1325"/>
      <c r="AF17" s="1327"/>
      <c r="AG17" s="1327"/>
      <c r="AH17" s="1327"/>
      <c r="AI17" s="1327"/>
      <c r="AJ17" s="1327"/>
      <c r="AK17" s="1330"/>
    </row>
    <row r="18" spans="1:39" s="1307" customFormat="1" ht="17.25" customHeight="1" x14ac:dyDescent="0.35">
      <c r="A18" s="1272" t="s">
        <v>128</v>
      </c>
      <c r="C18" s="1280">
        <f>'PF Basic Historical Fin'!C51</f>
        <v>49.111800000000002</v>
      </c>
      <c r="D18" s="1280">
        <f>'PF Basic Historical Fin'!D51</f>
        <v>68.704800000000006</v>
      </c>
      <c r="E18" s="1280">
        <f>'PF Basic Historical Fin'!E51</f>
        <v>69.374599999999987</v>
      </c>
      <c r="F18" s="1308">
        <f>'PF Basic Historical Fin'!F51</f>
        <v>55.5655</v>
      </c>
      <c r="G18" s="1280">
        <f>'PF Basic Historical Fin'!G51</f>
        <v>54.801299999999998</v>
      </c>
      <c r="H18" s="1280">
        <f>'PF Basic Historical Fin'!H51</f>
        <v>45.593400000000003</v>
      </c>
      <c r="I18" s="1280">
        <f>'PF Basic Historical Fin'!I51</f>
        <v>73.69</v>
      </c>
      <c r="J18" s="1308">
        <f>'PF Basic Historical Fin'!J51</f>
        <v>72.546400000000006</v>
      </c>
      <c r="K18" s="1280">
        <f>'PF Basic Historical Fin'!K51</f>
        <v>73.394400000000005</v>
      </c>
      <c r="L18" s="1280">
        <f>'PF Basic Historical Fin'!L51</f>
        <v>103.355</v>
      </c>
      <c r="M18" s="1280">
        <f>'PF Basic Historical Fin'!M51</f>
        <v>115.2435</v>
      </c>
      <c r="N18" s="1308">
        <f>'PF Basic Historical Fin'!N51</f>
        <v>113.48699999999999</v>
      </c>
      <c r="O18" s="1280">
        <f>'PF Basic Historical Fin'!O51</f>
        <v>101.23599999999999</v>
      </c>
      <c r="P18" s="1280">
        <f>'PF Basic Historical Fin'!P51</f>
        <v>117.306</v>
      </c>
      <c r="Q18" s="1280">
        <f>'PF Basic Historical Fin'!Q51</f>
        <v>117.286</v>
      </c>
      <c r="R18" s="1308">
        <f>'PF Basic Historical Fin'!R51</f>
        <v>111.58499999999999</v>
      </c>
      <c r="S18" s="1309">
        <f>'PF Basic Historical Fin'!S51</f>
        <v>94.114999999999995</v>
      </c>
      <c r="T18" s="1280">
        <f>'PF Basic Historical Fin'!T51</f>
        <v>105.96799999999999</v>
      </c>
      <c r="U18" s="1280">
        <f>'PF Basic Historical Fin'!U51</f>
        <v>112.34699999999999</v>
      </c>
      <c r="V18" s="1280">
        <f>'PF Basic Historical Fin'!V51</f>
        <v>110.14999999999999</v>
      </c>
      <c r="W18" s="1309">
        <f>'PF Basic Historical Fin'!W51</f>
        <v>85.067999999999998</v>
      </c>
      <c r="X18" s="1280">
        <f>'PF Basic Historical Fin'!X51</f>
        <v>102.045</v>
      </c>
      <c r="Y18" s="1310">
        <f>'PF Basic Historical Fin'!Y51</f>
        <v>109.33500000000001</v>
      </c>
      <c r="Z18" s="1308">
        <f>'PF Basic Historical Fin'!Z51</f>
        <v>106.66016508438322</v>
      </c>
      <c r="AA18" s="1280">
        <f>'PF Basic Historical Fin'!AA51</f>
        <v>92.336480729474388</v>
      </c>
      <c r="AB18" s="1280">
        <f>'PF Basic Historical Fin'!AB51</f>
        <v>110.28077237836474</v>
      </c>
      <c r="AC18" s="1280">
        <f>'PF Basic Historical Fin'!AC51</f>
        <v>120.88509789849812</v>
      </c>
      <c r="AD18" s="1280">
        <f>'PF Basic Historical Fin'!AD51</f>
        <v>119.07108969176909</v>
      </c>
      <c r="AE18" s="1280"/>
      <c r="AF18" s="1280"/>
      <c r="AG18" s="1280">
        <f>'PF Basic Historical Fin'!AG51</f>
        <v>242.75669999999997</v>
      </c>
      <c r="AH18" s="1280">
        <f>'PF Basic Historical Fin'!AH51</f>
        <v>246.6311</v>
      </c>
      <c r="AI18" s="1280">
        <f>'PF Basic Historical Fin'!AI51</f>
        <v>405.47989999999999</v>
      </c>
      <c r="AJ18" s="1280">
        <f>'PF Basic Historical Fin'!AJ51</f>
        <v>447.41300000000001</v>
      </c>
      <c r="AK18" s="1310">
        <f>'PF Basic Historical Fin'!AK51</f>
        <v>422.58</v>
      </c>
      <c r="AL18" s="1280">
        <f>'PF Basic Historical Fin'!AL51</f>
        <v>403.10816508438319</v>
      </c>
      <c r="AM18" s="1280">
        <f>'PF Basic Historical Fin'!AM51</f>
        <v>442.57344069810631</v>
      </c>
    </row>
    <row r="19" spans="1:39" ht="17.25" customHeight="1" x14ac:dyDescent="0.35">
      <c r="A19" s="1316" t="s">
        <v>121</v>
      </c>
      <c r="C19" s="1291"/>
      <c r="D19" s="1291"/>
      <c r="E19" s="1291"/>
      <c r="F19" s="1292"/>
      <c r="G19" s="1312">
        <f t="shared" ref="G19:AD19" si="7">+G18/C18-1</f>
        <v>0.1158479224952047</v>
      </c>
      <c r="H19" s="1312">
        <f t="shared" si="7"/>
        <v>-0.33638697732909495</v>
      </c>
      <c r="I19" s="1312">
        <f t="shared" si="7"/>
        <v>6.2204322619517916E-2</v>
      </c>
      <c r="J19" s="1313">
        <f t="shared" si="7"/>
        <v>0.30560149733197761</v>
      </c>
      <c r="K19" s="1312">
        <f t="shared" si="7"/>
        <v>0.3392820973225088</v>
      </c>
      <c r="L19" s="1312">
        <f t="shared" si="7"/>
        <v>1.2668851193374477</v>
      </c>
      <c r="M19" s="1312">
        <f t="shared" si="7"/>
        <v>0.56389605102456231</v>
      </c>
      <c r="N19" s="1313">
        <f t="shared" si="7"/>
        <v>0.56433675551095552</v>
      </c>
      <c r="O19" s="1312">
        <f t="shared" si="7"/>
        <v>0.3793422931449808</v>
      </c>
      <c r="P19" s="1312">
        <f t="shared" si="7"/>
        <v>0.13498137487301043</v>
      </c>
      <c r="Q19" s="1312">
        <f t="shared" si="7"/>
        <v>1.7723342314317048E-2</v>
      </c>
      <c r="R19" s="1313">
        <f t="shared" si="7"/>
        <v>-1.6759628856168551E-2</v>
      </c>
      <c r="S19" s="1314">
        <f t="shared" si="7"/>
        <v>-7.034059030384443E-2</v>
      </c>
      <c r="T19" s="1312">
        <f t="shared" si="7"/>
        <v>-9.6653197619900211E-2</v>
      </c>
      <c r="U19" s="1312">
        <f t="shared" si="7"/>
        <v>-4.21107378544755E-2</v>
      </c>
      <c r="V19" s="1312">
        <f t="shared" si="7"/>
        <v>-1.2860151454048507E-2</v>
      </c>
      <c r="W19" s="1314">
        <f t="shared" si="7"/>
        <v>-9.6127078574084868E-2</v>
      </c>
      <c r="X19" s="1312">
        <f t="shared" si="7"/>
        <v>-3.7020609995470188E-2</v>
      </c>
      <c r="Y19" s="1315">
        <f t="shared" si="7"/>
        <v>-2.6809794654062746E-2</v>
      </c>
      <c r="Z19" s="1313">
        <f t="shared" si="7"/>
        <v>-3.1682568457710114E-2</v>
      </c>
      <c r="AA19" s="1312">
        <f t="shared" si="7"/>
        <v>8.5443183447058813E-2</v>
      </c>
      <c r="AB19" s="1312">
        <f t="shared" si="7"/>
        <v>8.0707260310301843E-2</v>
      </c>
      <c r="AC19" s="1312">
        <f t="shared" si="7"/>
        <v>0.10563952895685835</v>
      </c>
      <c r="AD19" s="1312">
        <f t="shared" si="7"/>
        <v>0.11635951057798444</v>
      </c>
      <c r="AE19" s="1291"/>
      <c r="AF19" s="1312"/>
      <c r="AG19" s="1312"/>
      <c r="AH19" s="1312">
        <f t="shared" ref="AH19:AM19" si="8">+AH18/AG18-1</f>
        <v>1.5960012638168264E-2</v>
      </c>
      <c r="AI19" s="1312">
        <f t="shared" si="8"/>
        <v>0.64407449020014096</v>
      </c>
      <c r="AJ19" s="1312">
        <f t="shared" si="8"/>
        <v>0.10341597696951199</v>
      </c>
      <c r="AK19" s="1315">
        <f t="shared" si="8"/>
        <v>-5.5503528060203977E-2</v>
      </c>
      <c r="AL19" s="1312">
        <f t="shared" si="8"/>
        <v>-4.6078458317044824E-2</v>
      </c>
      <c r="AM19" s="1312">
        <f t="shared" si="8"/>
        <v>9.7902446618668204E-2</v>
      </c>
    </row>
    <row r="20" spans="1:39" ht="17.25" customHeight="1" x14ac:dyDescent="0.35">
      <c r="A20" s="1316" t="s">
        <v>127</v>
      </c>
      <c r="C20" s="1312">
        <f t="shared" ref="C20:AD20" si="9">+C18/C8</f>
        <v>0.22302459492843132</v>
      </c>
      <c r="D20" s="1312">
        <f t="shared" si="9"/>
        <v>0.27046865754958349</v>
      </c>
      <c r="E20" s="1312">
        <f t="shared" si="9"/>
        <v>0.27043011402373868</v>
      </c>
      <c r="F20" s="1313">
        <f t="shared" si="9"/>
        <v>0.22394697705536462</v>
      </c>
      <c r="G20" s="1312">
        <f t="shared" si="9"/>
        <v>0.23804400234563342</v>
      </c>
      <c r="H20" s="1312">
        <f t="shared" si="9"/>
        <v>0.23554689921679653</v>
      </c>
      <c r="I20" s="1312">
        <f t="shared" si="9"/>
        <v>0.28968438200599655</v>
      </c>
      <c r="J20" s="1313">
        <f t="shared" si="9"/>
        <v>0.25450653277543767</v>
      </c>
      <c r="K20" s="1312">
        <f t="shared" si="9"/>
        <v>0.27038903625110522</v>
      </c>
      <c r="L20" s="1312">
        <f t="shared" si="9"/>
        <v>0.30930349479581271</v>
      </c>
      <c r="M20" s="1312">
        <f t="shared" si="9"/>
        <v>0.31797976955168533</v>
      </c>
      <c r="N20" s="1313">
        <f t="shared" si="9"/>
        <v>0.29388519296355653</v>
      </c>
      <c r="O20" s="1312">
        <f t="shared" si="9"/>
        <v>0.26511772854999172</v>
      </c>
      <c r="P20" s="1312">
        <f t="shared" si="9"/>
        <v>0.28811353008213147</v>
      </c>
      <c r="Q20" s="1312">
        <f t="shared" si="9"/>
        <v>0.28939141591719408</v>
      </c>
      <c r="R20" s="1313">
        <f t="shared" si="9"/>
        <v>0.29171405042939491</v>
      </c>
      <c r="S20" s="1314">
        <f t="shared" si="9"/>
        <v>0.26526660541046354</v>
      </c>
      <c r="T20" s="1312">
        <f t="shared" si="9"/>
        <v>0.28205558172899048</v>
      </c>
      <c r="U20" s="1312">
        <f t="shared" si="9"/>
        <v>0.29492820203186937</v>
      </c>
      <c r="V20" s="1312">
        <f t="shared" si="9"/>
        <v>0.29611966299082204</v>
      </c>
      <c r="W20" s="1314">
        <f t="shared" si="9"/>
        <v>0.23934836740148843</v>
      </c>
      <c r="X20" s="1312">
        <f t="shared" si="9"/>
        <v>0.26500101279234645</v>
      </c>
      <c r="Y20" s="2293">
        <f t="shared" si="9"/>
        <v>0.27706471305233654</v>
      </c>
      <c r="Z20" s="2249">
        <f t="shared" si="9"/>
        <v>0.27662874290021572</v>
      </c>
      <c r="AA20" s="1351">
        <f t="shared" si="9"/>
        <v>0.24925047445631507</v>
      </c>
      <c r="AB20" s="1351">
        <f t="shared" si="9"/>
        <v>0.27165566855874101</v>
      </c>
      <c r="AC20" s="1351">
        <f t="shared" si="9"/>
        <v>0.28640083933394206</v>
      </c>
      <c r="AD20" s="1351">
        <f t="shared" si="9"/>
        <v>0.28530985907368328</v>
      </c>
      <c r="AE20" s="1291"/>
      <c r="AF20" s="1312"/>
      <c r="AG20" s="1312">
        <f t="shared" ref="AG20:AM20" si="10">+AG18/AG8</f>
        <v>0.2479936817755265</v>
      </c>
      <c r="AH20" s="1312">
        <f t="shared" si="10"/>
        <v>0.25605212838034958</v>
      </c>
      <c r="AI20" s="1312">
        <f t="shared" si="10"/>
        <v>0.29942858366582259</v>
      </c>
      <c r="AJ20" s="1312">
        <f t="shared" si="10"/>
        <v>0.28374656346219096</v>
      </c>
      <c r="AK20" s="1315">
        <f t="shared" si="10"/>
        <v>0.28487239795577862</v>
      </c>
      <c r="AL20" s="1312">
        <f t="shared" si="10"/>
        <v>0.26508423345139365</v>
      </c>
      <c r="AM20" s="1312">
        <f t="shared" si="10"/>
        <v>0.27389721599215355</v>
      </c>
    </row>
    <row r="21" spans="1:39" ht="17.25" customHeight="1" x14ac:dyDescent="0.35">
      <c r="A21" s="1316" t="s">
        <v>129</v>
      </c>
      <c r="C21" s="1312"/>
      <c r="D21" s="1312"/>
      <c r="E21" s="1312"/>
      <c r="F21" s="1313"/>
      <c r="G21" s="1312">
        <f t="shared" ref="G21:AD21" si="11">IF(OR(G18&lt;0,C18&lt;0),"NM",(G18-C18)/(G$8-C$8))</f>
        <v>0.56855201359048591</v>
      </c>
      <c r="H21" s="1312">
        <f t="shared" si="11"/>
        <v>0.38227641657831235</v>
      </c>
      <c r="I21" s="1312">
        <f t="shared" si="11"/>
        <v>-2.0034354688950344</v>
      </c>
      <c r="J21" s="1313">
        <f t="shared" si="11"/>
        <v>0.45983432760240794</v>
      </c>
      <c r="K21" s="1312">
        <f t="shared" si="11"/>
        <v>0.45101516070345687</v>
      </c>
      <c r="L21" s="1312">
        <f t="shared" si="11"/>
        <v>0.4108514119069635</v>
      </c>
      <c r="M21" s="1312">
        <f t="shared" si="11"/>
        <v>0.38459900947486986</v>
      </c>
      <c r="N21" s="1313">
        <f t="shared" si="11"/>
        <v>0.40489666583262107</v>
      </c>
      <c r="O21" s="1312">
        <f t="shared" si="11"/>
        <v>0.25215871319500405</v>
      </c>
      <c r="P21" s="1312">
        <f t="shared" si="11"/>
        <v>0.19111482506370017</v>
      </c>
      <c r="Q21" s="1312">
        <f t="shared" si="11"/>
        <v>4.7654044469331198E-2</v>
      </c>
      <c r="R21" s="1313">
        <f t="shared" si="11"/>
        <v>0.52166758091056065</v>
      </c>
      <c r="S21" s="1314">
        <f t="shared" si="11"/>
        <v>0.26316567500646693</v>
      </c>
      <c r="T21" s="1312">
        <f t="shared" si="11"/>
        <v>0.36047435856674964</v>
      </c>
      <c r="U21" s="1312">
        <f t="shared" si="11"/>
        <v>0.20279203448983843</v>
      </c>
      <c r="V21" s="1312">
        <f t="shared" si="11"/>
        <v>0.13618677042801533</v>
      </c>
      <c r="W21" s="1314">
        <f t="shared" si="11"/>
        <v>-14.568438003221056</v>
      </c>
      <c r="X21" s="1312">
        <f t="shared" si="11"/>
        <v>-0.41845333333333201</v>
      </c>
      <c r="Y21" s="2293">
        <f t="shared" si="11"/>
        <v>-0.22003068156914177</v>
      </c>
      <c r="Z21" s="2249">
        <f t="shared" si="11"/>
        <v>-0.25672781751672474</v>
      </c>
      <c r="AA21" s="1351">
        <f t="shared" si="11"/>
        <v>0.48322557061673277</v>
      </c>
      <c r="AB21" s="1351">
        <f t="shared" si="11"/>
        <v>0.39435935227945518</v>
      </c>
      <c r="AC21" s="1351">
        <f t="shared" si="11"/>
        <v>0.42054488443401872</v>
      </c>
      <c r="AD21" s="1351">
        <f t="shared" si="11"/>
        <v>0.39067335476672005</v>
      </c>
      <c r="AE21" s="1291"/>
      <c r="AF21" s="1312"/>
      <c r="AG21" s="1312"/>
      <c r="AH21" s="1312">
        <f t="shared" ref="AH21:AM21" si="12">IF(OR(AH18&lt;0,AG18&lt;0),"NM",(AH18-AG18)/(AH$8-AG$8))</f>
        <v>-0.24715488645062861</v>
      </c>
      <c r="AI21" s="1312">
        <f t="shared" si="12"/>
        <v>0.40629159500772927</v>
      </c>
      <c r="AJ21" s="1312">
        <f t="shared" si="12"/>
        <v>0.18835670586544281</v>
      </c>
      <c r="AK21" s="1315">
        <f t="shared" si="12"/>
        <v>0.26586655817738092</v>
      </c>
      <c r="AL21" s="1312">
        <f t="shared" si="12"/>
        <v>-0.52233389420037102</v>
      </c>
      <c r="AM21" s="1312">
        <f t="shared" si="12"/>
        <v>0.41473351281037846</v>
      </c>
    </row>
    <row r="22" spans="1:39" ht="17.25" customHeight="1" x14ac:dyDescent="0.35">
      <c r="A22" s="1331"/>
      <c r="B22" s="1274"/>
      <c r="C22" s="1336"/>
      <c r="D22" s="1336"/>
      <c r="E22" s="1336"/>
      <c r="F22" s="1292"/>
      <c r="G22" s="1336"/>
      <c r="H22" s="1336"/>
      <c r="I22" s="1336"/>
      <c r="J22" s="1337"/>
      <c r="K22" s="1336"/>
      <c r="L22" s="1336"/>
      <c r="M22" s="1336"/>
      <c r="N22" s="1337"/>
      <c r="O22" s="1336"/>
      <c r="P22" s="1336"/>
      <c r="Q22" s="1336"/>
      <c r="R22" s="1337"/>
      <c r="S22" s="1338"/>
      <c r="T22" s="1336"/>
      <c r="U22" s="1336"/>
      <c r="V22" s="1336"/>
      <c r="W22" s="1338"/>
      <c r="X22" s="1336"/>
      <c r="Y22" s="1339"/>
      <c r="Z22" s="1337"/>
      <c r="AA22" s="1336"/>
      <c r="AB22" s="1336"/>
      <c r="AC22" s="1336"/>
      <c r="AD22" s="1336"/>
      <c r="AE22" s="1291"/>
      <c r="AF22" s="1336"/>
      <c r="AG22" s="1336"/>
      <c r="AH22" s="1336"/>
      <c r="AI22" s="1336"/>
      <c r="AJ22" s="1336"/>
      <c r="AK22" s="1339"/>
    </row>
    <row r="23" spans="1:39" ht="17.25" customHeight="1" x14ac:dyDescent="0.35">
      <c r="A23" s="1317" t="s">
        <v>35</v>
      </c>
      <c r="B23" s="1274"/>
      <c r="C23" s="1336"/>
      <c r="D23" s="1336"/>
      <c r="E23" s="1336"/>
      <c r="F23" s="1292"/>
      <c r="G23" s="1336"/>
      <c r="H23" s="1336"/>
      <c r="I23" s="1336"/>
      <c r="J23" s="1337"/>
      <c r="K23" s="1336"/>
      <c r="L23" s="1336"/>
      <c r="M23" s="1336"/>
      <c r="N23" s="1337"/>
      <c r="O23" s="1336"/>
      <c r="P23" s="1336"/>
      <c r="Q23" s="1336"/>
      <c r="R23" s="1337"/>
      <c r="S23" s="1338"/>
      <c r="T23" s="1336"/>
      <c r="U23" s="1336"/>
      <c r="V23" s="1336"/>
      <c r="W23" s="1338"/>
      <c r="X23" s="1336"/>
      <c r="Y23" s="1339"/>
      <c r="Z23" s="1337"/>
      <c r="AA23" s="1336"/>
      <c r="AB23" s="1336"/>
      <c r="AC23" s="1336"/>
      <c r="AD23" s="1336"/>
      <c r="AE23" s="1291"/>
      <c r="AF23" s="1336"/>
      <c r="AG23" s="1336"/>
      <c r="AH23" s="1336"/>
      <c r="AI23" s="1336"/>
      <c r="AJ23" s="1336"/>
      <c r="AK23" s="1339"/>
    </row>
    <row r="24" spans="1:39" ht="17.25" customHeight="1" x14ac:dyDescent="0.35">
      <c r="A24" s="1272" t="s">
        <v>130</v>
      </c>
      <c r="C24" s="1291"/>
      <c r="D24" s="1291"/>
      <c r="E24" s="1291"/>
      <c r="F24" s="1292"/>
      <c r="G24" s="1291"/>
      <c r="H24" s="1291"/>
      <c r="I24" s="1291"/>
      <c r="J24" s="1292"/>
      <c r="K24" s="1291"/>
      <c r="L24" s="1291"/>
      <c r="M24" s="1291"/>
      <c r="N24" s="1292"/>
      <c r="O24" s="1291"/>
      <c r="P24" s="1291"/>
      <c r="Q24" s="1291"/>
      <c r="R24" s="1292"/>
      <c r="S24" s="1293"/>
      <c r="T24" s="1291"/>
      <c r="U24" s="1291"/>
      <c r="V24" s="1291"/>
      <c r="W24" s="1293"/>
      <c r="X24" s="1291"/>
      <c r="Y24" s="1294"/>
      <c r="Z24" s="2252">
        <v>0</v>
      </c>
      <c r="AA24" s="1280">
        <f>+Z26</f>
        <v>10</v>
      </c>
      <c r="AB24" s="1280">
        <f>+AA26</f>
        <v>20</v>
      </c>
      <c r="AC24" s="1280">
        <f>+AB26</f>
        <v>27.5</v>
      </c>
      <c r="AD24" s="1280">
        <f t="shared" ref="AD24" si="13">+AC26</f>
        <v>35</v>
      </c>
      <c r="AE24" s="1280"/>
      <c r="AF24" s="1291"/>
      <c r="AG24" s="1291"/>
      <c r="AH24" s="1291"/>
      <c r="AI24" s="1291"/>
      <c r="AJ24" s="1291"/>
      <c r="AK24" s="1294"/>
      <c r="AL24" s="1291"/>
      <c r="AM24" s="1291"/>
    </row>
    <row r="25" spans="1:39" s="1317" customFormat="1" ht="17.25" customHeight="1" x14ac:dyDescent="0.65">
      <c r="A25" s="1272" t="s">
        <v>131</v>
      </c>
      <c r="C25" s="1318"/>
      <c r="D25" s="1318"/>
      <c r="E25" s="1318"/>
      <c r="F25" s="1319"/>
      <c r="G25" s="1318"/>
      <c r="H25" s="1318"/>
      <c r="I25" s="1318"/>
      <c r="J25" s="1319"/>
      <c r="K25" s="1318"/>
      <c r="L25" s="1318"/>
      <c r="M25" s="1318"/>
      <c r="N25" s="1319"/>
      <c r="O25" s="1318"/>
      <c r="P25" s="1318"/>
      <c r="Q25" s="1318"/>
      <c r="R25" s="1319"/>
      <c r="S25" s="2350"/>
      <c r="T25" s="1318"/>
      <c r="U25" s="1318"/>
      <c r="V25" s="1318"/>
      <c r="W25" s="2350"/>
      <c r="X25" s="1318"/>
      <c r="Y25" s="2351"/>
      <c r="Z25" s="2354">
        <v>10</v>
      </c>
      <c r="AA25" s="1345">
        <v>10</v>
      </c>
      <c r="AB25" s="1345">
        <v>7.5</v>
      </c>
      <c r="AC25" s="1345">
        <v>7.5</v>
      </c>
      <c r="AD25" s="1345">
        <v>7.5</v>
      </c>
      <c r="AE25" s="2352"/>
      <c r="AF25" s="1318"/>
      <c r="AG25" s="1318"/>
      <c r="AH25" s="1318"/>
      <c r="AI25" s="1318"/>
      <c r="AJ25" s="1318"/>
      <c r="AK25" s="2351"/>
      <c r="AL25" s="1318"/>
      <c r="AM25" s="1318"/>
    </row>
    <row r="26" spans="1:39" s="1307" customFormat="1" ht="17.25" customHeight="1" x14ac:dyDescent="0.35">
      <c r="A26" s="1361" t="s">
        <v>132</v>
      </c>
      <c r="C26" s="1280"/>
      <c r="D26" s="1280"/>
      <c r="E26" s="1280"/>
      <c r="F26" s="1308"/>
      <c r="G26" s="1280"/>
      <c r="H26" s="1280"/>
      <c r="I26" s="1280"/>
      <c r="J26" s="1308"/>
      <c r="K26" s="1280"/>
      <c r="L26" s="1280"/>
      <c r="M26" s="1280"/>
      <c r="N26" s="1308"/>
      <c r="O26" s="1280"/>
      <c r="P26" s="1280"/>
      <c r="Q26" s="1280"/>
      <c r="R26" s="1308"/>
      <c r="S26" s="1309"/>
      <c r="T26" s="1280"/>
      <c r="U26" s="1280"/>
      <c r="V26" s="1280"/>
      <c r="W26" s="1309"/>
      <c r="X26" s="1280"/>
      <c r="Y26" s="1310"/>
      <c r="Z26" s="1308">
        <f>+Z25+Z24</f>
        <v>10</v>
      </c>
      <c r="AA26" s="1280">
        <f>+AA25+AA24</f>
        <v>20</v>
      </c>
      <c r="AB26" s="1280">
        <f>+AB25+AB24</f>
        <v>27.5</v>
      </c>
      <c r="AC26" s="1280">
        <f>+AC25+AC24</f>
        <v>35</v>
      </c>
      <c r="AD26" s="1280">
        <f t="shared" ref="AD26" si="14">+AD25+AD24</f>
        <v>42.5</v>
      </c>
      <c r="AE26" s="1280"/>
      <c r="AF26" s="1280"/>
      <c r="AG26" s="1280"/>
      <c r="AH26" s="1280"/>
      <c r="AI26" s="1280"/>
      <c r="AJ26" s="1280"/>
      <c r="AK26" s="1310"/>
      <c r="AL26" s="1280"/>
      <c r="AM26" s="1280"/>
    </row>
    <row r="27" spans="1:39" s="1307" customFormat="1" ht="17.25" customHeight="1" x14ac:dyDescent="0.65">
      <c r="A27" s="1272" t="s">
        <v>133</v>
      </c>
      <c r="C27" s="1280"/>
      <c r="D27" s="1280"/>
      <c r="E27" s="1280"/>
      <c r="F27" s="1308"/>
      <c r="G27" s="1280"/>
      <c r="H27" s="1280"/>
      <c r="I27" s="1280"/>
      <c r="J27" s="1308"/>
      <c r="K27" s="1280"/>
      <c r="L27" s="1280"/>
      <c r="M27" s="1280"/>
      <c r="N27" s="1308"/>
      <c r="O27" s="1280"/>
      <c r="P27" s="1280"/>
      <c r="Q27" s="1280"/>
      <c r="R27" s="1308"/>
      <c r="S27" s="1309"/>
      <c r="T27" s="1280"/>
      <c r="U27" s="1280"/>
      <c r="V27" s="1280"/>
      <c r="W27" s="1309"/>
      <c r="X27" s="1280"/>
      <c r="Y27" s="1310"/>
      <c r="Z27" s="2251">
        <v>4</v>
      </c>
      <c r="AA27" s="1345">
        <v>4</v>
      </c>
      <c r="AB27" s="1345">
        <v>4</v>
      </c>
      <c r="AC27" s="1345">
        <v>4</v>
      </c>
      <c r="AD27" s="1345">
        <v>4</v>
      </c>
      <c r="AE27" s="1280"/>
      <c r="AF27" s="1280"/>
      <c r="AG27" s="1280"/>
      <c r="AH27" s="1280"/>
      <c r="AI27" s="1280"/>
      <c r="AJ27" s="1280"/>
      <c r="AK27" s="1310"/>
      <c r="AL27" s="1300"/>
      <c r="AM27" s="1280"/>
    </row>
    <row r="28" spans="1:39" ht="17.25" customHeight="1" x14ac:dyDescent="0.35">
      <c r="A28" s="1361" t="s">
        <v>134</v>
      </c>
      <c r="C28" s="1291"/>
      <c r="D28" s="1291"/>
      <c r="E28" s="1291"/>
      <c r="F28" s="1292"/>
      <c r="G28" s="1291"/>
      <c r="H28" s="1291"/>
      <c r="I28" s="1291"/>
      <c r="J28" s="1292"/>
      <c r="K28" s="1291"/>
      <c r="L28" s="1291"/>
      <c r="M28" s="1291"/>
      <c r="N28" s="1292"/>
      <c r="O28" s="1291"/>
      <c r="P28" s="1291"/>
      <c r="Q28" s="1291"/>
      <c r="R28" s="1292"/>
      <c r="S28" s="1293"/>
      <c r="T28" s="1291"/>
      <c r="U28" s="1291"/>
      <c r="V28" s="1291"/>
      <c r="W28" s="1293"/>
      <c r="X28" s="1291"/>
      <c r="Y28" s="1294"/>
      <c r="Z28" s="1308">
        <f>+Z26/Z27</f>
        <v>2.5</v>
      </c>
      <c r="AA28" s="1280">
        <f t="shared" ref="AA28:AD28" si="15">+AA26/AA27</f>
        <v>5</v>
      </c>
      <c r="AB28" s="1280">
        <f t="shared" si="15"/>
        <v>6.875</v>
      </c>
      <c r="AC28" s="1280">
        <f t="shared" si="15"/>
        <v>8.75</v>
      </c>
      <c r="AD28" s="1280">
        <f t="shared" si="15"/>
        <v>10.625</v>
      </c>
      <c r="AE28" s="1280"/>
      <c r="AF28" s="1291"/>
      <c r="AG28" s="1291"/>
      <c r="AH28" s="1291"/>
      <c r="AI28" s="1291"/>
      <c r="AJ28" s="1291"/>
      <c r="AK28" s="1294"/>
      <c r="AL28" s="1291"/>
      <c r="AM28" s="1291"/>
    </row>
    <row r="29" spans="1:39" ht="17.25" customHeight="1" x14ac:dyDescent="0.35">
      <c r="A29" s="1331"/>
      <c r="B29" s="1274"/>
      <c r="C29" s="1336"/>
      <c r="D29" s="1336"/>
      <c r="E29" s="1336"/>
      <c r="F29" s="1292"/>
      <c r="G29" s="1336"/>
      <c r="H29" s="1336"/>
      <c r="I29" s="1336"/>
      <c r="J29" s="1337"/>
      <c r="K29" s="1336"/>
      <c r="L29" s="1336"/>
      <c r="M29" s="1336"/>
      <c r="N29" s="1337"/>
      <c r="O29" s="1336"/>
      <c r="P29" s="1336"/>
      <c r="Q29" s="1336"/>
      <c r="R29" s="1337"/>
      <c r="S29" s="1338"/>
      <c r="T29" s="1336"/>
      <c r="U29" s="1336"/>
      <c r="V29" s="1336"/>
      <c r="W29" s="1338"/>
      <c r="X29" s="1336"/>
      <c r="Y29" s="1339"/>
      <c r="Z29" s="1337"/>
      <c r="AA29" s="1336"/>
      <c r="AB29" s="1336"/>
      <c r="AC29" s="1336"/>
      <c r="AD29" s="1336"/>
      <c r="AE29" s="1291"/>
      <c r="AF29" s="1336"/>
      <c r="AG29" s="1336"/>
      <c r="AH29" s="1336"/>
      <c r="AI29" s="1336"/>
      <c r="AJ29" s="1336"/>
      <c r="AK29" s="1339"/>
    </row>
    <row r="30" spans="1:39" s="1295" customFormat="1" ht="17.25" customHeight="1" x14ac:dyDescent="0.65">
      <c r="A30" s="1272" t="s">
        <v>135</v>
      </c>
      <c r="C30" s="1296"/>
      <c r="D30" s="1296"/>
      <c r="E30" s="1296"/>
      <c r="F30" s="1297"/>
      <c r="G30" s="1296">
        <v>0</v>
      </c>
      <c r="H30" s="1296">
        <v>0</v>
      </c>
      <c r="I30" s="1296">
        <v>0</v>
      </c>
      <c r="J30" s="1297">
        <v>0</v>
      </c>
      <c r="K30" s="1296">
        <v>0</v>
      </c>
      <c r="L30" s="1296">
        <v>0</v>
      </c>
      <c r="M30" s="1296">
        <v>0</v>
      </c>
      <c r="N30" s="1297">
        <v>0</v>
      </c>
      <c r="O30" s="1296">
        <v>0</v>
      </c>
      <c r="P30" s="1296">
        <v>0</v>
      </c>
      <c r="Q30" s="1296">
        <v>0</v>
      </c>
      <c r="R30" s="1297">
        <v>0</v>
      </c>
      <c r="S30" s="1298">
        <v>0</v>
      </c>
      <c r="T30" s="1296">
        <v>0</v>
      </c>
      <c r="U30" s="1296">
        <v>0</v>
      </c>
      <c r="V30" s="1296">
        <v>0</v>
      </c>
      <c r="W30" s="1298">
        <v>0</v>
      </c>
      <c r="X30" s="1296">
        <v>0</v>
      </c>
      <c r="Y30" s="1299">
        <v>0</v>
      </c>
      <c r="Z30" s="1297">
        <f>+Z28/3*2</f>
        <v>1.6666666666666667</v>
      </c>
      <c r="AA30" s="1300">
        <f>+AVERAGE(Z28:AA28)</f>
        <v>3.75</v>
      </c>
      <c r="AB30" s="1300">
        <f t="shared" ref="AB30:AD30" si="16">+AVERAGE(AA28:AB28)</f>
        <v>5.9375</v>
      </c>
      <c r="AC30" s="1300">
        <f t="shared" si="16"/>
        <v>7.8125</v>
      </c>
      <c r="AD30" s="1300">
        <f t="shared" si="16"/>
        <v>9.6875</v>
      </c>
      <c r="AE30" s="1300"/>
      <c r="AF30" s="1296">
        <v>0</v>
      </c>
      <c r="AG30" s="1296">
        <v>0</v>
      </c>
      <c r="AH30" s="1296">
        <v>0</v>
      </c>
      <c r="AI30" s="1296">
        <v>0</v>
      </c>
      <c r="AJ30" s="1296">
        <v>0</v>
      </c>
      <c r="AK30" s="1299">
        <v>0</v>
      </c>
      <c r="AL30" s="1296">
        <f>+SUM(W30:Z30)</f>
        <v>1.6666666666666667</v>
      </c>
      <c r="AM30" s="1296">
        <f>+SUM(AA30:AD30)</f>
        <v>27.1875</v>
      </c>
    </row>
    <row r="31" spans="1:39" s="1307" customFormat="1" ht="17.25" customHeight="1" x14ac:dyDescent="0.35">
      <c r="A31" s="1306" t="s">
        <v>136</v>
      </c>
      <c r="B31" s="1280"/>
      <c r="C31" s="1280">
        <f>+C30+'PF Basic Historical Fin'!C51</f>
        <v>49.111800000000002</v>
      </c>
      <c r="D31" s="1280">
        <f>+D30+'PF Basic Historical Fin'!D51</f>
        <v>68.704800000000006</v>
      </c>
      <c r="E31" s="1280">
        <f>+E30+'PF Basic Historical Fin'!E51</f>
        <v>69.374599999999987</v>
      </c>
      <c r="F31" s="1308">
        <f>+F30+'PF Basic Historical Fin'!F51</f>
        <v>55.5655</v>
      </c>
      <c r="G31" s="1280">
        <f t="shared" ref="G31:AD31" si="17">+G30+G18</f>
        <v>54.801299999999998</v>
      </c>
      <c r="H31" s="1280">
        <f t="shared" si="17"/>
        <v>45.593400000000003</v>
      </c>
      <c r="I31" s="1280">
        <f t="shared" si="17"/>
        <v>73.69</v>
      </c>
      <c r="J31" s="1308">
        <f t="shared" si="17"/>
        <v>72.546400000000006</v>
      </c>
      <c r="K31" s="1280">
        <f t="shared" si="17"/>
        <v>73.394400000000005</v>
      </c>
      <c r="L31" s="1280">
        <f t="shared" si="17"/>
        <v>103.355</v>
      </c>
      <c r="M31" s="1280">
        <f t="shared" si="17"/>
        <v>115.2435</v>
      </c>
      <c r="N31" s="1308">
        <f t="shared" si="17"/>
        <v>113.48699999999999</v>
      </c>
      <c r="O31" s="1280">
        <f t="shared" si="17"/>
        <v>101.23599999999999</v>
      </c>
      <c r="P31" s="1280">
        <f t="shared" si="17"/>
        <v>117.306</v>
      </c>
      <c r="Q31" s="1280">
        <f t="shared" si="17"/>
        <v>117.286</v>
      </c>
      <c r="R31" s="1308">
        <f t="shared" si="17"/>
        <v>111.58499999999999</v>
      </c>
      <c r="S31" s="1309">
        <f t="shared" si="17"/>
        <v>94.114999999999995</v>
      </c>
      <c r="T31" s="1280">
        <f t="shared" si="17"/>
        <v>105.96799999999999</v>
      </c>
      <c r="U31" s="1280">
        <f t="shared" si="17"/>
        <v>112.34699999999999</v>
      </c>
      <c r="V31" s="1280">
        <f t="shared" si="17"/>
        <v>110.14999999999999</v>
      </c>
      <c r="W31" s="1309">
        <f t="shared" si="17"/>
        <v>85.067999999999998</v>
      </c>
      <c r="X31" s="1280">
        <f t="shared" si="17"/>
        <v>102.045</v>
      </c>
      <c r="Y31" s="1310">
        <f t="shared" si="17"/>
        <v>109.33500000000001</v>
      </c>
      <c r="Z31" s="1308">
        <f t="shared" si="17"/>
        <v>108.32683175104989</v>
      </c>
      <c r="AA31" s="1280">
        <f t="shared" si="17"/>
        <v>96.086480729474388</v>
      </c>
      <c r="AB31" s="1280">
        <f t="shared" si="17"/>
        <v>116.21827237836474</v>
      </c>
      <c r="AC31" s="1280">
        <f t="shared" si="17"/>
        <v>128.69759789849812</v>
      </c>
      <c r="AD31" s="1280">
        <f t="shared" si="17"/>
        <v>128.75858969176909</v>
      </c>
      <c r="AE31" s="1280"/>
      <c r="AF31" s="1280">
        <f t="shared" ref="AF31:AM31" si="18">+AF30+AF18</f>
        <v>0</v>
      </c>
      <c r="AG31" s="1280">
        <f t="shared" si="18"/>
        <v>242.75669999999997</v>
      </c>
      <c r="AH31" s="1280">
        <f t="shared" si="18"/>
        <v>246.6311</v>
      </c>
      <c r="AI31" s="1280">
        <f t="shared" si="18"/>
        <v>405.47989999999999</v>
      </c>
      <c r="AJ31" s="1280">
        <f t="shared" si="18"/>
        <v>447.41300000000001</v>
      </c>
      <c r="AK31" s="1310">
        <f t="shared" si="18"/>
        <v>422.58</v>
      </c>
      <c r="AL31" s="1280">
        <f t="shared" si="18"/>
        <v>404.77483175104987</v>
      </c>
      <c r="AM31" s="1280">
        <f t="shared" si="18"/>
        <v>469.76094069810631</v>
      </c>
    </row>
    <row r="32" spans="1:39" ht="17.25" customHeight="1" x14ac:dyDescent="0.35">
      <c r="A32" s="1331" t="s">
        <v>121</v>
      </c>
      <c r="C32" s="1291"/>
      <c r="D32" s="1291"/>
      <c r="E32" s="1291"/>
      <c r="F32" s="1292"/>
      <c r="G32" s="1312"/>
      <c r="H32" s="1312"/>
      <c r="I32" s="1312"/>
      <c r="J32" s="1313"/>
      <c r="K32" s="1312">
        <f t="shared" ref="K32:AD32" si="19">+K31/G31-1</f>
        <v>0.3392820973225088</v>
      </c>
      <c r="L32" s="1312">
        <f t="shared" si="19"/>
        <v>1.2668851193374477</v>
      </c>
      <c r="M32" s="1312">
        <f t="shared" si="19"/>
        <v>0.56389605102456231</v>
      </c>
      <c r="N32" s="1313">
        <f t="shared" si="19"/>
        <v>0.56433675551095552</v>
      </c>
      <c r="O32" s="1312">
        <f t="shared" si="19"/>
        <v>0.3793422931449808</v>
      </c>
      <c r="P32" s="1312">
        <f t="shared" si="19"/>
        <v>0.13498137487301043</v>
      </c>
      <c r="Q32" s="1312">
        <f t="shared" si="19"/>
        <v>1.7723342314317048E-2</v>
      </c>
      <c r="R32" s="1313">
        <f t="shared" si="19"/>
        <v>-1.6759628856168551E-2</v>
      </c>
      <c r="S32" s="1314">
        <f t="shared" si="19"/>
        <v>-7.034059030384443E-2</v>
      </c>
      <c r="T32" s="1312">
        <f t="shared" si="19"/>
        <v>-9.6653197619900211E-2</v>
      </c>
      <c r="U32" s="1312">
        <f t="shared" si="19"/>
        <v>-4.21107378544755E-2</v>
      </c>
      <c r="V32" s="1312">
        <f t="shared" si="19"/>
        <v>-1.2860151454048507E-2</v>
      </c>
      <c r="W32" s="1314">
        <f t="shared" si="19"/>
        <v>-9.6127078574084868E-2</v>
      </c>
      <c r="X32" s="1312">
        <f t="shared" si="19"/>
        <v>-3.7020609995470188E-2</v>
      </c>
      <c r="Y32" s="1315">
        <f t="shared" si="19"/>
        <v>-2.6809794654062746E-2</v>
      </c>
      <c r="Z32" s="1313">
        <f t="shared" si="19"/>
        <v>-1.6551686327281878E-2</v>
      </c>
      <c r="AA32" s="1312">
        <f t="shared" si="19"/>
        <v>0.12952556460095921</v>
      </c>
      <c r="AB32" s="1312">
        <f t="shared" si="19"/>
        <v>0.138892374720611</v>
      </c>
      <c r="AC32" s="1312">
        <f t="shared" si="19"/>
        <v>0.17709423239125721</v>
      </c>
      <c r="AD32" s="1312">
        <f t="shared" si="19"/>
        <v>0.1886121620142478</v>
      </c>
      <c r="AE32" s="1291"/>
      <c r="AF32" s="1312"/>
      <c r="AG32" s="1312"/>
      <c r="AH32" s="1312">
        <f t="shared" ref="AH32:AM32" si="20">+AH31/AG31-1</f>
        <v>1.5960012638168264E-2</v>
      </c>
      <c r="AI32" s="1312">
        <f t="shared" si="20"/>
        <v>0.64407449020014096</v>
      </c>
      <c r="AJ32" s="1312">
        <f t="shared" si="20"/>
        <v>0.10341597696951199</v>
      </c>
      <c r="AK32" s="1315">
        <f t="shared" si="20"/>
        <v>-5.5503528060203977E-2</v>
      </c>
      <c r="AL32" s="1312">
        <f t="shared" si="20"/>
        <v>-4.2134431939396366E-2</v>
      </c>
      <c r="AM32" s="1312">
        <f t="shared" si="20"/>
        <v>0.16054878873255896</v>
      </c>
    </row>
    <row r="33" spans="1:39" ht="17.25" customHeight="1" x14ac:dyDescent="0.35">
      <c r="A33" s="1331" t="s">
        <v>127</v>
      </c>
      <c r="C33" s="1291"/>
      <c r="D33" s="1291"/>
      <c r="E33" s="1291"/>
      <c r="F33" s="1292"/>
      <c r="G33" s="1312">
        <f>+G31/'PF Basic Historical Fin'!G11</f>
        <v>0.23804400234563342</v>
      </c>
      <c r="H33" s="1312">
        <f>+H31/'PF Basic Historical Fin'!H11</f>
        <v>0.23554689921679653</v>
      </c>
      <c r="I33" s="1312">
        <f>+I31/'PF Basic Historical Fin'!I11</f>
        <v>0.28968438200599655</v>
      </c>
      <c r="J33" s="1313">
        <f>+J31/'PF Basic Historical Fin'!J11</f>
        <v>0.25450653277543767</v>
      </c>
      <c r="K33" s="1312">
        <f>+K31/'PF Basic Historical Fin'!K11</f>
        <v>0.27038903625110522</v>
      </c>
      <c r="L33" s="1312">
        <f>+L31/'PF Basic Historical Fin'!L11</f>
        <v>0.30930349479581271</v>
      </c>
      <c r="M33" s="1312">
        <f>+M31/'PF Basic Historical Fin'!M11</f>
        <v>0.31797976955168533</v>
      </c>
      <c r="N33" s="1313">
        <f>+N31/'PF Basic Historical Fin'!N11</f>
        <v>0.29388519296355653</v>
      </c>
      <c r="O33" s="1312">
        <f>+O31/'PF Basic Historical Fin'!O11</f>
        <v>0.26511772854999172</v>
      </c>
      <c r="P33" s="1312">
        <f>+P31/'PF Basic Historical Fin'!P11</f>
        <v>0.28811353008213147</v>
      </c>
      <c r="Q33" s="1312">
        <f>+Q31/'PF Basic Historical Fin'!Q11</f>
        <v>0.28939141591719408</v>
      </c>
      <c r="R33" s="1313">
        <f>+R31/'PF Basic Historical Fin'!R11</f>
        <v>0.29171405042939491</v>
      </c>
      <c r="S33" s="1314">
        <f>+S31/'PF Basic Historical Fin'!S11</f>
        <v>0.26526660541046354</v>
      </c>
      <c r="T33" s="1312">
        <f>+T31/'PF Basic Historical Fin'!T11</f>
        <v>0.28205558172899048</v>
      </c>
      <c r="U33" s="1312">
        <f>+U31/'PF Basic Historical Fin'!U11</f>
        <v>0.29492820203186937</v>
      </c>
      <c r="V33" s="1312">
        <f>+V31/'PF Basic Historical Fin'!V11</f>
        <v>0.29611966299082204</v>
      </c>
      <c r="W33" s="1314">
        <f>+W31/'PF Basic Historical Fin'!W11</f>
        <v>0.23934836740148843</v>
      </c>
      <c r="X33" s="1312">
        <f>+X31/'PF Basic Historical Fin'!X11</f>
        <v>0.26500101279234645</v>
      </c>
      <c r="Y33" s="1315">
        <f>+Y31/'PF Basic Historical Fin'!Y11</f>
        <v>0.27706471305233654</v>
      </c>
      <c r="Z33" s="1313">
        <f>+Z31/'PF Basic Historical Fin'!Z11</f>
        <v>0.28095133047983306</v>
      </c>
      <c r="AA33" s="1312">
        <f>+AA31/'PF Basic Historical Fin'!AA11</f>
        <v>0.25937311798601181</v>
      </c>
      <c r="AB33" s="1312">
        <f>+AB31/'PF Basic Historical Fin'!AB11</f>
        <v>0.28628156840766122</v>
      </c>
      <c r="AC33" s="1312">
        <f>+AC31/'PF Basic Historical Fin'!AC11</f>
        <v>0.3049102056346184</v>
      </c>
      <c r="AD33" s="1312">
        <f>+AD31/'PF Basic Historical Fin'!AD11</f>
        <v>0.30852237242962149</v>
      </c>
      <c r="AE33" s="1291"/>
      <c r="AF33" s="1312">
        <f>+AF31/'PF Basic Historical Fin'!AF11</f>
        <v>0</v>
      </c>
      <c r="AG33" s="1312">
        <f>+AG31/'PF Basic Historical Fin'!AG11</f>
        <v>0.2479936817755265</v>
      </c>
      <c r="AH33" s="1312">
        <f>+AH31/'PF Basic Historical Fin'!AH11</f>
        <v>0.25605212838034958</v>
      </c>
      <c r="AI33" s="1312">
        <f>+AI31/'PF Basic Historical Fin'!AI11</f>
        <v>0.29942858366582259</v>
      </c>
      <c r="AJ33" s="1312">
        <f>+AJ31/'PF Basic Historical Fin'!AJ11</f>
        <v>0.28374656346219096</v>
      </c>
      <c r="AK33" s="1315">
        <f>+AK31/'PF Basic Historical Fin'!AK11</f>
        <v>0.28487239795577862</v>
      </c>
      <c r="AL33" s="1312">
        <f>+AL31/'PF Basic Historical Fin'!AL11</f>
        <v>0.26618023470867364</v>
      </c>
      <c r="AM33" s="1312">
        <f>+AM31/'PF Basic Historical Fin'!AM11</f>
        <v>0.2907228541236252</v>
      </c>
    </row>
    <row r="34" spans="1:39" ht="17.25" customHeight="1" x14ac:dyDescent="0.35">
      <c r="A34" s="1331"/>
      <c r="C34" s="1291"/>
      <c r="D34" s="1291"/>
      <c r="E34" s="1291"/>
      <c r="F34" s="1292"/>
      <c r="G34" s="1312"/>
      <c r="H34" s="1312"/>
      <c r="I34" s="1312"/>
      <c r="J34" s="1313"/>
      <c r="K34" s="1312"/>
      <c r="L34" s="1312"/>
      <c r="M34" s="1312"/>
      <c r="N34" s="1313"/>
      <c r="O34" s="1312"/>
      <c r="P34" s="1312"/>
      <c r="Q34" s="1312"/>
      <c r="R34" s="1313"/>
      <c r="S34" s="1314"/>
      <c r="T34" s="1312"/>
      <c r="U34" s="1312"/>
      <c r="V34" s="1312"/>
      <c r="W34" s="1314"/>
      <c r="X34" s="1312"/>
      <c r="Y34" s="1315"/>
      <c r="Z34" s="1313"/>
      <c r="AA34" s="1312"/>
      <c r="AB34" s="1312"/>
      <c r="AC34" s="1312"/>
      <c r="AD34" s="1312"/>
      <c r="AE34" s="1291"/>
      <c r="AF34" s="1312"/>
      <c r="AG34" s="1312"/>
      <c r="AH34" s="1312"/>
      <c r="AI34" s="1312"/>
      <c r="AJ34" s="1312"/>
      <c r="AK34" s="1315"/>
      <c r="AL34" s="1312"/>
      <c r="AM34" s="1312"/>
    </row>
    <row r="35" spans="1:39" s="1307" customFormat="1" ht="17.25" customHeight="1" x14ac:dyDescent="0.35">
      <c r="A35" s="1272" t="s">
        <v>37</v>
      </c>
      <c r="C35" s="1280">
        <f>'PF Basic Historical Fin'!C71</f>
        <v>0.87109999999999999</v>
      </c>
      <c r="D35" s="1280">
        <f>'PF Basic Historical Fin'!D71</f>
        <v>0.55659999999999998</v>
      </c>
      <c r="E35" s="1280">
        <f>'PF Basic Historical Fin'!E71</f>
        <v>0.52290000000000003</v>
      </c>
      <c r="F35" s="1308">
        <f>'PF Basic Historical Fin'!F71</f>
        <v>0.76800000000000002</v>
      </c>
      <c r="G35" s="1280">
        <f>'PF Basic Historical Fin'!G71</f>
        <v>4.8020999999999994</v>
      </c>
      <c r="H35" s="1280">
        <f>'PF Basic Historical Fin'!H71</f>
        <v>1.161</v>
      </c>
      <c r="I35" s="1280">
        <f>'PF Basic Historical Fin'!I71</f>
        <v>1.1002000000000001</v>
      </c>
      <c r="J35" s="1308">
        <f>'PF Basic Historical Fin'!J71</f>
        <v>2.2534000000000001</v>
      </c>
      <c r="K35" s="1280">
        <f>'PF Basic Historical Fin'!K71</f>
        <v>1.4615</v>
      </c>
      <c r="L35" s="1280">
        <f>'PF Basic Historical Fin'!L71</f>
        <v>3.42</v>
      </c>
      <c r="M35" s="1280">
        <f>'PF Basic Historical Fin'!M71</f>
        <v>6.4509999999999996</v>
      </c>
      <c r="N35" s="1308">
        <f>'PF Basic Historical Fin'!N71</f>
        <v>10.305</v>
      </c>
      <c r="O35" s="1280">
        <f>'PF Basic Historical Fin'!O71</f>
        <v>6.9669999999999996</v>
      </c>
      <c r="P35" s="1280">
        <f>'PF Basic Historical Fin'!P71</f>
        <v>7.9659999999999993</v>
      </c>
      <c r="Q35" s="1280">
        <f>'PF Basic Historical Fin'!Q71</f>
        <v>8.3149999999999995</v>
      </c>
      <c r="R35" s="1308">
        <f>'PF Basic Historical Fin'!R71</f>
        <v>8.4130000000000003</v>
      </c>
      <c r="S35" s="1309">
        <f>'PF Basic Historical Fin'!S71</f>
        <v>7.1659999999999995</v>
      </c>
      <c r="T35" s="1280">
        <f>'PF Basic Historical Fin'!T71</f>
        <v>12.959</v>
      </c>
      <c r="U35" s="1280">
        <f>'PF Basic Historical Fin'!U71</f>
        <v>14.573</v>
      </c>
      <c r="V35" s="1280">
        <f>'PF Basic Historical Fin'!V71</f>
        <v>15.216999999999995</v>
      </c>
      <c r="W35" s="1309">
        <f>'PF Basic Historical Fin'!W71</f>
        <v>9.7510000000000012</v>
      </c>
      <c r="X35" s="1280">
        <f>'PF Basic Historical Fin'!X71</f>
        <v>10.048</v>
      </c>
      <c r="Y35" s="1310">
        <f>'PF Basic Historical Fin'!Y71</f>
        <v>10</v>
      </c>
      <c r="Z35" s="1308">
        <f>'PF Basic Historical Fin'!Z71</f>
        <v>10</v>
      </c>
      <c r="AA35" s="1280">
        <f>'PF Basic Historical Fin'!AA71</f>
        <v>10</v>
      </c>
      <c r="AB35" s="1280">
        <f>'PF Basic Historical Fin'!AB71</f>
        <v>10.49498735827013</v>
      </c>
      <c r="AC35" s="1280">
        <f>'PF Basic Historical Fin'!AC71</f>
        <v>10.998557535030503</v>
      </c>
      <c r="AD35" s="1280">
        <f>'PF Basic Historical Fin'!AD71</f>
        <v>11.317362695897542</v>
      </c>
      <c r="AE35" s="1280"/>
      <c r="AF35" s="1280"/>
      <c r="AG35" s="1280">
        <f>'PF Basic Historical Fin'!AG71</f>
        <v>2.7186000000000003</v>
      </c>
      <c r="AH35" s="1280">
        <f>'PF Basic Historical Fin'!AH71</f>
        <v>9.3167000000000009</v>
      </c>
      <c r="AI35" s="1280">
        <f>'PF Basic Historical Fin'!AI71</f>
        <v>21.637500000000003</v>
      </c>
      <c r="AJ35" s="1280">
        <f>'PF Basic Historical Fin'!AJ71</f>
        <v>31.661000000000001</v>
      </c>
      <c r="AK35" s="1310">
        <f>'PF Basic Historical Fin'!AK71</f>
        <v>49.914999999999999</v>
      </c>
      <c r="AL35" s="1280">
        <f>'PF Basic Historical Fin'!AL71</f>
        <v>39.798999999999999</v>
      </c>
      <c r="AM35" s="1280">
        <f>'PF Basic Historical Fin'!AM71</f>
        <v>42.810907589198173</v>
      </c>
    </row>
    <row r="36" spans="1:39" ht="17.25" customHeight="1" x14ac:dyDescent="0.35">
      <c r="A36" s="1316" t="s">
        <v>41</v>
      </c>
      <c r="C36" s="1312">
        <f t="shared" ref="C36:AD36" si="21">+C35/C8</f>
        <v>3.9558054203298696E-3</v>
      </c>
      <c r="D36" s="1312">
        <f t="shared" si="21"/>
        <v>2.1911548362283004E-3</v>
      </c>
      <c r="E36" s="1312">
        <f t="shared" si="21"/>
        <v>2.0383239200372034E-3</v>
      </c>
      <c r="F36" s="1313">
        <f t="shared" si="21"/>
        <v>3.0952889540905781E-3</v>
      </c>
      <c r="G36" s="1312">
        <f t="shared" si="21"/>
        <v>2.0859196837738632E-2</v>
      </c>
      <c r="H36" s="1312">
        <f t="shared" si="21"/>
        <v>5.9980161600297578E-3</v>
      </c>
      <c r="I36" s="1312">
        <f t="shared" si="21"/>
        <v>4.3250204516623349E-3</v>
      </c>
      <c r="J36" s="1313">
        <f t="shared" si="21"/>
        <v>7.9053546551747737E-3</v>
      </c>
      <c r="K36" s="1312">
        <f t="shared" si="21"/>
        <v>5.384246979074565E-3</v>
      </c>
      <c r="L36" s="1312">
        <f t="shared" si="21"/>
        <v>1.0234801917678674E-2</v>
      </c>
      <c r="M36" s="1312">
        <f t="shared" si="21"/>
        <v>1.7799593845882172E-2</v>
      </c>
      <c r="N36" s="1313">
        <f t="shared" si="21"/>
        <v>2.6685760602443011E-2</v>
      </c>
      <c r="O36" s="1312">
        <f t="shared" si="21"/>
        <v>1.8245240969692524E-2</v>
      </c>
      <c r="P36" s="1312">
        <f t="shared" si="21"/>
        <v>1.9565174676779186E-2</v>
      </c>
      <c r="Q36" s="1312">
        <f t="shared" si="21"/>
        <v>2.0516426712066816E-2</v>
      </c>
      <c r="R36" s="1313">
        <f t="shared" si="21"/>
        <v>2.1993908735605142E-2</v>
      </c>
      <c r="S36" s="1314">
        <f t="shared" si="21"/>
        <v>2.0197635811203121E-2</v>
      </c>
      <c r="T36" s="1312">
        <f t="shared" si="21"/>
        <v>3.4493038309923639E-2</v>
      </c>
      <c r="U36" s="1312">
        <f t="shared" si="21"/>
        <v>3.8256372561888012E-2</v>
      </c>
      <c r="V36" s="1312">
        <f t="shared" si="21"/>
        <v>4.0908333288527811E-2</v>
      </c>
      <c r="W36" s="1314">
        <f t="shared" si="21"/>
        <v>2.7435533109182231E-2</v>
      </c>
      <c r="X36" s="1312">
        <f t="shared" si="21"/>
        <v>2.6093685888946023E-2</v>
      </c>
      <c r="Y36" s="1315">
        <f t="shared" si="21"/>
        <v>2.5340898436213156E-2</v>
      </c>
      <c r="Z36" s="1313">
        <f t="shared" si="21"/>
        <v>2.59355254777042E-2</v>
      </c>
      <c r="AA36" s="1312">
        <f t="shared" si="21"/>
        <v>2.69937160791913E-2</v>
      </c>
      <c r="AB36" s="1312">
        <f t="shared" si="21"/>
        <v>2.5852401518777636E-2</v>
      </c>
      <c r="AC36" s="1312">
        <f t="shared" si="21"/>
        <v>2.6057770264952772E-2</v>
      </c>
      <c r="AD36" s="1312">
        <f t="shared" si="21"/>
        <v>2.7117876927227724E-2</v>
      </c>
      <c r="AE36" s="1291"/>
      <c r="AF36" s="1312"/>
      <c r="AG36" s="1312">
        <f t="shared" ref="AG36:AM36" si="22">+AG35/AG8</f>
        <v>2.7772482624576233E-3</v>
      </c>
      <c r="AH36" s="1312">
        <f t="shared" si="22"/>
        <v>9.6725873763738764E-3</v>
      </c>
      <c r="AI36" s="1312">
        <f t="shared" si="22"/>
        <v>1.59783160128757E-2</v>
      </c>
      <c r="AJ36" s="1312">
        <f t="shared" si="22"/>
        <v>2.0079210809199617E-2</v>
      </c>
      <c r="AK36" s="1315">
        <f t="shared" si="22"/>
        <v>3.364902679720453E-2</v>
      </c>
      <c r="AL36" s="1312">
        <f t="shared" si="22"/>
        <v>2.6171852423092324E-2</v>
      </c>
      <c r="AM36" s="1312">
        <f t="shared" si="22"/>
        <v>2.6494559601865666E-2</v>
      </c>
    </row>
    <row r="37" spans="1:39" ht="17.25" customHeight="1" x14ac:dyDescent="0.35">
      <c r="A37" s="1344"/>
      <c r="C37" s="1291"/>
      <c r="D37" s="1291"/>
      <c r="E37" s="1291"/>
      <c r="F37" s="1292"/>
      <c r="G37" s="1312"/>
      <c r="H37" s="1312"/>
      <c r="I37" s="1312"/>
      <c r="J37" s="1313"/>
      <c r="K37" s="1312"/>
      <c r="L37" s="1312"/>
      <c r="M37" s="1312"/>
      <c r="N37" s="1313"/>
      <c r="O37" s="1312"/>
      <c r="P37" s="1312"/>
      <c r="Q37" s="1312"/>
      <c r="R37" s="1313"/>
      <c r="S37" s="1314"/>
      <c r="T37" s="1312"/>
      <c r="U37" s="1312"/>
      <c r="V37" s="1312"/>
      <c r="W37" s="1314"/>
      <c r="X37" s="1312"/>
      <c r="Y37" s="1315"/>
      <c r="Z37" s="1313"/>
      <c r="AA37" s="1312"/>
      <c r="AB37" s="1312"/>
      <c r="AC37" s="1312"/>
      <c r="AD37" s="1312"/>
      <c r="AE37" s="1291"/>
      <c r="AF37" s="1312"/>
      <c r="AG37" s="1312"/>
      <c r="AH37" s="1312"/>
      <c r="AI37" s="1312"/>
      <c r="AJ37" s="1312"/>
      <c r="AK37" s="1315"/>
      <c r="AL37" s="1312"/>
      <c r="AM37" s="1312"/>
    </row>
    <row r="38" spans="1:39" s="1307" customFormat="1" ht="17.25" customHeight="1" x14ac:dyDescent="0.35">
      <c r="A38" s="1272" t="s">
        <v>137</v>
      </c>
      <c r="C38" s="1280">
        <f>+C31-C35</f>
        <v>48.240700000000004</v>
      </c>
      <c r="D38" s="1280">
        <f t="shared" ref="D38:AD38" si="23">+D31-D35</f>
        <v>68.148200000000003</v>
      </c>
      <c r="E38" s="1280">
        <f t="shared" si="23"/>
        <v>68.85169999999998</v>
      </c>
      <c r="F38" s="1308">
        <f t="shared" si="23"/>
        <v>54.797499999999999</v>
      </c>
      <c r="G38" s="1280">
        <f t="shared" si="23"/>
        <v>49.999200000000002</v>
      </c>
      <c r="H38" s="1280">
        <f t="shared" si="23"/>
        <v>44.432400000000001</v>
      </c>
      <c r="I38" s="1280">
        <f t="shared" si="23"/>
        <v>72.589799999999997</v>
      </c>
      <c r="J38" s="1308">
        <f t="shared" si="23"/>
        <v>70.293000000000006</v>
      </c>
      <c r="K38" s="1280">
        <f t="shared" si="23"/>
        <v>71.932900000000004</v>
      </c>
      <c r="L38" s="1280">
        <f t="shared" si="23"/>
        <v>99.935000000000002</v>
      </c>
      <c r="M38" s="1280">
        <f t="shared" si="23"/>
        <v>108.7925</v>
      </c>
      <c r="N38" s="1308">
        <f t="shared" si="23"/>
        <v>103.18199999999999</v>
      </c>
      <c r="O38" s="1280">
        <f t="shared" si="23"/>
        <v>94.268999999999991</v>
      </c>
      <c r="P38" s="1280">
        <f t="shared" si="23"/>
        <v>109.34</v>
      </c>
      <c r="Q38" s="1280">
        <f t="shared" si="23"/>
        <v>108.971</v>
      </c>
      <c r="R38" s="1308">
        <f t="shared" si="23"/>
        <v>103.172</v>
      </c>
      <c r="S38" s="1309">
        <f t="shared" si="23"/>
        <v>86.948999999999998</v>
      </c>
      <c r="T38" s="1280">
        <f t="shared" si="23"/>
        <v>93.008999999999986</v>
      </c>
      <c r="U38" s="1280">
        <f t="shared" si="23"/>
        <v>97.774000000000001</v>
      </c>
      <c r="V38" s="1280">
        <f t="shared" si="23"/>
        <v>94.932999999999993</v>
      </c>
      <c r="W38" s="1309">
        <f t="shared" si="23"/>
        <v>75.316999999999993</v>
      </c>
      <c r="X38" s="1280">
        <f t="shared" si="23"/>
        <v>91.997</v>
      </c>
      <c r="Y38" s="1310">
        <f t="shared" si="23"/>
        <v>99.335000000000008</v>
      </c>
      <c r="Z38" s="1308">
        <f t="shared" si="23"/>
        <v>98.326831751049895</v>
      </c>
      <c r="AA38" s="1280">
        <f t="shared" si="23"/>
        <v>86.086480729474388</v>
      </c>
      <c r="AB38" s="1280">
        <f t="shared" si="23"/>
        <v>105.72328502009461</v>
      </c>
      <c r="AC38" s="1280">
        <f t="shared" si="23"/>
        <v>117.69904036346762</v>
      </c>
      <c r="AD38" s="1280">
        <f t="shared" si="23"/>
        <v>117.44122699587155</v>
      </c>
      <c r="AE38" s="1280"/>
      <c r="AF38" s="1280"/>
      <c r="AG38" s="1280">
        <f t="shared" ref="AG38:AM38" si="24">+AG31-AG35</f>
        <v>240.03809999999996</v>
      </c>
      <c r="AH38" s="1280">
        <f t="shared" si="24"/>
        <v>237.31440000000001</v>
      </c>
      <c r="AI38" s="1280">
        <f t="shared" si="24"/>
        <v>383.8424</v>
      </c>
      <c r="AJ38" s="1280">
        <f t="shared" si="24"/>
        <v>415.75200000000001</v>
      </c>
      <c r="AK38" s="1310">
        <f t="shared" si="24"/>
        <v>372.66499999999996</v>
      </c>
      <c r="AL38" s="1280">
        <f t="shared" si="24"/>
        <v>364.9758317510499</v>
      </c>
      <c r="AM38" s="1280">
        <f t="shared" si="24"/>
        <v>426.95003310890814</v>
      </c>
    </row>
    <row r="39" spans="1:39" ht="17.25" customHeight="1" x14ac:dyDescent="0.35">
      <c r="A39" s="1316" t="s">
        <v>121</v>
      </c>
      <c r="C39" s="1291"/>
      <c r="D39" s="1291"/>
      <c r="E39" s="1291"/>
      <c r="F39" s="1292"/>
      <c r="G39" s="1312">
        <f t="shared" ref="G39:AD39" si="25">+G38/C38-1</f>
        <v>3.6452621956148956E-2</v>
      </c>
      <c r="H39" s="1312">
        <f t="shared" si="25"/>
        <v>-0.3480033221713853</v>
      </c>
      <c r="I39" s="1312">
        <f t="shared" si="25"/>
        <v>5.4292050886180165E-2</v>
      </c>
      <c r="J39" s="1313">
        <f t="shared" si="25"/>
        <v>0.28277749897349347</v>
      </c>
      <c r="K39" s="1312">
        <f t="shared" si="25"/>
        <v>0.4386810188963024</v>
      </c>
      <c r="L39" s="1312">
        <f t="shared" si="25"/>
        <v>1.2491470188421063</v>
      </c>
      <c r="M39" s="1312">
        <f t="shared" si="25"/>
        <v>0.49872984909725626</v>
      </c>
      <c r="N39" s="1313">
        <f t="shared" si="25"/>
        <v>0.46788442661431406</v>
      </c>
      <c r="O39" s="1312">
        <f t="shared" si="25"/>
        <v>0.31051299196890425</v>
      </c>
      <c r="P39" s="1312">
        <f t="shared" si="25"/>
        <v>9.41111722619703E-2</v>
      </c>
      <c r="Q39" s="1312">
        <f t="shared" si="25"/>
        <v>1.6407381023508805E-3</v>
      </c>
      <c r="R39" s="1313">
        <f t="shared" si="25"/>
        <v>-9.6916128782043032E-5</v>
      </c>
      <c r="S39" s="1314">
        <f t="shared" si="25"/>
        <v>-7.7650128886484371E-2</v>
      </c>
      <c r="T39" s="1312">
        <f t="shared" si="25"/>
        <v>-0.1493597951344432</v>
      </c>
      <c r="U39" s="1312">
        <f t="shared" si="25"/>
        <v>-0.10275210835910475</v>
      </c>
      <c r="V39" s="1312">
        <f t="shared" si="25"/>
        <v>-7.9856937928895477E-2</v>
      </c>
      <c r="W39" s="1314">
        <f t="shared" si="25"/>
        <v>-0.1337795719329723</v>
      </c>
      <c r="X39" s="1312">
        <f t="shared" si="25"/>
        <v>-1.088066746228844E-2</v>
      </c>
      <c r="Y39" s="1315">
        <f t="shared" si="25"/>
        <v>1.5965389571869881E-2</v>
      </c>
      <c r="Z39" s="1313">
        <f t="shared" si="25"/>
        <v>3.5749757734927723E-2</v>
      </c>
      <c r="AA39" s="1312">
        <f t="shared" si="25"/>
        <v>0.14298871077544772</v>
      </c>
      <c r="AB39" s="1312">
        <f t="shared" si="25"/>
        <v>0.14920361555370953</v>
      </c>
      <c r="AC39" s="1312">
        <f t="shared" si="25"/>
        <v>0.18486978772303431</v>
      </c>
      <c r="AD39" s="1312">
        <f t="shared" si="25"/>
        <v>0.19439653352420305</v>
      </c>
      <c r="AE39" s="1291"/>
      <c r="AF39" s="1312"/>
      <c r="AG39" s="1312"/>
      <c r="AH39" s="1312">
        <f t="shared" ref="AH39:AM39" si="26">+AH38/AG38-1</f>
        <v>-1.1346948671898116E-2</v>
      </c>
      <c r="AI39" s="1312">
        <f t="shared" si="26"/>
        <v>0.61744251507704551</v>
      </c>
      <c r="AJ39" s="1312">
        <f t="shared" si="26"/>
        <v>8.313203543954506E-2</v>
      </c>
      <c r="AK39" s="1315">
        <f t="shared" si="26"/>
        <v>-0.10363630241105282</v>
      </c>
      <c r="AL39" s="1312">
        <f t="shared" si="26"/>
        <v>-2.0632922997732783E-2</v>
      </c>
      <c r="AM39" s="1312">
        <f t="shared" si="26"/>
        <v>0.1698035759259009</v>
      </c>
    </row>
    <row r="40" spans="1:39" ht="17.25" customHeight="1" x14ac:dyDescent="0.35">
      <c r="A40" s="1316" t="s">
        <v>127</v>
      </c>
      <c r="C40" s="1312">
        <f t="shared" ref="C40:AD40" si="27">+C38/C8</f>
        <v>0.21906878950810146</v>
      </c>
      <c r="D40" s="1312">
        <f t="shared" si="27"/>
        <v>0.26827750271335515</v>
      </c>
      <c r="E40" s="1312">
        <f t="shared" si="27"/>
        <v>0.2683917901037014</v>
      </c>
      <c r="F40" s="1313">
        <f t="shared" si="27"/>
        <v>0.22085168810127404</v>
      </c>
      <c r="G40" s="1312">
        <f t="shared" si="27"/>
        <v>0.21718480550789479</v>
      </c>
      <c r="H40" s="1312">
        <f t="shared" si="27"/>
        <v>0.22954888305676677</v>
      </c>
      <c r="I40" s="1312">
        <f t="shared" si="27"/>
        <v>0.28535936155433422</v>
      </c>
      <c r="J40" s="1313">
        <f t="shared" si="27"/>
        <v>0.24660117812026291</v>
      </c>
      <c r="K40" s="1312">
        <f t="shared" si="27"/>
        <v>0.26500478927203069</v>
      </c>
      <c r="L40" s="1312">
        <f t="shared" si="27"/>
        <v>0.29906869287813403</v>
      </c>
      <c r="M40" s="1312">
        <f t="shared" si="27"/>
        <v>0.30018017570580319</v>
      </c>
      <c r="N40" s="1313">
        <f t="shared" si="27"/>
        <v>0.26719943236111349</v>
      </c>
      <c r="O40" s="1312">
        <f t="shared" si="27"/>
        <v>0.2468724875802992</v>
      </c>
      <c r="P40" s="1312">
        <f t="shared" si="27"/>
        <v>0.26854835540535227</v>
      </c>
      <c r="Q40" s="1312">
        <f t="shared" si="27"/>
        <v>0.26887498920512731</v>
      </c>
      <c r="R40" s="1313">
        <f t="shared" si="27"/>
        <v>0.26972014169378977</v>
      </c>
      <c r="S40" s="1314">
        <f t="shared" si="27"/>
        <v>0.24506896959926042</v>
      </c>
      <c r="T40" s="1312">
        <f t="shared" si="27"/>
        <v>0.24756254341906686</v>
      </c>
      <c r="U40" s="1312">
        <f t="shared" si="27"/>
        <v>0.25667182946998135</v>
      </c>
      <c r="V40" s="1312">
        <f t="shared" si="27"/>
        <v>0.25521132970229421</v>
      </c>
      <c r="W40" s="1314">
        <f t="shared" si="27"/>
        <v>0.21191283429230617</v>
      </c>
      <c r="X40" s="1312">
        <f t="shared" si="27"/>
        <v>0.23890732690340041</v>
      </c>
      <c r="Y40" s="1315">
        <f t="shared" si="27"/>
        <v>0.25172381461612342</v>
      </c>
      <c r="Z40" s="1313">
        <f t="shared" si="27"/>
        <v>0.25501580500212889</v>
      </c>
      <c r="AA40" s="1312">
        <f t="shared" si="27"/>
        <v>0.23237940190682049</v>
      </c>
      <c r="AB40" s="1312">
        <f t="shared" si="27"/>
        <v>0.26042916688888357</v>
      </c>
      <c r="AC40" s="1312">
        <f t="shared" si="27"/>
        <v>0.27885243536966564</v>
      </c>
      <c r="AD40" s="1312">
        <f t="shared" si="27"/>
        <v>0.28140449550239377</v>
      </c>
      <c r="AE40" s="1291"/>
      <c r="AF40" s="1312"/>
      <c r="AG40" s="1312">
        <f t="shared" ref="AG40:AM40" si="28">+AG38/AG8</f>
        <v>0.24521643351306885</v>
      </c>
      <c r="AH40" s="1312">
        <f t="shared" si="28"/>
        <v>0.24637954100397569</v>
      </c>
      <c r="AI40" s="1312">
        <f t="shared" si="28"/>
        <v>0.2834502676529469</v>
      </c>
      <c r="AJ40" s="1312">
        <f t="shared" si="28"/>
        <v>0.26366735265299135</v>
      </c>
      <c r="AK40" s="1315">
        <f t="shared" si="28"/>
        <v>0.25122337115857407</v>
      </c>
      <c r="AL40" s="1312">
        <f t="shared" si="28"/>
        <v>0.24000838228558136</v>
      </c>
      <c r="AM40" s="1312">
        <f t="shared" si="28"/>
        <v>0.26422829452175955</v>
      </c>
    </row>
    <row r="41" spans="1:39" ht="17.25" customHeight="1" x14ac:dyDescent="0.35">
      <c r="A41" s="1331"/>
      <c r="C41" s="1332"/>
      <c r="D41" s="1332"/>
      <c r="E41" s="1332"/>
      <c r="F41" s="1333"/>
      <c r="G41" s="1332"/>
      <c r="H41" s="1332"/>
      <c r="I41" s="1332"/>
      <c r="J41" s="1333"/>
      <c r="K41" s="1332"/>
      <c r="L41" s="1332"/>
      <c r="M41" s="1332"/>
      <c r="N41" s="1333"/>
      <c r="O41" s="1332"/>
      <c r="P41" s="1332"/>
      <c r="Q41" s="1332"/>
      <c r="R41" s="1333"/>
      <c r="S41" s="1334"/>
      <c r="T41" s="1332"/>
      <c r="U41" s="1332"/>
      <c r="V41" s="1332"/>
      <c r="W41" s="1334"/>
      <c r="X41" s="1332"/>
      <c r="Y41" s="1335"/>
      <c r="Z41" s="1333"/>
      <c r="AA41" s="1332"/>
      <c r="AB41" s="1332"/>
      <c r="AC41" s="1332"/>
      <c r="AD41" s="1332"/>
      <c r="AE41" s="1291"/>
      <c r="AF41" s="1332"/>
      <c r="AG41" s="1332"/>
      <c r="AH41" s="1332"/>
      <c r="AI41" s="1332"/>
      <c r="AJ41" s="1332"/>
      <c r="AK41" s="1335"/>
      <c r="AL41" s="1332"/>
      <c r="AM41" s="1332"/>
    </row>
    <row r="42" spans="1:39" s="1307" customFormat="1" ht="17.25" customHeight="1" x14ac:dyDescent="0.35">
      <c r="A42" s="1272" t="s">
        <v>40</v>
      </c>
      <c r="C42" s="1280"/>
      <c r="D42" s="1280"/>
      <c r="E42" s="1280"/>
      <c r="F42" s="1308"/>
      <c r="G42" s="1280">
        <f>'PF Basic Historical Fin'!G96</f>
        <v>10.908000000000001</v>
      </c>
      <c r="H42" s="1280">
        <f>'PF Basic Historical Fin'!H96</f>
        <v>8.9579999999999984</v>
      </c>
      <c r="I42" s="1280">
        <f>'PF Basic Historical Fin'!I96</f>
        <v>8.7870000000000026</v>
      </c>
      <c r="J42" s="1308">
        <f>'PF Basic Historical Fin'!J96</f>
        <v>8.267000000000003</v>
      </c>
      <c r="K42" s="1280">
        <f>'PF Basic Historical Fin'!K96</f>
        <v>9.6229999999999993</v>
      </c>
      <c r="L42" s="1280">
        <f>'PF Basic Historical Fin'!L96</f>
        <v>11.9201</v>
      </c>
      <c r="M42" s="1280">
        <f>'PF Basic Historical Fin'!M96</f>
        <v>12.0579</v>
      </c>
      <c r="N42" s="1308">
        <f>'PF Basic Historical Fin'!N96</f>
        <v>10.943000000000001</v>
      </c>
      <c r="O42" s="1280">
        <f>'PF Basic Historical Fin'!O96</f>
        <v>13.026999999999999</v>
      </c>
      <c r="P42" s="1280">
        <f>'PF Basic Historical Fin'!P96</f>
        <v>13.715</v>
      </c>
      <c r="Q42" s="1280">
        <f>'PF Basic Historical Fin'!Q96</f>
        <v>10.889000000000001</v>
      </c>
      <c r="R42" s="1308">
        <f>'PF Basic Historical Fin'!R96</f>
        <v>12.453000000000001</v>
      </c>
      <c r="S42" s="1309">
        <f>'PF Basic Historical Fin'!S96</f>
        <v>11.372</v>
      </c>
      <c r="T42" s="1280">
        <f>'PF Basic Historical Fin'!T96</f>
        <v>11.024000000000001</v>
      </c>
      <c r="U42" s="1280">
        <f>'PF Basic Historical Fin'!U96</f>
        <v>13.020999999999999</v>
      </c>
      <c r="V42" s="1280">
        <f>'PF Basic Historical Fin'!V96</f>
        <v>12.747999999999998</v>
      </c>
      <c r="W42" s="1309">
        <f>'PF Basic Historical Fin'!W96</f>
        <v>12.076000000000001</v>
      </c>
      <c r="X42" s="1280">
        <f>'PF Basic Historical Fin'!X96</f>
        <v>13.136000000000001</v>
      </c>
      <c r="Y42" s="1310">
        <f>'PF Basic Historical Fin'!Y96</f>
        <v>13.106</v>
      </c>
      <c r="Z42" s="1308">
        <f>'PF Basic Historical Fin'!Z96</f>
        <v>13.470448223059483</v>
      </c>
      <c r="AA42" s="1280">
        <f>'PF Basic Historical Fin'!AA96</f>
        <v>12.046730218701136</v>
      </c>
      <c r="AB42" s="1280">
        <f>'PF Basic Historical Fin'!AB96</f>
        <v>12.857310391178768</v>
      </c>
      <c r="AC42" s="1280">
        <f>'PF Basic Historical Fin'!AC96</f>
        <v>13.024309810792069</v>
      </c>
      <c r="AD42" s="1280">
        <f>'PF Basic Historical Fin'!AD96</f>
        <v>13.452990444889071</v>
      </c>
      <c r="AE42" s="1280"/>
      <c r="AF42" s="1280"/>
      <c r="AG42" s="1280">
        <f>'PF Basic Historical Fin'!AG96</f>
        <v>51.733199999999997</v>
      </c>
      <c r="AH42" s="1280">
        <f>'PF Basic Historical Fin'!AH96</f>
        <v>36.92</v>
      </c>
      <c r="AI42" s="1280">
        <f>'PF Basic Historical Fin'!AI96</f>
        <v>44.543999999999997</v>
      </c>
      <c r="AJ42" s="1280">
        <f>'PF Basic Historical Fin'!AJ96</f>
        <v>50.084000000000003</v>
      </c>
      <c r="AK42" s="1310">
        <f>'PF Basic Historical Fin'!AK96</f>
        <v>48.164999999999992</v>
      </c>
      <c r="AL42" s="1280">
        <f>'PF Basic Historical Fin'!AL96</f>
        <v>51.78844822305949</v>
      </c>
      <c r="AM42" s="1280">
        <f>'PF Basic Historical Fin'!AM96</f>
        <v>51.381340865561043</v>
      </c>
    </row>
    <row r="43" spans="1:39" ht="17.25" customHeight="1" x14ac:dyDescent="0.35">
      <c r="A43" s="1316" t="s">
        <v>33</v>
      </c>
      <c r="C43" s="1291"/>
      <c r="D43" s="1291"/>
      <c r="E43" s="1291"/>
      <c r="F43" s="1292"/>
      <c r="G43" s="1312">
        <f t="shared" ref="G43:AD43" si="29">+G42/G8</f>
        <v>4.738179527832679E-2</v>
      </c>
      <c r="H43" s="1312">
        <f t="shared" si="29"/>
        <v>4.6279266805810994E-2</v>
      </c>
      <c r="I43" s="1312">
        <f t="shared" si="29"/>
        <v>3.4542769231736901E-2</v>
      </c>
      <c r="J43" s="1313">
        <f t="shared" si="29"/>
        <v>2.9002204195584396E-2</v>
      </c>
      <c r="K43" s="1312">
        <f t="shared" si="29"/>
        <v>3.5451665193044504E-2</v>
      </c>
      <c r="L43" s="1312">
        <f t="shared" si="29"/>
        <v>3.5672474368105722E-2</v>
      </c>
      <c r="M43" s="1312">
        <f t="shared" si="29"/>
        <v>3.327014767233958E-2</v>
      </c>
      <c r="N43" s="1313">
        <f t="shared" si="29"/>
        <v>2.8337921229746134E-2</v>
      </c>
      <c r="O43" s="1312">
        <f t="shared" si="29"/>
        <v>3.4115222349961893E-2</v>
      </c>
      <c r="P43" s="1312">
        <f t="shared" si="29"/>
        <v>3.3685208472511489E-2</v>
      </c>
      <c r="Q43" s="1312">
        <f t="shared" si="29"/>
        <v>2.6867512984689791E-2</v>
      </c>
      <c r="R43" s="1313">
        <f t="shared" si="29"/>
        <v>3.255558605544881E-2</v>
      </c>
      <c r="S43" s="1314">
        <f t="shared" si="29"/>
        <v>3.2052402239045756E-2</v>
      </c>
      <c r="T43" s="1312">
        <f t="shared" si="29"/>
        <v>2.934263865488064E-2</v>
      </c>
      <c r="U43" s="1312">
        <f t="shared" si="29"/>
        <v>3.4182133200325517E-2</v>
      </c>
      <c r="V43" s="1312">
        <f t="shared" si="29"/>
        <v>3.427084397464366E-2</v>
      </c>
      <c r="W43" s="1314">
        <f t="shared" si="29"/>
        <v>3.3977181604603071E-2</v>
      </c>
      <c r="X43" s="1312">
        <f t="shared" si="29"/>
        <v>3.4112923749720837E-2</v>
      </c>
      <c r="Y43" s="1315">
        <f t="shared" si="29"/>
        <v>3.3211781490500962E-2</v>
      </c>
      <c r="Z43" s="1313">
        <f t="shared" si="29"/>
        <v>3.4936315308525451E-2</v>
      </c>
      <c r="AA43" s="1312">
        <f t="shared" si="29"/>
        <v>3.2518601520623261E-2</v>
      </c>
      <c r="AB43" s="1312">
        <f t="shared" si="29"/>
        <v>3.1671534165534539E-2</v>
      </c>
      <c r="AC43" s="1312">
        <f t="shared" si="29"/>
        <v>3.0857180300984711E-2</v>
      </c>
      <c r="AD43" s="1312">
        <f t="shared" si="29"/>
        <v>3.2235119523024179E-2</v>
      </c>
      <c r="AE43" s="1291"/>
      <c r="AF43" s="1312"/>
      <c r="AG43" s="1312">
        <f t="shared" ref="AG43:AM43" si="30">+AG42/AG8</f>
        <v>5.2849238509296216E-2</v>
      </c>
      <c r="AH43" s="1312">
        <f t="shared" si="30"/>
        <v>3.8330302138710429E-2</v>
      </c>
      <c r="AI43" s="1312">
        <f t="shared" si="30"/>
        <v>3.2893731183248294E-2</v>
      </c>
      <c r="AJ43" s="1312">
        <f t="shared" si="30"/>
        <v>3.17629637146001E-2</v>
      </c>
      <c r="AK43" s="1315">
        <f t="shared" si="30"/>
        <v>3.2469305332812899E-2</v>
      </c>
      <c r="AL43" s="1312">
        <f t="shared" si="30"/>
        <v>3.405612261903241E-2</v>
      </c>
      <c r="AM43" s="1312">
        <f t="shared" si="30"/>
        <v>3.1798578321424464E-2</v>
      </c>
    </row>
    <row r="44" spans="1:39" ht="17.25" customHeight="1" x14ac:dyDescent="0.35">
      <c r="A44" s="1301"/>
      <c r="B44" s="1274"/>
      <c r="C44" s="1291"/>
      <c r="D44" s="1291"/>
      <c r="E44" s="1291"/>
      <c r="F44" s="1292"/>
      <c r="G44" s="1291"/>
      <c r="H44" s="1291"/>
      <c r="I44" s="1291"/>
      <c r="J44" s="1292"/>
      <c r="K44" s="1291"/>
      <c r="L44" s="1291"/>
      <c r="M44" s="1291"/>
      <c r="N44" s="1292"/>
      <c r="O44" s="1291"/>
      <c r="P44" s="1291"/>
      <c r="Q44" s="1291"/>
      <c r="R44" s="1292"/>
      <c r="S44" s="1293"/>
      <c r="T44" s="1291"/>
      <c r="U44" s="1291"/>
      <c r="V44" s="1291"/>
      <c r="W44" s="1293"/>
      <c r="X44" s="1291"/>
      <c r="Y44" s="1294"/>
      <c r="Z44" s="1292"/>
      <c r="AA44" s="1291"/>
      <c r="AB44" s="1291"/>
      <c r="AC44" s="1291"/>
      <c r="AD44" s="1291"/>
      <c r="AE44" s="1291"/>
      <c r="AF44" s="1291"/>
      <c r="AG44" s="1291"/>
      <c r="AH44" s="1291"/>
      <c r="AI44" s="1291"/>
      <c r="AJ44" s="1291"/>
      <c r="AK44" s="1294"/>
    </row>
    <row r="45" spans="1:39" s="1307" customFormat="1" ht="17.25" customHeight="1" x14ac:dyDescent="0.35">
      <c r="A45" s="1272" t="s">
        <v>138</v>
      </c>
      <c r="C45" s="1280"/>
      <c r="D45" s="1280"/>
      <c r="E45" s="1280"/>
      <c r="F45" s="1308"/>
      <c r="G45" s="1280">
        <f t="shared" ref="G45:AD45" si="31">+G38-G42</f>
        <v>39.091200000000001</v>
      </c>
      <c r="H45" s="1280">
        <f t="shared" si="31"/>
        <v>35.474400000000003</v>
      </c>
      <c r="I45" s="1280">
        <f t="shared" si="31"/>
        <v>63.802799999999991</v>
      </c>
      <c r="J45" s="1308">
        <f t="shared" si="31"/>
        <v>62.026000000000003</v>
      </c>
      <c r="K45" s="1280">
        <f t="shared" si="31"/>
        <v>62.309900000000006</v>
      </c>
      <c r="L45" s="1280">
        <f t="shared" si="31"/>
        <v>88.014899999999997</v>
      </c>
      <c r="M45" s="1280">
        <f t="shared" si="31"/>
        <v>96.7346</v>
      </c>
      <c r="N45" s="1308">
        <f t="shared" si="31"/>
        <v>92.23899999999999</v>
      </c>
      <c r="O45" s="1280">
        <f t="shared" si="31"/>
        <v>81.24199999999999</v>
      </c>
      <c r="P45" s="1280">
        <f t="shared" si="31"/>
        <v>95.625</v>
      </c>
      <c r="Q45" s="1280">
        <f t="shared" si="31"/>
        <v>98.082000000000008</v>
      </c>
      <c r="R45" s="1308">
        <f t="shared" si="31"/>
        <v>90.718999999999994</v>
      </c>
      <c r="S45" s="1309">
        <f t="shared" si="31"/>
        <v>75.576999999999998</v>
      </c>
      <c r="T45" s="1280">
        <f t="shared" si="31"/>
        <v>81.984999999999985</v>
      </c>
      <c r="U45" s="1280">
        <f t="shared" si="31"/>
        <v>84.753</v>
      </c>
      <c r="V45" s="1280">
        <f t="shared" si="31"/>
        <v>82.185000000000002</v>
      </c>
      <c r="W45" s="1309">
        <f t="shared" si="31"/>
        <v>63.240999999999993</v>
      </c>
      <c r="X45" s="1280">
        <f t="shared" si="31"/>
        <v>78.861000000000004</v>
      </c>
      <c r="Y45" s="1310">
        <f t="shared" si="31"/>
        <v>86.229000000000013</v>
      </c>
      <c r="Z45" s="1308">
        <f t="shared" si="31"/>
        <v>84.856383527990417</v>
      </c>
      <c r="AA45" s="1280">
        <f t="shared" si="31"/>
        <v>74.039750510773246</v>
      </c>
      <c r="AB45" s="1280">
        <f t="shared" si="31"/>
        <v>92.865974628915836</v>
      </c>
      <c r="AC45" s="1280">
        <f t="shared" si="31"/>
        <v>104.67473055267556</v>
      </c>
      <c r="AD45" s="1280">
        <f t="shared" si="31"/>
        <v>103.98823655098248</v>
      </c>
      <c r="AE45" s="1280"/>
      <c r="AF45" s="1280"/>
      <c r="AG45" s="1280">
        <f t="shared" ref="AG45:AM45" si="32">+AG38-AG42</f>
        <v>188.30489999999998</v>
      </c>
      <c r="AH45" s="1280">
        <f t="shared" si="32"/>
        <v>200.39440000000002</v>
      </c>
      <c r="AI45" s="1280">
        <f t="shared" si="32"/>
        <v>339.29840000000002</v>
      </c>
      <c r="AJ45" s="1280">
        <f t="shared" si="32"/>
        <v>365.66800000000001</v>
      </c>
      <c r="AK45" s="1310">
        <f t="shared" si="32"/>
        <v>324.5</v>
      </c>
      <c r="AL45" s="1280">
        <f t="shared" si="32"/>
        <v>313.18738352799039</v>
      </c>
      <c r="AM45" s="1280">
        <f t="shared" si="32"/>
        <v>375.56869224334707</v>
      </c>
    </row>
    <row r="46" spans="1:39" ht="17.25" customHeight="1" x14ac:dyDescent="0.35">
      <c r="A46" s="1316" t="s">
        <v>121</v>
      </c>
      <c r="C46" s="1291"/>
      <c r="D46" s="1291"/>
      <c r="E46" s="1291"/>
      <c r="F46" s="1292"/>
      <c r="G46" s="1312"/>
      <c r="H46" s="1312"/>
      <c r="I46" s="1312"/>
      <c r="J46" s="1313"/>
      <c r="K46" s="1312">
        <f t="shared" ref="K46:AD46" si="33">+K45/G45-1</f>
        <v>0.59396232400130988</v>
      </c>
      <c r="L46" s="1312">
        <f t="shared" si="33"/>
        <v>1.4810821324673564</v>
      </c>
      <c r="M46" s="1312">
        <f t="shared" si="33"/>
        <v>0.51614976145247571</v>
      </c>
      <c r="N46" s="1313">
        <f t="shared" si="33"/>
        <v>0.48710218295553465</v>
      </c>
      <c r="O46" s="1312">
        <f t="shared" si="33"/>
        <v>0.30383775290924842</v>
      </c>
      <c r="P46" s="1312">
        <f t="shared" si="33"/>
        <v>8.6463769202714591E-2</v>
      </c>
      <c r="Q46" s="1312">
        <f t="shared" si="33"/>
        <v>1.3928832082832798E-2</v>
      </c>
      <c r="R46" s="1313">
        <f t="shared" si="33"/>
        <v>-1.6478929736879144E-2</v>
      </c>
      <c r="S46" s="1314">
        <f t="shared" si="33"/>
        <v>-6.9729942640506026E-2</v>
      </c>
      <c r="T46" s="1312">
        <f t="shared" si="33"/>
        <v>-0.14264052287581719</v>
      </c>
      <c r="U46" s="1312">
        <f t="shared" si="33"/>
        <v>-0.13589649476968257</v>
      </c>
      <c r="V46" s="1312">
        <f t="shared" si="33"/>
        <v>-9.4070701837542181E-2</v>
      </c>
      <c r="W46" s="1314">
        <f t="shared" si="33"/>
        <v>-0.16322426134935242</v>
      </c>
      <c r="X46" s="1312">
        <f t="shared" si="33"/>
        <v>-3.8104531316704104E-2</v>
      </c>
      <c r="Y46" s="1315">
        <f t="shared" si="33"/>
        <v>1.7415312732292909E-2</v>
      </c>
      <c r="Z46" s="1313">
        <f t="shared" si="33"/>
        <v>3.2504514546333407E-2</v>
      </c>
      <c r="AA46" s="1312">
        <f t="shared" si="33"/>
        <v>0.17075553060156001</v>
      </c>
      <c r="AB46" s="1312">
        <f t="shared" si="33"/>
        <v>0.1775906294482168</v>
      </c>
      <c r="AC46" s="1312">
        <f t="shared" si="33"/>
        <v>0.21391562644441597</v>
      </c>
      <c r="AD46" s="1312">
        <f t="shared" si="33"/>
        <v>0.22546156491198222</v>
      </c>
      <c r="AE46" s="1291"/>
      <c r="AF46" s="1312"/>
      <c r="AG46" s="1312"/>
      <c r="AH46" s="1312">
        <f t="shared" ref="AH46:AM46" si="34">+AH45/AG45-1</f>
        <v>6.4201728154710924E-2</v>
      </c>
      <c r="AI46" s="1312">
        <f t="shared" si="34"/>
        <v>0.69315310208269287</v>
      </c>
      <c r="AJ46" s="1312">
        <f t="shared" si="34"/>
        <v>7.7718020479907945E-2</v>
      </c>
      <c r="AK46" s="1315">
        <f t="shared" si="34"/>
        <v>-0.11258299878578382</v>
      </c>
      <c r="AL46" s="1312">
        <f t="shared" si="34"/>
        <v>-3.4861684043172914E-2</v>
      </c>
      <c r="AM46" s="1312">
        <f t="shared" si="34"/>
        <v>0.19918206159087348</v>
      </c>
    </row>
    <row r="47" spans="1:39" ht="17.25" customHeight="1" x14ac:dyDescent="0.35">
      <c r="A47" s="1316" t="s">
        <v>127</v>
      </c>
      <c r="C47" s="1312"/>
      <c r="D47" s="1312"/>
      <c r="E47" s="1312"/>
      <c r="F47" s="1313"/>
      <c r="G47" s="1312">
        <f t="shared" ref="G47:AD47" si="35">+G45/G8</f>
        <v>0.16980301022956801</v>
      </c>
      <c r="H47" s="1312">
        <f t="shared" si="35"/>
        <v>0.18326961625095578</v>
      </c>
      <c r="I47" s="1312">
        <f t="shared" si="35"/>
        <v>0.25081659232259729</v>
      </c>
      <c r="J47" s="1313">
        <f t="shared" si="35"/>
        <v>0.21759897392467853</v>
      </c>
      <c r="K47" s="1312">
        <f t="shared" si="35"/>
        <v>0.22955312407898618</v>
      </c>
      <c r="L47" s="1312">
        <f t="shared" si="35"/>
        <v>0.26339621851002831</v>
      </c>
      <c r="M47" s="1312">
        <f t="shared" si="35"/>
        <v>0.26691002803346359</v>
      </c>
      <c r="N47" s="1313">
        <f t="shared" si="35"/>
        <v>0.23886151113136736</v>
      </c>
      <c r="O47" s="1312">
        <f t="shared" si="35"/>
        <v>0.21275726523033731</v>
      </c>
      <c r="P47" s="1312">
        <f t="shared" si="35"/>
        <v>0.23486314693284077</v>
      </c>
      <c r="Q47" s="1312">
        <f t="shared" si="35"/>
        <v>0.2420074762204375</v>
      </c>
      <c r="R47" s="1313">
        <f t="shared" si="35"/>
        <v>0.23716455563834096</v>
      </c>
      <c r="S47" s="1314">
        <f t="shared" si="35"/>
        <v>0.21301656736021465</v>
      </c>
      <c r="T47" s="1312">
        <f t="shared" si="35"/>
        <v>0.21821990476418621</v>
      </c>
      <c r="U47" s="1312">
        <f t="shared" si="35"/>
        <v>0.22248969626965584</v>
      </c>
      <c r="V47" s="1312">
        <f t="shared" si="35"/>
        <v>0.2209404857276506</v>
      </c>
      <c r="W47" s="1314">
        <f t="shared" si="35"/>
        <v>0.17793565268770312</v>
      </c>
      <c r="X47" s="1312">
        <f t="shared" si="35"/>
        <v>0.20479440315367958</v>
      </c>
      <c r="Y47" s="1315">
        <f t="shared" si="35"/>
        <v>0.21851203312562245</v>
      </c>
      <c r="Z47" s="1313">
        <f t="shared" si="35"/>
        <v>0.22007948969360344</v>
      </c>
      <c r="AA47" s="1312">
        <f t="shared" si="35"/>
        <v>0.19986080038619722</v>
      </c>
      <c r="AB47" s="1312">
        <f t="shared" si="35"/>
        <v>0.22875763272334901</v>
      </c>
      <c r="AC47" s="1312">
        <f t="shared" si="35"/>
        <v>0.24799525506868095</v>
      </c>
      <c r="AD47" s="1312">
        <f t="shared" si="35"/>
        <v>0.24916937597936958</v>
      </c>
      <c r="AE47" s="1291"/>
      <c r="AF47" s="1312"/>
      <c r="AG47" s="1312">
        <f t="shared" ref="AG47:AM47" si="36">+AG45/AG8</f>
        <v>0.19236719500377267</v>
      </c>
      <c r="AH47" s="1312">
        <f t="shared" si="36"/>
        <v>0.20804923886526527</v>
      </c>
      <c r="AI47" s="1312">
        <f t="shared" si="36"/>
        <v>0.25055653646969861</v>
      </c>
      <c r="AJ47" s="1312">
        <f t="shared" si="36"/>
        <v>0.23190438893839127</v>
      </c>
      <c r="AK47" s="1315">
        <f t="shared" si="36"/>
        <v>0.21875406582576121</v>
      </c>
      <c r="AL47" s="1312">
        <f t="shared" si="36"/>
        <v>0.20595225966654893</v>
      </c>
      <c r="AM47" s="1312">
        <f t="shared" si="36"/>
        <v>0.23242971620033506</v>
      </c>
    </row>
    <row r="48" spans="1:39" s="1349" customFormat="1" ht="17.25" customHeight="1" x14ac:dyDescent="0.35">
      <c r="A48" s="1331"/>
      <c r="B48" s="1347"/>
      <c r="C48" s="1325"/>
      <c r="D48" s="1312"/>
      <c r="E48" s="1348"/>
      <c r="F48" s="1292"/>
      <c r="G48" s="1312"/>
      <c r="H48" s="1312"/>
      <c r="I48" s="1312"/>
      <c r="J48" s="1313"/>
      <c r="K48" s="1312"/>
      <c r="L48" s="1312"/>
      <c r="M48" s="1280"/>
      <c r="N48" s="1313"/>
      <c r="O48" s="1325"/>
      <c r="P48" s="1312"/>
      <c r="Q48" s="1312"/>
      <c r="R48" s="1308"/>
      <c r="S48" s="1309"/>
      <c r="T48" s="1312"/>
      <c r="U48" s="1312"/>
      <c r="V48" s="1312"/>
      <c r="W48" s="1314"/>
      <c r="X48" s="1312"/>
      <c r="Y48" s="1315"/>
      <c r="Z48" s="1313"/>
      <c r="AA48" s="1312"/>
      <c r="AB48" s="1312"/>
      <c r="AC48" s="1312"/>
      <c r="AD48" s="1312"/>
      <c r="AE48" s="1312"/>
      <c r="AF48" s="1312"/>
      <c r="AG48" s="1312"/>
      <c r="AH48" s="1312"/>
      <c r="AI48" s="1312"/>
      <c r="AJ48" s="1312"/>
      <c r="AK48" s="1315"/>
    </row>
    <row r="49" spans="1:40" s="2246" customFormat="1" ht="17.25" customHeight="1" x14ac:dyDescent="0.65">
      <c r="A49" s="1307" t="s">
        <v>139</v>
      </c>
      <c r="B49" s="2243"/>
      <c r="C49" s="1300">
        <f>+'PF Basic Historical Fin'!C121</f>
        <v>10.312099999999997</v>
      </c>
      <c r="D49" s="1300">
        <f>+'PF Basic Historical Fin'!D121</f>
        <v>10.617599999999999</v>
      </c>
      <c r="E49" s="1300">
        <f>+'PF Basic Historical Fin'!E121</f>
        <v>10.899000000000001</v>
      </c>
      <c r="F49" s="1353">
        <f>+'PF Basic Historical Fin'!F121</f>
        <v>11.322900000000001</v>
      </c>
      <c r="G49" s="1300">
        <f>+'PF Basic Historical Fin'!G121</f>
        <v>10.7989</v>
      </c>
      <c r="H49" s="1300">
        <f>+'PF Basic Historical Fin'!H121</f>
        <v>9.9984000000000037</v>
      </c>
      <c r="I49" s="1300">
        <f>+'PF Basic Historical Fin'!I121</f>
        <v>10.277200000000002</v>
      </c>
      <c r="J49" s="1353">
        <f>+'PF Basic Historical Fin'!J121</f>
        <v>10.673599999999993</v>
      </c>
      <c r="K49" s="1300">
        <f>+'PF Basic Historical Fin'!K121</f>
        <v>10.536599999999998</v>
      </c>
      <c r="L49" s="1300">
        <f>+'PF Basic Historical Fin'!L121</f>
        <v>11.424999999999997</v>
      </c>
      <c r="M49" s="1300">
        <f>+'PF Basic Historical Fin'!M121</f>
        <v>11.447099999999999</v>
      </c>
      <c r="N49" s="1353">
        <f>+'PF Basic Historical Fin'!N121</f>
        <v>11.830000000000002</v>
      </c>
      <c r="O49" s="1300">
        <f>+'PF Basic Historical Fin'!O121</f>
        <v>11.311</v>
      </c>
      <c r="P49" s="1300">
        <f>+'PF Basic Historical Fin'!P121</f>
        <v>11.886999999999997</v>
      </c>
      <c r="Q49" s="1300">
        <f>+'PF Basic Historical Fin'!Q121</f>
        <v>12.297000000000001</v>
      </c>
      <c r="R49" s="1353">
        <f>+'PF Basic Historical Fin'!R121</f>
        <v>13.166999999999998</v>
      </c>
      <c r="S49" s="1354">
        <f>+'PF Basic Historical Fin'!S121</f>
        <v>12.773</v>
      </c>
      <c r="T49" s="1300">
        <f>+'PF Basic Historical Fin'!T121</f>
        <v>12.081</v>
      </c>
      <c r="U49" s="1300">
        <f>+'PF Basic Historical Fin'!U121</f>
        <v>10.681999999999995</v>
      </c>
      <c r="V49" s="1300">
        <f>+'PF Basic Historical Fin'!V121</f>
        <v>12.372999999999998</v>
      </c>
      <c r="W49" s="1354">
        <f>+'PF Basic Historical Fin'!W121</f>
        <v>12.335999999999999</v>
      </c>
      <c r="X49" s="1300">
        <f>+'PF Basic Historical Fin'!X121</f>
        <v>12.495000000000003</v>
      </c>
      <c r="Y49" s="1355">
        <f>+'PF Basic Historical Fin'!Y121</f>
        <v>12.700999999999999</v>
      </c>
      <c r="Z49" s="1353">
        <f>+'PF Basic Historical Fin'!Z121</f>
        <v>12.476100045137116</v>
      </c>
      <c r="AA49" s="1300">
        <f>+'PF Basic Historical Fin'!AA121</f>
        <v>13.409257036648828</v>
      </c>
      <c r="AB49" s="1300">
        <f>+'PF Basic Historical Fin'!AB121</f>
        <v>13.611816055952158</v>
      </c>
      <c r="AC49" s="1300">
        <f>+'PF Basic Historical Fin'!AC121</f>
        <v>13.295728917530869</v>
      </c>
      <c r="AD49" s="1300">
        <f>+'PF Basic Historical Fin'!AD121</f>
        <v>12.74490552749096</v>
      </c>
      <c r="AE49" s="2244"/>
      <c r="AF49" s="1300"/>
      <c r="AG49" s="1300">
        <f>+'PF Basic Historical Fin'!AG121</f>
        <v>43.151600000000002</v>
      </c>
      <c r="AH49" s="1300">
        <f>+'PF Basic Historical Fin'!AH121</f>
        <v>41.748100000000001</v>
      </c>
      <c r="AI49" s="1300">
        <f>+'PF Basic Historical Fin'!AI121</f>
        <v>45.238699999999994</v>
      </c>
      <c r="AJ49" s="1300">
        <f>+'PF Basic Historical Fin'!AJ121</f>
        <v>48.661999999999992</v>
      </c>
      <c r="AK49" s="1355">
        <f>+'PF Basic Historical Fin'!AK121</f>
        <v>47.908999999999992</v>
      </c>
      <c r="AL49" s="1300">
        <f>+'PF Basic Historical Fin'!AL121</f>
        <v>50.008100045137112</v>
      </c>
      <c r="AM49" s="1300">
        <f>+'PF Basic Historical Fin'!AM121</f>
        <v>53.061707537622809</v>
      </c>
      <c r="AN49" s="2245"/>
    </row>
    <row r="50" spans="1:40" s="1360" customFormat="1" ht="17.25" customHeight="1" x14ac:dyDescent="0.35">
      <c r="A50" s="1361" t="s">
        <v>140</v>
      </c>
      <c r="B50" s="1358"/>
      <c r="C50" s="1280">
        <f t="shared" ref="C50:AD50" si="37">+C38-C49</f>
        <v>37.928600000000003</v>
      </c>
      <c r="D50" s="1280">
        <f t="shared" si="37"/>
        <v>57.530600000000007</v>
      </c>
      <c r="E50" s="1280">
        <f t="shared" si="37"/>
        <v>57.952699999999979</v>
      </c>
      <c r="F50" s="1308">
        <f t="shared" si="37"/>
        <v>43.474599999999995</v>
      </c>
      <c r="G50" s="1280">
        <f t="shared" si="37"/>
        <v>39.200299999999999</v>
      </c>
      <c r="H50" s="1280">
        <f t="shared" si="37"/>
        <v>34.433999999999997</v>
      </c>
      <c r="I50" s="1280">
        <f t="shared" si="37"/>
        <v>62.312599999999996</v>
      </c>
      <c r="J50" s="1308">
        <f t="shared" si="37"/>
        <v>59.619400000000013</v>
      </c>
      <c r="K50" s="1280">
        <f t="shared" si="37"/>
        <v>61.396300000000004</v>
      </c>
      <c r="L50" s="1280">
        <f t="shared" si="37"/>
        <v>88.51</v>
      </c>
      <c r="M50" s="1280">
        <f t="shared" si="37"/>
        <v>97.345400000000012</v>
      </c>
      <c r="N50" s="1308">
        <f t="shared" si="37"/>
        <v>91.35199999999999</v>
      </c>
      <c r="O50" s="1280">
        <f t="shared" si="37"/>
        <v>82.957999999999998</v>
      </c>
      <c r="P50" s="1280">
        <f t="shared" si="37"/>
        <v>97.453000000000003</v>
      </c>
      <c r="Q50" s="1280">
        <f t="shared" si="37"/>
        <v>96.674000000000007</v>
      </c>
      <c r="R50" s="1308">
        <f t="shared" si="37"/>
        <v>90.004999999999995</v>
      </c>
      <c r="S50" s="1309">
        <f t="shared" si="37"/>
        <v>74.176000000000002</v>
      </c>
      <c r="T50" s="1280">
        <f t="shared" si="37"/>
        <v>80.927999999999983</v>
      </c>
      <c r="U50" s="1280">
        <f t="shared" si="37"/>
        <v>87.092000000000013</v>
      </c>
      <c r="V50" s="1280">
        <f t="shared" si="37"/>
        <v>82.56</v>
      </c>
      <c r="W50" s="1309">
        <f t="shared" si="37"/>
        <v>62.980999999999995</v>
      </c>
      <c r="X50" s="1280">
        <f t="shared" si="37"/>
        <v>79.501999999999995</v>
      </c>
      <c r="Y50" s="1310">
        <f t="shared" si="37"/>
        <v>86.634000000000015</v>
      </c>
      <c r="Z50" s="1308">
        <f t="shared" si="37"/>
        <v>85.850731705912779</v>
      </c>
      <c r="AA50" s="1280">
        <f t="shared" si="37"/>
        <v>72.677223692825564</v>
      </c>
      <c r="AB50" s="1280">
        <f t="shared" si="37"/>
        <v>92.111468964142446</v>
      </c>
      <c r="AC50" s="1280">
        <f t="shared" si="37"/>
        <v>104.40331144593675</v>
      </c>
      <c r="AD50" s="1280">
        <f t="shared" si="37"/>
        <v>104.69632146838059</v>
      </c>
      <c r="AE50" s="1351"/>
      <c r="AF50" s="1280"/>
      <c r="AG50" s="1280">
        <f t="shared" ref="AG50:AM50" si="38">+AG38-AG49</f>
        <v>196.88649999999996</v>
      </c>
      <c r="AH50" s="1280">
        <f t="shared" si="38"/>
        <v>195.56630000000001</v>
      </c>
      <c r="AI50" s="1280">
        <f t="shared" si="38"/>
        <v>338.6037</v>
      </c>
      <c r="AJ50" s="1280">
        <f t="shared" si="38"/>
        <v>367.09000000000003</v>
      </c>
      <c r="AK50" s="1310">
        <f t="shared" si="38"/>
        <v>324.75599999999997</v>
      </c>
      <c r="AL50" s="1280">
        <f t="shared" si="38"/>
        <v>314.9677317059128</v>
      </c>
      <c r="AM50" s="1280">
        <f t="shared" si="38"/>
        <v>373.88832557128535</v>
      </c>
      <c r="AN50" s="1362"/>
    </row>
    <row r="51" spans="1:40" ht="17.25" customHeight="1" x14ac:dyDescent="0.35">
      <c r="A51" s="1331" t="s">
        <v>141</v>
      </c>
      <c r="B51" s="1274"/>
      <c r="C51" s="1291"/>
      <c r="D51" s="1291"/>
      <c r="E51" s="1291"/>
      <c r="F51" s="1292"/>
      <c r="G51" s="1332">
        <f t="shared" ref="G51:AD51" si="39">+G50/C50-1</f>
        <v>3.3528788302230828E-2</v>
      </c>
      <c r="H51" s="1312">
        <f t="shared" si="39"/>
        <v>-0.40146635008152198</v>
      </c>
      <c r="I51" s="1312">
        <f t="shared" si="39"/>
        <v>7.5232042683085032E-2</v>
      </c>
      <c r="J51" s="1313">
        <f t="shared" si="39"/>
        <v>0.37136166865250098</v>
      </c>
      <c r="K51" s="1312">
        <f t="shared" si="39"/>
        <v>0.56622015647839441</v>
      </c>
      <c r="L51" s="1312">
        <f t="shared" si="39"/>
        <v>1.5704245803566246</v>
      </c>
      <c r="M51" s="1312">
        <f t="shared" si="39"/>
        <v>0.56221053205932692</v>
      </c>
      <c r="N51" s="1313">
        <f t="shared" si="39"/>
        <v>0.53225292438367333</v>
      </c>
      <c r="O51" s="1312">
        <f t="shared" si="39"/>
        <v>0.35118891529294105</v>
      </c>
      <c r="P51" s="1312">
        <f t="shared" si="39"/>
        <v>0.10103943057281661</v>
      </c>
      <c r="Q51" s="1312">
        <f t="shared" si="39"/>
        <v>-6.8970901552616315E-3</v>
      </c>
      <c r="R51" s="1313">
        <f t="shared" si="39"/>
        <v>-1.4745161572817134E-2</v>
      </c>
      <c r="S51" s="1314">
        <f t="shared" si="39"/>
        <v>-0.10586079702982232</v>
      </c>
      <c r="T51" s="1312">
        <f t="shared" si="39"/>
        <v>-0.16956892040265581</v>
      </c>
      <c r="U51" s="1312">
        <f t="shared" si="39"/>
        <v>-9.9116618739268025E-2</v>
      </c>
      <c r="V51" s="1312">
        <f t="shared" si="39"/>
        <v>-8.2717626798511135E-2</v>
      </c>
      <c r="W51" s="1314">
        <f t="shared" si="39"/>
        <v>-0.15092482743744617</v>
      </c>
      <c r="X51" s="1312">
        <f t="shared" si="39"/>
        <v>-1.7620601028074168E-2</v>
      </c>
      <c r="Y51" s="1315">
        <f t="shared" si="39"/>
        <v>-5.2588067790382276E-3</v>
      </c>
      <c r="Z51" s="1313">
        <f t="shared" si="39"/>
        <v>3.9858668918517193E-2</v>
      </c>
      <c r="AA51" s="1312">
        <f t="shared" si="39"/>
        <v>0.15395474338015536</v>
      </c>
      <c r="AB51" s="1312">
        <f t="shared" si="39"/>
        <v>0.1586056824248756</v>
      </c>
      <c r="AC51" s="1312">
        <f t="shared" si="39"/>
        <v>0.20510782655697235</v>
      </c>
      <c r="AD51" s="1312">
        <f t="shared" si="39"/>
        <v>0.21951577334278993</v>
      </c>
      <c r="AE51" s="1291"/>
      <c r="AF51" s="1312"/>
      <c r="AG51" s="1312"/>
      <c r="AH51" s="1312">
        <f t="shared" ref="AH51:AM51" si="40">+AH50/AG50-1</f>
        <v>-6.7053860980815783E-3</v>
      </c>
      <c r="AI51" s="1312">
        <f t="shared" si="40"/>
        <v>0.73140106449833109</v>
      </c>
      <c r="AJ51" s="1312">
        <f t="shared" si="40"/>
        <v>8.4128732202276568E-2</v>
      </c>
      <c r="AK51" s="1315">
        <f t="shared" si="40"/>
        <v>-0.11532321773951903</v>
      </c>
      <c r="AL51" s="1312">
        <f t="shared" si="40"/>
        <v>-3.0140377064895363E-2</v>
      </c>
      <c r="AM51" s="1312">
        <f t="shared" si="40"/>
        <v>0.18706866746713935</v>
      </c>
    </row>
    <row r="52" spans="1:40" ht="17.25" customHeight="1" x14ac:dyDescent="0.35">
      <c r="A52" s="1331" t="s">
        <v>33</v>
      </c>
      <c r="B52" s="1274"/>
      <c r="C52" s="1291"/>
      <c r="D52" s="1291"/>
      <c r="E52" s="1291"/>
      <c r="F52" s="1292"/>
      <c r="G52" s="1332">
        <f t="shared" ref="G52:AD52" si="41">+G50/G8</f>
        <v>0.17027691505766349</v>
      </c>
      <c r="H52" s="1312">
        <f t="shared" si="41"/>
        <v>0.17789464983158024</v>
      </c>
      <c r="I52" s="1312">
        <f t="shared" si="41"/>
        <v>0.24495843428127101</v>
      </c>
      <c r="J52" s="1313">
        <f t="shared" si="41"/>
        <v>0.20915616460847034</v>
      </c>
      <c r="K52" s="1312">
        <f t="shared" si="41"/>
        <v>0.22618737105806072</v>
      </c>
      <c r="L52" s="1312">
        <f t="shared" si="41"/>
        <v>0.26487787068238</v>
      </c>
      <c r="M52" s="1312">
        <f t="shared" si="41"/>
        <v>0.2685953468865197</v>
      </c>
      <c r="N52" s="1313">
        <f t="shared" si="41"/>
        <v>0.23656454173259328</v>
      </c>
      <c r="O52" s="1312">
        <f t="shared" si="41"/>
        <v>0.21725114114593835</v>
      </c>
      <c r="P52" s="1312">
        <f t="shared" si="41"/>
        <v>0.23935287067237787</v>
      </c>
      <c r="Q52" s="1312">
        <f t="shared" si="41"/>
        <v>0.23853337774652408</v>
      </c>
      <c r="R52" s="1313">
        <f t="shared" si="41"/>
        <v>0.2352979621714181</v>
      </c>
      <c r="S52" s="1314">
        <f t="shared" si="41"/>
        <v>0.20906779708788764</v>
      </c>
      <c r="T52" s="1312">
        <f t="shared" si="41"/>
        <v>0.21540648231696116</v>
      </c>
      <c r="U52" s="1312">
        <f t="shared" si="41"/>
        <v>0.22862993200850554</v>
      </c>
      <c r="V52" s="1312">
        <f t="shared" si="41"/>
        <v>0.22194860986402426</v>
      </c>
      <c r="W52" s="1314">
        <f t="shared" si="41"/>
        <v>0.17720411350111842</v>
      </c>
      <c r="X52" s="1312">
        <f t="shared" si="41"/>
        <v>0.20645901826661889</v>
      </c>
      <c r="Y52" s="1315">
        <f t="shared" si="41"/>
        <v>0.2195383395122891</v>
      </c>
      <c r="Z52" s="1313">
        <f t="shared" si="41"/>
        <v>0.22265838394382487</v>
      </c>
      <c r="AA52" s="1312">
        <f t="shared" si="41"/>
        <v>0.19618283417880084</v>
      </c>
      <c r="AB52" s="1312">
        <f t="shared" si="41"/>
        <v>0.22689905179056272</v>
      </c>
      <c r="AC52" s="1312">
        <f t="shared" si="41"/>
        <v>0.24735220922322418</v>
      </c>
      <c r="AD52" s="1312">
        <f t="shared" si="41"/>
        <v>0.25086603978347199</v>
      </c>
      <c r="AE52" s="1291"/>
      <c r="AF52" s="1312"/>
      <c r="AG52" s="1312">
        <f t="shared" ref="AG52:AM52" si="42">+AG50/AG8</f>
        <v>0.20113392555961254</v>
      </c>
      <c r="AH52" s="1312">
        <f t="shared" si="42"/>
        <v>0.20303671091954728</v>
      </c>
      <c r="AI52" s="1312">
        <f t="shared" si="42"/>
        <v>0.25004353191121703</v>
      </c>
      <c r="AJ52" s="1312">
        <f t="shared" si="42"/>
        <v>0.23280621256274558</v>
      </c>
      <c r="AK52" s="1315">
        <f t="shared" si="42"/>
        <v>0.21892664222283789</v>
      </c>
      <c r="AL52" s="1312">
        <f t="shared" si="42"/>
        <v>0.20712301797138841</v>
      </c>
      <c r="AM52" s="1312">
        <f t="shared" si="42"/>
        <v>0.23138978087887133</v>
      </c>
    </row>
    <row r="53" spans="1:40" s="1360" customFormat="1" ht="17.25" customHeight="1" x14ac:dyDescent="0.35">
      <c r="A53" s="1361"/>
      <c r="B53" s="1358"/>
      <c r="C53" s="1280"/>
      <c r="D53" s="1280"/>
      <c r="E53" s="1280"/>
      <c r="F53" s="1308"/>
      <c r="G53" s="1280"/>
      <c r="H53" s="1280"/>
      <c r="I53" s="1280"/>
      <c r="J53" s="1308"/>
      <c r="K53" s="1280"/>
      <c r="L53" s="1280"/>
      <c r="M53" s="1280"/>
      <c r="N53" s="1308"/>
      <c r="O53" s="1280"/>
      <c r="P53" s="1280"/>
      <c r="Q53" s="1280"/>
      <c r="R53" s="1308"/>
      <c r="S53" s="1309"/>
      <c r="T53" s="1280"/>
      <c r="U53" s="1280"/>
      <c r="V53" s="1280"/>
      <c r="W53" s="1309"/>
      <c r="X53" s="1280"/>
      <c r="Y53" s="1310"/>
      <c r="Z53" s="1308"/>
      <c r="AA53" s="1280"/>
      <c r="AB53" s="1280"/>
      <c r="AC53" s="1280"/>
      <c r="AD53" s="1280"/>
      <c r="AE53" s="1351"/>
      <c r="AF53" s="1280"/>
      <c r="AG53" s="1280"/>
      <c r="AH53" s="1280"/>
      <c r="AI53" s="1280"/>
      <c r="AJ53" s="1280"/>
      <c r="AK53" s="1310"/>
      <c r="AL53" s="1280"/>
      <c r="AM53" s="1280"/>
      <c r="AN53" s="1362"/>
    </row>
    <row r="54" spans="1:40" s="2246" customFormat="1" ht="17.25" customHeight="1" x14ac:dyDescent="0.65">
      <c r="A54" s="1307" t="s">
        <v>44</v>
      </c>
      <c r="B54" s="2243"/>
      <c r="C54" s="1300"/>
      <c r="D54" s="1300"/>
      <c r="E54" s="1300"/>
      <c r="F54" s="1353"/>
      <c r="G54" s="1300">
        <f>+'PF Basic Historical Fin'!G129</f>
        <v>26.133900000000001</v>
      </c>
      <c r="H54" s="1300">
        <f>+'PF Basic Historical Fin'!H129</f>
        <v>21.479300000000002</v>
      </c>
      <c r="I54" s="1300">
        <f>+'PF Basic Historical Fin'!I129</f>
        <v>19.110699999999998</v>
      </c>
      <c r="J54" s="1353">
        <f>+'PF Basic Historical Fin'!J129</f>
        <v>16.4495</v>
      </c>
      <c r="K54" s="1300">
        <f>+'PF Basic Historical Fin'!K129</f>
        <v>14.0162</v>
      </c>
      <c r="L54" s="1300">
        <f>+'PF Basic Historical Fin'!L129</f>
        <v>17.692999999999998</v>
      </c>
      <c r="M54" s="1300">
        <f>+'PF Basic Historical Fin'!M129</f>
        <v>11.974</v>
      </c>
      <c r="N54" s="1353">
        <f>+'PF Basic Historical Fin'!N129</f>
        <v>10.615000000000002</v>
      </c>
      <c r="O54" s="1300">
        <f>+'PF Basic Historical Fin'!O129</f>
        <v>5.1320000000000006</v>
      </c>
      <c r="P54" s="1300">
        <f>+'PF Basic Historical Fin'!P129</f>
        <v>9.222999999999999</v>
      </c>
      <c r="Q54" s="1300">
        <f>+'PF Basic Historical Fin'!Q129</f>
        <v>8.895999999999999</v>
      </c>
      <c r="R54" s="1353">
        <f>+'PF Basic Historical Fin'!R129</f>
        <v>14.024999999999999</v>
      </c>
      <c r="S54" s="1354">
        <f>+'PF Basic Historical Fin'!S129</f>
        <v>16.876999999999999</v>
      </c>
      <c r="T54" s="1300">
        <f>+'PF Basic Historical Fin'!T129</f>
        <v>12.887</v>
      </c>
      <c r="U54" s="1300">
        <f>+'PF Basic Historical Fin'!U129</f>
        <v>16.856999999999999</v>
      </c>
      <c r="V54" s="1300">
        <f>+'PF Basic Historical Fin'!V129</f>
        <v>22.215</v>
      </c>
      <c r="W54" s="1354">
        <f>+'PF Basic Historical Fin'!W129</f>
        <v>13.882</v>
      </c>
      <c r="X54" s="1300">
        <f>+'PF Basic Historical Fin'!X129</f>
        <v>17.496000000000002</v>
      </c>
      <c r="Y54" s="1355">
        <f>+'PF Basic Historical Fin'!Y129</f>
        <v>26.936</v>
      </c>
      <c r="Z54" s="1353">
        <f>+'PF Basic Historical Fin'!Z129</f>
        <v>39.855659722222214</v>
      </c>
      <c r="AA54" s="1300">
        <f>+'PF Basic Historical Fin'!AA129</f>
        <v>39.855659722222214</v>
      </c>
      <c r="AB54" s="1300">
        <f>+'PF Basic Historical Fin'!AB129</f>
        <v>39.855659722222214</v>
      </c>
      <c r="AC54" s="1300">
        <f>+'PF Basic Historical Fin'!AC129</f>
        <v>39.855659722222214</v>
      </c>
      <c r="AD54" s="1300">
        <f>+'PF Basic Historical Fin'!AD129</f>
        <v>39.855659722222214</v>
      </c>
      <c r="AE54" s="1356"/>
      <c r="AF54" s="1300"/>
      <c r="AG54" s="1300">
        <f>+'PF Basic Historical Fin'!AG129</f>
        <v>102.038</v>
      </c>
      <c r="AH54" s="1300">
        <f>+'PF Basic Historical Fin'!AH129</f>
        <v>83.173400000000001</v>
      </c>
      <c r="AI54" s="1300">
        <f>+'PF Basic Historical Fin'!AI129</f>
        <v>54.298200000000001</v>
      </c>
      <c r="AJ54" s="1300">
        <f>+'PF Basic Historical Fin'!AJ129</f>
        <v>37.275999999999996</v>
      </c>
      <c r="AK54" s="1355">
        <f>+'PF Basic Historical Fin'!AK129</f>
        <v>68.835999999999999</v>
      </c>
      <c r="AL54" s="1300">
        <f>+'PF Basic Historical Fin'!AL129</f>
        <v>58.313999999999993</v>
      </c>
      <c r="AM54" s="1300">
        <f>+'PF Basic Historical Fin'!AM129</f>
        <v>159.42263888888886</v>
      </c>
      <c r="AN54" s="2330"/>
    </row>
    <row r="55" spans="1:40" s="1349" customFormat="1" ht="17.25" customHeight="1" x14ac:dyDescent="0.35">
      <c r="A55" s="1306" t="s">
        <v>142</v>
      </c>
      <c r="B55" s="1347"/>
      <c r="C55" s="1280"/>
      <c r="D55" s="1280"/>
      <c r="E55" s="1280"/>
      <c r="F55" s="1308"/>
      <c r="G55" s="1280">
        <f t="shared" ref="G55:AD55" si="43">+G50-G54</f>
        <v>13.066399999999998</v>
      </c>
      <c r="H55" s="1280">
        <f t="shared" si="43"/>
        <v>12.954699999999995</v>
      </c>
      <c r="I55" s="1280">
        <f t="shared" si="43"/>
        <v>43.201899999999995</v>
      </c>
      <c r="J55" s="1308">
        <f t="shared" si="43"/>
        <v>43.169900000000013</v>
      </c>
      <c r="K55" s="1280">
        <f t="shared" si="43"/>
        <v>47.380100000000006</v>
      </c>
      <c r="L55" s="1280">
        <f t="shared" si="43"/>
        <v>70.817000000000007</v>
      </c>
      <c r="M55" s="1280">
        <f t="shared" si="43"/>
        <v>85.371400000000008</v>
      </c>
      <c r="N55" s="1308">
        <f t="shared" si="43"/>
        <v>80.736999999999995</v>
      </c>
      <c r="O55" s="1280">
        <f t="shared" si="43"/>
        <v>77.825999999999993</v>
      </c>
      <c r="P55" s="1280">
        <f t="shared" si="43"/>
        <v>88.23</v>
      </c>
      <c r="Q55" s="1280">
        <f t="shared" si="43"/>
        <v>87.778000000000006</v>
      </c>
      <c r="R55" s="1308">
        <f t="shared" si="43"/>
        <v>75.97999999999999</v>
      </c>
      <c r="S55" s="1309">
        <f t="shared" si="43"/>
        <v>57.299000000000007</v>
      </c>
      <c r="T55" s="1280">
        <f t="shared" si="43"/>
        <v>68.040999999999983</v>
      </c>
      <c r="U55" s="1280">
        <f t="shared" si="43"/>
        <v>70.235000000000014</v>
      </c>
      <c r="V55" s="1280">
        <f t="shared" si="43"/>
        <v>60.344999999999999</v>
      </c>
      <c r="W55" s="1309">
        <f t="shared" si="43"/>
        <v>49.098999999999997</v>
      </c>
      <c r="X55" s="1280">
        <f t="shared" si="43"/>
        <v>62.005999999999993</v>
      </c>
      <c r="Y55" s="1310">
        <f t="shared" si="43"/>
        <v>59.698000000000015</v>
      </c>
      <c r="Z55" s="1308">
        <f t="shared" si="43"/>
        <v>45.995071983690565</v>
      </c>
      <c r="AA55" s="1280">
        <f t="shared" si="43"/>
        <v>32.82156397060335</v>
      </c>
      <c r="AB55" s="1280">
        <f t="shared" si="43"/>
        <v>52.255809241920232</v>
      </c>
      <c r="AC55" s="1280">
        <f t="shared" si="43"/>
        <v>64.547651723714537</v>
      </c>
      <c r="AD55" s="1280">
        <f t="shared" si="43"/>
        <v>64.840661746158375</v>
      </c>
      <c r="AE55" s="1312"/>
      <c r="AF55" s="1280"/>
      <c r="AG55" s="1280">
        <f t="shared" ref="AG55:AM55" si="44">+AG50-AG54</f>
        <v>94.848499999999959</v>
      </c>
      <c r="AH55" s="1280">
        <f t="shared" si="44"/>
        <v>112.39290000000001</v>
      </c>
      <c r="AI55" s="1280">
        <f t="shared" si="44"/>
        <v>284.30549999999999</v>
      </c>
      <c r="AJ55" s="1280">
        <f t="shared" si="44"/>
        <v>329.81400000000002</v>
      </c>
      <c r="AK55" s="1310">
        <f t="shared" si="44"/>
        <v>255.91999999999996</v>
      </c>
      <c r="AL55" s="1280">
        <f t="shared" si="44"/>
        <v>256.65373170591283</v>
      </c>
      <c r="AM55" s="1280">
        <f t="shared" si="44"/>
        <v>214.46568668239649</v>
      </c>
      <c r="AN55" s="1359"/>
    </row>
    <row r="56" spans="1:40" s="1349" customFormat="1" ht="17.25" customHeight="1" x14ac:dyDescent="0.65">
      <c r="A56" s="1272" t="s">
        <v>143</v>
      </c>
      <c r="B56" s="1347"/>
      <c r="C56" s="1296"/>
      <c r="D56" s="1296"/>
      <c r="E56" s="1296"/>
      <c r="F56" s="1297"/>
      <c r="G56" s="1296">
        <f t="shared" ref="G56:AD56" si="45">MAX(G55*25%,0)</f>
        <v>3.2665999999999995</v>
      </c>
      <c r="H56" s="1296">
        <f t="shared" si="45"/>
        <v>3.2386749999999989</v>
      </c>
      <c r="I56" s="1296">
        <f t="shared" si="45"/>
        <v>10.800474999999999</v>
      </c>
      <c r="J56" s="1297">
        <f t="shared" si="45"/>
        <v>10.792475000000003</v>
      </c>
      <c r="K56" s="1296">
        <f t="shared" si="45"/>
        <v>11.845025000000001</v>
      </c>
      <c r="L56" s="1296">
        <f t="shared" si="45"/>
        <v>17.704250000000002</v>
      </c>
      <c r="M56" s="1296">
        <f t="shared" si="45"/>
        <v>21.342850000000002</v>
      </c>
      <c r="N56" s="1297">
        <f t="shared" si="45"/>
        <v>20.184249999999999</v>
      </c>
      <c r="O56" s="1296">
        <f t="shared" si="45"/>
        <v>19.456499999999998</v>
      </c>
      <c r="P56" s="1296">
        <f t="shared" si="45"/>
        <v>22.057500000000001</v>
      </c>
      <c r="Q56" s="1296">
        <f t="shared" si="45"/>
        <v>21.944500000000001</v>
      </c>
      <c r="R56" s="1297">
        <f t="shared" si="45"/>
        <v>18.994999999999997</v>
      </c>
      <c r="S56" s="1298">
        <f t="shared" si="45"/>
        <v>14.324750000000002</v>
      </c>
      <c r="T56" s="1296">
        <f t="shared" si="45"/>
        <v>17.010249999999996</v>
      </c>
      <c r="U56" s="1296">
        <f t="shared" si="45"/>
        <v>17.558750000000003</v>
      </c>
      <c r="V56" s="1296">
        <f t="shared" si="45"/>
        <v>15.08625</v>
      </c>
      <c r="W56" s="1298">
        <f t="shared" si="45"/>
        <v>12.274749999999999</v>
      </c>
      <c r="X56" s="1296">
        <f t="shared" si="45"/>
        <v>15.501499999999998</v>
      </c>
      <c r="Y56" s="1299">
        <f t="shared" si="45"/>
        <v>14.924500000000004</v>
      </c>
      <c r="Z56" s="1297">
        <f t="shared" si="45"/>
        <v>11.498767995922641</v>
      </c>
      <c r="AA56" s="1296">
        <f t="shared" si="45"/>
        <v>8.2053909926508375</v>
      </c>
      <c r="AB56" s="1296">
        <f t="shared" si="45"/>
        <v>13.063952310480058</v>
      </c>
      <c r="AC56" s="1296">
        <f t="shared" si="45"/>
        <v>16.136912930928634</v>
      </c>
      <c r="AD56" s="1296">
        <f t="shared" si="45"/>
        <v>16.210165436539594</v>
      </c>
      <c r="AE56" s="1312"/>
      <c r="AF56" s="1296"/>
      <c r="AG56" s="1296">
        <f t="shared" ref="AG56:AM56" si="46">MAX(AG55*25%,0)</f>
        <v>23.71212499999999</v>
      </c>
      <c r="AH56" s="1296">
        <f t="shared" si="46"/>
        <v>28.098225000000003</v>
      </c>
      <c r="AI56" s="1296">
        <f t="shared" si="46"/>
        <v>71.076374999999999</v>
      </c>
      <c r="AJ56" s="1296">
        <f t="shared" si="46"/>
        <v>82.453500000000005</v>
      </c>
      <c r="AK56" s="1299">
        <f t="shared" si="46"/>
        <v>63.97999999999999</v>
      </c>
      <c r="AL56" s="1296">
        <f t="shared" si="46"/>
        <v>64.163432926478208</v>
      </c>
      <c r="AM56" s="1296">
        <f t="shared" si="46"/>
        <v>53.616421670599124</v>
      </c>
      <c r="AN56" s="1359"/>
    </row>
    <row r="57" spans="1:40" s="1349" customFormat="1" ht="17.25" customHeight="1" x14ac:dyDescent="0.35">
      <c r="A57" s="1306" t="s">
        <v>144</v>
      </c>
      <c r="B57" s="1347"/>
      <c r="C57" s="1280"/>
      <c r="D57" s="1280"/>
      <c r="E57" s="1280"/>
      <c r="F57" s="1308"/>
      <c r="G57" s="1280">
        <f t="shared" ref="G57:AD57" si="47">+G55-G56</f>
        <v>9.7997999999999976</v>
      </c>
      <c r="H57" s="1280">
        <f t="shared" si="47"/>
        <v>9.7160249999999966</v>
      </c>
      <c r="I57" s="1280">
        <f t="shared" si="47"/>
        <v>32.401424999999996</v>
      </c>
      <c r="J57" s="1308">
        <f t="shared" si="47"/>
        <v>32.377425000000009</v>
      </c>
      <c r="K57" s="1280">
        <f t="shared" si="47"/>
        <v>35.535075000000006</v>
      </c>
      <c r="L57" s="1280">
        <f t="shared" si="47"/>
        <v>53.112750000000005</v>
      </c>
      <c r="M57" s="1280">
        <f t="shared" si="47"/>
        <v>64.02855000000001</v>
      </c>
      <c r="N57" s="1308">
        <f t="shared" si="47"/>
        <v>60.552749999999996</v>
      </c>
      <c r="O57" s="1280">
        <f t="shared" si="47"/>
        <v>58.369499999999995</v>
      </c>
      <c r="P57" s="1280">
        <f t="shared" si="47"/>
        <v>66.172499999999999</v>
      </c>
      <c r="Q57" s="1280">
        <f t="shared" si="47"/>
        <v>65.833500000000001</v>
      </c>
      <c r="R57" s="1308">
        <f t="shared" si="47"/>
        <v>56.984999999999992</v>
      </c>
      <c r="S57" s="1309">
        <f t="shared" si="47"/>
        <v>42.974250000000005</v>
      </c>
      <c r="T57" s="1280">
        <f t="shared" si="47"/>
        <v>51.030749999999983</v>
      </c>
      <c r="U57" s="1280">
        <f t="shared" si="47"/>
        <v>52.67625000000001</v>
      </c>
      <c r="V57" s="1280">
        <f t="shared" si="47"/>
        <v>45.258749999999999</v>
      </c>
      <c r="W57" s="1309">
        <f t="shared" si="47"/>
        <v>36.824249999999999</v>
      </c>
      <c r="X57" s="1280">
        <f t="shared" si="47"/>
        <v>46.504499999999993</v>
      </c>
      <c r="Y57" s="1310">
        <f t="shared" si="47"/>
        <v>44.773500000000013</v>
      </c>
      <c r="Z57" s="1308">
        <f t="shared" si="47"/>
        <v>34.496303987767924</v>
      </c>
      <c r="AA57" s="1280">
        <f t="shared" si="47"/>
        <v>24.616172977952512</v>
      </c>
      <c r="AB57" s="1280">
        <f t="shared" si="47"/>
        <v>39.191856931440171</v>
      </c>
      <c r="AC57" s="1280">
        <f t="shared" si="47"/>
        <v>48.410738792785907</v>
      </c>
      <c r="AD57" s="1280">
        <f t="shared" si="47"/>
        <v>48.630496309618778</v>
      </c>
      <c r="AE57" s="1312"/>
      <c r="AF57" s="1280"/>
      <c r="AG57" s="1280">
        <f t="shared" ref="AG57:AM57" si="48">+AG55-AG56</f>
        <v>71.136374999999973</v>
      </c>
      <c r="AH57" s="1280">
        <f t="shared" si="48"/>
        <v>84.294675000000012</v>
      </c>
      <c r="AI57" s="1280">
        <f t="shared" si="48"/>
        <v>213.22912500000001</v>
      </c>
      <c r="AJ57" s="1280">
        <f t="shared" si="48"/>
        <v>247.3605</v>
      </c>
      <c r="AK57" s="1310">
        <f t="shared" si="48"/>
        <v>191.93999999999997</v>
      </c>
      <c r="AL57" s="1280">
        <f t="shared" si="48"/>
        <v>192.49029877943462</v>
      </c>
      <c r="AM57" s="1280">
        <f t="shared" si="48"/>
        <v>160.84926501179737</v>
      </c>
    </row>
    <row r="58" spans="1:40" ht="17.25" customHeight="1" x14ac:dyDescent="0.35">
      <c r="A58" s="1331" t="s">
        <v>141</v>
      </c>
      <c r="B58" s="1274"/>
      <c r="C58" s="1291"/>
      <c r="D58" s="1291"/>
      <c r="E58" s="1291"/>
      <c r="F58" s="1292"/>
      <c r="G58" s="1332"/>
      <c r="H58" s="1312"/>
      <c r="I58" s="1312"/>
      <c r="J58" s="1313"/>
      <c r="K58" s="1312">
        <f t="shared" ref="K58:AD58" si="49">+K57/G57-1</f>
        <v>2.6261020633074161</v>
      </c>
      <c r="L58" s="1312">
        <f t="shared" si="49"/>
        <v>4.466510224088557</v>
      </c>
      <c r="M58" s="1312">
        <f t="shared" si="49"/>
        <v>0.97610290288158685</v>
      </c>
      <c r="N58" s="1313">
        <f t="shared" si="49"/>
        <v>0.87021512674340151</v>
      </c>
      <c r="O58" s="1312">
        <f t="shared" si="49"/>
        <v>0.64258834405161624</v>
      </c>
      <c r="P58" s="1312">
        <f t="shared" si="49"/>
        <v>0.24588728695087325</v>
      </c>
      <c r="Q58" s="1312">
        <f t="shared" si="49"/>
        <v>2.8189768470471277E-2</v>
      </c>
      <c r="R58" s="1313">
        <f t="shared" si="49"/>
        <v>-5.8919702243085625E-2</v>
      </c>
      <c r="S58" s="1314">
        <f t="shared" si="49"/>
        <v>-0.26375504330172417</v>
      </c>
      <c r="T58" s="1312">
        <f t="shared" si="49"/>
        <v>-0.22882239601042753</v>
      </c>
      <c r="U58" s="1312">
        <f t="shared" si="49"/>
        <v>-0.19985645605960478</v>
      </c>
      <c r="V58" s="1312">
        <f t="shared" si="49"/>
        <v>-0.2057778362727033</v>
      </c>
      <c r="W58" s="1314">
        <f t="shared" si="49"/>
        <v>-0.14310895478106089</v>
      </c>
      <c r="X58" s="1312">
        <f t="shared" si="49"/>
        <v>-8.8696521215149482E-2</v>
      </c>
      <c r="Y58" s="1315">
        <f t="shared" si="49"/>
        <v>-0.15002491635224591</v>
      </c>
      <c r="Z58" s="1313">
        <f t="shared" si="49"/>
        <v>-0.23779812770419151</v>
      </c>
      <c r="AA58" s="1312">
        <f t="shared" si="49"/>
        <v>-0.33152276073640297</v>
      </c>
      <c r="AB58" s="1312">
        <f t="shared" si="49"/>
        <v>-0.15724592391187575</v>
      </c>
      <c r="AC58" s="1312">
        <f t="shared" si="49"/>
        <v>8.1236418702712365E-2</v>
      </c>
      <c r="AD58" s="1312">
        <f t="shared" si="49"/>
        <v>0.40973062873236255</v>
      </c>
      <c r="AE58" s="1291"/>
      <c r="AF58" s="1312"/>
      <c r="AG58" s="1312"/>
      <c r="AH58" s="1312">
        <f t="shared" ref="AH58:AM58" si="50">+AH57/AG57-1</f>
        <v>0.18497287779986049</v>
      </c>
      <c r="AI58" s="1312">
        <f t="shared" si="50"/>
        <v>1.5295681488777313</v>
      </c>
      <c r="AJ58" s="1312">
        <f t="shared" si="50"/>
        <v>0.1600690102724005</v>
      </c>
      <c r="AK58" s="1315">
        <f t="shared" si="50"/>
        <v>-0.22404749343569419</v>
      </c>
      <c r="AL58" s="1312">
        <f t="shared" si="50"/>
        <v>2.8670354247923857E-3</v>
      </c>
      <c r="AM58" s="1312">
        <f t="shared" si="50"/>
        <v>-0.16437729053500605</v>
      </c>
    </row>
    <row r="59" spans="1:40" s="1349" customFormat="1" ht="17.25" customHeight="1" x14ac:dyDescent="0.35">
      <c r="A59" s="1331"/>
      <c r="B59" s="1347"/>
      <c r="C59" s="1312"/>
      <c r="D59" s="1312"/>
      <c r="E59" s="1312"/>
      <c r="F59" s="1313"/>
      <c r="G59" s="1312"/>
      <c r="H59" s="1312"/>
      <c r="I59" s="1312"/>
      <c r="J59" s="1313"/>
      <c r="K59" s="1312"/>
      <c r="L59" s="1312"/>
      <c r="M59" s="1280"/>
      <c r="N59" s="1313"/>
      <c r="O59" s="1312"/>
      <c r="P59" s="1312"/>
      <c r="Q59" s="1312"/>
      <c r="R59" s="1308"/>
      <c r="S59" s="1309"/>
      <c r="T59" s="1312"/>
      <c r="U59" s="1312"/>
      <c r="V59" s="1312"/>
      <c r="W59" s="1314"/>
      <c r="X59" s="1312"/>
      <c r="Y59" s="1315"/>
      <c r="Z59" s="1313"/>
      <c r="AA59" s="1312"/>
      <c r="AB59" s="1312"/>
      <c r="AC59" s="1312"/>
      <c r="AD59" s="1312"/>
      <c r="AE59" s="1312"/>
      <c r="AF59" s="1312"/>
      <c r="AG59" s="1312"/>
      <c r="AH59" s="1312"/>
      <c r="AI59" s="1312"/>
      <c r="AJ59" s="1312"/>
      <c r="AK59" s="1315"/>
      <c r="AN59" s="1359"/>
    </row>
    <row r="60" spans="1:40" s="1349" customFormat="1" ht="17.25" customHeight="1" x14ac:dyDescent="0.35">
      <c r="A60" s="1317" t="s">
        <v>48</v>
      </c>
      <c r="B60" s="1347"/>
      <c r="C60" s="1312"/>
      <c r="D60" s="1312"/>
      <c r="E60" s="1312"/>
      <c r="F60" s="1313"/>
      <c r="G60" s="1312"/>
      <c r="H60" s="1312"/>
      <c r="I60" s="1312"/>
      <c r="J60" s="1313"/>
      <c r="K60" s="1312"/>
      <c r="L60" s="1312"/>
      <c r="M60" s="1280"/>
      <c r="N60" s="1313"/>
      <c r="O60" s="1312"/>
      <c r="P60" s="1312"/>
      <c r="Q60" s="1312"/>
      <c r="R60" s="1308"/>
      <c r="S60" s="1309"/>
      <c r="T60" s="1312"/>
      <c r="U60" s="1312"/>
      <c r="V60" s="1312"/>
      <c r="W60" s="1314"/>
      <c r="X60" s="1312"/>
      <c r="Y60" s="1315"/>
      <c r="Z60" s="1313"/>
      <c r="AA60" s="1312"/>
      <c r="AB60" s="1312"/>
      <c r="AC60" s="1312"/>
      <c r="AD60" s="1312"/>
      <c r="AE60" s="1312"/>
      <c r="AF60" s="1312"/>
      <c r="AG60" s="1312"/>
      <c r="AH60" s="1312"/>
      <c r="AI60" s="1312"/>
      <c r="AJ60" s="1312"/>
      <c r="AK60" s="1315"/>
    </row>
    <row r="61" spans="1:40" s="1349" customFormat="1" ht="17.25" customHeight="1" x14ac:dyDescent="0.35">
      <c r="A61" s="1272" t="s">
        <v>145</v>
      </c>
      <c r="B61" s="1347"/>
      <c r="C61" s="1280"/>
      <c r="D61" s="1280"/>
      <c r="E61" s="1280"/>
      <c r="F61" s="1308"/>
      <c r="G61" s="1280">
        <f t="shared" ref="G61:AD61" si="51">+G38</f>
        <v>49.999200000000002</v>
      </c>
      <c r="H61" s="1280">
        <f t="shared" si="51"/>
        <v>44.432400000000001</v>
      </c>
      <c r="I61" s="1280">
        <f t="shared" si="51"/>
        <v>72.589799999999997</v>
      </c>
      <c r="J61" s="1308">
        <f t="shared" si="51"/>
        <v>70.293000000000006</v>
      </c>
      <c r="K61" s="1280">
        <f t="shared" si="51"/>
        <v>71.932900000000004</v>
      </c>
      <c r="L61" s="1280">
        <f t="shared" si="51"/>
        <v>99.935000000000002</v>
      </c>
      <c r="M61" s="1280">
        <f t="shared" si="51"/>
        <v>108.7925</v>
      </c>
      <c r="N61" s="1308">
        <f t="shared" si="51"/>
        <v>103.18199999999999</v>
      </c>
      <c r="O61" s="1280">
        <f t="shared" si="51"/>
        <v>94.268999999999991</v>
      </c>
      <c r="P61" s="1280">
        <f t="shared" si="51"/>
        <v>109.34</v>
      </c>
      <c r="Q61" s="1280">
        <f t="shared" si="51"/>
        <v>108.971</v>
      </c>
      <c r="R61" s="1308">
        <f t="shared" si="51"/>
        <v>103.172</v>
      </c>
      <c r="S61" s="1309">
        <f t="shared" si="51"/>
        <v>86.948999999999998</v>
      </c>
      <c r="T61" s="1280">
        <f t="shared" si="51"/>
        <v>93.008999999999986</v>
      </c>
      <c r="U61" s="1280">
        <f t="shared" si="51"/>
        <v>97.774000000000001</v>
      </c>
      <c r="V61" s="1280">
        <f t="shared" si="51"/>
        <v>94.932999999999993</v>
      </c>
      <c r="W61" s="1309">
        <f t="shared" si="51"/>
        <v>75.316999999999993</v>
      </c>
      <c r="X61" s="1280">
        <f t="shared" si="51"/>
        <v>91.997</v>
      </c>
      <c r="Y61" s="1310">
        <f t="shared" si="51"/>
        <v>99.335000000000008</v>
      </c>
      <c r="Z61" s="1308">
        <f t="shared" si="51"/>
        <v>98.326831751049895</v>
      </c>
      <c r="AA61" s="1280">
        <f t="shared" si="51"/>
        <v>86.086480729474388</v>
      </c>
      <c r="AB61" s="1280">
        <f t="shared" si="51"/>
        <v>105.72328502009461</v>
      </c>
      <c r="AC61" s="1280">
        <f t="shared" si="51"/>
        <v>117.69904036346762</v>
      </c>
      <c r="AD61" s="1280">
        <f t="shared" si="51"/>
        <v>117.44122699587155</v>
      </c>
      <c r="AE61" s="1312"/>
      <c r="AF61" s="1280"/>
      <c r="AG61" s="1280">
        <f t="shared" ref="AG61:AM61" si="52">+AG38</f>
        <v>240.03809999999996</v>
      </c>
      <c r="AH61" s="1280">
        <f t="shared" si="52"/>
        <v>237.31440000000001</v>
      </c>
      <c r="AI61" s="1280">
        <f t="shared" si="52"/>
        <v>383.8424</v>
      </c>
      <c r="AJ61" s="1280">
        <f t="shared" si="52"/>
        <v>415.75200000000001</v>
      </c>
      <c r="AK61" s="1310">
        <f t="shared" si="52"/>
        <v>372.66499999999996</v>
      </c>
      <c r="AL61" s="1280">
        <f t="shared" si="52"/>
        <v>364.9758317510499</v>
      </c>
      <c r="AM61" s="1280">
        <f t="shared" si="52"/>
        <v>426.95003310890814</v>
      </c>
    </row>
    <row r="62" spans="1:40" s="1349" customFormat="1" ht="17.25" customHeight="1" x14ac:dyDescent="0.35">
      <c r="A62" s="1363" t="s">
        <v>146</v>
      </c>
      <c r="B62" s="1347"/>
      <c r="C62" s="1280"/>
      <c r="D62" s="1280"/>
      <c r="E62" s="1280"/>
      <c r="F62" s="1308"/>
      <c r="G62" s="1280">
        <f t="shared" ref="G62:AD62" si="53">-G42</f>
        <v>-10.908000000000001</v>
      </c>
      <c r="H62" s="1280">
        <f t="shared" si="53"/>
        <v>-8.9579999999999984</v>
      </c>
      <c r="I62" s="1280">
        <f t="shared" si="53"/>
        <v>-8.7870000000000026</v>
      </c>
      <c r="J62" s="1308">
        <f t="shared" si="53"/>
        <v>-8.267000000000003</v>
      </c>
      <c r="K62" s="1280">
        <f t="shared" si="53"/>
        <v>-9.6229999999999993</v>
      </c>
      <c r="L62" s="1280">
        <f t="shared" si="53"/>
        <v>-11.9201</v>
      </c>
      <c r="M62" s="1280">
        <f t="shared" si="53"/>
        <v>-12.0579</v>
      </c>
      <c r="N62" s="1308">
        <f t="shared" si="53"/>
        <v>-10.943000000000001</v>
      </c>
      <c r="O62" s="1280">
        <f t="shared" si="53"/>
        <v>-13.026999999999999</v>
      </c>
      <c r="P62" s="1280">
        <f t="shared" si="53"/>
        <v>-13.715</v>
      </c>
      <c r="Q62" s="1280">
        <f t="shared" si="53"/>
        <v>-10.889000000000001</v>
      </c>
      <c r="R62" s="1308">
        <f t="shared" si="53"/>
        <v>-12.453000000000001</v>
      </c>
      <c r="S62" s="1309">
        <f t="shared" si="53"/>
        <v>-11.372</v>
      </c>
      <c r="T62" s="1280">
        <f t="shared" si="53"/>
        <v>-11.024000000000001</v>
      </c>
      <c r="U62" s="1280">
        <f t="shared" si="53"/>
        <v>-13.020999999999999</v>
      </c>
      <c r="V62" s="1280">
        <f t="shared" si="53"/>
        <v>-12.747999999999998</v>
      </c>
      <c r="W62" s="1309">
        <f t="shared" si="53"/>
        <v>-12.076000000000001</v>
      </c>
      <c r="X62" s="1280">
        <f t="shared" si="53"/>
        <v>-13.136000000000001</v>
      </c>
      <c r="Y62" s="1310">
        <f t="shared" si="53"/>
        <v>-13.106</v>
      </c>
      <c r="Z62" s="1308">
        <f t="shared" si="53"/>
        <v>-13.470448223059483</v>
      </c>
      <c r="AA62" s="1280">
        <f t="shared" si="53"/>
        <v>-12.046730218701136</v>
      </c>
      <c r="AB62" s="1280">
        <f t="shared" si="53"/>
        <v>-12.857310391178768</v>
      </c>
      <c r="AC62" s="1280">
        <f t="shared" si="53"/>
        <v>-13.024309810792069</v>
      </c>
      <c r="AD62" s="1280">
        <f t="shared" si="53"/>
        <v>-13.452990444889071</v>
      </c>
      <c r="AE62" s="1312"/>
      <c r="AF62" s="1280"/>
      <c r="AG62" s="1280">
        <f t="shared" ref="AG62:AM62" si="54">-AG42</f>
        <v>-51.733199999999997</v>
      </c>
      <c r="AH62" s="1280">
        <f t="shared" si="54"/>
        <v>-36.92</v>
      </c>
      <c r="AI62" s="1280">
        <f t="shared" si="54"/>
        <v>-44.543999999999997</v>
      </c>
      <c r="AJ62" s="1280">
        <f t="shared" si="54"/>
        <v>-50.084000000000003</v>
      </c>
      <c r="AK62" s="1310">
        <f t="shared" si="54"/>
        <v>-48.164999999999992</v>
      </c>
      <c r="AL62" s="1280">
        <f t="shared" si="54"/>
        <v>-51.78844822305949</v>
      </c>
      <c r="AM62" s="1280">
        <f t="shared" si="54"/>
        <v>-51.381340865561043</v>
      </c>
    </row>
    <row r="63" spans="1:40" s="1349" customFormat="1" ht="17.25" customHeight="1" x14ac:dyDescent="0.35">
      <c r="A63" s="1272" t="s">
        <v>147</v>
      </c>
      <c r="B63" s="1347"/>
      <c r="C63" s="1280"/>
      <c r="D63" s="1280"/>
      <c r="E63" s="1280"/>
      <c r="F63" s="1308"/>
      <c r="G63" s="1280">
        <f t="shared" ref="G63:AD63" si="55">-G54</f>
        <v>-26.133900000000001</v>
      </c>
      <c r="H63" s="1280">
        <f t="shared" si="55"/>
        <v>-21.479300000000002</v>
      </c>
      <c r="I63" s="1280">
        <f t="shared" si="55"/>
        <v>-19.110699999999998</v>
      </c>
      <c r="J63" s="1308">
        <f t="shared" si="55"/>
        <v>-16.4495</v>
      </c>
      <c r="K63" s="1280">
        <f t="shared" si="55"/>
        <v>-14.0162</v>
      </c>
      <c r="L63" s="1280">
        <f t="shared" si="55"/>
        <v>-17.692999999999998</v>
      </c>
      <c r="M63" s="1280">
        <f t="shared" si="55"/>
        <v>-11.974</v>
      </c>
      <c r="N63" s="1308">
        <f t="shared" si="55"/>
        <v>-10.615000000000002</v>
      </c>
      <c r="O63" s="1280">
        <f t="shared" si="55"/>
        <v>-5.1320000000000006</v>
      </c>
      <c r="P63" s="1280">
        <f t="shared" si="55"/>
        <v>-9.222999999999999</v>
      </c>
      <c r="Q63" s="1280">
        <f t="shared" si="55"/>
        <v>-8.895999999999999</v>
      </c>
      <c r="R63" s="1308">
        <f t="shared" si="55"/>
        <v>-14.024999999999999</v>
      </c>
      <c r="S63" s="1309">
        <f t="shared" si="55"/>
        <v>-16.876999999999999</v>
      </c>
      <c r="T63" s="1280">
        <f t="shared" si="55"/>
        <v>-12.887</v>
      </c>
      <c r="U63" s="1280">
        <f t="shared" si="55"/>
        <v>-16.856999999999999</v>
      </c>
      <c r="V63" s="1280">
        <f t="shared" si="55"/>
        <v>-22.215</v>
      </c>
      <c r="W63" s="1309">
        <f t="shared" si="55"/>
        <v>-13.882</v>
      </c>
      <c r="X63" s="1280">
        <f t="shared" si="55"/>
        <v>-17.496000000000002</v>
      </c>
      <c r="Y63" s="1310">
        <f t="shared" si="55"/>
        <v>-26.936</v>
      </c>
      <c r="Z63" s="1308">
        <f t="shared" si="55"/>
        <v>-39.855659722222214</v>
      </c>
      <c r="AA63" s="1280">
        <f t="shared" si="55"/>
        <v>-39.855659722222214</v>
      </c>
      <c r="AB63" s="1280">
        <f t="shared" si="55"/>
        <v>-39.855659722222214</v>
      </c>
      <c r="AC63" s="1280">
        <f t="shared" si="55"/>
        <v>-39.855659722222214</v>
      </c>
      <c r="AD63" s="1280">
        <f t="shared" si="55"/>
        <v>-39.855659722222214</v>
      </c>
      <c r="AE63" s="1312"/>
      <c r="AF63" s="1280"/>
      <c r="AG63" s="1280">
        <f t="shared" ref="AG63:AM63" si="56">-AG54</f>
        <v>-102.038</v>
      </c>
      <c r="AH63" s="1280">
        <f t="shared" si="56"/>
        <v>-83.173400000000001</v>
      </c>
      <c r="AI63" s="1280">
        <f t="shared" si="56"/>
        <v>-54.298200000000001</v>
      </c>
      <c r="AJ63" s="1280">
        <f t="shared" si="56"/>
        <v>-37.275999999999996</v>
      </c>
      <c r="AK63" s="1310">
        <f t="shared" si="56"/>
        <v>-68.835999999999999</v>
      </c>
      <c r="AL63" s="1280">
        <f t="shared" si="56"/>
        <v>-58.313999999999993</v>
      </c>
      <c r="AM63" s="1280">
        <f t="shared" si="56"/>
        <v>-159.42263888888886</v>
      </c>
    </row>
    <row r="64" spans="1:40" s="1349" customFormat="1" ht="17.25" customHeight="1" x14ac:dyDescent="0.65">
      <c r="A64" s="1272" t="s">
        <v>148</v>
      </c>
      <c r="B64" s="1347"/>
      <c r="C64" s="1300"/>
      <c r="D64" s="1300"/>
      <c r="E64" s="1300"/>
      <c r="F64" s="1353"/>
      <c r="G64" s="1300">
        <f t="shared" ref="G64:AD64" si="57">-G56</f>
        <v>-3.2665999999999995</v>
      </c>
      <c r="H64" s="1300">
        <f t="shared" si="57"/>
        <v>-3.2386749999999989</v>
      </c>
      <c r="I64" s="1300">
        <f t="shared" si="57"/>
        <v>-10.800474999999999</v>
      </c>
      <c r="J64" s="1353">
        <f t="shared" si="57"/>
        <v>-10.792475000000003</v>
      </c>
      <c r="K64" s="1300">
        <f t="shared" si="57"/>
        <v>-11.845025000000001</v>
      </c>
      <c r="L64" s="1300">
        <f t="shared" si="57"/>
        <v>-17.704250000000002</v>
      </c>
      <c r="M64" s="1300">
        <f t="shared" si="57"/>
        <v>-21.342850000000002</v>
      </c>
      <c r="N64" s="1353">
        <f t="shared" si="57"/>
        <v>-20.184249999999999</v>
      </c>
      <c r="O64" s="1300">
        <f t="shared" si="57"/>
        <v>-19.456499999999998</v>
      </c>
      <c r="P64" s="1300">
        <f t="shared" si="57"/>
        <v>-22.057500000000001</v>
      </c>
      <c r="Q64" s="1300">
        <f t="shared" si="57"/>
        <v>-21.944500000000001</v>
      </c>
      <c r="R64" s="1353">
        <f t="shared" si="57"/>
        <v>-18.994999999999997</v>
      </c>
      <c r="S64" s="1354">
        <f t="shared" si="57"/>
        <v>-14.324750000000002</v>
      </c>
      <c r="T64" s="1300">
        <f t="shared" si="57"/>
        <v>-17.010249999999996</v>
      </c>
      <c r="U64" s="1300">
        <f t="shared" si="57"/>
        <v>-17.558750000000003</v>
      </c>
      <c r="V64" s="1300">
        <f t="shared" si="57"/>
        <v>-15.08625</v>
      </c>
      <c r="W64" s="1354">
        <f t="shared" si="57"/>
        <v>-12.274749999999999</v>
      </c>
      <c r="X64" s="1300">
        <f t="shared" si="57"/>
        <v>-15.501499999999998</v>
      </c>
      <c r="Y64" s="1355">
        <f t="shared" si="57"/>
        <v>-14.924500000000004</v>
      </c>
      <c r="Z64" s="1353">
        <f t="shared" si="57"/>
        <v>-11.498767995922641</v>
      </c>
      <c r="AA64" s="1300">
        <f t="shared" si="57"/>
        <v>-8.2053909926508375</v>
      </c>
      <c r="AB64" s="1300">
        <f t="shared" si="57"/>
        <v>-13.063952310480058</v>
      </c>
      <c r="AC64" s="1300">
        <f t="shared" si="57"/>
        <v>-16.136912930928634</v>
      </c>
      <c r="AD64" s="1300">
        <f t="shared" si="57"/>
        <v>-16.210165436539594</v>
      </c>
      <c r="AE64" s="1312"/>
      <c r="AF64" s="1300"/>
      <c r="AG64" s="1300">
        <f t="shared" ref="AG64:AM64" si="58">-AG56</f>
        <v>-23.71212499999999</v>
      </c>
      <c r="AH64" s="1300">
        <f t="shared" si="58"/>
        <v>-28.098225000000003</v>
      </c>
      <c r="AI64" s="1300">
        <f t="shared" si="58"/>
        <v>-71.076374999999999</v>
      </c>
      <c r="AJ64" s="1300">
        <f t="shared" si="58"/>
        <v>-82.453500000000005</v>
      </c>
      <c r="AK64" s="1355">
        <f t="shared" si="58"/>
        <v>-63.97999999999999</v>
      </c>
      <c r="AL64" s="1300">
        <f t="shared" si="58"/>
        <v>-64.163432926478208</v>
      </c>
      <c r="AM64" s="1300">
        <f t="shared" si="58"/>
        <v>-53.616421670599124</v>
      </c>
    </row>
    <row r="65" spans="1:45" s="1349" customFormat="1" ht="17.25" customHeight="1" x14ac:dyDescent="0.35">
      <c r="A65" s="1306" t="s">
        <v>48</v>
      </c>
      <c r="B65" s="1347"/>
      <c r="C65" s="1280"/>
      <c r="D65" s="1280"/>
      <c r="E65" s="1280"/>
      <c r="F65" s="1308"/>
      <c r="G65" s="1280">
        <f t="shared" ref="G65:AD65" si="59">SUM(G61:G64)</f>
        <v>9.6906999999999996</v>
      </c>
      <c r="H65" s="1280">
        <f t="shared" si="59"/>
        <v>10.756425000000002</v>
      </c>
      <c r="I65" s="1280">
        <f t="shared" si="59"/>
        <v>33.891624999999998</v>
      </c>
      <c r="J65" s="1308">
        <f t="shared" si="59"/>
        <v>34.784025</v>
      </c>
      <c r="K65" s="1280">
        <f t="shared" si="59"/>
        <v>36.448675000000009</v>
      </c>
      <c r="L65" s="1280">
        <f t="shared" si="59"/>
        <v>52.617649999999998</v>
      </c>
      <c r="M65" s="1280">
        <f t="shared" si="59"/>
        <v>63.417749999999998</v>
      </c>
      <c r="N65" s="1308">
        <f t="shared" si="59"/>
        <v>61.439749999999997</v>
      </c>
      <c r="O65" s="1280">
        <f t="shared" si="59"/>
        <v>56.653499999999987</v>
      </c>
      <c r="P65" s="1280">
        <f t="shared" si="59"/>
        <v>64.344499999999996</v>
      </c>
      <c r="Q65" s="1280">
        <f t="shared" si="59"/>
        <v>67.241500000000002</v>
      </c>
      <c r="R65" s="1308">
        <f t="shared" si="59"/>
        <v>57.698999999999991</v>
      </c>
      <c r="S65" s="1309">
        <f t="shared" si="59"/>
        <v>44.375250000000001</v>
      </c>
      <c r="T65" s="1280">
        <f t="shared" si="59"/>
        <v>52.087749999999986</v>
      </c>
      <c r="U65" s="1280">
        <f t="shared" si="59"/>
        <v>50.337249999999997</v>
      </c>
      <c r="V65" s="1280">
        <f t="shared" si="59"/>
        <v>44.883749999999999</v>
      </c>
      <c r="W65" s="1309">
        <f t="shared" si="59"/>
        <v>37.084249999999997</v>
      </c>
      <c r="X65" s="1280">
        <f t="shared" si="59"/>
        <v>45.863500000000002</v>
      </c>
      <c r="Y65" s="1310">
        <f t="shared" si="59"/>
        <v>44.368500000000012</v>
      </c>
      <c r="Z65" s="1308">
        <f t="shared" si="59"/>
        <v>33.501955809845562</v>
      </c>
      <c r="AA65" s="1280">
        <f t="shared" si="59"/>
        <v>25.978699795900194</v>
      </c>
      <c r="AB65" s="1280">
        <f t="shared" si="59"/>
        <v>39.946362596213561</v>
      </c>
      <c r="AC65" s="1280">
        <f t="shared" si="59"/>
        <v>48.682157899524711</v>
      </c>
      <c r="AD65" s="1280">
        <f t="shared" si="59"/>
        <v>47.922411392220667</v>
      </c>
      <c r="AE65" s="1312"/>
      <c r="AF65" s="1280"/>
      <c r="AG65" s="1280">
        <f t="shared" ref="AG65:AM65" si="60">SUM(AG61:AG64)</f>
        <v>62.554774999999992</v>
      </c>
      <c r="AH65" s="1280">
        <f t="shared" si="60"/>
        <v>89.122775000000019</v>
      </c>
      <c r="AI65" s="1280">
        <f t="shared" si="60"/>
        <v>213.92382500000002</v>
      </c>
      <c r="AJ65" s="1280">
        <f t="shared" si="60"/>
        <v>245.93849999999998</v>
      </c>
      <c r="AK65" s="1310">
        <f t="shared" si="60"/>
        <v>191.684</v>
      </c>
      <c r="AL65" s="1280">
        <f t="shared" si="60"/>
        <v>190.70995060151219</v>
      </c>
      <c r="AM65" s="1280">
        <f t="shared" si="60"/>
        <v>162.52963168385909</v>
      </c>
    </row>
    <row r="66" spans="1:45" ht="17.25" customHeight="1" x14ac:dyDescent="0.35">
      <c r="A66" s="1331" t="s">
        <v>141</v>
      </c>
      <c r="C66" s="1291"/>
      <c r="D66" s="1291"/>
      <c r="E66" s="1291"/>
      <c r="F66" s="1292"/>
      <c r="G66" s="1332"/>
      <c r="H66" s="1312"/>
      <c r="I66" s="1312"/>
      <c r="J66" s="1313"/>
      <c r="K66" s="1312">
        <f t="shared" ref="K66:AD66" si="61">+K65/G65-1</f>
        <v>2.7612014611947546</v>
      </c>
      <c r="L66" s="1312">
        <f t="shared" si="61"/>
        <v>3.8917414475534375</v>
      </c>
      <c r="M66" s="1312">
        <f t="shared" si="61"/>
        <v>0.87119236684579171</v>
      </c>
      <c r="N66" s="1313">
        <f t="shared" si="61"/>
        <v>0.76632089012125526</v>
      </c>
      <c r="O66" s="1312">
        <f t="shared" si="61"/>
        <v>0.5543363373291339</v>
      </c>
      <c r="P66" s="1312">
        <f t="shared" si="61"/>
        <v>0.22286913231586736</v>
      </c>
      <c r="Q66" s="1312">
        <f t="shared" si="61"/>
        <v>6.0294633600214587E-2</v>
      </c>
      <c r="R66" s="1313">
        <f t="shared" si="61"/>
        <v>-6.0884850605674723E-2</v>
      </c>
      <c r="S66" s="1314">
        <f t="shared" si="61"/>
        <v>-0.21672535677407379</v>
      </c>
      <c r="T66" s="1312">
        <f t="shared" si="61"/>
        <v>-0.19048636635609895</v>
      </c>
      <c r="U66" s="1312">
        <f t="shared" si="61"/>
        <v>-0.25139608723779217</v>
      </c>
      <c r="V66" s="1312">
        <f t="shared" si="61"/>
        <v>-0.22210523579264796</v>
      </c>
      <c r="W66" s="1314">
        <f t="shared" si="61"/>
        <v>-0.16430329969972013</v>
      </c>
      <c r="X66" s="1312">
        <f t="shared" si="61"/>
        <v>-0.11949546678441636</v>
      </c>
      <c r="Y66" s="1315">
        <f t="shared" si="61"/>
        <v>-0.11857521020715245</v>
      </c>
      <c r="Z66" s="1313">
        <f t="shared" si="61"/>
        <v>-0.25358385139731943</v>
      </c>
      <c r="AA66" s="1312">
        <f t="shared" si="61"/>
        <v>-0.29946810853933414</v>
      </c>
      <c r="AB66" s="1312">
        <f t="shared" si="61"/>
        <v>-0.12901626356005191</v>
      </c>
      <c r="AC66" s="1312">
        <f t="shared" si="61"/>
        <v>9.7223433280924532E-2</v>
      </c>
      <c r="AD66" s="1312">
        <f t="shared" si="61"/>
        <v>0.43043623077483795</v>
      </c>
      <c r="AE66" s="1291"/>
      <c r="AF66" s="1312"/>
      <c r="AG66" s="1312"/>
      <c r="AH66" s="1312">
        <f t="shared" ref="AH66:AM66" si="62">+AH65/AG65-1</f>
        <v>0.42471577909120484</v>
      </c>
      <c r="AI66" s="1312">
        <f t="shared" si="62"/>
        <v>1.4003272451963036</v>
      </c>
      <c r="AJ66" s="1312">
        <f t="shared" si="62"/>
        <v>0.14965455577470133</v>
      </c>
      <c r="AK66" s="1315">
        <f t="shared" si="62"/>
        <v>-0.22060189844209011</v>
      </c>
      <c r="AL66" s="1312">
        <f t="shared" si="62"/>
        <v>-5.0815373139532216E-3</v>
      </c>
      <c r="AM66" s="1312">
        <f t="shared" si="62"/>
        <v>-0.14776533069601483</v>
      </c>
    </row>
    <row r="67" spans="1:45" s="1349" customFormat="1" ht="17.25" customHeight="1" x14ac:dyDescent="0.35">
      <c r="A67" s="1306"/>
      <c r="B67" s="1347"/>
      <c r="C67" s="1312"/>
      <c r="D67" s="1312"/>
      <c r="E67" s="1312"/>
      <c r="F67" s="1313"/>
      <c r="G67" s="1312"/>
      <c r="H67" s="1312"/>
      <c r="I67" s="1312"/>
      <c r="J67" s="1313"/>
      <c r="K67" s="1312"/>
      <c r="L67" s="1312"/>
      <c r="M67" s="1280"/>
      <c r="N67" s="1313"/>
      <c r="O67" s="1312"/>
      <c r="P67" s="1312"/>
      <c r="Q67" s="1312"/>
      <c r="R67" s="1308"/>
      <c r="S67" s="1309"/>
      <c r="T67" s="1312"/>
      <c r="U67" s="1312"/>
      <c r="V67" s="1312"/>
      <c r="W67" s="1314"/>
      <c r="X67" s="1312"/>
      <c r="Y67" s="1315"/>
      <c r="Z67" s="1313"/>
      <c r="AA67" s="1312"/>
      <c r="AB67" s="1312"/>
      <c r="AC67" s="1312"/>
      <c r="AD67" s="1312"/>
      <c r="AE67" s="1312"/>
      <c r="AF67" s="1312"/>
      <c r="AG67" s="1312"/>
      <c r="AH67" s="1312"/>
      <c r="AI67" s="1312"/>
      <c r="AJ67" s="1312"/>
      <c r="AK67" s="1315"/>
    </row>
    <row r="68" spans="1:45" s="1349" customFormat="1" ht="17.25" customHeight="1" x14ac:dyDescent="0.35">
      <c r="A68" s="1363" t="s">
        <v>37</v>
      </c>
      <c r="B68" s="1347"/>
      <c r="C68" s="1312"/>
      <c r="D68" s="1312"/>
      <c r="E68" s="1312"/>
      <c r="F68" s="1313"/>
      <c r="G68" s="1280">
        <f t="shared" ref="G68:Z68" si="63">+G35</f>
        <v>4.8020999999999994</v>
      </c>
      <c r="H68" s="1280">
        <f t="shared" si="63"/>
        <v>1.161</v>
      </c>
      <c r="I68" s="1280">
        <f t="shared" si="63"/>
        <v>1.1002000000000001</v>
      </c>
      <c r="J68" s="1308">
        <f t="shared" si="63"/>
        <v>2.2534000000000001</v>
      </c>
      <c r="K68" s="1280">
        <f t="shared" si="63"/>
        <v>1.4615</v>
      </c>
      <c r="L68" s="1280">
        <f t="shared" si="63"/>
        <v>3.42</v>
      </c>
      <c r="M68" s="1280">
        <f t="shared" si="63"/>
        <v>6.4509999999999996</v>
      </c>
      <c r="N68" s="1308">
        <f t="shared" si="63"/>
        <v>10.305</v>
      </c>
      <c r="O68" s="1280">
        <f t="shared" si="63"/>
        <v>6.9669999999999996</v>
      </c>
      <c r="P68" s="1280">
        <f t="shared" si="63"/>
        <v>7.9659999999999993</v>
      </c>
      <c r="Q68" s="1280">
        <f t="shared" si="63"/>
        <v>8.3149999999999995</v>
      </c>
      <c r="R68" s="1308">
        <f t="shared" si="63"/>
        <v>8.4130000000000003</v>
      </c>
      <c r="S68" s="1309">
        <f t="shared" si="63"/>
        <v>7.1659999999999995</v>
      </c>
      <c r="T68" s="1280">
        <f t="shared" si="63"/>
        <v>12.959</v>
      </c>
      <c r="U68" s="1280">
        <f t="shared" si="63"/>
        <v>14.573</v>
      </c>
      <c r="V68" s="1280">
        <f t="shared" si="63"/>
        <v>15.216999999999995</v>
      </c>
      <c r="W68" s="1309">
        <f t="shared" si="63"/>
        <v>9.7510000000000012</v>
      </c>
      <c r="X68" s="1280">
        <f t="shared" si="63"/>
        <v>10.048</v>
      </c>
      <c r="Y68" s="1310">
        <f t="shared" si="63"/>
        <v>10</v>
      </c>
      <c r="Z68" s="1308">
        <f t="shared" si="63"/>
        <v>10</v>
      </c>
      <c r="AA68" s="1280"/>
      <c r="AB68" s="1280"/>
      <c r="AC68" s="1280"/>
      <c r="AD68" s="1280"/>
      <c r="AE68" s="1312"/>
      <c r="AF68" s="1280"/>
      <c r="AG68" s="1280">
        <f>+AG35</f>
        <v>2.7186000000000003</v>
      </c>
      <c r="AH68" s="1280">
        <f>+AH35</f>
        <v>9.3167000000000009</v>
      </c>
      <c r="AI68" s="1280">
        <f>+AI35</f>
        <v>21.637500000000003</v>
      </c>
      <c r="AJ68" s="1280">
        <f>+AJ35</f>
        <v>31.661000000000001</v>
      </c>
      <c r="AK68" s="1310">
        <f>+AK35</f>
        <v>49.914999999999999</v>
      </c>
      <c r="AL68" s="1291">
        <f>+SUM(W68:Z68)</f>
        <v>39.798999999999999</v>
      </c>
      <c r="AM68" s="1291"/>
    </row>
    <row r="69" spans="1:45" s="1349" customFormat="1" ht="17.25" customHeight="1" x14ac:dyDescent="0.65">
      <c r="A69" s="1363" t="s">
        <v>50</v>
      </c>
      <c r="B69" s="1347"/>
      <c r="C69" s="1300"/>
      <c r="D69" s="1300"/>
      <c r="E69" s="1300"/>
      <c r="F69" s="1353"/>
      <c r="G69" s="1300">
        <f t="shared" ref="G69:Z69" si="64">+G70-G65-G68</f>
        <v>-49.70750000000001</v>
      </c>
      <c r="H69" s="1300">
        <f t="shared" si="64"/>
        <v>27.850274999999996</v>
      </c>
      <c r="I69" s="1300">
        <f t="shared" si="64"/>
        <v>-23.934625</v>
      </c>
      <c r="J69" s="1353">
        <f t="shared" si="64"/>
        <v>0.25257500000001354</v>
      </c>
      <c r="K69" s="1300">
        <f t="shared" si="64"/>
        <v>-1.8366750000000129</v>
      </c>
      <c r="L69" s="1300">
        <f t="shared" si="64"/>
        <v>-12.265949999999995</v>
      </c>
      <c r="M69" s="1300">
        <f t="shared" si="64"/>
        <v>-60.528649999999992</v>
      </c>
      <c r="N69" s="1353">
        <f t="shared" si="64"/>
        <v>11.808250000000015</v>
      </c>
      <c r="O69" s="1300">
        <f t="shared" si="64"/>
        <v>-31.619499999999995</v>
      </c>
      <c r="P69" s="1300">
        <f t="shared" si="64"/>
        <v>-1.3624999999999883</v>
      </c>
      <c r="Q69" s="1300">
        <f t="shared" si="64"/>
        <v>0.30350000000001209</v>
      </c>
      <c r="R69" s="1353">
        <f t="shared" si="64"/>
        <v>22.926000000000005</v>
      </c>
      <c r="S69" s="1354">
        <f t="shared" si="64"/>
        <v>-13.032250000000001</v>
      </c>
      <c r="T69" s="1300">
        <f t="shared" si="64"/>
        <v>-21.331749999999982</v>
      </c>
      <c r="U69" s="1300">
        <f t="shared" si="64"/>
        <v>-10.795250000000003</v>
      </c>
      <c r="V69" s="1300">
        <f t="shared" si="64"/>
        <v>16.454250000000041</v>
      </c>
      <c r="W69" s="1354">
        <f t="shared" si="64"/>
        <v>-16.908249999999999</v>
      </c>
      <c r="X69" s="1300">
        <f t="shared" si="64"/>
        <v>-20.511500000000005</v>
      </c>
      <c r="Y69" s="1355">
        <f t="shared" si="64"/>
        <v>5.115499999999976</v>
      </c>
      <c r="Z69" s="1353">
        <f t="shared" si="64"/>
        <v>11.5117197803824</v>
      </c>
      <c r="AA69" s="1300"/>
      <c r="AB69" s="1300"/>
      <c r="AC69" s="1300"/>
      <c r="AD69" s="1300"/>
      <c r="AE69" s="1312"/>
      <c r="AF69" s="1300"/>
      <c r="AG69" s="1300">
        <f>+AG70-AG65-AG68</f>
        <v>-9.2438749999999938</v>
      </c>
      <c r="AH69" s="1300">
        <f>+AH70-AH65-AH68</f>
        <v>-45.539275000000018</v>
      </c>
      <c r="AI69" s="1300">
        <f>+AI70-AI65-AI68</f>
        <v>-62.823024999999987</v>
      </c>
      <c r="AJ69" s="1300">
        <f>SUM(O69:R69)</f>
        <v>-9.7524999999999658</v>
      </c>
      <c r="AK69" s="1355">
        <f>SUM(S69:V69)</f>
        <v>-28.704999999999945</v>
      </c>
      <c r="AL69" s="1296">
        <f>+SUM(W69:Z69)</f>
        <v>-20.792530219617632</v>
      </c>
      <c r="AM69" s="1296"/>
    </row>
    <row r="70" spans="1:45" s="1349" customFormat="1" ht="17.25" customHeight="1" x14ac:dyDescent="0.35">
      <c r="A70" s="1306" t="s">
        <v>51</v>
      </c>
      <c r="B70" s="1347"/>
      <c r="C70" s="1280"/>
      <c r="D70" s="1280"/>
      <c r="E70" s="1280"/>
      <c r="F70" s="1308"/>
      <c r="G70" s="1280">
        <f t="shared" ref="G70:Y70" si="65">+G73+G62</f>
        <v>-35.214700000000008</v>
      </c>
      <c r="H70" s="1280">
        <f t="shared" si="65"/>
        <v>39.767699999999998</v>
      </c>
      <c r="I70" s="1280">
        <f t="shared" si="65"/>
        <v>11.057199999999998</v>
      </c>
      <c r="J70" s="1308">
        <f t="shared" si="65"/>
        <v>37.290000000000013</v>
      </c>
      <c r="K70" s="1280">
        <f t="shared" si="65"/>
        <v>36.073499999999996</v>
      </c>
      <c r="L70" s="1280">
        <f t="shared" si="65"/>
        <v>43.771700000000003</v>
      </c>
      <c r="M70" s="1280">
        <f t="shared" si="65"/>
        <v>9.3401000000000103</v>
      </c>
      <c r="N70" s="1308">
        <f t="shared" si="65"/>
        <v>83.553000000000011</v>
      </c>
      <c r="O70" s="1280">
        <f t="shared" si="65"/>
        <v>32.000999999999991</v>
      </c>
      <c r="P70" s="1280">
        <f t="shared" si="65"/>
        <v>70.948000000000008</v>
      </c>
      <c r="Q70" s="1280">
        <f t="shared" si="65"/>
        <v>75.860000000000014</v>
      </c>
      <c r="R70" s="1308">
        <f t="shared" si="65"/>
        <v>89.037999999999997</v>
      </c>
      <c r="S70" s="1309">
        <f t="shared" si="65"/>
        <v>38.509</v>
      </c>
      <c r="T70" s="1280">
        <f t="shared" si="65"/>
        <v>43.715000000000003</v>
      </c>
      <c r="U70" s="1280">
        <f t="shared" si="65"/>
        <v>54.114999999999995</v>
      </c>
      <c r="V70" s="1280">
        <f t="shared" si="65"/>
        <v>76.555000000000035</v>
      </c>
      <c r="W70" s="1309">
        <f t="shared" si="65"/>
        <v>29.927</v>
      </c>
      <c r="X70" s="1280">
        <f t="shared" si="65"/>
        <v>35.4</v>
      </c>
      <c r="Y70" s="1310">
        <f t="shared" si="65"/>
        <v>59.483999999999988</v>
      </c>
      <c r="Z70" s="1308">
        <f>+'FA - Historical Financials'!Z124+'STER - Historical Financials'!Z103</f>
        <v>55.013675590227962</v>
      </c>
      <c r="AA70" s="1280"/>
      <c r="AB70" s="1280"/>
      <c r="AC70" s="1280"/>
      <c r="AD70" s="1280"/>
      <c r="AE70" s="1312"/>
      <c r="AF70" s="1280"/>
      <c r="AG70" s="1280">
        <f>+AG73+AG62</f>
        <v>56.029499999999999</v>
      </c>
      <c r="AH70" s="1280">
        <f>+AH73+AH62</f>
        <v>52.900199999999998</v>
      </c>
      <c r="AI70" s="1280">
        <f>+AI73+AI62</f>
        <v>172.73830000000004</v>
      </c>
      <c r="AJ70" s="1280">
        <f>+AJ73+AJ62</f>
        <v>267.84700000000004</v>
      </c>
      <c r="AK70" s="1310">
        <f>+AK73+AK62</f>
        <v>212.89400000000003</v>
      </c>
      <c r="AL70" s="1291">
        <f>+SUM(W70:Z70)</f>
        <v>179.82467559022794</v>
      </c>
      <c r="AM70" s="1291"/>
    </row>
    <row r="71" spans="1:45" s="1349" customFormat="1" ht="17.25" customHeight="1" x14ac:dyDescent="0.35">
      <c r="A71" s="1331"/>
      <c r="B71" s="1347"/>
      <c r="C71" s="1348"/>
      <c r="D71" s="1312"/>
      <c r="E71" s="1302"/>
      <c r="F71" s="1303"/>
      <c r="G71" s="1302"/>
      <c r="H71" s="1302"/>
      <c r="I71" s="1302"/>
      <c r="J71" s="1313"/>
      <c r="K71" s="1312"/>
      <c r="L71" s="1312"/>
      <c r="M71" s="1280"/>
      <c r="N71" s="1313"/>
      <c r="O71" s="1302"/>
      <c r="P71" s="1312"/>
      <c r="Q71" s="1312"/>
      <c r="R71" s="1308"/>
      <c r="S71" s="1309"/>
      <c r="T71" s="1312"/>
      <c r="U71" s="1312"/>
      <c r="V71" s="1312"/>
      <c r="W71" s="1314"/>
      <c r="X71" s="1312"/>
      <c r="Y71" s="1315"/>
      <c r="Z71" s="1313"/>
      <c r="AA71" s="1312"/>
      <c r="AB71" s="1312"/>
      <c r="AC71" s="1312"/>
      <c r="AD71" s="1312"/>
      <c r="AE71" s="1312"/>
      <c r="AF71" s="1312"/>
      <c r="AG71" s="1312"/>
      <c r="AH71" s="1312"/>
      <c r="AI71" s="1312"/>
      <c r="AJ71" s="1312"/>
      <c r="AK71" s="1315"/>
    </row>
    <row r="72" spans="1:45" s="1349" customFormat="1" ht="17.25" customHeight="1" x14ac:dyDescent="0.35">
      <c r="A72" s="2349" t="s">
        <v>149</v>
      </c>
      <c r="B72" s="1347"/>
      <c r="C72" s="1348"/>
      <c r="D72" s="1312"/>
      <c r="E72" s="1280"/>
      <c r="F72" s="1308"/>
      <c r="G72" s="1280"/>
      <c r="H72" s="1280"/>
      <c r="I72" s="1280"/>
      <c r="J72" s="1313"/>
      <c r="K72" s="1312"/>
      <c r="L72" s="1312"/>
      <c r="M72" s="1280"/>
      <c r="N72" s="1313"/>
      <c r="O72" s="1280"/>
      <c r="P72" s="1312"/>
      <c r="Q72" s="1312"/>
      <c r="R72" s="1308"/>
      <c r="S72" s="1309"/>
      <c r="T72" s="1312"/>
      <c r="U72" s="1312"/>
      <c r="V72" s="1312"/>
      <c r="W72" s="1314"/>
      <c r="X72" s="1312"/>
      <c r="Y72" s="1315"/>
      <c r="Z72" s="1313"/>
      <c r="AA72" s="1312"/>
      <c r="AB72" s="1312"/>
      <c r="AC72" s="1312"/>
      <c r="AD72" s="1312"/>
      <c r="AE72" s="1312"/>
      <c r="AF72" s="1312"/>
      <c r="AG72" s="1312"/>
      <c r="AH72" s="1312"/>
      <c r="AI72" s="1312"/>
      <c r="AJ72" s="1312"/>
      <c r="AK72" s="1315"/>
    </row>
    <row r="73" spans="1:45" s="1307" customFormat="1" ht="17.25" customHeight="1" x14ac:dyDescent="0.35">
      <c r="A73" s="1272" t="s">
        <v>150</v>
      </c>
      <c r="C73" s="1280"/>
      <c r="D73" s="1280"/>
      <c r="E73" s="1280"/>
      <c r="F73" s="1308"/>
      <c r="G73" s="1280">
        <f>+'PF Basic Historical Fin'!G150</f>
        <v>-24.306700000000006</v>
      </c>
      <c r="H73" s="1280">
        <f>+'PF Basic Historical Fin'!H150</f>
        <v>48.725699999999996</v>
      </c>
      <c r="I73" s="1280">
        <f>+'PF Basic Historical Fin'!I150</f>
        <v>19.844200000000001</v>
      </c>
      <c r="J73" s="1308">
        <f>+'PF Basic Historical Fin'!J150</f>
        <v>45.557000000000016</v>
      </c>
      <c r="K73" s="1280">
        <f>+'PF Basic Historical Fin'!K150</f>
        <v>45.696499999999993</v>
      </c>
      <c r="L73" s="1280">
        <f>+'PF Basic Historical Fin'!L150</f>
        <v>55.691800000000001</v>
      </c>
      <c r="M73" s="1280">
        <f>+'PF Basic Historical Fin'!M150</f>
        <v>21.39800000000001</v>
      </c>
      <c r="N73" s="1308">
        <f>+'PF Basic Historical Fin'!N150</f>
        <v>94.496000000000009</v>
      </c>
      <c r="O73" s="1280">
        <f>+'PF Basic Historical Fin'!O150</f>
        <v>45.027999999999992</v>
      </c>
      <c r="P73" s="1280">
        <f>+'PF Basic Historical Fin'!P150</f>
        <v>84.663000000000011</v>
      </c>
      <c r="Q73" s="1280">
        <f>+'PF Basic Historical Fin'!Q150</f>
        <v>86.749000000000009</v>
      </c>
      <c r="R73" s="1308">
        <f>+'PF Basic Historical Fin'!R150</f>
        <v>101.491</v>
      </c>
      <c r="S73" s="1309">
        <f>+'PF Basic Historical Fin'!S150</f>
        <v>49.881</v>
      </c>
      <c r="T73" s="1280">
        <f>+'PF Basic Historical Fin'!T150</f>
        <v>54.739000000000004</v>
      </c>
      <c r="U73" s="1280">
        <f>+'PF Basic Historical Fin'!U150</f>
        <v>67.135999999999996</v>
      </c>
      <c r="V73" s="1280">
        <f>+'PF Basic Historical Fin'!V150</f>
        <v>89.303000000000026</v>
      </c>
      <c r="W73" s="1309">
        <f>+'PF Basic Historical Fin'!W150</f>
        <v>42.003</v>
      </c>
      <c r="X73" s="1280">
        <f>+'PF Basic Historical Fin'!X150</f>
        <v>48.536000000000001</v>
      </c>
      <c r="Y73" s="1310">
        <f>+'PF Basic Historical Fin'!Y150</f>
        <v>72.589999999999989</v>
      </c>
      <c r="Z73" s="1308">
        <f>+'PF Basic Historical Fin'!Z150</f>
        <v>68.484123813287454</v>
      </c>
      <c r="AA73" s="1280"/>
      <c r="AB73" s="1280"/>
      <c r="AC73" s="1280"/>
      <c r="AD73" s="1280"/>
      <c r="AE73" s="1280"/>
      <c r="AF73" s="1280"/>
      <c r="AG73" s="1280">
        <f>+'PF Basic Historical Fin'!AG150</f>
        <v>107.7627</v>
      </c>
      <c r="AH73" s="1280">
        <f>+'PF Basic Historical Fin'!AH150</f>
        <v>89.8202</v>
      </c>
      <c r="AI73" s="1280">
        <f>+'PF Basic Historical Fin'!AI150</f>
        <v>217.28230000000002</v>
      </c>
      <c r="AJ73" s="1280">
        <f>+'PF Basic Historical Fin'!AJ150</f>
        <v>317.93100000000004</v>
      </c>
      <c r="AK73" s="1310">
        <f>+'PF Basic Historical Fin'!AK150</f>
        <v>261.05900000000003</v>
      </c>
      <c r="AL73" s="1291">
        <f>+'PF Basic Historical Fin'!AL150</f>
        <v>231.61312381328744</v>
      </c>
      <c r="AM73" s="1291"/>
    </row>
    <row r="74" spans="1:45" s="1307" customFormat="1" ht="17.25" customHeight="1" x14ac:dyDescent="0.35">
      <c r="A74" s="1272" t="str">
        <f>+'FA - Historical Financials'!A134</f>
        <v>Cash Taxes</v>
      </c>
      <c r="C74" s="1280"/>
      <c r="D74" s="1280"/>
      <c r="E74" s="1280"/>
      <c r="F74" s="1308"/>
      <c r="G74" s="1280">
        <f>+'FA - Historical Financials'!G134+'STER - Historical Financials'!G112</f>
        <v>1.2469999999999999</v>
      </c>
      <c r="H74" s="1280">
        <f>+'FA - Historical Financials'!H134+'STER - Historical Financials'!H112</f>
        <v>0.94700000000000006</v>
      </c>
      <c r="I74" s="1280">
        <f>+'FA - Historical Financials'!I134+'STER - Historical Financials'!I112</f>
        <v>2.161</v>
      </c>
      <c r="J74" s="1308">
        <f>+'FA - Historical Financials'!J134+'STER - Historical Financials'!J112</f>
        <v>1.3139999999999996</v>
      </c>
      <c r="K74" s="1280">
        <f>+'FA - Historical Financials'!K134+'STER - Historical Financials'!K112</f>
        <v>1.373</v>
      </c>
      <c r="L74" s="1280">
        <f>+'FA - Historical Financials'!L134+'STER - Historical Financials'!L112</f>
        <v>5.1059999999999999</v>
      </c>
      <c r="M74" s="1280">
        <f>+'FA - Historical Financials'!M134+'STER - Historical Financials'!M112</f>
        <v>4.2530000000000001</v>
      </c>
      <c r="N74" s="1308">
        <f>+'FA - Historical Financials'!N134+'STER - Historical Financials'!N112</f>
        <v>5.2029999999999994</v>
      </c>
      <c r="O74" s="1280">
        <f>+'FA - Historical Financials'!O134+'STER - Historical Financials'!O112</f>
        <v>5.9350000000000005</v>
      </c>
      <c r="P74" s="1280">
        <f>+'FA - Historical Financials'!P134+'STER - Historical Financials'!P112</f>
        <v>9.777000000000001</v>
      </c>
      <c r="Q74" s="1280">
        <f>+'FA - Historical Financials'!Q134+'STER - Historical Financials'!Q112</f>
        <v>7.121999999999999</v>
      </c>
      <c r="R74" s="1308">
        <f>+'FA - Historical Financials'!R134+'STER - Historical Financials'!R112</f>
        <v>13.173000000000002</v>
      </c>
      <c r="S74" s="1309">
        <f>+'FA - Historical Financials'!S134+'STER - Historical Financials'!S112</f>
        <v>5.0270000000000001</v>
      </c>
      <c r="T74" s="1280">
        <f>+'FA - Historical Financials'!T134+'STER - Historical Financials'!T112</f>
        <v>18.472999999999999</v>
      </c>
      <c r="U74" s="1280">
        <f>+'FA - Historical Financials'!U134+'STER - Historical Financials'!U112</f>
        <v>10.725</v>
      </c>
      <c r="V74" s="1280">
        <f>+'FA - Historical Financials'!V134+'STER - Historical Financials'!V112</f>
        <v>14.882000000000003</v>
      </c>
      <c r="W74" s="1309">
        <f>+'FA - Historical Financials'!W134+'STER - Historical Financials'!W112</f>
        <v>12.052</v>
      </c>
      <c r="X74" s="1280">
        <f>+'FA - Historical Financials'!X134+'STER - Historical Financials'!X112</f>
        <v>24.719000000000001</v>
      </c>
      <c r="Y74" s="1310">
        <f>+'FA - Historical Financials'!Y134+'STER - Historical Financials'!Y112</f>
        <v>6.7174999999999958</v>
      </c>
      <c r="Z74" s="1308"/>
      <c r="AA74" s="1280"/>
      <c r="AB74" s="1280"/>
      <c r="AC74" s="1280"/>
      <c r="AD74" s="1280"/>
      <c r="AE74" s="1280"/>
      <c r="AF74" s="1280"/>
      <c r="AG74" s="1280">
        <f>+'FA - Historical Financials'!AG134+'STER - Historical Financials'!AG112</f>
        <v>11.834</v>
      </c>
      <c r="AH74" s="1280">
        <f>+'FA - Historical Financials'!AH134+'STER - Historical Financials'!AH112</f>
        <v>8.2889999999999997</v>
      </c>
      <c r="AI74" s="1280">
        <f>+'FA - Historical Financials'!AI134+'STER - Historical Financials'!AI112</f>
        <v>15.935</v>
      </c>
      <c r="AJ74" s="1280">
        <f>+'FA - Historical Financials'!AJ134+'STER - Historical Financials'!AJ112</f>
        <v>36.007000000000005</v>
      </c>
      <c r="AK74" s="1310">
        <f>+'FA - Historical Financials'!AK134+'STER - Historical Financials'!AK112</f>
        <v>49.106999999999999</v>
      </c>
      <c r="AL74" s="1291"/>
      <c r="AM74" s="1291"/>
    </row>
    <row r="75" spans="1:45" s="1307" customFormat="1" ht="17.25" customHeight="1" x14ac:dyDescent="0.35">
      <c r="A75" s="1272" t="s">
        <v>151</v>
      </c>
      <c r="C75" s="1280"/>
      <c r="D75" s="1280"/>
      <c r="E75" s="1280"/>
      <c r="F75" s="1308"/>
      <c r="G75" s="1280">
        <f>+'FA - Historical Financials'!G136+'STER - Historical Financials'!G114+'FA - Historical Financials'!G135+'STER - Historical Financials'!G113</f>
        <v>0</v>
      </c>
      <c r="H75" s="1280">
        <f>+'FA - Historical Financials'!H136+'STER - Historical Financials'!H114+'FA - Historical Financials'!H135+'STER - Historical Financials'!H113</f>
        <v>0</v>
      </c>
      <c r="I75" s="1280">
        <f>+'FA - Historical Financials'!I136+'STER - Historical Financials'!I114+'FA - Historical Financials'!I135+'STER - Historical Financials'!I113</f>
        <v>0</v>
      </c>
      <c r="J75" s="1308">
        <f>+'FA - Historical Financials'!J136+'STER - Historical Financials'!J114+'FA - Historical Financials'!J135+'STER - Historical Financials'!J113</f>
        <v>2.0499999999999998</v>
      </c>
      <c r="K75" s="1280">
        <f>+'FA - Historical Financials'!K136+'STER - Historical Financials'!K114+'FA - Historical Financials'!K135+'STER - Historical Financials'!K113</f>
        <v>2.2269999999999999</v>
      </c>
      <c r="L75" s="1280">
        <f>+'FA - Historical Financials'!L136+'STER - Historical Financials'!L114+'FA - Historical Financials'!L135+'STER - Historical Financials'!L113</f>
        <v>320.75900000000001</v>
      </c>
      <c r="M75" s="1280">
        <f>+'FA - Historical Financials'!M136+'STER - Historical Financials'!M114+'FA - Historical Financials'!M135+'STER - Historical Financials'!M113</f>
        <v>102.54900000000001</v>
      </c>
      <c r="N75" s="1308">
        <f>+'FA - Historical Financials'!N136+'STER - Historical Financials'!N114+'FA - Historical Financials'!N135+'STER - Historical Financials'!N113</f>
        <v>0.2</v>
      </c>
      <c r="O75" s="1280">
        <f>+'FA - Historical Financials'!O136+'STER - Historical Financials'!O114+'FA - Historical Financials'!O135+'STER - Historical Financials'!O113</f>
        <v>0.61699999999999999</v>
      </c>
      <c r="P75" s="1280">
        <f>+'FA - Historical Financials'!P136+'STER - Historical Financials'!P114+'FA - Historical Financials'!P135+'STER - Historical Financials'!P113</f>
        <v>1.369</v>
      </c>
      <c r="Q75" s="1280">
        <f>+'FA - Historical Financials'!Q136+'STER - Historical Financials'!Q114+'FA - Historical Financials'!Q135+'STER - Historical Financials'!Q113</f>
        <v>0.85499999999999954</v>
      </c>
      <c r="R75" s="1308">
        <f>+'FA - Historical Financials'!R136+'STER - Historical Financials'!R114+'FA - Historical Financials'!R135+'STER - Historical Financials'!R113</f>
        <v>-71.772999999999996</v>
      </c>
      <c r="S75" s="1309">
        <f>+'FA - Historical Financials'!S136+'STER - Historical Financials'!S114+'FA - Historical Financials'!S135+'STER - Historical Financials'!S113</f>
        <v>-31.602999999999998</v>
      </c>
      <c r="T75" s="1280">
        <f>+'FA - Historical Financials'!T136+'STER - Historical Financials'!T114+'FA - Historical Financials'!T135+'STER - Historical Financials'!T113</f>
        <v>-43.56900000000001</v>
      </c>
      <c r="U75" s="1280">
        <f>+'FA - Historical Financials'!U136+'STER - Historical Financials'!U114+'FA - Historical Financials'!U135+'STER - Historical Financials'!U113</f>
        <v>-20.954999999999998</v>
      </c>
      <c r="V75" s="1280">
        <f>+'FA - Historical Financials'!V136+'STER - Historical Financials'!V114+'FA - Historical Financials'!V135+'STER - Historical Financials'!V113</f>
        <v>-21.049000000000003</v>
      </c>
      <c r="W75" s="1309">
        <f>+'FA - Historical Financials'!W136+'STER - Historical Financials'!W114+'FA - Historical Financials'!W135+'STER - Historical Financials'!W113</f>
        <v>48.427</v>
      </c>
      <c r="X75" s="1280">
        <f>+'FA - Historical Financials'!X136+'STER - Historical Financials'!X114+'FA - Historical Financials'!X135+'STER - Historical Financials'!X113</f>
        <v>-11.122999999999998</v>
      </c>
      <c r="Y75" s="1310">
        <f>+'FA - Historical Financials'!Y136+'STER - Historical Financials'!Y114+'FA - Historical Financials'!Y135+'STER - Historical Financials'!Y113</f>
        <v>1.1859999999999999</v>
      </c>
      <c r="Z75" s="1308"/>
      <c r="AA75" s="1280"/>
      <c r="AB75" s="1280"/>
      <c r="AC75" s="1280"/>
      <c r="AD75" s="1280"/>
      <c r="AE75" s="1280"/>
      <c r="AF75" s="1280"/>
      <c r="AG75" s="1280">
        <f>+'FA - Historical Financials'!AG136+'STER - Historical Financials'!AG114+'FA - Historical Financials'!AG135+'STER - Historical Financials'!AG113</f>
        <v>0.13</v>
      </c>
      <c r="AH75" s="1280">
        <f>+'FA - Historical Financials'!AH136+'STER - Historical Financials'!AH114+'FA - Historical Financials'!AH135+'STER - Historical Financials'!AH113</f>
        <v>3.25</v>
      </c>
      <c r="AI75" s="1280">
        <f>+'FA - Historical Financials'!AI136+'STER - Historical Financials'!AI114+'FA - Historical Financials'!AI135+'STER - Historical Financials'!AI113</f>
        <v>425.73500000000001</v>
      </c>
      <c r="AJ75" s="1280">
        <f>+'FA - Historical Financials'!AJ136+'STER - Historical Financials'!AJ114+'FA - Historical Financials'!AJ135+'STER - Historical Financials'!AJ113</f>
        <v>-68.932000000000002</v>
      </c>
      <c r="AK75" s="1310">
        <f>+'FA - Historical Financials'!AK136+'STER - Historical Financials'!AK114+'FA - Historical Financials'!AK135+'STER - Historical Financials'!AK113</f>
        <v>-117.176</v>
      </c>
      <c r="AL75" s="1291"/>
      <c r="AM75" s="1291"/>
    </row>
    <row r="76" spans="1:45" s="1307" customFormat="1" ht="17.25" customHeight="1" x14ac:dyDescent="0.35">
      <c r="A76" s="1272" t="str">
        <f>+'FA - Historical Financials'!A137</f>
        <v>Dividends</v>
      </c>
      <c r="C76" s="1280"/>
      <c r="D76" s="1280"/>
      <c r="E76" s="1280"/>
      <c r="F76" s="1308"/>
      <c r="G76" s="1280">
        <f>+'FA - Historical Financials'!G137+'STER - Historical Financials'!G115</f>
        <v>0</v>
      </c>
      <c r="H76" s="1280">
        <f>+'FA - Historical Financials'!H137+'STER - Historical Financials'!H115</f>
        <v>0</v>
      </c>
      <c r="I76" s="1280">
        <f>+'FA - Historical Financials'!I137+'STER - Historical Financials'!I115</f>
        <v>0</v>
      </c>
      <c r="J76" s="1308">
        <f>+'FA - Historical Financials'!J137+'STER - Historical Financials'!J115</f>
        <v>0</v>
      </c>
      <c r="K76" s="1280">
        <f>+'FA - Historical Financials'!K137+'STER - Historical Financials'!K115</f>
        <v>0</v>
      </c>
      <c r="L76" s="1280">
        <f>+'FA - Historical Financials'!L137+'STER - Historical Financials'!L115</f>
        <v>0</v>
      </c>
      <c r="M76" s="1280">
        <f>+'FA - Historical Financials'!M137+'STER - Historical Financials'!M115</f>
        <v>0</v>
      </c>
      <c r="N76" s="1308">
        <f>+'FA - Historical Financials'!N137+'STER - Historical Financials'!N115</f>
        <v>0</v>
      </c>
      <c r="O76" s="1280">
        <f>+'FA - Historical Financials'!O137+'STER - Historical Financials'!O115</f>
        <v>0</v>
      </c>
      <c r="P76" s="1280">
        <f>+'FA - Historical Financials'!P137+'STER - Historical Financials'!P115</f>
        <v>0</v>
      </c>
      <c r="Q76" s="1280">
        <f>+'FA - Historical Financials'!Q137+'STER - Historical Financials'!Q115</f>
        <v>0</v>
      </c>
      <c r="R76" s="1308">
        <f>+'FA - Historical Financials'!R137+'STER - Historical Financials'!R115</f>
        <v>0</v>
      </c>
      <c r="S76" s="1309">
        <f>+'FA - Historical Financials'!S137+'STER - Historical Financials'!S115</f>
        <v>0</v>
      </c>
      <c r="T76" s="1280">
        <f>+'FA - Historical Financials'!T137+'STER - Historical Financials'!T115</f>
        <v>0</v>
      </c>
      <c r="U76" s="1280">
        <f>+'FA - Historical Financials'!U137+'STER - Historical Financials'!U115</f>
        <v>-217.68299999999999</v>
      </c>
      <c r="V76" s="1280">
        <f>+'FA - Historical Financials'!V137+'STER - Historical Financials'!V115</f>
        <v>-5.6000000000011596E-2</v>
      </c>
      <c r="W76" s="1309">
        <f>+'FA - Historical Financials'!W137+'STER - Historical Financials'!W115</f>
        <v>-1.2E-2</v>
      </c>
      <c r="X76" s="1280">
        <f>+'FA - Historical Financials'!X137+'STER - Historical Financials'!X115</f>
        <v>-0.19199999999999998</v>
      </c>
      <c r="Y76" s="1310">
        <f>+'FA - Historical Financials'!Y137+'STER - Historical Financials'!Y115</f>
        <v>-7.0000000000000166E-3</v>
      </c>
      <c r="Z76" s="1308"/>
      <c r="AA76" s="1280"/>
      <c r="AB76" s="1280"/>
      <c r="AC76" s="1280"/>
      <c r="AD76" s="1280"/>
      <c r="AE76" s="1280"/>
      <c r="AF76" s="1280"/>
      <c r="AG76" s="1280">
        <f>+'FA - Historical Financials'!AG137+'STER - Historical Financials'!AG115</f>
        <v>0</v>
      </c>
      <c r="AH76" s="1280">
        <f>+'FA - Historical Financials'!AH137+'STER - Historical Financials'!AH115</f>
        <v>0</v>
      </c>
      <c r="AI76" s="1280">
        <f>+'FA - Historical Financials'!AI137+'STER - Historical Financials'!AI115</f>
        <v>0</v>
      </c>
      <c r="AJ76" s="1280">
        <f>+'FA - Historical Financials'!AJ137+'STER - Historical Financials'!AJ115</f>
        <v>0</v>
      </c>
      <c r="AK76" s="1310">
        <f>+'FA - Historical Financials'!AK137+'STER - Historical Financials'!AK115</f>
        <v>-217.739</v>
      </c>
      <c r="AL76" s="1291"/>
      <c r="AM76" s="1291"/>
    </row>
    <row r="77" spans="1:45" s="1307" customFormat="1" ht="17.25" customHeight="1" x14ac:dyDescent="0.35">
      <c r="A77" s="1272" t="s">
        <v>152</v>
      </c>
      <c r="C77" s="1280"/>
      <c r="D77" s="1280"/>
      <c r="E77" s="1280"/>
      <c r="F77" s="1308"/>
      <c r="G77" s="1280">
        <f>+'PF Basic Historical Fin'!G154</f>
        <v>0</v>
      </c>
      <c r="H77" s="1280">
        <f>+'PF Basic Historical Fin'!H154</f>
        <v>0</v>
      </c>
      <c r="I77" s="1280">
        <f>+'PF Basic Historical Fin'!I154</f>
        <v>0</v>
      </c>
      <c r="J77" s="1308">
        <f>+'PF Basic Historical Fin'!J154</f>
        <v>0</v>
      </c>
      <c r="K77" s="1280">
        <f>+'PF Basic Historical Fin'!K154</f>
        <v>-8.3260000000000005</v>
      </c>
      <c r="L77" s="1280">
        <f>+'PF Basic Historical Fin'!L154</f>
        <v>-0.73799999999999999</v>
      </c>
      <c r="M77" s="1280">
        <f>+'PF Basic Historical Fin'!M154</f>
        <v>-0.73799999999999999</v>
      </c>
      <c r="N77" s="1308">
        <f>+'PF Basic Historical Fin'!N154</f>
        <v>-108.40699999999998</v>
      </c>
      <c r="O77" s="1280">
        <f>+'PF Basic Historical Fin'!O154</f>
        <v>-18.920000000000002</v>
      </c>
      <c r="P77" s="1280">
        <f>+'PF Basic Historical Fin'!P154</f>
        <v>-0.12399999999999878</v>
      </c>
      <c r="Q77" s="1280">
        <f>+'PF Basic Historical Fin'!Q154</f>
        <v>0</v>
      </c>
      <c r="R77" s="1308">
        <f>+'PF Basic Historical Fin'!R154</f>
        <v>-7.9999999999991189E-3</v>
      </c>
      <c r="S77" s="1309">
        <f>+'PF Basic Historical Fin'!S154</f>
        <v>-48.802</v>
      </c>
      <c r="T77" s="1280">
        <f>+'PF Basic Historical Fin'!T154</f>
        <v>0</v>
      </c>
      <c r="U77" s="1280">
        <f>+'PF Basic Historical Fin'!U154</f>
        <v>-41.122</v>
      </c>
      <c r="V77" s="1280">
        <f>+'PF Basic Historical Fin'!V154</f>
        <v>0</v>
      </c>
      <c r="W77" s="1309">
        <f>+'PF Basic Historical Fin'!W154</f>
        <v>-70.478999999999999</v>
      </c>
      <c r="X77" s="1280">
        <f>+'PF Basic Historical Fin'!X154</f>
        <v>0</v>
      </c>
      <c r="Y77" s="1310">
        <f>+'PF Basic Historical Fin'!Y154</f>
        <v>2.5000000000000001E-2</v>
      </c>
      <c r="Z77" s="1308">
        <f>+'PF Basic Historical Fin'!Z154</f>
        <v>0</v>
      </c>
      <c r="AA77" s="1280"/>
      <c r="AB77" s="1280"/>
      <c r="AC77" s="1280"/>
      <c r="AD77" s="1280"/>
      <c r="AE77" s="1280"/>
      <c r="AF77" s="1280"/>
      <c r="AG77" s="1280">
        <f>+'PF Basic Historical Fin'!AG154</f>
        <v>0</v>
      </c>
      <c r="AH77" s="1280">
        <f>+'PF Basic Historical Fin'!AH154</f>
        <v>0</v>
      </c>
      <c r="AI77" s="1280">
        <f>+'PF Basic Historical Fin'!AI154</f>
        <v>-118.20899999999999</v>
      </c>
      <c r="AJ77" s="1280">
        <f>+'PF Basic Historical Fin'!AJ154</f>
        <v>-19.052</v>
      </c>
      <c r="AK77" s="1310">
        <f>+'PF Basic Historical Fin'!AK154</f>
        <v>-89.924000000000007</v>
      </c>
      <c r="AL77" s="1291">
        <f>+'PF Basic Historical Fin'!AL154</f>
        <v>-70.453999999999994</v>
      </c>
      <c r="AM77" s="1291"/>
    </row>
    <row r="78" spans="1:45" s="1349" customFormat="1" ht="17.25" customHeight="1" x14ac:dyDescent="0.35">
      <c r="A78" s="1331"/>
      <c r="B78" s="1347"/>
      <c r="C78" s="1312"/>
      <c r="D78" s="1312"/>
      <c r="E78" s="1348"/>
      <c r="F78" s="1308"/>
      <c r="G78" s="1280"/>
      <c r="H78" s="1280"/>
      <c r="I78" s="1280"/>
      <c r="J78" s="1308"/>
      <c r="K78" s="1280"/>
      <c r="L78" s="1280"/>
      <c r="M78" s="1280"/>
      <c r="N78" s="1308"/>
      <c r="O78" s="1280"/>
      <c r="P78" s="1280"/>
      <c r="Q78" s="1280"/>
      <c r="R78" s="1308"/>
      <c r="S78" s="1309"/>
      <c r="T78" s="1280"/>
      <c r="U78" s="1280"/>
      <c r="V78" s="1280"/>
      <c r="W78" s="1309"/>
      <c r="X78" s="1280"/>
      <c r="Y78" s="1310"/>
      <c r="Z78" s="1308"/>
      <c r="AA78" s="1280"/>
      <c r="AB78" s="1280"/>
      <c r="AC78" s="1280"/>
      <c r="AD78" s="1280"/>
      <c r="AE78" s="1280"/>
      <c r="AF78" s="1280"/>
      <c r="AG78" s="1280"/>
      <c r="AH78" s="1280"/>
      <c r="AI78" s="1280"/>
      <c r="AJ78" s="1280"/>
      <c r="AK78" s="1310"/>
      <c r="AL78" s="1280"/>
      <c r="AM78" s="1280"/>
      <c r="AN78" s="1307"/>
      <c r="AO78" s="1307"/>
      <c r="AP78" s="1307"/>
      <c r="AQ78" s="1307"/>
      <c r="AR78" s="1307"/>
      <c r="AS78" s="1307"/>
    </row>
    <row r="79" spans="1:45" s="1349" customFormat="1" ht="17.25" customHeight="1" x14ac:dyDescent="0.35">
      <c r="A79" s="1285" t="s">
        <v>153</v>
      </c>
      <c r="B79" s="1307"/>
      <c r="C79" s="1280"/>
      <c r="D79" s="1280"/>
      <c r="E79" s="1280"/>
      <c r="F79" s="1308"/>
      <c r="G79" s="1280"/>
      <c r="H79" s="1280"/>
      <c r="I79" s="1280"/>
      <c r="J79" s="1308"/>
      <c r="K79" s="1280"/>
      <c r="L79" s="1280"/>
      <c r="M79" s="1280"/>
      <c r="N79" s="1308"/>
      <c r="O79" s="1280"/>
      <c r="P79" s="1280"/>
      <c r="Q79" s="1280"/>
      <c r="R79" s="1308"/>
      <c r="S79" s="1309"/>
      <c r="T79" s="1280"/>
      <c r="U79" s="1280"/>
      <c r="V79" s="1280"/>
      <c r="W79" s="1309"/>
      <c r="X79" s="1280"/>
      <c r="Y79" s="1310"/>
      <c r="Z79" s="1308"/>
      <c r="AA79" s="1280"/>
      <c r="AB79" s="1280"/>
      <c r="AC79" s="1280"/>
      <c r="AD79" s="1280"/>
      <c r="AE79" s="1280"/>
      <c r="AF79" s="1280"/>
      <c r="AG79" s="1280"/>
      <c r="AH79" s="1280"/>
      <c r="AI79" s="1280"/>
      <c r="AJ79" s="1280"/>
      <c r="AK79" s="1310"/>
      <c r="AL79" s="1280"/>
      <c r="AM79" s="1280"/>
      <c r="AN79" s="1307"/>
      <c r="AO79" s="1307"/>
      <c r="AP79" s="1307"/>
    </row>
    <row r="80" spans="1:45" s="1349" customFormat="1" ht="17.25" customHeight="1" x14ac:dyDescent="0.35">
      <c r="A80" s="1301"/>
      <c r="B80" s="1307"/>
      <c r="C80" s="1280"/>
      <c r="D80" s="1280"/>
      <c r="E80" s="1280"/>
      <c r="F80" s="1308"/>
      <c r="G80" s="1280"/>
      <c r="H80" s="1280"/>
      <c r="I80" s="1280"/>
      <c r="J80" s="1308"/>
      <c r="K80" s="1280"/>
      <c r="L80" s="1280"/>
      <c r="M80" s="1280"/>
      <c r="N80" s="1308"/>
      <c r="O80" s="1280"/>
      <c r="P80" s="1280"/>
      <c r="Q80" s="1280"/>
      <c r="R80" s="1308"/>
      <c r="S80" s="1309"/>
      <c r="T80" s="1280"/>
      <c r="U80" s="1280"/>
      <c r="V80" s="1280"/>
      <c r="W80" s="1309"/>
      <c r="X80" s="1280"/>
      <c r="Y80" s="1310"/>
      <c r="Z80" s="1308"/>
      <c r="AA80" s="1280"/>
      <c r="AB80" s="1280"/>
      <c r="AC80" s="1280"/>
      <c r="AD80" s="1280"/>
      <c r="AE80" s="1280"/>
      <c r="AF80" s="1280"/>
      <c r="AG80" s="1280"/>
      <c r="AH80" s="1280"/>
      <c r="AI80" s="1280"/>
      <c r="AJ80" s="1280"/>
      <c r="AK80" s="1310"/>
      <c r="AL80" s="1280"/>
      <c r="AM80" s="1280"/>
      <c r="AN80" s="1307"/>
      <c r="AO80" s="1307"/>
      <c r="AP80" s="1307"/>
    </row>
    <row r="81" spans="1:39" s="1307" customFormat="1" ht="17.25" customHeight="1" x14ac:dyDescent="0.35">
      <c r="A81" s="1317" t="s">
        <v>154</v>
      </c>
      <c r="C81" s="1280"/>
      <c r="D81" s="1280"/>
      <c r="E81" s="1280"/>
      <c r="F81" s="1308"/>
      <c r="G81" s="1280"/>
      <c r="H81" s="1280"/>
      <c r="I81" s="1280"/>
      <c r="J81" s="1308"/>
      <c r="K81" s="1280"/>
      <c r="L81" s="1280"/>
      <c r="M81" s="1280"/>
      <c r="N81" s="1308"/>
      <c r="O81" s="1280"/>
      <c r="P81" s="1280"/>
      <c r="Q81" s="1280"/>
      <c r="R81" s="1308"/>
      <c r="S81" s="1309"/>
      <c r="T81" s="1280"/>
      <c r="U81" s="1280"/>
      <c r="V81" s="1280"/>
      <c r="W81" s="1309"/>
      <c r="X81" s="1280"/>
      <c r="Y81" s="1310"/>
      <c r="Z81" s="1308"/>
      <c r="AA81" s="1280"/>
      <c r="AB81" s="1280"/>
      <c r="AC81" s="1280"/>
      <c r="AD81" s="1280"/>
      <c r="AE81" s="1280"/>
      <c r="AF81" s="1280"/>
      <c r="AG81" s="1280"/>
      <c r="AH81" s="1280"/>
      <c r="AI81" s="1280"/>
      <c r="AJ81" s="1280"/>
      <c r="AK81" s="1310"/>
      <c r="AL81" s="1291"/>
      <c r="AM81" s="1291"/>
    </row>
    <row r="82" spans="1:39" s="1307" customFormat="1" ht="17.25" customHeight="1" x14ac:dyDescent="0.35">
      <c r="A82" s="1272" t="s">
        <v>155</v>
      </c>
      <c r="C82" s="1280"/>
      <c r="D82" s="1280"/>
      <c r="E82" s="1280"/>
      <c r="F82" s="1308"/>
      <c r="G82" s="1280">
        <f>+'FA - Detailed Disclosure'!G225+'FA - Detailed Disclosure'!G227+'STER - Detailed Disclosure (mm)'!G112</f>
        <v>130.38800000000001</v>
      </c>
      <c r="H82" s="1280">
        <f>+'FA - Detailed Disclosure'!H225+'FA - Detailed Disclosure'!H227+'STER - Detailed Disclosure (mm)'!H112</f>
        <v>117.60899999999999</v>
      </c>
      <c r="I82" s="1280">
        <f>+'FA - Detailed Disclosure'!I225+'FA - Detailed Disclosure'!I227+'STER - Detailed Disclosure (mm)'!I112</f>
        <v>124.37700000000001</v>
      </c>
      <c r="J82" s="1308">
        <f>+'FA - Detailed Disclosure'!J225+'FA - Detailed Disclosure'!J227+'STER - Detailed Disclosure (mm)'!J112</f>
        <v>220.71800000000002</v>
      </c>
      <c r="K82" s="1280">
        <f>+'FA - Detailed Disclosure'!K225+'FA - Detailed Disclosure'!K227+'STER - Detailed Disclosure (mm)'!K112</f>
        <v>114.172</v>
      </c>
      <c r="L82" s="1280">
        <f>+'FA - Detailed Disclosure'!L225+'FA - Detailed Disclosure'!L227+'STER - Detailed Disclosure (mm)'!L112</f>
        <v>352.76499999999999</v>
      </c>
      <c r="M82" s="1280">
        <f>+'FA - Detailed Disclosure'!M225+'FA - Detailed Disclosure'!M227+'STER - Detailed Disclosure (mm)'!M112</f>
        <v>468.89300000000003</v>
      </c>
      <c r="N82" s="1308">
        <f>+'FA - Detailed Disclosure'!N225+'FA - Detailed Disclosure'!N227+'STER - Detailed Disclosure (mm)'!N112</f>
        <v>341.58099999999996</v>
      </c>
      <c r="O82" s="1280">
        <f>+'FA - Detailed Disclosure'!O225+'FA - Detailed Disclosure'!O227+'STER - Detailed Disclosure (mm)'!O112</f>
        <v>352.94499999999999</v>
      </c>
      <c r="P82" s="1280">
        <f>+'FA - Detailed Disclosure'!P225+'FA - Detailed Disclosure'!P227+'STER - Detailed Disclosure (mm)'!P112</f>
        <v>418.96600000000001</v>
      </c>
      <c r="Q82" s="1280">
        <f>+'FA - Detailed Disclosure'!Q225+'FA - Detailed Disclosure'!Q227+'STER - Detailed Disclosure (mm)'!Q112</f>
        <v>489.452</v>
      </c>
      <c r="R82" s="1308">
        <f>+'FA - Detailed Disclosure'!R225+'FA - Detailed Disclosure'!R227+'STER - Detailed Disclosure (mm)'!R112</f>
        <v>496.70600000000002</v>
      </c>
      <c r="S82" s="1309">
        <f>+'FA - Detailed Disclosure'!S225+'FA - Detailed Disclosure'!S227+'STER - Detailed Disclosure (mm)'!S112</f>
        <v>453.07400000000001</v>
      </c>
      <c r="T82" s="1280">
        <f>+'FA - Detailed Disclosure'!T225+'FA - Detailed Disclosure'!T227+'STER - Detailed Disclosure (mm)'!T112</f>
        <v>450.02000000000004</v>
      </c>
      <c r="U82" s="1280">
        <f>+'FA - Detailed Disclosure'!U225+'FA - Detailed Disclosure'!U227+'STER - Detailed Disclosure (mm)'!U112</f>
        <v>216.91800000000001</v>
      </c>
      <c r="V82" s="1280">
        <f>+'FA - Detailed Disclosure'!V225+'FA - Detailed Disclosure'!V227+'STER - Detailed Disclosure (mm)'!V112</f>
        <v>267.99799999999999</v>
      </c>
      <c r="W82" s="1309">
        <f>+'FA - Detailed Disclosure'!W225+'FA - Detailed Disclosure'!W227+'STER - Detailed Disclosure (mm)'!W112</f>
        <v>312.41500000000002</v>
      </c>
      <c r="X82" s="1280">
        <f>+'FA - Detailed Disclosure'!X225+'FA - Detailed Disclosure'!X227+'STER - Detailed Disclosure (mm)'!X112</f>
        <v>343.745</v>
      </c>
      <c r="Y82" s="2355" t="s">
        <v>126</v>
      </c>
      <c r="Z82" s="1308"/>
      <c r="AA82" s="1280"/>
      <c r="AB82" s="1280"/>
      <c r="AC82" s="1280"/>
      <c r="AD82" s="1280"/>
      <c r="AE82" s="1280"/>
      <c r="AF82" s="1280"/>
      <c r="AG82" s="1280">
        <f>+'FA - Detailed Disclosure'!AI225+'FA - Detailed Disclosure'!AI227+'STER - Detailed Disclosure (mm)'!AQ112</f>
        <v>132.245</v>
      </c>
      <c r="AH82" s="1280">
        <f>+'FA - Detailed Disclosure'!AJ225+'FA - Detailed Disclosure'!AJ227+'STER - Detailed Disclosure (mm)'!AR112</f>
        <v>220.71800000000002</v>
      </c>
      <c r="AI82" s="1280">
        <f>+'FA - Detailed Disclosure'!AK225+'FA - Detailed Disclosure'!AK227+'STER - Detailed Disclosure (mm)'!AS112</f>
        <v>341.58099999999996</v>
      </c>
      <c r="AJ82" s="1280">
        <f>+'FA - Detailed Disclosure'!AL225+'FA - Detailed Disclosure'!AL227+'STER - Detailed Disclosure (mm)'!AT112</f>
        <v>496.70600000000002</v>
      </c>
      <c r="AK82" s="1310">
        <f>+'FA - Detailed Disclosure'!AM225+'FA - Detailed Disclosure'!AM227+'STER - Detailed Disclosure (mm)'!AU112</f>
        <v>267.99799999999999</v>
      </c>
      <c r="AL82" s="1291"/>
      <c r="AM82" s="1291"/>
    </row>
    <row r="83" spans="1:39" s="1307" customFormat="1" ht="17.25" customHeight="1" x14ac:dyDescent="0.35">
      <c r="A83" s="1272" t="str">
        <f>+'FA - Detailed Disclosure'!A228</f>
        <v xml:space="preserve">Accounts receivable </v>
      </c>
      <c r="C83" s="1280"/>
      <c r="D83" s="1280"/>
      <c r="E83" s="1280"/>
      <c r="F83" s="1308"/>
      <c r="G83" s="1280">
        <f>+'FA - Detailed Disclosure'!G228+'STER - Detailed Disclosure (mm)'!G113</f>
        <v>86.91</v>
      </c>
      <c r="H83" s="1280">
        <f>+'FA - Detailed Disclosure'!H228+'STER - Detailed Disclosure (mm)'!H113</f>
        <v>75.42</v>
      </c>
      <c r="I83" s="1280">
        <f>+'FA - Detailed Disclosure'!I228+'STER - Detailed Disclosure (mm)'!I113</f>
        <v>103.312</v>
      </c>
      <c r="J83" s="1308">
        <f>+'FA - Detailed Disclosure'!J228+'STER - Detailed Disclosure (mm)'!J113</f>
        <v>191.744</v>
      </c>
      <c r="K83" s="1280">
        <f>+'FA - Detailed Disclosure'!K228+'STER - Detailed Disclosure (mm)'!K113</f>
        <v>104.694</v>
      </c>
      <c r="L83" s="1280">
        <f>+'FA - Detailed Disclosure'!L228+'STER - Detailed Disclosure (mm)'!L113</f>
        <v>233.744</v>
      </c>
      <c r="M83" s="1280">
        <f>+'FA - Detailed Disclosure'!M228+'STER - Detailed Disclosure (mm)'!M113</f>
        <v>266.95</v>
      </c>
      <c r="N83" s="1308">
        <f>+'FA - Detailed Disclosure'!N228+'STER - Detailed Disclosure (mm)'!N113</f>
        <v>283.69900000000001</v>
      </c>
      <c r="O83" s="1280">
        <f>+'FA - Detailed Disclosure'!O228+'STER - Detailed Disclosure (mm)'!O113</f>
        <v>296.11200000000002</v>
      </c>
      <c r="P83" s="1280">
        <f>+'FA - Detailed Disclosure'!P228+'STER - Detailed Disclosure (mm)'!P113</f>
        <v>308.55500000000001</v>
      </c>
      <c r="Q83" s="1280">
        <f>+'FA - Detailed Disclosure'!Q228+'STER - Detailed Disclosure (mm)'!Q113</f>
        <v>310.74700000000001</v>
      </c>
      <c r="R83" s="1308">
        <f>+'FA - Detailed Disclosure'!R228+'STER - Detailed Disclosure (mm)'!R113</f>
        <v>283.39</v>
      </c>
      <c r="S83" s="1309">
        <f>+'FA - Detailed Disclosure'!S228+'STER - Detailed Disclosure (mm)'!S113</f>
        <v>275.08499999999998</v>
      </c>
      <c r="T83" s="1280">
        <f>+'FA - Detailed Disclosure'!T228+'STER - Detailed Disclosure (mm)'!T113</f>
        <v>291.24199999999996</v>
      </c>
      <c r="U83" s="1280">
        <f>+'FA - Detailed Disclosure'!U228+'STER - Detailed Disclosure (mm)'!U113</f>
        <v>308.84699999999998</v>
      </c>
      <c r="V83" s="1280">
        <f>+'FA - Detailed Disclosure'!V228+'STER - Detailed Disclosure (mm)'!V113</f>
        <v>284.86900000000003</v>
      </c>
      <c r="W83" s="1309">
        <f>+'FA - Detailed Disclosure'!W228+'STER - Detailed Disclosure (mm)'!W113</f>
        <v>286.40300000000002</v>
      </c>
      <c r="X83" s="1280">
        <f>+'FA - Detailed Disclosure'!X228+'STER - Detailed Disclosure (mm)'!X113</f>
        <v>302.81799999999998</v>
      </c>
      <c r="Y83" s="2355" t="s">
        <v>126</v>
      </c>
      <c r="Z83" s="1308"/>
      <c r="AA83" s="1280"/>
      <c r="AB83" s="1280"/>
      <c r="AC83" s="1280"/>
      <c r="AD83" s="1280"/>
      <c r="AE83" s="1280"/>
      <c r="AF83" s="1280"/>
      <c r="AG83" s="1280">
        <f>+'FA - Detailed Disclosure'!AI228+'STER - Detailed Disclosure (mm)'!AQ113</f>
        <v>173.06299999999999</v>
      </c>
      <c r="AH83" s="1280">
        <f>+'FA - Detailed Disclosure'!AJ228+'STER - Detailed Disclosure (mm)'!AR113</f>
        <v>191.744</v>
      </c>
      <c r="AI83" s="1280">
        <f>+'FA - Detailed Disclosure'!AK228+'STER - Detailed Disclosure (mm)'!AS113</f>
        <v>283.69900000000001</v>
      </c>
      <c r="AJ83" s="1280">
        <f>+'FA - Detailed Disclosure'!AL228+'STER - Detailed Disclosure (mm)'!AT113</f>
        <v>283.39</v>
      </c>
      <c r="AK83" s="1310">
        <f>+'FA - Detailed Disclosure'!AM228+'STER - Detailed Disclosure (mm)'!AU113</f>
        <v>284.86900000000003</v>
      </c>
      <c r="AL83" s="1291"/>
      <c r="AM83" s="1291"/>
    </row>
    <row r="84" spans="1:39" s="1349" customFormat="1" ht="17.25" customHeight="1" x14ac:dyDescent="0.65">
      <c r="A84" s="1272" t="s">
        <v>156</v>
      </c>
      <c r="B84" s="1347"/>
      <c r="C84" s="1300"/>
      <c r="D84" s="1300"/>
      <c r="E84" s="1300"/>
      <c r="F84" s="1353"/>
      <c r="G84" s="1300">
        <f t="shared" ref="G84:W84" si="66">+G85-G82-G83</f>
        <v>13.180000000000007</v>
      </c>
      <c r="H84" s="1300">
        <f t="shared" si="66"/>
        <v>11.655000000000001</v>
      </c>
      <c r="I84" s="1300">
        <f t="shared" si="66"/>
        <v>16.605000000000032</v>
      </c>
      <c r="J84" s="1353">
        <f t="shared" si="66"/>
        <v>28.198000000000008</v>
      </c>
      <c r="K84" s="1300">
        <f t="shared" si="66"/>
        <v>16.171000000000006</v>
      </c>
      <c r="L84" s="1300">
        <f t="shared" si="66"/>
        <v>32.90900000000002</v>
      </c>
      <c r="M84" s="1300">
        <f t="shared" si="66"/>
        <v>35.228999999999871</v>
      </c>
      <c r="N84" s="1353">
        <f t="shared" si="66"/>
        <v>40.877999999999929</v>
      </c>
      <c r="O84" s="1300">
        <f t="shared" si="66"/>
        <v>50.364000000000033</v>
      </c>
      <c r="P84" s="1300">
        <f t="shared" si="66"/>
        <v>53.739999999999952</v>
      </c>
      <c r="Q84" s="1300">
        <f t="shared" si="66"/>
        <v>53.281999999999982</v>
      </c>
      <c r="R84" s="1353">
        <f t="shared" si="66"/>
        <v>56.781000000000063</v>
      </c>
      <c r="S84" s="1354">
        <f t="shared" si="66"/>
        <v>54.087999999999965</v>
      </c>
      <c r="T84" s="1300">
        <f t="shared" si="66"/>
        <v>70.628999999999962</v>
      </c>
      <c r="U84" s="1300">
        <f t="shared" si="66"/>
        <v>62.414999999999964</v>
      </c>
      <c r="V84" s="1300">
        <f t="shared" si="66"/>
        <v>45.661999999999978</v>
      </c>
      <c r="W84" s="1354">
        <f t="shared" si="66"/>
        <v>56.050999999999988</v>
      </c>
      <c r="X84" s="1300">
        <f>+X85-X82-X83</f>
        <v>59.938999999999965</v>
      </c>
      <c r="Y84" s="2356" t="s">
        <v>126</v>
      </c>
      <c r="Z84" s="1353"/>
      <c r="AA84" s="1300"/>
      <c r="AB84" s="1300"/>
      <c r="AC84" s="1300"/>
      <c r="AD84" s="1300"/>
      <c r="AE84" s="1312"/>
      <c r="AF84" s="1300"/>
      <c r="AG84" s="1300">
        <f t="shared" ref="AG84" si="67">+AG85-AG82-AG83</f>
        <v>43.72199999999998</v>
      </c>
      <c r="AH84" s="1300">
        <f t="shared" ref="AH84" si="68">+AH85-AH82-AH83</f>
        <v>28.198000000000008</v>
      </c>
      <c r="AI84" s="1300">
        <f t="shared" ref="AI84" si="69">+AI85-AI82-AI83</f>
        <v>40.877999999999929</v>
      </c>
      <c r="AJ84" s="1300">
        <f t="shared" ref="AJ84" si="70">+AJ85-AJ82-AJ83</f>
        <v>56.781000000000063</v>
      </c>
      <c r="AK84" s="1355">
        <f t="shared" ref="AK84" si="71">+AK85-AK82-AK83</f>
        <v>45.661999999999978</v>
      </c>
      <c r="AL84" s="1300"/>
      <c r="AM84" s="1300"/>
    </row>
    <row r="85" spans="1:39" s="1349" customFormat="1" ht="17.25" customHeight="1" x14ac:dyDescent="0.35">
      <c r="A85" s="1306" t="s">
        <v>157</v>
      </c>
      <c r="B85" s="1347"/>
      <c r="C85" s="1280"/>
      <c r="D85" s="1280"/>
      <c r="E85" s="1280"/>
      <c r="F85" s="1308"/>
      <c r="G85" s="1280">
        <f>+'FA - Detailed Disclosure'!G231+'STER - Detailed Disclosure (mm)'!G118</f>
        <v>230.47800000000001</v>
      </c>
      <c r="H85" s="1280">
        <f>+'FA - Detailed Disclosure'!H231+'STER - Detailed Disclosure (mm)'!H118</f>
        <v>204.684</v>
      </c>
      <c r="I85" s="1280">
        <f>+'FA - Detailed Disclosure'!I231+'STER - Detailed Disclosure (mm)'!I118</f>
        <v>244.29400000000004</v>
      </c>
      <c r="J85" s="1308">
        <f>+'FA - Detailed Disclosure'!J231+'STER - Detailed Disclosure (mm)'!J118</f>
        <v>440.66</v>
      </c>
      <c r="K85" s="1280">
        <f>+'FA - Detailed Disclosure'!K231+'STER - Detailed Disclosure (mm)'!K118</f>
        <v>235.03700000000001</v>
      </c>
      <c r="L85" s="1280">
        <f>+'FA - Detailed Disclosure'!L231+'STER - Detailed Disclosure (mm)'!L118</f>
        <v>619.41800000000001</v>
      </c>
      <c r="M85" s="1280">
        <f>+'FA - Detailed Disclosure'!M231+'STER - Detailed Disclosure (mm)'!M118</f>
        <v>771.07199999999989</v>
      </c>
      <c r="N85" s="1308">
        <f>+'FA - Detailed Disclosure'!N231+'STER - Detailed Disclosure (mm)'!N118</f>
        <v>666.1579999999999</v>
      </c>
      <c r="O85" s="1280">
        <f>+'FA - Detailed Disclosure'!O231+'STER - Detailed Disclosure (mm)'!O118</f>
        <v>699.42100000000005</v>
      </c>
      <c r="P85" s="1280">
        <f>+'FA - Detailed Disclosure'!P231+'STER - Detailed Disclosure (mm)'!P118</f>
        <v>781.26099999999997</v>
      </c>
      <c r="Q85" s="1280">
        <f>+'FA - Detailed Disclosure'!Q231+'STER - Detailed Disclosure (mm)'!Q118</f>
        <v>853.48099999999999</v>
      </c>
      <c r="R85" s="1308">
        <f>+'FA - Detailed Disclosure'!R231+'STER - Detailed Disclosure (mm)'!R118</f>
        <v>836.87700000000007</v>
      </c>
      <c r="S85" s="1309">
        <f>+'FA - Detailed Disclosure'!S231+'STER - Detailed Disclosure (mm)'!S118</f>
        <v>782.24699999999996</v>
      </c>
      <c r="T85" s="1280">
        <f>+'FA - Detailed Disclosure'!T231+'STER - Detailed Disclosure (mm)'!T118</f>
        <v>811.89099999999996</v>
      </c>
      <c r="U85" s="1280">
        <f>+'FA - Detailed Disclosure'!U231+'STER - Detailed Disclosure (mm)'!U118</f>
        <v>588.17999999999995</v>
      </c>
      <c r="V85" s="1280">
        <f>+'FA - Detailed Disclosure'!V231+'STER - Detailed Disclosure (mm)'!V118</f>
        <v>598.529</v>
      </c>
      <c r="W85" s="1309">
        <f>+'FA - Detailed Disclosure'!W231+'STER - Detailed Disclosure (mm)'!W118</f>
        <v>654.86900000000003</v>
      </c>
      <c r="X85" s="1280">
        <f>+'FA - Detailed Disclosure'!X231+'STER - Detailed Disclosure (mm)'!X118</f>
        <v>706.50199999999995</v>
      </c>
      <c r="Y85" s="2355" t="s">
        <v>126</v>
      </c>
      <c r="Z85" s="1308"/>
      <c r="AA85" s="1280"/>
      <c r="AB85" s="1280"/>
      <c r="AC85" s="1280"/>
      <c r="AD85" s="1280"/>
      <c r="AE85" s="1312"/>
      <c r="AF85" s="1280"/>
      <c r="AG85" s="1280">
        <f>+'FA - Detailed Disclosure'!AI231+'STER - Detailed Disclosure (mm)'!AQ118</f>
        <v>349.03</v>
      </c>
      <c r="AH85" s="1280">
        <f>+'FA - Detailed Disclosure'!AJ231+'STER - Detailed Disclosure (mm)'!AR118</f>
        <v>440.66</v>
      </c>
      <c r="AI85" s="1280">
        <f>+'FA - Detailed Disclosure'!AK231+'STER - Detailed Disclosure (mm)'!AS118</f>
        <v>666.1579999999999</v>
      </c>
      <c r="AJ85" s="1280">
        <f>+'FA - Detailed Disclosure'!AL231+'STER - Detailed Disclosure (mm)'!AT118</f>
        <v>836.87700000000007</v>
      </c>
      <c r="AK85" s="1310">
        <f>+'FA - Detailed Disclosure'!AM231+'STER - Detailed Disclosure (mm)'!AU118</f>
        <v>598.529</v>
      </c>
      <c r="AL85" s="1280"/>
      <c r="AM85" s="1280"/>
    </row>
    <row r="86" spans="1:39" s="1349" customFormat="1" ht="17.25" customHeight="1" x14ac:dyDescent="0.35">
      <c r="A86" s="1306" t="s">
        <v>158</v>
      </c>
      <c r="B86" s="1347"/>
      <c r="C86" s="1280"/>
      <c r="D86" s="1280"/>
      <c r="E86" s="1280"/>
      <c r="F86" s="1308"/>
      <c r="G86" s="1280">
        <f>+'FA - Detailed Disclosure'!G233+'STER - Detailed Disclosure (mm)'!G120</f>
        <v>762.76</v>
      </c>
      <c r="H86" s="1280">
        <f>+'FA - Detailed Disclosure'!H233+'STER - Detailed Disclosure (mm)'!H120</f>
        <v>763.99</v>
      </c>
      <c r="I86" s="1280">
        <f>+'FA - Detailed Disclosure'!I233+'STER - Detailed Disclosure (mm)'!I120</f>
        <v>767.90200000000004</v>
      </c>
      <c r="J86" s="1308">
        <f>+'FA - Detailed Disclosure'!J233+'STER - Detailed Disclosure (mm)'!J120</f>
        <v>1601.8890000000001</v>
      </c>
      <c r="K86" s="1280">
        <f>+'FA - Detailed Disclosure'!K233+'STER - Detailed Disclosure (mm)'!K120</f>
        <v>775.09299999999996</v>
      </c>
      <c r="L86" s="1280">
        <f>+'FA - Detailed Disclosure'!L233+'STER - Detailed Disclosure (mm)'!L120</f>
        <v>1605.9059999999999</v>
      </c>
      <c r="M86" s="1280">
        <f>+'FA - Detailed Disclosure'!M233+'STER - Detailed Disclosure (mm)'!M120</f>
        <v>1603.348</v>
      </c>
      <c r="N86" s="1308">
        <f>+'FA - Detailed Disclosure'!N233+'STER - Detailed Disclosure (mm)'!N120</f>
        <v>1646.4279999999999</v>
      </c>
      <c r="O86" s="1280">
        <f>+'FA - Detailed Disclosure'!O233+'STER - Detailed Disclosure (mm)'!O120</f>
        <v>1654.3209999999999</v>
      </c>
      <c r="P86" s="1280">
        <f>+'FA - Detailed Disclosure'!P233+'STER - Detailed Disclosure (mm)'!P120</f>
        <v>1646.865</v>
      </c>
      <c r="Q86" s="1280">
        <f>+'FA - Detailed Disclosure'!Q233+'STER - Detailed Disclosure (mm)'!Q120</f>
        <v>1640.9969999999998</v>
      </c>
      <c r="R86" s="1308">
        <f>+'FA - Detailed Disclosure'!R233+'STER - Detailed Disclosure (mm)'!R120</f>
        <v>1642.6890000000001</v>
      </c>
      <c r="S86" s="1309">
        <f>+'FA - Detailed Disclosure'!S233+'STER - Detailed Disclosure (mm)'!S120</f>
        <v>1670.5050000000001</v>
      </c>
      <c r="T86" s="1280">
        <f>+'FA - Detailed Disclosure'!T233+'STER - Detailed Disclosure (mm)'!T120</f>
        <v>1672.278</v>
      </c>
      <c r="U86" s="1280">
        <f>+'FA - Detailed Disclosure'!U233+'STER - Detailed Disclosure (mm)'!U120</f>
        <v>1699.3600000000001</v>
      </c>
      <c r="V86" s="1280">
        <f>+'FA - Detailed Disclosure'!V233+'STER - Detailed Disclosure (mm)'!V120</f>
        <v>1700.0619999999999</v>
      </c>
      <c r="W86" s="1309">
        <f>+'FA - Detailed Disclosure'!W233+'STER - Detailed Disclosure (mm)'!W120</f>
        <v>1722.4949999999999</v>
      </c>
      <c r="X86" s="1280">
        <f>+'FA - Detailed Disclosure'!X233+'STER - Detailed Disclosure (mm)'!X120</f>
        <v>1721.6999999999998</v>
      </c>
      <c r="Y86" s="2355" t="s">
        <v>126</v>
      </c>
      <c r="Z86" s="1308"/>
      <c r="AA86" s="1280"/>
      <c r="AB86" s="1280"/>
      <c r="AC86" s="1280"/>
      <c r="AD86" s="1280"/>
      <c r="AE86" s="1312"/>
      <c r="AF86" s="1280"/>
      <c r="AG86" s="1280">
        <f>+'FA - Detailed Disclosure'!AI233+'STER - Detailed Disclosure (mm)'!AQ120</f>
        <v>1091.8419999999999</v>
      </c>
      <c r="AH86" s="1280">
        <f>+'FA - Detailed Disclosure'!AJ233+'STER - Detailed Disclosure (mm)'!AR120</f>
        <v>1601.8890000000001</v>
      </c>
      <c r="AI86" s="1280">
        <f>+'FA - Detailed Disclosure'!AK233+'STER - Detailed Disclosure (mm)'!AS120</f>
        <v>1646.4279999999999</v>
      </c>
      <c r="AJ86" s="1280">
        <f>+'FA - Detailed Disclosure'!AL233+'STER - Detailed Disclosure (mm)'!AT120</f>
        <v>1642.6890000000001</v>
      </c>
      <c r="AK86" s="1310">
        <f>+'FA - Detailed Disclosure'!AM233+'STER - Detailed Disclosure (mm)'!AU120</f>
        <v>1700.0619999999999</v>
      </c>
      <c r="AL86" s="1280"/>
      <c r="AM86" s="1280"/>
    </row>
    <row r="87" spans="1:39" s="1349" customFormat="1" ht="17.25" customHeight="1" x14ac:dyDescent="0.65">
      <c r="A87" s="1272" t="s">
        <v>159</v>
      </c>
      <c r="B87" s="1347"/>
      <c r="C87" s="1300"/>
      <c r="D87" s="1300"/>
      <c r="E87" s="1300"/>
      <c r="F87" s="1353"/>
      <c r="G87" s="1300">
        <f t="shared" ref="G87:W87" si="72">+G88-G85-G86</f>
        <v>827.70100000000002</v>
      </c>
      <c r="H87" s="1300">
        <f t="shared" si="72"/>
        <v>792.65899999999988</v>
      </c>
      <c r="I87" s="1300">
        <f t="shared" si="72"/>
        <v>758.11899999999969</v>
      </c>
      <c r="J87" s="1353">
        <f t="shared" si="72"/>
        <v>1037.2600000000002</v>
      </c>
      <c r="K87" s="1300">
        <f t="shared" si="72"/>
        <v>692.91899999999976</v>
      </c>
      <c r="L87" s="1300">
        <f t="shared" si="72"/>
        <v>953.22700000000032</v>
      </c>
      <c r="M87" s="1300">
        <f t="shared" si="72"/>
        <v>912.06700000000001</v>
      </c>
      <c r="N87" s="1353">
        <f t="shared" si="72"/>
        <v>946.25400000000036</v>
      </c>
      <c r="O87" s="1300">
        <f t="shared" si="72"/>
        <v>944.84000000000015</v>
      </c>
      <c r="P87" s="1300">
        <f t="shared" si="72"/>
        <v>898.69200000000023</v>
      </c>
      <c r="Q87" s="1300">
        <f t="shared" si="72"/>
        <v>852.36500000000024</v>
      </c>
      <c r="R87" s="1353">
        <f t="shared" si="72"/>
        <v>813.51300000000015</v>
      </c>
      <c r="S87" s="1354">
        <f t="shared" si="72"/>
        <v>807.29300000000012</v>
      </c>
      <c r="T87" s="1300">
        <f t="shared" si="72"/>
        <v>754.5469999999998</v>
      </c>
      <c r="U87" s="1300">
        <f t="shared" si="72"/>
        <v>728.82200000000012</v>
      </c>
      <c r="V87" s="1300">
        <f t="shared" si="72"/>
        <v>695.50900000000047</v>
      </c>
      <c r="W87" s="1354">
        <f t="shared" si="72"/>
        <v>704.97499999999991</v>
      </c>
      <c r="X87" s="1300">
        <f>+X88-X85-X86</f>
        <v>670.98700000000053</v>
      </c>
      <c r="Y87" s="2356" t="s">
        <v>126</v>
      </c>
      <c r="Z87" s="1353"/>
      <c r="AA87" s="1300"/>
      <c r="AB87" s="1300"/>
      <c r="AC87" s="1300"/>
      <c r="AD87" s="1300"/>
      <c r="AE87" s="1312"/>
      <c r="AF87" s="1300"/>
      <c r="AG87" s="1300">
        <f t="shared" ref="AG87" si="73">+AG88-AG85-AG86</f>
        <v>494.61000000000013</v>
      </c>
      <c r="AH87" s="1300">
        <f t="shared" ref="AH87" si="74">+AH88-AH85-AH86</f>
        <v>1037.2600000000002</v>
      </c>
      <c r="AI87" s="1300">
        <f t="shared" ref="AI87" si="75">+AI88-AI85-AI86</f>
        <v>946.25400000000036</v>
      </c>
      <c r="AJ87" s="1300">
        <f t="shared" ref="AJ87" si="76">+AJ88-AJ85-AJ86</f>
        <v>813.51300000000015</v>
      </c>
      <c r="AK87" s="1355">
        <f t="shared" ref="AK87" si="77">+AK88-AK85-AK86</f>
        <v>695.50900000000047</v>
      </c>
      <c r="AL87" s="1300"/>
      <c r="AM87" s="1300"/>
    </row>
    <row r="88" spans="1:39" s="1349" customFormat="1" ht="17.25" customHeight="1" x14ac:dyDescent="0.35">
      <c r="A88" s="1306" t="s">
        <v>160</v>
      </c>
      <c r="B88" s="1347"/>
      <c r="C88" s="1280"/>
      <c r="D88" s="1280"/>
      <c r="E88" s="1280"/>
      <c r="F88" s="1308"/>
      <c r="G88" s="1280">
        <f>+'FA - Detailed Disclosure'!G238+'STER - Detailed Disclosure (mm)'!G125</f>
        <v>1820.9390000000001</v>
      </c>
      <c r="H88" s="1280">
        <f>+'FA - Detailed Disclosure'!H238+'STER - Detailed Disclosure (mm)'!H125</f>
        <v>1761.3329999999999</v>
      </c>
      <c r="I88" s="1280">
        <f>+'FA - Detailed Disclosure'!I238+'STER - Detailed Disclosure (mm)'!I125</f>
        <v>1770.3149999999998</v>
      </c>
      <c r="J88" s="1308">
        <f>+'FA - Detailed Disclosure'!J238+'STER - Detailed Disclosure (mm)'!J125</f>
        <v>3079.8090000000002</v>
      </c>
      <c r="K88" s="1280">
        <f>+'FA - Detailed Disclosure'!K238+'STER - Detailed Disclosure (mm)'!K125</f>
        <v>1703.0489999999998</v>
      </c>
      <c r="L88" s="1280">
        <f>+'FA - Detailed Disclosure'!L238+'STER - Detailed Disclosure (mm)'!L125</f>
        <v>3178.5510000000004</v>
      </c>
      <c r="M88" s="1280">
        <f>+'FA - Detailed Disclosure'!M238+'STER - Detailed Disclosure (mm)'!M125</f>
        <v>3286.4870000000001</v>
      </c>
      <c r="N88" s="1308">
        <f>+'FA - Detailed Disclosure'!N238+'STER - Detailed Disclosure (mm)'!N125</f>
        <v>3258.84</v>
      </c>
      <c r="O88" s="1280">
        <f>+'FA - Detailed Disclosure'!O238+'STER - Detailed Disclosure (mm)'!O125</f>
        <v>3298.5820000000003</v>
      </c>
      <c r="P88" s="1280">
        <f>+'FA - Detailed Disclosure'!P238+'STER - Detailed Disclosure (mm)'!P125</f>
        <v>3326.8180000000002</v>
      </c>
      <c r="Q88" s="1280">
        <f>+'FA - Detailed Disclosure'!Q238+'STER - Detailed Disclosure (mm)'!Q125</f>
        <v>3346.8429999999998</v>
      </c>
      <c r="R88" s="1308">
        <f>+'FA - Detailed Disclosure'!R238+'STER - Detailed Disclosure (mm)'!R125</f>
        <v>3293.0790000000002</v>
      </c>
      <c r="S88" s="1309">
        <f>+'FA - Detailed Disclosure'!S238+'STER - Detailed Disclosure (mm)'!S125</f>
        <v>3260.0450000000001</v>
      </c>
      <c r="T88" s="1280">
        <f>+'FA - Detailed Disclosure'!T238+'STER - Detailed Disclosure (mm)'!T125</f>
        <v>3238.7159999999999</v>
      </c>
      <c r="U88" s="1280">
        <f>+'FA - Detailed Disclosure'!U238+'STER - Detailed Disclosure (mm)'!U125</f>
        <v>3016.3620000000001</v>
      </c>
      <c r="V88" s="1280">
        <f>+'FA - Detailed Disclosure'!V238+'STER - Detailed Disclosure (mm)'!V125</f>
        <v>2994.1000000000004</v>
      </c>
      <c r="W88" s="1309">
        <f>+'FA - Detailed Disclosure'!W238+'STER - Detailed Disclosure (mm)'!W125</f>
        <v>3082.3389999999999</v>
      </c>
      <c r="X88" s="1280">
        <f>+'FA - Detailed Disclosure'!X238+'STER - Detailed Disclosure (mm)'!X125</f>
        <v>3099.1890000000003</v>
      </c>
      <c r="Y88" s="2355" t="s">
        <v>126</v>
      </c>
      <c r="Z88" s="1308"/>
      <c r="AA88" s="1280"/>
      <c r="AB88" s="1280"/>
      <c r="AC88" s="1280"/>
      <c r="AD88" s="1280"/>
      <c r="AE88" s="1312"/>
      <c r="AF88" s="1280"/>
      <c r="AG88" s="1280">
        <f>+'FA - Detailed Disclosure'!AI238+'STER - Detailed Disclosure (mm)'!AQ125</f>
        <v>1935.482</v>
      </c>
      <c r="AH88" s="1280">
        <f>+'FA - Detailed Disclosure'!AJ238+'STER - Detailed Disclosure (mm)'!AR125</f>
        <v>3079.8090000000002</v>
      </c>
      <c r="AI88" s="1280">
        <f>+'FA - Detailed Disclosure'!AK238+'STER - Detailed Disclosure (mm)'!AS125</f>
        <v>3258.84</v>
      </c>
      <c r="AJ88" s="1280">
        <f>+'FA - Detailed Disclosure'!AL238+'STER - Detailed Disclosure (mm)'!AT125</f>
        <v>3293.0790000000002</v>
      </c>
      <c r="AK88" s="1310">
        <f>+'FA - Detailed Disclosure'!AM238+'STER - Detailed Disclosure (mm)'!AU125</f>
        <v>2994.1000000000004</v>
      </c>
      <c r="AL88" s="1280"/>
      <c r="AM88" s="1280"/>
    </row>
    <row r="89" spans="1:39" s="1307" customFormat="1" ht="17.25" customHeight="1" x14ac:dyDescent="0.35">
      <c r="A89" s="1272"/>
      <c r="C89" s="1280"/>
      <c r="D89" s="1280"/>
      <c r="E89" s="1280"/>
      <c r="F89" s="1308"/>
      <c r="G89" s="1280"/>
      <c r="H89" s="1280"/>
      <c r="I89" s="1280"/>
      <c r="J89" s="1308"/>
      <c r="K89" s="1280"/>
      <c r="L89" s="1280"/>
      <c r="M89" s="1280"/>
      <c r="N89" s="1308"/>
      <c r="O89" s="1280"/>
      <c r="P89" s="1280"/>
      <c r="Q89" s="1280"/>
      <c r="R89" s="1308"/>
      <c r="S89" s="1309"/>
      <c r="T89" s="1280"/>
      <c r="U89" s="1280"/>
      <c r="V89" s="1280"/>
      <c r="W89" s="1309"/>
      <c r="X89" s="1280"/>
      <c r="Y89" s="2355"/>
      <c r="Z89" s="1308"/>
      <c r="AA89" s="1280"/>
      <c r="AB89" s="1280"/>
      <c r="AC89" s="1280"/>
      <c r="AD89" s="1280"/>
      <c r="AE89" s="1280"/>
      <c r="AF89" s="1280"/>
      <c r="AG89" s="1280"/>
      <c r="AH89" s="1280"/>
      <c r="AI89" s="1280"/>
      <c r="AJ89" s="1280"/>
      <c r="AK89" s="1310"/>
      <c r="AL89" s="1291"/>
      <c r="AM89" s="1291"/>
    </row>
    <row r="90" spans="1:39" s="1307" customFormat="1" ht="17.25" customHeight="1" x14ac:dyDescent="0.35">
      <c r="A90" s="1317" t="s">
        <v>161</v>
      </c>
      <c r="C90" s="1280"/>
      <c r="D90" s="1280"/>
      <c r="E90" s="1280"/>
      <c r="F90" s="1308"/>
      <c r="G90" s="1280"/>
      <c r="H90" s="1280"/>
      <c r="I90" s="1280"/>
      <c r="J90" s="1308"/>
      <c r="K90" s="1280"/>
      <c r="L90" s="1280"/>
      <c r="M90" s="1280"/>
      <c r="N90" s="1308"/>
      <c r="O90" s="1280"/>
      <c r="P90" s="1280"/>
      <c r="Q90" s="1280"/>
      <c r="R90" s="1308"/>
      <c r="S90" s="1309"/>
      <c r="T90" s="1280"/>
      <c r="U90" s="1280"/>
      <c r="V90" s="1280"/>
      <c r="W90" s="1309"/>
      <c r="X90" s="1280"/>
      <c r="Y90" s="2355"/>
      <c r="Z90" s="1308"/>
      <c r="AA90" s="1280"/>
      <c r="AB90" s="1280"/>
      <c r="AC90" s="1280"/>
      <c r="AD90" s="1280"/>
      <c r="AE90" s="1280"/>
      <c r="AF90" s="1280"/>
      <c r="AG90" s="1280"/>
      <c r="AH90" s="1280"/>
      <c r="AI90" s="1280"/>
      <c r="AJ90" s="1280"/>
      <c r="AK90" s="1310"/>
      <c r="AL90" s="1291"/>
      <c r="AM90" s="1291"/>
    </row>
    <row r="91" spans="1:39" s="1307" customFormat="1" ht="17.25" customHeight="1" x14ac:dyDescent="0.35">
      <c r="A91" s="1272" t="str">
        <f>+'FA - Detailed Disclosure'!A241</f>
        <v>Accounts payable</v>
      </c>
      <c r="C91" s="1280"/>
      <c r="D91" s="1280"/>
      <c r="E91" s="1280"/>
      <c r="F91" s="1308"/>
      <c r="G91" s="1280">
        <f>+'FA - Detailed Disclosure'!G241+'STER - Detailed Disclosure (mm)'!G129</f>
        <v>32.826000000000001</v>
      </c>
      <c r="H91" s="1280">
        <f>+'FA - Detailed Disclosure'!H241+'STER - Detailed Disclosure (mm)'!H129</f>
        <v>31.062000000000001</v>
      </c>
      <c r="I91" s="1280">
        <f>+'FA - Detailed Disclosure'!I241+'STER - Detailed Disclosure (mm)'!I129</f>
        <v>39.197000000000003</v>
      </c>
      <c r="J91" s="1308">
        <f>+'FA - Detailed Disclosure'!J241+'STER - Detailed Disclosure (mm)'!J129</f>
        <v>58.824999999999996</v>
      </c>
      <c r="K91" s="1280">
        <f>+'FA - Detailed Disclosure'!K241+'STER - Detailed Disclosure (mm)'!K129</f>
        <v>36.008000000000003</v>
      </c>
      <c r="L91" s="1280">
        <f>+'FA - Detailed Disclosure'!L241+'STER - Detailed Disclosure (mm)'!L129</f>
        <v>74.572000000000003</v>
      </c>
      <c r="M91" s="1280">
        <f>+'FA - Detailed Disclosure'!M241+'STER - Detailed Disclosure (mm)'!M129</f>
        <v>73.27000000000001</v>
      </c>
      <c r="N91" s="1308">
        <f>+'FA - Detailed Disclosure'!N241+'STER - Detailed Disclosure (mm)'!N129</f>
        <v>85.103999999999999</v>
      </c>
      <c r="O91" s="1280">
        <f>+'FA - Detailed Disclosure'!O241+'STER - Detailed Disclosure (mm)'!O129</f>
        <v>92.65100000000001</v>
      </c>
      <c r="P91" s="1280">
        <f>+'FA - Detailed Disclosure'!P241+'STER - Detailed Disclosure (mm)'!P129</f>
        <v>94.301000000000002</v>
      </c>
      <c r="Q91" s="1280">
        <f>+'FA - Detailed Disclosure'!Q241+'STER - Detailed Disclosure (mm)'!Q129</f>
        <v>89.068999999999988</v>
      </c>
      <c r="R91" s="1308">
        <f>+'FA - Detailed Disclosure'!R241+'STER - Detailed Disclosure (mm)'!R129</f>
        <v>93.319000000000003</v>
      </c>
      <c r="S91" s="1309">
        <f>+'FA - Detailed Disclosure'!S241+'STER - Detailed Disclosure (mm)'!S129</f>
        <v>89.616</v>
      </c>
      <c r="T91" s="1280">
        <f>+'FA - Detailed Disclosure'!T241+'STER - Detailed Disclosure (mm)'!T129</f>
        <v>91.947000000000003</v>
      </c>
      <c r="U91" s="1280">
        <f>+'FA - Detailed Disclosure'!U241+'STER - Detailed Disclosure (mm)'!U129</f>
        <v>95.281000000000006</v>
      </c>
      <c r="V91" s="1280">
        <f>+'FA - Detailed Disclosure'!V241+'STER - Detailed Disclosure (mm)'!V129</f>
        <v>85.902999999999992</v>
      </c>
      <c r="W91" s="1309">
        <f>+'FA - Detailed Disclosure'!W241+'STER - Detailed Disclosure (mm)'!W129</f>
        <v>95.442000000000007</v>
      </c>
      <c r="X91" s="1280">
        <f>+'FA - Detailed Disclosure'!X241+'STER - Detailed Disclosure (mm)'!X129</f>
        <v>108.36000000000001</v>
      </c>
      <c r="Y91" s="2355" t="s">
        <v>126</v>
      </c>
      <c r="Z91" s="1308"/>
      <c r="AA91" s="1280"/>
      <c r="AB91" s="1280"/>
      <c r="AC91" s="1280"/>
      <c r="AD91" s="1280"/>
      <c r="AE91" s="1280"/>
      <c r="AF91" s="1280"/>
      <c r="AG91" s="1280">
        <f>+'FA - Detailed Disclosure'!AI241+'STER - Detailed Disclosure (mm)'!AQ129</f>
        <v>54.254999999999995</v>
      </c>
      <c r="AH91" s="1280">
        <f>+'FA - Detailed Disclosure'!AJ241+'STER - Detailed Disclosure (mm)'!AR129</f>
        <v>58.824999999999996</v>
      </c>
      <c r="AI91" s="1280">
        <f>+'FA - Detailed Disclosure'!AK241+'STER - Detailed Disclosure (mm)'!AS129</f>
        <v>85.103999999999999</v>
      </c>
      <c r="AJ91" s="1280">
        <f>+'FA - Detailed Disclosure'!AL241+'STER - Detailed Disclosure (mm)'!AT129</f>
        <v>93.319000000000003</v>
      </c>
      <c r="AK91" s="1310">
        <f>+'FA - Detailed Disclosure'!AM241+'STER - Detailed Disclosure (mm)'!AU129</f>
        <v>85.902999999999992</v>
      </c>
      <c r="AL91" s="1291"/>
      <c r="AM91" s="1291"/>
    </row>
    <row r="92" spans="1:39" s="1349" customFormat="1" ht="17.25" customHeight="1" x14ac:dyDescent="0.65">
      <c r="A92" s="1272" t="s">
        <v>162</v>
      </c>
      <c r="B92" s="1347"/>
      <c r="C92" s="1300"/>
      <c r="D92" s="1300"/>
      <c r="E92" s="1300"/>
      <c r="F92" s="1353"/>
      <c r="G92" s="1300">
        <f t="shared" ref="G92:W92" si="78">+G93-G91</f>
        <v>50.596000000000011</v>
      </c>
      <c r="H92" s="1300">
        <f t="shared" si="78"/>
        <v>42.89100000000002</v>
      </c>
      <c r="I92" s="1300">
        <f t="shared" si="78"/>
        <v>48.366</v>
      </c>
      <c r="J92" s="1353">
        <f t="shared" si="78"/>
        <v>125.005</v>
      </c>
      <c r="K92" s="1300">
        <f t="shared" si="78"/>
        <v>60.136000000000003</v>
      </c>
      <c r="L92" s="1300">
        <f t="shared" si="78"/>
        <v>132.267</v>
      </c>
      <c r="M92" s="1300">
        <f t="shared" si="78"/>
        <v>132.31000000000003</v>
      </c>
      <c r="N92" s="1353">
        <f t="shared" si="78"/>
        <v>154.12199999999996</v>
      </c>
      <c r="O92" s="1300">
        <f t="shared" si="78"/>
        <v>131.47699999999998</v>
      </c>
      <c r="P92" s="1300">
        <f t="shared" si="78"/>
        <v>137.01400000000001</v>
      </c>
      <c r="Q92" s="1300">
        <f t="shared" si="78"/>
        <v>139.77500000000001</v>
      </c>
      <c r="R92" s="1353">
        <f t="shared" si="78"/>
        <v>141.20699999999999</v>
      </c>
      <c r="S92" s="1354">
        <f t="shared" si="78"/>
        <v>125.331</v>
      </c>
      <c r="T92" s="1300">
        <f t="shared" si="78"/>
        <v>131.33699999999999</v>
      </c>
      <c r="U92" s="1300">
        <f t="shared" si="78"/>
        <v>138.18600000000001</v>
      </c>
      <c r="V92" s="1300">
        <f t="shared" si="78"/>
        <v>147.27199999999999</v>
      </c>
      <c r="W92" s="1354">
        <f t="shared" si="78"/>
        <v>164.30500000000001</v>
      </c>
      <c r="X92" s="1300">
        <f>+X93-X91</f>
        <v>163.04499999999996</v>
      </c>
      <c r="Y92" s="2356" t="s">
        <v>126</v>
      </c>
      <c r="Z92" s="1353"/>
      <c r="AA92" s="1300"/>
      <c r="AB92" s="1300"/>
      <c r="AC92" s="1300"/>
      <c r="AD92" s="1300"/>
      <c r="AE92" s="1312"/>
      <c r="AF92" s="1300"/>
      <c r="AG92" s="1300">
        <f t="shared" ref="AG92" si="79">+AG93-AG91</f>
        <v>116.334</v>
      </c>
      <c r="AH92" s="1300">
        <f t="shared" ref="AH92" si="80">+AH93-AH91</f>
        <v>125.005</v>
      </c>
      <c r="AI92" s="1300">
        <f t="shared" ref="AI92" si="81">+AI93-AI91</f>
        <v>154.12199999999996</v>
      </c>
      <c r="AJ92" s="1300">
        <f t="shared" ref="AJ92" si="82">+AJ93-AJ91</f>
        <v>141.20699999999999</v>
      </c>
      <c r="AK92" s="1355">
        <f t="shared" ref="AK92" si="83">+AK93-AK91</f>
        <v>147.27199999999999</v>
      </c>
      <c r="AL92" s="1300"/>
      <c r="AM92" s="1300"/>
    </row>
    <row r="93" spans="1:39" s="1349" customFormat="1" ht="17.25" customHeight="1" x14ac:dyDescent="0.35">
      <c r="A93" s="1306" t="s">
        <v>163</v>
      </c>
      <c r="B93" s="1347"/>
      <c r="C93" s="1280"/>
      <c r="D93" s="1280"/>
      <c r="E93" s="1280"/>
      <c r="F93" s="1308"/>
      <c r="G93" s="1280">
        <f>+'FA - Detailed Disclosure'!G248+'STER - Detailed Disclosure (mm)'!G136</f>
        <v>83.422000000000011</v>
      </c>
      <c r="H93" s="1280">
        <f>+'FA - Detailed Disclosure'!H248+'STER - Detailed Disclosure (mm)'!H136</f>
        <v>73.953000000000017</v>
      </c>
      <c r="I93" s="1280">
        <f>+'FA - Detailed Disclosure'!I248+'STER - Detailed Disclosure (mm)'!I136</f>
        <v>87.563000000000002</v>
      </c>
      <c r="J93" s="1308">
        <f>+'FA - Detailed Disclosure'!J248+'STER - Detailed Disclosure (mm)'!J136</f>
        <v>183.82999999999998</v>
      </c>
      <c r="K93" s="1280">
        <f>+'FA - Detailed Disclosure'!K248+'STER - Detailed Disclosure (mm)'!K136</f>
        <v>96.144000000000005</v>
      </c>
      <c r="L93" s="1280">
        <f>+'FA - Detailed Disclosure'!L248+'STER - Detailed Disclosure (mm)'!L136</f>
        <v>206.839</v>
      </c>
      <c r="M93" s="1280">
        <f>+'FA - Detailed Disclosure'!M248+'STER - Detailed Disclosure (mm)'!M136</f>
        <v>205.58000000000004</v>
      </c>
      <c r="N93" s="1308">
        <f>+'FA - Detailed Disclosure'!N248+'STER - Detailed Disclosure (mm)'!N136</f>
        <v>239.22599999999997</v>
      </c>
      <c r="O93" s="1280">
        <f>+'FA - Detailed Disclosure'!O248+'STER - Detailed Disclosure (mm)'!O136</f>
        <v>224.12799999999999</v>
      </c>
      <c r="P93" s="1280">
        <f>+'FA - Detailed Disclosure'!P248+'STER - Detailed Disclosure (mm)'!P136</f>
        <v>231.315</v>
      </c>
      <c r="Q93" s="1280">
        <f>+'FA - Detailed Disclosure'!Q248+'STER - Detailed Disclosure (mm)'!Q136</f>
        <v>228.84399999999999</v>
      </c>
      <c r="R93" s="1308">
        <f>+'FA - Detailed Disclosure'!R248+'STER - Detailed Disclosure (mm)'!R136</f>
        <v>234.52600000000001</v>
      </c>
      <c r="S93" s="1309">
        <f>+'FA - Detailed Disclosure'!S248+'STER - Detailed Disclosure (mm)'!S136</f>
        <v>214.947</v>
      </c>
      <c r="T93" s="1280">
        <f>+'FA - Detailed Disclosure'!T248+'STER - Detailed Disclosure (mm)'!T136</f>
        <v>223.28399999999999</v>
      </c>
      <c r="U93" s="1280">
        <f>+'FA - Detailed Disclosure'!U248+'STER - Detailed Disclosure (mm)'!U136</f>
        <v>233.46700000000001</v>
      </c>
      <c r="V93" s="1280">
        <f>+'FA - Detailed Disclosure'!V248+'STER - Detailed Disclosure (mm)'!V136</f>
        <v>233.17499999999998</v>
      </c>
      <c r="W93" s="1309">
        <f>+'FA - Detailed Disclosure'!W248+'STER - Detailed Disclosure (mm)'!W136</f>
        <v>259.74700000000001</v>
      </c>
      <c r="X93" s="1280">
        <f>+'FA - Detailed Disclosure'!X248+'STER - Detailed Disclosure (mm)'!X136</f>
        <v>271.40499999999997</v>
      </c>
      <c r="Y93" s="2355" t="s">
        <v>126</v>
      </c>
      <c r="Z93" s="1308"/>
      <c r="AA93" s="1280"/>
      <c r="AB93" s="1280"/>
      <c r="AC93" s="1280"/>
      <c r="AD93" s="1280"/>
      <c r="AE93" s="1312"/>
      <c r="AF93" s="1280"/>
      <c r="AG93" s="1280">
        <f>+'FA - Detailed Disclosure'!AI248+'STER - Detailed Disclosure (mm)'!AQ136</f>
        <v>170.589</v>
      </c>
      <c r="AH93" s="1280">
        <f>+'FA - Detailed Disclosure'!AJ248+'STER - Detailed Disclosure (mm)'!AR136</f>
        <v>183.82999999999998</v>
      </c>
      <c r="AI93" s="1280">
        <f>+'FA - Detailed Disclosure'!AK248+'STER - Detailed Disclosure (mm)'!AS136</f>
        <v>239.22599999999997</v>
      </c>
      <c r="AJ93" s="1280">
        <f>+'FA - Detailed Disclosure'!AL248+'STER - Detailed Disclosure (mm)'!AT136</f>
        <v>234.52600000000001</v>
      </c>
      <c r="AK93" s="1310">
        <f>+'FA - Detailed Disclosure'!AM248+'STER - Detailed Disclosure (mm)'!AU136</f>
        <v>233.17499999999998</v>
      </c>
      <c r="AL93" s="1280"/>
      <c r="AM93" s="1280"/>
    </row>
    <row r="94" spans="1:39" s="1349" customFormat="1" ht="17.25" customHeight="1" x14ac:dyDescent="0.65">
      <c r="A94" s="1272" t="s">
        <v>164</v>
      </c>
      <c r="B94" s="1347"/>
      <c r="C94" s="1300"/>
      <c r="D94" s="1300"/>
      <c r="E94" s="1300"/>
      <c r="F94" s="1353"/>
      <c r="G94" s="1300">
        <f t="shared" ref="G94:W94" si="84">+G95-G93</f>
        <v>928.56</v>
      </c>
      <c r="H94" s="1300">
        <f t="shared" si="84"/>
        <v>893.78399999999999</v>
      </c>
      <c r="I94" s="1300">
        <f t="shared" si="84"/>
        <v>885.06899999999996</v>
      </c>
      <c r="J94" s="1353">
        <f t="shared" si="84"/>
        <v>1518.5250000000001</v>
      </c>
      <c r="K94" s="1300">
        <f t="shared" si="84"/>
        <v>828.702</v>
      </c>
      <c r="L94" s="1300">
        <f t="shared" si="84"/>
        <v>1280.3330000000001</v>
      </c>
      <c r="M94" s="1300">
        <f t="shared" si="84"/>
        <v>1265.4429999999998</v>
      </c>
      <c r="N94" s="1353">
        <f t="shared" si="84"/>
        <v>1177.7520000000002</v>
      </c>
      <c r="O94" s="1300">
        <f t="shared" si="84"/>
        <v>1207.1890000000001</v>
      </c>
      <c r="P94" s="1300">
        <f t="shared" si="84"/>
        <v>1207.932</v>
      </c>
      <c r="Q94" s="1300">
        <f t="shared" si="84"/>
        <v>1209.8019999999999</v>
      </c>
      <c r="R94" s="1353">
        <f t="shared" si="84"/>
        <v>1195.289</v>
      </c>
      <c r="S94" s="1354">
        <f t="shared" si="84"/>
        <v>1205.1669999999999</v>
      </c>
      <c r="T94" s="1300">
        <f t="shared" si="84"/>
        <v>1190.4369999999999</v>
      </c>
      <c r="U94" s="1300">
        <f t="shared" si="84"/>
        <v>1174.154</v>
      </c>
      <c r="V94" s="1300">
        <f t="shared" si="84"/>
        <v>1149.0240000000001</v>
      </c>
      <c r="W94" s="1354">
        <f t="shared" si="84"/>
        <v>1186.8359999999998</v>
      </c>
      <c r="X94" s="1300">
        <f>+X95-X93</f>
        <v>1180.347</v>
      </c>
      <c r="Y94" s="2356" t="s">
        <v>126</v>
      </c>
      <c r="Z94" s="1353"/>
      <c r="AA94" s="1300"/>
      <c r="AB94" s="1300"/>
      <c r="AC94" s="1300"/>
      <c r="AD94" s="1300"/>
      <c r="AE94" s="1312"/>
      <c r="AF94" s="1300"/>
      <c r="AG94" s="1300">
        <f t="shared" ref="AG94" si="85">+AG95-AG93</f>
        <v>1231.9990000000003</v>
      </c>
      <c r="AH94" s="1300">
        <f t="shared" ref="AH94" si="86">+AH95-AH93</f>
        <v>1518.5250000000001</v>
      </c>
      <c r="AI94" s="1300">
        <f t="shared" ref="AI94" si="87">+AI95-AI93</f>
        <v>1177.7520000000002</v>
      </c>
      <c r="AJ94" s="1300">
        <f t="shared" ref="AJ94" si="88">+AJ95-AJ93</f>
        <v>1195.289</v>
      </c>
      <c r="AK94" s="1355">
        <f t="shared" ref="AK94" si="89">+AK95-AK93</f>
        <v>1149.0240000000001</v>
      </c>
      <c r="AL94" s="1300"/>
      <c r="AM94" s="1300"/>
    </row>
    <row r="95" spans="1:39" s="1349" customFormat="1" ht="17.25" customHeight="1" x14ac:dyDescent="0.35">
      <c r="A95" s="1306" t="s">
        <v>165</v>
      </c>
      <c r="B95" s="1347"/>
      <c r="C95" s="1280"/>
      <c r="D95" s="1280"/>
      <c r="E95" s="1280"/>
      <c r="F95" s="1308"/>
      <c r="G95" s="1280">
        <f>+'FA - Detailed Disclosure'!G252+'STER - Detailed Disclosure (mm)'!G141</f>
        <v>1011.982</v>
      </c>
      <c r="H95" s="1280">
        <f>+'FA - Detailed Disclosure'!H252+'STER - Detailed Disclosure (mm)'!H141</f>
        <v>967.73699999999997</v>
      </c>
      <c r="I95" s="1280">
        <f>+'FA - Detailed Disclosure'!I252+'STER - Detailed Disclosure (mm)'!I141</f>
        <v>972.63199999999995</v>
      </c>
      <c r="J95" s="1308">
        <f>+'FA - Detailed Disclosure'!J252+'STER - Detailed Disclosure (mm)'!J141</f>
        <v>1702.355</v>
      </c>
      <c r="K95" s="1280">
        <f>+'FA - Detailed Disclosure'!K252+'STER - Detailed Disclosure (mm)'!K141</f>
        <v>924.846</v>
      </c>
      <c r="L95" s="1280">
        <f>+'FA - Detailed Disclosure'!L252+'STER - Detailed Disclosure (mm)'!L141</f>
        <v>1487.172</v>
      </c>
      <c r="M95" s="1280">
        <f>+'FA - Detailed Disclosure'!M252+'STER - Detailed Disclosure (mm)'!M141</f>
        <v>1471.0229999999999</v>
      </c>
      <c r="N95" s="1308">
        <f>+'FA - Detailed Disclosure'!N252+'STER - Detailed Disclosure (mm)'!N141</f>
        <v>1416.9780000000001</v>
      </c>
      <c r="O95" s="1280">
        <f>+'FA - Detailed Disclosure'!O252+'STER - Detailed Disclosure (mm)'!O141</f>
        <v>1431.317</v>
      </c>
      <c r="P95" s="1280">
        <f>+'FA - Detailed Disclosure'!P252+'STER - Detailed Disclosure (mm)'!P141</f>
        <v>1439.2470000000001</v>
      </c>
      <c r="Q95" s="1280">
        <f>+'FA - Detailed Disclosure'!Q252+'STER - Detailed Disclosure (mm)'!Q141</f>
        <v>1438.646</v>
      </c>
      <c r="R95" s="1308">
        <f>+'FA - Detailed Disclosure'!R252+'STER - Detailed Disclosure (mm)'!R141</f>
        <v>1429.8150000000001</v>
      </c>
      <c r="S95" s="1309">
        <f>+'FA - Detailed Disclosure'!S252+'STER - Detailed Disclosure (mm)'!S141</f>
        <v>1420.114</v>
      </c>
      <c r="T95" s="1280">
        <f>+'FA - Detailed Disclosure'!T252+'STER - Detailed Disclosure (mm)'!T141</f>
        <v>1413.721</v>
      </c>
      <c r="U95" s="1280">
        <f>+'FA - Detailed Disclosure'!U252+'STER - Detailed Disclosure (mm)'!U141</f>
        <v>1407.6210000000001</v>
      </c>
      <c r="V95" s="1280">
        <f>+'FA - Detailed Disclosure'!V252+'STER - Detailed Disclosure (mm)'!V141</f>
        <v>1382.1990000000001</v>
      </c>
      <c r="W95" s="1309">
        <f>+'FA - Detailed Disclosure'!W252+'STER - Detailed Disclosure (mm)'!W141</f>
        <v>1446.5829999999999</v>
      </c>
      <c r="X95" s="1280">
        <f>+'FA - Detailed Disclosure'!X252+'STER - Detailed Disclosure (mm)'!X141</f>
        <v>1451.752</v>
      </c>
      <c r="Y95" s="2355" t="s">
        <v>126</v>
      </c>
      <c r="Z95" s="1308"/>
      <c r="AA95" s="1280"/>
      <c r="AB95" s="1280"/>
      <c r="AC95" s="1280"/>
      <c r="AD95" s="1280"/>
      <c r="AE95" s="1312"/>
      <c r="AF95" s="1280"/>
      <c r="AG95" s="1280">
        <f>+'FA - Detailed Disclosure'!AI252+'STER - Detailed Disclosure (mm)'!AQ141</f>
        <v>1402.5880000000002</v>
      </c>
      <c r="AH95" s="1280">
        <f>+'FA - Detailed Disclosure'!AJ252+'STER - Detailed Disclosure (mm)'!AR141</f>
        <v>1702.355</v>
      </c>
      <c r="AI95" s="1280">
        <f>+'FA - Detailed Disclosure'!AK252+'STER - Detailed Disclosure (mm)'!AS141</f>
        <v>1416.9780000000001</v>
      </c>
      <c r="AJ95" s="1280">
        <f>+'FA - Detailed Disclosure'!AL252+'STER - Detailed Disclosure (mm)'!AT141</f>
        <v>1429.8150000000001</v>
      </c>
      <c r="AK95" s="1310">
        <f>+'FA - Detailed Disclosure'!AM252+'STER - Detailed Disclosure (mm)'!AU141</f>
        <v>1382.1990000000001</v>
      </c>
      <c r="AL95" s="1280"/>
      <c r="AM95" s="1280"/>
    </row>
    <row r="96" spans="1:39" s="1349" customFormat="1" ht="17.25" customHeight="1" x14ac:dyDescent="0.65">
      <c r="A96" s="1272" t="s">
        <v>166</v>
      </c>
      <c r="B96" s="1347"/>
      <c r="C96" s="1300"/>
      <c r="D96" s="1300"/>
      <c r="E96" s="1300"/>
      <c r="F96" s="1353"/>
      <c r="G96" s="1300">
        <f t="shared" ref="G96:W96" si="90">+G97-G95</f>
        <v>808.95700000000011</v>
      </c>
      <c r="H96" s="1300">
        <f t="shared" si="90"/>
        <v>793.59599999999989</v>
      </c>
      <c r="I96" s="1300">
        <f t="shared" si="90"/>
        <v>797.68299999999988</v>
      </c>
      <c r="J96" s="1353">
        <f t="shared" si="90"/>
        <v>1377.4540000000002</v>
      </c>
      <c r="K96" s="1300">
        <f t="shared" si="90"/>
        <v>778.20299999999975</v>
      </c>
      <c r="L96" s="1300">
        <f t="shared" si="90"/>
        <v>1691.3790000000004</v>
      </c>
      <c r="M96" s="1300">
        <f t="shared" si="90"/>
        <v>1815.4640000000002</v>
      </c>
      <c r="N96" s="1353">
        <f t="shared" si="90"/>
        <v>1841.8620000000001</v>
      </c>
      <c r="O96" s="1300">
        <f t="shared" si="90"/>
        <v>1867.2650000000003</v>
      </c>
      <c r="P96" s="1300">
        <f t="shared" si="90"/>
        <v>1887.5710000000001</v>
      </c>
      <c r="Q96" s="1300">
        <f t="shared" si="90"/>
        <v>1908.1969999999999</v>
      </c>
      <c r="R96" s="1353">
        <f t="shared" si="90"/>
        <v>1863.2640000000001</v>
      </c>
      <c r="S96" s="1354">
        <f t="shared" si="90"/>
        <v>1839.931</v>
      </c>
      <c r="T96" s="1300">
        <f t="shared" si="90"/>
        <v>1824.9949999999999</v>
      </c>
      <c r="U96" s="1300">
        <f t="shared" si="90"/>
        <v>1608.741</v>
      </c>
      <c r="V96" s="1300">
        <f t="shared" si="90"/>
        <v>1611.9010000000003</v>
      </c>
      <c r="W96" s="1354">
        <f t="shared" si="90"/>
        <v>1635.7560000000001</v>
      </c>
      <c r="X96" s="1300">
        <f>+X97-X95</f>
        <v>1647.4370000000004</v>
      </c>
      <c r="Y96" s="2356" t="s">
        <v>126</v>
      </c>
      <c r="Z96" s="1353"/>
      <c r="AA96" s="1300"/>
      <c r="AB96" s="1300"/>
      <c r="AC96" s="1300"/>
      <c r="AD96" s="1300"/>
      <c r="AE96" s="1312"/>
      <c r="AF96" s="1300"/>
      <c r="AG96" s="1300">
        <f t="shared" ref="AG96" si="91">+AG97-AG95</f>
        <v>532.89399999999978</v>
      </c>
      <c r="AH96" s="1300">
        <f t="shared" ref="AH96" si="92">+AH97-AH95</f>
        <v>1377.4540000000002</v>
      </c>
      <c r="AI96" s="1300">
        <f t="shared" ref="AI96" si="93">+AI97-AI95</f>
        <v>1841.8620000000001</v>
      </c>
      <c r="AJ96" s="1300">
        <f t="shared" ref="AJ96" si="94">+AJ97-AJ95</f>
        <v>1863.2640000000001</v>
      </c>
      <c r="AK96" s="1355">
        <f t="shared" ref="AK96" si="95">+AK97-AK95</f>
        <v>1611.9010000000003</v>
      </c>
      <c r="AL96" s="1300"/>
      <c r="AM96" s="1300"/>
    </row>
    <row r="97" spans="1:40" s="1349" customFormat="1" ht="17.25" customHeight="1" x14ac:dyDescent="0.35">
      <c r="A97" s="1306" t="s">
        <v>167</v>
      </c>
      <c r="B97" s="1347"/>
      <c r="C97" s="1280"/>
      <c r="D97" s="1280"/>
      <c r="E97" s="1280"/>
      <c r="F97" s="1308"/>
      <c r="G97" s="1280">
        <f t="shared" ref="G97:W97" si="96">+G88</f>
        <v>1820.9390000000001</v>
      </c>
      <c r="H97" s="1280">
        <f t="shared" si="96"/>
        <v>1761.3329999999999</v>
      </c>
      <c r="I97" s="1280">
        <f t="shared" si="96"/>
        <v>1770.3149999999998</v>
      </c>
      <c r="J97" s="1308">
        <f t="shared" si="96"/>
        <v>3079.8090000000002</v>
      </c>
      <c r="K97" s="1280">
        <f t="shared" si="96"/>
        <v>1703.0489999999998</v>
      </c>
      <c r="L97" s="1280">
        <f t="shared" si="96"/>
        <v>3178.5510000000004</v>
      </c>
      <c r="M97" s="1280">
        <f t="shared" si="96"/>
        <v>3286.4870000000001</v>
      </c>
      <c r="N97" s="1308">
        <f t="shared" si="96"/>
        <v>3258.84</v>
      </c>
      <c r="O97" s="1280">
        <f t="shared" si="96"/>
        <v>3298.5820000000003</v>
      </c>
      <c r="P97" s="1280">
        <f t="shared" si="96"/>
        <v>3326.8180000000002</v>
      </c>
      <c r="Q97" s="1280">
        <f t="shared" si="96"/>
        <v>3346.8429999999998</v>
      </c>
      <c r="R97" s="1308">
        <f t="shared" si="96"/>
        <v>3293.0790000000002</v>
      </c>
      <c r="S97" s="1309">
        <f t="shared" si="96"/>
        <v>3260.0450000000001</v>
      </c>
      <c r="T97" s="1280">
        <f t="shared" si="96"/>
        <v>3238.7159999999999</v>
      </c>
      <c r="U97" s="1280">
        <f t="shared" si="96"/>
        <v>3016.3620000000001</v>
      </c>
      <c r="V97" s="1280">
        <f t="shared" si="96"/>
        <v>2994.1000000000004</v>
      </c>
      <c r="W97" s="1309">
        <f t="shared" si="96"/>
        <v>3082.3389999999999</v>
      </c>
      <c r="X97" s="1280">
        <f>+X88</f>
        <v>3099.1890000000003</v>
      </c>
      <c r="Y97" s="2355" t="s">
        <v>126</v>
      </c>
      <c r="Z97" s="1308"/>
      <c r="AA97" s="1280"/>
      <c r="AB97" s="1280"/>
      <c r="AC97" s="1280"/>
      <c r="AD97" s="1280"/>
      <c r="AE97" s="1312"/>
      <c r="AF97" s="1280"/>
      <c r="AG97" s="1280">
        <f t="shared" ref="AG97:AJ97" si="97">+AG88</f>
        <v>1935.482</v>
      </c>
      <c r="AH97" s="1280">
        <f t="shared" si="97"/>
        <v>3079.8090000000002</v>
      </c>
      <c r="AI97" s="1280">
        <f t="shared" si="97"/>
        <v>3258.84</v>
      </c>
      <c r="AJ97" s="1280">
        <f t="shared" si="97"/>
        <v>3293.0790000000002</v>
      </c>
      <c r="AK97" s="1310">
        <f t="shared" ref="AK97" si="98">+AK88</f>
        <v>2994.1000000000004</v>
      </c>
      <c r="AL97" s="1280"/>
      <c r="AM97" s="1280"/>
    </row>
    <row r="98" spans="1:40" s="1349" customFormat="1" ht="17.25" customHeight="1" x14ac:dyDescent="0.35">
      <c r="A98" s="1306"/>
      <c r="B98" s="1347"/>
      <c r="C98" s="1280"/>
      <c r="D98" s="1280"/>
      <c r="E98" s="1280"/>
      <c r="F98" s="1308"/>
      <c r="G98" s="1280"/>
      <c r="H98" s="1280"/>
      <c r="I98" s="1280"/>
      <c r="J98" s="1308"/>
      <c r="K98" s="1280"/>
      <c r="L98" s="1280"/>
      <c r="M98" s="1280"/>
      <c r="N98" s="1308"/>
      <c r="O98" s="1280"/>
      <c r="P98" s="1280"/>
      <c r="Q98" s="1280"/>
      <c r="R98" s="1308"/>
      <c r="S98" s="1309"/>
      <c r="T98" s="1280"/>
      <c r="U98" s="1280"/>
      <c r="V98" s="1280"/>
      <c r="W98" s="1309"/>
      <c r="X98" s="1280"/>
      <c r="Y98" s="2355"/>
      <c r="Z98" s="1308"/>
      <c r="AA98" s="1280"/>
      <c r="AB98" s="1280"/>
      <c r="AC98" s="1280"/>
      <c r="AD98" s="1280"/>
      <c r="AE98" s="1312"/>
      <c r="AF98" s="1280"/>
      <c r="AG98" s="1280"/>
      <c r="AH98" s="1280"/>
      <c r="AI98" s="1280"/>
      <c r="AJ98" s="1280"/>
      <c r="AK98" s="1310"/>
      <c r="AL98" s="1280"/>
      <c r="AM98" s="1280"/>
    </row>
    <row r="99" spans="1:40" s="1307" customFormat="1" ht="17.25" customHeight="1" x14ac:dyDescent="0.35">
      <c r="A99" s="1272" t="s">
        <v>52</v>
      </c>
      <c r="C99" s="1280"/>
      <c r="D99" s="1280"/>
      <c r="E99" s="1280"/>
      <c r="F99" s="1308">
        <f>+'PF Basic Historical Fin'!F159</f>
        <v>1028.1502</v>
      </c>
      <c r="G99" s="1280">
        <f>+'PF Basic Historical Fin'!G159</f>
        <v>1264.3525999999999</v>
      </c>
      <c r="H99" s="1280">
        <f>+'PF Basic Historical Fin'!H159</f>
        <v>1230.0987</v>
      </c>
      <c r="I99" s="1280">
        <f>+'PF Basic Historical Fin'!I159</f>
        <v>1220.7244000000001</v>
      </c>
      <c r="J99" s="1308">
        <f>+'PF Basic Historical Fin'!J159</f>
        <v>1180.0399</v>
      </c>
      <c r="K99" s="1280">
        <f>+'PF Basic Historical Fin'!K159</f>
        <v>1165.3994000000002</v>
      </c>
      <c r="L99" s="1280">
        <f>+'PF Basic Historical Fin'!L159</f>
        <v>807.89570000000003</v>
      </c>
      <c r="M99" s="1280">
        <f>+'PF Basic Historical Fin'!M159</f>
        <v>691.17499999999995</v>
      </c>
      <c r="N99" s="1308">
        <f>+'PF Basic Historical Fin'!N159</f>
        <v>718.83200000000011</v>
      </c>
      <c r="O99" s="1280">
        <f>+'PF Basic Historical Fin'!O159</f>
        <v>706.77499999999986</v>
      </c>
      <c r="P99" s="1280">
        <f>+'PF Basic Historical Fin'!P159</f>
        <v>640.06899999999996</v>
      </c>
      <c r="Q99" s="1280">
        <f>+'PF Basic Historical Fin'!Q159</f>
        <v>623.51800000000003</v>
      </c>
      <c r="R99" s="1308">
        <f>+'PF Basic Historical Fin'!R159</f>
        <v>561.43299999999999</v>
      </c>
      <c r="S99" s="1309">
        <f>+'PF Basic Historical Fin'!S159</f>
        <v>603.846</v>
      </c>
      <c r="T99" s="1280">
        <f>+'PF Basic Historical Fin'!T159</f>
        <v>605.68799999999999</v>
      </c>
      <c r="U99" s="1280">
        <f>+'PF Basic Historical Fin'!U159</f>
        <v>837.55299999999988</v>
      </c>
      <c r="V99" s="1280">
        <f>+'PF Basic Historical Fin'!V159</f>
        <v>785.24600000000009</v>
      </c>
      <c r="W99" s="1309">
        <f>+'PF Basic Historical Fin'!W159</f>
        <v>802.73599999999988</v>
      </c>
      <c r="X99" s="1280">
        <f>+'PF Basic Historical Fin'!X159</f>
        <v>768.32299999999998</v>
      </c>
      <c r="Y99" s="1310">
        <f>+'PF Basic Historical Fin'!Y159</f>
        <v>730.048</v>
      </c>
      <c r="Z99" s="1308">
        <f>+'PF Basic Historical Fin'!Z159</f>
        <v>2004.9863244097721</v>
      </c>
      <c r="AA99" s="1280"/>
      <c r="AB99" s="1280"/>
      <c r="AC99" s="1280"/>
      <c r="AD99" s="1280"/>
      <c r="AE99" s="1280"/>
      <c r="AF99" s="1280"/>
      <c r="AG99" s="1280">
        <f>+'PF Basic Historical Fin'!AG159</f>
        <v>1028.1502</v>
      </c>
      <c r="AH99" s="1280">
        <f>+'PF Basic Historical Fin'!AH159</f>
        <v>1180.0399</v>
      </c>
      <c r="AI99" s="1280">
        <f>+'PF Basic Historical Fin'!AI159</f>
        <v>718.83200000000011</v>
      </c>
      <c r="AJ99" s="1280">
        <f>+'PF Basic Historical Fin'!AJ159</f>
        <v>561.43299999999999</v>
      </c>
      <c r="AK99" s="1310">
        <f>+'PF Basic Historical Fin'!AK159</f>
        <v>785.24600000000009</v>
      </c>
      <c r="AL99" s="1280">
        <f>+'PF Basic Historical Fin'!AL159</f>
        <v>2004.9863244097721</v>
      </c>
      <c r="AM99" s="1280"/>
    </row>
    <row r="100" spans="1:40" s="1349" customFormat="1" ht="17.25" customHeight="1" x14ac:dyDescent="0.35">
      <c r="A100" s="1316" t="s">
        <v>168</v>
      </c>
      <c r="B100" s="1347"/>
      <c r="C100" s="1370"/>
      <c r="D100" s="1370"/>
      <c r="E100" s="1370"/>
      <c r="F100" s="1371">
        <f>IF(OR(F99&lt;0,AG38&lt;0),"NM",F99/AG38)</f>
        <v>4.2832791960942878</v>
      </c>
      <c r="G100" s="1370">
        <f t="shared" ref="G100:Z100" si="99">+IF(OR(G99&lt;0,SUM(D38:G38)&lt;0),"NM",G99/SUM(D38:G38))</f>
        <v>5.2289924672224508</v>
      </c>
      <c r="H100" s="1370">
        <f t="shared" si="99"/>
        <v>5.6405639561116798</v>
      </c>
      <c r="I100" s="1370">
        <f t="shared" si="99"/>
        <v>5.503247919812063</v>
      </c>
      <c r="J100" s="1371">
        <f t="shared" si="99"/>
        <v>4.9724749109198596</v>
      </c>
      <c r="K100" s="1370">
        <f t="shared" si="99"/>
        <v>4.4953054622193962</v>
      </c>
      <c r="L100" s="1370">
        <f t="shared" si="99"/>
        <v>2.5667796767409889</v>
      </c>
      <c r="M100" s="1370">
        <f t="shared" si="99"/>
        <v>1.9694210114505226</v>
      </c>
      <c r="N100" s="1371">
        <f t="shared" si="99"/>
        <v>1.8727269316782098</v>
      </c>
      <c r="O100" s="1370">
        <f t="shared" si="99"/>
        <v>1.7400600967308706</v>
      </c>
      <c r="P100" s="1370">
        <f t="shared" si="99"/>
        <v>1.5401694244357633</v>
      </c>
      <c r="Q100" s="1370">
        <f t="shared" si="99"/>
        <v>1.4996993472226903</v>
      </c>
      <c r="R100" s="1371">
        <f t="shared" si="99"/>
        <v>1.3504036059958824</v>
      </c>
      <c r="S100" s="1372">
        <f t="shared" si="99"/>
        <v>1.4784492889881302</v>
      </c>
      <c r="T100" s="1370">
        <f t="shared" si="99"/>
        <v>1.5447244459973324</v>
      </c>
      <c r="U100" s="1370">
        <f t="shared" si="99"/>
        <v>2.1988558796967212</v>
      </c>
      <c r="V100" s="1370">
        <f t="shared" si="99"/>
        <v>2.1071096024579723</v>
      </c>
      <c r="W100" s="1372">
        <f t="shared" si="99"/>
        <v>2.2234421784158229</v>
      </c>
      <c r="X100" s="1370">
        <f t="shared" si="99"/>
        <v>2.1341060660350366</v>
      </c>
      <c r="Y100" s="1373">
        <f t="shared" si="99"/>
        <v>2.0190385583353154</v>
      </c>
      <c r="Z100" s="1371">
        <f t="shared" si="99"/>
        <v>5.4934769647360477</v>
      </c>
      <c r="AA100" s="1370"/>
      <c r="AB100" s="1370"/>
      <c r="AC100" s="1370"/>
      <c r="AD100" s="1370"/>
      <c r="AE100" s="1312"/>
      <c r="AF100" s="1370"/>
      <c r="AG100" s="1370">
        <f t="shared" ref="AG100:AL100" si="100">IF(OR(AG99&lt;0,AG38&lt;0),"NM",AG99/AG38)</f>
        <v>4.2832791960942878</v>
      </c>
      <c r="AH100" s="1370">
        <f t="shared" si="100"/>
        <v>4.9724749109198596</v>
      </c>
      <c r="AI100" s="1370">
        <f t="shared" si="100"/>
        <v>1.8727269316782098</v>
      </c>
      <c r="AJ100" s="1370">
        <f t="shared" si="100"/>
        <v>1.3504036059958822</v>
      </c>
      <c r="AK100" s="1373">
        <f t="shared" si="100"/>
        <v>2.1071096024579723</v>
      </c>
      <c r="AL100" s="1370">
        <f t="shared" si="100"/>
        <v>5.4934769647360477</v>
      </c>
    </row>
    <row r="101" spans="1:40" s="1349" customFormat="1" ht="17.25" customHeight="1" x14ac:dyDescent="0.35">
      <c r="A101" s="1301"/>
      <c r="B101" s="1347"/>
      <c r="C101" s="1312"/>
      <c r="D101" s="1312"/>
      <c r="E101" s="1312"/>
      <c r="F101" s="1312"/>
      <c r="G101" s="1312"/>
      <c r="H101" s="1312"/>
      <c r="I101" s="1312"/>
      <c r="J101" s="1312"/>
      <c r="K101" s="1312"/>
      <c r="L101" s="1312"/>
      <c r="M101" s="1280"/>
      <c r="N101" s="1312"/>
      <c r="O101" s="1312"/>
      <c r="P101" s="1312"/>
      <c r="Q101" s="1312"/>
      <c r="R101" s="1280"/>
      <c r="S101" s="1280"/>
      <c r="T101" s="1312"/>
      <c r="U101" s="1312"/>
      <c r="V101" s="1312"/>
      <c r="W101" s="1312"/>
      <c r="X101" s="1312"/>
      <c r="Y101" s="1312"/>
      <c r="Z101" s="1312"/>
      <c r="AA101" s="1312"/>
      <c r="AB101" s="1312"/>
      <c r="AC101" s="1312"/>
      <c r="AD101" s="1312"/>
      <c r="AE101" s="1312"/>
      <c r="AF101" s="1312"/>
      <c r="AG101" s="1312"/>
      <c r="AH101" s="1312"/>
      <c r="AI101" s="1312"/>
      <c r="AJ101" s="1312"/>
      <c r="AK101" s="1312"/>
    </row>
    <row r="102" spans="1:40" s="1349" customFormat="1" ht="17.25" customHeight="1" x14ac:dyDescent="0.35">
      <c r="A102" s="1374" t="s">
        <v>71</v>
      </c>
      <c r="B102" s="1375"/>
      <c r="C102" s="1376"/>
      <c r="D102" s="1376"/>
      <c r="E102" s="1376"/>
      <c r="F102" s="1376"/>
      <c r="G102" s="1376"/>
      <c r="H102" s="1377"/>
      <c r="I102" s="1272"/>
      <c r="J102" s="1312"/>
      <c r="K102" s="1312"/>
      <c r="L102" s="1312"/>
      <c r="M102" s="1280"/>
      <c r="N102" s="1312"/>
      <c r="O102" s="1312"/>
      <c r="P102" s="1312"/>
      <c r="Q102" s="1312"/>
      <c r="R102" s="1280"/>
      <c r="S102" s="1280"/>
      <c r="T102" s="1312"/>
      <c r="U102" s="1312"/>
      <c r="V102" s="1312"/>
      <c r="W102" s="1312"/>
      <c r="X102" s="1312"/>
      <c r="Y102" s="1312"/>
      <c r="Z102" s="1312"/>
      <c r="AA102" s="1312"/>
      <c r="AB102" s="1312"/>
      <c r="AC102" s="1312"/>
      <c r="AD102" s="1312"/>
      <c r="AE102" s="1312"/>
      <c r="AF102" s="1312"/>
    </row>
    <row r="103" spans="1:40" s="1349" customFormat="1" ht="17.25" customHeight="1" x14ac:dyDescent="0.35">
      <c r="A103" s="1272"/>
      <c r="B103" s="1272"/>
      <c r="G103" s="1378" t="s">
        <v>72</v>
      </c>
      <c r="H103" s="1378" t="s">
        <v>73</v>
      </c>
      <c r="I103" s="1272"/>
      <c r="J103" s="1312"/>
      <c r="K103" s="1312"/>
      <c r="L103" s="1312"/>
      <c r="M103" s="1280"/>
      <c r="N103" s="1312"/>
      <c r="O103" s="1312"/>
      <c r="P103" s="1312"/>
      <c r="Q103" s="1312"/>
      <c r="R103" s="1280"/>
      <c r="S103" s="1280"/>
      <c r="T103" s="1312"/>
      <c r="U103" s="1312"/>
      <c r="V103" s="1312"/>
      <c r="W103" s="1312"/>
      <c r="X103" s="1312"/>
      <c r="Y103" s="1312"/>
      <c r="Z103" s="1312"/>
      <c r="AA103" s="1312"/>
      <c r="AB103" s="1312"/>
      <c r="AC103" s="1312"/>
      <c r="AD103" s="1312"/>
      <c r="AE103" s="1312"/>
      <c r="AF103" s="1312"/>
    </row>
    <row r="104" spans="1:40" s="1349" customFormat="1" ht="17.25" customHeight="1" x14ac:dyDescent="0.35">
      <c r="A104" s="1272" t="s">
        <v>74</v>
      </c>
      <c r="B104" s="1272"/>
      <c r="G104" s="1379">
        <f>+H104*H107</f>
        <v>3207.4434237600003</v>
      </c>
      <c r="H104" s="1380">
        <f>+'PF FA STER Simple'!E82</f>
        <v>18.73</v>
      </c>
      <c r="I104" s="1272"/>
      <c r="J104" s="1312"/>
      <c r="K104" s="1312"/>
      <c r="L104" s="1312"/>
      <c r="M104" s="1280"/>
      <c r="N104" s="1312"/>
      <c r="O104" s="1312"/>
      <c r="P104" s="1312"/>
      <c r="Q104" s="1312"/>
      <c r="R104" s="1280"/>
      <c r="S104" s="1280"/>
      <c r="T104" s="1312"/>
      <c r="U104" s="1312"/>
      <c r="V104" s="1312"/>
      <c r="W104" s="1312"/>
      <c r="X104" s="1312"/>
      <c r="Y104" s="1312"/>
      <c r="Z104" s="1312"/>
      <c r="AA104" s="1312"/>
      <c r="AB104" s="1312"/>
      <c r="AC104" s="1312"/>
      <c r="AD104" s="1312"/>
      <c r="AE104" s="1312"/>
      <c r="AF104" s="1312"/>
    </row>
    <row r="105" spans="1:40" s="1349" customFormat="1" ht="17.25" customHeight="1" x14ac:dyDescent="0.65">
      <c r="A105" s="1272" t="s">
        <v>52</v>
      </c>
      <c r="B105" s="1272"/>
      <c r="G105" s="1300">
        <f>+'PF FA STER Simple'!D83</f>
        <v>2060</v>
      </c>
      <c r="H105" s="1381">
        <f>+G105/H107</f>
        <v>12.029456143849684</v>
      </c>
      <c r="I105" s="1272"/>
      <c r="J105" s="1312"/>
      <c r="K105" s="1312"/>
      <c r="L105" s="1312"/>
      <c r="M105" s="1280"/>
      <c r="N105" s="1312"/>
      <c r="O105" s="1312"/>
      <c r="P105" s="1312"/>
      <c r="Q105" s="1312"/>
      <c r="R105" s="1280"/>
      <c r="S105" s="1280"/>
      <c r="T105" s="1312"/>
      <c r="U105" s="1312"/>
      <c r="V105" s="1312"/>
      <c r="W105" s="1312"/>
      <c r="X105" s="1312"/>
      <c r="Y105" s="1312"/>
      <c r="Z105" s="1312"/>
      <c r="AA105" s="1312"/>
      <c r="AB105" s="1312"/>
      <c r="AC105" s="1312"/>
      <c r="AD105" s="1312"/>
      <c r="AE105" s="1312"/>
      <c r="AF105" s="1312"/>
    </row>
    <row r="106" spans="1:40" s="1349" customFormat="1" ht="17.25" customHeight="1" x14ac:dyDescent="0.35">
      <c r="A106" s="1301" t="s">
        <v>76</v>
      </c>
      <c r="B106" s="1301"/>
      <c r="G106" s="1382">
        <f>+G105+G104</f>
        <v>5267.4434237599999</v>
      </c>
      <c r="H106" s="1383">
        <f>++H105+H104</f>
        <v>30.759456143849683</v>
      </c>
      <c r="I106" s="1272"/>
      <c r="J106" s="1312"/>
      <c r="K106" s="1312"/>
      <c r="L106" s="1312"/>
      <c r="M106" s="1280"/>
      <c r="N106" s="1312"/>
      <c r="O106" s="1312"/>
      <c r="P106" s="1312"/>
      <c r="Q106" s="1312"/>
      <c r="R106" s="1280"/>
      <c r="S106" s="1280"/>
      <c r="T106" s="1312"/>
      <c r="U106" s="1312"/>
      <c r="V106" s="1312"/>
      <c r="W106" s="1312"/>
      <c r="X106" s="1312"/>
      <c r="Y106" s="1312"/>
      <c r="Z106" s="1312"/>
      <c r="AA106" s="1312"/>
      <c r="AB106" s="1312"/>
      <c r="AC106" s="1312"/>
      <c r="AD106" s="1312"/>
      <c r="AE106" s="1312"/>
      <c r="AF106" s="1312"/>
    </row>
    <row r="107" spans="1:40" s="1349" customFormat="1" ht="17.25" customHeight="1" x14ac:dyDescent="0.35">
      <c r="A107" s="1316" t="s">
        <v>77</v>
      </c>
      <c r="B107" s="1316"/>
      <c r="G107" s="1280"/>
      <c r="H107" s="1384">
        <f>+'PF FA STER Simple'!E85</f>
        <v>171.24631200000002</v>
      </c>
      <c r="I107" s="1272"/>
      <c r="J107" s="1312"/>
      <c r="K107" s="1312"/>
      <c r="L107" s="1312"/>
      <c r="M107" s="1280"/>
      <c r="N107" s="1312"/>
      <c r="O107" s="1312"/>
      <c r="P107" s="1312"/>
      <c r="Q107" s="1312"/>
      <c r="R107" s="1280"/>
      <c r="S107" s="1280"/>
      <c r="T107" s="1312"/>
      <c r="U107" s="1312"/>
      <c r="V107" s="1312"/>
      <c r="W107" s="1312"/>
      <c r="X107" s="1312"/>
      <c r="Y107" s="1312"/>
      <c r="Z107" s="1312"/>
      <c r="AA107" s="1312"/>
      <c r="AB107" s="1312"/>
      <c r="AC107" s="1312"/>
      <c r="AD107" s="1312"/>
      <c r="AE107" s="1312"/>
      <c r="AF107" s="1312"/>
    </row>
    <row r="108" spans="1:40" ht="17.25" customHeight="1" x14ac:dyDescent="0.35">
      <c r="C108" s="1291"/>
      <c r="D108" s="1291"/>
      <c r="E108" s="1291"/>
      <c r="F108" s="1291"/>
      <c r="G108" s="1291"/>
      <c r="H108" s="1291"/>
      <c r="I108" s="1291"/>
      <c r="J108" s="1291"/>
      <c r="K108" s="1291"/>
      <c r="L108" s="1291"/>
      <c r="M108" s="1291"/>
      <c r="N108" s="1291"/>
      <c r="O108" s="1291"/>
      <c r="P108" s="1291"/>
      <c r="Q108" s="1291"/>
      <c r="R108" s="1291"/>
      <c r="S108" s="1291"/>
      <c r="T108" s="1291"/>
      <c r="U108" s="1291"/>
      <c r="V108" s="1291"/>
      <c r="W108" s="1291"/>
      <c r="X108" s="1291"/>
      <c r="Y108" s="1291"/>
      <c r="Z108" s="1291"/>
      <c r="AA108" s="1291"/>
      <c r="AB108" s="1291"/>
      <c r="AC108" s="1291"/>
      <c r="AD108" s="1291"/>
      <c r="AE108" s="1291"/>
      <c r="AF108" s="1291"/>
      <c r="AG108" s="1291"/>
      <c r="AH108" s="1291"/>
      <c r="AI108" s="1385" t="s">
        <v>169</v>
      </c>
      <c r="AJ108" s="1386"/>
      <c r="AK108" s="1386"/>
      <c r="AL108" s="1387"/>
      <c r="AM108" s="2172"/>
      <c r="AN108" s="1349"/>
    </row>
    <row r="109" spans="1:40" ht="17.25" customHeight="1" x14ac:dyDescent="0.8">
      <c r="C109" s="1291"/>
      <c r="D109" s="1291"/>
      <c r="E109" s="1291"/>
      <c r="F109" s="1291"/>
      <c r="G109" s="1291"/>
      <c r="H109" s="1291"/>
      <c r="I109" s="1291"/>
      <c r="J109" s="1291"/>
      <c r="K109" s="1291"/>
      <c r="L109" s="1291"/>
      <c r="M109" s="1291"/>
      <c r="N109" s="1291"/>
      <c r="O109" s="1291"/>
      <c r="P109" s="1291"/>
      <c r="Q109" s="1291"/>
      <c r="R109" s="1291"/>
      <c r="S109" s="1291"/>
      <c r="T109" s="1291"/>
      <c r="U109" s="1291"/>
      <c r="V109" s="1291"/>
      <c r="W109" s="1291"/>
      <c r="X109" s="1291"/>
      <c r="Y109" s="1291"/>
      <c r="Z109" s="1291"/>
      <c r="AA109" s="1291"/>
      <c r="AB109" s="1291"/>
      <c r="AC109" s="1291"/>
      <c r="AD109" s="1291"/>
      <c r="AE109" s="1291"/>
      <c r="AF109" s="1291"/>
      <c r="AG109" s="1291"/>
      <c r="AH109" s="1291"/>
      <c r="AI109" s="1307"/>
      <c r="AJ109" s="1349"/>
      <c r="AK109" s="1388">
        <v>2023</v>
      </c>
      <c r="AL109" s="1388" t="s">
        <v>170</v>
      </c>
      <c r="AM109" s="1388"/>
      <c r="AN109" s="1349"/>
    </row>
    <row r="110" spans="1:40" ht="17.25" customHeight="1" x14ac:dyDescent="0.35">
      <c r="C110" s="1291"/>
      <c r="D110" s="1291"/>
      <c r="E110" s="1291"/>
      <c r="F110" s="1291"/>
      <c r="G110" s="1291"/>
      <c r="H110" s="1291"/>
      <c r="I110" s="1291"/>
      <c r="J110" s="1291"/>
      <c r="K110" s="1291"/>
      <c r="L110" s="1291"/>
      <c r="M110" s="1291"/>
      <c r="N110" s="1291"/>
      <c r="O110" s="1291"/>
      <c r="P110" s="1291"/>
      <c r="Q110" s="1291"/>
      <c r="R110" s="1291"/>
      <c r="S110" s="1291"/>
      <c r="T110" s="1291"/>
      <c r="U110" s="1291"/>
      <c r="V110" s="1291"/>
      <c r="W110" s="1291"/>
      <c r="X110" s="1291"/>
      <c r="Y110" s="1291"/>
      <c r="Z110" s="1291"/>
      <c r="AA110" s="1291"/>
      <c r="AB110" s="1291"/>
      <c r="AC110" s="1291"/>
      <c r="AD110" s="1291"/>
      <c r="AE110" s="1291"/>
      <c r="AF110" s="1291"/>
      <c r="AG110" s="1291"/>
      <c r="AH110" s="1291"/>
      <c r="AI110" s="1307" t="s">
        <v>171</v>
      </c>
      <c r="AJ110" s="1349"/>
      <c r="AK110" s="1389">
        <f>+[3]Sheet2!G52</f>
        <v>2.0437060210660887</v>
      </c>
      <c r="AL110" s="1389">
        <f>+[3]Sheet2!H52</f>
        <v>1.8590498180084365</v>
      </c>
      <c r="AM110" s="1389"/>
      <c r="AN110" s="1349"/>
    </row>
    <row r="111" spans="1:40" ht="17.25" customHeight="1" x14ac:dyDescent="0.35">
      <c r="C111" s="1291"/>
      <c r="D111" s="1291"/>
      <c r="E111" s="1291"/>
      <c r="F111" s="1291"/>
      <c r="G111" s="1291"/>
      <c r="H111" s="1291"/>
      <c r="I111" s="1291"/>
      <c r="J111" s="1291"/>
      <c r="K111" s="1291"/>
      <c r="L111" s="1291"/>
      <c r="M111" s="1291"/>
      <c r="N111" s="1291"/>
      <c r="O111" s="1291"/>
      <c r="P111" s="1291"/>
      <c r="Q111" s="1291"/>
      <c r="R111" s="1291"/>
      <c r="S111" s="1291"/>
      <c r="T111" s="1291"/>
      <c r="U111" s="1291"/>
      <c r="V111" s="1291"/>
      <c r="W111" s="1291"/>
      <c r="X111" s="1291"/>
      <c r="Y111" s="1291"/>
      <c r="Z111" s="1291"/>
      <c r="AA111" s="1291"/>
      <c r="AB111" s="1291"/>
      <c r="AC111" s="1291"/>
      <c r="AD111" s="1291"/>
      <c r="AE111" s="1291"/>
      <c r="AF111" s="1291"/>
      <c r="AG111" s="1291"/>
      <c r="AH111" s="1291"/>
      <c r="AI111" s="1307" t="s">
        <v>60</v>
      </c>
      <c r="AJ111" s="1349"/>
      <c r="AK111" s="1389">
        <f>+$G$106/AK45</f>
        <v>16.232491290477657</v>
      </c>
      <c r="AL111" s="1389">
        <f>+$G$106/AL45</f>
        <v>16.818823812196236</v>
      </c>
      <c r="AM111" s="1389"/>
      <c r="AN111" s="1349"/>
    </row>
    <row r="112" spans="1:40" ht="17.25" customHeight="1" x14ac:dyDescent="0.35">
      <c r="C112" s="1291"/>
      <c r="D112" s="1291"/>
      <c r="E112" s="1291"/>
      <c r="F112" s="1291"/>
      <c r="G112" s="1291"/>
      <c r="H112" s="1291"/>
      <c r="I112" s="1291"/>
      <c r="J112" s="1291"/>
      <c r="K112" s="1291"/>
      <c r="L112" s="1291"/>
      <c r="M112" s="1291"/>
      <c r="N112" s="1291"/>
      <c r="O112" s="1291"/>
      <c r="P112" s="1291"/>
      <c r="Q112" s="1291"/>
      <c r="R112" s="1291"/>
      <c r="S112" s="1291"/>
      <c r="T112" s="1291"/>
      <c r="U112" s="1291"/>
      <c r="V112" s="1291"/>
      <c r="W112" s="1291"/>
      <c r="X112" s="1291"/>
      <c r="Y112" s="1291"/>
      <c r="Z112" s="1291"/>
      <c r="AA112" s="1291"/>
      <c r="AB112" s="1291"/>
      <c r="AC112" s="1291"/>
      <c r="AD112" s="1291"/>
      <c r="AE112" s="1291"/>
      <c r="AF112" s="1291"/>
      <c r="AG112" s="1291"/>
      <c r="AH112" s="1291"/>
      <c r="AI112" s="1349" t="str">
        <f>+[3]Sheet2!A55</f>
        <v>P/E</v>
      </c>
      <c r="AJ112" s="1349"/>
      <c r="AK112" s="1389">
        <f>+[3]Sheet2!G55</f>
        <v>14.245868350999467</v>
      </c>
      <c r="AL112" s="1389">
        <f>+[3]Sheet2!H55</f>
        <v>10.80447818273845</v>
      </c>
      <c r="AM112" s="1389"/>
      <c r="AN112" s="1349"/>
    </row>
    <row r="113" spans="3:40" ht="17.25" customHeight="1" x14ac:dyDescent="0.35">
      <c r="C113" s="1291"/>
      <c r="D113" s="1291"/>
      <c r="E113" s="1291"/>
      <c r="F113" s="1291"/>
      <c r="G113" s="1291"/>
      <c r="H113" s="1291"/>
      <c r="I113" s="1291"/>
      <c r="J113" s="1291"/>
      <c r="K113" s="1291"/>
      <c r="L113" s="1291"/>
      <c r="M113" s="1291"/>
      <c r="N113" s="1291"/>
      <c r="O113" s="1291"/>
      <c r="P113" s="1291"/>
      <c r="Q113" s="1291"/>
      <c r="R113" s="1291"/>
      <c r="S113" s="1291"/>
      <c r="T113" s="1291"/>
      <c r="U113" s="1291"/>
      <c r="V113" s="1291"/>
      <c r="W113" s="1291"/>
      <c r="X113" s="1291"/>
      <c r="Y113" s="1291"/>
      <c r="Z113" s="1291"/>
      <c r="AA113" s="1291"/>
      <c r="AB113" s="1291"/>
      <c r="AC113" s="1291"/>
      <c r="AD113" s="1291"/>
      <c r="AE113" s="1291"/>
      <c r="AF113" s="1291"/>
      <c r="AG113" s="1291"/>
      <c r="AH113" s="1291"/>
      <c r="AI113" s="1349" t="s">
        <v>172</v>
      </c>
      <c r="AJ113" s="1389"/>
      <c r="AK113" s="1389">
        <f>+[3]Sheet2!G56</f>
        <v>14.10291527999288</v>
      </c>
      <c r="AL113" s="1389">
        <f>+[3]Sheet2!H56</f>
        <v>10.713291025182851</v>
      </c>
      <c r="AM113" s="1389"/>
      <c r="AN113" s="1349"/>
    </row>
    <row r="114" spans="3:40" ht="17.25" customHeight="1" x14ac:dyDescent="0.35">
      <c r="C114" s="1291"/>
      <c r="D114" s="1291"/>
      <c r="E114" s="1291"/>
      <c r="F114" s="1291"/>
      <c r="G114" s="1291"/>
      <c r="H114" s="1291"/>
      <c r="I114" s="1291"/>
      <c r="J114" s="1291"/>
      <c r="K114" s="1291"/>
      <c r="L114" s="1291"/>
      <c r="M114" s="1291"/>
      <c r="N114" s="1291"/>
      <c r="O114" s="1291"/>
      <c r="P114" s="1291"/>
      <c r="Q114" s="1291"/>
      <c r="R114" s="1291"/>
      <c r="S114" s="1291"/>
      <c r="T114" s="1291"/>
      <c r="U114" s="1291"/>
      <c r="V114" s="1291"/>
      <c r="W114" s="1291"/>
      <c r="X114" s="1291"/>
      <c r="Y114" s="1291"/>
      <c r="Z114" s="1291"/>
      <c r="AA114" s="1291"/>
      <c r="AB114" s="1291"/>
      <c r="AC114" s="1291"/>
      <c r="AD114" s="1291"/>
      <c r="AE114" s="1291"/>
      <c r="AF114" s="1291"/>
      <c r="AG114" s="1291"/>
      <c r="AH114" s="1291"/>
      <c r="AI114" s="1291"/>
      <c r="AJ114" s="1291"/>
      <c r="AK114" s="1291"/>
    </row>
    <row r="115" spans="3:40" ht="17.25" customHeight="1" x14ac:dyDescent="0.35">
      <c r="C115" s="1291"/>
      <c r="D115" s="1291"/>
      <c r="E115" s="1291"/>
      <c r="F115" s="1291"/>
      <c r="G115" s="1291"/>
      <c r="H115" s="1291"/>
      <c r="I115" s="1291"/>
      <c r="J115" s="1291"/>
      <c r="K115" s="1291"/>
      <c r="L115" s="1291"/>
      <c r="M115" s="1291"/>
      <c r="N115" s="1291"/>
      <c r="O115" s="1291"/>
      <c r="P115" s="1291"/>
      <c r="Q115" s="1291"/>
      <c r="R115" s="1291"/>
      <c r="S115" s="1291"/>
      <c r="T115" s="1291"/>
      <c r="U115" s="1291"/>
      <c r="V115" s="1291"/>
      <c r="W115" s="1291"/>
      <c r="X115" s="1291"/>
      <c r="Y115" s="1291"/>
      <c r="Z115" s="1291"/>
      <c r="AA115" s="1291"/>
      <c r="AB115" s="1291"/>
      <c r="AC115" s="1291"/>
      <c r="AD115" s="1291"/>
      <c r="AE115" s="1291"/>
      <c r="AF115" s="1291"/>
      <c r="AG115" s="1291"/>
      <c r="AH115" s="1291"/>
      <c r="AI115" s="1291"/>
      <c r="AJ115" s="1291"/>
      <c r="AK115" s="1291"/>
    </row>
    <row r="116" spans="3:40" ht="17.25" customHeight="1" x14ac:dyDescent="0.35">
      <c r="C116" s="1291"/>
      <c r="D116" s="1291"/>
      <c r="E116" s="1291"/>
      <c r="F116" s="1291"/>
      <c r="G116" s="1291"/>
      <c r="H116" s="1291"/>
      <c r="I116" s="1291"/>
      <c r="J116" s="1291"/>
      <c r="K116" s="1291"/>
      <c r="L116" s="1291"/>
      <c r="M116" s="1291"/>
      <c r="N116" s="1291"/>
      <c r="O116" s="1291"/>
      <c r="P116" s="1291"/>
      <c r="Q116" s="1291"/>
      <c r="R116" s="1291"/>
      <c r="S116" s="1291"/>
      <c r="T116" s="1291"/>
      <c r="U116" s="1291"/>
      <c r="V116" s="1291"/>
      <c r="W116" s="1291"/>
      <c r="X116" s="1291"/>
      <c r="Y116" s="1291"/>
      <c r="Z116" s="1291"/>
      <c r="AA116" s="1291"/>
      <c r="AB116" s="1291"/>
      <c r="AC116" s="1291"/>
      <c r="AD116" s="1291"/>
      <c r="AE116" s="1291"/>
      <c r="AF116" s="1291"/>
      <c r="AG116" s="1291"/>
      <c r="AH116" s="1291"/>
      <c r="AI116" s="1291"/>
      <c r="AJ116" s="1291"/>
      <c r="AK116" s="1291"/>
    </row>
    <row r="117" spans="3:40" ht="17.25" customHeight="1" x14ac:dyDescent="0.35">
      <c r="C117" s="1291"/>
      <c r="D117" s="1291"/>
      <c r="E117" s="1291"/>
      <c r="F117" s="1291"/>
      <c r="G117" s="1291"/>
      <c r="H117" s="1291"/>
      <c r="I117" s="1291"/>
      <c r="J117" s="1291"/>
      <c r="K117" s="1291"/>
      <c r="L117" s="1291"/>
      <c r="M117" s="1291"/>
      <c r="N117" s="1291"/>
      <c r="O117" s="1291"/>
      <c r="P117" s="1291"/>
      <c r="Q117" s="1291"/>
      <c r="R117" s="1291"/>
      <c r="S117" s="1291"/>
      <c r="T117" s="1291"/>
      <c r="U117" s="1291"/>
      <c r="V117" s="1291"/>
      <c r="W117" s="1291"/>
      <c r="X117" s="1291"/>
      <c r="Y117" s="1291"/>
      <c r="Z117" s="1291"/>
      <c r="AA117" s="1291"/>
      <c r="AB117" s="1291"/>
      <c r="AC117" s="1291"/>
      <c r="AD117" s="1291"/>
      <c r="AE117" s="1291"/>
      <c r="AF117" s="1291"/>
      <c r="AG117" s="1291"/>
      <c r="AH117" s="1291"/>
      <c r="AI117" s="1291"/>
      <c r="AJ117" s="1291"/>
      <c r="AK117" s="1291"/>
    </row>
    <row r="118" spans="3:40" ht="17.25" customHeight="1" x14ac:dyDescent="0.35">
      <c r="C118" s="1291"/>
      <c r="D118" s="1291"/>
      <c r="E118" s="1291"/>
      <c r="F118" s="1291"/>
      <c r="G118" s="1291"/>
      <c r="H118" s="1291"/>
      <c r="I118" s="1291"/>
      <c r="J118" s="1291"/>
      <c r="K118" s="1291"/>
      <c r="L118" s="1291"/>
      <c r="M118" s="1291"/>
      <c r="N118" s="1291"/>
      <c r="O118" s="1291"/>
      <c r="P118" s="1291"/>
      <c r="Q118" s="1291"/>
      <c r="R118" s="1291"/>
      <c r="S118" s="1291"/>
      <c r="T118" s="1291"/>
      <c r="U118" s="1291"/>
      <c r="V118" s="1291"/>
      <c r="W118" s="1291"/>
      <c r="X118" s="1291"/>
      <c r="Y118" s="1291"/>
      <c r="Z118" s="1291"/>
      <c r="AA118" s="1291"/>
      <c r="AB118" s="1291"/>
      <c r="AC118" s="1291"/>
      <c r="AD118" s="1291"/>
      <c r="AE118" s="1291"/>
      <c r="AF118" s="1291"/>
      <c r="AG118" s="1291"/>
      <c r="AH118" s="1291"/>
      <c r="AI118" s="1291"/>
      <c r="AJ118" s="1291"/>
      <c r="AK118" s="1291"/>
    </row>
    <row r="119" spans="3:40" ht="17.25" customHeight="1" x14ac:dyDescent="0.35">
      <c r="C119" s="1291"/>
      <c r="D119" s="1291"/>
      <c r="E119" s="1291"/>
      <c r="F119" s="1291"/>
      <c r="G119" s="1291"/>
      <c r="H119" s="1291"/>
      <c r="I119" s="1291"/>
      <c r="J119" s="1291"/>
      <c r="K119" s="1291"/>
      <c r="L119" s="1291"/>
      <c r="M119" s="1291"/>
      <c r="N119" s="1291"/>
      <c r="O119" s="1291"/>
      <c r="P119" s="1291"/>
      <c r="Q119" s="1291"/>
      <c r="R119" s="1291"/>
      <c r="S119" s="1291"/>
      <c r="T119" s="1291"/>
      <c r="U119" s="1291"/>
      <c r="V119" s="1291"/>
      <c r="W119" s="1291"/>
      <c r="X119" s="1291"/>
      <c r="Y119" s="1291"/>
      <c r="Z119" s="1291"/>
      <c r="AA119" s="1291"/>
      <c r="AB119" s="1291"/>
      <c r="AC119" s="1291"/>
      <c r="AD119" s="1291"/>
      <c r="AE119" s="1291"/>
      <c r="AF119" s="1291"/>
      <c r="AG119" s="1291"/>
      <c r="AH119" s="1291"/>
      <c r="AI119" s="1291"/>
      <c r="AJ119" s="1291"/>
      <c r="AK119" s="1291"/>
    </row>
    <row r="120" spans="3:40" ht="17.25" customHeight="1" x14ac:dyDescent="0.35">
      <c r="C120" s="1291"/>
      <c r="D120" s="1291"/>
      <c r="E120" s="1291"/>
      <c r="F120" s="1291"/>
      <c r="G120" s="1291"/>
      <c r="H120" s="1291"/>
      <c r="I120" s="1291"/>
      <c r="J120" s="1291"/>
      <c r="K120" s="1291"/>
      <c r="L120" s="1291"/>
      <c r="M120" s="1291"/>
      <c r="N120" s="1291"/>
      <c r="O120" s="1291"/>
      <c r="P120" s="1291"/>
      <c r="Q120" s="1291"/>
      <c r="R120" s="1291"/>
      <c r="S120" s="1291"/>
      <c r="T120" s="1291"/>
      <c r="U120" s="1291"/>
      <c r="V120" s="1291"/>
      <c r="W120" s="1291"/>
      <c r="X120" s="1291"/>
      <c r="Y120" s="1291"/>
      <c r="Z120" s="1291"/>
      <c r="AA120" s="1291"/>
      <c r="AB120" s="1291"/>
      <c r="AC120" s="1291"/>
      <c r="AD120" s="1291"/>
      <c r="AE120" s="1291"/>
      <c r="AF120" s="1291"/>
      <c r="AG120" s="1291"/>
      <c r="AH120" s="1291"/>
      <c r="AI120" s="1291"/>
      <c r="AJ120" s="1291"/>
      <c r="AK120" s="1291"/>
    </row>
    <row r="121" spans="3:40" ht="17.25" customHeight="1" x14ac:dyDescent="0.35">
      <c r="C121" s="1291"/>
      <c r="D121" s="1291"/>
      <c r="E121" s="1291"/>
      <c r="F121" s="1291"/>
      <c r="G121" s="1291"/>
      <c r="H121" s="1291"/>
      <c r="I121" s="1291"/>
      <c r="J121" s="1291"/>
      <c r="K121" s="1291"/>
      <c r="L121" s="1291"/>
      <c r="M121" s="1291"/>
      <c r="N121" s="1291"/>
      <c r="O121" s="1291"/>
      <c r="P121" s="1291"/>
      <c r="Q121" s="1291"/>
      <c r="R121" s="1291"/>
      <c r="S121" s="1291"/>
      <c r="T121" s="1291"/>
      <c r="U121" s="1291"/>
      <c r="V121" s="1291"/>
      <c r="W121" s="1291"/>
      <c r="X121" s="1291"/>
      <c r="Y121" s="1291"/>
      <c r="Z121" s="1291"/>
      <c r="AA121" s="1291"/>
      <c r="AB121" s="1291"/>
      <c r="AC121" s="1291"/>
      <c r="AD121" s="1291"/>
      <c r="AE121" s="1291"/>
      <c r="AF121" s="1291"/>
      <c r="AG121" s="1291"/>
      <c r="AH121" s="1291"/>
      <c r="AI121" s="1291"/>
      <c r="AJ121" s="1291"/>
      <c r="AK121" s="1291"/>
    </row>
    <row r="122" spans="3:40" ht="17.25" customHeight="1" x14ac:dyDescent="0.35">
      <c r="C122" s="1291"/>
      <c r="D122" s="1291"/>
      <c r="E122" s="1291"/>
      <c r="F122" s="1291"/>
      <c r="G122" s="1291"/>
      <c r="H122" s="1291"/>
      <c r="I122" s="1291"/>
      <c r="J122" s="1291"/>
      <c r="K122" s="1291"/>
      <c r="L122" s="1291"/>
      <c r="M122" s="1291"/>
      <c r="N122" s="1291"/>
      <c r="O122" s="1291"/>
      <c r="P122" s="1291"/>
      <c r="Q122" s="1291"/>
      <c r="R122" s="1291"/>
      <c r="S122" s="1291"/>
      <c r="T122" s="1291"/>
      <c r="U122" s="1291"/>
      <c r="V122" s="1291"/>
      <c r="W122" s="1291"/>
      <c r="X122" s="1291"/>
      <c r="Y122" s="1291"/>
      <c r="Z122" s="1291"/>
      <c r="AA122" s="1291"/>
      <c r="AB122" s="1291"/>
      <c r="AC122" s="1291"/>
      <c r="AD122" s="1291"/>
      <c r="AE122" s="1291"/>
      <c r="AF122" s="1291"/>
      <c r="AG122" s="1291"/>
      <c r="AH122" s="1291"/>
      <c r="AI122" s="1291"/>
      <c r="AJ122" s="1291"/>
      <c r="AK122" s="1291"/>
    </row>
    <row r="123" spans="3:40" ht="17.25" customHeight="1" x14ac:dyDescent="0.35">
      <c r="C123" s="1291"/>
      <c r="D123" s="1291"/>
      <c r="E123" s="1291"/>
      <c r="F123" s="1291"/>
      <c r="G123" s="1291"/>
      <c r="H123" s="1291"/>
      <c r="I123" s="1291"/>
      <c r="J123" s="1291"/>
      <c r="K123" s="1291"/>
      <c r="L123" s="1291"/>
      <c r="M123" s="1291"/>
      <c r="N123" s="1291"/>
      <c r="O123" s="1291"/>
      <c r="P123" s="1291"/>
      <c r="Q123" s="1291"/>
      <c r="R123" s="1291"/>
      <c r="S123" s="1291"/>
      <c r="T123" s="1291"/>
      <c r="U123" s="1291"/>
      <c r="V123" s="1291"/>
      <c r="W123" s="1291"/>
      <c r="X123" s="1291"/>
      <c r="Y123" s="1291"/>
      <c r="Z123" s="1291"/>
      <c r="AA123" s="1291"/>
      <c r="AB123" s="1291"/>
      <c r="AC123" s="1291"/>
      <c r="AD123" s="1291"/>
      <c r="AE123" s="1291"/>
      <c r="AF123" s="1291"/>
      <c r="AG123" s="1291"/>
      <c r="AH123" s="1291"/>
      <c r="AI123" s="1291"/>
      <c r="AJ123" s="1291"/>
      <c r="AK123" s="1291"/>
    </row>
    <row r="124" spans="3:40" ht="17.25" customHeight="1" x14ac:dyDescent="0.35">
      <c r="C124" s="1291"/>
      <c r="D124" s="1291"/>
      <c r="E124" s="1291"/>
      <c r="F124" s="1291"/>
      <c r="G124" s="1291"/>
      <c r="H124" s="1291"/>
      <c r="I124" s="1291"/>
      <c r="J124" s="1291"/>
      <c r="K124" s="1291"/>
      <c r="L124" s="1291"/>
      <c r="M124" s="1291"/>
      <c r="N124" s="1291"/>
      <c r="O124" s="1291"/>
      <c r="P124" s="1291"/>
      <c r="Q124" s="1291"/>
      <c r="R124" s="1291"/>
      <c r="S124" s="1291"/>
      <c r="T124" s="1291"/>
      <c r="U124" s="1291"/>
      <c r="V124" s="1291"/>
      <c r="W124" s="1291"/>
      <c r="X124" s="1291"/>
      <c r="Y124" s="1291"/>
      <c r="Z124" s="1291"/>
      <c r="AA124" s="1291"/>
      <c r="AB124" s="1291"/>
      <c r="AC124" s="1291"/>
      <c r="AD124" s="1291"/>
      <c r="AE124" s="1291"/>
      <c r="AF124" s="1291"/>
      <c r="AG124" s="1291"/>
      <c r="AH124" s="1291"/>
      <c r="AI124" s="1291"/>
      <c r="AJ124" s="1291"/>
      <c r="AK124" s="1291"/>
    </row>
    <row r="125" spans="3:40" ht="17.25" customHeight="1" x14ac:dyDescent="0.35">
      <c r="C125" s="1291"/>
      <c r="D125" s="1291"/>
      <c r="E125" s="1291"/>
      <c r="F125" s="1291"/>
      <c r="G125" s="1291"/>
      <c r="H125" s="1291"/>
      <c r="I125" s="1291"/>
      <c r="J125" s="1291"/>
      <c r="K125" s="1291"/>
      <c r="L125" s="1291"/>
      <c r="M125" s="1291"/>
      <c r="N125" s="1291"/>
      <c r="O125" s="1291"/>
      <c r="P125" s="1291"/>
      <c r="Q125" s="1291"/>
      <c r="R125" s="1291"/>
      <c r="S125" s="1291"/>
      <c r="T125" s="1291"/>
      <c r="U125" s="1291"/>
      <c r="V125" s="1291"/>
      <c r="W125" s="1291"/>
      <c r="X125" s="1291"/>
      <c r="Y125" s="1291"/>
      <c r="Z125" s="1291"/>
      <c r="AA125" s="1291"/>
      <c r="AB125" s="1291"/>
      <c r="AC125" s="1291"/>
      <c r="AD125" s="1291"/>
      <c r="AE125" s="1291"/>
      <c r="AF125" s="1291"/>
      <c r="AG125" s="1291"/>
      <c r="AH125" s="1291"/>
      <c r="AI125" s="1291"/>
      <c r="AJ125" s="1291"/>
      <c r="AK125" s="1291"/>
    </row>
    <row r="126" spans="3:40" ht="17.25" customHeight="1" x14ac:dyDescent="0.35">
      <c r="C126" s="1291"/>
      <c r="D126" s="1291"/>
      <c r="E126" s="1291"/>
      <c r="F126" s="1291"/>
      <c r="G126" s="1291"/>
      <c r="H126" s="1291"/>
      <c r="I126" s="1291"/>
      <c r="J126" s="1291"/>
      <c r="K126" s="1291"/>
      <c r="L126" s="1291"/>
      <c r="M126" s="1291"/>
      <c r="N126" s="1291"/>
      <c r="O126" s="1291"/>
      <c r="P126" s="1291"/>
      <c r="Q126" s="1291"/>
      <c r="R126" s="1291"/>
      <c r="S126" s="1291"/>
      <c r="T126" s="1291"/>
      <c r="U126" s="1291"/>
      <c r="V126" s="1291"/>
      <c r="W126" s="1291"/>
      <c r="X126" s="1291"/>
      <c r="Y126" s="1291"/>
      <c r="Z126" s="1291"/>
      <c r="AA126" s="1291"/>
      <c r="AB126" s="1291"/>
      <c r="AC126" s="1291"/>
      <c r="AD126" s="1291"/>
      <c r="AE126" s="1291"/>
      <c r="AF126" s="1291"/>
      <c r="AG126" s="1291"/>
      <c r="AH126" s="1291"/>
      <c r="AI126" s="1291"/>
      <c r="AJ126" s="1291"/>
      <c r="AK126" s="1291"/>
    </row>
    <row r="127" spans="3:40" ht="17.25" customHeight="1" x14ac:dyDescent="0.35">
      <c r="C127" s="1291"/>
      <c r="D127" s="1291"/>
      <c r="E127" s="1291"/>
      <c r="F127" s="1291"/>
      <c r="G127" s="1291"/>
      <c r="H127" s="1291"/>
      <c r="I127" s="1291"/>
      <c r="J127" s="1291"/>
      <c r="K127" s="1291"/>
      <c r="L127" s="1291"/>
      <c r="M127" s="1291"/>
      <c r="N127" s="1291"/>
      <c r="O127" s="1291"/>
      <c r="P127" s="1291"/>
      <c r="Q127" s="1291"/>
      <c r="R127" s="1291"/>
      <c r="S127" s="1291"/>
      <c r="T127" s="1291"/>
      <c r="U127" s="1291"/>
      <c r="V127" s="1291"/>
      <c r="W127" s="1291"/>
      <c r="X127" s="1291"/>
      <c r="Y127" s="1291"/>
      <c r="Z127" s="1291"/>
      <c r="AA127" s="1291"/>
      <c r="AB127" s="1291"/>
      <c r="AC127" s="1291"/>
      <c r="AD127" s="1291"/>
      <c r="AE127" s="1291"/>
      <c r="AF127" s="1291"/>
      <c r="AG127" s="1291"/>
      <c r="AH127" s="1291"/>
      <c r="AI127" s="1291"/>
      <c r="AJ127" s="1291"/>
      <c r="AK127" s="1291"/>
    </row>
    <row r="128" spans="3:40" ht="17.25" customHeight="1" x14ac:dyDescent="0.35">
      <c r="C128" s="1291"/>
      <c r="D128" s="1291"/>
      <c r="E128" s="1291"/>
      <c r="F128" s="1291"/>
      <c r="G128" s="1291"/>
      <c r="H128" s="1291"/>
      <c r="I128" s="1291"/>
      <c r="J128" s="1291"/>
      <c r="K128" s="1291"/>
      <c r="L128" s="1291"/>
      <c r="M128" s="1291"/>
      <c r="N128" s="1291"/>
      <c r="O128" s="1291"/>
      <c r="P128" s="1291"/>
      <c r="Q128" s="1291"/>
      <c r="R128" s="1291"/>
      <c r="S128" s="1291"/>
      <c r="T128" s="1291"/>
      <c r="U128" s="1291"/>
      <c r="V128" s="1291"/>
      <c r="W128" s="1291"/>
      <c r="X128" s="1291"/>
      <c r="Y128" s="1291"/>
      <c r="Z128" s="1291"/>
      <c r="AA128" s="1291"/>
      <c r="AB128" s="1291"/>
      <c r="AC128" s="1291"/>
      <c r="AD128" s="1291"/>
      <c r="AE128" s="1291"/>
      <c r="AF128" s="1291"/>
      <c r="AG128" s="1291"/>
      <c r="AH128" s="1291"/>
      <c r="AI128" s="1291"/>
      <c r="AJ128" s="1291"/>
      <c r="AK128" s="1291"/>
    </row>
    <row r="129" spans="3:37" ht="17.25" customHeight="1" x14ac:dyDescent="0.35">
      <c r="C129" s="1291"/>
      <c r="D129" s="1291"/>
      <c r="E129" s="1291"/>
      <c r="F129" s="1291"/>
      <c r="G129" s="1291"/>
      <c r="H129" s="1291"/>
      <c r="I129" s="1291"/>
      <c r="J129" s="1291"/>
      <c r="K129" s="1291"/>
      <c r="L129" s="1291"/>
      <c r="M129" s="1291"/>
      <c r="N129" s="1291"/>
      <c r="O129" s="1291"/>
      <c r="P129" s="1291"/>
      <c r="Q129" s="1291"/>
      <c r="R129" s="1291"/>
      <c r="S129" s="1291"/>
      <c r="T129" s="1291"/>
      <c r="U129" s="1291"/>
      <c r="V129" s="1291"/>
      <c r="W129" s="1291"/>
      <c r="X129" s="1291"/>
      <c r="Y129" s="1291"/>
      <c r="Z129" s="1291"/>
      <c r="AA129" s="1291"/>
      <c r="AB129" s="1291"/>
      <c r="AC129" s="1291"/>
      <c r="AD129" s="1291"/>
      <c r="AE129" s="1291"/>
      <c r="AF129" s="1291"/>
      <c r="AG129" s="1291"/>
      <c r="AH129" s="1291"/>
      <c r="AI129" s="1291"/>
      <c r="AJ129" s="1291"/>
      <c r="AK129" s="1291"/>
    </row>
    <row r="130" spans="3:37" ht="17.25" customHeight="1" x14ac:dyDescent="0.35">
      <c r="C130" s="1291"/>
      <c r="D130" s="1291"/>
      <c r="E130" s="1291"/>
      <c r="F130" s="1291"/>
      <c r="G130" s="1291"/>
      <c r="H130" s="1291"/>
      <c r="I130" s="1291"/>
      <c r="J130" s="1291"/>
      <c r="K130" s="1291"/>
      <c r="L130" s="1291"/>
      <c r="M130" s="1291"/>
      <c r="N130" s="1291"/>
      <c r="O130" s="1291"/>
      <c r="P130" s="1291"/>
      <c r="Q130" s="1291"/>
      <c r="R130" s="1291"/>
      <c r="S130" s="1291"/>
      <c r="T130" s="1291"/>
      <c r="U130" s="1291"/>
      <c r="V130" s="1291"/>
      <c r="W130" s="1291"/>
      <c r="X130" s="1291"/>
      <c r="Y130" s="1291"/>
      <c r="Z130" s="1291"/>
      <c r="AA130" s="1291"/>
      <c r="AB130" s="1291"/>
      <c r="AC130" s="1291"/>
      <c r="AD130" s="1291"/>
      <c r="AE130" s="1291"/>
      <c r="AF130" s="1291"/>
      <c r="AG130" s="1291"/>
      <c r="AH130" s="1291"/>
      <c r="AI130" s="1291"/>
      <c r="AJ130" s="1291"/>
      <c r="AK130" s="1291"/>
    </row>
    <row r="131" spans="3:37" ht="17.25" customHeight="1" x14ac:dyDescent="0.35">
      <c r="C131" s="1291"/>
      <c r="D131" s="1291"/>
      <c r="E131" s="1291"/>
      <c r="F131" s="1291"/>
      <c r="G131" s="1291"/>
      <c r="H131" s="1291"/>
      <c r="I131" s="1291"/>
      <c r="J131" s="1291"/>
      <c r="K131" s="1291"/>
      <c r="L131" s="1291"/>
      <c r="M131" s="1291"/>
      <c r="N131" s="1291"/>
      <c r="O131" s="1291"/>
      <c r="P131" s="1291"/>
      <c r="Q131" s="1291"/>
      <c r="R131" s="1291"/>
      <c r="S131" s="1291"/>
      <c r="T131" s="1291"/>
      <c r="U131" s="1291"/>
      <c r="V131" s="1291"/>
      <c r="W131" s="1291"/>
      <c r="X131" s="1291"/>
      <c r="Y131" s="1291"/>
      <c r="Z131" s="1291"/>
      <c r="AA131" s="1291"/>
      <c r="AB131" s="1291"/>
      <c r="AC131" s="1291"/>
      <c r="AD131" s="1291"/>
      <c r="AE131" s="1291"/>
      <c r="AF131" s="1291"/>
      <c r="AG131" s="1291"/>
      <c r="AH131" s="1291"/>
      <c r="AI131" s="1291"/>
      <c r="AJ131" s="1291"/>
      <c r="AK131" s="1291"/>
    </row>
    <row r="132" spans="3:37" ht="17.25" customHeight="1" x14ac:dyDescent="0.35">
      <c r="C132" s="1291"/>
      <c r="D132" s="1291"/>
      <c r="E132" s="1291"/>
      <c r="F132" s="1291"/>
      <c r="G132" s="1291"/>
      <c r="H132" s="1291"/>
      <c r="I132" s="1291"/>
      <c r="J132" s="1291"/>
      <c r="K132" s="1291"/>
      <c r="L132" s="1291"/>
      <c r="M132" s="1291"/>
      <c r="N132" s="1291"/>
      <c r="O132" s="1291"/>
      <c r="P132" s="1291"/>
      <c r="Q132" s="1291"/>
      <c r="R132" s="1291"/>
      <c r="S132" s="1291"/>
      <c r="T132" s="1291"/>
      <c r="U132" s="1291"/>
      <c r="V132" s="1291"/>
      <c r="W132" s="1291"/>
      <c r="X132" s="1291"/>
      <c r="Y132" s="1291"/>
      <c r="Z132" s="1291"/>
      <c r="AA132" s="1291"/>
      <c r="AB132" s="1291"/>
      <c r="AC132" s="1291"/>
      <c r="AD132" s="1291"/>
      <c r="AE132" s="1291"/>
      <c r="AF132" s="1291"/>
      <c r="AG132" s="1291"/>
      <c r="AH132" s="1291"/>
      <c r="AI132" s="1291"/>
      <c r="AJ132" s="1291"/>
      <c r="AK132" s="1291"/>
    </row>
    <row r="133" spans="3:37" ht="17.25" customHeight="1" x14ac:dyDescent="0.35">
      <c r="C133" s="1291"/>
      <c r="D133" s="1291"/>
      <c r="E133" s="1291"/>
      <c r="F133" s="1291"/>
      <c r="G133" s="1291"/>
      <c r="H133" s="1291"/>
      <c r="I133" s="1291"/>
      <c r="J133" s="1291"/>
      <c r="K133" s="1291"/>
      <c r="L133" s="1291"/>
      <c r="M133" s="1291"/>
      <c r="N133" s="1291"/>
      <c r="O133" s="1291"/>
      <c r="P133" s="1291"/>
      <c r="Q133" s="1291"/>
      <c r="R133" s="1291"/>
      <c r="S133" s="1291"/>
      <c r="T133" s="1291"/>
      <c r="U133" s="1291"/>
      <c r="V133" s="1291"/>
      <c r="W133" s="1291"/>
      <c r="X133" s="1291"/>
      <c r="Y133" s="1291"/>
      <c r="Z133" s="1291"/>
      <c r="AA133" s="1291"/>
      <c r="AB133" s="1291"/>
      <c r="AC133" s="1291"/>
      <c r="AD133" s="1291"/>
      <c r="AE133" s="1291"/>
      <c r="AF133" s="1291"/>
      <c r="AG133" s="1291"/>
      <c r="AH133" s="1291"/>
      <c r="AI133" s="1291"/>
      <c r="AJ133" s="1291"/>
      <c r="AK133" s="1291"/>
    </row>
    <row r="134" spans="3:37" ht="17.25" customHeight="1" x14ac:dyDescent="0.35">
      <c r="C134" s="1291"/>
      <c r="D134" s="1291"/>
      <c r="E134" s="1291"/>
      <c r="F134" s="1291"/>
      <c r="G134" s="1291"/>
      <c r="H134" s="1291"/>
      <c r="I134" s="1291"/>
      <c r="J134" s="1291"/>
      <c r="K134" s="1291"/>
      <c r="L134" s="1291"/>
      <c r="M134" s="1291"/>
      <c r="N134" s="1291"/>
      <c r="O134" s="1291"/>
      <c r="P134" s="1291"/>
      <c r="Q134" s="1291"/>
      <c r="R134" s="1291"/>
      <c r="S134" s="1291"/>
      <c r="T134" s="1291"/>
      <c r="U134" s="1291"/>
      <c r="V134" s="1291"/>
      <c r="W134" s="1291"/>
      <c r="X134" s="1291"/>
      <c r="Y134" s="1291"/>
      <c r="Z134" s="1291"/>
      <c r="AA134" s="1291"/>
      <c r="AB134" s="1291"/>
      <c r="AC134" s="1291"/>
      <c r="AD134" s="1291"/>
      <c r="AE134" s="1291"/>
      <c r="AF134" s="1291"/>
      <c r="AG134" s="1291"/>
      <c r="AH134" s="1291"/>
      <c r="AI134" s="1291"/>
      <c r="AJ134" s="1291"/>
      <c r="AK134" s="1291"/>
    </row>
    <row r="135" spans="3:37" ht="17.25" customHeight="1" x14ac:dyDescent="0.35">
      <c r="C135" s="1291"/>
      <c r="D135" s="1291"/>
      <c r="E135" s="1291"/>
      <c r="F135" s="1291"/>
      <c r="G135" s="1291"/>
      <c r="H135" s="1291"/>
      <c r="I135" s="1291"/>
      <c r="J135" s="1291"/>
      <c r="K135" s="1291"/>
      <c r="L135" s="1291"/>
      <c r="M135" s="1291"/>
      <c r="N135" s="1291"/>
      <c r="O135" s="1291"/>
      <c r="P135" s="1291"/>
      <c r="Q135" s="1291"/>
      <c r="R135" s="1291"/>
      <c r="S135" s="1291"/>
      <c r="T135" s="1291"/>
      <c r="U135" s="1291"/>
      <c r="V135" s="1291"/>
      <c r="W135" s="1291"/>
      <c r="X135" s="1291"/>
      <c r="Y135" s="1291"/>
      <c r="Z135" s="1291"/>
      <c r="AA135" s="1291"/>
      <c r="AB135" s="1291"/>
      <c r="AC135" s="1291"/>
      <c r="AD135" s="1291"/>
      <c r="AE135" s="1291"/>
      <c r="AF135" s="1291"/>
      <c r="AG135" s="1291"/>
      <c r="AH135" s="1291"/>
      <c r="AI135" s="1291"/>
      <c r="AJ135" s="1291"/>
      <c r="AK135" s="1291"/>
    </row>
    <row r="136" spans="3:37" ht="17.25" customHeight="1" x14ac:dyDescent="0.35">
      <c r="C136" s="1291"/>
      <c r="D136" s="1291"/>
      <c r="E136" s="1291"/>
      <c r="F136" s="1291"/>
      <c r="G136" s="1291"/>
      <c r="H136" s="1291"/>
      <c r="I136" s="1291"/>
      <c r="J136" s="1291"/>
      <c r="K136" s="1291"/>
      <c r="L136" s="1291"/>
      <c r="M136" s="1291"/>
      <c r="N136" s="1291"/>
      <c r="O136" s="1291"/>
      <c r="P136" s="1291"/>
      <c r="Q136" s="1291"/>
      <c r="R136" s="1291"/>
      <c r="S136" s="1291"/>
      <c r="T136" s="1291"/>
      <c r="U136" s="1291"/>
      <c r="V136" s="1291"/>
      <c r="W136" s="1291"/>
      <c r="X136" s="1291"/>
      <c r="Y136" s="1291"/>
      <c r="Z136" s="1291"/>
      <c r="AA136" s="1291"/>
      <c r="AB136" s="1291"/>
      <c r="AC136" s="1291"/>
      <c r="AD136" s="1291"/>
      <c r="AE136" s="1291"/>
      <c r="AF136" s="1291"/>
      <c r="AG136" s="1291"/>
      <c r="AH136" s="1291"/>
      <c r="AI136" s="1291"/>
      <c r="AJ136" s="1291"/>
      <c r="AK136" s="1291"/>
    </row>
    <row r="137" spans="3:37" ht="17.25" customHeight="1" x14ac:dyDescent="0.35">
      <c r="C137" s="1291"/>
      <c r="D137" s="1291"/>
      <c r="E137" s="1291"/>
      <c r="F137" s="1291"/>
      <c r="G137" s="1291"/>
      <c r="H137" s="1291"/>
      <c r="I137" s="1291"/>
      <c r="J137" s="1291"/>
      <c r="K137" s="1291"/>
      <c r="L137" s="1291"/>
      <c r="M137" s="1291"/>
      <c r="N137" s="1291"/>
      <c r="O137" s="1291"/>
      <c r="P137" s="1291"/>
      <c r="Q137" s="1291"/>
      <c r="R137" s="1291"/>
      <c r="S137" s="1291"/>
      <c r="T137" s="1291"/>
      <c r="U137" s="1291"/>
      <c r="V137" s="1291"/>
      <c r="W137" s="1291"/>
      <c r="X137" s="1291"/>
      <c r="Y137" s="1291"/>
      <c r="Z137" s="1291"/>
      <c r="AA137" s="1291"/>
      <c r="AB137" s="1291"/>
      <c r="AC137" s="1291"/>
      <c r="AD137" s="1291"/>
      <c r="AE137" s="1291"/>
      <c r="AF137" s="1291"/>
      <c r="AG137" s="1291"/>
      <c r="AH137" s="1291"/>
      <c r="AI137" s="1291"/>
      <c r="AJ137" s="1291"/>
      <c r="AK137" s="1291"/>
    </row>
    <row r="138" spans="3:37" ht="17.25" customHeight="1" x14ac:dyDescent="0.35">
      <c r="C138" s="1291"/>
      <c r="D138" s="1291"/>
      <c r="E138" s="1291"/>
      <c r="F138" s="1291"/>
      <c r="G138" s="1291"/>
      <c r="H138" s="1291"/>
      <c r="I138" s="1291"/>
      <c r="J138" s="1291"/>
      <c r="K138" s="1291"/>
      <c r="L138" s="1291"/>
      <c r="M138" s="1291"/>
      <c r="N138" s="1291"/>
      <c r="O138" s="1291"/>
      <c r="P138" s="1291"/>
      <c r="Q138" s="1291"/>
      <c r="R138" s="1291"/>
      <c r="S138" s="1291"/>
      <c r="T138" s="1291"/>
      <c r="U138" s="1291"/>
      <c r="V138" s="1291"/>
      <c r="W138" s="1291"/>
      <c r="X138" s="1291"/>
      <c r="Y138" s="1291"/>
      <c r="Z138" s="1291"/>
      <c r="AA138" s="1291"/>
      <c r="AB138" s="1291"/>
      <c r="AC138" s="1291"/>
      <c r="AD138" s="1291"/>
      <c r="AE138" s="1291"/>
      <c r="AF138" s="1291"/>
      <c r="AG138" s="1291"/>
      <c r="AH138" s="1291"/>
      <c r="AI138" s="1291"/>
      <c r="AJ138" s="1291"/>
      <c r="AK138" s="1291"/>
    </row>
    <row r="139" spans="3:37" ht="17.25" customHeight="1" x14ac:dyDescent="0.35">
      <c r="C139" s="1291"/>
      <c r="D139" s="1291"/>
      <c r="E139" s="1291"/>
      <c r="F139" s="1291"/>
      <c r="G139" s="1291"/>
      <c r="H139" s="1291"/>
      <c r="I139" s="1291"/>
      <c r="J139" s="1291"/>
      <c r="K139" s="1291"/>
      <c r="L139" s="1291"/>
      <c r="M139" s="1291"/>
      <c r="N139" s="1291"/>
      <c r="O139" s="1291"/>
      <c r="P139" s="1291"/>
      <c r="Q139" s="1291"/>
      <c r="R139" s="1291"/>
      <c r="S139" s="1291"/>
      <c r="T139" s="1291"/>
      <c r="U139" s="1291"/>
      <c r="V139" s="1291"/>
      <c r="W139" s="1291"/>
      <c r="X139" s="1291"/>
      <c r="Y139" s="1291"/>
      <c r="Z139" s="1291"/>
      <c r="AA139" s="1291"/>
      <c r="AB139" s="1291"/>
      <c r="AC139" s="1291"/>
      <c r="AD139" s="1291"/>
      <c r="AE139" s="1291"/>
      <c r="AF139" s="1291"/>
      <c r="AG139" s="1291"/>
      <c r="AH139" s="1291"/>
      <c r="AI139" s="1291"/>
      <c r="AJ139" s="1291"/>
      <c r="AK139" s="1291"/>
    </row>
    <row r="140" spans="3:37" ht="17.25" customHeight="1" x14ac:dyDescent="0.35">
      <c r="C140" s="1291"/>
      <c r="D140" s="1291"/>
      <c r="E140" s="1291"/>
      <c r="F140" s="1291"/>
      <c r="G140" s="1291"/>
      <c r="H140" s="1291"/>
      <c r="I140" s="1291"/>
      <c r="J140" s="1291"/>
      <c r="K140" s="1291"/>
      <c r="L140" s="1291"/>
      <c r="M140" s="1291"/>
      <c r="N140" s="1291"/>
      <c r="O140" s="1291"/>
      <c r="P140" s="1291"/>
      <c r="Q140" s="1291"/>
      <c r="R140" s="1291"/>
      <c r="S140" s="1291"/>
      <c r="T140" s="1291"/>
      <c r="U140" s="1291"/>
      <c r="V140" s="1291"/>
      <c r="W140" s="1291"/>
      <c r="X140" s="1291"/>
      <c r="Y140" s="1291"/>
      <c r="Z140" s="1291"/>
      <c r="AA140" s="1291"/>
      <c r="AB140" s="1291"/>
      <c r="AC140" s="1291"/>
      <c r="AD140" s="1291"/>
      <c r="AE140" s="1291"/>
      <c r="AF140" s="1291"/>
      <c r="AG140" s="1291"/>
      <c r="AH140" s="1291"/>
      <c r="AI140" s="1291"/>
      <c r="AJ140" s="1291"/>
      <c r="AK140" s="1291"/>
    </row>
    <row r="141" spans="3:37" ht="17.25" customHeight="1" x14ac:dyDescent="0.35">
      <c r="C141" s="1291"/>
      <c r="D141" s="1291"/>
      <c r="E141" s="1291"/>
      <c r="F141" s="1291"/>
      <c r="G141" s="1291"/>
      <c r="H141" s="1291"/>
      <c r="I141" s="1291"/>
      <c r="J141" s="1291"/>
      <c r="K141" s="1291"/>
      <c r="L141" s="1291"/>
      <c r="M141" s="1291"/>
      <c r="N141" s="1291"/>
      <c r="O141" s="1291"/>
      <c r="P141" s="1291"/>
      <c r="Q141" s="1291"/>
      <c r="R141" s="1291"/>
      <c r="S141" s="1291"/>
      <c r="T141" s="1291"/>
      <c r="U141" s="1291"/>
      <c r="V141" s="1291"/>
      <c r="W141" s="1291"/>
      <c r="X141" s="1291"/>
      <c r="Y141" s="1291"/>
      <c r="Z141" s="1291"/>
      <c r="AA141" s="1291"/>
      <c r="AB141" s="1291"/>
      <c r="AC141" s="1291"/>
      <c r="AD141" s="1291"/>
      <c r="AE141" s="1291"/>
      <c r="AF141" s="1291"/>
      <c r="AG141" s="1291"/>
      <c r="AH141" s="1291"/>
      <c r="AI141" s="1291"/>
      <c r="AJ141" s="1291"/>
      <c r="AK141" s="1291"/>
    </row>
    <row r="142" spans="3:37" ht="17.25" customHeight="1" x14ac:dyDescent="0.35">
      <c r="C142" s="1291"/>
      <c r="D142" s="1291"/>
      <c r="E142" s="1291"/>
      <c r="F142" s="1291"/>
      <c r="G142" s="1291"/>
      <c r="H142" s="1291"/>
      <c r="I142" s="1291"/>
      <c r="J142" s="1291"/>
      <c r="K142" s="1291"/>
      <c r="L142" s="1291"/>
      <c r="M142" s="1291"/>
      <c r="N142" s="1291"/>
      <c r="O142" s="1291"/>
      <c r="P142" s="1291"/>
      <c r="Q142" s="1291"/>
      <c r="R142" s="1291"/>
      <c r="S142" s="1291"/>
      <c r="T142" s="1291"/>
      <c r="U142" s="1291"/>
      <c r="V142" s="1291"/>
      <c r="W142" s="1291"/>
      <c r="X142" s="1291"/>
      <c r="Y142" s="1291"/>
      <c r="Z142" s="1291"/>
      <c r="AA142" s="1291"/>
      <c r="AB142" s="1291"/>
      <c r="AC142" s="1291"/>
      <c r="AD142" s="1291"/>
      <c r="AE142" s="1291"/>
      <c r="AF142" s="1291"/>
      <c r="AG142" s="1291"/>
      <c r="AH142" s="1291"/>
      <c r="AI142" s="1291"/>
      <c r="AJ142" s="1291"/>
      <c r="AK142" s="1291"/>
    </row>
    <row r="143" spans="3:37" ht="17.25" customHeight="1" x14ac:dyDescent="0.35">
      <c r="C143" s="1291"/>
      <c r="D143" s="1291"/>
      <c r="E143" s="1291"/>
      <c r="F143" s="1291"/>
      <c r="G143" s="1291"/>
      <c r="H143" s="1291"/>
      <c r="I143" s="1291"/>
      <c r="J143" s="1291"/>
      <c r="K143" s="1291"/>
      <c r="L143" s="1291"/>
      <c r="M143" s="1291"/>
      <c r="N143" s="1291"/>
      <c r="O143" s="1291"/>
      <c r="P143" s="1291"/>
      <c r="Q143" s="1291"/>
      <c r="R143" s="1291"/>
      <c r="S143" s="1291"/>
      <c r="T143" s="1291"/>
      <c r="U143" s="1291"/>
      <c r="V143" s="1291"/>
      <c r="W143" s="1291"/>
      <c r="X143" s="1291"/>
      <c r="Y143" s="1291"/>
      <c r="Z143" s="1291"/>
      <c r="AA143" s="1291"/>
      <c r="AB143" s="1291"/>
      <c r="AC143" s="1291"/>
      <c r="AD143" s="1291"/>
      <c r="AE143" s="1291"/>
      <c r="AF143" s="1291"/>
      <c r="AG143" s="1291"/>
      <c r="AH143" s="1291"/>
      <c r="AI143" s="1291"/>
      <c r="AJ143" s="1291"/>
      <c r="AK143" s="1291"/>
    </row>
    <row r="144" spans="3:37" ht="17.25" customHeight="1" x14ac:dyDescent="0.35">
      <c r="C144" s="1291"/>
      <c r="D144" s="1291"/>
      <c r="E144" s="1291"/>
      <c r="F144" s="1291"/>
      <c r="G144" s="1291"/>
      <c r="H144" s="1291"/>
      <c r="I144" s="1291"/>
      <c r="J144" s="1291"/>
      <c r="K144" s="1291"/>
      <c r="L144" s="1291"/>
      <c r="M144" s="1291"/>
      <c r="N144" s="1291"/>
      <c r="O144" s="1291"/>
      <c r="P144" s="1291"/>
      <c r="Q144" s="1291"/>
      <c r="R144" s="1291"/>
      <c r="S144" s="1291"/>
      <c r="T144" s="1291"/>
      <c r="U144" s="1291"/>
      <c r="V144" s="1291"/>
      <c r="W144" s="1291"/>
      <c r="X144" s="1291"/>
      <c r="Y144" s="1291"/>
      <c r="Z144" s="1291"/>
      <c r="AA144" s="1291"/>
      <c r="AB144" s="1291"/>
      <c r="AC144" s="1291"/>
      <c r="AD144" s="1291"/>
      <c r="AE144" s="1291"/>
      <c r="AF144" s="1291"/>
      <c r="AG144" s="1291"/>
      <c r="AH144" s="1291"/>
      <c r="AI144" s="1291"/>
      <c r="AJ144" s="1291"/>
      <c r="AK144" s="1291"/>
    </row>
    <row r="145" spans="3:37" ht="17.25" customHeight="1" x14ac:dyDescent="0.35">
      <c r="C145" s="1291"/>
      <c r="D145" s="1291"/>
      <c r="E145" s="1291"/>
      <c r="F145" s="1291"/>
      <c r="G145" s="1291"/>
      <c r="H145" s="1291"/>
      <c r="I145" s="1291"/>
      <c r="J145" s="1291"/>
      <c r="K145" s="1291"/>
      <c r="L145" s="1291"/>
      <c r="M145" s="1291"/>
      <c r="N145" s="1291"/>
      <c r="O145" s="1291"/>
      <c r="P145" s="1291"/>
      <c r="Q145" s="1291"/>
      <c r="R145" s="1291"/>
      <c r="S145" s="1291"/>
      <c r="T145" s="1291"/>
      <c r="U145" s="1291"/>
      <c r="V145" s="1291"/>
      <c r="W145" s="1291"/>
      <c r="X145" s="1291"/>
      <c r="Y145" s="1291"/>
      <c r="Z145" s="1291"/>
      <c r="AA145" s="1291"/>
      <c r="AB145" s="1291"/>
      <c r="AC145" s="1291"/>
      <c r="AD145" s="1291"/>
      <c r="AE145" s="1291"/>
      <c r="AF145" s="1291"/>
      <c r="AG145" s="1291"/>
      <c r="AH145" s="1291"/>
      <c r="AI145" s="1291"/>
      <c r="AJ145" s="1291"/>
      <c r="AK145" s="1291"/>
    </row>
    <row r="146" spans="3:37" ht="17.25" customHeight="1" x14ac:dyDescent="0.35">
      <c r="C146" s="1291"/>
      <c r="D146" s="1291"/>
      <c r="E146" s="1291"/>
      <c r="F146" s="1291"/>
      <c r="G146" s="1291"/>
      <c r="H146" s="1291"/>
      <c r="I146" s="1291"/>
      <c r="J146" s="1291"/>
      <c r="K146" s="1291"/>
      <c r="L146" s="1291"/>
      <c r="M146" s="1291"/>
      <c r="N146" s="1291"/>
      <c r="O146" s="1291"/>
      <c r="P146" s="1291"/>
      <c r="Q146" s="1291"/>
      <c r="R146" s="1291"/>
      <c r="S146" s="1291"/>
      <c r="T146" s="1291"/>
      <c r="U146" s="1291"/>
      <c r="V146" s="1291"/>
      <c r="W146" s="1291"/>
      <c r="X146" s="1291"/>
      <c r="Y146" s="1291"/>
      <c r="Z146" s="1291"/>
      <c r="AA146" s="1291"/>
      <c r="AB146" s="1291"/>
      <c r="AC146" s="1291"/>
      <c r="AD146" s="1291"/>
      <c r="AE146" s="1291"/>
      <c r="AF146" s="1291"/>
      <c r="AG146" s="1291"/>
      <c r="AH146" s="1291"/>
      <c r="AI146" s="1291"/>
      <c r="AJ146" s="1291"/>
      <c r="AK146" s="1291"/>
    </row>
    <row r="147" spans="3:37" ht="17.25" customHeight="1" x14ac:dyDescent="0.35">
      <c r="C147" s="1291"/>
      <c r="D147" s="1291"/>
      <c r="E147" s="1291"/>
      <c r="F147" s="1291"/>
      <c r="G147" s="1291"/>
      <c r="H147" s="1291"/>
      <c r="I147" s="1291"/>
      <c r="J147" s="1291"/>
      <c r="K147" s="1291"/>
      <c r="L147" s="1291"/>
      <c r="M147" s="1291"/>
      <c r="N147" s="1291"/>
      <c r="O147" s="1291"/>
      <c r="P147" s="1291"/>
      <c r="Q147" s="1291"/>
      <c r="R147" s="1291"/>
      <c r="S147" s="1291"/>
      <c r="T147" s="1291"/>
      <c r="U147" s="1291"/>
      <c r="V147" s="1291"/>
      <c r="W147" s="1291"/>
      <c r="X147" s="1291"/>
      <c r="Y147" s="1291"/>
      <c r="Z147" s="1291"/>
      <c r="AA147" s="1291"/>
      <c r="AB147" s="1291"/>
      <c r="AC147" s="1291"/>
      <c r="AD147" s="1291"/>
      <c r="AE147" s="1291"/>
      <c r="AF147" s="1291"/>
      <c r="AG147" s="1291"/>
      <c r="AH147" s="1291"/>
      <c r="AI147" s="1291"/>
      <c r="AJ147" s="1291"/>
      <c r="AK147" s="1291"/>
    </row>
    <row r="148" spans="3:37" ht="17.25" customHeight="1" x14ac:dyDescent="0.35">
      <c r="C148" s="1291"/>
      <c r="D148" s="1291"/>
      <c r="E148" s="1291"/>
      <c r="F148" s="1291"/>
      <c r="G148" s="1291"/>
      <c r="H148" s="1291"/>
      <c r="I148" s="1291"/>
      <c r="J148" s="1291"/>
      <c r="K148" s="1291"/>
      <c r="L148" s="1291"/>
      <c r="M148" s="1291"/>
      <c r="N148" s="1291"/>
      <c r="O148" s="1291"/>
      <c r="P148" s="1291"/>
      <c r="Q148" s="1291"/>
      <c r="R148" s="1291"/>
      <c r="S148" s="1291"/>
      <c r="T148" s="1291"/>
      <c r="U148" s="1291"/>
      <c r="V148" s="1291"/>
      <c r="W148" s="1291"/>
      <c r="X148" s="1291"/>
      <c r="Y148" s="1291"/>
      <c r="Z148" s="1291"/>
      <c r="AA148" s="1291"/>
      <c r="AB148" s="1291"/>
      <c r="AC148" s="1291"/>
      <c r="AD148" s="1291"/>
      <c r="AE148" s="1291"/>
      <c r="AF148" s="1291"/>
      <c r="AG148" s="1291"/>
      <c r="AH148" s="1291"/>
      <c r="AI148" s="1291"/>
      <c r="AJ148" s="1291"/>
      <c r="AK148" s="1291"/>
    </row>
    <row r="149" spans="3:37" ht="17.25" customHeight="1" x14ac:dyDescent="0.35">
      <c r="C149" s="1291"/>
      <c r="D149" s="1291"/>
      <c r="E149" s="1291"/>
      <c r="F149" s="1291"/>
      <c r="G149" s="1291"/>
      <c r="H149" s="1291"/>
      <c r="I149" s="1291"/>
      <c r="J149" s="1291"/>
      <c r="K149" s="1291"/>
      <c r="L149" s="1291"/>
      <c r="M149" s="1291"/>
      <c r="N149" s="1291"/>
      <c r="O149" s="1291"/>
      <c r="P149" s="1291"/>
      <c r="Q149" s="1291"/>
      <c r="R149" s="1291"/>
      <c r="S149" s="1291"/>
      <c r="T149" s="1291"/>
      <c r="U149" s="1291"/>
      <c r="V149" s="1291"/>
      <c r="W149" s="1291"/>
      <c r="X149" s="1291"/>
      <c r="Y149" s="1291"/>
      <c r="Z149" s="1291"/>
      <c r="AA149" s="1291"/>
      <c r="AB149" s="1291"/>
      <c r="AC149" s="1291"/>
      <c r="AD149" s="1291"/>
      <c r="AE149" s="1291"/>
      <c r="AF149" s="1291"/>
      <c r="AG149" s="1291"/>
      <c r="AH149" s="1291"/>
      <c r="AI149" s="1291"/>
      <c r="AJ149" s="1291"/>
      <c r="AK149" s="1291"/>
    </row>
    <row r="150" spans="3:37" ht="17.25" customHeight="1" x14ac:dyDescent="0.35">
      <c r="C150" s="1291"/>
      <c r="D150" s="1291"/>
      <c r="E150" s="1291"/>
      <c r="F150" s="1291"/>
      <c r="G150" s="1291"/>
      <c r="H150" s="1291"/>
      <c r="I150" s="1291"/>
      <c r="J150" s="1291"/>
      <c r="K150" s="1291"/>
      <c r="L150" s="1291"/>
      <c r="M150" s="1291"/>
      <c r="N150" s="1291"/>
      <c r="O150" s="1291"/>
      <c r="P150" s="1291"/>
      <c r="Q150" s="1291"/>
      <c r="R150" s="1291"/>
      <c r="S150" s="1291"/>
      <c r="T150" s="1291"/>
      <c r="U150" s="1291"/>
      <c r="V150" s="1291"/>
      <c r="W150" s="1291"/>
      <c r="X150" s="1291"/>
      <c r="Y150" s="1291"/>
      <c r="Z150" s="1291"/>
      <c r="AA150" s="1291"/>
      <c r="AB150" s="1291"/>
      <c r="AC150" s="1291"/>
      <c r="AD150" s="1291"/>
      <c r="AE150" s="1291"/>
      <c r="AF150" s="1291"/>
      <c r="AG150" s="1291"/>
      <c r="AH150" s="1291"/>
      <c r="AI150" s="1291"/>
      <c r="AJ150" s="1291"/>
      <c r="AK150" s="1291"/>
    </row>
    <row r="151" spans="3:37" ht="17.25" customHeight="1" x14ac:dyDescent="0.35">
      <c r="C151" s="1291"/>
      <c r="D151" s="1291"/>
      <c r="E151" s="1291"/>
      <c r="F151" s="1291"/>
      <c r="G151" s="1291"/>
      <c r="H151" s="1291"/>
      <c r="I151" s="1291"/>
      <c r="J151" s="1291"/>
      <c r="K151" s="1291"/>
      <c r="L151" s="1291"/>
      <c r="M151" s="1291"/>
      <c r="N151" s="1291"/>
      <c r="O151" s="1291"/>
      <c r="P151" s="1291"/>
      <c r="Q151" s="1291"/>
      <c r="R151" s="1291"/>
      <c r="S151" s="1291"/>
      <c r="T151" s="1291"/>
      <c r="U151" s="1291"/>
      <c r="V151" s="1291"/>
      <c r="W151" s="1291"/>
      <c r="X151" s="1291"/>
      <c r="Y151" s="1291"/>
      <c r="Z151" s="1291"/>
      <c r="AA151" s="1291"/>
      <c r="AB151" s="1291"/>
      <c r="AC151" s="1291"/>
      <c r="AD151" s="1291"/>
      <c r="AE151" s="1291"/>
      <c r="AF151" s="1291"/>
      <c r="AG151" s="1291"/>
      <c r="AH151" s="1291"/>
      <c r="AI151" s="1291"/>
      <c r="AJ151" s="1291"/>
      <c r="AK151" s="1291"/>
    </row>
    <row r="152" spans="3:37" ht="17.25" customHeight="1" x14ac:dyDescent="0.35">
      <c r="C152" s="1291"/>
      <c r="D152" s="1291"/>
      <c r="E152" s="1291"/>
      <c r="F152" s="1291"/>
      <c r="G152" s="1291"/>
      <c r="H152" s="1291"/>
      <c r="I152" s="1291"/>
      <c r="J152" s="1291"/>
      <c r="K152" s="1291"/>
      <c r="L152" s="1291"/>
      <c r="M152" s="1291"/>
      <c r="N152" s="1291"/>
      <c r="O152" s="1291"/>
      <c r="P152" s="1291"/>
      <c r="Q152" s="1291"/>
      <c r="R152" s="1291"/>
      <c r="S152" s="1291"/>
      <c r="T152" s="1291"/>
      <c r="U152" s="1291"/>
      <c r="V152" s="1291"/>
      <c r="W152" s="1291"/>
      <c r="X152" s="1291"/>
      <c r="Y152" s="1291"/>
      <c r="Z152" s="1291"/>
      <c r="AA152" s="1291"/>
      <c r="AB152" s="1291"/>
      <c r="AC152" s="1291"/>
      <c r="AD152" s="1291"/>
      <c r="AE152" s="1291"/>
      <c r="AF152" s="1291"/>
      <c r="AG152" s="1291"/>
      <c r="AH152" s="1291"/>
      <c r="AI152" s="1291"/>
      <c r="AJ152" s="1291"/>
      <c r="AK152" s="1291"/>
    </row>
    <row r="153" spans="3:37" ht="17.25" customHeight="1" x14ac:dyDescent="0.35">
      <c r="C153" s="1291"/>
      <c r="D153" s="1291"/>
      <c r="E153" s="1291"/>
      <c r="F153" s="1291"/>
      <c r="G153" s="1291"/>
      <c r="H153" s="1291"/>
      <c r="I153" s="1291"/>
      <c r="J153" s="1291"/>
      <c r="K153" s="1291"/>
      <c r="L153" s="1291"/>
      <c r="M153" s="1291"/>
      <c r="N153" s="1291"/>
      <c r="O153" s="1291"/>
      <c r="P153" s="1291"/>
      <c r="Q153" s="1291"/>
      <c r="R153" s="1291"/>
      <c r="S153" s="1291"/>
      <c r="T153" s="1291"/>
      <c r="U153" s="1291"/>
      <c r="V153" s="1291"/>
      <c r="W153" s="1291"/>
      <c r="X153" s="1291"/>
      <c r="Y153" s="1291"/>
      <c r="Z153" s="1291"/>
      <c r="AA153" s="1291"/>
      <c r="AB153" s="1291"/>
      <c r="AC153" s="1291"/>
      <c r="AD153" s="1291"/>
      <c r="AE153" s="1291"/>
      <c r="AF153" s="1291"/>
      <c r="AG153" s="1291"/>
      <c r="AH153" s="1291"/>
      <c r="AI153" s="1291"/>
      <c r="AJ153" s="1291"/>
      <c r="AK153" s="1291"/>
    </row>
    <row r="154" spans="3:37" ht="17.25" customHeight="1" x14ac:dyDescent="0.35">
      <c r="C154" s="1291"/>
      <c r="D154" s="1291"/>
      <c r="E154" s="1291"/>
      <c r="F154" s="1291"/>
      <c r="G154" s="1291"/>
      <c r="H154" s="1291"/>
      <c r="I154" s="1291"/>
      <c r="J154" s="1291"/>
      <c r="K154" s="1291"/>
      <c r="L154" s="1291"/>
      <c r="M154" s="1291"/>
      <c r="N154" s="1291"/>
      <c r="O154" s="1291"/>
      <c r="P154" s="1291"/>
      <c r="Q154" s="1291"/>
      <c r="R154" s="1291"/>
      <c r="S154" s="1291"/>
      <c r="T154" s="1291"/>
      <c r="U154" s="1291"/>
      <c r="V154" s="1291"/>
      <c r="W154" s="1291"/>
      <c r="X154" s="1291"/>
      <c r="Y154" s="1291"/>
      <c r="Z154" s="1291"/>
      <c r="AA154" s="1291"/>
      <c r="AB154" s="1291"/>
      <c r="AC154" s="1291"/>
      <c r="AD154" s="1291"/>
      <c r="AE154" s="1291"/>
      <c r="AF154" s="1291"/>
      <c r="AG154" s="1291"/>
      <c r="AH154" s="1291"/>
      <c r="AI154" s="1291"/>
      <c r="AJ154" s="1291"/>
      <c r="AK154" s="1291"/>
    </row>
    <row r="155" spans="3:37" ht="17.25" customHeight="1" x14ac:dyDescent="0.35">
      <c r="C155" s="1291"/>
      <c r="D155" s="1291"/>
      <c r="E155" s="1291"/>
      <c r="F155" s="1291"/>
      <c r="G155" s="1291"/>
      <c r="H155" s="1291"/>
      <c r="I155" s="1291"/>
      <c r="J155" s="1291"/>
      <c r="K155" s="1291"/>
      <c r="L155" s="1291"/>
      <c r="M155" s="1291"/>
      <c r="N155" s="1291"/>
      <c r="O155" s="1291"/>
      <c r="P155" s="1291"/>
      <c r="Q155" s="1291"/>
      <c r="R155" s="1291"/>
      <c r="S155" s="1291"/>
      <c r="T155" s="1291"/>
      <c r="U155" s="1291"/>
      <c r="V155" s="1291"/>
      <c r="W155" s="1291"/>
      <c r="X155" s="1291"/>
      <c r="Y155" s="1291"/>
      <c r="Z155" s="1291"/>
      <c r="AA155" s="1291"/>
      <c r="AB155" s="1291"/>
      <c r="AC155" s="1291"/>
      <c r="AD155" s="1291"/>
      <c r="AE155" s="1291"/>
      <c r="AF155" s="1291"/>
      <c r="AG155" s="1291"/>
      <c r="AH155" s="1291"/>
      <c r="AI155" s="1291"/>
      <c r="AJ155" s="1291"/>
      <c r="AK155" s="1291"/>
    </row>
    <row r="156" spans="3:37" ht="17.25" customHeight="1" x14ac:dyDescent="0.35">
      <c r="C156" s="1291"/>
      <c r="D156" s="1291"/>
      <c r="E156" s="1291"/>
      <c r="F156" s="1291"/>
      <c r="G156" s="1291"/>
      <c r="H156" s="1291"/>
      <c r="I156" s="1291"/>
      <c r="J156" s="1291"/>
      <c r="K156" s="1291"/>
      <c r="L156" s="1291"/>
      <c r="M156" s="1291"/>
      <c r="N156" s="1291"/>
      <c r="O156" s="1291"/>
      <c r="P156" s="1291"/>
      <c r="Q156" s="1291"/>
      <c r="R156" s="1291"/>
      <c r="S156" s="1291"/>
      <c r="T156" s="1291"/>
      <c r="U156" s="1291"/>
      <c r="V156" s="1291"/>
      <c r="W156" s="1291"/>
      <c r="X156" s="1291"/>
      <c r="Y156" s="1291"/>
      <c r="Z156" s="1291"/>
      <c r="AA156" s="1291"/>
      <c r="AB156" s="1291"/>
      <c r="AC156" s="1291"/>
      <c r="AD156" s="1291"/>
      <c r="AE156" s="1291"/>
      <c r="AF156" s="1291"/>
      <c r="AG156" s="1291"/>
      <c r="AH156" s="1291"/>
      <c r="AI156" s="1291"/>
      <c r="AJ156" s="1291"/>
      <c r="AK156" s="1291"/>
    </row>
    <row r="157" spans="3:37" ht="17.25" customHeight="1" x14ac:dyDescent="0.35">
      <c r="C157" s="1291"/>
      <c r="D157" s="1291"/>
      <c r="E157" s="1291"/>
      <c r="F157" s="1291"/>
      <c r="G157" s="1291"/>
      <c r="H157" s="1291"/>
      <c r="I157" s="1291"/>
      <c r="J157" s="1291"/>
      <c r="K157" s="1291"/>
      <c r="L157" s="1291"/>
      <c r="M157" s="1291"/>
      <c r="N157" s="1291"/>
      <c r="O157" s="1291"/>
      <c r="P157" s="1291"/>
      <c r="Q157" s="1291"/>
      <c r="R157" s="1291"/>
      <c r="S157" s="1291"/>
      <c r="T157" s="1291"/>
      <c r="U157" s="1291"/>
      <c r="V157" s="1291"/>
      <c r="W157" s="1291"/>
      <c r="X157" s="1291"/>
      <c r="Y157" s="1291"/>
      <c r="Z157" s="1291"/>
      <c r="AA157" s="1291"/>
      <c r="AB157" s="1291"/>
      <c r="AC157" s="1291"/>
      <c r="AD157" s="1291"/>
      <c r="AE157" s="1291"/>
      <c r="AF157" s="1291"/>
      <c r="AG157" s="1291"/>
      <c r="AH157" s="1291"/>
      <c r="AI157" s="1291"/>
      <c r="AJ157" s="1291"/>
      <c r="AK157" s="1291"/>
    </row>
    <row r="158" spans="3:37" ht="17.25" customHeight="1" x14ac:dyDescent="0.35">
      <c r="C158" s="1291"/>
      <c r="D158" s="1291"/>
      <c r="E158" s="1291"/>
      <c r="F158" s="1291"/>
      <c r="G158" s="1291"/>
      <c r="H158" s="1291"/>
      <c r="I158" s="1291"/>
      <c r="J158" s="1291"/>
      <c r="K158" s="1291"/>
      <c r="L158" s="1291"/>
      <c r="M158" s="1291"/>
      <c r="N158" s="1291"/>
      <c r="O158" s="1291"/>
      <c r="P158" s="1291"/>
      <c r="Q158" s="1291"/>
      <c r="R158" s="1291"/>
      <c r="S158" s="1291"/>
      <c r="T158" s="1291"/>
      <c r="U158" s="1291"/>
      <c r="V158" s="1291"/>
      <c r="W158" s="1291"/>
      <c r="X158" s="1291"/>
      <c r="Y158" s="1291"/>
      <c r="Z158" s="1291"/>
      <c r="AA158" s="1291"/>
      <c r="AB158" s="1291"/>
      <c r="AC158" s="1291"/>
      <c r="AD158" s="1291"/>
      <c r="AE158" s="1291"/>
      <c r="AF158" s="1291"/>
      <c r="AG158" s="1291"/>
      <c r="AH158" s="1291"/>
      <c r="AI158" s="1291"/>
      <c r="AJ158" s="1291"/>
      <c r="AK158" s="1291"/>
    </row>
    <row r="159" spans="3:37" ht="17.25" customHeight="1" x14ac:dyDescent="0.35">
      <c r="C159" s="1291"/>
      <c r="D159" s="1291"/>
      <c r="E159" s="1291"/>
      <c r="F159" s="1291"/>
      <c r="G159" s="1291"/>
      <c r="H159" s="1291"/>
      <c r="I159" s="1291"/>
      <c r="J159" s="1291"/>
      <c r="K159" s="1291"/>
      <c r="L159" s="1291"/>
      <c r="M159" s="1291"/>
      <c r="N159" s="1291"/>
      <c r="O159" s="1291"/>
      <c r="P159" s="1291"/>
      <c r="Q159" s="1291"/>
      <c r="R159" s="1291"/>
      <c r="S159" s="1291"/>
      <c r="T159" s="1291"/>
      <c r="U159" s="1291"/>
      <c r="V159" s="1291"/>
      <c r="W159" s="1291"/>
      <c r="X159" s="1291"/>
      <c r="Y159" s="1291"/>
      <c r="Z159" s="1291"/>
      <c r="AA159" s="1291"/>
      <c r="AB159" s="1291"/>
      <c r="AC159" s="1291"/>
      <c r="AD159" s="1291"/>
      <c r="AE159" s="1291"/>
      <c r="AF159" s="1291"/>
      <c r="AG159" s="1291"/>
      <c r="AH159" s="1291"/>
      <c r="AI159" s="1291"/>
      <c r="AJ159" s="1291"/>
      <c r="AK159" s="1291"/>
    </row>
    <row r="160" spans="3:37" ht="17.25" customHeight="1" x14ac:dyDescent="0.35">
      <c r="C160" s="1291"/>
      <c r="D160" s="1291"/>
      <c r="E160" s="1291"/>
      <c r="F160" s="1291"/>
      <c r="G160" s="1291"/>
      <c r="H160" s="1291"/>
      <c r="I160" s="1291"/>
      <c r="J160" s="1291"/>
      <c r="K160" s="1291"/>
      <c r="L160" s="1291"/>
      <c r="M160" s="1291"/>
      <c r="N160" s="1291"/>
      <c r="O160" s="1291"/>
      <c r="P160" s="1291"/>
      <c r="Q160" s="1291"/>
      <c r="R160" s="1291"/>
      <c r="S160" s="1291"/>
      <c r="T160" s="1291"/>
      <c r="U160" s="1291"/>
      <c r="V160" s="1291"/>
      <c r="W160" s="1291"/>
      <c r="X160" s="1291"/>
      <c r="Y160" s="1291"/>
      <c r="Z160" s="1291"/>
      <c r="AA160" s="1291"/>
      <c r="AB160" s="1291"/>
      <c r="AC160" s="1291"/>
      <c r="AD160" s="1291"/>
      <c r="AE160" s="1291"/>
      <c r="AF160" s="1291"/>
      <c r="AG160" s="1291"/>
      <c r="AH160" s="1291"/>
      <c r="AI160" s="1291"/>
      <c r="AJ160" s="1291"/>
      <c r="AK160" s="1291"/>
    </row>
    <row r="161" spans="3:37" ht="17.25" customHeight="1" x14ac:dyDescent="0.35">
      <c r="C161" s="1291"/>
      <c r="D161" s="1291"/>
      <c r="E161" s="1291"/>
      <c r="F161" s="1291"/>
      <c r="G161" s="1291"/>
      <c r="H161" s="1291"/>
      <c r="I161" s="1291"/>
      <c r="J161" s="1291"/>
      <c r="K161" s="1291"/>
      <c r="L161" s="1291"/>
      <c r="M161" s="1291"/>
      <c r="N161" s="1291"/>
      <c r="O161" s="1291"/>
      <c r="P161" s="1291"/>
      <c r="Q161" s="1291"/>
      <c r="R161" s="1291"/>
      <c r="S161" s="1291"/>
      <c r="T161" s="1291"/>
      <c r="U161" s="1291"/>
      <c r="V161" s="1291"/>
      <c r="W161" s="1291"/>
      <c r="X161" s="1291"/>
      <c r="Y161" s="1291"/>
      <c r="Z161" s="1291"/>
      <c r="AA161" s="1291"/>
      <c r="AB161" s="1291"/>
      <c r="AC161" s="1291"/>
      <c r="AD161" s="1291"/>
      <c r="AE161" s="1291"/>
      <c r="AF161" s="1291"/>
      <c r="AG161" s="1291"/>
      <c r="AH161" s="1291"/>
      <c r="AI161" s="1291"/>
      <c r="AJ161" s="1291"/>
      <c r="AK161" s="1291"/>
    </row>
    <row r="162" spans="3:37" ht="17.25" customHeight="1" x14ac:dyDescent="0.35">
      <c r="C162" s="1291"/>
      <c r="D162" s="1291"/>
      <c r="E162" s="1291"/>
      <c r="F162" s="1291"/>
      <c r="G162" s="1291"/>
      <c r="H162" s="1291"/>
      <c r="I162" s="1291"/>
      <c r="J162" s="1291"/>
      <c r="K162" s="1291"/>
      <c r="L162" s="1291"/>
      <c r="M162" s="1291"/>
      <c r="N162" s="1291"/>
      <c r="O162" s="1291"/>
      <c r="P162" s="1291"/>
      <c r="Q162" s="1291"/>
      <c r="R162" s="1291"/>
      <c r="S162" s="1291"/>
      <c r="T162" s="1291"/>
      <c r="U162" s="1291"/>
      <c r="V162" s="1291"/>
      <c r="W162" s="1291"/>
      <c r="X162" s="1291"/>
      <c r="Y162" s="1291"/>
      <c r="Z162" s="1291"/>
      <c r="AA162" s="1291"/>
      <c r="AB162" s="1291"/>
      <c r="AC162" s="1291"/>
      <c r="AD162" s="1291"/>
      <c r="AE162" s="1291"/>
      <c r="AF162" s="1291"/>
      <c r="AG162" s="1291"/>
      <c r="AH162" s="1291"/>
      <c r="AI162" s="1291"/>
      <c r="AJ162" s="1291"/>
      <c r="AK162" s="1291"/>
    </row>
    <row r="163" spans="3:37" ht="17.25" customHeight="1" x14ac:dyDescent="0.35">
      <c r="C163" s="1291"/>
      <c r="D163" s="1291"/>
      <c r="E163" s="1291"/>
      <c r="F163" s="1291"/>
      <c r="G163" s="1291"/>
      <c r="H163" s="1291"/>
      <c r="I163" s="1291"/>
      <c r="J163" s="1291"/>
      <c r="K163" s="1291"/>
      <c r="L163" s="1291"/>
      <c r="M163" s="1291"/>
      <c r="N163" s="1291"/>
      <c r="O163" s="1291"/>
      <c r="P163" s="1291"/>
      <c r="Q163" s="1291"/>
      <c r="R163" s="1291"/>
      <c r="S163" s="1291"/>
      <c r="T163" s="1291"/>
      <c r="U163" s="1291"/>
      <c r="V163" s="1291"/>
      <c r="W163" s="1291"/>
      <c r="X163" s="1291"/>
      <c r="Y163" s="1291"/>
      <c r="Z163" s="1291"/>
      <c r="AA163" s="1291"/>
      <c r="AB163" s="1291"/>
      <c r="AC163" s="1291"/>
      <c r="AD163" s="1291"/>
      <c r="AE163" s="1291"/>
      <c r="AF163" s="1291"/>
      <c r="AG163" s="1291"/>
      <c r="AH163" s="1291"/>
      <c r="AI163" s="1291"/>
      <c r="AJ163" s="1291"/>
      <c r="AK163" s="1291"/>
    </row>
    <row r="164" spans="3:37" ht="17.25" customHeight="1" x14ac:dyDescent="0.35">
      <c r="C164" s="1291"/>
      <c r="D164" s="1291"/>
      <c r="E164" s="1291"/>
      <c r="F164" s="1291"/>
      <c r="G164" s="1291"/>
      <c r="H164" s="1291"/>
      <c r="I164" s="1291"/>
      <c r="J164" s="1291"/>
      <c r="K164" s="1291"/>
      <c r="L164" s="1291"/>
      <c r="M164" s="1291"/>
      <c r="N164" s="1291"/>
      <c r="O164" s="1291"/>
      <c r="P164" s="1291"/>
      <c r="Q164" s="1291"/>
      <c r="R164" s="1291"/>
      <c r="S164" s="1291"/>
      <c r="T164" s="1291"/>
      <c r="U164" s="1291"/>
      <c r="V164" s="1291"/>
      <c r="W164" s="1291"/>
      <c r="X164" s="1291"/>
      <c r="Y164" s="1291"/>
      <c r="Z164" s="1291"/>
      <c r="AA164" s="1291"/>
      <c r="AB164" s="1291"/>
      <c r="AC164" s="1291"/>
      <c r="AD164" s="1291"/>
      <c r="AE164" s="1291"/>
      <c r="AF164" s="1291"/>
      <c r="AG164" s="1291"/>
      <c r="AH164" s="1291"/>
      <c r="AI164" s="1291"/>
      <c r="AJ164" s="1291"/>
      <c r="AK164" s="1291"/>
    </row>
    <row r="165" spans="3:37" ht="17.25" customHeight="1" x14ac:dyDescent="0.35">
      <c r="C165" s="1291"/>
      <c r="D165" s="1291"/>
      <c r="E165" s="1291"/>
      <c r="F165" s="1291"/>
      <c r="G165" s="1291"/>
      <c r="H165" s="1291"/>
      <c r="I165" s="1291"/>
      <c r="J165" s="1291"/>
      <c r="K165" s="1291"/>
      <c r="L165" s="1291"/>
      <c r="M165" s="1291"/>
      <c r="N165" s="1291"/>
      <c r="O165" s="1291"/>
      <c r="P165" s="1291"/>
      <c r="Q165" s="1291"/>
      <c r="R165" s="1291"/>
      <c r="S165" s="1291"/>
      <c r="T165" s="1291"/>
      <c r="U165" s="1291"/>
      <c r="V165" s="1291"/>
      <c r="W165" s="1291"/>
      <c r="X165" s="1291"/>
      <c r="Y165" s="1291"/>
      <c r="Z165" s="1291"/>
      <c r="AA165" s="1291"/>
      <c r="AB165" s="1291"/>
      <c r="AC165" s="1291"/>
      <c r="AD165" s="1291"/>
      <c r="AE165" s="1291"/>
      <c r="AF165" s="1291"/>
      <c r="AG165" s="1291"/>
      <c r="AH165" s="1291"/>
      <c r="AI165" s="1291"/>
      <c r="AJ165" s="1291"/>
      <c r="AK165" s="1291"/>
    </row>
    <row r="166" spans="3:37" ht="17.25" customHeight="1" x14ac:dyDescent="0.35">
      <c r="C166" s="1291"/>
      <c r="D166" s="1291"/>
      <c r="E166" s="1291"/>
      <c r="F166" s="1291"/>
      <c r="G166" s="1291"/>
      <c r="H166" s="1291"/>
      <c r="I166" s="1291"/>
      <c r="J166" s="1291"/>
      <c r="K166" s="1291"/>
      <c r="L166" s="1291"/>
      <c r="M166" s="1291"/>
      <c r="N166" s="1291"/>
      <c r="O166" s="1291"/>
      <c r="P166" s="1291"/>
      <c r="Q166" s="1291"/>
      <c r="R166" s="1291"/>
      <c r="S166" s="1291"/>
      <c r="T166" s="1291"/>
      <c r="U166" s="1291"/>
      <c r="V166" s="1291"/>
      <c r="W166" s="1291"/>
      <c r="X166" s="1291"/>
      <c r="Y166" s="1291"/>
      <c r="Z166" s="1291"/>
      <c r="AA166" s="1291"/>
      <c r="AB166" s="1291"/>
      <c r="AC166" s="1291"/>
      <c r="AD166" s="1291"/>
      <c r="AE166" s="1291"/>
      <c r="AF166" s="1291"/>
      <c r="AG166" s="1291"/>
      <c r="AH166" s="1291"/>
      <c r="AI166" s="1291"/>
      <c r="AJ166" s="1291"/>
      <c r="AK166" s="1291"/>
    </row>
    <row r="167" spans="3:37" ht="17.25" customHeight="1" x14ac:dyDescent="0.35">
      <c r="C167" s="1291"/>
      <c r="D167" s="1291"/>
      <c r="E167" s="1291"/>
      <c r="F167" s="1291"/>
      <c r="G167" s="1291"/>
      <c r="H167" s="1291"/>
      <c r="I167" s="1291"/>
      <c r="J167" s="1291"/>
      <c r="K167" s="1291"/>
      <c r="L167" s="1291"/>
      <c r="M167" s="1291"/>
      <c r="N167" s="1291"/>
      <c r="O167" s="1291"/>
      <c r="P167" s="1291"/>
      <c r="Q167" s="1291"/>
      <c r="R167" s="1291"/>
      <c r="S167" s="1291"/>
      <c r="T167" s="1291"/>
      <c r="U167" s="1291"/>
      <c r="V167" s="1291"/>
      <c r="W167" s="1291"/>
      <c r="X167" s="1291"/>
      <c r="Y167" s="1291"/>
      <c r="Z167" s="1291"/>
      <c r="AA167" s="1291"/>
      <c r="AB167" s="1291"/>
      <c r="AC167" s="1291"/>
      <c r="AD167" s="1291"/>
      <c r="AE167" s="1291"/>
      <c r="AF167" s="1291"/>
      <c r="AG167" s="1291"/>
      <c r="AH167" s="1291"/>
      <c r="AI167" s="1291"/>
      <c r="AJ167" s="1291"/>
      <c r="AK167" s="1291"/>
    </row>
    <row r="168" spans="3:37" ht="17.25" customHeight="1" x14ac:dyDescent="0.35">
      <c r="C168" s="1291"/>
      <c r="D168" s="1291"/>
      <c r="E168" s="1291"/>
      <c r="F168" s="1291"/>
      <c r="G168" s="1291"/>
      <c r="H168" s="1291"/>
      <c r="I168" s="1291"/>
      <c r="J168" s="1291"/>
      <c r="K168" s="1291"/>
      <c r="L168" s="1291"/>
      <c r="M168" s="1291"/>
      <c r="N168" s="1291"/>
      <c r="O168" s="1291"/>
      <c r="P168" s="1291"/>
      <c r="Q168" s="1291"/>
      <c r="R168" s="1291"/>
      <c r="S168" s="1291"/>
      <c r="T168" s="1291"/>
      <c r="U168" s="1291"/>
      <c r="V168" s="1291"/>
      <c r="W168" s="1291"/>
      <c r="X168" s="1291"/>
      <c r="Y168" s="1291"/>
      <c r="Z168" s="1291"/>
      <c r="AA168" s="1291"/>
      <c r="AB168" s="1291"/>
      <c r="AC168" s="1291"/>
      <c r="AD168" s="1291"/>
      <c r="AE168" s="1291"/>
      <c r="AF168" s="1291"/>
      <c r="AG168" s="1291"/>
      <c r="AH168" s="1291"/>
      <c r="AI168" s="1291"/>
      <c r="AJ168" s="1291"/>
      <c r="AK168" s="1291"/>
    </row>
    <row r="169" spans="3:37" ht="17.25" customHeight="1" x14ac:dyDescent="0.35">
      <c r="C169" s="1291"/>
      <c r="D169" s="1291"/>
      <c r="E169" s="1291"/>
      <c r="F169" s="1291"/>
      <c r="G169" s="1291"/>
      <c r="H169" s="1291"/>
      <c r="I169" s="1291"/>
      <c r="J169" s="1291"/>
      <c r="K169" s="1291"/>
      <c r="L169" s="1291"/>
      <c r="M169" s="1291"/>
      <c r="N169" s="1291"/>
      <c r="O169" s="1291"/>
      <c r="P169" s="1291"/>
      <c r="Q169" s="1291"/>
      <c r="R169" s="1291"/>
      <c r="S169" s="1291"/>
      <c r="T169" s="1291"/>
      <c r="U169" s="1291"/>
      <c r="V169" s="1291"/>
      <c r="W169" s="1291"/>
      <c r="X169" s="1291"/>
      <c r="Y169" s="1291"/>
      <c r="Z169" s="1291"/>
      <c r="AA169" s="1291"/>
      <c r="AB169" s="1291"/>
      <c r="AC169" s="1291"/>
      <c r="AD169" s="1291"/>
      <c r="AE169" s="1291"/>
      <c r="AF169" s="1291"/>
      <c r="AG169" s="1291"/>
      <c r="AH169" s="1291"/>
      <c r="AI169" s="1291"/>
      <c r="AJ169" s="1291"/>
      <c r="AK169" s="1291"/>
    </row>
    <row r="170" spans="3:37" ht="17.25" customHeight="1" x14ac:dyDescent="0.35">
      <c r="C170" s="1291"/>
      <c r="D170" s="1291"/>
      <c r="E170" s="1291"/>
      <c r="F170" s="1291"/>
      <c r="G170" s="1291"/>
      <c r="H170" s="1291"/>
      <c r="I170" s="1291"/>
      <c r="J170" s="1291"/>
      <c r="K170" s="1291"/>
      <c r="L170" s="1291"/>
      <c r="M170" s="1291"/>
      <c r="N170" s="1291"/>
      <c r="O170" s="1291"/>
      <c r="P170" s="1291"/>
      <c r="Q170" s="1291"/>
      <c r="R170" s="1291"/>
      <c r="S170" s="1291"/>
      <c r="T170" s="1291"/>
      <c r="U170" s="1291"/>
      <c r="V170" s="1291"/>
      <c r="W170" s="1291"/>
      <c r="X170" s="1291"/>
      <c r="Y170" s="1291"/>
      <c r="Z170" s="1291"/>
      <c r="AA170" s="1291"/>
      <c r="AB170" s="1291"/>
      <c r="AC170" s="1291"/>
      <c r="AD170" s="1291"/>
      <c r="AE170" s="1291"/>
      <c r="AF170" s="1291"/>
      <c r="AG170" s="1291"/>
      <c r="AH170" s="1291"/>
      <c r="AI170" s="1291"/>
      <c r="AJ170" s="1291"/>
      <c r="AK170" s="1291"/>
    </row>
    <row r="171" spans="3:37" ht="17.25" customHeight="1" x14ac:dyDescent="0.35">
      <c r="C171" s="1291"/>
      <c r="D171" s="1291"/>
      <c r="E171" s="1291"/>
      <c r="F171" s="1291"/>
      <c r="G171" s="1291"/>
      <c r="H171" s="1291"/>
      <c r="I171" s="1291"/>
      <c r="J171" s="1291"/>
      <c r="K171" s="1291"/>
      <c r="L171" s="1291"/>
      <c r="M171" s="1291"/>
      <c r="N171" s="1291"/>
      <c r="O171" s="1291"/>
      <c r="P171" s="1291"/>
      <c r="Q171" s="1291"/>
      <c r="R171" s="1291"/>
      <c r="S171" s="1291"/>
      <c r="T171" s="1291"/>
      <c r="U171" s="1291"/>
      <c r="V171" s="1291"/>
      <c r="W171" s="1291"/>
      <c r="X171" s="1291"/>
      <c r="Y171" s="1291"/>
      <c r="Z171" s="1291"/>
      <c r="AA171" s="1291"/>
      <c r="AB171" s="1291"/>
      <c r="AC171" s="1291"/>
      <c r="AD171" s="1291"/>
      <c r="AE171" s="1291"/>
      <c r="AF171" s="1291"/>
      <c r="AG171" s="1291"/>
      <c r="AH171" s="1291"/>
      <c r="AI171" s="1291"/>
      <c r="AJ171" s="1291"/>
      <c r="AK171" s="1291"/>
    </row>
    <row r="172" spans="3:37" ht="17.25" customHeight="1" x14ac:dyDescent="0.35">
      <c r="C172" s="1291"/>
      <c r="D172" s="1291"/>
      <c r="E172" s="1291"/>
      <c r="F172" s="1291"/>
      <c r="G172" s="1291"/>
      <c r="H172" s="1291"/>
      <c r="I172" s="1291"/>
      <c r="J172" s="1291"/>
      <c r="K172" s="1291"/>
      <c r="L172" s="1291"/>
      <c r="M172" s="1291"/>
      <c r="N172" s="1291"/>
      <c r="O172" s="1291"/>
      <c r="P172" s="1291"/>
      <c r="Q172" s="1291"/>
      <c r="R172" s="1291"/>
      <c r="S172" s="1291"/>
      <c r="T172" s="1291"/>
      <c r="U172" s="1291"/>
      <c r="V172" s="1291"/>
      <c r="W172" s="1291"/>
      <c r="X172" s="1291"/>
      <c r="Y172" s="1291"/>
      <c r="Z172" s="1291"/>
      <c r="AA172" s="1291"/>
      <c r="AB172" s="1291"/>
      <c r="AC172" s="1291"/>
      <c r="AD172" s="1291"/>
      <c r="AE172" s="1291"/>
      <c r="AF172" s="1291"/>
      <c r="AG172" s="1291"/>
      <c r="AH172" s="1291"/>
      <c r="AI172" s="1291"/>
      <c r="AJ172" s="1291"/>
      <c r="AK172" s="1291"/>
    </row>
    <row r="173" spans="3:37" ht="17.25" customHeight="1" x14ac:dyDescent="0.35">
      <c r="C173" s="1291"/>
      <c r="D173" s="1291"/>
      <c r="E173" s="1291"/>
      <c r="F173" s="1291"/>
      <c r="G173" s="1291"/>
      <c r="H173" s="1291"/>
      <c r="I173" s="1291"/>
      <c r="J173" s="1291"/>
      <c r="K173" s="1291"/>
      <c r="L173" s="1291"/>
      <c r="M173" s="1291"/>
      <c r="N173" s="1291"/>
      <c r="O173" s="1291"/>
      <c r="P173" s="1291"/>
      <c r="Q173" s="1291"/>
      <c r="R173" s="1291"/>
      <c r="S173" s="1291"/>
      <c r="T173" s="1291"/>
      <c r="U173" s="1291"/>
      <c r="V173" s="1291"/>
      <c r="W173" s="1291"/>
      <c r="X173" s="1291"/>
      <c r="Y173" s="1291"/>
      <c r="Z173" s="1291"/>
      <c r="AA173" s="1291"/>
      <c r="AB173" s="1291"/>
      <c r="AC173" s="1291"/>
      <c r="AD173" s="1291"/>
      <c r="AE173" s="1291"/>
      <c r="AF173" s="1291"/>
      <c r="AG173" s="1291"/>
      <c r="AH173" s="1291"/>
      <c r="AI173" s="1291"/>
      <c r="AJ173" s="1291"/>
      <c r="AK173" s="1291"/>
    </row>
    <row r="174" spans="3:37" ht="17.25" customHeight="1" x14ac:dyDescent="0.35">
      <c r="C174" s="1291"/>
      <c r="D174" s="1291"/>
      <c r="E174" s="1291"/>
      <c r="F174" s="1291"/>
      <c r="G174" s="1291"/>
      <c r="H174" s="1291"/>
      <c r="I174" s="1291"/>
      <c r="J174" s="1291"/>
      <c r="K174" s="1291"/>
      <c r="L174" s="1291"/>
      <c r="M174" s="1291"/>
      <c r="N174" s="1291"/>
      <c r="O174" s="1291"/>
      <c r="P174" s="1291"/>
      <c r="Q174" s="1291"/>
      <c r="R174" s="1291"/>
      <c r="S174" s="1291"/>
      <c r="T174" s="1291"/>
      <c r="U174" s="1291"/>
      <c r="V174" s="1291"/>
      <c r="W174" s="1291"/>
      <c r="X174" s="1291"/>
      <c r="Y174" s="1291"/>
      <c r="Z174" s="1291"/>
      <c r="AA174" s="1291"/>
      <c r="AB174" s="1291"/>
      <c r="AC174" s="1291"/>
      <c r="AD174" s="1291"/>
      <c r="AE174" s="1291"/>
      <c r="AF174" s="1291"/>
      <c r="AG174" s="1291"/>
      <c r="AH174" s="1291"/>
      <c r="AI174" s="1291"/>
      <c r="AJ174" s="1291"/>
      <c r="AK174" s="1291"/>
    </row>
    <row r="175" spans="3:37" ht="17.25" customHeight="1" x14ac:dyDescent="0.35">
      <c r="C175" s="1291"/>
      <c r="D175" s="1291"/>
      <c r="E175" s="1291"/>
      <c r="F175" s="1291"/>
      <c r="G175" s="1291"/>
      <c r="H175" s="1291"/>
      <c r="I175" s="1291"/>
      <c r="J175" s="1291"/>
      <c r="K175" s="1291"/>
      <c r="L175" s="1291"/>
      <c r="M175" s="1291"/>
      <c r="N175" s="1291"/>
      <c r="O175" s="1291"/>
      <c r="P175" s="1291"/>
      <c r="Q175" s="1291"/>
      <c r="R175" s="1291"/>
      <c r="S175" s="1291"/>
      <c r="T175" s="1291"/>
      <c r="U175" s="1291"/>
      <c r="V175" s="1291"/>
      <c r="W175" s="1291"/>
      <c r="X175" s="1291"/>
      <c r="Y175" s="1291"/>
      <c r="Z175" s="1291"/>
      <c r="AA175" s="1291"/>
      <c r="AB175" s="1291"/>
      <c r="AC175" s="1291"/>
      <c r="AD175" s="1291"/>
      <c r="AE175" s="1291"/>
      <c r="AF175" s="1291"/>
      <c r="AG175" s="1291"/>
      <c r="AH175" s="1291"/>
      <c r="AI175" s="1291"/>
      <c r="AJ175" s="1291"/>
      <c r="AK175" s="1291"/>
    </row>
    <row r="176" spans="3:37" ht="17.25" customHeight="1" x14ac:dyDescent="0.35">
      <c r="C176" s="1291"/>
      <c r="D176" s="1291"/>
      <c r="E176" s="1291"/>
      <c r="F176" s="1291"/>
      <c r="G176" s="1291"/>
      <c r="H176" s="1291"/>
      <c r="I176" s="1291"/>
      <c r="J176" s="1291"/>
      <c r="K176" s="1291"/>
      <c r="L176" s="1291"/>
      <c r="M176" s="1291"/>
      <c r="N176" s="1291"/>
      <c r="O176" s="1291"/>
      <c r="P176" s="1291"/>
      <c r="Q176" s="1291"/>
      <c r="R176" s="1291"/>
      <c r="S176" s="1291"/>
      <c r="T176" s="1291"/>
      <c r="U176" s="1291"/>
      <c r="V176" s="1291"/>
      <c r="W176" s="1291"/>
      <c r="X176" s="1291"/>
      <c r="Y176" s="1291"/>
      <c r="Z176" s="1291"/>
      <c r="AA176" s="1291"/>
      <c r="AB176" s="1291"/>
      <c r="AC176" s="1291"/>
      <c r="AD176" s="1291"/>
      <c r="AE176" s="1291"/>
      <c r="AF176" s="1291"/>
      <c r="AG176" s="1291"/>
      <c r="AH176" s="1291"/>
      <c r="AI176" s="1291"/>
      <c r="AJ176" s="1291"/>
      <c r="AK176" s="1291"/>
    </row>
    <row r="177" spans="3:37" ht="17.25" customHeight="1" x14ac:dyDescent="0.35">
      <c r="C177" s="1291"/>
      <c r="D177" s="1291"/>
      <c r="E177" s="1291"/>
      <c r="F177" s="1291"/>
      <c r="G177" s="1291"/>
      <c r="H177" s="1291"/>
      <c r="I177" s="1291"/>
      <c r="J177" s="1291"/>
      <c r="K177" s="1291"/>
      <c r="L177" s="1291"/>
      <c r="M177" s="1291"/>
      <c r="N177" s="1291"/>
      <c r="O177" s="1291"/>
      <c r="P177" s="1291"/>
      <c r="Q177" s="1291"/>
      <c r="R177" s="1291"/>
      <c r="S177" s="1291"/>
      <c r="T177" s="1291"/>
      <c r="U177" s="1291"/>
      <c r="V177" s="1291"/>
      <c r="W177" s="1291"/>
      <c r="X177" s="1291"/>
      <c r="Y177" s="1291"/>
      <c r="Z177" s="1291"/>
      <c r="AA177" s="1291"/>
      <c r="AB177" s="1291"/>
      <c r="AC177" s="1291"/>
      <c r="AD177" s="1291"/>
      <c r="AE177" s="1291"/>
      <c r="AF177" s="1291"/>
      <c r="AG177" s="1291"/>
      <c r="AH177" s="1291"/>
      <c r="AI177" s="1291"/>
      <c r="AJ177" s="1291"/>
      <c r="AK177" s="1291"/>
    </row>
    <row r="178" spans="3:37" ht="17.25" customHeight="1" x14ac:dyDescent="0.35">
      <c r="C178" s="1291"/>
      <c r="D178" s="1291"/>
      <c r="E178" s="1291"/>
      <c r="F178" s="1291"/>
      <c r="G178" s="1291"/>
      <c r="H178" s="1291"/>
      <c r="I178" s="1291"/>
      <c r="J178" s="1291"/>
      <c r="K178" s="1291"/>
      <c r="L178" s="1291"/>
      <c r="M178" s="1291"/>
      <c r="N178" s="1291"/>
      <c r="O178" s="1291"/>
      <c r="P178" s="1291"/>
      <c r="Q178" s="1291"/>
      <c r="R178" s="1291"/>
      <c r="S178" s="1291"/>
      <c r="T178" s="1291"/>
      <c r="U178" s="1291"/>
      <c r="V178" s="1291"/>
      <c r="W178" s="1291"/>
      <c r="X178" s="1291"/>
      <c r="Y178" s="1291"/>
      <c r="Z178" s="1291"/>
      <c r="AA178" s="1291"/>
      <c r="AB178" s="1291"/>
      <c r="AC178" s="1291"/>
      <c r="AD178" s="1291"/>
      <c r="AE178" s="1291"/>
      <c r="AF178" s="1291"/>
      <c r="AG178" s="1291"/>
      <c r="AH178" s="1291"/>
      <c r="AI178" s="1291"/>
      <c r="AJ178" s="1291"/>
      <c r="AK178" s="1291"/>
    </row>
    <row r="179" spans="3:37" ht="17.25" customHeight="1" x14ac:dyDescent="0.35">
      <c r="C179" s="1291"/>
      <c r="D179" s="1291"/>
      <c r="E179" s="1291"/>
      <c r="F179" s="1291"/>
      <c r="G179" s="1291"/>
      <c r="H179" s="1291"/>
      <c r="I179" s="1291"/>
      <c r="J179" s="1291"/>
      <c r="K179" s="1291"/>
      <c r="L179" s="1291"/>
      <c r="M179" s="1291"/>
      <c r="N179" s="1291"/>
      <c r="O179" s="1291"/>
      <c r="P179" s="1291"/>
      <c r="Q179" s="1291"/>
      <c r="R179" s="1291"/>
      <c r="S179" s="1291"/>
      <c r="T179" s="1291"/>
      <c r="U179" s="1291"/>
      <c r="V179" s="1291"/>
      <c r="W179" s="1291"/>
      <c r="X179" s="1291"/>
      <c r="Y179" s="1291"/>
      <c r="Z179" s="1291"/>
      <c r="AA179" s="1291"/>
      <c r="AB179" s="1291"/>
      <c r="AC179" s="1291"/>
      <c r="AD179" s="1291"/>
      <c r="AE179" s="1291"/>
      <c r="AF179" s="1291"/>
      <c r="AG179" s="1291"/>
      <c r="AH179" s="1291"/>
      <c r="AI179" s="1291"/>
      <c r="AJ179" s="1291"/>
      <c r="AK179" s="1291"/>
    </row>
    <row r="180" spans="3:37" ht="17.25" customHeight="1" x14ac:dyDescent="0.35">
      <c r="C180" s="1291"/>
      <c r="D180" s="1291"/>
      <c r="E180" s="1291"/>
      <c r="F180" s="1291"/>
      <c r="G180" s="1291"/>
      <c r="H180" s="1291"/>
      <c r="I180" s="1291"/>
      <c r="J180" s="1291"/>
      <c r="K180" s="1291"/>
      <c r="L180" s="1291"/>
      <c r="M180" s="1291"/>
      <c r="N180" s="1291"/>
      <c r="O180" s="1291"/>
      <c r="P180" s="1291"/>
      <c r="Q180" s="1291"/>
      <c r="R180" s="1291"/>
      <c r="S180" s="1291"/>
      <c r="T180" s="1291"/>
      <c r="U180" s="1291"/>
      <c r="V180" s="1291"/>
      <c r="W180" s="1291"/>
      <c r="X180" s="1291"/>
      <c r="Y180" s="1291"/>
      <c r="Z180" s="1291"/>
      <c r="AA180" s="1291"/>
      <c r="AB180" s="1291"/>
      <c r="AC180" s="1291"/>
      <c r="AD180" s="1291"/>
      <c r="AE180" s="1291"/>
      <c r="AF180" s="1291"/>
      <c r="AG180" s="1291"/>
      <c r="AH180" s="1291"/>
      <c r="AI180" s="1291"/>
      <c r="AJ180" s="1291"/>
      <c r="AK180" s="1291"/>
    </row>
    <row r="181" spans="3:37" ht="17.25" customHeight="1" x14ac:dyDescent="0.35">
      <c r="C181" s="1291"/>
      <c r="D181" s="1291"/>
      <c r="E181" s="1291"/>
      <c r="F181" s="1291"/>
      <c r="G181" s="1291"/>
      <c r="H181" s="1291"/>
      <c r="I181" s="1291"/>
      <c r="J181" s="1291"/>
      <c r="K181" s="1291"/>
      <c r="L181" s="1291"/>
      <c r="M181" s="1291"/>
      <c r="N181" s="1291"/>
      <c r="O181" s="1291"/>
      <c r="P181" s="1291"/>
      <c r="Q181" s="1291"/>
      <c r="R181" s="1291"/>
      <c r="S181" s="1291"/>
      <c r="T181" s="1291"/>
      <c r="U181" s="1291"/>
      <c r="V181" s="1291"/>
      <c r="W181" s="1291"/>
      <c r="X181" s="1291"/>
      <c r="Y181" s="1291"/>
      <c r="Z181" s="1291"/>
      <c r="AA181" s="1291"/>
      <c r="AB181" s="1291"/>
      <c r="AC181" s="1291"/>
      <c r="AD181" s="1291"/>
      <c r="AE181" s="1291"/>
      <c r="AF181" s="1291"/>
      <c r="AG181" s="1291"/>
      <c r="AH181" s="1291"/>
      <c r="AI181" s="1291"/>
      <c r="AJ181" s="1291"/>
      <c r="AK181" s="1291"/>
    </row>
    <row r="182" spans="3:37" ht="17.25" customHeight="1" x14ac:dyDescent="0.35">
      <c r="C182" s="1291"/>
      <c r="D182" s="1291"/>
      <c r="E182" s="1291"/>
      <c r="F182" s="1291"/>
      <c r="G182" s="1291"/>
      <c r="H182" s="1291"/>
      <c r="I182" s="1291"/>
      <c r="J182" s="1291"/>
      <c r="K182" s="1291"/>
      <c r="L182" s="1291"/>
      <c r="M182" s="1291"/>
      <c r="N182" s="1291"/>
      <c r="O182" s="1291"/>
      <c r="P182" s="1291"/>
      <c r="Q182" s="1291"/>
      <c r="R182" s="1291"/>
      <c r="S182" s="1291"/>
      <c r="T182" s="1291"/>
      <c r="U182" s="1291"/>
      <c r="V182" s="1291"/>
      <c r="W182" s="1291"/>
      <c r="X182" s="1291"/>
      <c r="Y182" s="1291"/>
      <c r="Z182" s="1291"/>
      <c r="AA182" s="1291"/>
      <c r="AB182" s="1291"/>
      <c r="AC182" s="1291"/>
      <c r="AD182" s="1291"/>
      <c r="AE182" s="1291"/>
      <c r="AF182" s="1291"/>
      <c r="AG182" s="1291"/>
      <c r="AH182" s="1291"/>
      <c r="AI182" s="1291"/>
      <c r="AJ182" s="1291"/>
      <c r="AK182" s="1291"/>
    </row>
    <row r="183" spans="3:37" ht="17.25" customHeight="1" x14ac:dyDescent="0.35">
      <c r="C183" s="1291"/>
      <c r="D183" s="1291"/>
      <c r="E183" s="1291"/>
      <c r="F183" s="1291"/>
      <c r="G183" s="1291"/>
      <c r="H183" s="1291"/>
      <c r="I183" s="1291"/>
      <c r="J183" s="1291"/>
      <c r="K183" s="1291"/>
      <c r="L183" s="1291"/>
      <c r="M183" s="1291"/>
      <c r="N183" s="1291"/>
      <c r="O183" s="1291"/>
      <c r="P183" s="1291"/>
      <c r="Q183" s="1291"/>
      <c r="R183" s="1291"/>
      <c r="S183" s="1291"/>
      <c r="T183" s="1291"/>
      <c r="U183" s="1291"/>
      <c r="V183" s="1291"/>
      <c r="W183" s="1291"/>
      <c r="X183" s="1291"/>
      <c r="Y183" s="1291"/>
      <c r="Z183" s="1291"/>
      <c r="AA183" s="1291"/>
      <c r="AB183" s="1291"/>
      <c r="AC183" s="1291"/>
      <c r="AD183" s="1291"/>
      <c r="AE183" s="1291"/>
      <c r="AF183" s="1291"/>
      <c r="AG183" s="1291"/>
      <c r="AH183" s="1291"/>
      <c r="AI183" s="1291"/>
      <c r="AJ183" s="1291"/>
      <c r="AK183" s="1291"/>
    </row>
    <row r="184" spans="3:37" ht="17.25" customHeight="1" x14ac:dyDescent="0.35">
      <c r="C184" s="1291"/>
      <c r="D184" s="1291"/>
      <c r="E184" s="1291"/>
      <c r="F184" s="1291"/>
      <c r="G184" s="1291"/>
      <c r="H184" s="1291"/>
      <c r="I184" s="1291"/>
      <c r="J184" s="1291"/>
      <c r="K184" s="1291"/>
      <c r="L184" s="1291"/>
      <c r="M184" s="1291"/>
      <c r="N184" s="1291"/>
      <c r="O184" s="1291"/>
      <c r="P184" s="1291"/>
      <c r="Q184" s="1291"/>
      <c r="R184" s="1291"/>
      <c r="S184" s="1291"/>
      <c r="T184" s="1291"/>
      <c r="U184" s="1291"/>
      <c r="V184" s="1291"/>
      <c r="W184" s="1291"/>
      <c r="X184" s="1291"/>
      <c r="Y184" s="1291"/>
      <c r="Z184" s="1291"/>
      <c r="AA184" s="1291"/>
      <c r="AB184" s="1291"/>
      <c r="AC184" s="1291"/>
      <c r="AD184" s="1291"/>
      <c r="AE184" s="1291"/>
      <c r="AF184" s="1291"/>
      <c r="AG184" s="1291"/>
      <c r="AH184" s="1291"/>
      <c r="AI184" s="1291"/>
      <c r="AJ184" s="1291"/>
      <c r="AK184" s="1291"/>
    </row>
    <row r="185" spans="3:37" ht="17.25" customHeight="1" x14ac:dyDescent="0.35">
      <c r="C185" s="1291"/>
      <c r="D185" s="1291"/>
      <c r="E185" s="1291"/>
      <c r="F185" s="1291"/>
      <c r="G185" s="1291"/>
      <c r="H185" s="1291"/>
      <c r="I185" s="1291"/>
      <c r="J185" s="1291"/>
      <c r="K185" s="1291"/>
      <c r="L185" s="1291"/>
      <c r="M185" s="1291"/>
      <c r="N185" s="1291"/>
      <c r="O185" s="1291"/>
      <c r="P185" s="1291"/>
      <c r="Q185" s="1291"/>
      <c r="R185" s="1291"/>
      <c r="S185" s="1291"/>
      <c r="T185" s="1291"/>
      <c r="U185" s="1291"/>
      <c r="V185" s="1291"/>
      <c r="W185" s="1291"/>
      <c r="X185" s="1291"/>
      <c r="Y185" s="1291"/>
      <c r="Z185" s="1291"/>
      <c r="AA185" s="1291"/>
      <c r="AB185" s="1291"/>
      <c r="AC185" s="1291"/>
      <c r="AD185" s="1291"/>
      <c r="AE185" s="1291"/>
      <c r="AF185" s="1291"/>
      <c r="AG185" s="1291"/>
      <c r="AH185" s="1291"/>
      <c r="AI185" s="1291"/>
      <c r="AJ185" s="1291"/>
      <c r="AK185" s="1291"/>
    </row>
    <row r="186" spans="3:37" ht="17.25" customHeight="1" x14ac:dyDescent="0.35">
      <c r="C186" s="1291"/>
      <c r="D186" s="1291"/>
      <c r="E186" s="1291"/>
      <c r="F186" s="1291"/>
      <c r="G186" s="1291"/>
      <c r="H186" s="1291"/>
      <c r="I186" s="1291"/>
      <c r="J186" s="1291"/>
      <c r="K186" s="1291"/>
      <c r="L186" s="1291"/>
      <c r="M186" s="1291"/>
      <c r="N186" s="1291"/>
      <c r="O186" s="1291"/>
      <c r="P186" s="1291"/>
      <c r="Q186" s="1291"/>
      <c r="R186" s="1291"/>
      <c r="S186" s="1291"/>
      <c r="T186" s="1291"/>
      <c r="U186" s="1291"/>
      <c r="V186" s="1291"/>
      <c r="W186" s="1291"/>
      <c r="X186" s="1291"/>
      <c r="Y186" s="1291"/>
      <c r="Z186" s="1291"/>
      <c r="AA186" s="1291"/>
      <c r="AB186" s="1291"/>
      <c r="AC186" s="1291"/>
      <c r="AD186" s="1291"/>
      <c r="AE186" s="1291"/>
      <c r="AF186" s="1291"/>
      <c r="AG186" s="1291"/>
      <c r="AH186" s="1291"/>
      <c r="AI186" s="1291"/>
      <c r="AJ186" s="1291"/>
      <c r="AK186" s="1291"/>
    </row>
    <row r="187" spans="3:37" ht="17.25" customHeight="1" x14ac:dyDescent="0.35">
      <c r="C187" s="1291"/>
      <c r="D187" s="1291"/>
      <c r="E187" s="1291"/>
      <c r="F187" s="1291"/>
      <c r="G187" s="1291"/>
      <c r="H187" s="1291"/>
      <c r="I187" s="1291"/>
      <c r="J187" s="1291"/>
      <c r="K187" s="1291"/>
      <c r="L187" s="1291"/>
      <c r="M187" s="1291"/>
      <c r="N187" s="1291"/>
      <c r="O187" s="1291"/>
      <c r="P187" s="1291"/>
      <c r="Q187" s="1291"/>
      <c r="R187" s="1291"/>
      <c r="S187" s="1291"/>
      <c r="T187" s="1291"/>
      <c r="U187" s="1291"/>
      <c r="V187" s="1291"/>
      <c r="W187" s="1291"/>
      <c r="X187" s="1291"/>
      <c r="Y187" s="1291"/>
      <c r="Z187" s="1291"/>
      <c r="AA187" s="1291"/>
      <c r="AB187" s="1291"/>
      <c r="AC187" s="1291"/>
      <c r="AD187" s="1291"/>
      <c r="AE187" s="1291"/>
      <c r="AF187" s="1291"/>
      <c r="AG187" s="1291"/>
      <c r="AH187" s="1291"/>
      <c r="AI187" s="1291"/>
      <c r="AJ187" s="1291"/>
      <c r="AK187" s="1291"/>
    </row>
    <row r="188" spans="3:37" ht="17.25" customHeight="1" x14ac:dyDescent="0.35">
      <c r="C188" s="1291"/>
      <c r="D188" s="1291"/>
      <c r="E188" s="1291"/>
      <c r="F188" s="1291"/>
      <c r="G188" s="1291"/>
      <c r="H188" s="1291"/>
      <c r="I188" s="1291"/>
      <c r="J188" s="1291"/>
      <c r="K188" s="1291"/>
      <c r="L188" s="1291"/>
      <c r="M188" s="1291"/>
      <c r="N188" s="1291"/>
      <c r="O188" s="1291"/>
      <c r="P188" s="1291"/>
      <c r="Q188" s="1291"/>
      <c r="R188" s="1291"/>
      <c r="S188" s="1291"/>
      <c r="T188" s="1291"/>
      <c r="U188" s="1291"/>
      <c r="V188" s="1291"/>
      <c r="W188" s="1291"/>
      <c r="X188" s="1291"/>
      <c r="Y188" s="1291"/>
      <c r="Z188" s="1291"/>
      <c r="AA188" s="1291"/>
      <c r="AB188" s="1291"/>
      <c r="AC188" s="1291"/>
      <c r="AD188" s="1291"/>
      <c r="AE188" s="1291"/>
      <c r="AF188" s="1291"/>
      <c r="AG188" s="1291"/>
      <c r="AH188" s="1291"/>
      <c r="AI188" s="1291"/>
      <c r="AJ188" s="1291"/>
      <c r="AK188" s="1291"/>
    </row>
    <row r="189" spans="3:37" ht="17.25" customHeight="1" x14ac:dyDescent="0.35">
      <c r="C189" s="1291"/>
      <c r="D189" s="1291"/>
      <c r="E189" s="1291"/>
      <c r="F189" s="1291"/>
      <c r="G189" s="1291"/>
      <c r="H189" s="1291"/>
      <c r="I189" s="1291"/>
      <c r="J189" s="1291"/>
      <c r="K189" s="1291"/>
      <c r="L189" s="1291"/>
      <c r="M189" s="1291"/>
      <c r="N189" s="1291"/>
      <c r="O189" s="1291"/>
      <c r="P189" s="1291"/>
      <c r="Q189" s="1291"/>
      <c r="R189" s="1291"/>
      <c r="S189" s="1291"/>
      <c r="T189" s="1291"/>
      <c r="U189" s="1291"/>
      <c r="V189" s="1291"/>
      <c r="W189" s="1291"/>
      <c r="X189" s="1291"/>
      <c r="Y189" s="1291"/>
      <c r="Z189" s="1291"/>
      <c r="AA189" s="1291"/>
      <c r="AB189" s="1291"/>
      <c r="AC189" s="1291"/>
      <c r="AD189" s="1291"/>
      <c r="AE189" s="1291"/>
      <c r="AF189" s="1291"/>
      <c r="AG189" s="1291"/>
      <c r="AH189" s="1291"/>
      <c r="AI189" s="1291"/>
      <c r="AJ189" s="1291"/>
      <c r="AK189" s="1291"/>
    </row>
    <row r="190" spans="3:37" ht="17.25" customHeight="1" x14ac:dyDescent="0.35">
      <c r="C190" s="1291"/>
      <c r="D190" s="1291"/>
      <c r="E190" s="1291"/>
      <c r="F190" s="1291"/>
      <c r="G190" s="1291"/>
      <c r="H190" s="1291"/>
      <c r="I190" s="1291"/>
      <c r="J190" s="1291"/>
      <c r="K190" s="1291"/>
      <c r="L190" s="1291"/>
      <c r="M190" s="1291"/>
      <c r="N190" s="1291"/>
      <c r="O190" s="1291"/>
      <c r="P190" s="1291"/>
      <c r="Q190" s="1291"/>
      <c r="R190" s="1291"/>
      <c r="S190" s="1291"/>
      <c r="T190" s="1291"/>
      <c r="U190" s="1291"/>
      <c r="V190" s="1291"/>
      <c r="W190" s="1291"/>
      <c r="X190" s="1291"/>
      <c r="Y190" s="1291"/>
      <c r="Z190" s="1291"/>
      <c r="AA190" s="1291"/>
      <c r="AB190" s="1291"/>
      <c r="AC190" s="1291"/>
      <c r="AD190" s="1291"/>
      <c r="AE190" s="1291"/>
      <c r="AF190" s="1291"/>
      <c r="AG190" s="1291"/>
      <c r="AH190" s="1291"/>
      <c r="AI190" s="1291"/>
      <c r="AJ190" s="1291"/>
      <c r="AK190" s="1291"/>
    </row>
    <row r="191" spans="3:37" ht="17.25" customHeight="1" x14ac:dyDescent="0.35">
      <c r="C191" s="1291"/>
      <c r="D191" s="1291"/>
      <c r="E191" s="1291"/>
      <c r="F191" s="1291"/>
      <c r="G191" s="1291"/>
      <c r="H191" s="1291"/>
      <c r="I191" s="1291"/>
      <c r="J191" s="1291"/>
      <c r="K191" s="1291"/>
      <c r="L191" s="1291"/>
      <c r="M191" s="1291"/>
      <c r="N191" s="1291"/>
      <c r="O191" s="1291"/>
      <c r="P191" s="1291"/>
      <c r="Q191" s="1291"/>
      <c r="R191" s="1291"/>
      <c r="S191" s="1291"/>
      <c r="T191" s="1291"/>
      <c r="U191" s="1291"/>
      <c r="V191" s="1291"/>
      <c r="W191" s="1291"/>
      <c r="X191" s="1291"/>
      <c r="Y191" s="1291"/>
      <c r="Z191" s="1291"/>
      <c r="AA191" s="1291"/>
      <c r="AB191" s="1291"/>
      <c r="AC191" s="1291"/>
      <c r="AD191" s="1291"/>
      <c r="AE191" s="1291"/>
      <c r="AF191" s="1291"/>
      <c r="AG191" s="1291"/>
      <c r="AH191" s="1291"/>
      <c r="AI191" s="1291"/>
      <c r="AJ191" s="1291"/>
      <c r="AK191" s="1291"/>
    </row>
    <row r="192" spans="3:37" ht="17.25" customHeight="1" x14ac:dyDescent="0.35">
      <c r="C192" s="1291"/>
      <c r="D192" s="1291"/>
      <c r="E192" s="1291"/>
      <c r="F192" s="1291"/>
      <c r="G192" s="1291"/>
      <c r="H192" s="1291"/>
      <c r="I192" s="1291"/>
      <c r="J192" s="1291"/>
      <c r="K192" s="1291"/>
      <c r="L192" s="1291"/>
      <c r="M192" s="1291"/>
      <c r="N192" s="1291"/>
      <c r="O192" s="1291"/>
      <c r="P192" s="1291"/>
      <c r="Q192" s="1291"/>
      <c r="R192" s="1291"/>
      <c r="S192" s="1291"/>
      <c r="T192" s="1291"/>
      <c r="U192" s="1291"/>
      <c r="V192" s="1291"/>
      <c r="W192" s="1291"/>
      <c r="X192" s="1291"/>
      <c r="Y192" s="1291"/>
      <c r="Z192" s="1291"/>
      <c r="AA192" s="1291"/>
      <c r="AB192" s="1291"/>
      <c r="AC192" s="1291"/>
      <c r="AD192" s="1291"/>
      <c r="AE192" s="1291"/>
      <c r="AF192" s="1291"/>
      <c r="AG192" s="1291"/>
      <c r="AH192" s="1291"/>
      <c r="AI192" s="1291"/>
      <c r="AJ192" s="1291"/>
      <c r="AK192" s="1291"/>
    </row>
    <row r="193" spans="3:37" ht="17.25" customHeight="1" x14ac:dyDescent="0.35">
      <c r="C193" s="1291"/>
      <c r="D193" s="1291"/>
      <c r="E193" s="1291"/>
      <c r="F193" s="1291"/>
      <c r="G193" s="1291"/>
      <c r="H193" s="1291"/>
      <c r="I193" s="1291"/>
      <c r="J193" s="1291"/>
      <c r="K193" s="1291"/>
      <c r="L193" s="1291"/>
      <c r="M193" s="1291"/>
      <c r="N193" s="1291"/>
      <c r="O193" s="1291"/>
      <c r="P193" s="1291"/>
      <c r="Q193" s="1291"/>
      <c r="R193" s="1291"/>
      <c r="S193" s="1291"/>
      <c r="T193" s="1291"/>
      <c r="U193" s="1291"/>
      <c r="V193" s="1291"/>
      <c r="W193" s="1291"/>
      <c r="X193" s="1291"/>
      <c r="Y193" s="1291"/>
      <c r="Z193" s="1291"/>
      <c r="AA193" s="1291"/>
      <c r="AB193" s="1291"/>
      <c r="AC193" s="1291"/>
      <c r="AD193" s="1291"/>
      <c r="AE193" s="1291"/>
      <c r="AF193" s="1291"/>
      <c r="AG193" s="1291"/>
      <c r="AH193" s="1291"/>
      <c r="AI193" s="1291"/>
      <c r="AJ193" s="1291"/>
      <c r="AK193" s="1291"/>
    </row>
    <row r="194" spans="3:37" ht="17.25" customHeight="1" x14ac:dyDescent="0.35">
      <c r="C194" s="1291"/>
      <c r="D194" s="1291"/>
      <c r="E194" s="1291"/>
      <c r="F194" s="1291"/>
      <c r="G194" s="1291"/>
      <c r="H194" s="1291"/>
      <c r="I194" s="1291"/>
      <c r="J194" s="1291"/>
      <c r="K194" s="1291"/>
      <c r="L194" s="1291"/>
      <c r="M194" s="1291"/>
      <c r="N194" s="1291"/>
      <c r="O194" s="1291"/>
      <c r="P194" s="1291"/>
      <c r="Q194" s="1291"/>
      <c r="R194" s="1291"/>
      <c r="S194" s="1291"/>
      <c r="T194" s="1291"/>
      <c r="U194" s="1291"/>
      <c r="V194" s="1291"/>
      <c r="W194" s="1291"/>
      <c r="X194" s="1291"/>
      <c r="Y194" s="1291"/>
      <c r="Z194" s="1291"/>
      <c r="AA194" s="1291"/>
      <c r="AB194" s="1291"/>
      <c r="AC194" s="1291"/>
      <c r="AD194" s="1291"/>
      <c r="AE194" s="1291"/>
      <c r="AF194" s="1291"/>
      <c r="AG194" s="1291"/>
      <c r="AH194" s="1291"/>
      <c r="AI194" s="1291"/>
      <c r="AJ194" s="1291"/>
      <c r="AK194" s="1291"/>
    </row>
    <row r="195" spans="3:37" ht="17.25" customHeight="1" x14ac:dyDescent="0.35">
      <c r="C195" s="1291"/>
      <c r="D195" s="1291"/>
      <c r="E195" s="1291"/>
      <c r="F195" s="1291"/>
      <c r="G195" s="1291"/>
      <c r="H195" s="1291"/>
      <c r="I195" s="1291"/>
      <c r="J195" s="1291"/>
      <c r="K195" s="1291"/>
      <c r="L195" s="1291"/>
      <c r="M195" s="1291"/>
      <c r="N195" s="1291"/>
      <c r="O195" s="1291"/>
      <c r="P195" s="1291"/>
      <c r="Q195" s="1291"/>
      <c r="R195" s="1291"/>
      <c r="S195" s="1291"/>
      <c r="T195" s="1291"/>
      <c r="U195" s="1291"/>
      <c r="V195" s="1291"/>
      <c r="W195" s="1291"/>
      <c r="X195" s="1291"/>
      <c r="Y195" s="1291"/>
      <c r="Z195" s="1291"/>
      <c r="AA195" s="1291"/>
      <c r="AB195" s="1291"/>
      <c r="AC195" s="1291"/>
      <c r="AD195" s="1291"/>
      <c r="AE195" s="1291"/>
      <c r="AF195" s="1291"/>
      <c r="AG195" s="1291"/>
      <c r="AH195" s="1291"/>
      <c r="AI195" s="1291"/>
      <c r="AJ195" s="1291"/>
      <c r="AK195" s="1291"/>
    </row>
    <row r="196" spans="3:37" ht="17.25" customHeight="1" x14ac:dyDescent="0.35">
      <c r="C196" s="1291"/>
      <c r="D196" s="1291"/>
      <c r="E196" s="1291"/>
      <c r="F196" s="1291"/>
      <c r="G196" s="1291"/>
      <c r="H196" s="1291"/>
      <c r="I196" s="1291"/>
      <c r="J196" s="1291"/>
      <c r="K196" s="1291"/>
      <c r="L196" s="1291"/>
      <c r="M196" s="1291"/>
      <c r="N196" s="1291"/>
      <c r="O196" s="1291"/>
      <c r="P196" s="1291"/>
      <c r="Q196" s="1291"/>
      <c r="R196" s="1291"/>
      <c r="S196" s="1291"/>
      <c r="T196" s="1291"/>
      <c r="U196" s="1291"/>
      <c r="V196" s="1291"/>
      <c r="W196" s="1291"/>
      <c r="X196" s="1291"/>
      <c r="Y196" s="1291"/>
      <c r="Z196" s="1291"/>
      <c r="AA196" s="1291"/>
      <c r="AB196" s="1291"/>
      <c r="AC196" s="1291"/>
      <c r="AD196" s="1291"/>
      <c r="AE196" s="1291"/>
      <c r="AF196" s="1291"/>
      <c r="AG196" s="1291"/>
      <c r="AH196" s="1291"/>
      <c r="AI196" s="1291"/>
      <c r="AJ196" s="1291"/>
      <c r="AK196" s="1291"/>
    </row>
    <row r="197" spans="3:37" ht="17.25" customHeight="1" x14ac:dyDescent="0.35">
      <c r="C197" s="1291"/>
      <c r="D197" s="1291"/>
      <c r="E197" s="1291"/>
      <c r="F197" s="1291"/>
      <c r="G197" s="1291"/>
      <c r="H197" s="1291"/>
      <c r="I197" s="1291"/>
      <c r="J197" s="1291"/>
      <c r="K197" s="1291"/>
      <c r="L197" s="1291"/>
      <c r="M197" s="1291"/>
      <c r="N197" s="1291"/>
      <c r="O197" s="1291"/>
      <c r="P197" s="1291"/>
      <c r="Q197" s="1291"/>
      <c r="R197" s="1291"/>
      <c r="S197" s="1291"/>
      <c r="T197" s="1291"/>
      <c r="U197" s="1291"/>
      <c r="V197" s="1291"/>
      <c r="W197" s="1291"/>
      <c r="X197" s="1291"/>
      <c r="Y197" s="1291"/>
      <c r="Z197" s="1291"/>
      <c r="AA197" s="1291"/>
      <c r="AB197" s="1291"/>
      <c r="AC197" s="1291"/>
      <c r="AD197" s="1291"/>
      <c r="AE197" s="1291"/>
      <c r="AF197" s="1291"/>
      <c r="AG197" s="1291"/>
      <c r="AH197" s="1291"/>
      <c r="AI197" s="1291"/>
      <c r="AJ197" s="1291"/>
      <c r="AK197" s="1291"/>
    </row>
    <row r="198" spans="3:37" ht="17.25" customHeight="1" x14ac:dyDescent="0.35">
      <c r="C198" s="1291"/>
      <c r="D198" s="1291"/>
      <c r="E198" s="1291"/>
      <c r="F198" s="1291"/>
      <c r="G198" s="1291"/>
      <c r="H198" s="1291"/>
      <c r="I198" s="1291"/>
      <c r="J198" s="1291"/>
      <c r="K198" s="1291"/>
      <c r="L198" s="1291"/>
      <c r="M198" s="1291"/>
      <c r="N198" s="1291"/>
      <c r="O198" s="1291"/>
      <c r="P198" s="1291"/>
      <c r="Q198" s="1291"/>
      <c r="R198" s="1291"/>
      <c r="S198" s="1291"/>
      <c r="T198" s="1291"/>
      <c r="U198" s="1291"/>
      <c r="V198" s="1291"/>
      <c r="W198" s="1291"/>
      <c r="X198" s="1291"/>
      <c r="Y198" s="1291"/>
      <c r="Z198" s="1291"/>
      <c r="AA198" s="1291"/>
      <c r="AB198" s="1291"/>
      <c r="AC198" s="1291"/>
      <c r="AD198" s="1291"/>
      <c r="AE198" s="1291"/>
      <c r="AF198" s="1291"/>
      <c r="AG198" s="1291"/>
      <c r="AH198" s="1291"/>
      <c r="AI198" s="1291"/>
      <c r="AJ198" s="1291"/>
      <c r="AK198" s="1291"/>
    </row>
    <row r="199" spans="3:37" ht="17.25" customHeight="1" x14ac:dyDescent="0.35">
      <c r="C199" s="1291"/>
      <c r="D199" s="1291"/>
      <c r="E199" s="1291"/>
      <c r="F199" s="1291"/>
      <c r="G199" s="1291"/>
      <c r="H199" s="1291"/>
      <c r="I199" s="1291"/>
      <c r="J199" s="1291"/>
      <c r="K199" s="1291"/>
      <c r="L199" s="1291"/>
      <c r="M199" s="1291"/>
      <c r="N199" s="1291"/>
      <c r="O199" s="1291"/>
      <c r="P199" s="1291"/>
      <c r="Q199" s="1291"/>
      <c r="R199" s="1291"/>
      <c r="S199" s="1291"/>
      <c r="T199" s="1291"/>
      <c r="U199" s="1291"/>
      <c r="V199" s="1291"/>
      <c r="W199" s="1291"/>
      <c r="X199" s="1291"/>
      <c r="Y199" s="1291"/>
      <c r="Z199" s="1291"/>
      <c r="AA199" s="1291"/>
      <c r="AB199" s="1291"/>
      <c r="AC199" s="1291"/>
      <c r="AD199" s="1291"/>
      <c r="AE199" s="1291"/>
      <c r="AF199" s="1291"/>
      <c r="AG199" s="1291"/>
      <c r="AH199" s="1291"/>
      <c r="AI199" s="1291"/>
      <c r="AJ199" s="1291"/>
      <c r="AK199" s="1291"/>
    </row>
    <row r="200" spans="3:37" ht="17.25" customHeight="1" x14ac:dyDescent="0.35">
      <c r="C200" s="1291"/>
      <c r="D200" s="1291"/>
      <c r="E200" s="1291"/>
      <c r="F200" s="1291"/>
      <c r="G200" s="1291"/>
      <c r="H200" s="1291"/>
      <c r="I200" s="1291"/>
      <c r="J200" s="1291"/>
      <c r="K200" s="1291"/>
      <c r="L200" s="1291"/>
      <c r="M200" s="1291"/>
      <c r="N200" s="1291"/>
      <c r="O200" s="1291"/>
      <c r="P200" s="1291"/>
      <c r="Q200" s="1291"/>
      <c r="R200" s="1291"/>
      <c r="S200" s="1291"/>
      <c r="T200" s="1291"/>
      <c r="U200" s="1291"/>
      <c r="V200" s="1291"/>
      <c r="W200" s="1291"/>
      <c r="X200" s="1291"/>
      <c r="Y200" s="1291"/>
      <c r="Z200" s="1291"/>
      <c r="AA200" s="1291"/>
      <c r="AB200" s="1291"/>
      <c r="AC200" s="1291"/>
      <c r="AD200" s="1291"/>
      <c r="AE200" s="1291"/>
      <c r="AF200" s="1291"/>
      <c r="AG200" s="1291"/>
      <c r="AH200" s="1291"/>
      <c r="AI200" s="1291"/>
      <c r="AJ200" s="1291"/>
      <c r="AK200" s="1291"/>
    </row>
    <row r="201" spans="3:37" ht="17.25" customHeight="1" x14ac:dyDescent="0.35">
      <c r="C201" s="1291"/>
      <c r="D201" s="1291"/>
      <c r="E201" s="1291"/>
      <c r="F201" s="1291"/>
      <c r="G201" s="1291"/>
      <c r="H201" s="1291"/>
      <c r="I201" s="1291"/>
      <c r="J201" s="1291"/>
      <c r="K201" s="1291"/>
      <c r="L201" s="1291"/>
      <c r="M201" s="1291"/>
      <c r="N201" s="1291"/>
      <c r="O201" s="1291"/>
      <c r="P201" s="1291"/>
      <c r="Q201" s="1291"/>
      <c r="R201" s="1291"/>
      <c r="S201" s="1291"/>
      <c r="T201" s="1291"/>
      <c r="U201" s="1291"/>
      <c r="V201" s="1291"/>
      <c r="W201" s="1291"/>
      <c r="X201" s="1291"/>
      <c r="Y201" s="1291"/>
      <c r="Z201" s="1291"/>
      <c r="AA201" s="1291"/>
      <c r="AB201" s="1291"/>
      <c r="AC201" s="1291"/>
      <c r="AD201" s="1291"/>
      <c r="AE201" s="1291"/>
      <c r="AF201" s="1291"/>
      <c r="AG201" s="1291"/>
      <c r="AH201" s="1291"/>
      <c r="AI201" s="1291"/>
      <c r="AJ201" s="1291"/>
      <c r="AK201" s="1291"/>
    </row>
    <row r="202" spans="3:37" ht="17.25" customHeight="1" x14ac:dyDescent="0.35">
      <c r="C202" s="1291"/>
      <c r="D202" s="1291"/>
      <c r="E202" s="1291"/>
      <c r="F202" s="1291"/>
      <c r="G202" s="1291"/>
      <c r="H202" s="1291"/>
      <c r="I202" s="1291"/>
      <c r="J202" s="1291"/>
      <c r="K202" s="1291"/>
      <c r="L202" s="1291"/>
      <c r="M202" s="1291"/>
      <c r="N202" s="1291"/>
      <c r="O202" s="1291"/>
      <c r="P202" s="1291"/>
      <c r="Q202" s="1291"/>
      <c r="R202" s="1291"/>
      <c r="S202" s="1291"/>
      <c r="T202" s="1291"/>
      <c r="U202" s="1291"/>
      <c r="V202" s="1291"/>
      <c r="W202" s="1291"/>
      <c r="X202" s="1291"/>
      <c r="Y202" s="1291"/>
      <c r="Z202" s="1291"/>
      <c r="AA202" s="1291"/>
      <c r="AB202" s="1291"/>
      <c r="AC202" s="1291"/>
      <c r="AD202" s="1291"/>
      <c r="AE202" s="1291"/>
      <c r="AF202" s="1291"/>
      <c r="AG202" s="1291"/>
      <c r="AH202" s="1291"/>
      <c r="AI202" s="1291"/>
      <c r="AJ202" s="1291"/>
      <c r="AK202" s="1291"/>
    </row>
    <row r="203" spans="3:37" ht="17.25" customHeight="1" x14ac:dyDescent="0.35">
      <c r="C203" s="1291"/>
      <c r="D203" s="1291"/>
      <c r="E203" s="1291"/>
      <c r="F203" s="1291"/>
      <c r="G203" s="1291"/>
      <c r="H203" s="1291"/>
      <c r="I203" s="1291"/>
      <c r="J203" s="1291"/>
      <c r="K203" s="1291"/>
      <c r="L203" s="1291"/>
      <c r="M203" s="1291"/>
      <c r="N203" s="1291"/>
      <c r="O203" s="1291"/>
      <c r="P203" s="1291"/>
      <c r="Q203" s="1291"/>
      <c r="R203" s="1291"/>
      <c r="S203" s="1291"/>
      <c r="T203" s="1291"/>
      <c r="U203" s="1291"/>
      <c r="V203" s="1291"/>
      <c r="W203" s="1291"/>
      <c r="X203" s="1291"/>
      <c r="Y203" s="1291"/>
      <c r="Z203" s="1291"/>
      <c r="AA203" s="1291"/>
      <c r="AB203" s="1291"/>
      <c r="AC203" s="1291"/>
      <c r="AD203" s="1291"/>
      <c r="AE203" s="1291"/>
      <c r="AF203" s="1291"/>
      <c r="AG203" s="1291"/>
      <c r="AH203" s="1291"/>
      <c r="AI203" s="1291"/>
      <c r="AJ203" s="1291"/>
      <c r="AK203" s="1291"/>
    </row>
    <row r="204" spans="3:37" ht="17.25" customHeight="1" x14ac:dyDescent="0.35">
      <c r="C204" s="1291"/>
      <c r="D204" s="1291"/>
      <c r="E204" s="1291"/>
      <c r="F204" s="1291"/>
      <c r="G204" s="1291"/>
      <c r="H204" s="1291"/>
      <c r="I204" s="1291"/>
      <c r="J204" s="1291"/>
      <c r="K204" s="1291"/>
      <c r="L204" s="1291"/>
      <c r="M204" s="1291"/>
      <c r="N204" s="1291"/>
      <c r="O204" s="1291"/>
      <c r="P204" s="1291"/>
      <c r="Q204" s="1291"/>
      <c r="R204" s="1291"/>
      <c r="S204" s="1291"/>
      <c r="T204" s="1291"/>
      <c r="U204" s="1291"/>
      <c r="V204" s="1291"/>
      <c r="W204" s="1291"/>
      <c r="X204" s="1291"/>
      <c r="Y204" s="1291"/>
      <c r="Z204" s="1291"/>
      <c r="AA204" s="1291"/>
      <c r="AB204" s="1291"/>
      <c r="AC204" s="1291"/>
      <c r="AD204" s="1291"/>
      <c r="AE204" s="1291"/>
      <c r="AF204" s="1291"/>
      <c r="AG204" s="1291"/>
      <c r="AH204" s="1291"/>
      <c r="AI204" s="1291"/>
      <c r="AJ204" s="1291"/>
      <c r="AK204" s="1291"/>
    </row>
    <row r="205" spans="3:37" ht="17.25" customHeight="1" x14ac:dyDescent="0.35">
      <c r="C205" s="1291"/>
      <c r="D205" s="1291"/>
      <c r="E205" s="1291"/>
      <c r="F205" s="1291"/>
      <c r="G205" s="1291"/>
      <c r="H205" s="1291"/>
      <c r="I205" s="1291"/>
      <c r="J205" s="1291"/>
      <c r="K205" s="1291"/>
      <c r="L205" s="1291"/>
      <c r="M205" s="1291"/>
      <c r="N205" s="1291"/>
      <c r="O205" s="1291"/>
      <c r="P205" s="1291"/>
      <c r="Q205" s="1291"/>
      <c r="R205" s="1291"/>
      <c r="S205" s="1291"/>
      <c r="T205" s="1291"/>
      <c r="U205" s="1291"/>
      <c r="V205" s="1291"/>
      <c r="W205" s="1291"/>
      <c r="X205" s="1291"/>
      <c r="Y205" s="1291"/>
      <c r="Z205" s="1291"/>
      <c r="AA205" s="1291"/>
      <c r="AB205" s="1291"/>
      <c r="AC205" s="1291"/>
      <c r="AD205" s="1291"/>
      <c r="AE205" s="1291"/>
      <c r="AF205" s="1291"/>
      <c r="AG205" s="1291"/>
      <c r="AH205" s="1291"/>
      <c r="AI205" s="1291"/>
      <c r="AJ205" s="1291"/>
      <c r="AK205" s="1291"/>
    </row>
    <row r="206" spans="3:37" ht="17.25" customHeight="1" x14ac:dyDescent="0.35">
      <c r="C206" s="1291"/>
      <c r="D206" s="1291"/>
      <c r="E206" s="1291"/>
      <c r="F206" s="1291"/>
      <c r="G206" s="1291"/>
      <c r="H206" s="1291"/>
      <c r="I206" s="1291"/>
      <c r="J206" s="1291"/>
      <c r="K206" s="1291"/>
      <c r="L206" s="1291"/>
      <c r="M206" s="1291"/>
      <c r="N206" s="1291"/>
      <c r="O206" s="1291"/>
      <c r="P206" s="1291"/>
      <c r="Q206" s="1291"/>
      <c r="R206" s="1291"/>
      <c r="S206" s="1291"/>
      <c r="T206" s="1291"/>
      <c r="U206" s="1291"/>
      <c r="V206" s="1291"/>
      <c r="W206" s="1291"/>
      <c r="X206" s="1291"/>
      <c r="Y206" s="1291"/>
      <c r="Z206" s="1291"/>
      <c r="AA206" s="1291"/>
      <c r="AB206" s="1291"/>
      <c r="AC206" s="1291"/>
      <c r="AD206" s="1291"/>
      <c r="AE206" s="1291"/>
      <c r="AF206" s="1291"/>
      <c r="AG206" s="1291"/>
      <c r="AH206" s="1291"/>
      <c r="AI206" s="1291"/>
      <c r="AJ206" s="1291"/>
      <c r="AK206" s="1291"/>
    </row>
    <row r="207" spans="3:37" ht="17.25" customHeight="1" x14ac:dyDescent="0.35">
      <c r="C207" s="1291"/>
      <c r="D207" s="1291"/>
      <c r="E207" s="1291"/>
      <c r="F207" s="1291"/>
      <c r="G207" s="1291"/>
      <c r="H207" s="1291"/>
      <c r="I207" s="1291"/>
      <c r="J207" s="1291"/>
      <c r="K207" s="1291"/>
      <c r="L207" s="1291"/>
      <c r="M207" s="1291"/>
      <c r="N207" s="1291"/>
      <c r="O207" s="1291"/>
      <c r="P207" s="1291"/>
      <c r="Q207" s="1291"/>
      <c r="R207" s="1291"/>
      <c r="S207" s="1291"/>
      <c r="T207" s="1291"/>
      <c r="U207" s="1291"/>
      <c r="V207" s="1291"/>
      <c r="W207" s="1291"/>
      <c r="X207" s="1291"/>
      <c r="Y207" s="1291"/>
      <c r="Z207" s="1291"/>
      <c r="AA207" s="1291"/>
      <c r="AB207" s="1291"/>
      <c r="AC207" s="1291"/>
      <c r="AD207" s="1291"/>
      <c r="AE207" s="1291"/>
      <c r="AF207" s="1291"/>
      <c r="AG207" s="1291"/>
      <c r="AH207" s="1291"/>
      <c r="AI207" s="1291"/>
      <c r="AJ207" s="1291"/>
      <c r="AK207" s="1291"/>
    </row>
    <row r="208" spans="3:37" ht="17.25" customHeight="1" x14ac:dyDescent="0.35">
      <c r="C208" s="1291"/>
      <c r="D208" s="1291"/>
      <c r="E208" s="1291"/>
      <c r="F208" s="1291"/>
      <c r="G208" s="1291"/>
      <c r="H208" s="1291"/>
      <c r="I208" s="1291"/>
      <c r="J208" s="1291"/>
      <c r="K208" s="1291"/>
      <c r="L208" s="1291"/>
      <c r="M208" s="1291"/>
      <c r="N208" s="1291"/>
      <c r="O208" s="1291"/>
      <c r="P208" s="1291"/>
      <c r="Q208" s="1291"/>
      <c r="R208" s="1291"/>
      <c r="S208" s="1291"/>
      <c r="T208" s="1291"/>
      <c r="U208" s="1291"/>
      <c r="V208" s="1291"/>
      <c r="W208" s="1291"/>
      <c r="X208" s="1291"/>
      <c r="Y208" s="1291"/>
      <c r="Z208" s="1291"/>
      <c r="AA208" s="1291"/>
      <c r="AB208" s="1291"/>
      <c r="AC208" s="1291"/>
      <c r="AD208" s="1291"/>
      <c r="AE208" s="1291"/>
      <c r="AF208" s="1291"/>
      <c r="AG208" s="1291"/>
      <c r="AH208" s="1291"/>
      <c r="AI208" s="1291"/>
      <c r="AJ208" s="1291"/>
      <c r="AK208" s="1291"/>
    </row>
    <row r="209" spans="3:37" ht="17.25" customHeight="1" x14ac:dyDescent="0.35">
      <c r="C209" s="1291"/>
      <c r="D209" s="1291"/>
      <c r="E209" s="1291"/>
      <c r="F209" s="1291"/>
      <c r="G209" s="1291"/>
      <c r="H209" s="1291"/>
      <c r="I209" s="1291"/>
      <c r="J209" s="1291"/>
      <c r="K209" s="1291"/>
      <c r="L209" s="1291"/>
      <c r="M209" s="1291"/>
      <c r="N209" s="1291"/>
      <c r="O209" s="1291"/>
      <c r="P209" s="1291"/>
      <c r="Q209" s="1291"/>
      <c r="R209" s="1291"/>
      <c r="S209" s="1291"/>
      <c r="T209" s="1291"/>
      <c r="U209" s="1291"/>
      <c r="V209" s="1291"/>
      <c r="W209" s="1291"/>
      <c r="X209" s="1291"/>
      <c r="Y209" s="1291"/>
      <c r="Z209" s="1291"/>
      <c r="AA209" s="1291"/>
      <c r="AB209" s="1291"/>
      <c r="AC209" s="1291"/>
      <c r="AD209" s="1291"/>
      <c r="AE209" s="1291"/>
      <c r="AF209" s="1291"/>
      <c r="AG209" s="1291"/>
      <c r="AH209" s="1291"/>
      <c r="AI209" s="1291"/>
      <c r="AJ209" s="1291"/>
      <c r="AK209" s="1291"/>
    </row>
    <row r="210" spans="3:37" ht="17.25" customHeight="1" x14ac:dyDescent="0.35">
      <c r="C210" s="1291"/>
      <c r="D210" s="1291"/>
      <c r="E210" s="1291"/>
      <c r="F210" s="1291"/>
      <c r="G210" s="1291"/>
      <c r="H210" s="1291"/>
      <c r="I210" s="1291"/>
      <c r="J210" s="1291"/>
      <c r="K210" s="1291"/>
      <c r="L210" s="1291"/>
      <c r="M210" s="1291"/>
      <c r="N210" s="1291"/>
      <c r="O210" s="1291"/>
      <c r="P210" s="1291"/>
      <c r="Q210" s="1291"/>
      <c r="R210" s="1291"/>
      <c r="S210" s="1291"/>
      <c r="T210" s="1291"/>
      <c r="U210" s="1291"/>
      <c r="V210" s="1291"/>
      <c r="W210" s="1291"/>
      <c r="X210" s="1291"/>
      <c r="Y210" s="1291"/>
      <c r="Z210" s="1291"/>
      <c r="AA210" s="1291"/>
      <c r="AB210" s="1291"/>
      <c r="AC210" s="1291"/>
      <c r="AD210" s="1291"/>
      <c r="AE210" s="1291"/>
      <c r="AF210" s="1291"/>
      <c r="AG210" s="1291"/>
      <c r="AH210" s="1291"/>
      <c r="AI210" s="1291"/>
      <c r="AJ210" s="1291"/>
      <c r="AK210" s="1291"/>
    </row>
    <row r="211" spans="3:37" ht="17.25" customHeight="1" x14ac:dyDescent="0.35">
      <c r="C211" s="1291"/>
      <c r="D211" s="1291"/>
      <c r="E211" s="1291"/>
      <c r="F211" s="1291"/>
      <c r="G211" s="1291"/>
      <c r="H211" s="1291"/>
      <c r="I211" s="1291"/>
      <c r="J211" s="1291"/>
      <c r="K211" s="1291"/>
      <c r="L211" s="1291"/>
      <c r="M211" s="1291"/>
      <c r="N211" s="1291"/>
      <c r="O211" s="1291"/>
      <c r="P211" s="1291"/>
      <c r="Q211" s="1291"/>
      <c r="R211" s="1291"/>
      <c r="S211" s="1291"/>
      <c r="T211" s="1291"/>
      <c r="U211" s="1291"/>
      <c r="V211" s="1291"/>
      <c r="W211" s="1291"/>
      <c r="X211" s="1291"/>
      <c r="Y211" s="1291"/>
      <c r="Z211" s="1291"/>
      <c r="AA211" s="1291"/>
      <c r="AB211" s="1291"/>
      <c r="AC211" s="1291"/>
      <c r="AD211" s="1291"/>
      <c r="AE211" s="1291"/>
      <c r="AF211" s="1291"/>
      <c r="AG211" s="1291"/>
      <c r="AH211" s="1291"/>
      <c r="AI211" s="1291"/>
      <c r="AJ211" s="1291"/>
      <c r="AK211" s="1291"/>
    </row>
    <row r="212" spans="3:37" ht="17.25" customHeight="1" x14ac:dyDescent="0.35">
      <c r="C212" s="1291"/>
      <c r="D212" s="1291"/>
      <c r="E212" s="1291"/>
      <c r="F212" s="1291"/>
      <c r="G212" s="1291"/>
      <c r="H212" s="1291"/>
      <c r="I212" s="1291"/>
      <c r="J212" s="1291"/>
      <c r="K212" s="1291"/>
      <c r="L212" s="1291"/>
      <c r="M212" s="1291"/>
      <c r="N212" s="1291"/>
      <c r="O212" s="1291"/>
      <c r="P212" s="1291"/>
      <c r="Q212" s="1291"/>
      <c r="R212" s="1291"/>
      <c r="S212" s="1291"/>
      <c r="T212" s="1291"/>
      <c r="U212" s="1291"/>
      <c r="V212" s="1291"/>
      <c r="W212" s="1291"/>
      <c r="X212" s="1291"/>
      <c r="Y212" s="1291"/>
      <c r="Z212" s="1291"/>
      <c r="AA212" s="1291"/>
      <c r="AB212" s="1291"/>
      <c r="AC212" s="1291"/>
      <c r="AD212" s="1291"/>
      <c r="AE212" s="1291"/>
      <c r="AF212" s="1291"/>
      <c r="AG212" s="1291"/>
      <c r="AH212" s="1291"/>
      <c r="AI212" s="1291"/>
      <c r="AJ212" s="1291"/>
      <c r="AK212" s="1291"/>
    </row>
    <row r="213" spans="3:37" ht="17.25" customHeight="1" x14ac:dyDescent="0.35">
      <c r="C213" s="1291"/>
      <c r="D213" s="1291"/>
      <c r="E213" s="1291"/>
      <c r="F213" s="1291"/>
      <c r="G213" s="1291"/>
      <c r="H213" s="1291"/>
      <c r="I213" s="1291"/>
      <c r="J213" s="1291"/>
      <c r="K213" s="1291"/>
      <c r="L213" s="1291"/>
      <c r="M213" s="1291"/>
      <c r="N213" s="1291"/>
      <c r="O213" s="1291"/>
      <c r="P213" s="1291"/>
      <c r="Q213" s="1291"/>
      <c r="R213" s="1291"/>
      <c r="S213" s="1291"/>
      <c r="T213" s="1291"/>
      <c r="U213" s="1291"/>
      <c r="V213" s="1291"/>
      <c r="W213" s="1291"/>
      <c r="X213" s="1291"/>
      <c r="Y213" s="1291"/>
      <c r="Z213" s="1291"/>
      <c r="AA213" s="1291"/>
      <c r="AB213" s="1291"/>
      <c r="AC213" s="1291"/>
      <c r="AD213" s="1291"/>
      <c r="AE213" s="1291"/>
      <c r="AF213" s="1291"/>
      <c r="AG213" s="1291"/>
      <c r="AH213" s="1291"/>
      <c r="AI213" s="1291"/>
      <c r="AJ213" s="1291"/>
      <c r="AK213" s="1291"/>
    </row>
    <row r="214" spans="3:37" ht="17.25" customHeight="1" x14ac:dyDescent="0.35">
      <c r="C214" s="1291"/>
      <c r="D214" s="1291"/>
      <c r="E214" s="1291"/>
      <c r="F214" s="1291"/>
      <c r="G214" s="1291"/>
      <c r="H214" s="1291"/>
      <c r="I214" s="1291"/>
      <c r="J214" s="1291"/>
      <c r="K214" s="1291"/>
      <c r="L214" s="1291"/>
      <c r="M214" s="1291"/>
      <c r="N214" s="1291"/>
      <c r="O214" s="1291"/>
      <c r="P214" s="1291"/>
      <c r="Q214" s="1291"/>
      <c r="R214" s="1291"/>
      <c r="S214" s="1291"/>
      <c r="T214" s="1291"/>
      <c r="U214" s="1291"/>
      <c r="V214" s="1291"/>
      <c r="W214" s="1291"/>
      <c r="X214" s="1291"/>
      <c r="Y214" s="1291"/>
      <c r="Z214" s="1291"/>
      <c r="AA214" s="1291"/>
      <c r="AB214" s="1291"/>
      <c r="AC214" s="1291"/>
      <c r="AD214" s="1291"/>
      <c r="AE214" s="1291"/>
      <c r="AF214" s="1291"/>
      <c r="AG214" s="1291"/>
      <c r="AH214" s="1291"/>
      <c r="AI214" s="1291"/>
      <c r="AJ214" s="1291"/>
      <c r="AK214" s="1291"/>
    </row>
    <row r="215" spans="3:37" ht="17.25" customHeight="1" x14ac:dyDescent="0.35">
      <c r="C215" s="1291"/>
      <c r="D215" s="1291"/>
      <c r="E215" s="1291"/>
      <c r="F215" s="1291"/>
      <c r="G215" s="1291"/>
      <c r="H215" s="1291"/>
      <c r="I215" s="1291"/>
      <c r="J215" s="1291"/>
      <c r="K215" s="1291"/>
      <c r="L215" s="1291"/>
      <c r="M215" s="1291"/>
      <c r="N215" s="1291"/>
      <c r="O215" s="1291"/>
      <c r="P215" s="1291"/>
      <c r="Q215" s="1291"/>
      <c r="R215" s="1291"/>
      <c r="S215" s="1291"/>
      <c r="T215" s="1291"/>
      <c r="U215" s="1291"/>
      <c r="V215" s="1291"/>
      <c r="W215" s="1291"/>
      <c r="X215" s="1291"/>
      <c r="Y215" s="1291"/>
      <c r="Z215" s="1291"/>
      <c r="AA215" s="1291"/>
      <c r="AB215" s="1291"/>
      <c r="AC215" s="1291"/>
      <c r="AD215" s="1291"/>
      <c r="AE215" s="1291"/>
      <c r="AF215" s="1291"/>
      <c r="AG215" s="1291"/>
      <c r="AH215" s="1291"/>
      <c r="AI215" s="1291"/>
      <c r="AJ215" s="1291"/>
      <c r="AK215" s="1291"/>
    </row>
    <row r="216" spans="3:37" ht="17.25" customHeight="1" x14ac:dyDescent="0.35">
      <c r="C216" s="1291"/>
      <c r="D216" s="1291"/>
      <c r="E216" s="1291"/>
      <c r="F216" s="1291"/>
      <c r="G216" s="1291"/>
      <c r="H216" s="1291"/>
      <c r="I216" s="1291"/>
      <c r="J216" s="1291"/>
      <c r="K216" s="1291"/>
      <c r="L216" s="1291"/>
      <c r="M216" s="1291"/>
      <c r="N216" s="1291"/>
      <c r="O216" s="1291"/>
      <c r="P216" s="1291"/>
      <c r="Q216" s="1291"/>
      <c r="R216" s="1291"/>
      <c r="S216" s="1291"/>
      <c r="T216" s="1291"/>
      <c r="U216" s="1291"/>
      <c r="V216" s="1291"/>
      <c r="W216" s="1291"/>
      <c r="X216" s="1291"/>
      <c r="Y216" s="1291"/>
      <c r="Z216" s="1291"/>
      <c r="AA216" s="1291"/>
      <c r="AB216" s="1291"/>
      <c r="AC216" s="1291"/>
      <c r="AD216" s="1291"/>
      <c r="AE216" s="1291"/>
      <c r="AF216" s="1291"/>
      <c r="AG216" s="1291"/>
      <c r="AH216" s="1291"/>
      <c r="AI216" s="1291"/>
      <c r="AJ216" s="1291"/>
      <c r="AK216" s="1291"/>
    </row>
    <row r="217" spans="3:37" ht="17.25" customHeight="1" x14ac:dyDescent="0.35">
      <c r="C217" s="1291"/>
      <c r="D217" s="1291"/>
      <c r="E217" s="1291"/>
      <c r="F217" s="1291"/>
      <c r="G217" s="1291"/>
      <c r="H217" s="1291"/>
      <c r="I217" s="1291"/>
      <c r="J217" s="1291"/>
      <c r="K217" s="1291"/>
      <c r="L217" s="1291"/>
      <c r="M217" s="1291"/>
      <c r="N217" s="1291"/>
      <c r="O217" s="1291"/>
      <c r="P217" s="1291"/>
      <c r="Q217" s="1291"/>
      <c r="R217" s="1291"/>
      <c r="S217" s="1291"/>
      <c r="T217" s="1291"/>
      <c r="U217" s="1291"/>
      <c r="V217" s="1291"/>
      <c r="W217" s="1291"/>
      <c r="X217" s="1291"/>
      <c r="Y217" s="1291"/>
      <c r="Z217" s="1291"/>
      <c r="AA217" s="1291"/>
      <c r="AB217" s="1291"/>
      <c r="AC217" s="1291"/>
      <c r="AD217" s="1291"/>
      <c r="AE217" s="1291"/>
      <c r="AF217" s="1291"/>
      <c r="AG217" s="1291"/>
      <c r="AH217" s="1291"/>
      <c r="AI217" s="1291"/>
      <c r="AJ217" s="1291"/>
      <c r="AK217" s="1291"/>
    </row>
    <row r="218" spans="3:37" ht="17.25" customHeight="1" x14ac:dyDescent="0.35">
      <c r="C218" s="1291"/>
      <c r="D218" s="1291"/>
      <c r="E218" s="1291"/>
      <c r="F218" s="1291"/>
      <c r="G218" s="1291"/>
      <c r="H218" s="1291"/>
      <c r="I218" s="1291"/>
      <c r="J218" s="1291"/>
      <c r="K218" s="1291"/>
      <c r="L218" s="1291"/>
      <c r="M218" s="1291"/>
      <c r="N218" s="1291"/>
      <c r="O218" s="1291"/>
      <c r="P218" s="1291"/>
      <c r="Q218" s="1291"/>
      <c r="R218" s="1291"/>
      <c r="S218" s="1291"/>
      <c r="T218" s="1291"/>
      <c r="U218" s="1291"/>
      <c r="V218" s="1291"/>
      <c r="W218" s="1291"/>
      <c r="X218" s="1291"/>
      <c r="Y218" s="1291"/>
      <c r="Z218" s="1291"/>
      <c r="AA218" s="1291"/>
      <c r="AB218" s="1291"/>
      <c r="AC218" s="1291"/>
      <c r="AD218" s="1291"/>
      <c r="AE218" s="1291"/>
      <c r="AF218" s="1291"/>
      <c r="AG218" s="1291"/>
      <c r="AH218" s="1291"/>
      <c r="AI218" s="1291"/>
      <c r="AJ218" s="1291"/>
      <c r="AK218" s="1291"/>
    </row>
    <row r="219" spans="3:37" ht="17.25" customHeight="1" x14ac:dyDescent="0.35">
      <c r="C219" s="1291"/>
      <c r="D219" s="1291"/>
      <c r="E219" s="1291"/>
      <c r="F219" s="1291"/>
      <c r="G219" s="1291"/>
      <c r="H219" s="1291"/>
      <c r="I219" s="1291"/>
      <c r="J219" s="1291"/>
      <c r="K219" s="1291"/>
      <c r="L219" s="1291"/>
      <c r="M219" s="1291"/>
      <c r="N219" s="1291"/>
      <c r="O219" s="1291"/>
      <c r="P219" s="1291"/>
      <c r="Q219" s="1291"/>
      <c r="R219" s="1291"/>
      <c r="S219" s="1291"/>
      <c r="T219" s="1291"/>
      <c r="U219" s="1291"/>
      <c r="V219" s="1291"/>
      <c r="W219" s="1291"/>
      <c r="X219" s="1291"/>
      <c r="Y219" s="1291"/>
      <c r="Z219" s="1291"/>
      <c r="AA219" s="1291"/>
      <c r="AB219" s="1291"/>
      <c r="AC219" s="1291"/>
      <c r="AD219" s="1291"/>
      <c r="AE219" s="1291"/>
      <c r="AF219" s="1291"/>
      <c r="AG219" s="1291"/>
      <c r="AH219" s="1291"/>
      <c r="AI219" s="1291"/>
      <c r="AJ219" s="1291"/>
      <c r="AK219" s="1291"/>
    </row>
    <row r="220" spans="3:37" ht="17.25" customHeight="1" x14ac:dyDescent="0.35">
      <c r="C220" s="1291"/>
      <c r="D220" s="1291"/>
      <c r="E220" s="1291"/>
      <c r="F220" s="1291"/>
      <c r="G220" s="1291"/>
      <c r="H220" s="1291"/>
      <c r="I220" s="1291"/>
      <c r="J220" s="1291"/>
      <c r="K220" s="1291"/>
      <c r="L220" s="1291"/>
      <c r="M220" s="1291"/>
      <c r="N220" s="1291"/>
      <c r="O220" s="1291"/>
      <c r="P220" s="1291"/>
      <c r="Q220" s="1291"/>
      <c r="R220" s="1291"/>
      <c r="S220" s="1291"/>
      <c r="T220" s="1291"/>
      <c r="U220" s="1291"/>
      <c r="V220" s="1291"/>
      <c r="W220" s="1291"/>
      <c r="X220" s="1291"/>
      <c r="Y220" s="1291"/>
      <c r="Z220" s="1291"/>
      <c r="AA220" s="1291"/>
      <c r="AB220" s="1291"/>
      <c r="AC220" s="1291"/>
      <c r="AD220" s="1291"/>
      <c r="AE220" s="1291"/>
      <c r="AF220" s="1291"/>
      <c r="AG220" s="1291"/>
      <c r="AH220" s="1291"/>
      <c r="AI220" s="1291"/>
      <c r="AJ220" s="1291"/>
      <c r="AK220" s="1291"/>
    </row>
    <row r="221" spans="3:37" ht="17.25" customHeight="1" x14ac:dyDescent="0.35">
      <c r="C221" s="1291"/>
      <c r="D221" s="1291"/>
      <c r="E221" s="1291"/>
      <c r="F221" s="1291"/>
      <c r="G221" s="1291"/>
      <c r="H221" s="1291"/>
      <c r="I221" s="1291"/>
      <c r="J221" s="1291"/>
      <c r="K221" s="1291"/>
      <c r="L221" s="1291"/>
      <c r="M221" s="1291"/>
      <c r="N221" s="1291"/>
      <c r="O221" s="1291"/>
      <c r="P221" s="1291"/>
      <c r="Q221" s="1291"/>
      <c r="R221" s="1291"/>
      <c r="S221" s="1291"/>
      <c r="T221" s="1291"/>
      <c r="U221" s="1291"/>
      <c r="V221" s="1291"/>
      <c r="W221" s="1291"/>
      <c r="X221" s="1291"/>
      <c r="Y221" s="1291"/>
      <c r="Z221" s="1291"/>
      <c r="AA221" s="1291"/>
      <c r="AB221" s="1291"/>
      <c r="AC221" s="1291"/>
      <c r="AD221" s="1291"/>
      <c r="AE221" s="1291"/>
      <c r="AF221" s="1291"/>
      <c r="AG221" s="1291"/>
      <c r="AH221" s="1291"/>
      <c r="AI221" s="1291"/>
      <c r="AJ221" s="1291"/>
      <c r="AK221" s="1291"/>
    </row>
    <row r="222" spans="3:37" ht="17.25" customHeight="1" x14ac:dyDescent="0.35">
      <c r="C222" s="1291"/>
      <c r="D222" s="1291"/>
      <c r="E222" s="1291"/>
      <c r="F222" s="1291"/>
      <c r="G222" s="1291"/>
      <c r="H222" s="1291"/>
      <c r="I222" s="1291"/>
      <c r="J222" s="1291"/>
      <c r="K222" s="1291"/>
      <c r="L222" s="1291"/>
      <c r="M222" s="1291"/>
      <c r="N222" s="1291"/>
      <c r="O222" s="1291"/>
      <c r="P222" s="1291"/>
      <c r="Q222" s="1291"/>
      <c r="R222" s="1291"/>
      <c r="S222" s="1291"/>
      <c r="T222" s="1291"/>
      <c r="U222" s="1291"/>
      <c r="V222" s="1291"/>
      <c r="W222" s="1291"/>
      <c r="X222" s="1291"/>
      <c r="Y222" s="1291"/>
      <c r="Z222" s="1291"/>
      <c r="AA222" s="1291"/>
      <c r="AB222" s="1291"/>
      <c r="AC222" s="1291"/>
      <c r="AD222" s="1291"/>
      <c r="AE222" s="1291"/>
      <c r="AF222" s="1291"/>
      <c r="AG222" s="1291"/>
      <c r="AH222" s="1291"/>
      <c r="AI222" s="1291"/>
      <c r="AJ222" s="1291"/>
      <c r="AK222" s="1291"/>
    </row>
    <row r="223" spans="3:37" ht="17.25" customHeight="1" x14ac:dyDescent="0.35">
      <c r="C223" s="1291"/>
      <c r="D223" s="1291"/>
      <c r="E223" s="1291"/>
      <c r="F223" s="1291"/>
      <c r="G223" s="1291"/>
      <c r="H223" s="1291"/>
      <c r="I223" s="1291"/>
      <c r="J223" s="1291"/>
      <c r="K223" s="1291"/>
      <c r="L223" s="1291"/>
      <c r="M223" s="1291"/>
      <c r="N223" s="1291"/>
      <c r="O223" s="1291"/>
      <c r="P223" s="1291"/>
      <c r="Q223" s="1291"/>
      <c r="R223" s="1291"/>
      <c r="S223" s="1291"/>
      <c r="T223" s="1291"/>
      <c r="U223" s="1291"/>
      <c r="V223" s="1291"/>
      <c r="W223" s="1291"/>
      <c r="X223" s="1291"/>
      <c r="Y223" s="1291"/>
      <c r="Z223" s="1291"/>
      <c r="AA223" s="1291"/>
      <c r="AB223" s="1291"/>
      <c r="AC223" s="1291"/>
      <c r="AD223" s="1291"/>
      <c r="AE223" s="1291"/>
      <c r="AF223" s="1291"/>
      <c r="AG223" s="1291"/>
      <c r="AH223" s="1291"/>
      <c r="AI223" s="1291"/>
      <c r="AJ223" s="1291"/>
      <c r="AK223" s="1291"/>
    </row>
    <row r="224" spans="3:37" ht="17.25" customHeight="1" x14ac:dyDescent="0.35">
      <c r="C224" s="1291"/>
      <c r="D224" s="1291"/>
      <c r="E224" s="1291"/>
      <c r="F224" s="1291"/>
      <c r="G224" s="1291"/>
      <c r="H224" s="1291"/>
      <c r="I224" s="1291"/>
      <c r="J224" s="1291"/>
      <c r="K224" s="1291"/>
      <c r="L224" s="1291"/>
      <c r="M224" s="1291"/>
      <c r="N224" s="1291"/>
      <c r="O224" s="1291"/>
      <c r="P224" s="1291"/>
      <c r="Q224" s="1291"/>
      <c r="R224" s="1291"/>
      <c r="S224" s="1291"/>
      <c r="T224" s="1291"/>
      <c r="U224" s="1291"/>
      <c r="V224" s="1291"/>
      <c r="W224" s="1291"/>
      <c r="X224" s="1291"/>
      <c r="Y224" s="1291"/>
      <c r="Z224" s="1291"/>
      <c r="AA224" s="1291"/>
      <c r="AB224" s="1291"/>
      <c r="AC224" s="1291"/>
      <c r="AD224" s="1291"/>
      <c r="AE224" s="1291"/>
      <c r="AF224" s="1291"/>
      <c r="AG224" s="1291"/>
      <c r="AH224" s="1291"/>
      <c r="AI224" s="1291"/>
      <c r="AJ224" s="1291"/>
      <c r="AK224" s="1291"/>
    </row>
    <row r="225" spans="3:37" ht="17.25" customHeight="1" x14ac:dyDescent="0.35">
      <c r="C225" s="1291"/>
      <c r="D225" s="1291"/>
      <c r="E225" s="1291"/>
      <c r="F225" s="1291"/>
      <c r="G225" s="1291"/>
      <c r="H225" s="1291"/>
      <c r="I225" s="1291"/>
      <c r="J225" s="1291"/>
      <c r="K225" s="1291"/>
      <c r="L225" s="1291"/>
      <c r="M225" s="1291"/>
      <c r="N225" s="1291"/>
      <c r="O225" s="1291"/>
      <c r="P225" s="1291"/>
      <c r="Q225" s="1291"/>
      <c r="R225" s="1291"/>
      <c r="S225" s="1291"/>
      <c r="T225" s="1291"/>
      <c r="U225" s="1291"/>
      <c r="V225" s="1291"/>
      <c r="W225" s="1291"/>
      <c r="X225" s="1291"/>
      <c r="Y225" s="1291"/>
      <c r="Z225" s="1291"/>
      <c r="AA225" s="1291"/>
      <c r="AB225" s="1291"/>
      <c r="AC225" s="1291"/>
      <c r="AD225" s="1291"/>
      <c r="AE225" s="1291"/>
      <c r="AF225" s="1291"/>
      <c r="AG225" s="1291"/>
      <c r="AH225" s="1291"/>
      <c r="AI225" s="1291"/>
      <c r="AJ225" s="1291"/>
      <c r="AK225" s="1291"/>
    </row>
    <row r="226" spans="3:37" ht="17.25" customHeight="1" x14ac:dyDescent="0.35">
      <c r="C226" s="1291"/>
      <c r="D226" s="1291"/>
      <c r="E226" s="1291"/>
      <c r="F226" s="1291"/>
      <c r="G226" s="1291"/>
      <c r="H226" s="1291"/>
      <c r="I226" s="1291"/>
      <c r="J226" s="1291"/>
      <c r="K226" s="1291"/>
      <c r="L226" s="1291"/>
      <c r="M226" s="1291"/>
      <c r="N226" s="1291"/>
      <c r="O226" s="1291"/>
      <c r="P226" s="1291"/>
      <c r="Q226" s="1291"/>
      <c r="R226" s="1291"/>
      <c r="S226" s="1291"/>
      <c r="T226" s="1291"/>
      <c r="U226" s="1291"/>
      <c r="V226" s="1291"/>
      <c r="W226" s="1291"/>
      <c r="X226" s="1291"/>
      <c r="Y226" s="1291"/>
      <c r="Z226" s="1291"/>
      <c r="AA226" s="1291"/>
      <c r="AB226" s="1291"/>
      <c r="AC226" s="1291"/>
      <c r="AD226" s="1291"/>
      <c r="AE226" s="1291"/>
      <c r="AF226" s="1291"/>
      <c r="AG226" s="1291"/>
      <c r="AH226" s="1291"/>
      <c r="AI226" s="1291"/>
      <c r="AJ226" s="1291"/>
      <c r="AK226" s="1291"/>
    </row>
    <row r="227" spans="3:37" ht="17.25" customHeight="1" x14ac:dyDescent="0.35">
      <c r="C227" s="1291"/>
      <c r="D227" s="1291"/>
      <c r="E227" s="1291"/>
      <c r="F227" s="1291"/>
      <c r="G227" s="1291"/>
      <c r="H227" s="1291"/>
      <c r="I227" s="1291"/>
      <c r="J227" s="1291"/>
      <c r="K227" s="1291"/>
      <c r="L227" s="1291"/>
      <c r="M227" s="1291"/>
      <c r="N227" s="1291"/>
      <c r="O227" s="1291"/>
      <c r="P227" s="1291"/>
      <c r="Q227" s="1291"/>
      <c r="R227" s="1291"/>
      <c r="S227" s="1291"/>
      <c r="T227" s="1291"/>
      <c r="U227" s="1291"/>
      <c r="V227" s="1291"/>
      <c r="W227" s="1291"/>
      <c r="X227" s="1291"/>
      <c r="Y227" s="1291"/>
      <c r="Z227" s="1291"/>
      <c r="AA227" s="1291"/>
      <c r="AB227" s="1291"/>
      <c r="AC227" s="1291"/>
      <c r="AD227" s="1291"/>
      <c r="AE227" s="1291"/>
      <c r="AF227" s="1291"/>
      <c r="AG227" s="1291"/>
      <c r="AH227" s="1291"/>
      <c r="AI227" s="1291"/>
      <c r="AJ227" s="1291"/>
      <c r="AK227" s="1291"/>
    </row>
    <row r="228" spans="3:37" ht="17.25" customHeight="1" x14ac:dyDescent="0.35">
      <c r="C228" s="1291"/>
      <c r="D228" s="1291"/>
      <c r="E228" s="1291"/>
      <c r="F228" s="1291"/>
      <c r="G228" s="1291"/>
      <c r="H228" s="1291"/>
      <c r="I228" s="1291"/>
      <c r="J228" s="1291"/>
      <c r="K228" s="1291"/>
      <c r="L228" s="1291"/>
      <c r="M228" s="1291"/>
      <c r="N228" s="1291"/>
      <c r="O228" s="1291"/>
      <c r="P228" s="1291"/>
      <c r="Q228" s="1291"/>
      <c r="R228" s="1291"/>
      <c r="S228" s="1291"/>
      <c r="T228" s="1291"/>
      <c r="U228" s="1291"/>
      <c r="V228" s="1291"/>
      <c r="W228" s="1291"/>
      <c r="X228" s="1291"/>
      <c r="Y228" s="1291"/>
      <c r="Z228" s="1291"/>
      <c r="AA228" s="1291"/>
      <c r="AB228" s="1291"/>
      <c r="AC228" s="1291"/>
      <c r="AD228" s="1291"/>
      <c r="AE228" s="1291"/>
      <c r="AF228" s="1291"/>
      <c r="AG228" s="1291"/>
      <c r="AH228" s="1291"/>
      <c r="AI228" s="1291"/>
      <c r="AJ228" s="1291"/>
      <c r="AK228" s="1291"/>
    </row>
    <row r="229" spans="3:37" ht="17.25" customHeight="1" x14ac:dyDescent="0.35">
      <c r="C229" s="1291"/>
      <c r="D229" s="1291"/>
      <c r="E229" s="1291"/>
      <c r="F229" s="1291"/>
      <c r="G229" s="1291"/>
      <c r="H229" s="1291"/>
      <c r="I229" s="1291"/>
      <c r="J229" s="1291"/>
      <c r="K229" s="1291"/>
      <c r="L229" s="1291"/>
      <c r="M229" s="1291"/>
      <c r="N229" s="1291"/>
      <c r="O229" s="1291"/>
      <c r="P229" s="1291"/>
      <c r="Q229" s="1291"/>
      <c r="R229" s="1291"/>
      <c r="S229" s="1291"/>
      <c r="T229" s="1291"/>
      <c r="U229" s="1291"/>
      <c r="V229" s="1291"/>
      <c r="W229" s="1291"/>
      <c r="X229" s="1291"/>
      <c r="Y229" s="1291"/>
      <c r="Z229" s="1291"/>
      <c r="AA229" s="1291"/>
      <c r="AB229" s="1291"/>
      <c r="AC229" s="1291"/>
      <c r="AD229" s="1291"/>
      <c r="AE229" s="1291"/>
      <c r="AF229" s="1291"/>
      <c r="AG229" s="1291"/>
      <c r="AH229" s="1291"/>
      <c r="AI229" s="1291"/>
      <c r="AJ229" s="1291"/>
      <c r="AK229" s="1291"/>
    </row>
    <row r="230" spans="3:37" ht="17.25" customHeight="1" x14ac:dyDescent="0.35">
      <c r="C230" s="1291"/>
      <c r="D230" s="1291"/>
      <c r="E230" s="1291"/>
      <c r="F230" s="1291"/>
      <c r="G230" s="1291"/>
      <c r="H230" s="1291"/>
      <c r="I230" s="1291"/>
      <c r="J230" s="1291"/>
      <c r="K230" s="1291"/>
      <c r="L230" s="1291"/>
      <c r="M230" s="1291"/>
      <c r="N230" s="1291"/>
      <c r="O230" s="1291"/>
      <c r="P230" s="1291"/>
      <c r="Q230" s="1291"/>
      <c r="R230" s="1291"/>
      <c r="S230" s="1291"/>
      <c r="T230" s="1291"/>
      <c r="U230" s="1291"/>
      <c r="V230" s="1291"/>
      <c r="W230" s="1291"/>
      <c r="X230" s="1291"/>
      <c r="Y230" s="1291"/>
      <c r="Z230" s="1291"/>
      <c r="AA230" s="1291"/>
      <c r="AB230" s="1291"/>
      <c r="AC230" s="1291"/>
      <c r="AD230" s="1291"/>
      <c r="AE230" s="1291"/>
      <c r="AF230" s="1291"/>
      <c r="AG230" s="1291"/>
      <c r="AH230" s="1291"/>
      <c r="AI230" s="1291"/>
      <c r="AJ230" s="1291"/>
      <c r="AK230" s="1291"/>
    </row>
    <row r="231" spans="3:37" ht="17.25" customHeight="1" x14ac:dyDescent="0.35">
      <c r="C231" s="1291"/>
      <c r="D231" s="1291"/>
      <c r="E231" s="1291"/>
      <c r="F231" s="1291"/>
      <c r="G231" s="1291"/>
      <c r="H231" s="1291"/>
      <c r="I231" s="1291"/>
      <c r="J231" s="1291"/>
      <c r="K231" s="1291"/>
      <c r="L231" s="1291"/>
      <c r="M231" s="1291"/>
      <c r="N231" s="1291"/>
      <c r="O231" s="1291"/>
      <c r="P231" s="1291"/>
      <c r="Q231" s="1291"/>
      <c r="R231" s="1291"/>
      <c r="S231" s="1291"/>
      <c r="T231" s="1291"/>
      <c r="U231" s="1291"/>
      <c r="V231" s="1291"/>
      <c r="W231" s="1291"/>
      <c r="X231" s="1291"/>
      <c r="Y231" s="1291"/>
      <c r="Z231" s="1291"/>
      <c r="AA231" s="1291"/>
      <c r="AB231" s="1291"/>
      <c r="AC231" s="1291"/>
      <c r="AD231" s="1291"/>
      <c r="AE231" s="1291"/>
      <c r="AF231" s="1291"/>
      <c r="AG231" s="1291"/>
      <c r="AH231" s="1291"/>
      <c r="AI231" s="1291"/>
      <c r="AJ231" s="1291"/>
      <c r="AK231" s="1291"/>
    </row>
    <row r="232" spans="3:37" ht="17.25" customHeight="1" x14ac:dyDescent="0.35">
      <c r="C232" s="1291"/>
      <c r="D232" s="1291"/>
      <c r="E232" s="1291"/>
      <c r="F232" s="1291"/>
      <c r="G232" s="1291"/>
      <c r="H232" s="1291"/>
      <c r="I232" s="1291"/>
      <c r="J232" s="1291"/>
      <c r="K232" s="1291"/>
      <c r="L232" s="1291"/>
      <c r="M232" s="1291"/>
      <c r="N232" s="1291"/>
      <c r="O232" s="1291"/>
      <c r="P232" s="1291"/>
      <c r="Q232" s="1291"/>
      <c r="R232" s="1291"/>
      <c r="S232" s="1291"/>
      <c r="T232" s="1291"/>
      <c r="U232" s="1291"/>
      <c r="V232" s="1291"/>
      <c r="W232" s="1291"/>
      <c r="X232" s="1291"/>
      <c r="Y232" s="1291"/>
      <c r="Z232" s="1291"/>
      <c r="AA232" s="1291"/>
      <c r="AB232" s="1291"/>
      <c r="AC232" s="1291"/>
      <c r="AD232" s="1291"/>
      <c r="AE232" s="1291"/>
      <c r="AF232" s="1291"/>
      <c r="AG232" s="1291"/>
      <c r="AH232" s="1291"/>
      <c r="AI232" s="1291"/>
      <c r="AJ232" s="1291"/>
      <c r="AK232" s="1291"/>
    </row>
    <row r="233" spans="3:37" ht="17.25" customHeight="1" x14ac:dyDescent="0.35">
      <c r="C233" s="1291"/>
      <c r="D233" s="1291"/>
      <c r="E233" s="1291"/>
      <c r="F233" s="1291"/>
      <c r="G233" s="1291"/>
      <c r="H233" s="1291"/>
      <c r="I233" s="1291"/>
      <c r="J233" s="1291"/>
      <c r="K233" s="1291"/>
      <c r="L233" s="1291"/>
      <c r="M233" s="1291"/>
      <c r="N233" s="1291"/>
      <c r="O233" s="1291"/>
      <c r="P233" s="1291"/>
      <c r="Q233" s="1291"/>
      <c r="R233" s="1291"/>
      <c r="S233" s="1291"/>
      <c r="T233" s="1291"/>
      <c r="U233" s="1291"/>
      <c r="V233" s="1291"/>
      <c r="W233" s="1291"/>
      <c r="X233" s="1291"/>
      <c r="Y233" s="1291"/>
      <c r="Z233" s="1291"/>
      <c r="AA233" s="1291"/>
      <c r="AB233" s="1291"/>
      <c r="AC233" s="1291"/>
      <c r="AD233" s="1291"/>
      <c r="AE233" s="1291"/>
      <c r="AF233" s="1291"/>
      <c r="AG233" s="1291"/>
      <c r="AH233" s="1291"/>
      <c r="AI233" s="1291"/>
      <c r="AJ233" s="1291"/>
      <c r="AK233" s="1291"/>
    </row>
    <row r="234" spans="3:37" ht="17.25" customHeight="1" x14ac:dyDescent="0.35">
      <c r="C234" s="1291"/>
      <c r="D234" s="1291"/>
      <c r="E234" s="1291"/>
      <c r="F234" s="1291"/>
      <c r="G234" s="1291"/>
      <c r="H234" s="1291"/>
      <c r="I234" s="1291"/>
      <c r="J234" s="1291"/>
      <c r="K234" s="1291"/>
      <c r="L234" s="1291"/>
      <c r="M234" s="1291"/>
      <c r="N234" s="1291"/>
      <c r="O234" s="1291"/>
      <c r="P234" s="1291"/>
      <c r="Q234" s="1291"/>
      <c r="R234" s="1291"/>
      <c r="S234" s="1291"/>
      <c r="T234" s="1291"/>
      <c r="U234" s="1291"/>
      <c r="V234" s="1291"/>
      <c r="W234" s="1291"/>
      <c r="X234" s="1291"/>
      <c r="Y234" s="1291"/>
      <c r="Z234" s="1291"/>
      <c r="AA234" s="1291"/>
      <c r="AB234" s="1291"/>
      <c r="AC234" s="1291"/>
      <c r="AD234" s="1291"/>
      <c r="AE234" s="1291"/>
      <c r="AF234" s="1291"/>
      <c r="AG234" s="1291"/>
      <c r="AH234" s="1291"/>
      <c r="AI234" s="1291"/>
      <c r="AJ234" s="1291"/>
      <c r="AK234" s="1291"/>
    </row>
    <row r="235" spans="3:37" ht="17.25" customHeight="1" x14ac:dyDescent="0.35">
      <c r="C235" s="1291"/>
      <c r="D235" s="1291"/>
      <c r="E235" s="1291"/>
      <c r="F235" s="1291"/>
      <c r="G235" s="1291"/>
      <c r="H235" s="1291"/>
      <c r="I235" s="1291"/>
      <c r="J235" s="1291"/>
      <c r="K235" s="1291"/>
      <c r="L235" s="1291"/>
      <c r="M235" s="1291"/>
      <c r="N235" s="1291"/>
      <c r="O235" s="1291"/>
      <c r="P235" s="1291"/>
      <c r="Q235" s="1291"/>
      <c r="R235" s="1291"/>
      <c r="S235" s="1291"/>
      <c r="T235" s="1291"/>
      <c r="U235" s="1291"/>
      <c r="V235" s="1291"/>
      <c r="W235" s="1291"/>
      <c r="X235" s="1291"/>
      <c r="Y235" s="1291"/>
      <c r="Z235" s="1291"/>
      <c r="AA235" s="1291"/>
      <c r="AB235" s="1291"/>
      <c r="AC235" s="1291"/>
      <c r="AD235" s="1291"/>
      <c r="AE235" s="1291"/>
      <c r="AF235" s="1291"/>
      <c r="AG235" s="1291"/>
      <c r="AH235" s="1291"/>
      <c r="AI235" s="1291"/>
      <c r="AJ235" s="1291"/>
      <c r="AK235" s="1291"/>
    </row>
    <row r="236" spans="3:37" ht="17.25" customHeight="1" x14ac:dyDescent="0.35">
      <c r="C236" s="1291"/>
      <c r="D236" s="1291"/>
      <c r="E236" s="1291"/>
      <c r="F236" s="1291"/>
      <c r="G236" s="1291"/>
      <c r="H236" s="1291"/>
      <c r="I236" s="1291"/>
      <c r="J236" s="1291"/>
      <c r="K236" s="1291"/>
      <c r="L236" s="1291"/>
      <c r="M236" s="1291"/>
      <c r="N236" s="1291"/>
      <c r="O236" s="1291"/>
      <c r="P236" s="1291"/>
      <c r="Q236" s="1291"/>
      <c r="R236" s="1291"/>
      <c r="S236" s="1291"/>
      <c r="T236" s="1291"/>
      <c r="U236" s="1291"/>
      <c r="V236" s="1291"/>
      <c r="W236" s="1291"/>
      <c r="X236" s="1291"/>
      <c r="Y236" s="1291"/>
      <c r="Z236" s="1291"/>
      <c r="AA236" s="1291"/>
      <c r="AB236" s="1291"/>
      <c r="AC236" s="1291"/>
      <c r="AD236" s="1291"/>
      <c r="AE236" s="1291"/>
      <c r="AF236" s="1291"/>
      <c r="AG236" s="1291"/>
      <c r="AH236" s="1291"/>
      <c r="AI236" s="1291"/>
      <c r="AJ236" s="1291"/>
      <c r="AK236" s="1291"/>
    </row>
    <row r="237" spans="3:37" ht="17.25" customHeight="1" x14ac:dyDescent="0.35">
      <c r="C237" s="1291"/>
      <c r="D237" s="1291"/>
      <c r="E237" s="1291"/>
      <c r="F237" s="1291"/>
      <c r="G237" s="1291"/>
      <c r="H237" s="1291"/>
      <c r="I237" s="1291"/>
      <c r="J237" s="1291"/>
      <c r="K237" s="1291"/>
      <c r="L237" s="1291"/>
      <c r="M237" s="1291"/>
      <c r="N237" s="1291"/>
      <c r="O237" s="1291"/>
      <c r="P237" s="1291"/>
      <c r="Q237" s="1291"/>
      <c r="R237" s="1291"/>
      <c r="S237" s="1291"/>
      <c r="T237" s="1291"/>
      <c r="U237" s="1291"/>
      <c r="V237" s="1291"/>
      <c r="W237" s="1291"/>
      <c r="X237" s="1291"/>
      <c r="Y237" s="1291"/>
      <c r="Z237" s="1291"/>
      <c r="AA237" s="1291"/>
      <c r="AB237" s="1291"/>
      <c r="AC237" s="1291"/>
      <c r="AD237" s="1291"/>
      <c r="AE237" s="1291"/>
      <c r="AF237" s="1291"/>
      <c r="AG237" s="1291"/>
      <c r="AH237" s="1291"/>
      <c r="AI237" s="1291"/>
      <c r="AJ237" s="1291"/>
      <c r="AK237" s="1291"/>
    </row>
    <row r="238" spans="3:37" ht="17.25" customHeight="1" x14ac:dyDescent="0.35">
      <c r="C238" s="1291"/>
      <c r="D238" s="1291"/>
      <c r="E238" s="1291"/>
      <c r="F238" s="1291"/>
      <c r="G238" s="1291"/>
      <c r="H238" s="1291"/>
      <c r="I238" s="1291"/>
      <c r="J238" s="1291"/>
      <c r="K238" s="1291"/>
      <c r="L238" s="1291"/>
      <c r="M238" s="1291"/>
      <c r="N238" s="1291"/>
      <c r="O238" s="1291"/>
      <c r="P238" s="1291"/>
      <c r="Q238" s="1291"/>
      <c r="R238" s="1291"/>
      <c r="S238" s="1291"/>
      <c r="T238" s="1291"/>
      <c r="U238" s="1291"/>
      <c r="V238" s="1291"/>
      <c r="W238" s="1291"/>
      <c r="X238" s="1291"/>
      <c r="Y238" s="1291"/>
      <c r="Z238" s="1291"/>
      <c r="AA238" s="1291"/>
      <c r="AB238" s="1291"/>
      <c r="AC238" s="1291"/>
      <c r="AD238" s="1291"/>
      <c r="AE238" s="1291"/>
      <c r="AF238" s="1291"/>
      <c r="AG238" s="1291"/>
      <c r="AH238" s="1291"/>
      <c r="AI238" s="1291"/>
      <c r="AJ238" s="1291"/>
      <c r="AK238" s="1291"/>
    </row>
    <row r="239" spans="3:37" ht="17.25" customHeight="1" x14ac:dyDescent="0.35">
      <c r="C239" s="1291"/>
      <c r="D239" s="1291"/>
      <c r="E239" s="1291"/>
      <c r="F239" s="1291"/>
      <c r="G239" s="1291"/>
      <c r="H239" s="1291"/>
      <c r="I239" s="1291"/>
      <c r="J239" s="1291"/>
      <c r="K239" s="1291"/>
      <c r="L239" s="1291"/>
      <c r="M239" s="1291"/>
      <c r="N239" s="1291"/>
      <c r="O239" s="1291"/>
      <c r="P239" s="1291"/>
      <c r="Q239" s="1291"/>
      <c r="R239" s="1291"/>
      <c r="S239" s="1291"/>
      <c r="T239" s="1291"/>
      <c r="U239" s="1291"/>
      <c r="V239" s="1291"/>
      <c r="W239" s="1291"/>
      <c r="X239" s="1291"/>
      <c r="Y239" s="1291"/>
      <c r="Z239" s="1291"/>
      <c r="AA239" s="1291"/>
      <c r="AB239" s="1291"/>
      <c r="AC239" s="1291"/>
      <c r="AD239" s="1291"/>
      <c r="AE239" s="1291"/>
      <c r="AF239" s="1291"/>
      <c r="AG239" s="1291"/>
      <c r="AH239" s="1291"/>
      <c r="AI239" s="1291"/>
      <c r="AJ239" s="1291"/>
      <c r="AK239" s="1291"/>
    </row>
    <row r="240" spans="3:37" ht="17.25" customHeight="1" x14ac:dyDescent="0.35">
      <c r="C240" s="1291"/>
      <c r="D240" s="1291"/>
      <c r="E240" s="1291"/>
      <c r="F240" s="1291"/>
      <c r="G240" s="1291"/>
      <c r="H240" s="1291"/>
      <c r="I240" s="1291"/>
      <c r="J240" s="1291"/>
      <c r="K240" s="1291"/>
      <c r="L240" s="1291"/>
      <c r="M240" s="1291"/>
      <c r="N240" s="1291"/>
      <c r="O240" s="1291"/>
      <c r="P240" s="1291"/>
      <c r="Q240" s="1291"/>
      <c r="R240" s="1291"/>
      <c r="S240" s="1291"/>
      <c r="T240" s="1291"/>
      <c r="U240" s="1291"/>
      <c r="V240" s="1291"/>
      <c r="W240" s="1291"/>
      <c r="X240" s="1291"/>
      <c r="Y240" s="1291"/>
      <c r="Z240" s="1291"/>
      <c r="AA240" s="1291"/>
      <c r="AB240" s="1291"/>
      <c r="AC240" s="1291"/>
      <c r="AD240" s="1291"/>
      <c r="AE240" s="1291"/>
      <c r="AF240" s="1291"/>
      <c r="AG240" s="1291"/>
      <c r="AH240" s="1291"/>
      <c r="AI240" s="1291"/>
      <c r="AJ240" s="1291"/>
      <c r="AK240" s="1291"/>
    </row>
    <row r="241" spans="3:37" ht="17.25" customHeight="1" x14ac:dyDescent="0.35">
      <c r="C241" s="1291"/>
      <c r="D241" s="1291"/>
      <c r="E241" s="1291"/>
      <c r="F241" s="1291"/>
      <c r="G241" s="1291"/>
      <c r="H241" s="1291"/>
      <c r="I241" s="1291"/>
      <c r="J241" s="1291"/>
      <c r="K241" s="1291"/>
      <c r="L241" s="1291"/>
      <c r="M241" s="1291"/>
      <c r="N241" s="1291"/>
      <c r="O241" s="1291"/>
      <c r="P241" s="1291"/>
      <c r="Q241" s="1291"/>
      <c r="R241" s="1291"/>
      <c r="S241" s="1291"/>
      <c r="T241" s="1291"/>
      <c r="U241" s="1291"/>
      <c r="V241" s="1291"/>
      <c r="W241" s="1291"/>
      <c r="X241" s="1291"/>
      <c r="Y241" s="1291"/>
      <c r="Z241" s="1291"/>
      <c r="AA241" s="1291"/>
      <c r="AB241" s="1291"/>
      <c r="AC241" s="1291"/>
      <c r="AD241" s="1291"/>
      <c r="AE241" s="1291"/>
      <c r="AF241" s="1291"/>
      <c r="AG241" s="1291"/>
      <c r="AH241" s="1291"/>
      <c r="AI241" s="1291"/>
      <c r="AJ241" s="1291"/>
      <c r="AK241" s="1291"/>
    </row>
    <row r="242" spans="3:37" ht="17.25" customHeight="1" x14ac:dyDescent="0.35">
      <c r="C242" s="1291"/>
      <c r="D242" s="1291"/>
      <c r="E242" s="1291"/>
      <c r="F242" s="1291"/>
      <c r="G242" s="1291"/>
      <c r="H242" s="1291"/>
      <c r="I242" s="1291"/>
      <c r="J242" s="1291"/>
      <c r="K242" s="1291"/>
      <c r="L242" s="1291"/>
      <c r="M242" s="1291"/>
      <c r="N242" s="1291"/>
      <c r="O242" s="1291"/>
      <c r="P242" s="1291"/>
      <c r="Q242" s="1291"/>
      <c r="R242" s="1291"/>
      <c r="S242" s="1291"/>
      <c r="T242" s="1291"/>
      <c r="U242" s="1291"/>
      <c r="V242" s="1291"/>
      <c r="W242" s="1291"/>
      <c r="X242" s="1291"/>
      <c r="Y242" s="1291"/>
      <c r="Z242" s="1291"/>
      <c r="AA242" s="1291"/>
      <c r="AB242" s="1291"/>
      <c r="AC242" s="1291"/>
      <c r="AD242" s="1291"/>
      <c r="AE242" s="1291"/>
      <c r="AF242" s="1291"/>
      <c r="AG242" s="1291"/>
      <c r="AH242" s="1291"/>
      <c r="AI242" s="1291"/>
      <c r="AJ242" s="1291"/>
      <c r="AK242" s="1291"/>
    </row>
    <row r="243" spans="3:37" ht="17.25" customHeight="1" x14ac:dyDescent="0.35">
      <c r="C243" s="1291"/>
      <c r="D243" s="1291"/>
      <c r="E243" s="1291"/>
      <c r="F243" s="1291"/>
      <c r="G243" s="1291"/>
      <c r="H243" s="1291"/>
      <c r="I243" s="1291"/>
      <c r="J243" s="1291"/>
      <c r="K243" s="1291"/>
      <c r="L243" s="1291"/>
      <c r="M243" s="1291"/>
      <c r="N243" s="1291"/>
      <c r="O243" s="1291"/>
      <c r="P243" s="1291"/>
      <c r="Q243" s="1291"/>
      <c r="R243" s="1291"/>
      <c r="S243" s="1291"/>
      <c r="T243" s="1291"/>
      <c r="U243" s="1291"/>
      <c r="V243" s="1291"/>
      <c r="W243" s="1291"/>
      <c r="X243" s="1291"/>
      <c r="Y243" s="1291"/>
      <c r="Z243" s="1291"/>
      <c r="AA243" s="1291"/>
      <c r="AB243" s="1291"/>
      <c r="AC243" s="1291"/>
      <c r="AD243" s="1291"/>
      <c r="AE243" s="1291"/>
      <c r="AF243" s="1291"/>
      <c r="AG243" s="1291"/>
      <c r="AH243" s="1291"/>
      <c r="AI243" s="1291"/>
      <c r="AJ243" s="1291"/>
      <c r="AK243" s="1291"/>
    </row>
    <row r="244" spans="3:37" ht="17.25" customHeight="1" x14ac:dyDescent="0.35">
      <c r="C244" s="1291"/>
      <c r="D244" s="1291"/>
      <c r="E244" s="1291"/>
      <c r="F244" s="1291"/>
      <c r="G244" s="1291"/>
      <c r="H244" s="1291"/>
      <c r="I244" s="1291"/>
      <c r="J244" s="1291"/>
      <c r="K244" s="1291"/>
      <c r="L244" s="1291"/>
      <c r="M244" s="1291"/>
      <c r="N244" s="1291"/>
      <c r="O244" s="1291"/>
      <c r="P244" s="1291"/>
      <c r="Q244" s="1291"/>
      <c r="R244" s="1291"/>
      <c r="S244" s="1291"/>
      <c r="T244" s="1291"/>
      <c r="U244" s="1291"/>
      <c r="V244" s="1291"/>
      <c r="W244" s="1291"/>
      <c r="X244" s="1291"/>
      <c r="Y244" s="1291"/>
      <c r="Z244" s="1291"/>
      <c r="AA244" s="1291"/>
      <c r="AB244" s="1291"/>
      <c r="AC244" s="1291"/>
      <c r="AD244" s="1291"/>
      <c r="AE244" s="1291"/>
      <c r="AF244" s="1291"/>
      <c r="AG244" s="1291"/>
      <c r="AH244" s="1291"/>
      <c r="AI244" s="1291"/>
      <c r="AJ244" s="1291"/>
      <c r="AK244" s="1291"/>
    </row>
    <row r="245" spans="3:37" ht="17.25" customHeight="1" x14ac:dyDescent="0.35">
      <c r="C245" s="1291"/>
      <c r="D245" s="1291"/>
      <c r="E245" s="1291"/>
      <c r="F245" s="1291"/>
      <c r="G245" s="1291"/>
      <c r="H245" s="1291"/>
      <c r="I245" s="1291"/>
      <c r="J245" s="1291"/>
      <c r="K245" s="1291"/>
      <c r="L245" s="1291"/>
      <c r="M245" s="1291"/>
      <c r="N245" s="1291"/>
      <c r="O245" s="1291"/>
      <c r="P245" s="1291"/>
      <c r="Q245" s="1291"/>
      <c r="R245" s="1291"/>
      <c r="S245" s="1291"/>
      <c r="T245" s="1291"/>
      <c r="U245" s="1291"/>
      <c r="V245" s="1291"/>
      <c r="W245" s="1291"/>
      <c r="X245" s="1291"/>
      <c r="Y245" s="1291"/>
      <c r="Z245" s="1291"/>
      <c r="AA245" s="1291"/>
      <c r="AB245" s="1291"/>
      <c r="AC245" s="1291"/>
      <c r="AD245" s="1291"/>
      <c r="AE245" s="1291"/>
      <c r="AF245" s="1291"/>
      <c r="AG245" s="1291"/>
      <c r="AH245" s="1291"/>
      <c r="AI245" s="1291"/>
      <c r="AJ245" s="1291"/>
      <c r="AK245" s="1291"/>
    </row>
    <row r="246" spans="3:37" ht="17.25" customHeight="1" x14ac:dyDescent="0.35">
      <c r="C246" s="1291"/>
      <c r="D246" s="1291"/>
      <c r="E246" s="1291"/>
      <c r="F246" s="1291"/>
      <c r="G246" s="1291"/>
      <c r="H246" s="1291"/>
      <c r="I246" s="1291"/>
      <c r="J246" s="1291"/>
      <c r="K246" s="1291"/>
      <c r="L246" s="1291"/>
      <c r="M246" s="1291"/>
      <c r="N246" s="1291"/>
      <c r="O246" s="1291"/>
      <c r="P246" s="1291"/>
      <c r="Q246" s="1291"/>
      <c r="R246" s="1291"/>
      <c r="S246" s="1291"/>
      <c r="T246" s="1291"/>
      <c r="U246" s="1291"/>
      <c r="V246" s="1291"/>
      <c r="W246" s="1291"/>
      <c r="X246" s="1291"/>
      <c r="Y246" s="1291"/>
      <c r="Z246" s="1291"/>
      <c r="AA246" s="1291"/>
      <c r="AB246" s="1291"/>
      <c r="AC246" s="1291"/>
      <c r="AD246" s="1291"/>
      <c r="AE246" s="1291"/>
      <c r="AF246" s="1291"/>
      <c r="AG246" s="1291"/>
      <c r="AH246" s="1291"/>
      <c r="AI246" s="1291"/>
      <c r="AJ246" s="1291"/>
      <c r="AK246" s="1291"/>
    </row>
    <row r="247" spans="3:37" ht="17.25" customHeight="1" x14ac:dyDescent="0.35">
      <c r="C247" s="1291"/>
      <c r="D247" s="1291"/>
      <c r="E247" s="1291"/>
      <c r="F247" s="1291"/>
      <c r="G247" s="1291"/>
      <c r="H247" s="1291"/>
      <c r="I247" s="1291"/>
      <c r="J247" s="1291"/>
      <c r="K247" s="1291"/>
      <c r="L247" s="1291"/>
      <c r="M247" s="1291"/>
      <c r="N247" s="1291"/>
      <c r="O247" s="1291"/>
      <c r="P247" s="1291"/>
      <c r="Q247" s="1291"/>
      <c r="R247" s="1291"/>
      <c r="S247" s="1291"/>
      <c r="T247" s="1291"/>
      <c r="U247" s="1291"/>
      <c r="V247" s="1291"/>
      <c r="W247" s="1291"/>
      <c r="X247" s="1291"/>
      <c r="Y247" s="1291"/>
      <c r="Z247" s="1291"/>
      <c r="AA247" s="1291"/>
      <c r="AB247" s="1291"/>
      <c r="AC247" s="1291"/>
      <c r="AD247" s="1291"/>
      <c r="AE247" s="1291"/>
      <c r="AF247" s="1291"/>
      <c r="AG247" s="1291"/>
      <c r="AH247" s="1291"/>
      <c r="AI247" s="1291"/>
      <c r="AJ247" s="1291"/>
      <c r="AK247" s="1291"/>
    </row>
    <row r="248" spans="3:37" ht="17.25" customHeight="1" x14ac:dyDescent="0.35">
      <c r="C248" s="1291"/>
      <c r="D248" s="1291"/>
      <c r="E248" s="1291"/>
      <c r="F248" s="1291"/>
      <c r="G248" s="1291"/>
      <c r="H248" s="1291"/>
      <c r="I248" s="1291"/>
      <c r="J248" s="1291"/>
      <c r="K248" s="1291"/>
      <c r="L248" s="1291"/>
      <c r="M248" s="1291"/>
      <c r="N248" s="1291"/>
      <c r="O248" s="1291"/>
      <c r="P248" s="1291"/>
      <c r="Q248" s="1291"/>
      <c r="R248" s="1291"/>
      <c r="S248" s="1291"/>
      <c r="T248" s="1291"/>
      <c r="U248" s="1291"/>
      <c r="V248" s="1291"/>
      <c r="W248" s="1291"/>
      <c r="X248" s="1291"/>
      <c r="Y248" s="1291"/>
      <c r="Z248" s="1291"/>
      <c r="AA248" s="1291"/>
      <c r="AB248" s="1291"/>
      <c r="AC248" s="1291"/>
      <c r="AD248" s="1291"/>
      <c r="AE248" s="1291"/>
      <c r="AF248" s="1291"/>
      <c r="AG248" s="1291"/>
      <c r="AH248" s="1291"/>
      <c r="AI248" s="1291"/>
      <c r="AJ248" s="1291"/>
      <c r="AK248" s="1291"/>
    </row>
    <row r="249" spans="3:37" ht="17.25" customHeight="1" x14ac:dyDescent="0.35">
      <c r="C249" s="1291"/>
      <c r="D249" s="1291"/>
      <c r="E249" s="1291"/>
      <c r="F249" s="1291"/>
      <c r="G249" s="1291"/>
      <c r="H249" s="1291"/>
      <c r="I249" s="1291"/>
      <c r="J249" s="1291"/>
      <c r="K249" s="1291"/>
      <c r="L249" s="1291"/>
      <c r="M249" s="1291"/>
      <c r="N249" s="1291"/>
      <c r="O249" s="1291"/>
      <c r="P249" s="1291"/>
      <c r="Q249" s="1291"/>
      <c r="R249" s="1291"/>
      <c r="S249" s="1291"/>
      <c r="T249" s="1291"/>
      <c r="U249" s="1291"/>
      <c r="V249" s="1291"/>
      <c r="W249" s="1291"/>
      <c r="X249" s="1291"/>
      <c r="Y249" s="1291"/>
      <c r="Z249" s="1291"/>
      <c r="AA249" s="1291"/>
      <c r="AB249" s="1291"/>
      <c r="AC249" s="1291"/>
      <c r="AD249" s="1291"/>
      <c r="AE249" s="1291"/>
      <c r="AF249" s="1291"/>
      <c r="AG249" s="1291"/>
      <c r="AH249" s="1291"/>
      <c r="AI249" s="1291"/>
      <c r="AJ249" s="1291"/>
      <c r="AK249" s="1291"/>
    </row>
    <row r="250" spans="3:37" ht="17.25" customHeight="1" x14ac:dyDescent="0.35">
      <c r="C250" s="1291"/>
      <c r="D250" s="1291"/>
      <c r="E250" s="1291"/>
      <c r="F250" s="1291"/>
      <c r="G250" s="1291"/>
      <c r="H250" s="1291"/>
      <c r="I250" s="1291"/>
      <c r="J250" s="1291"/>
      <c r="K250" s="1291"/>
      <c r="L250" s="1291"/>
      <c r="M250" s="1291"/>
      <c r="N250" s="1291"/>
      <c r="O250" s="1291"/>
      <c r="P250" s="1291"/>
      <c r="Q250" s="1291"/>
      <c r="R250" s="1291"/>
      <c r="S250" s="1291"/>
      <c r="T250" s="1291"/>
      <c r="U250" s="1291"/>
      <c r="V250" s="1291"/>
      <c r="W250" s="1291"/>
      <c r="X250" s="1291"/>
      <c r="Y250" s="1291"/>
      <c r="Z250" s="1291"/>
      <c r="AA250" s="1291"/>
      <c r="AB250" s="1291"/>
      <c r="AC250" s="1291"/>
      <c r="AD250" s="1291"/>
      <c r="AE250" s="1291"/>
      <c r="AF250" s="1291"/>
      <c r="AG250" s="1291"/>
      <c r="AH250" s="1291"/>
      <c r="AI250" s="1291"/>
      <c r="AJ250" s="1291"/>
      <c r="AK250" s="1291"/>
    </row>
    <row r="251" spans="3:37" ht="17.25" customHeight="1" x14ac:dyDescent="0.35">
      <c r="C251" s="1291"/>
      <c r="D251" s="1291"/>
      <c r="E251" s="1291"/>
      <c r="F251" s="1291"/>
      <c r="G251" s="1291"/>
      <c r="H251" s="1291"/>
      <c r="I251" s="1291"/>
      <c r="J251" s="1291"/>
      <c r="K251" s="1291"/>
      <c r="L251" s="1291"/>
      <c r="M251" s="1291"/>
      <c r="N251" s="1291"/>
      <c r="O251" s="1291"/>
      <c r="P251" s="1291"/>
      <c r="Q251" s="1291"/>
      <c r="R251" s="1291"/>
      <c r="S251" s="1291"/>
      <c r="T251" s="1291"/>
      <c r="U251" s="1291"/>
      <c r="V251" s="1291"/>
      <c r="W251" s="1291"/>
      <c r="X251" s="1291"/>
      <c r="Y251" s="1291"/>
      <c r="Z251" s="1291"/>
      <c r="AA251" s="1291"/>
      <c r="AB251" s="1291"/>
      <c r="AC251" s="1291"/>
      <c r="AD251" s="1291"/>
      <c r="AE251" s="1291"/>
      <c r="AF251" s="1291"/>
      <c r="AG251" s="1291"/>
      <c r="AH251" s="1291"/>
      <c r="AI251" s="1291"/>
      <c r="AJ251" s="1291"/>
      <c r="AK251" s="1291"/>
    </row>
    <row r="252" spans="3:37" ht="17.25" customHeight="1" x14ac:dyDescent="0.35">
      <c r="C252" s="1291"/>
      <c r="D252" s="1291"/>
      <c r="E252" s="1291"/>
      <c r="F252" s="1291"/>
      <c r="G252" s="1291"/>
      <c r="H252" s="1291"/>
      <c r="I252" s="1291"/>
      <c r="J252" s="1291"/>
      <c r="K252" s="1291"/>
      <c r="L252" s="1291"/>
      <c r="M252" s="1291"/>
      <c r="N252" s="1291"/>
      <c r="O252" s="1291"/>
      <c r="P252" s="1291"/>
      <c r="Q252" s="1291"/>
      <c r="R252" s="1291"/>
      <c r="S252" s="1291"/>
      <c r="T252" s="1291"/>
      <c r="U252" s="1291"/>
      <c r="V252" s="1291"/>
      <c r="W252" s="1291"/>
      <c r="X252" s="1291"/>
      <c r="Y252" s="1291"/>
      <c r="Z252" s="1291"/>
      <c r="AA252" s="1291"/>
      <c r="AB252" s="1291"/>
      <c r="AC252" s="1291"/>
      <c r="AD252" s="1291"/>
      <c r="AE252" s="1291"/>
      <c r="AF252" s="1291"/>
      <c r="AG252" s="1291"/>
      <c r="AH252" s="1291"/>
      <c r="AI252" s="1291"/>
      <c r="AJ252" s="1291"/>
      <c r="AK252" s="1291"/>
    </row>
    <row r="253" spans="3:37" ht="17.25" customHeight="1" x14ac:dyDescent="0.35">
      <c r="C253" s="1291"/>
      <c r="D253" s="1291"/>
      <c r="E253" s="1291"/>
      <c r="F253" s="1291"/>
      <c r="G253" s="1291"/>
      <c r="H253" s="1291"/>
      <c r="I253" s="1291"/>
      <c r="J253" s="1291"/>
      <c r="K253" s="1291"/>
      <c r="L253" s="1291"/>
      <c r="M253" s="1291"/>
      <c r="N253" s="1291"/>
      <c r="O253" s="1291"/>
      <c r="P253" s="1291"/>
      <c r="Q253" s="1291"/>
      <c r="R253" s="1291"/>
      <c r="S253" s="1291"/>
      <c r="T253" s="1291"/>
      <c r="U253" s="1291"/>
      <c r="V253" s="1291"/>
      <c r="W253" s="1291"/>
      <c r="X253" s="1291"/>
      <c r="Y253" s="1291"/>
      <c r="Z253" s="1291"/>
      <c r="AA253" s="1291"/>
      <c r="AB253" s="1291"/>
      <c r="AC253" s="1291"/>
      <c r="AD253" s="1291"/>
      <c r="AE253" s="1291"/>
      <c r="AF253" s="1291"/>
      <c r="AG253" s="1291"/>
      <c r="AH253" s="1291"/>
      <c r="AI253" s="1291"/>
      <c r="AJ253" s="1291"/>
      <c r="AK253" s="1291"/>
    </row>
    <row r="254" spans="3:37" ht="17.25" customHeight="1" x14ac:dyDescent="0.35">
      <c r="C254" s="1291"/>
      <c r="D254" s="1291"/>
      <c r="E254" s="1291"/>
      <c r="F254" s="1291"/>
      <c r="G254" s="1291"/>
      <c r="H254" s="1291"/>
      <c r="I254" s="1291"/>
      <c r="J254" s="1291"/>
      <c r="K254" s="1291"/>
      <c r="L254" s="1291"/>
      <c r="M254" s="1291"/>
      <c r="N254" s="1291"/>
      <c r="O254" s="1291"/>
      <c r="P254" s="1291"/>
      <c r="Q254" s="1291"/>
      <c r="R254" s="1291"/>
      <c r="S254" s="1291"/>
      <c r="T254" s="1291"/>
      <c r="U254" s="1291"/>
      <c r="V254" s="1291"/>
      <c r="W254" s="1291"/>
      <c r="X254" s="1291"/>
      <c r="Y254" s="1291"/>
      <c r="Z254" s="1291"/>
      <c r="AA254" s="1291"/>
      <c r="AB254" s="1291"/>
      <c r="AC254" s="1291"/>
      <c r="AD254" s="1291"/>
      <c r="AE254" s="1291"/>
      <c r="AF254" s="1291"/>
      <c r="AG254" s="1291"/>
      <c r="AH254" s="1291"/>
      <c r="AI254" s="1291"/>
      <c r="AJ254" s="1291"/>
      <c r="AK254" s="1291"/>
    </row>
    <row r="255" spans="3:37" ht="17.25" customHeight="1" x14ac:dyDescent="0.35">
      <c r="C255" s="1291"/>
      <c r="D255" s="1291"/>
      <c r="E255" s="1291"/>
      <c r="F255" s="1291"/>
      <c r="G255" s="1291"/>
      <c r="H255" s="1291"/>
      <c r="I255" s="1291"/>
      <c r="J255" s="1291"/>
      <c r="K255" s="1291"/>
      <c r="L255" s="1291"/>
      <c r="M255" s="1291"/>
      <c r="N255" s="1291"/>
      <c r="O255" s="1291"/>
      <c r="P255" s="1291"/>
      <c r="Q255" s="1291"/>
      <c r="R255" s="1291"/>
      <c r="S255" s="1291"/>
      <c r="T255" s="1291"/>
      <c r="U255" s="1291"/>
      <c r="V255" s="1291"/>
      <c r="W255" s="1291"/>
      <c r="X255" s="1291"/>
      <c r="Y255" s="1291"/>
      <c r="Z255" s="1291"/>
      <c r="AA255" s="1291"/>
      <c r="AB255" s="1291"/>
      <c r="AC255" s="1291"/>
      <c r="AD255" s="1291"/>
      <c r="AE255" s="1291"/>
      <c r="AF255" s="1291"/>
      <c r="AG255" s="1291"/>
      <c r="AH255" s="1291"/>
      <c r="AI255" s="1291"/>
      <c r="AJ255" s="1291"/>
      <c r="AK255" s="1291"/>
    </row>
    <row r="256" spans="3:37" ht="17.25" customHeight="1" x14ac:dyDescent="0.35">
      <c r="C256" s="1291"/>
      <c r="D256" s="1291"/>
      <c r="E256" s="1291"/>
      <c r="F256" s="1291"/>
      <c r="G256" s="1291"/>
      <c r="H256" s="1291"/>
      <c r="I256" s="1291"/>
      <c r="J256" s="1291"/>
      <c r="K256" s="1291"/>
      <c r="L256" s="1291"/>
      <c r="M256" s="1291"/>
      <c r="N256" s="1291"/>
      <c r="O256" s="1291"/>
      <c r="P256" s="1291"/>
      <c r="Q256" s="1291"/>
      <c r="R256" s="1291"/>
      <c r="S256" s="1291"/>
      <c r="T256" s="1291"/>
      <c r="U256" s="1291"/>
      <c r="V256" s="1291"/>
      <c r="W256" s="1291"/>
      <c r="X256" s="1291"/>
      <c r="Y256" s="1291"/>
      <c r="Z256" s="1291"/>
      <c r="AA256" s="1291"/>
      <c r="AB256" s="1291"/>
      <c r="AC256" s="1291"/>
      <c r="AD256" s="1291"/>
      <c r="AE256" s="1291"/>
      <c r="AF256" s="1291"/>
      <c r="AG256" s="1291"/>
      <c r="AH256" s="1291"/>
      <c r="AI256" s="1291"/>
      <c r="AJ256" s="1291"/>
      <c r="AK256" s="1291"/>
    </row>
    <row r="257" spans="3:37" ht="17.25" customHeight="1" x14ac:dyDescent="0.35">
      <c r="C257" s="1291"/>
      <c r="D257" s="1291"/>
      <c r="E257" s="1291"/>
      <c r="F257" s="1291"/>
      <c r="G257" s="1291"/>
      <c r="H257" s="1291"/>
      <c r="I257" s="1291"/>
      <c r="J257" s="1291"/>
      <c r="K257" s="1291"/>
      <c r="L257" s="1291"/>
      <c r="M257" s="1291"/>
      <c r="N257" s="1291"/>
      <c r="O257" s="1291"/>
      <c r="P257" s="1291"/>
      <c r="Q257" s="1291"/>
      <c r="R257" s="1291"/>
      <c r="S257" s="1291"/>
      <c r="T257" s="1291"/>
      <c r="U257" s="1291"/>
      <c r="V257" s="1291"/>
      <c r="W257" s="1291"/>
      <c r="X257" s="1291"/>
      <c r="Y257" s="1291"/>
      <c r="Z257" s="1291"/>
      <c r="AA257" s="1291"/>
      <c r="AB257" s="1291"/>
      <c r="AC257" s="1291"/>
      <c r="AD257" s="1291"/>
      <c r="AE257" s="1291"/>
      <c r="AF257" s="1291"/>
      <c r="AG257" s="1291"/>
      <c r="AH257" s="1291"/>
      <c r="AI257" s="1291"/>
      <c r="AJ257" s="1291"/>
      <c r="AK257" s="1291"/>
    </row>
    <row r="258" spans="3:37" ht="17.25" customHeight="1" x14ac:dyDescent="0.35">
      <c r="C258" s="1291"/>
      <c r="D258" s="1291"/>
      <c r="E258" s="1291"/>
      <c r="F258" s="1291"/>
      <c r="G258" s="1291"/>
      <c r="H258" s="1291"/>
      <c r="I258" s="1291"/>
      <c r="J258" s="1291"/>
      <c r="K258" s="1291"/>
      <c r="L258" s="1291"/>
      <c r="M258" s="1291"/>
      <c r="N258" s="1291"/>
      <c r="O258" s="1291"/>
      <c r="P258" s="1291"/>
      <c r="Q258" s="1291"/>
      <c r="R258" s="1291"/>
      <c r="S258" s="1291"/>
      <c r="T258" s="1291"/>
      <c r="U258" s="1291"/>
      <c r="V258" s="1291"/>
      <c r="W258" s="1291"/>
      <c r="X258" s="1291"/>
      <c r="Y258" s="1291"/>
      <c r="Z258" s="1291"/>
      <c r="AA258" s="1291"/>
      <c r="AB258" s="1291"/>
      <c r="AC258" s="1291"/>
      <c r="AD258" s="1291"/>
      <c r="AE258" s="1291"/>
      <c r="AF258" s="1291"/>
      <c r="AG258" s="1291"/>
      <c r="AH258" s="1291"/>
      <c r="AI258" s="1291"/>
      <c r="AJ258" s="1291"/>
      <c r="AK258" s="1291"/>
    </row>
    <row r="259" spans="3:37" ht="17.25" customHeight="1" x14ac:dyDescent="0.35">
      <c r="C259" s="1291"/>
      <c r="D259" s="1291"/>
      <c r="E259" s="1291"/>
      <c r="F259" s="1291"/>
      <c r="G259" s="1291"/>
      <c r="H259" s="1291"/>
      <c r="I259" s="1291"/>
      <c r="J259" s="1291"/>
      <c r="K259" s="1291"/>
      <c r="L259" s="1291"/>
      <c r="M259" s="1291"/>
      <c r="N259" s="1291"/>
      <c r="O259" s="1291"/>
      <c r="P259" s="1291"/>
      <c r="Q259" s="1291"/>
      <c r="R259" s="1291"/>
      <c r="S259" s="1291"/>
      <c r="T259" s="1291"/>
      <c r="U259" s="1291"/>
      <c r="V259" s="1291"/>
      <c r="W259" s="1291"/>
      <c r="X259" s="1291"/>
      <c r="Y259" s="1291"/>
      <c r="Z259" s="1291"/>
      <c r="AA259" s="1291"/>
      <c r="AB259" s="1291"/>
      <c r="AC259" s="1291"/>
      <c r="AD259" s="1291"/>
      <c r="AE259" s="1291"/>
      <c r="AF259" s="1291"/>
      <c r="AG259" s="1291"/>
      <c r="AH259" s="1291"/>
      <c r="AI259" s="1291"/>
      <c r="AJ259" s="1291"/>
      <c r="AK259" s="1291"/>
    </row>
    <row r="260" spans="3:37" ht="17.25" customHeight="1" x14ac:dyDescent="0.35">
      <c r="C260" s="1291"/>
      <c r="D260" s="1291"/>
      <c r="E260" s="1291"/>
      <c r="F260" s="1291"/>
      <c r="G260" s="1291"/>
      <c r="H260" s="1291"/>
      <c r="I260" s="1291"/>
      <c r="J260" s="1291"/>
      <c r="K260" s="1291"/>
      <c r="L260" s="1291"/>
      <c r="M260" s="1291"/>
      <c r="N260" s="1291"/>
      <c r="O260" s="1291"/>
      <c r="P260" s="1291"/>
      <c r="Q260" s="1291"/>
      <c r="R260" s="1291"/>
      <c r="S260" s="1291"/>
      <c r="T260" s="1291"/>
      <c r="U260" s="1291"/>
      <c r="V260" s="1291"/>
      <c r="W260" s="1291"/>
      <c r="X260" s="1291"/>
      <c r="Y260" s="1291"/>
      <c r="Z260" s="1291"/>
      <c r="AA260" s="1291"/>
      <c r="AB260" s="1291"/>
      <c r="AC260" s="1291"/>
      <c r="AD260" s="1291"/>
      <c r="AE260" s="1291"/>
      <c r="AF260" s="1291"/>
      <c r="AG260" s="1291"/>
      <c r="AH260" s="1291"/>
      <c r="AI260" s="1291"/>
      <c r="AJ260" s="1291"/>
      <c r="AK260" s="1291"/>
    </row>
    <row r="261" spans="3:37" ht="17.25" customHeight="1" x14ac:dyDescent="0.35">
      <c r="C261" s="1291"/>
      <c r="D261" s="1291"/>
      <c r="E261" s="1291"/>
      <c r="F261" s="1291"/>
      <c r="G261" s="1291"/>
      <c r="H261" s="1291"/>
      <c r="I261" s="1291"/>
      <c r="J261" s="1291"/>
      <c r="K261" s="1291"/>
      <c r="L261" s="1291"/>
      <c r="M261" s="1291"/>
      <c r="N261" s="1291"/>
      <c r="O261" s="1291"/>
      <c r="P261" s="1291"/>
      <c r="Q261" s="1291"/>
      <c r="R261" s="1291"/>
      <c r="S261" s="1291"/>
      <c r="T261" s="1291"/>
      <c r="U261" s="1291"/>
      <c r="V261" s="1291"/>
      <c r="W261" s="1291"/>
      <c r="X261" s="1291"/>
      <c r="Y261" s="1291"/>
      <c r="Z261" s="1291"/>
      <c r="AA261" s="1291"/>
      <c r="AB261" s="1291"/>
      <c r="AC261" s="1291"/>
      <c r="AD261" s="1291"/>
      <c r="AE261" s="1291"/>
      <c r="AF261" s="1291"/>
      <c r="AG261" s="1291"/>
      <c r="AH261" s="1291"/>
      <c r="AI261" s="1291"/>
      <c r="AJ261" s="1291"/>
      <c r="AK261" s="1291"/>
    </row>
    <row r="262" spans="3:37" ht="17.25" customHeight="1" x14ac:dyDescent="0.35">
      <c r="C262" s="1291"/>
      <c r="D262" s="1291"/>
      <c r="E262" s="1291"/>
      <c r="F262" s="1291"/>
      <c r="G262" s="1291"/>
      <c r="H262" s="1291"/>
      <c r="I262" s="1291"/>
      <c r="J262" s="1291"/>
      <c r="K262" s="1291"/>
      <c r="L262" s="1291"/>
      <c r="M262" s="1291"/>
      <c r="N262" s="1291"/>
      <c r="O262" s="1291"/>
      <c r="P262" s="1291"/>
      <c r="Q262" s="1291"/>
      <c r="R262" s="1291"/>
      <c r="S262" s="1291"/>
      <c r="T262" s="1291"/>
      <c r="U262" s="1291"/>
      <c r="V262" s="1291"/>
      <c r="W262" s="1291"/>
      <c r="X262" s="1291"/>
      <c r="Y262" s="1291"/>
      <c r="Z262" s="1291"/>
      <c r="AA262" s="1291"/>
      <c r="AB262" s="1291"/>
      <c r="AC262" s="1291"/>
      <c r="AD262" s="1291"/>
      <c r="AE262" s="1291"/>
      <c r="AF262" s="1291"/>
      <c r="AG262" s="1291"/>
      <c r="AH262" s="1291"/>
      <c r="AI262" s="1291"/>
      <c r="AJ262" s="1291"/>
      <c r="AK262" s="1291"/>
    </row>
    <row r="263" spans="3:37" ht="17.25" customHeight="1" x14ac:dyDescent="0.35">
      <c r="C263" s="1291"/>
      <c r="D263" s="1291"/>
      <c r="E263" s="1291"/>
      <c r="F263" s="1291"/>
      <c r="G263" s="1291"/>
      <c r="H263" s="1291"/>
      <c r="I263" s="1291"/>
      <c r="J263" s="1291"/>
      <c r="K263" s="1291"/>
      <c r="L263" s="1291"/>
      <c r="M263" s="1291"/>
      <c r="N263" s="1291"/>
      <c r="O263" s="1291"/>
      <c r="P263" s="1291"/>
      <c r="Q263" s="1291"/>
      <c r="R263" s="1291"/>
      <c r="S263" s="1291"/>
      <c r="T263" s="1291"/>
      <c r="U263" s="1291"/>
      <c r="V263" s="1291"/>
      <c r="W263" s="1291"/>
      <c r="X263" s="1291"/>
      <c r="Y263" s="1291"/>
      <c r="Z263" s="1291"/>
      <c r="AA263" s="1291"/>
      <c r="AB263" s="1291"/>
      <c r="AC263" s="1291"/>
      <c r="AD263" s="1291"/>
      <c r="AE263" s="1291"/>
      <c r="AF263" s="1291"/>
      <c r="AG263" s="1291"/>
      <c r="AH263" s="1291"/>
      <c r="AI263" s="1291"/>
      <c r="AJ263" s="1291"/>
      <c r="AK263" s="1291"/>
    </row>
    <row r="264" spans="3:37" ht="17.25" customHeight="1" x14ac:dyDescent="0.35">
      <c r="C264" s="1291"/>
      <c r="D264" s="1291"/>
      <c r="E264" s="1291"/>
      <c r="F264" s="1291"/>
      <c r="G264" s="1291"/>
      <c r="H264" s="1291"/>
      <c r="I264" s="1291"/>
      <c r="J264" s="1291"/>
      <c r="K264" s="1291"/>
      <c r="L264" s="1291"/>
      <c r="M264" s="1291"/>
      <c r="N264" s="1291"/>
      <c r="O264" s="1291"/>
      <c r="P264" s="1291"/>
      <c r="Q264" s="1291"/>
      <c r="R264" s="1291"/>
      <c r="S264" s="1291"/>
      <c r="T264" s="1291"/>
      <c r="U264" s="1291"/>
      <c r="V264" s="1291"/>
      <c r="W264" s="1291"/>
      <c r="X264" s="1291"/>
      <c r="Y264" s="1291"/>
      <c r="Z264" s="1291"/>
      <c r="AA264" s="1291"/>
      <c r="AB264" s="1291"/>
      <c r="AC264" s="1291"/>
      <c r="AD264" s="1291"/>
      <c r="AE264" s="1291"/>
      <c r="AF264" s="1291"/>
      <c r="AG264" s="1291"/>
      <c r="AH264" s="1291"/>
      <c r="AI264" s="1291"/>
      <c r="AJ264" s="1291"/>
      <c r="AK264" s="1291"/>
    </row>
    <row r="265" spans="3:37" ht="17.25" customHeight="1" x14ac:dyDescent="0.35">
      <c r="C265" s="1291"/>
      <c r="D265" s="1291"/>
      <c r="E265" s="1291"/>
      <c r="F265" s="1291"/>
      <c r="G265" s="1291"/>
      <c r="H265" s="1291"/>
      <c r="I265" s="1291"/>
      <c r="J265" s="1291"/>
      <c r="K265" s="1291"/>
      <c r="L265" s="1291"/>
      <c r="M265" s="1291"/>
      <c r="N265" s="1291"/>
      <c r="O265" s="1291"/>
      <c r="P265" s="1291"/>
      <c r="Q265" s="1291"/>
      <c r="R265" s="1291"/>
      <c r="S265" s="1291"/>
      <c r="T265" s="1291"/>
      <c r="U265" s="1291"/>
      <c r="V265" s="1291"/>
      <c r="W265" s="1291"/>
      <c r="X265" s="1291"/>
      <c r="Y265" s="1291"/>
      <c r="Z265" s="1291"/>
      <c r="AA265" s="1291"/>
      <c r="AB265" s="1291"/>
      <c r="AC265" s="1291"/>
      <c r="AD265" s="1291"/>
      <c r="AE265" s="1291"/>
      <c r="AF265" s="1291"/>
      <c r="AG265" s="1291"/>
      <c r="AH265" s="1291"/>
      <c r="AI265" s="1291"/>
      <c r="AJ265" s="1291"/>
      <c r="AK265" s="1291"/>
    </row>
    <row r="266" spans="3:37" ht="17.25" customHeight="1" x14ac:dyDescent="0.35">
      <c r="C266" s="1291"/>
      <c r="D266" s="1291"/>
      <c r="E266" s="1291"/>
      <c r="F266" s="1291"/>
      <c r="G266" s="1291"/>
      <c r="H266" s="1291"/>
      <c r="I266" s="1291"/>
      <c r="J266" s="1291"/>
      <c r="K266" s="1291"/>
      <c r="L266" s="1291"/>
      <c r="M266" s="1291"/>
      <c r="N266" s="1291"/>
      <c r="O266" s="1291"/>
      <c r="P266" s="1291"/>
      <c r="Q266" s="1291"/>
      <c r="R266" s="1291"/>
      <c r="S266" s="1291"/>
      <c r="T266" s="1291"/>
      <c r="U266" s="1291"/>
      <c r="V266" s="1291"/>
      <c r="W266" s="1291"/>
      <c r="X266" s="1291"/>
      <c r="Y266" s="1291"/>
      <c r="Z266" s="1291"/>
      <c r="AA266" s="1291"/>
      <c r="AB266" s="1291"/>
      <c r="AC266" s="1291"/>
      <c r="AD266" s="1291"/>
      <c r="AE266" s="1291"/>
      <c r="AF266" s="1291"/>
      <c r="AG266" s="1291"/>
      <c r="AH266" s="1291"/>
      <c r="AI266" s="1291"/>
      <c r="AJ266" s="1291"/>
      <c r="AK266" s="1291"/>
    </row>
    <row r="267" spans="3:37" ht="17.25" customHeight="1" x14ac:dyDescent="0.35">
      <c r="C267" s="1291"/>
      <c r="D267" s="1291"/>
      <c r="E267" s="1291"/>
      <c r="F267" s="1291"/>
      <c r="G267" s="1291"/>
      <c r="H267" s="1291"/>
      <c r="I267" s="1291"/>
      <c r="J267" s="1291"/>
      <c r="K267" s="1291"/>
      <c r="L267" s="1291"/>
      <c r="M267" s="1291"/>
      <c r="N267" s="1291"/>
      <c r="O267" s="1291"/>
      <c r="P267" s="1291"/>
      <c r="Q267" s="1291"/>
      <c r="R267" s="1291"/>
      <c r="S267" s="1291"/>
      <c r="T267" s="1291"/>
      <c r="U267" s="1291"/>
      <c r="V267" s="1291"/>
      <c r="W267" s="1291"/>
      <c r="X267" s="1291"/>
      <c r="Y267" s="1291"/>
      <c r="Z267" s="1291"/>
      <c r="AA267" s="1291"/>
      <c r="AB267" s="1291"/>
      <c r="AC267" s="1291"/>
      <c r="AD267" s="1291"/>
      <c r="AE267" s="1291"/>
      <c r="AF267" s="1291"/>
      <c r="AG267" s="1291"/>
      <c r="AH267" s="1291"/>
      <c r="AI267" s="1291"/>
      <c r="AJ267" s="1291"/>
      <c r="AK267" s="1291"/>
    </row>
    <row r="268" spans="3:37" ht="17.25" customHeight="1" x14ac:dyDescent="0.35">
      <c r="C268" s="1291"/>
      <c r="D268" s="1291"/>
      <c r="E268" s="1291"/>
      <c r="F268" s="1291"/>
      <c r="G268" s="1291"/>
      <c r="H268" s="1291"/>
      <c r="I268" s="1291"/>
      <c r="J268" s="1291"/>
      <c r="K268" s="1291"/>
      <c r="L268" s="1291"/>
      <c r="M268" s="1291"/>
      <c r="N268" s="1291"/>
      <c r="O268" s="1291"/>
      <c r="P268" s="1291"/>
      <c r="Q268" s="1291"/>
      <c r="R268" s="1291"/>
      <c r="S268" s="1291"/>
      <c r="T268" s="1291"/>
      <c r="U268" s="1291"/>
      <c r="V268" s="1291"/>
      <c r="W268" s="1291"/>
      <c r="X268" s="1291"/>
      <c r="Y268" s="1291"/>
      <c r="Z268" s="1291"/>
      <c r="AA268" s="1291"/>
      <c r="AB268" s="1291"/>
      <c r="AC268" s="1291"/>
      <c r="AD268" s="1291"/>
      <c r="AE268" s="1291"/>
      <c r="AF268" s="1291"/>
      <c r="AG268" s="1291"/>
      <c r="AH268" s="1291"/>
      <c r="AI268" s="1291"/>
      <c r="AJ268" s="1291"/>
      <c r="AK268" s="1291"/>
    </row>
    <row r="269" spans="3:37" ht="17.25" customHeight="1" x14ac:dyDescent="0.35">
      <c r="C269" s="1291"/>
      <c r="D269" s="1291"/>
      <c r="E269" s="1291"/>
      <c r="F269" s="1291"/>
      <c r="G269" s="1291"/>
      <c r="H269" s="1291"/>
      <c r="I269" s="1291"/>
      <c r="J269" s="1291"/>
      <c r="K269" s="1291"/>
      <c r="L269" s="1291"/>
      <c r="M269" s="1291"/>
      <c r="N269" s="1291"/>
      <c r="O269" s="1291"/>
      <c r="P269" s="1291"/>
      <c r="Q269" s="1291"/>
      <c r="R269" s="1291"/>
      <c r="S269" s="1291"/>
      <c r="T269" s="1291"/>
      <c r="U269" s="1291"/>
      <c r="V269" s="1291"/>
      <c r="W269" s="1291"/>
      <c r="X269" s="1291"/>
      <c r="Y269" s="1291"/>
      <c r="Z269" s="1291"/>
      <c r="AA269" s="1291"/>
      <c r="AB269" s="1291"/>
      <c r="AC269" s="1291"/>
      <c r="AD269" s="1291"/>
      <c r="AE269" s="1291"/>
      <c r="AF269" s="1291"/>
      <c r="AG269" s="1291"/>
      <c r="AH269" s="1291"/>
      <c r="AI269" s="1291"/>
      <c r="AJ269" s="1291"/>
      <c r="AK269" s="1291"/>
    </row>
    <row r="270" spans="3:37" ht="17.25" customHeight="1" x14ac:dyDescent="0.35">
      <c r="C270" s="1291"/>
      <c r="D270" s="1291"/>
      <c r="E270" s="1291"/>
      <c r="F270" s="1291"/>
      <c r="G270" s="1291"/>
      <c r="H270" s="1291"/>
      <c r="I270" s="1291"/>
      <c r="J270" s="1291"/>
      <c r="K270" s="1291"/>
      <c r="L270" s="1291"/>
      <c r="M270" s="1291"/>
      <c r="N270" s="1291"/>
      <c r="O270" s="1291"/>
      <c r="P270" s="1291"/>
      <c r="Q270" s="1291"/>
      <c r="R270" s="1291"/>
      <c r="S270" s="1291"/>
      <c r="T270" s="1291"/>
      <c r="U270" s="1291"/>
      <c r="V270" s="1291"/>
      <c r="W270" s="1291"/>
      <c r="X270" s="1291"/>
      <c r="Y270" s="1291"/>
      <c r="Z270" s="1291"/>
      <c r="AA270" s="1291"/>
      <c r="AB270" s="1291"/>
      <c r="AC270" s="1291"/>
      <c r="AD270" s="1291"/>
      <c r="AE270" s="1291"/>
      <c r="AF270" s="1291"/>
      <c r="AG270" s="1291"/>
      <c r="AH270" s="1291"/>
      <c r="AI270" s="1291"/>
      <c r="AJ270" s="1291"/>
      <c r="AK270" s="1291"/>
    </row>
    <row r="271" spans="3:37" ht="17.25" customHeight="1" x14ac:dyDescent="0.35">
      <c r="C271" s="1291"/>
      <c r="D271" s="1291"/>
      <c r="E271" s="1291"/>
      <c r="F271" s="1291"/>
      <c r="G271" s="1291"/>
      <c r="H271" s="1291"/>
      <c r="I271" s="1291"/>
      <c r="J271" s="1291"/>
      <c r="K271" s="1291"/>
      <c r="L271" s="1291"/>
      <c r="M271" s="1291"/>
      <c r="N271" s="1291"/>
      <c r="O271" s="1291"/>
      <c r="P271" s="1291"/>
      <c r="Q271" s="1291"/>
      <c r="R271" s="1291"/>
      <c r="S271" s="1291"/>
      <c r="T271" s="1291"/>
      <c r="U271" s="1291"/>
      <c r="V271" s="1291"/>
      <c r="W271" s="1291"/>
      <c r="X271" s="1291"/>
      <c r="Y271" s="1291"/>
      <c r="Z271" s="1291"/>
      <c r="AA271" s="1291"/>
      <c r="AB271" s="1291"/>
      <c r="AC271" s="1291"/>
      <c r="AD271" s="1291"/>
      <c r="AE271" s="1291"/>
      <c r="AF271" s="1291"/>
      <c r="AG271" s="1291"/>
      <c r="AH271" s="1291"/>
      <c r="AI271" s="1291"/>
      <c r="AJ271" s="1291"/>
      <c r="AK271" s="1291"/>
    </row>
    <row r="272" spans="3:37" ht="17.25" customHeight="1" x14ac:dyDescent="0.35">
      <c r="C272" s="1291"/>
      <c r="D272" s="1291"/>
      <c r="E272" s="1291"/>
      <c r="F272" s="1291"/>
      <c r="G272" s="1291"/>
      <c r="H272" s="1291"/>
      <c r="I272" s="1291"/>
      <c r="J272" s="1291"/>
      <c r="K272" s="1291"/>
      <c r="L272" s="1291"/>
      <c r="M272" s="1291"/>
      <c r="N272" s="1291"/>
      <c r="O272" s="1291"/>
      <c r="P272" s="1291"/>
      <c r="Q272" s="1291"/>
      <c r="R272" s="1291"/>
      <c r="S272" s="1291"/>
      <c r="T272" s="1291"/>
      <c r="U272" s="1291"/>
      <c r="V272" s="1291"/>
      <c r="W272" s="1291"/>
      <c r="X272" s="1291"/>
      <c r="Y272" s="1291"/>
      <c r="Z272" s="1291"/>
      <c r="AA272" s="1291"/>
      <c r="AB272" s="1291"/>
      <c r="AC272" s="1291"/>
      <c r="AD272" s="1291"/>
      <c r="AE272" s="1291"/>
      <c r="AF272" s="1291"/>
      <c r="AG272" s="1291"/>
      <c r="AH272" s="1291"/>
      <c r="AI272" s="1291"/>
      <c r="AJ272" s="1291"/>
      <c r="AK272" s="1291"/>
    </row>
    <row r="273" spans="3:37" ht="17.25" customHeight="1" x14ac:dyDescent="0.35">
      <c r="C273" s="1291"/>
      <c r="D273" s="1291"/>
      <c r="E273" s="1291"/>
      <c r="F273" s="1291"/>
      <c r="G273" s="1291"/>
      <c r="H273" s="1291"/>
      <c r="I273" s="1291"/>
      <c r="J273" s="1291"/>
      <c r="K273" s="1291"/>
      <c r="L273" s="1291"/>
      <c r="M273" s="1291"/>
      <c r="N273" s="1291"/>
      <c r="O273" s="1291"/>
      <c r="P273" s="1291"/>
      <c r="Q273" s="1291"/>
      <c r="R273" s="1291"/>
      <c r="S273" s="1291"/>
      <c r="T273" s="1291"/>
      <c r="U273" s="1291"/>
      <c r="V273" s="1291"/>
      <c r="W273" s="1291"/>
      <c r="X273" s="1291"/>
      <c r="Y273" s="1291"/>
      <c r="Z273" s="1291"/>
      <c r="AA273" s="1291"/>
      <c r="AB273" s="1291"/>
      <c r="AC273" s="1291"/>
      <c r="AD273" s="1291"/>
      <c r="AE273" s="1291"/>
      <c r="AF273" s="1291"/>
      <c r="AG273" s="1291"/>
      <c r="AH273" s="1291"/>
      <c r="AI273" s="1291"/>
      <c r="AJ273" s="1291"/>
      <c r="AK273" s="1291"/>
    </row>
    <row r="274" spans="3:37" ht="17.25" customHeight="1" x14ac:dyDescent="0.35">
      <c r="C274" s="1291"/>
      <c r="D274" s="1291"/>
      <c r="E274" s="1291"/>
      <c r="F274" s="1291"/>
      <c r="G274" s="1291"/>
      <c r="H274" s="1291"/>
      <c r="I274" s="1291"/>
      <c r="J274" s="1291"/>
      <c r="K274" s="1291"/>
      <c r="L274" s="1291"/>
      <c r="M274" s="1291"/>
      <c r="N274" s="1291"/>
      <c r="O274" s="1291"/>
      <c r="P274" s="1291"/>
      <c r="Q274" s="1291"/>
      <c r="R274" s="1291"/>
      <c r="S274" s="1291"/>
      <c r="T274" s="1291"/>
      <c r="U274" s="1291"/>
      <c r="V274" s="1291"/>
      <c r="W274" s="1291"/>
      <c r="X274" s="1291"/>
      <c r="Y274" s="1291"/>
      <c r="Z274" s="1291"/>
      <c r="AA274" s="1291"/>
      <c r="AB274" s="1291"/>
      <c r="AC274" s="1291"/>
      <c r="AD274" s="1291"/>
      <c r="AE274" s="1291"/>
      <c r="AF274" s="1291"/>
      <c r="AG274" s="1291"/>
      <c r="AH274" s="1291"/>
      <c r="AI274" s="1291"/>
      <c r="AJ274" s="1291"/>
      <c r="AK274" s="1291"/>
    </row>
    <row r="275" spans="3:37" ht="17.25" customHeight="1" x14ac:dyDescent="0.35">
      <c r="C275" s="1291"/>
      <c r="D275" s="1291"/>
      <c r="E275" s="1291"/>
      <c r="F275" s="1291"/>
      <c r="G275" s="1291"/>
      <c r="H275" s="1291"/>
      <c r="I275" s="1291"/>
      <c r="J275" s="1291"/>
      <c r="K275" s="1291"/>
      <c r="L275" s="1291"/>
      <c r="M275" s="1291"/>
      <c r="N275" s="1291"/>
      <c r="O275" s="1291"/>
      <c r="P275" s="1291"/>
      <c r="Q275" s="1291"/>
      <c r="R275" s="1291"/>
      <c r="S275" s="1291"/>
      <c r="T275" s="1291"/>
      <c r="U275" s="1291"/>
      <c r="V275" s="1291"/>
      <c r="W275" s="1291"/>
      <c r="X275" s="1291"/>
      <c r="Y275" s="1291"/>
      <c r="Z275" s="1291"/>
      <c r="AA275" s="1291"/>
      <c r="AB275" s="1291"/>
      <c r="AC275" s="1291"/>
      <c r="AD275" s="1291"/>
      <c r="AE275" s="1291"/>
      <c r="AF275" s="1291"/>
      <c r="AG275" s="1291"/>
      <c r="AH275" s="1291"/>
      <c r="AI275" s="1291"/>
      <c r="AJ275" s="1291"/>
      <c r="AK275" s="1291"/>
    </row>
    <row r="276" spans="3:37" ht="17.25" customHeight="1" x14ac:dyDescent="0.35">
      <c r="C276" s="1291"/>
      <c r="D276" s="1291"/>
      <c r="E276" s="1291"/>
      <c r="F276" s="1291"/>
      <c r="G276" s="1291"/>
      <c r="H276" s="1291"/>
      <c r="I276" s="1291"/>
      <c r="J276" s="1291"/>
      <c r="K276" s="1291"/>
      <c r="L276" s="1291"/>
      <c r="M276" s="1291"/>
      <c r="N276" s="1291"/>
      <c r="O276" s="1291"/>
      <c r="P276" s="1291"/>
      <c r="Q276" s="1291"/>
      <c r="R276" s="1291"/>
      <c r="S276" s="1291"/>
      <c r="T276" s="1291"/>
      <c r="U276" s="1291"/>
      <c r="V276" s="1291"/>
      <c r="W276" s="1291"/>
      <c r="X276" s="1291"/>
      <c r="Y276" s="1291"/>
      <c r="Z276" s="1291"/>
      <c r="AA276" s="1291"/>
      <c r="AB276" s="1291"/>
      <c r="AC276" s="1291"/>
      <c r="AD276" s="1291"/>
      <c r="AE276" s="1291"/>
      <c r="AF276" s="1291"/>
      <c r="AG276" s="1291"/>
      <c r="AH276" s="1291"/>
      <c r="AI276" s="1291"/>
      <c r="AJ276" s="1291"/>
      <c r="AK276" s="1291"/>
    </row>
    <row r="277" spans="3:37" ht="17.25" customHeight="1" x14ac:dyDescent="0.35">
      <c r="C277" s="1291"/>
      <c r="D277" s="1291"/>
      <c r="E277" s="1291"/>
      <c r="F277" s="1291"/>
      <c r="G277" s="1291"/>
      <c r="H277" s="1291"/>
      <c r="I277" s="1291"/>
      <c r="J277" s="1291"/>
      <c r="K277" s="1291"/>
      <c r="L277" s="1291"/>
      <c r="M277" s="1291"/>
      <c r="N277" s="1291"/>
      <c r="O277" s="1291"/>
      <c r="P277" s="1291"/>
      <c r="Q277" s="1291"/>
      <c r="R277" s="1291"/>
      <c r="S277" s="1291"/>
      <c r="T277" s="1291"/>
      <c r="U277" s="1291"/>
      <c r="V277" s="1291"/>
      <c r="W277" s="1291"/>
      <c r="X277" s="1291"/>
      <c r="Y277" s="1291"/>
      <c r="Z277" s="1291"/>
      <c r="AA277" s="1291"/>
      <c r="AB277" s="1291"/>
      <c r="AC277" s="1291"/>
      <c r="AD277" s="1291"/>
      <c r="AE277" s="1291"/>
      <c r="AF277" s="1291"/>
      <c r="AG277" s="1291"/>
      <c r="AH277" s="1291"/>
      <c r="AI277" s="1291"/>
      <c r="AJ277" s="1291"/>
      <c r="AK277" s="1291"/>
    </row>
    <row r="278" spans="3:37" ht="17.25" customHeight="1" x14ac:dyDescent="0.35">
      <c r="C278" s="1291"/>
      <c r="D278" s="1291"/>
      <c r="E278" s="1291"/>
      <c r="F278" s="1291"/>
      <c r="G278" s="1291"/>
      <c r="H278" s="1291"/>
      <c r="I278" s="1291"/>
      <c r="J278" s="1291"/>
      <c r="K278" s="1291"/>
      <c r="L278" s="1291"/>
      <c r="M278" s="1291"/>
      <c r="N278" s="1291"/>
      <c r="O278" s="1291"/>
      <c r="P278" s="1291"/>
      <c r="Q278" s="1291"/>
      <c r="R278" s="1291"/>
      <c r="S278" s="1291"/>
      <c r="T278" s="1291"/>
      <c r="U278" s="1291"/>
      <c r="V278" s="1291"/>
      <c r="W278" s="1291"/>
      <c r="X278" s="1291"/>
      <c r="Y278" s="1291"/>
      <c r="Z278" s="1291"/>
      <c r="AA278" s="1291"/>
      <c r="AB278" s="1291"/>
      <c r="AC278" s="1291"/>
      <c r="AD278" s="1291"/>
      <c r="AE278" s="1291"/>
      <c r="AF278" s="1291"/>
      <c r="AG278" s="1291"/>
      <c r="AH278" s="1291"/>
      <c r="AI278" s="1291"/>
      <c r="AJ278" s="1291"/>
      <c r="AK278" s="1291"/>
    </row>
    <row r="279" spans="3:37" ht="17.25" customHeight="1" x14ac:dyDescent="0.35">
      <c r="C279" s="1291"/>
      <c r="D279" s="1291"/>
      <c r="E279" s="1291"/>
      <c r="F279" s="1291"/>
      <c r="G279" s="1291"/>
      <c r="H279" s="1291"/>
      <c r="I279" s="1291"/>
      <c r="J279" s="1291"/>
      <c r="K279" s="1291"/>
      <c r="L279" s="1291"/>
      <c r="M279" s="1291"/>
      <c r="N279" s="1291"/>
      <c r="O279" s="1291"/>
      <c r="P279" s="1291"/>
      <c r="Q279" s="1291"/>
      <c r="R279" s="1291"/>
      <c r="S279" s="1291"/>
      <c r="T279" s="1291"/>
      <c r="U279" s="1291"/>
      <c r="V279" s="1291"/>
      <c r="W279" s="1291"/>
      <c r="X279" s="1291"/>
      <c r="Y279" s="1291"/>
      <c r="Z279" s="1291"/>
      <c r="AA279" s="1291"/>
      <c r="AB279" s="1291"/>
      <c r="AC279" s="1291"/>
      <c r="AD279" s="1291"/>
      <c r="AE279" s="1291"/>
      <c r="AF279" s="1291"/>
      <c r="AG279" s="1291"/>
      <c r="AH279" s="1291"/>
      <c r="AI279" s="1291"/>
      <c r="AJ279" s="1291"/>
      <c r="AK279" s="1291"/>
    </row>
    <row r="280" spans="3:37" ht="17.25" customHeight="1" x14ac:dyDescent="0.35">
      <c r="C280" s="1291"/>
      <c r="D280" s="1291"/>
      <c r="E280" s="1291"/>
      <c r="F280" s="1291"/>
      <c r="G280" s="1291"/>
      <c r="H280" s="1291"/>
      <c r="I280" s="1291"/>
      <c r="J280" s="1291"/>
      <c r="K280" s="1291"/>
      <c r="L280" s="1291"/>
      <c r="M280" s="1291"/>
      <c r="N280" s="1291"/>
      <c r="O280" s="1291"/>
      <c r="P280" s="1291"/>
      <c r="Q280" s="1291"/>
      <c r="R280" s="1291"/>
      <c r="S280" s="1291"/>
      <c r="T280" s="1291"/>
      <c r="U280" s="1291"/>
      <c r="V280" s="1291"/>
      <c r="W280" s="1291"/>
      <c r="X280" s="1291"/>
      <c r="Y280" s="1291"/>
      <c r="Z280" s="1291"/>
      <c r="AA280" s="1291"/>
      <c r="AB280" s="1291"/>
      <c r="AC280" s="1291"/>
      <c r="AD280" s="1291"/>
      <c r="AE280" s="1291"/>
      <c r="AF280" s="1291"/>
      <c r="AG280" s="1291"/>
      <c r="AH280" s="1291"/>
      <c r="AI280" s="1291"/>
      <c r="AJ280" s="1291"/>
      <c r="AK280" s="1291"/>
    </row>
    <row r="281" spans="3:37" ht="17.25" customHeight="1" x14ac:dyDescent="0.35">
      <c r="C281" s="1291"/>
      <c r="D281" s="1291"/>
      <c r="E281" s="1291"/>
      <c r="F281" s="1291"/>
      <c r="G281" s="1291"/>
      <c r="H281" s="1291"/>
      <c r="I281" s="1291"/>
      <c r="J281" s="1291"/>
      <c r="K281" s="1291"/>
      <c r="L281" s="1291"/>
      <c r="M281" s="1291"/>
      <c r="N281" s="1291"/>
      <c r="O281" s="1291"/>
      <c r="P281" s="1291"/>
      <c r="Q281" s="1291"/>
      <c r="R281" s="1291"/>
      <c r="S281" s="1291"/>
      <c r="T281" s="1291"/>
      <c r="U281" s="1291"/>
      <c r="V281" s="1291"/>
      <c r="W281" s="1291"/>
      <c r="X281" s="1291"/>
      <c r="Y281" s="1291"/>
      <c r="Z281" s="1291"/>
      <c r="AA281" s="1291"/>
      <c r="AB281" s="1291"/>
      <c r="AC281" s="1291"/>
      <c r="AD281" s="1291"/>
      <c r="AE281" s="1291"/>
      <c r="AF281" s="1291"/>
      <c r="AG281" s="1291"/>
      <c r="AH281" s="1291"/>
      <c r="AI281" s="1291"/>
      <c r="AJ281" s="1291"/>
      <c r="AK281" s="1291"/>
    </row>
    <row r="282" spans="3:37" ht="17.25" customHeight="1" x14ac:dyDescent="0.35">
      <c r="C282" s="1291"/>
      <c r="D282" s="1291"/>
      <c r="E282" s="1291"/>
      <c r="F282" s="1291"/>
      <c r="G282" s="1291"/>
      <c r="H282" s="1291"/>
      <c r="I282" s="1291"/>
      <c r="J282" s="1291"/>
      <c r="K282" s="1291"/>
      <c r="L282" s="1291"/>
      <c r="M282" s="1291"/>
      <c r="N282" s="1291"/>
      <c r="O282" s="1291"/>
      <c r="P282" s="1291"/>
      <c r="Q282" s="1291"/>
      <c r="R282" s="1291"/>
      <c r="S282" s="1291"/>
      <c r="T282" s="1291"/>
      <c r="U282" s="1291"/>
      <c r="V282" s="1291"/>
      <c r="W282" s="1291"/>
      <c r="X282" s="1291"/>
      <c r="Y282" s="1291"/>
      <c r="Z282" s="1291"/>
      <c r="AA282" s="1291"/>
      <c r="AB282" s="1291"/>
      <c r="AC282" s="1291"/>
      <c r="AD282" s="1291"/>
      <c r="AE282" s="1291"/>
      <c r="AF282" s="1291"/>
      <c r="AG282" s="1291"/>
      <c r="AH282" s="1291"/>
      <c r="AI282" s="1291"/>
      <c r="AJ282" s="1291"/>
      <c r="AK282" s="1291"/>
    </row>
    <row r="283" spans="3:37" ht="17.25" customHeight="1" x14ac:dyDescent="0.35">
      <c r="C283" s="1291"/>
      <c r="D283" s="1291"/>
      <c r="E283" s="1291"/>
      <c r="F283" s="1291"/>
      <c r="G283" s="1291"/>
      <c r="H283" s="1291"/>
      <c r="I283" s="1291"/>
      <c r="J283" s="1291"/>
      <c r="K283" s="1291"/>
      <c r="L283" s="1291"/>
      <c r="M283" s="1291"/>
      <c r="N283" s="1291"/>
      <c r="O283" s="1291"/>
      <c r="P283" s="1291"/>
      <c r="Q283" s="1291"/>
      <c r="R283" s="1291"/>
      <c r="S283" s="1291"/>
      <c r="T283" s="1291"/>
      <c r="U283" s="1291"/>
      <c r="V283" s="1291"/>
      <c r="W283" s="1291"/>
      <c r="X283" s="1291"/>
      <c r="Y283" s="1291"/>
      <c r="Z283" s="1291"/>
      <c r="AA283" s="1291"/>
      <c r="AB283" s="1291"/>
      <c r="AC283" s="1291"/>
      <c r="AD283" s="1291"/>
      <c r="AE283" s="1291"/>
      <c r="AF283" s="1291"/>
      <c r="AG283" s="1291"/>
      <c r="AH283" s="1291"/>
      <c r="AI283" s="1291"/>
      <c r="AJ283" s="1291"/>
      <c r="AK283" s="1291"/>
    </row>
    <row r="284" spans="3:37" ht="17.25" customHeight="1" x14ac:dyDescent="0.35">
      <c r="C284" s="1291"/>
      <c r="D284" s="1291"/>
      <c r="E284" s="1291"/>
      <c r="F284" s="1291"/>
      <c r="G284" s="1291"/>
      <c r="H284" s="1291"/>
      <c r="I284" s="1291"/>
      <c r="J284" s="1291"/>
      <c r="K284" s="1291"/>
      <c r="L284" s="1291"/>
      <c r="M284" s="1291"/>
      <c r="N284" s="1291"/>
      <c r="O284" s="1291"/>
      <c r="P284" s="1291"/>
      <c r="Q284" s="1291"/>
      <c r="R284" s="1291"/>
      <c r="S284" s="1291"/>
      <c r="T284" s="1291"/>
      <c r="U284" s="1291"/>
      <c r="V284" s="1291"/>
      <c r="W284" s="1291"/>
      <c r="X284" s="1291"/>
      <c r="Y284" s="1291"/>
      <c r="Z284" s="1291"/>
      <c r="AA284" s="1291"/>
      <c r="AB284" s="1291"/>
      <c r="AC284" s="1291"/>
      <c r="AD284" s="1291"/>
      <c r="AE284" s="1291"/>
      <c r="AF284" s="1291"/>
      <c r="AG284" s="1291"/>
      <c r="AH284" s="1291"/>
      <c r="AI284" s="1291"/>
      <c r="AJ284" s="1291"/>
      <c r="AK284" s="1291"/>
    </row>
    <row r="285" spans="3:37" ht="17.25" customHeight="1" x14ac:dyDescent="0.35">
      <c r="C285" s="1291"/>
      <c r="D285" s="1291"/>
      <c r="E285" s="1291"/>
      <c r="F285" s="1291"/>
      <c r="G285" s="1291"/>
      <c r="H285" s="1291"/>
      <c r="I285" s="1291"/>
      <c r="J285" s="1291"/>
      <c r="K285" s="1291"/>
      <c r="L285" s="1291"/>
      <c r="M285" s="1291"/>
      <c r="N285" s="1291"/>
      <c r="O285" s="1291"/>
      <c r="P285" s="1291"/>
      <c r="Q285" s="1291"/>
      <c r="R285" s="1291"/>
      <c r="S285" s="1291"/>
      <c r="T285" s="1291"/>
      <c r="U285" s="1291"/>
      <c r="V285" s="1291"/>
      <c r="W285" s="1291"/>
      <c r="X285" s="1291"/>
      <c r="Y285" s="1291"/>
      <c r="Z285" s="1291"/>
      <c r="AA285" s="1291"/>
      <c r="AB285" s="1291"/>
      <c r="AC285" s="1291"/>
      <c r="AD285" s="1291"/>
      <c r="AE285" s="1291"/>
      <c r="AF285" s="1291"/>
      <c r="AG285" s="1291"/>
      <c r="AH285" s="1291"/>
      <c r="AI285" s="1291"/>
      <c r="AJ285" s="1291"/>
      <c r="AK285" s="1291"/>
    </row>
    <row r="286" spans="3:37" ht="17.25" customHeight="1" x14ac:dyDescent="0.35">
      <c r="C286" s="1291"/>
      <c r="D286" s="1291"/>
      <c r="E286" s="1291"/>
      <c r="F286" s="1291"/>
      <c r="G286" s="1291"/>
      <c r="H286" s="1291"/>
      <c r="I286" s="1291"/>
      <c r="J286" s="1291"/>
      <c r="K286" s="1291"/>
      <c r="L286" s="1291"/>
      <c r="M286" s="1291"/>
      <c r="N286" s="1291"/>
      <c r="O286" s="1291"/>
      <c r="P286" s="1291"/>
      <c r="Q286" s="1291"/>
      <c r="R286" s="1291"/>
      <c r="S286" s="1291"/>
      <c r="T286" s="1291"/>
      <c r="U286" s="1291"/>
      <c r="V286" s="1291"/>
      <c r="W286" s="1291"/>
      <c r="X286" s="1291"/>
      <c r="Y286" s="1291"/>
      <c r="Z286" s="1291"/>
      <c r="AA286" s="1291"/>
      <c r="AB286" s="1291"/>
      <c r="AC286" s="1291"/>
      <c r="AD286" s="1291"/>
      <c r="AE286" s="1291"/>
      <c r="AF286" s="1291"/>
      <c r="AG286" s="1291"/>
      <c r="AH286" s="1291"/>
      <c r="AI286" s="1291"/>
      <c r="AJ286" s="1291"/>
      <c r="AK286" s="1291"/>
    </row>
    <row r="287" spans="3:37" ht="17.25" customHeight="1" x14ac:dyDescent="0.35">
      <c r="C287" s="1291"/>
      <c r="D287" s="1291"/>
      <c r="E287" s="1291"/>
      <c r="F287" s="1291"/>
      <c r="G287" s="1291"/>
      <c r="H287" s="1291"/>
      <c r="I287" s="1291"/>
      <c r="J287" s="1291"/>
      <c r="K287" s="1291"/>
      <c r="L287" s="1291"/>
      <c r="M287" s="1291"/>
      <c r="N287" s="1291"/>
      <c r="O287" s="1291"/>
      <c r="P287" s="1291"/>
      <c r="Q287" s="1291"/>
      <c r="R287" s="1291"/>
      <c r="S287" s="1291"/>
      <c r="T287" s="1291"/>
      <c r="U287" s="1291"/>
      <c r="V287" s="1291"/>
      <c r="W287" s="1291"/>
      <c r="X287" s="1291"/>
      <c r="Y287" s="1291"/>
      <c r="Z287" s="1291"/>
      <c r="AA287" s="1291"/>
      <c r="AB287" s="1291"/>
      <c r="AC287" s="1291"/>
      <c r="AD287" s="1291"/>
      <c r="AE287" s="1291"/>
      <c r="AF287" s="1291"/>
      <c r="AG287" s="1291"/>
      <c r="AH287" s="1291"/>
      <c r="AI287" s="1291"/>
      <c r="AJ287" s="1291"/>
      <c r="AK287" s="1291"/>
    </row>
    <row r="288" spans="3:37" ht="17.25" customHeight="1" x14ac:dyDescent="0.35">
      <c r="C288" s="1390"/>
      <c r="D288" s="1390"/>
      <c r="E288" s="1390"/>
      <c r="F288" s="1390"/>
      <c r="G288" s="1390"/>
      <c r="H288" s="1390"/>
      <c r="I288" s="1390"/>
      <c r="J288" s="1390"/>
      <c r="K288" s="1390"/>
      <c r="L288" s="1390"/>
      <c r="M288" s="1390"/>
      <c r="N288" s="1390"/>
      <c r="O288" s="1390"/>
      <c r="P288" s="1390"/>
      <c r="Q288" s="1390"/>
      <c r="R288" s="1390"/>
      <c r="S288" s="1390"/>
      <c r="T288" s="1390"/>
      <c r="U288" s="1390"/>
      <c r="V288" s="1390"/>
      <c r="W288" s="1390"/>
      <c r="X288" s="1390"/>
      <c r="Y288" s="1390"/>
      <c r="Z288" s="1390"/>
      <c r="AA288" s="1390"/>
      <c r="AB288" s="1390"/>
      <c r="AC288" s="1390"/>
      <c r="AD288" s="1390"/>
      <c r="AE288" s="1390"/>
      <c r="AF288" s="1390"/>
      <c r="AG288" s="1390"/>
      <c r="AH288" s="1390"/>
      <c r="AI288" s="1390"/>
      <c r="AJ288" s="1390"/>
      <c r="AK288" s="1390"/>
    </row>
    <row r="289" spans="3:37" ht="17.25" customHeight="1" x14ac:dyDescent="0.35">
      <c r="C289" s="1390"/>
      <c r="D289" s="1390"/>
      <c r="E289" s="1390"/>
      <c r="F289" s="1390"/>
      <c r="G289" s="1390"/>
      <c r="H289" s="1390"/>
      <c r="I289" s="1390"/>
      <c r="J289" s="1390"/>
      <c r="K289" s="1390"/>
      <c r="L289" s="1390"/>
      <c r="M289" s="1390"/>
      <c r="N289" s="1390"/>
      <c r="O289" s="1390"/>
      <c r="P289" s="1390"/>
      <c r="Q289" s="1390"/>
      <c r="R289" s="1390"/>
      <c r="S289" s="1390"/>
      <c r="T289" s="1390"/>
      <c r="U289" s="1390"/>
      <c r="V289" s="1390"/>
      <c r="W289" s="1390"/>
      <c r="X289" s="1390"/>
      <c r="Y289" s="1390"/>
      <c r="Z289" s="1390"/>
      <c r="AA289" s="1390"/>
      <c r="AB289" s="1390"/>
      <c r="AC289" s="1390"/>
      <c r="AD289" s="1390"/>
      <c r="AE289" s="1390"/>
      <c r="AF289" s="1390"/>
      <c r="AG289" s="1390"/>
      <c r="AH289" s="1390"/>
      <c r="AI289" s="1390"/>
      <c r="AJ289" s="1390"/>
      <c r="AK289" s="1390"/>
    </row>
    <row r="290" spans="3:37" ht="17.25" customHeight="1" x14ac:dyDescent="0.35">
      <c r="C290" s="1390"/>
      <c r="D290" s="1390"/>
      <c r="E290" s="1390"/>
      <c r="F290" s="1390"/>
      <c r="G290" s="1390"/>
      <c r="H290" s="1390"/>
      <c r="I290" s="1390"/>
      <c r="J290" s="1390"/>
      <c r="K290" s="1390"/>
      <c r="L290" s="1390"/>
      <c r="M290" s="1390"/>
      <c r="N290" s="1390"/>
      <c r="O290" s="1390"/>
      <c r="P290" s="1390"/>
      <c r="Q290" s="1390"/>
      <c r="R290" s="1390"/>
      <c r="S290" s="1390"/>
      <c r="T290" s="1390"/>
      <c r="U290" s="1390"/>
      <c r="V290" s="1390"/>
      <c r="W290" s="1390"/>
      <c r="X290" s="1390"/>
      <c r="Y290" s="1390"/>
      <c r="Z290" s="1390"/>
      <c r="AA290" s="1390"/>
      <c r="AB290" s="1390"/>
      <c r="AC290" s="1390"/>
      <c r="AD290" s="1390"/>
      <c r="AE290" s="1390"/>
      <c r="AF290" s="1390"/>
      <c r="AG290" s="1390"/>
      <c r="AH290" s="1390"/>
      <c r="AI290" s="1390"/>
      <c r="AJ290" s="1390"/>
      <c r="AK290" s="1390"/>
    </row>
    <row r="291" spans="3:37" ht="17.25" customHeight="1" x14ac:dyDescent="0.35">
      <c r="C291" s="1390"/>
      <c r="D291" s="1390"/>
      <c r="E291" s="1390"/>
      <c r="F291" s="1390"/>
      <c r="G291" s="1390"/>
      <c r="H291" s="1390"/>
      <c r="I291" s="1390"/>
      <c r="J291" s="1390"/>
      <c r="K291" s="1390"/>
      <c r="L291" s="1390"/>
      <c r="M291" s="1390"/>
      <c r="N291" s="1390"/>
      <c r="O291" s="1390"/>
      <c r="P291" s="1390"/>
      <c r="Q291" s="1390"/>
      <c r="R291" s="1390"/>
      <c r="S291" s="1390"/>
      <c r="T291" s="1390"/>
      <c r="U291" s="1390"/>
      <c r="V291" s="1390"/>
      <c r="W291" s="1390"/>
      <c r="X291" s="1390"/>
      <c r="Y291" s="1390"/>
      <c r="Z291" s="1390"/>
      <c r="AA291" s="1390"/>
      <c r="AB291" s="1390"/>
      <c r="AC291" s="1390"/>
      <c r="AD291" s="1390"/>
      <c r="AE291" s="1390"/>
      <c r="AF291" s="1390"/>
      <c r="AG291" s="1390"/>
      <c r="AH291" s="1390"/>
      <c r="AI291" s="1390"/>
      <c r="AJ291" s="1390"/>
      <c r="AK291" s="1390"/>
    </row>
    <row r="292" spans="3:37" ht="17.25" customHeight="1" x14ac:dyDescent="0.35">
      <c r="C292" s="1390"/>
      <c r="D292" s="1390"/>
      <c r="E292" s="1390"/>
      <c r="F292" s="1390"/>
      <c r="G292" s="1390"/>
      <c r="H292" s="1390"/>
      <c r="I292" s="1390"/>
      <c r="J292" s="1390"/>
      <c r="K292" s="1390"/>
      <c r="L292" s="1390"/>
      <c r="M292" s="1390"/>
      <c r="N292" s="1390"/>
      <c r="O292" s="1390"/>
      <c r="P292" s="1390"/>
      <c r="Q292" s="1390"/>
      <c r="R292" s="1390"/>
      <c r="S292" s="1390"/>
      <c r="T292" s="1390"/>
      <c r="U292" s="1390"/>
      <c r="V292" s="1390"/>
      <c r="W292" s="1390"/>
      <c r="X292" s="1390"/>
      <c r="Y292" s="1390"/>
      <c r="Z292" s="1390"/>
      <c r="AA292" s="1390"/>
      <c r="AB292" s="1390"/>
      <c r="AC292" s="1390"/>
      <c r="AD292" s="1390"/>
      <c r="AE292" s="1390"/>
      <c r="AF292" s="1390"/>
      <c r="AG292" s="1390"/>
      <c r="AH292" s="1390"/>
      <c r="AI292" s="1390"/>
      <c r="AJ292" s="1390"/>
      <c r="AK292" s="1390"/>
    </row>
    <row r="293" spans="3:37" ht="17.25" customHeight="1" x14ac:dyDescent="0.35">
      <c r="C293" s="1390"/>
      <c r="D293" s="1390"/>
      <c r="E293" s="1390"/>
      <c r="F293" s="1390"/>
      <c r="G293" s="1390"/>
      <c r="H293" s="1390"/>
      <c r="I293" s="1390"/>
      <c r="J293" s="1390"/>
      <c r="K293" s="1390"/>
      <c r="L293" s="1390"/>
      <c r="M293" s="1390"/>
      <c r="N293" s="1390"/>
      <c r="O293" s="1390"/>
      <c r="P293" s="1390"/>
      <c r="Q293" s="1390"/>
      <c r="R293" s="1390"/>
      <c r="S293" s="1390"/>
      <c r="T293" s="1390"/>
      <c r="U293" s="1390"/>
      <c r="V293" s="1390"/>
      <c r="W293" s="1390"/>
      <c r="X293" s="1390"/>
      <c r="Y293" s="1390"/>
      <c r="Z293" s="1390"/>
      <c r="AA293" s="1390"/>
      <c r="AB293" s="1390"/>
      <c r="AC293" s="1390"/>
      <c r="AD293" s="1390"/>
      <c r="AE293" s="1390"/>
      <c r="AF293" s="1390"/>
      <c r="AG293" s="1390"/>
      <c r="AH293" s="1390"/>
      <c r="AI293" s="1390"/>
      <c r="AJ293" s="1390"/>
      <c r="AK293" s="1390"/>
    </row>
    <row r="294" spans="3:37" ht="17.25" customHeight="1" x14ac:dyDescent="0.35">
      <c r="C294" s="1390"/>
      <c r="D294" s="1390"/>
      <c r="E294" s="1390"/>
      <c r="F294" s="1390"/>
      <c r="G294" s="1390"/>
      <c r="H294" s="1390"/>
      <c r="I294" s="1390"/>
      <c r="J294" s="1390"/>
      <c r="K294" s="1390"/>
      <c r="L294" s="1390"/>
      <c r="M294" s="1390"/>
      <c r="N294" s="1390"/>
      <c r="O294" s="1390"/>
      <c r="P294" s="1390"/>
      <c r="Q294" s="1390"/>
      <c r="R294" s="1390"/>
      <c r="S294" s="1390"/>
      <c r="T294" s="1390"/>
      <c r="U294" s="1390"/>
      <c r="V294" s="1390"/>
      <c r="W294" s="1390"/>
      <c r="X294" s="1390"/>
      <c r="Y294" s="1390"/>
      <c r="Z294" s="1390"/>
      <c r="AA294" s="1390"/>
      <c r="AB294" s="1390"/>
      <c r="AC294" s="1390"/>
      <c r="AD294" s="1390"/>
      <c r="AE294" s="1390"/>
      <c r="AF294" s="1390"/>
      <c r="AG294" s="1390"/>
      <c r="AH294" s="1390"/>
      <c r="AI294" s="1390"/>
      <c r="AJ294" s="1390"/>
      <c r="AK294" s="1390"/>
    </row>
    <row r="295" spans="3:37" ht="17.25" customHeight="1" x14ac:dyDescent="0.35">
      <c r="C295" s="1390"/>
      <c r="D295" s="1390"/>
      <c r="E295" s="1390"/>
      <c r="F295" s="1390"/>
      <c r="G295" s="1390"/>
      <c r="H295" s="1390"/>
      <c r="I295" s="1390"/>
      <c r="J295" s="1390"/>
      <c r="K295" s="1390"/>
      <c r="L295" s="1390"/>
      <c r="M295" s="1390"/>
      <c r="N295" s="1390"/>
      <c r="O295" s="1390"/>
      <c r="P295" s="1390"/>
      <c r="Q295" s="1390"/>
      <c r="R295" s="1390"/>
      <c r="S295" s="1390"/>
      <c r="T295" s="1390"/>
      <c r="U295" s="1390"/>
      <c r="V295" s="1390"/>
      <c r="W295" s="1390"/>
      <c r="X295" s="1390"/>
      <c r="Y295" s="1390"/>
      <c r="Z295" s="1390"/>
      <c r="AA295" s="1390"/>
      <c r="AB295" s="1390"/>
      <c r="AC295" s="1390"/>
      <c r="AD295" s="1390"/>
      <c r="AE295" s="1390"/>
      <c r="AF295" s="1390"/>
      <c r="AG295" s="1390"/>
      <c r="AH295" s="1390"/>
      <c r="AI295" s="1390"/>
      <c r="AJ295" s="1390"/>
      <c r="AK295" s="1390"/>
    </row>
    <row r="296" spans="3:37" ht="17.25" customHeight="1" x14ac:dyDescent="0.35">
      <c r="C296" s="1390"/>
      <c r="D296" s="1390"/>
      <c r="E296" s="1390"/>
      <c r="F296" s="1390"/>
      <c r="G296" s="1390"/>
      <c r="H296" s="1390"/>
      <c r="I296" s="1390"/>
      <c r="J296" s="1390"/>
      <c r="K296" s="1390"/>
      <c r="L296" s="1390"/>
      <c r="M296" s="1390"/>
      <c r="N296" s="1390"/>
      <c r="O296" s="1390"/>
      <c r="P296" s="1390"/>
      <c r="Q296" s="1390"/>
      <c r="R296" s="1390"/>
      <c r="S296" s="1390"/>
      <c r="T296" s="1390"/>
      <c r="U296" s="1390"/>
      <c r="V296" s="1390"/>
      <c r="W296" s="1390"/>
      <c r="X296" s="1390"/>
      <c r="Y296" s="1390"/>
      <c r="Z296" s="1390"/>
      <c r="AA296" s="1390"/>
      <c r="AB296" s="1390"/>
      <c r="AC296" s="1390"/>
      <c r="AD296" s="1390"/>
      <c r="AE296" s="1390"/>
      <c r="AF296" s="1390"/>
      <c r="AG296" s="1390"/>
      <c r="AH296" s="1390"/>
      <c r="AI296" s="1390"/>
      <c r="AJ296" s="1390"/>
      <c r="AK296" s="1390"/>
    </row>
    <row r="297" spans="3:37" ht="17.25" customHeight="1" x14ac:dyDescent="0.35">
      <c r="C297" s="1390"/>
      <c r="D297" s="1390"/>
      <c r="E297" s="1390"/>
      <c r="F297" s="1390"/>
      <c r="G297" s="1390"/>
      <c r="H297" s="1390"/>
      <c r="I297" s="1390"/>
      <c r="J297" s="1390"/>
      <c r="K297" s="1390"/>
      <c r="L297" s="1390"/>
      <c r="M297" s="1390"/>
      <c r="N297" s="1390"/>
      <c r="O297" s="1390"/>
      <c r="P297" s="1390"/>
      <c r="Q297" s="1390"/>
      <c r="R297" s="1390"/>
      <c r="S297" s="1390"/>
      <c r="T297" s="1390"/>
      <c r="U297" s="1390"/>
      <c r="V297" s="1390"/>
      <c r="W297" s="1390"/>
      <c r="X297" s="1390"/>
      <c r="Y297" s="1390"/>
      <c r="Z297" s="1390"/>
      <c r="AA297" s="1390"/>
      <c r="AB297" s="1390"/>
      <c r="AC297" s="1390"/>
      <c r="AD297" s="1390"/>
      <c r="AE297" s="1390"/>
      <c r="AF297" s="1390"/>
      <c r="AG297" s="1390"/>
      <c r="AH297" s="1390"/>
      <c r="AI297" s="1390"/>
      <c r="AJ297" s="1390"/>
      <c r="AK297" s="1390"/>
    </row>
    <row r="298" spans="3:37" ht="17.25" customHeight="1" x14ac:dyDescent="0.35">
      <c r="C298" s="1390"/>
      <c r="D298" s="1390"/>
      <c r="E298" s="1390"/>
      <c r="F298" s="1390"/>
      <c r="G298" s="1390"/>
      <c r="H298" s="1390"/>
      <c r="I298" s="1390"/>
      <c r="J298" s="1390"/>
      <c r="K298" s="1390"/>
      <c r="L298" s="1390"/>
      <c r="M298" s="1390"/>
      <c r="N298" s="1390"/>
      <c r="O298" s="1390"/>
      <c r="P298" s="1390"/>
      <c r="Q298" s="1390"/>
      <c r="R298" s="1390"/>
      <c r="S298" s="1390"/>
      <c r="T298" s="1390"/>
      <c r="U298" s="1390"/>
      <c r="V298" s="1390"/>
      <c r="W298" s="1390"/>
      <c r="X298" s="1390"/>
      <c r="Y298" s="1390"/>
      <c r="Z298" s="1390"/>
      <c r="AA298" s="1390"/>
      <c r="AB298" s="1390"/>
      <c r="AC298" s="1390"/>
      <c r="AD298" s="1390"/>
      <c r="AE298" s="1390"/>
      <c r="AF298" s="1390"/>
      <c r="AG298" s="1390"/>
      <c r="AH298" s="1390"/>
      <c r="AI298" s="1390"/>
      <c r="AJ298" s="1390"/>
      <c r="AK298" s="1390"/>
    </row>
    <row r="299" spans="3:37" ht="17.25" customHeight="1" x14ac:dyDescent="0.35">
      <c r="C299" s="1390"/>
      <c r="D299" s="1390"/>
      <c r="E299" s="1390"/>
      <c r="F299" s="1390"/>
      <c r="G299" s="1390"/>
      <c r="H299" s="1390"/>
      <c r="I299" s="1390"/>
      <c r="J299" s="1390"/>
      <c r="K299" s="1390"/>
      <c r="L299" s="1390"/>
      <c r="M299" s="1390"/>
      <c r="N299" s="1390"/>
      <c r="O299" s="1390"/>
      <c r="P299" s="1390"/>
      <c r="Q299" s="1390"/>
      <c r="R299" s="1390"/>
      <c r="S299" s="1390"/>
      <c r="T299" s="1390"/>
      <c r="U299" s="1390"/>
      <c r="V299" s="1390"/>
      <c r="W299" s="1390"/>
      <c r="X299" s="1390"/>
      <c r="Y299" s="1390"/>
      <c r="Z299" s="1390"/>
      <c r="AA299" s="1390"/>
      <c r="AB299" s="1390"/>
      <c r="AC299" s="1390"/>
      <c r="AD299" s="1390"/>
      <c r="AE299" s="1390"/>
      <c r="AF299" s="1390"/>
      <c r="AG299" s="1390"/>
      <c r="AH299" s="1390"/>
      <c r="AI299" s="1390"/>
      <c r="AJ299" s="1390"/>
      <c r="AK299" s="1390"/>
    </row>
    <row r="300" spans="3:37" ht="17.25" customHeight="1" x14ac:dyDescent="0.35">
      <c r="C300" s="1390"/>
      <c r="D300" s="1390"/>
      <c r="E300" s="1390"/>
      <c r="F300" s="1390"/>
      <c r="G300" s="1390"/>
      <c r="H300" s="1390"/>
      <c r="I300" s="1390"/>
      <c r="J300" s="1390"/>
      <c r="K300" s="1390"/>
      <c r="L300" s="1390"/>
      <c r="M300" s="1390"/>
      <c r="N300" s="1390"/>
      <c r="O300" s="1390"/>
      <c r="P300" s="1390"/>
      <c r="Q300" s="1390"/>
      <c r="R300" s="1390"/>
      <c r="S300" s="1390"/>
      <c r="T300" s="1390"/>
      <c r="U300" s="1390"/>
      <c r="V300" s="1390"/>
      <c r="W300" s="1390"/>
      <c r="X300" s="1390"/>
      <c r="Y300" s="1390"/>
      <c r="Z300" s="1390"/>
      <c r="AA300" s="1390"/>
      <c r="AB300" s="1390"/>
      <c r="AC300" s="1390"/>
      <c r="AD300" s="1390"/>
      <c r="AE300" s="1390"/>
      <c r="AF300" s="1390"/>
      <c r="AG300" s="1390"/>
      <c r="AH300" s="1390"/>
      <c r="AI300" s="1390"/>
      <c r="AJ300" s="1390"/>
      <c r="AK300" s="1390"/>
    </row>
    <row r="301" spans="3:37" ht="17.25" customHeight="1" x14ac:dyDescent="0.35">
      <c r="C301" s="1390"/>
      <c r="D301" s="1390"/>
      <c r="E301" s="1390"/>
      <c r="F301" s="1390"/>
      <c r="G301" s="1390"/>
      <c r="H301" s="1390"/>
      <c r="I301" s="1390"/>
      <c r="J301" s="1390"/>
      <c r="K301" s="1390"/>
      <c r="L301" s="1390"/>
      <c r="M301" s="1390"/>
      <c r="N301" s="1390"/>
      <c r="O301" s="1390"/>
      <c r="P301" s="1390"/>
      <c r="Q301" s="1390"/>
      <c r="R301" s="1390"/>
      <c r="S301" s="1390"/>
      <c r="T301" s="1390"/>
      <c r="U301" s="1390"/>
      <c r="V301" s="1390"/>
      <c r="W301" s="1390"/>
      <c r="X301" s="1390"/>
      <c r="Y301" s="1390"/>
      <c r="Z301" s="1390"/>
      <c r="AA301" s="1390"/>
      <c r="AB301" s="1390"/>
      <c r="AC301" s="1390"/>
      <c r="AD301" s="1390"/>
      <c r="AE301" s="1390"/>
      <c r="AF301" s="1390"/>
      <c r="AG301" s="1390"/>
      <c r="AH301" s="1390"/>
      <c r="AI301" s="1390"/>
      <c r="AJ301" s="1390"/>
      <c r="AK301" s="1390"/>
    </row>
    <row r="302" spans="3:37" ht="17.25" customHeight="1" x14ac:dyDescent="0.35">
      <c r="C302" s="1390"/>
      <c r="D302" s="1390"/>
      <c r="E302" s="1390"/>
      <c r="F302" s="1390"/>
      <c r="G302" s="1390"/>
      <c r="H302" s="1390"/>
      <c r="I302" s="1390"/>
      <c r="J302" s="1390"/>
      <c r="K302" s="1390"/>
      <c r="L302" s="1390"/>
      <c r="M302" s="1390"/>
      <c r="N302" s="1390"/>
      <c r="O302" s="1390"/>
      <c r="P302" s="1390"/>
      <c r="Q302" s="1390"/>
      <c r="R302" s="1390"/>
      <c r="S302" s="1390"/>
      <c r="T302" s="1390"/>
      <c r="U302" s="1390"/>
      <c r="V302" s="1390"/>
      <c r="W302" s="1390"/>
      <c r="X302" s="1390"/>
      <c r="Y302" s="1390"/>
      <c r="Z302" s="1390"/>
      <c r="AA302" s="1390"/>
      <c r="AB302" s="1390"/>
      <c r="AC302" s="1390"/>
      <c r="AD302" s="1390"/>
      <c r="AE302" s="1390"/>
      <c r="AF302" s="1390"/>
      <c r="AG302" s="1390"/>
      <c r="AH302" s="1390"/>
      <c r="AI302" s="1390"/>
      <c r="AJ302" s="1390"/>
      <c r="AK302" s="1390"/>
    </row>
    <row r="303" spans="3:37" ht="17.25" customHeight="1" x14ac:dyDescent="0.35">
      <c r="C303" s="1390"/>
      <c r="D303" s="1390"/>
      <c r="E303" s="1390"/>
      <c r="F303" s="1390"/>
      <c r="G303" s="1390"/>
      <c r="H303" s="1390"/>
      <c r="I303" s="1390"/>
      <c r="J303" s="1390"/>
      <c r="K303" s="1390"/>
      <c r="L303" s="1390"/>
      <c r="M303" s="1390"/>
      <c r="N303" s="1390"/>
      <c r="O303" s="1390"/>
      <c r="P303" s="1390"/>
      <c r="Q303" s="1390"/>
      <c r="R303" s="1390"/>
      <c r="S303" s="1390"/>
      <c r="T303" s="1390"/>
      <c r="U303" s="1390"/>
      <c r="V303" s="1390"/>
      <c r="W303" s="1390"/>
      <c r="X303" s="1390"/>
      <c r="Y303" s="1390"/>
      <c r="Z303" s="1390"/>
      <c r="AA303" s="1390"/>
      <c r="AB303" s="1390"/>
      <c r="AC303" s="1390"/>
      <c r="AD303" s="1390"/>
      <c r="AE303" s="1390"/>
      <c r="AF303" s="1390"/>
      <c r="AG303" s="1390"/>
      <c r="AH303" s="1390"/>
      <c r="AI303" s="1390"/>
      <c r="AJ303" s="1390"/>
      <c r="AK303" s="1390"/>
    </row>
    <row r="304" spans="3:37" ht="17.25" customHeight="1" x14ac:dyDescent="0.35">
      <c r="C304" s="1390"/>
      <c r="D304" s="1390"/>
      <c r="E304" s="1390"/>
      <c r="F304" s="1390"/>
      <c r="G304" s="1390"/>
      <c r="H304" s="1390"/>
      <c r="I304" s="1390"/>
      <c r="J304" s="1390"/>
      <c r="K304" s="1390"/>
      <c r="L304" s="1390"/>
      <c r="M304" s="1390"/>
      <c r="N304" s="1390"/>
      <c r="O304" s="1390"/>
      <c r="P304" s="1390"/>
      <c r="Q304" s="1390"/>
      <c r="R304" s="1390"/>
      <c r="S304" s="1390"/>
      <c r="T304" s="1390"/>
      <c r="U304" s="1390"/>
      <c r="V304" s="1390"/>
      <c r="W304" s="1390"/>
      <c r="X304" s="1390"/>
      <c r="Y304" s="1390"/>
      <c r="Z304" s="1390"/>
      <c r="AA304" s="1390"/>
      <c r="AB304" s="1390"/>
      <c r="AC304" s="1390"/>
      <c r="AD304" s="1390"/>
      <c r="AE304" s="1390"/>
      <c r="AF304" s="1390"/>
      <c r="AG304" s="1390"/>
      <c r="AH304" s="1390"/>
      <c r="AI304" s="1390"/>
      <c r="AJ304" s="1390"/>
      <c r="AK304" s="1390"/>
    </row>
    <row r="305" spans="3:37" ht="17.25" customHeight="1" x14ac:dyDescent="0.35">
      <c r="C305" s="1390"/>
      <c r="D305" s="1390"/>
      <c r="E305" s="1390"/>
      <c r="F305" s="1390"/>
      <c r="G305" s="1390"/>
      <c r="H305" s="1390"/>
      <c r="I305" s="1390"/>
      <c r="J305" s="1390"/>
      <c r="K305" s="1390"/>
      <c r="L305" s="1390"/>
      <c r="M305" s="1390"/>
      <c r="N305" s="1390"/>
      <c r="O305" s="1390"/>
      <c r="P305" s="1390"/>
      <c r="Q305" s="1390"/>
      <c r="R305" s="1390"/>
      <c r="S305" s="1390"/>
      <c r="T305" s="1390"/>
      <c r="U305" s="1390"/>
      <c r="V305" s="1390"/>
      <c r="W305" s="1390"/>
      <c r="X305" s="1390"/>
      <c r="Y305" s="1390"/>
      <c r="Z305" s="1390"/>
      <c r="AA305" s="1390"/>
      <c r="AB305" s="1390"/>
      <c r="AC305" s="1390"/>
      <c r="AD305" s="1390"/>
      <c r="AE305" s="1390"/>
      <c r="AF305" s="1390"/>
      <c r="AG305" s="1390"/>
      <c r="AH305" s="1390"/>
      <c r="AI305" s="1390"/>
      <c r="AJ305" s="1390"/>
      <c r="AK305" s="1390"/>
    </row>
    <row r="306" spans="3:37" ht="17.25" customHeight="1" x14ac:dyDescent="0.35">
      <c r="C306" s="1390"/>
      <c r="D306" s="1390"/>
      <c r="E306" s="1390"/>
      <c r="F306" s="1390"/>
      <c r="G306" s="1390"/>
      <c r="H306" s="1390"/>
      <c r="I306" s="1390"/>
      <c r="J306" s="1390"/>
      <c r="K306" s="1390"/>
      <c r="L306" s="1390"/>
      <c r="M306" s="1390"/>
      <c r="N306" s="1390"/>
      <c r="O306" s="1390"/>
      <c r="P306" s="1390"/>
      <c r="Q306" s="1390"/>
      <c r="R306" s="1390"/>
      <c r="S306" s="1390"/>
      <c r="T306" s="1390"/>
      <c r="U306" s="1390"/>
      <c r="V306" s="1390"/>
      <c r="W306" s="1390"/>
      <c r="X306" s="1390"/>
      <c r="Y306" s="1390"/>
      <c r="Z306" s="1390"/>
      <c r="AA306" s="1390"/>
      <c r="AB306" s="1390"/>
      <c r="AC306" s="1390"/>
      <c r="AD306" s="1390"/>
      <c r="AE306" s="1390"/>
      <c r="AF306" s="1390"/>
      <c r="AG306" s="1390"/>
      <c r="AH306" s="1390"/>
      <c r="AI306" s="1390"/>
      <c r="AJ306" s="1390"/>
      <c r="AK306" s="1390"/>
    </row>
    <row r="307" spans="3:37" ht="17.25" customHeight="1" x14ac:dyDescent="0.35">
      <c r="C307" s="1390"/>
      <c r="D307" s="1390"/>
      <c r="E307" s="1390"/>
      <c r="F307" s="1390"/>
      <c r="G307" s="1390"/>
      <c r="H307" s="1390"/>
      <c r="I307" s="1390"/>
      <c r="J307" s="1390"/>
      <c r="K307" s="1390"/>
      <c r="L307" s="1390"/>
      <c r="M307" s="1390"/>
      <c r="N307" s="1390"/>
      <c r="O307" s="1390"/>
      <c r="P307" s="1390"/>
      <c r="Q307" s="1390"/>
      <c r="R307" s="1390"/>
      <c r="S307" s="1390"/>
      <c r="T307" s="1390"/>
      <c r="U307" s="1390"/>
      <c r="V307" s="1390"/>
      <c r="W307" s="1390"/>
      <c r="X307" s="1390"/>
      <c r="Y307" s="1390"/>
      <c r="Z307" s="1390"/>
      <c r="AA307" s="1390"/>
      <c r="AB307" s="1390"/>
      <c r="AC307" s="1390"/>
      <c r="AD307" s="1390"/>
      <c r="AE307" s="1390"/>
      <c r="AF307" s="1390"/>
      <c r="AG307" s="1390"/>
      <c r="AH307" s="1390"/>
      <c r="AI307" s="1390"/>
      <c r="AJ307" s="1390"/>
      <c r="AK307" s="1390"/>
    </row>
    <row r="308" spans="3:37" ht="17.25" customHeight="1" x14ac:dyDescent="0.35">
      <c r="C308" s="1390"/>
      <c r="D308" s="1390"/>
      <c r="E308" s="1390"/>
      <c r="F308" s="1390"/>
      <c r="G308" s="1390"/>
      <c r="H308" s="1390"/>
      <c r="I308" s="1390"/>
      <c r="J308" s="1390"/>
      <c r="K308" s="1390"/>
      <c r="L308" s="1390"/>
      <c r="M308" s="1390"/>
      <c r="N308" s="1390"/>
      <c r="O308" s="1390"/>
      <c r="P308" s="1390"/>
      <c r="Q308" s="1390"/>
      <c r="R308" s="1390"/>
      <c r="S308" s="1390"/>
      <c r="T308" s="1390"/>
      <c r="U308" s="1390"/>
      <c r="V308" s="1390"/>
      <c r="W308" s="1390"/>
      <c r="X308" s="1390"/>
      <c r="Y308" s="1390"/>
      <c r="Z308" s="1390"/>
      <c r="AA308" s="1390"/>
      <c r="AB308" s="1390"/>
      <c r="AC308" s="1390"/>
      <c r="AD308" s="1390"/>
      <c r="AE308" s="1390"/>
      <c r="AF308" s="1390"/>
      <c r="AG308" s="1390"/>
      <c r="AH308" s="1390"/>
      <c r="AI308" s="1390"/>
      <c r="AJ308" s="1390"/>
      <c r="AK308" s="1390"/>
    </row>
    <row r="309" spans="3:37" ht="17.25" customHeight="1" x14ac:dyDescent="0.35">
      <c r="C309" s="1390"/>
      <c r="D309" s="1390"/>
      <c r="E309" s="1390"/>
      <c r="F309" s="1390"/>
      <c r="G309" s="1390"/>
      <c r="H309" s="1390"/>
      <c r="I309" s="1390"/>
      <c r="J309" s="1390"/>
      <c r="K309" s="1390"/>
      <c r="L309" s="1390"/>
      <c r="M309" s="1390"/>
      <c r="N309" s="1390"/>
      <c r="O309" s="1390"/>
      <c r="P309" s="1390"/>
      <c r="Q309" s="1390"/>
      <c r="R309" s="1390"/>
      <c r="S309" s="1390"/>
      <c r="T309" s="1390"/>
      <c r="U309" s="1390"/>
      <c r="V309" s="1390"/>
      <c r="W309" s="1390"/>
      <c r="X309" s="1390"/>
      <c r="Y309" s="1390"/>
      <c r="Z309" s="1390"/>
      <c r="AA309" s="1390"/>
      <c r="AB309" s="1390"/>
      <c r="AC309" s="1390"/>
      <c r="AD309" s="1390"/>
      <c r="AE309" s="1390"/>
      <c r="AF309" s="1390"/>
      <c r="AG309" s="1390"/>
      <c r="AH309" s="1390"/>
      <c r="AI309" s="1390"/>
      <c r="AJ309" s="1390"/>
      <c r="AK309" s="1390"/>
    </row>
    <row r="310" spans="3:37" ht="17.25" customHeight="1" x14ac:dyDescent="0.35">
      <c r="C310" s="1390"/>
      <c r="D310" s="1390"/>
      <c r="E310" s="1390"/>
      <c r="F310" s="1390"/>
      <c r="G310" s="1390"/>
      <c r="H310" s="1390"/>
      <c r="I310" s="1390"/>
      <c r="J310" s="1390"/>
      <c r="K310" s="1390"/>
      <c r="L310" s="1390"/>
      <c r="M310" s="1390"/>
      <c r="N310" s="1390"/>
      <c r="O310" s="1390"/>
      <c r="P310" s="1390"/>
      <c r="Q310" s="1390"/>
      <c r="R310" s="1390"/>
      <c r="S310" s="1390"/>
      <c r="T310" s="1390"/>
      <c r="U310" s="1390"/>
      <c r="V310" s="1390"/>
      <c r="W310" s="1390"/>
      <c r="X310" s="1390"/>
      <c r="Y310" s="1390"/>
      <c r="Z310" s="1390"/>
      <c r="AA310" s="1390"/>
      <c r="AB310" s="1390"/>
      <c r="AC310" s="1390"/>
      <c r="AD310" s="1390"/>
      <c r="AE310" s="1390"/>
      <c r="AF310" s="1390"/>
      <c r="AG310" s="1390"/>
      <c r="AH310" s="1390"/>
      <c r="AI310" s="1390"/>
      <c r="AJ310" s="1390"/>
      <c r="AK310" s="1390"/>
    </row>
    <row r="311" spans="3:37" ht="17.25" customHeight="1" x14ac:dyDescent="0.35">
      <c r="C311" s="1390"/>
      <c r="D311" s="1390"/>
      <c r="E311" s="1390"/>
      <c r="F311" s="1390"/>
      <c r="G311" s="1390"/>
      <c r="H311" s="1390"/>
      <c r="I311" s="1390"/>
      <c r="J311" s="1390"/>
      <c r="K311" s="1390"/>
      <c r="L311" s="1390"/>
      <c r="M311" s="1390"/>
      <c r="N311" s="1390"/>
      <c r="O311" s="1390"/>
      <c r="P311" s="1390"/>
      <c r="Q311" s="1390"/>
      <c r="R311" s="1390"/>
      <c r="S311" s="1390"/>
      <c r="T311" s="1390"/>
      <c r="U311" s="1390"/>
      <c r="V311" s="1390"/>
      <c r="W311" s="1390"/>
      <c r="X311" s="1390"/>
      <c r="Y311" s="1390"/>
      <c r="Z311" s="1390"/>
      <c r="AA311" s="1390"/>
      <c r="AB311" s="1390"/>
      <c r="AC311" s="1390"/>
      <c r="AD311" s="1390"/>
      <c r="AE311" s="1390"/>
      <c r="AF311" s="1390"/>
      <c r="AG311" s="1390"/>
      <c r="AH311" s="1390"/>
      <c r="AI311" s="1390"/>
      <c r="AJ311" s="1390"/>
      <c r="AK311" s="1390"/>
    </row>
    <row r="312" spans="3:37" ht="17.25" customHeight="1" x14ac:dyDescent="0.35">
      <c r="C312" s="1390"/>
      <c r="D312" s="1390"/>
      <c r="E312" s="1390"/>
      <c r="F312" s="1390"/>
      <c r="G312" s="1390"/>
      <c r="H312" s="1390"/>
      <c r="I312" s="1390"/>
      <c r="J312" s="1390"/>
      <c r="K312" s="1390"/>
      <c r="L312" s="1390"/>
      <c r="M312" s="1390"/>
      <c r="N312" s="1390"/>
      <c r="O312" s="1390"/>
      <c r="P312" s="1390"/>
      <c r="Q312" s="1390"/>
      <c r="R312" s="1390"/>
      <c r="S312" s="1390"/>
      <c r="T312" s="1390"/>
      <c r="U312" s="1390"/>
      <c r="V312" s="1390"/>
      <c r="W312" s="1390"/>
      <c r="X312" s="1390"/>
      <c r="Y312" s="1390"/>
      <c r="Z312" s="1390"/>
      <c r="AA312" s="1390"/>
      <c r="AB312" s="1390"/>
      <c r="AC312" s="1390"/>
      <c r="AD312" s="1390"/>
      <c r="AE312" s="1390"/>
      <c r="AF312" s="1390"/>
      <c r="AG312" s="1390"/>
      <c r="AH312" s="1390"/>
      <c r="AI312" s="1390"/>
      <c r="AJ312" s="1390"/>
      <c r="AK312" s="1390"/>
    </row>
    <row r="313" spans="3:37" ht="17.25" customHeight="1" x14ac:dyDescent="0.35">
      <c r="C313" s="1390"/>
      <c r="D313" s="1390"/>
      <c r="E313" s="1390"/>
      <c r="F313" s="1390"/>
      <c r="G313" s="1390"/>
      <c r="H313" s="1390"/>
      <c r="I313" s="1390"/>
      <c r="J313" s="1390"/>
      <c r="K313" s="1390"/>
      <c r="L313" s="1390"/>
      <c r="M313" s="1390"/>
      <c r="N313" s="1390"/>
      <c r="O313" s="1390"/>
      <c r="P313" s="1390"/>
      <c r="Q313" s="1390"/>
      <c r="R313" s="1390"/>
      <c r="S313" s="1390"/>
      <c r="T313" s="1390"/>
      <c r="U313" s="1390"/>
      <c r="V313" s="1390"/>
      <c r="W313" s="1390"/>
      <c r="X313" s="1390"/>
      <c r="Y313" s="1390"/>
      <c r="Z313" s="1390"/>
      <c r="AA313" s="1390"/>
      <c r="AB313" s="1390"/>
      <c r="AC313" s="1390"/>
      <c r="AD313" s="1390"/>
      <c r="AE313" s="1390"/>
      <c r="AF313" s="1390"/>
      <c r="AG313" s="1390"/>
      <c r="AH313" s="1390"/>
      <c r="AI313" s="1390"/>
      <c r="AJ313" s="1390"/>
      <c r="AK313" s="1390"/>
    </row>
    <row r="314" spans="3:37" ht="17.25" customHeight="1" x14ac:dyDescent="0.35">
      <c r="C314" s="1390"/>
      <c r="D314" s="1390"/>
      <c r="E314" s="1390"/>
      <c r="F314" s="1390"/>
      <c r="G314" s="1390"/>
      <c r="H314" s="1390"/>
      <c r="I314" s="1390"/>
      <c r="J314" s="1390"/>
      <c r="K314" s="1390"/>
      <c r="L314" s="1390"/>
      <c r="M314" s="1390"/>
      <c r="N314" s="1390"/>
      <c r="O314" s="1390"/>
      <c r="P314" s="1390"/>
      <c r="Q314" s="1390"/>
      <c r="R314" s="1390"/>
      <c r="S314" s="1390"/>
      <c r="T314" s="1390"/>
      <c r="U314" s="1390"/>
      <c r="V314" s="1390"/>
      <c r="W314" s="1390"/>
      <c r="X314" s="1390"/>
      <c r="Y314" s="1390"/>
      <c r="Z314" s="1390"/>
      <c r="AA314" s="1390"/>
      <c r="AB314" s="1390"/>
      <c r="AC314" s="1390"/>
      <c r="AD314" s="1390"/>
      <c r="AE314" s="1390"/>
      <c r="AF314" s="1390"/>
      <c r="AG314" s="1390"/>
      <c r="AH314" s="1390"/>
      <c r="AI314" s="1390"/>
      <c r="AJ314" s="1390"/>
      <c r="AK314" s="1390"/>
    </row>
    <row r="315" spans="3:37" ht="17.25" customHeight="1" x14ac:dyDescent="0.35">
      <c r="C315" s="1390"/>
      <c r="D315" s="1390"/>
      <c r="E315" s="1390"/>
      <c r="F315" s="1390"/>
      <c r="G315" s="1390"/>
      <c r="H315" s="1390"/>
      <c r="I315" s="1390"/>
      <c r="J315" s="1390"/>
      <c r="K315" s="1390"/>
      <c r="L315" s="1390"/>
      <c r="M315" s="1390"/>
      <c r="N315" s="1390"/>
      <c r="O315" s="1390"/>
      <c r="P315" s="1390"/>
      <c r="Q315" s="1390"/>
      <c r="R315" s="1390"/>
      <c r="S315" s="1390"/>
      <c r="T315" s="1390"/>
      <c r="U315" s="1390"/>
      <c r="V315" s="1390"/>
      <c r="W315" s="1390"/>
      <c r="X315" s="1390"/>
      <c r="Y315" s="1390"/>
      <c r="Z315" s="1390"/>
      <c r="AA315" s="1390"/>
      <c r="AB315" s="1390"/>
      <c r="AC315" s="1390"/>
      <c r="AD315" s="1390"/>
      <c r="AE315" s="1390"/>
      <c r="AF315" s="1390"/>
      <c r="AG315" s="1390"/>
      <c r="AH315" s="1390"/>
      <c r="AI315" s="1390"/>
      <c r="AJ315" s="1390"/>
      <c r="AK315" s="1390"/>
    </row>
    <row r="316" spans="3:37" ht="17.25" customHeight="1" x14ac:dyDescent="0.35">
      <c r="C316" s="1390"/>
      <c r="D316" s="1390"/>
      <c r="E316" s="1390"/>
      <c r="F316" s="1390"/>
      <c r="G316" s="1390"/>
      <c r="H316" s="1390"/>
      <c r="I316" s="1390"/>
      <c r="J316" s="1390"/>
      <c r="K316" s="1390"/>
      <c r="L316" s="1390"/>
      <c r="M316" s="1390"/>
      <c r="N316" s="1390"/>
      <c r="O316" s="1390"/>
      <c r="P316" s="1390"/>
      <c r="Q316" s="1390"/>
      <c r="R316" s="1390"/>
      <c r="S316" s="1390"/>
      <c r="T316" s="1390"/>
      <c r="U316" s="1390"/>
      <c r="V316" s="1390"/>
      <c r="W316" s="1390"/>
      <c r="X316" s="1390"/>
      <c r="Y316" s="1390"/>
      <c r="Z316" s="1390"/>
      <c r="AA316" s="1390"/>
      <c r="AB316" s="1390"/>
      <c r="AC316" s="1390"/>
      <c r="AD316" s="1390"/>
      <c r="AE316" s="1390"/>
      <c r="AF316" s="1390"/>
      <c r="AG316" s="1390"/>
      <c r="AH316" s="1390"/>
      <c r="AI316" s="1390"/>
      <c r="AJ316" s="1390"/>
      <c r="AK316" s="1390"/>
    </row>
    <row r="317" spans="3:37" ht="17.25" customHeight="1" x14ac:dyDescent="0.35">
      <c r="C317" s="1390"/>
      <c r="D317" s="1390"/>
      <c r="E317" s="1390"/>
      <c r="F317" s="1390"/>
      <c r="G317" s="1390"/>
      <c r="H317" s="1390"/>
      <c r="I317" s="1390"/>
      <c r="J317" s="1390"/>
      <c r="K317" s="1390"/>
      <c r="L317" s="1390"/>
      <c r="M317" s="1390"/>
      <c r="N317" s="1390"/>
      <c r="O317" s="1390"/>
      <c r="P317" s="1390"/>
      <c r="Q317" s="1390"/>
      <c r="R317" s="1390"/>
      <c r="S317" s="1390"/>
      <c r="T317" s="1390"/>
      <c r="U317" s="1390"/>
      <c r="V317" s="1390"/>
      <c r="W317" s="1390"/>
      <c r="X317" s="1390"/>
      <c r="Y317" s="1390"/>
      <c r="Z317" s="1390"/>
      <c r="AA317" s="1390"/>
      <c r="AB317" s="1390"/>
      <c r="AC317" s="1390"/>
      <c r="AD317" s="1390"/>
      <c r="AE317" s="1390"/>
      <c r="AF317" s="1390"/>
      <c r="AG317" s="1390"/>
      <c r="AH317" s="1390"/>
      <c r="AI317" s="1390"/>
      <c r="AJ317" s="1390"/>
      <c r="AK317" s="1390"/>
    </row>
    <row r="318" spans="3:37" ht="17.25" customHeight="1" x14ac:dyDescent="0.35">
      <c r="C318" s="1390"/>
      <c r="D318" s="1390"/>
      <c r="E318" s="1390"/>
      <c r="F318" s="1390"/>
      <c r="G318" s="1390"/>
      <c r="H318" s="1390"/>
      <c r="I318" s="1390"/>
      <c r="J318" s="1390"/>
      <c r="K318" s="1390"/>
      <c r="L318" s="1390"/>
      <c r="M318" s="1390"/>
      <c r="N318" s="1390"/>
      <c r="O318" s="1390"/>
      <c r="P318" s="1390"/>
      <c r="Q318" s="1390"/>
      <c r="R318" s="1390"/>
      <c r="S318" s="1390"/>
      <c r="T318" s="1390"/>
      <c r="U318" s="1390"/>
      <c r="V318" s="1390"/>
      <c r="W318" s="1390"/>
      <c r="X318" s="1390"/>
      <c r="Y318" s="1390"/>
      <c r="Z318" s="1390"/>
      <c r="AA318" s="1390"/>
      <c r="AB318" s="1390"/>
      <c r="AC318" s="1390"/>
      <c r="AD318" s="1390"/>
      <c r="AE318" s="1390"/>
      <c r="AF318" s="1390"/>
      <c r="AG318" s="1390"/>
      <c r="AH318" s="1390"/>
      <c r="AI318" s="1390"/>
      <c r="AJ318" s="1390"/>
      <c r="AK318" s="1390"/>
    </row>
    <row r="319" spans="3:37" ht="17.25" customHeight="1" x14ac:dyDescent="0.35">
      <c r="C319" s="1390"/>
      <c r="D319" s="1390"/>
      <c r="E319" s="1390"/>
      <c r="F319" s="1390"/>
      <c r="G319" s="1390"/>
      <c r="H319" s="1390"/>
      <c r="I319" s="1390"/>
      <c r="J319" s="1390"/>
      <c r="K319" s="1390"/>
      <c r="L319" s="1390"/>
      <c r="M319" s="1390"/>
      <c r="N319" s="1390"/>
      <c r="O319" s="1390"/>
      <c r="P319" s="1390"/>
      <c r="Q319" s="1390"/>
      <c r="R319" s="1390"/>
      <c r="S319" s="1390"/>
      <c r="T319" s="1390"/>
      <c r="U319" s="1390"/>
      <c r="V319" s="1390"/>
      <c r="W319" s="1390"/>
      <c r="X319" s="1390"/>
      <c r="Y319" s="1390"/>
      <c r="Z319" s="1390"/>
      <c r="AA319" s="1390"/>
      <c r="AB319" s="1390"/>
      <c r="AC319" s="1390"/>
      <c r="AD319" s="1390"/>
      <c r="AE319" s="1390"/>
      <c r="AF319" s="1390"/>
      <c r="AG319" s="1390"/>
      <c r="AH319" s="1390"/>
      <c r="AI319" s="1390"/>
      <c r="AJ319" s="1390"/>
      <c r="AK319" s="1390"/>
    </row>
    <row r="320" spans="3:37" ht="17.25" customHeight="1" x14ac:dyDescent="0.35">
      <c r="C320" s="1390"/>
      <c r="D320" s="1390"/>
      <c r="E320" s="1390"/>
      <c r="F320" s="1390"/>
      <c r="G320" s="1390"/>
      <c r="H320" s="1390"/>
      <c r="I320" s="1390"/>
      <c r="J320" s="1390"/>
      <c r="K320" s="1390"/>
      <c r="L320" s="1390"/>
      <c r="M320" s="1390"/>
      <c r="N320" s="1390"/>
      <c r="O320" s="1390"/>
      <c r="P320" s="1390"/>
      <c r="Q320" s="1390"/>
      <c r="R320" s="1390"/>
      <c r="S320" s="1390"/>
      <c r="T320" s="1390"/>
      <c r="U320" s="1390"/>
      <c r="V320" s="1390"/>
      <c r="W320" s="1390"/>
      <c r="X320" s="1390"/>
      <c r="Y320" s="1390"/>
      <c r="Z320" s="1390"/>
      <c r="AA320" s="1390"/>
      <c r="AB320" s="1390"/>
      <c r="AC320" s="1390"/>
      <c r="AD320" s="1390"/>
      <c r="AE320" s="1390"/>
      <c r="AF320" s="1390"/>
      <c r="AG320" s="1390"/>
      <c r="AH320" s="1390"/>
      <c r="AI320" s="1390"/>
      <c r="AJ320" s="1390"/>
      <c r="AK320" s="1390"/>
    </row>
    <row r="321" spans="3:37" ht="17.25" customHeight="1" x14ac:dyDescent="0.35">
      <c r="C321" s="1390"/>
      <c r="D321" s="1390"/>
      <c r="E321" s="1390"/>
      <c r="F321" s="1390"/>
      <c r="G321" s="1390"/>
      <c r="H321" s="1390"/>
      <c r="I321" s="1390"/>
      <c r="J321" s="1390"/>
      <c r="K321" s="1390"/>
      <c r="L321" s="1390"/>
      <c r="M321" s="1390"/>
      <c r="N321" s="1390"/>
      <c r="O321" s="1390"/>
      <c r="P321" s="1390"/>
      <c r="Q321" s="1390"/>
      <c r="R321" s="1390"/>
      <c r="S321" s="1390"/>
      <c r="T321" s="1390"/>
      <c r="U321" s="1390"/>
      <c r="V321" s="1390"/>
      <c r="W321" s="1390"/>
      <c r="X321" s="1390"/>
      <c r="Y321" s="1390"/>
      <c r="Z321" s="1390"/>
      <c r="AA321" s="1390"/>
      <c r="AB321" s="1390"/>
      <c r="AC321" s="1390"/>
      <c r="AD321" s="1390"/>
      <c r="AE321" s="1390"/>
      <c r="AF321" s="1390"/>
      <c r="AG321" s="1390"/>
      <c r="AH321" s="1390"/>
      <c r="AI321" s="1390"/>
      <c r="AJ321" s="1390"/>
      <c r="AK321" s="1390"/>
    </row>
    <row r="322" spans="3:37" ht="17.25" customHeight="1" x14ac:dyDescent="0.35">
      <c r="C322" s="1390"/>
      <c r="D322" s="1390"/>
      <c r="E322" s="1390"/>
      <c r="F322" s="1390"/>
      <c r="G322" s="1390"/>
      <c r="H322" s="1390"/>
      <c r="I322" s="1390"/>
      <c r="J322" s="1390"/>
      <c r="K322" s="1390"/>
      <c r="L322" s="1390"/>
      <c r="M322" s="1390"/>
      <c r="N322" s="1390"/>
      <c r="O322" s="1390"/>
      <c r="P322" s="1390"/>
      <c r="Q322" s="1390"/>
      <c r="R322" s="1390"/>
      <c r="S322" s="1390"/>
      <c r="T322" s="1390"/>
      <c r="U322" s="1390"/>
      <c r="V322" s="1390"/>
      <c r="W322" s="1390"/>
      <c r="X322" s="1390"/>
      <c r="Y322" s="1390"/>
      <c r="Z322" s="1390"/>
      <c r="AA322" s="1390"/>
      <c r="AB322" s="1390"/>
      <c r="AC322" s="1390"/>
      <c r="AD322" s="1390"/>
      <c r="AE322" s="1390"/>
      <c r="AF322" s="1390"/>
      <c r="AG322" s="1390"/>
      <c r="AH322" s="1390"/>
      <c r="AI322" s="1390"/>
      <c r="AJ322" s="1390"/>
      <c r="AK322" s="1390"/>
    </row>
    <row r="323" spans="3:37" ht="17.25" customHeight="1" x14ac:dyDescent="0.35">
      <c r="C323" s="1390"/>
      <c r="D323" s="1390"/>
      <c r="E323" s="1390"/>
      <c r="F323" s="1390"/>
      <c r="G323" s="1390"/>
      <c r="H323" s="1390"/>
      <c r="I323" s="1390"/>
      <c r="J323" s="1390"/>
      <c r="K323" s="1390"/>
      <c r="L323" s="1390"/>
      <c r="M323" s="1390"/>
      <c r="N323" s="1390"/>
      <c r="O323" s="1390"/>
      <c r="P323" s="1390"/>
      <c r="Q323" s="1390"/>
      <c r="R323" s="1390"/>
      <c r="S323" s="1390"/>
      <c r="T323" s="1390"/>
      <c r="U323" s="1390"/>
      <c r="V323" s="1390"/>
      <c r="W323" s="1390"/>
      <c r="X323" s="1390"/>
      <c r="Y323" s="1390"/>
      <c r="Z323" s="1390"/>
      <c r="AA323" s="1390"/>
      <c r="AB323" s="1390"/>
      <c r="AC323" s="1390"/>
      <c r="AD323" s="1390"/>
      <c r="AE323" s="1390"/>
      <c r="AF323" s="1390"/>
      <c r="AG323" s="1390"/>
      <c r="AH323" s="1390"/>
      <c r="AI323" s="1390"/>
      <c r="AJ323" s="1390"/>
      <c r="AK323" s="1390"/>
    </row>
    <row r="324" spans="3:37" ht="17.25" customHeight="1" x14ac:dyDescent="0.35">
      <c r="C324" s="1390"/>
      <c r="D324" s="1390"/>
      <c r="E324" s="1390"/>
      <c r="F324" s="1390"/>
      <c r="G324" s="1390"/>
      <c r="H324" s="1390"/>
      <c r="I324" s="1390"/>
      <c r="J324" s="1390"/>
      <c r="K324" s="1390"/>
      <c r="L324" s="1390"/>
      <c r="M324" s="1390"/>
      <c r="N324" s="1390"/>
      <c r="O324" s="1390"/>
      <c r="P324" s="1390"/>
      <c r="Q324" s="1390"/>
      <c r="R324" s="1390"/>
      <c r="S324" s="1390"/>
      <c r="T324" s="1390"/>
      <c r="U324" s="1390"/>
      <c r="V324" s="1390"/>
      <c r="W324" s="1390"/>
      <c r="X324" s="1390"/>
      <c r="Y324" s="1390"/>
      <c r="Z324" s="1390"/>
      <c r="AA324" s="1390"/>
      <c r="AB324" s="1390"/>
      <c r="AC324" s="1390"/>
      <c r="AD324" s="1390"/>
      <c r="AE324" s="1390"/>
      <c r="AF324" s="1390"/>
      <c r="AG324" s="1390"/>
      <c r="AH324" s="1390"/>
      <c r="AI324" s="1390"/>
      <c r="AJ324" s="1390"/>
      <c r="AK324" s="1390"/>
    </row>
    <row r="325" spans="3:37" ht="17.25" customHeight="1" x14ac:dyDescent="0.35">
      <c r="C325" s="1390"/>
      <c r="D325" s="1390"/>
      <c r="E325" s="1390"/>
      <c r="F325" s="1390"/>
      <c r="G325" s="1390"/>
      <c r="H325" s="1390"/>
      <c r="I325" s="1390"/>
      <c r="J325" s="1390"/>
      <c r="K325" s="1390"/>
      <c r="L325" s="1390"/>
      <c r="M325" s="1390"/>
      <c r="N325" s="1390"/>
      <c r="O325" s="1390"/>
      <c r="P325" s="1390"/>
      <c r="Q325" s="1390"/>
      <c r="R325" s="1390"/>
      <c r="S325" s="1390"/>
      <c r="T325" s="1390"/>
      <c r="U325" s="1390"/>
      <c r="V325" s="1390"/>
      <c r="W325" s="1390"/>
      <c r="X325" s="1390"/>
      <c r="Y325" s="1390"/>
      <c r="Z325" s="1390"/>
      <c r="AA325" s="1390"/>
      <c r="AB325" s="1390"/>
      <c r="AC325" s="1390"/>
      <c r="AD325" s="1390"/>
      <c r="AE325" s="1390"/>
      <c r="AF325" s="1390"/>
      <c r="AG325" s="1390"/>
      <c r="AH325" s="1390"/>
      <c r="AI325" s="1390"/>
      <c r="AJ325" s="1390"/>
      <c r="AK325" s="1390"/>
    </row>
    <row r="326" spans="3:37" ht="17.25" customHeight="1" x14ac:dyDescent="0.35">
      <c r="C326" s="1390"/>
      <c r="D326" s="1390"/>
      <c r="E326" s="1390"/>
      <c r="F326" s="1390"/>
      <c r="G326" s="1390"/>
      <c r="H326" s="1390"/>
      <c r="I326" s="1390"/>
      <c r="J326" s="1390"/>
      <c r="K326" s="1390"/>
      <c r="L326" s="1390"/>
      <c r="M326" s="1390"/>
      <c r="N326" s="1390"/>
      <c r="O326" s="1390"/>
      <c r="P326" s="1390"/>
      <c r="Q326" s="1390"/>
      <c r="R326" s="1390"/>
      <c r="S326" s="1390"/>
      <c r="T326" s="1390"/>
      <c r="U326" s="1390"/>
      <c r="V326" s="1390"/>
      <c r="W326" s="1390"/>
      <c r="X326" s="1390"/>
      <c r="Y326" s="1390"/>
      <c r="Z326" s="1390"/>
      <c r="AA326" s="1390"/>
      <c r="AB326" s="1390"/>
      <c r="AC326" s="1390"/>
      <c r="AD326" s="1390"/>
      <c r="AE326" s="1390"/>
      <c r="AF326" s="1390"/>
      <c r="AG326" s="1390"/>
      <c r="AH326" s="1390"/>
      <c r="AI326" s="1390"/>
      <c r="AJ326" s="1390"/>
      <c r="AK326" s="1390"/>
    </row>
    <row r="327" spans="3:37" ht="17.25" customHeight="1" x14ac:dyDescent="0.35">
      <c r="C327" s="1390"/>
      <c r="D327" s="1390"/>
      <c r="E327" s="1390"/>
      <c r="F327" s="1390"/>
      <c r="G327" s="1390"/>
      <c r="H327" s="1390"/>
      <c r="I327" s="1390"/>
      <c r="J327" s="1390"/>
      <c r="K327" s="1390"/>
      <c r="L327" s="1390"/>
      <c r="M327" s="1390"/>
      <c r="N327" s="1390"/>
      <c r="O327" s="1390"/>
      <c r="P327" s="1390"/>
      <c r="Q327" s="1390"/>
      <c r="R327" s="1390"/>
      <c r="S327" s="1390"/>
      <c r="T327" s="1390"/>
      <c r="U327" s="1390"/>
      <c r="V327" s="1390"/>
      <c r="W327" s="1390"/>
      <c r="X327" s="1390"/>
      <c r="Y327" s="1390"/>
      <c r="Z327" s="1390"/>
      <c r="AA327" s="1390"/>
      <c r="AB327" s="1390"/>
      <c r="AC327" s="1390"/>
      <c r="AD327" s="1390"/>
      <c r="AE327" s="1390"/>
      <c r="AF327" s="1390"/>
      <c r="AG327" s="1390"/>
      <c r="AH327" s="1390"/>
      <c r="AI327" s="1390"/>
      <c r="AJ327" s="1390"/>
      <c r="AK327" s="1390"/>
    </row>
    <row r="328" spans="3:37" ht="17.25" customHeight="1" x14ac:dyDescent="0.35">
      <c r="C328" s="1390"/>
      <c r="D328" s="1390"/>
      <c r="E328" s="1390"/>
      <c r="F328" s="1390"/>
      <c r="G328" s="1390"/>
      <c r="H328" s="1390"/>
      <c r="I328" s="1390"/>
      <c r="J328" s="1390"/>
      <c r="K328" s="1390"/>
      <c r="L328" s="1390"/>
      <c r="M328" s="1390"/>
      <c r="N328" s="1390"/>
      <c r="O328" s="1390"/>
      <c r="P328" s="1390"/>
      <c r="Q328" s="1390"/>
      <c r="R328" s="1390"/>
      <c r="S328" s="1390"/>
      <c r="T328" s="1390"/>
      <c r="U328" s="1390"/>
      <c r="V328" s="1390"/>
      <c r="W328" s="1390"/>
      <c r="X328" s="1390"/>
      <c r="Y328" s="1390"/>
      <c r="Z328" s="1390"/>
      <c r="AA328" s="1390"/>
      <c r="AB328" s="1390"/>
      <c r="AC328" s="1390"/>
      <c r="AD328" s="1390"/>
      <c r="AE328" s="1390"/>
      <c r="AF328" s="1390"/>
      <c r="AG328" s="1390"/>
      <c r="AH328" s="1390"/>
      <c r="AI328" s="1390"/>
      <c r="AJ328" s="1390"/>
      <c r="AK328" s="1390"/>
    </row>
    <row r="329" spans="3:37" ht="17.25" customHeight="1" x14ac:dyDescent="0.35">
      <c r="C329" s="1390"/>
      <c r="D329" s="1390"/>
      <c r="E329" s="1390"/>
      <c r="F329" s="1390"/>
      <c r="G329" s="1390"/>
      <c r="H329" s="1390"/>
      <c r="I329" s="1390"/>
      <c r="J329" s="1390"/>
      <c r="K329" s="1390"/>
      <c r="L329" s="1390"/>
      <c r="M329" s="1390"/>
      <c r="N329" s="1390"/>
      <c r="O329" s="1390"/>
      <c r="P329" s="1390"/>
      <c r="Q329" s="1390"/>
      <c r="R329" s="1390"/>
      <c r="S329" s="1390"/>
      <c r="T329" s="1390"/>
      <c r="U329" s="1390"/>
      <c r="V329" s="1390"/>
      <c r="W329" s="1390"/>
      <c r="X329" s="1390"/>
      <c r="Y329" s="1390"/>
      <c r="Z329" s="1390"/>
      <c r="AA329" s="1390"/>
      <c r="AB329" s="1390"/>
      <c r="AC329" s="1390"/>
      <c r="AD329" s="1390"/>
      <c r="AE329" s="1390"/>
      <c r="AF329" s="1390"/>
      <c r="AG329" s="1390"/>
      <c r="AH329" s="1390"/>
      <c r="AI329" s="1390"/>
      <c r="AJ329" s="1390"/>
      <c r="AK329" s="1390"/>
    </row>
    <row r="330" spans="3:37" ht="17.25" customHeight="1" x14ac:dyDescent="0.35">
      <c r="C330" s="1390"/>
      <c r="D330" s="1390"/>
      <c r="E330" s="1390"/>
      <c r="F330" s="1390"/>
      <c r="G330" s="1390"/>
      <c r="H330" s="1390"/>
      <c r="I330" s="1390"/>
      <c r="J330" s="1390"/>
      <c r="K330" s="1390"/>
      <c r="L330" s="1390"/>
      <c r="M330" s="1390"/>
      <c r="N330" s="1390"/>
      <c r="O330" s="1390"/>
      <c r="P330" s="1390"/>
      <c r="Q330" s="1390"/>
      <c r="R330" s="1390"/>
      <c r="S330" s="1390"/>
      <c r="T330" s="1390"/>
      <c r="U330" s="1390"/>
      <c r="V330" s="1390"/>
      <c r="W330" s="1390"/>
      <c r="X330" s="1390"/>
      <c r="Y330" s="1390"/>
      <c r="Z330" s="1390"/>
      <c r="AA330" s="1390"/>
      <c r="AB330" s="1390"/>
      <c r="AC330" s="1390"/>
      <c r="AD330" s="1390"/>
      <c r="AE330" s="1390"/>
      <c r="AF330" s="1390"/>
      <c r="AG330" s="1390"/>
      <c r="AH330" s="1390"/>
      <c r="AI330" s="1390"/>
      <c r="AJ330" s="1390"/>
      <c r="AK330" s="1390"/>
    </row>
    <row r="331" spans="3:37" ht="17.25" customHeight="1" x14ac:dyDescent="0.35">
      <c r="C331" s="1390"/>
      <c r="D331" s="1390"/>
      <c r="E331" s="1390"/>
      <c r="F331" s="1390"/>
      <c r="G331" s="1390"/>
      <c r="H331" s="1390"/>
      <c r="I331" s="1390"/>
      <c r="J331" s="1390"/>
      <c r="K331" s="1390"/>
      <c r="L331" s="1390"/>
      <c r="M331" s="1390"/>
      <c r="N331" s="1390"/>
      <c r="O331" s="1390"/>
      <c r="P331" s="1390"/>
      <c r="Q331" s="1390"/>
      <c r="R331" s="1390"/>
      <c r="S331" s="1390"/>
      <c r="T331" s="1390"/>
      <c r="U331" s="1390"/>
      <c r="V331" s="1390"/>
      <c r="W331" s="1390"/>
      <c r="X331" s="1390"/>
      <c r="Y331" s="1390"/>
      <c r="Z331" s="1390"/>
      <c r="AA331" s="1390"/>
      <c r="AB331" s="1390"/>
      <c r="AC331" s="1390"/>
      <c r="AD331" s="1390"/>
      <c r="AE331" s="1390"/>
      <c r="AF331" s="1390"/>
      <c r="AG331" s="1390"/>
      <c r="AH331" s="1390"/>
      <c r="AI331" s="1390"/>
      <c r="AJ331" s="1390"/>
      <c r="AK331" s="1390"/>
    </row>
    <row r="332" spans="3:37" ht="17.25" customHeight="1" x14ac:dyDescent="0.35">
      <c r="C332" s="1390"/>
      <c r="D332" s="1390"/>
      <c r="E332" s="1390"/>
      <c r="F332" s="1390"/>
      <c r="G332" s="1390"/>
      <c r="H332" s="1390"/>
      <c r="I332" s="1390"/>
      <c r="J332" s="1390"/>
      <c r="K332" s="1390"/>
      <c r="L332" s="1390"/>
      <c r="M332" s="1390"/>
      <c r="N332" s="1390"/>
      <c r="O332" s="1390"/>
      <c r="P332" s="1390"/>
      <c r="Q332" s="1390"/>
      <c r="R332" s="1390"/>
      <c r="S332" s="1390"/>
      <c r="T332" s="1390"/>
      <c r="U332" s="1390"/>
      <c r="V332" s="1390"/>
      <c r="W332" s="1390"/>
      <c r="X332" s="1390"/>
      <c r="Y332" s="1390"/>
      <c r="Z332" s="1390"/>
      <c r="AA332" s="1390"/>
      <c r="AB332" s="1390"/>
      <c r="AC332" s="1390"/>
      <c r="AD332" s="1390"/>
      <c r="AE332" s="1390"/>
      <c r="AF332" s="1390"/>
      <c r="AG332" s="1390"/>
      <c r="AH332" s="1390"/>
      <c r="AI332" s="1390"/>
      <c r="AJ332" s="1390"/>
      <c r="AK332" s="1390"/>
    </row>
    <row r="333" spans="3:37" ht="17.25" customHeight="1" x14ac:dyDescent="0.35">
      <c r="C333" s="1390"/>
      <c r="D333" s="1390"/>
      <c r="E333" s="1390"/>
      <c r="F333" s="1390"/>
      <c r="G333" s="1390"/>
      <c r="H333" s="1390"/>
      <c r="I333" s="1390"/>
      <c r="J333" s="1390"/>
      <c r="K333" s="1390"/>
      <c r="L333" s="1390"/>
      <c r="M333" s="1390"/>
      <c r="N333" s="1390"/>
      <c r="O333" s="1390"/>
      <c r="P333" s="1390"/>
      <c r="Q333" s="1390"/>
      <c r="R333" s="1390"/>
      <c r="S333" s="1390"/>
      <c r="T333" s="1390"/>
      <c r="U333" s="1390"/>
      <c r="V333" s="1390"/>
      <c r="W333" s="1390"/>
      <c r="X333" s="1390"/>
      <c r="Y333" s="1390"/>
      <c r="Z333" s="1390"/>
      <c r="AA333" s="1390"/>
      <c r="AB333" s="1390"/>
      <c r="AC333" s="1390"/>
      <c r="AD333" s="1390"/>
      <c r="AE333" s="1390"/>
      <c r="AF333" s="1390"/>
      <c r="AG333" s="1390"/>
      <c r="AH333" s="1390"/>
      <c r="AI333" s="1390"/>
      <c r="AJ333" s="1390"/>
      <c r="AK333" s="1390"/>
    </row>
    <row r="334" spans="3:37" ht="17.25" customHeight="1" x14ac:dyDescent="0.35">
      <c r="C334" s="1390"/>
      <c r="D334" s="1390"/>
      <c r="E334" s="1390"/>
      <c r="F334" s="1390"/>
      <c r="G334" s="1390"/>
      <c r="H334" s="1390"/>
      <c r="I334" s="1390"/>
      <c r="J334" s="1390"/>
      <c r="K334" s="1390"/>
      <c r="L334" s="1390"/>
      <c r="M334" s="1390"/>
      <c r="N334" s="1390"/>
      <c r="O334" s="1390"/>
      <c r="P334" s="1390"/>
      <c r="Q334" s="1390"/>
      <c r="R334" s="1390"/>
      <c r="S334" s="1390"/>
      <c r="T334" s="1390"/>
      <c r="U334" s="1390"/>
      <c r="V334" s="1390"/>
      <c r="W334" s="1390"/>
      <c r="X334" s="1390"/>
      <c r="Y334" s="1390"/>
      <c r="Z334" s="1390"/>
      <c r="AA334" s="1390"/>
      <c r="AB334" s="1390"/>
      <c r="AC334" s="1390"/>
      <c r="AD334" s="1390"/>
      <c r="AE334" s="1390"/>
      <c r="AF334" s="1390"/>
      <c r="AG334" s="1390"/>
      <c r="AH334" s="1390"/>
      <c r="AI334" s="1390"/>
      <c r="AJ334" s="1390"/>
      <c r="AK334" s="1390"/>
    </row>
    <row r="335" spans="3:37" ht="17.25" customHeight="1" x14ac:dyDescent="0.35">
      <c r="C335" s="1390"/>
      <c r="D335" s="1390"/>
      <c r="E335" s="1390"/>
      <c r="F335" s="1390"/>
      <c r="G335" s="1390"/>
      <c r="H335" s="1390"/>
      <c r="I335" s="1390"/>
      <c r="J335" s="1390"/>
      <c r="K335" s="1390"/>
      <c r="L335" s="1390"/>
      <c r="M335" s="1390"/>
      <c r="N335" s="1390"/>
      <c r="O335" s="1390"/>
      <c r="P335" s="1390"/>
      <c r="Q335" s="1390"/>
      <c r="R335" s="1390"/>
      <c r="S335" s="1390"/>
      <c r="T335" s="1390"/>
      <c r="U335" s="1390"/>
      <c r="V335" s="1390"/>
      <c r="W335" s="1390"/>
      <c r="X335" s="1390"/>
      <c r="Y335" s="1390"/>
      <c r="Z335" s="1390"/>
      <c r="AA335" s="1390"/>
      <c r="AB335" s="1390"/>
      <c r="AC335" s="1390"/>
      <c r="AD335" s="1390"/>
      <c r="AE335" s="1390"/>
      <c r="AF335" s="1390"/>
      <c r="AG335" s="1390"/>
      <c r="AH335" s="1390"/>
      <c r="AI335" s="1390"/>
      <c r="AJ335" s="1390"/>
      <c r="AK335" s="1390"/>
    </row>
    <row r="336" spans="3:37" ht="17.25" customHeight="1" x14ac:dyDescent="0.35">
      <c r="C336" s="1390"/>
      <c r="D336" s="1390"/>
      <c r="E336" s="1390"/>
      <c r="F336" s="1390"/>
      <c r="G336" s="1390"/>
      <c r="H336" s="1390"/>
      <c r="I336" s="1390"/>
      <c r="J336" s="1390"/>
      <c r="K336" s="1390"/>
      <c r="L336" s="1390"/>
      <c r="M336" s="1390"/>
      <c r="N336" s="1390"/>
      <c r="O336" s="1390"/>
      <c r="P336" s="1390"/>
      <c r="Q336" s="1390"/>
      <c r="R336" s="1390"/>
      <c r="S336" s="1390"/>
      <c r="T336" s="1390"/>
      <c r="U336" s="1390"/>
      <c r="V336" s="1390"/>
      <c r="W336" s="1390"/>
      <c r="X336" s="1390"/>
      <c r="Y336" s="1390"/>
      <c r="Z336" s="1390"/>
      <c r="AA336" s="1390"/>
      <c r="AB336" s="1390"/>
      <c r="AC336" s="1390"/>
      <c r="AD336" s="1390"/>
      <c r="AE336" s="1390"/>
      <c r="AF336" s="1390"/>
      <c r="AG336" s="1390"/>
      <c r="AH336" s="1390"/>
      <c r="AI336" s="1390"/>
      <c r="AJ336" s="1390"/>
      <c r="AK336" s="1390"/>
    </row>
    <row r="337" spans="3:37" ht="17.25" customHeight="1" x14ac:dyDescent="0.35">
      <c r="C337" s="1390"/>
      <c r="D337" s="1390"/>
      <c r="E337" s="1390"/>
      <c r="F337" s="1390"/>
      <c r="G337" s="1390"/>
      <c r="H337" s="1390"/>
      <c r="I337" s="1390"/>
      <c r="J337" s="1390"/>
      <c r="K337" s="1390"/>
      <c r="L337" s="1390"/>
      <c r="M337" s="1390"/>
      <c r="N337" s="1390"/>
      <c r="O337" s="1390"/>
      <c r="P337" s="1390"/>
      <c r="Q337" s="1390"/>
      <c r="R337" s="1390"/>
      <c r="S337" s="1390"/>
      <c r="T337" s="1390"/>
      <c r="U337" s="1390"/>
      <c r="V337" s="1390"/>
      <c r="W337" s="1390"/>
      <c r="X337" s="1390"/>
      <c r="Y337" s="1390"/>
      <c r="Z337" s="1390"/>
      <c r="AA337" s="1390"/>
      <c r="AB337" s="1390"/>
      <c r="AC337" s="1390"/>
      <c r="AD337" s="1390"/>
      <c r="AE337" s="1390"/>
      <c r="AF337" s="1390"/>
      <c r="AG337" s="1390"/>
      <c r="AH337" s="1390"/>
      <c r="AI337" s="1390"/>
      <c r="AJ337" s="1390"/>
      <c r="AK337" s="1390"/>
    </row>
    <row r="338" spans="3:37" ht="17.25" customHeight="1" x14ac:dyDescent="0.35">
      <c r="C338" s="1390"/>
      <c r="D338" s="1390"/>
      <c r="E338" s="1390"/>
      <c r="F338" s="1390"/>
      <c r="G338" s="1390"/>
      <c r="H338" s="1390"/>
      <c r="I338" s="1390"/>
      <c r="J338" s="1390"/>
      <c r="K338" s="1390"/>
      <c r="L338" s="1390"/>
      <c r="M338" s="1390"/>
      <c r="N338" s="1390"/>
      <c r="O338" s="1390"/>
      <c r="P338" s="1390"/>
      <c r="Q338" s="1390"/>
      <c r="R338" s="1390"/>
      <c r="S338" s="1390"/>
      <c r="T338" s="1390"/>
      <c r="U338" s="1390"/>
      <c r="V338" s="1390"/>
      <c r="W338" s="1390"/>
      <c r="X338" s="1390"/>
      <c r="Y338" s="1390"/>
      <c r="Z338" s="1390"/>
      <c r="AA338" s="1390"/>
      <c r="AB338" s="1390"/>
      <c r="AC338" s="1390"/>
      <c r="AD338" s="1390"/>
      <c r="AE338" s="1390"/>
      <c r="AF338" s="1390"/>
      <c r="AG338" s="1390"/>
      <c r="AH338" s="1390"/>
      <c r="AI338" s="1390"/>
      <c r="AJ338" s="1390"/>
      <c r="AK338" s="1390"/>
    </row>
    <row r="339" spans="3:37" ht="17.25" customHeight="1" x14ac:dyDescent="0.35">
      <c r="C339" s="1390"/>
      <c r="D339" s="1390"/>
      <c r="E339" s="1390"/>
      <c r="F339" s="1390"/>
      <c r="G339" s="1390"/>
      <c r="H339" s="1390"/>
      <c r="I339" s="1390"/>
      <c r="J339" s="1390"/>
      <c r="K339" s="1390"/>
      <c r="L339" s="1390"/>
      <c r="M339" s="1390"/>
      <c r="N339" s="1390"/>
      <c r="O339" s="1390"/>
      <c r="P339" s="1390"/>
      <c r="Q339" s="1390"/>
      <c r="R339" s="1390"/>
      <c r="S339" s="1390"/>
      <c r="T339" s="1390"/>
      <c r="U339" s="1390"/>
      <c r="V339" s="1390"/>
      <c r="W339" s="1390"/>
      <c r="X339" s="1390"/>
      <c r="Y339" s="1390"/>
      <c r="Z339" s="1390"/>
      <c r="AA339" s="1390"/>
      <c r="AB339" s="1390"/>
      <c r="AC339" s="1390"/>
      <c r="AD339" s="1390"/>
      <c r="AE339" s="1390"/>
      <c r="AF339" s="1390"/>
      <c r="AG339" s="1390"/>
      <c r="AH339" s="1390"/>
      <c r="AI339" s="1390"/>
      <c r="AJ339" s="1390"/>
      <c r="AK339" s="1390"/>
    </row>
    <row r="340" spans="3:37" ht="17.25" customHeight="1" x14ac:dyDescent="0.35">
      <c r="C340" s="1390"/>
      <c r="D340" s="1390"/>
      <c r="E340" s="1390"/>
      <c r="F340" s="1390"/>
      <c r="G340" s="1390"/>
      <c r="H340" s="1390"/>
      <c r="I340" s="1390"/>
      <c r="J340" s="1390"/>
      <c r="K340" s="1390"/>
      <c r="L340" s="1390"/>
      <c r="M340" s="1390"/>
      <c r="N340" s="1390"/>
      <c r="O340" s="1390"/>
      <c r="P340" s="1390"/>
      <c r="Q340" s="1390"/>
      <c r="R340" s="1390"/>
      <c r="S340" s="1390"/>
      <c r="T340" s="1390"/>
      <c r="U340" s="1390"/>
      <c r="V340" s="1390"/>
      <c r="W340" s="1390"/>
      <c r="X340" s="1390"/>
      <c r="Y340" s="1390"/>
      <c r="Z340" s="1390"/>
      <c r="AA340" s="1390"/>
      <c r="AB340" s="1390"/>
      <c r="AC340" s="1390"/>
      <c r="AD340" s="1390"/>
      <c r="AE340" s="1390"/>
      <c r="AF340" s="1390"/>
      <c r="AG340" s="1390"/>
      <c r="AH340" s="1390"/>
      <c r="AI340" s="1390"/>
      <c r="AJ340" s="1390"/>
      <c r="AK340" s="1390"/>
    </row>
    <row r="341" spans="3:37" ht="17.25" customHeight="1" x14ac:dyDescent="0.35">
      <c r="C341" s="1390"/>
      <c r="D341" s="1390"/>
      <c r="E341" s="1390"/>
      <c r="F341" s="1390"/>
      <c r="G341" s="1390"/>
      <c r="H341" s="1390"/>
      <c r="I341" s="1390"/>
      <c r="J341" s="1390"/>
      <c r="K341" s="1390"/>
      <c r="L341" s="1390"/>
      <c r="M341" s="1390"/>
      <c r="N341" s="1390"/>
      <c r="O341" s="1390"/>
      <c r="P341" s="1390"/>
      <c r="Q341" s="1390"/>
      <c r="R341" s="1390"/>
      <c r="S341" s="1390"/>
      <c r="T341" s="1390"/>
      <c r="U341" s="1390"/>
      <c r="V341" s="1390"/>
      <c r="W341" s="1390"/>
      <c r="X341" s="1390"/>
      <c r="Y341" s="1390"/>
      <c r="Z341" s="1390"/>
      <c r="AA341" s="1390"/>
      <c r="AB341" s="1390"/>
      <c r="AC341" s="1390"/>
      <c r="AD341" s="1390"/>
      <c r="AE341" s="1390"/>
      <c r="AF341" s="1390"/>
      <c r="AG341" s="1390"/>
      <c r="AH341" s="1390"/>
      <c r="AI341" s="1390"/>
      <c r="AJ341" s="1390"/>
      <c r="AK341" s="1390"/>
    </row>
    <row r="342" spans="3:37" ht="17.25" customHeight="1" x14ac:dyDescent="0.35">
      <c r="C342" s="1390"/>
      <c r="D342" s="1390"/>
      <c r="E342" s="1390"/>
      <c r="F342" s="1390"/>
      <c r="G342" s="1390"/>
      <c r="H342" s="1390"/>
      <c r="I342" s="1390"/>
      <c r="J342" s="1390"/>
      <c r="K342" s="1390"/>
      <c r="L342" s="1390"/>
      <c r="M342" s="1390"/>
      <c r="N342" s="1390"/>
      <c r="O342" s="1390"/>
      <c r="P342" s="1390"/>
      <c r="Q342" s="1390"/>
      <c r="R342" s="1390"/>
      <c r="S342" s="1390"/>
      <c r="T342" s="1390"/>
      <c r="U342" s="1390"/>
      <c r="V342" s="1390"/>
      <c r="W342" s="1390"/>
      <c r="X342" s="1390"/>
      <c r="Y342" s="1390"/>
      <c r="Z342" s="1390"/>
      <c r="AA342" s="1390"/>
      <c r="AB342" s="1390"/>
      <c r="AC342" s="1390"/>
      <c r="AD342" s="1390"/>
      <c r="AE342" s="1390"/>
      <c r="AF342" s="1390"/>
      <c r="AG342" s="1390"/>
      <c r="AH342" s="1390"/>
      <c r="AI342" s="1390"/>
      <c r="AJ342" s="1390"/>
      <c r="AK342" s="1390"/>
    </row>
    <row r="343" spans="3:37" ht="17.25" customHeight="1" x14ac:dyDescent="0.35">
      <c r="C343" s="1390"/>
      <c r="D343" s="1390"/>
      <c r="E343" s="1390"/>
      <c r="F343" s="1390"/>
      <c r="G343" s="1390"/>
      <c r="H343" s="1390"/>
      <c r="I343" s="1390"/>
      <c r="J343" s="1390"/>
      <c r="K343" s="1390"/>
      <c r="L343" s="1390"/>
      <c r="M343" s="1390"/>
      <c r="N343" s="1390"/>
      <c r="O343" s="1390"/>
      <c r="P343" s="1390"/>
      <c r="Q343" s="1390"/>
      <c r="R343" s="1390"/>
      <c r="S343" s="1390"/>
      <c r="T343" s="1390"/>
      <c r="U343" s="1390"/>
      <c r="V343" s="1390"/>
      <c r="W343" s="1390"/>
      <c r="X343" s="1390"/>
      <c r="Y343" s="1390"/>
      <c r="Z343" s="1390"/>
      <c r="AA343" s="1390"/>
      <c r="AB343" s="1390"/>
      <c r="AC343" s="1390"/>
      <c r="AD343" s="1390"/>
      <c r="AE343" s="1390"/>
      <c r="AF343" s="1390"/>
      <c r="AG343" s="1390"/>
      <c r="AH343" s="1390"/>
      <c r="AI343" s="1390"/>
      <c r="AJ343" s="1390"/>
      <c r="AK343" s="1390"/>
    </row>
    <row r="344" spans="3:37" ht="17.25" customHeight="1" x14ac:dyDescent="0.35">
      <c r="C344" s="1390"/>
      <c r="D344" s="1390"/>
      <c r="E344" s="1390"/>
      <c r="F344" s="1390"/>
      <c r="G344" s="1390"/>
      <c r="H344" s="1390"/>
      <c r="I344" s="1390"/>
      <c r="J344" s="1390"/>
      <c r="K344" s="1390"/>
      <c r="L344" s="1390"/>
      <c r="M344" s="1390"/>
      <c r="N344" s="1390"/>
      <c r="O344" s="1390"/>
      <c r="P344" s="1390"/>
      <c r="Q344" s="1390"/>
      <c r="R344" s="1390"/>
      <c r="S344" s="1390"/>
      <c r="T344" s="1390"/>
      <c r="U344" s="1390"/>
      <c r="V344" s="1390"/>
      <c r="W344" s="1390"/>
      <c r="X344" s="1390"/>
      <c r="Y344" s="1390"/>
      <c r="Z344" s="1390"/>
      <c r="AA344" s="1390"/>
      <c r="AB344" s="1390"/>
      <c r="AC344" s="1390"/>
      <c r="AD344" s="1390"/>
      <c r="AE344" s="1390"/>
      <c r="AF344" s="1390"/>
      <c r="AG344" s="1390"/>
      <c r="AH344" s="1390"/>
      <c r="AI344" s="1390"/>
      <c r="AJ344" s="1390"/>
      <c r="AK344" s="1390"/>
    </row>
    <row r="345" spans="3:37" ht="17.25" customHeight="1" x14ac:dyDescent="0.35">
      <c r="C345" s="1390"/>
      <c r="D345" s="1390"/>
      <c r="E345" s="1390"/>
      <c r="F345" s="1390"/>
      <c r="G345" s="1390"/>
      <c r="H345" s="1390"/>
      <c r="I345" s="1390"/>
      <c r="J345" s="1390"/>
      <c r="K345" s="1390"/>
      <c r="L345" s="1390"/>
      <c r="M345" s="1390"/>
      <c r="N345" s="1390"/>
      <c r="O345" s="1390"/>
      <c r="P345" s="1390"/>
      <c r="Q345" s="1390"/>
      <c r="R345" s="1390"/>
      <c r="S345" s="1390"/>
      <c r="T345" s="1390"/>
      <c r="U345" s="1390"/>
      <c r="V345" s="1390"/>
      <c r="W345" s="1390"/>
      <c r="X345" s="1390"/>
      <c r="Y345" s="1390"/>
      <c r="Z345" s="1390"/>
      <c r="AA345" s="1390"/>
      <c r="AB345" s="1390"/>
      <c r="AC345" s="1390"/>
      <c r="AD345" s="1390"/>
      <c r="AE345" s="1390"/>
      <c r="AF345" s="1390"/>
      <c r="AG345" s="1390"/>
      <c r="AH345" s="1390"/>
      <c r="AI345" s="1390"/>
      <c r="AJ345" s="1390"/>
      <c r="AK345" s="1390"/>
    </row>
    <row r="346" spans="3:37" ht="17.25" customHeight="1" x14ac:dyDescent="0.35">
      <c r="C346" s="1390"/>
      <c r="D346" s="1390"/>
      <c r="E346" s="1390"/>
      <c r="F346" s="1390"/>
      <c r="G346" s="1390"/>
      <c r="H346" s="1390"/>
      <c r="I346" s="1390"/>
      <c r="J346" s="1390"/>
      <c r="K346" s="1390"/>
      <c r="L346" s="1390"/>
      <c r="M346" s="1390"/>
      <c r="N346" s="1390"/>
      <c r="O346" s="1390"/>
      <c r="P346" s="1390"/>
      <c r="Q346" s="1390"/>
      <c r="R346" s="1390"/>
      <c r="S346" s="1390"/>
      <c r="T346" s="1390"/>
      <c r="U346" s="1390"/>
      <c r="V346" s="1390"/>
      <c r="W346" s="1390"/>
      <c r="X346" s="1390"/>
      <c r="Y346" s="1390"/>
      <c r="Z346" s="1390"/>
      <c r="AA346" s="1390"/>
      <c r="AB346" s="1390"/>
      <c r="AC346" s="1390"/>
      <c r="AD346" s="1390"/>
      <c r="AE346" s="1390"/>
      <c r="AF346" s="1390"/>
      <c r="AG346" s="1390"/>
      <c r="AH346" s="1390"/>
      <c r="AI346" s="1390"/>
      <c r="AJ346" s="1390"/>
      <c r="AK346" s="1390"/>
    </row>
    <row r="347" spans="3:37" ht="17.25" customHeight="1" x14ac:dyDescent="0.35">
      <c r="C347" s="1390"/>
      <c r="D347" s="1390"/>
      <c r="E347" s="1390"/>
      <c r="F347" s="1390"/>
      <c r="G347" s="1390"/>
      <c r="H347" s="1390"/>
      <c r="I347" s="1390"/>
      <c r="J347" s="1390"/>
      <c r="K347" s="1390"/>
      <c r="L347" s="1390"/>
      <c r="M347" s="1390"/>
      <c r="N347" s="1390"/>
      <c r="O347" s="1390"/>
      <c r="P347" s="1390"/>
      <c r="Q347" s="1390"/>
      <c r="R347" s="1390"/>
      <c r="S347" s="1390"/>
      <c r="T347" s="1390"/>
      <c r="U347" s="1390"/>
      <c r="V347" s="1390"/>
      <c r="W347" s="1390"/>
      <c r="X347" s="1390"/>
      <c r="Y347" s="1390"/>
      <c r="Z347" s="1390"/>
      <c r="AA347" s="1390"/>
      <c r="AB347" s="1390"/>
      <c r="AC347" s="1390"/>
      <c r="AD347" s="1390"/>
      <c r="AE347" s="1390"/>
      <c r="AF347" s="1390"/>
      <c r="AG347" s="1390"/>
      <c r="AH347" s="1390"/>
      <c r="AI347" s="1390"/>
      <c r="AJ347" s="1390"/>
      <c r="AK347" s="1390"/>
    </row>
    <row r="348" spans="3:37" ht="17.25" customHeight="1" x14ac:dyDescent="0.35">
      <c r="C348" s="1390"/>
      <c r="D348" s="1390"/>
      <c r="E348" s="1390"/>
      <c r="F348" s="1390"/>
      <c r="G348" s="1390"/>
      <c r="H348" s="1390"/>
      <c r="I348" s="1390"/>
      <c r="J348" s="1390"/>
      <c r="K348" s="1390"/>
      <c r="L348" s="1390"/>
      <c r="M348" s="1390"/>
      <c r="N348" s="1390"/>
      <c r="O348" s="1390"/>
      <c r="P348" s="1390"/>
      <c r="Q348" s="1390"/>
      <c r="R348" s="1390"/>
      <c r="S348" s="1390"/>
      <c r="T348" s="1390"/>
      <c r="U348" s="1390"/>
      <c r="V348" s="1390"/>
      <c r="W348" s="1390"/>
      <c r="X348" s="1390"/>
      <c r="Y348" s="1390"/>
      <c r="Z348" s="1390"/>
      <c r="AA348" s="1390"/>
      <c r="AB348" s="1390"/>
      <c r="AC348" s="1390"/>
      <c r="AD348" s="1390"/>
      <c r="AE348" s="1390"/>
      <c r="AF348" s="1390"/>
      <c r="AG348" s="1390"/>
      <c r="AH348" s="1390"/>
      <c r="AI348" s="1390"/>
      <c r="AJ348" s="1390"/>
      <c r="AK348" s="1390"/>
    </row>
    <row r="349" spans="3:37" ht="17.25" customHeight="1" x14ac:dyDescent="0.35">
      <c r="C349" s="1390"/>
      <c r="D349" s="1390"/>
      <c r="E349" s="1390"/>
      <c r="F349" s="1390"/>
      <c r="G349" s="1390"/>
      <c r="H349" s="1390"/>
      <c r="I349" s="1390"/>
      <c r="J349" s="1390"/>
      <c r="K349" s="1390"/>
      <c r="L349" s="1390"/>
      <c r="M349" s="1390"/>
      <c r="N349" s="1390"/>
      <c r="O349" s="1390"/>
      <c r="P349" s="1390"/>
      <c r="Q349" s="1390"/>
      <c r="R349" s="1390"/>
      <c r="S349" s="1390"/>
      <c r="T349" s="1390"/>
      <c r="U349" s="1390"/>
      <c r="V349" s="1390"/>
      <c r="W349" s="1390"/>
      <c r="X349" s="1390"/>
      <c r="Y349" s="1390"/>
      <c r="Z349" s="1390"/>
      <c r="AA349" s="1390"/>
      <c r="AB349" s="1390"/>
      <c r="AC349" s="1390"/>
      <c r="AD349" s="1390"/>
      <c r="AE349" s="1390"/>
      <c r="AF349" s="1390"/>
      <c r="AG349" s="1390"/>
      <c r="AH349" s="1390"/>
      <c r="AI349" s="1390"/>
      <c r="AJ349" s="1390"/>
      <c r="AK349" s="1390"/>
    </row>
    <row r="350" spans="3:37" ht="17.25" customHeight="1" x14ac:dyDescent="0.35">
      <c r="C350" s="1390"/>
      <c r="D350" s="1390"/>
      <c r="E350" s="1390"/>
      <c r="F350" s="1390"/>
      <c r="G350" s="1390"/>
      <c r="H350" s="1390"/>
      <c r="I350" s="1390"/>
      <c r="J350" s="1390"/>
      <c r="K350" s="1390"/>
      <c r="L350" s="1390"/>
      <c r="M350" s="1390"/>
      <c r="N350" s="1390"/>
      <c r="O350" s="1390"/>
      <c r="P350" s="1390"/>
      <c r="Q350" s="1390"/>
      <c r="R350" s="1390"/>
      <c r="S350" s="1390"/>
      <c r="T350" s="1390"/>
      <c r="U350" s="1390"/>
      <c r="V350" s="1390"/>
      <c r="W350" s="1390"/>
      <c r="X350" s="1390"/>
      <c r="Y350" s="1390"/>
      <c r="Z350" s="1390"/>
      <c r="AA350" s="1390"/>
      <c r="AB350" s="1390"/>
      <c r="AC350" s="1390"/>
      <c r="AD350" s="1390"/>
      <c r="AE350" s="1390"/>
      <c r="AF350" s="1390"/>
      <c r="AG350" s="1390"/>
      <c r="AH350" s="1390"/>
      <c r="AI350" s="1390"/>
      <c r="AJ350" s="1390"/>
      <c r="AK350" s="1390"/>
    </row>
    <row r="351" spans="3:37" ht="17.25" customHeight="1" x14ac:dyDescent="0.35">
      <c r="C351" s="1390"/>
      <c r="D351" s="1390"/>
      <c r="E351" s="1390"/>
      <c r="F351" s="1390"/>
      <c r="G351" s="1390"/>
      <c r="H351" s="1390"/>
      <c r="I351" s="1390"/>
      <c r="J351" s="1390"/>
      <c r="K351" s="1390"/>
      <c r="L351" s="1390"/>
      <c r="M351" s="1390"/>
      <c r="N351" s="1390"/>
      <c r="O351" s="1390"/>
      <c r="P351" s="1390"/>
      <c r="Q351" s="1390"/>
      <c r="R351" s="1390"/>
      <c r="S351" s="1390"/>
      <c r="T351" s="1390"/>
      <c r="U351" s="1390"/>
      <c r="V351" s="1390"/>
      <c r="W351" s="1390"/>
      <c r="X351" s="1390"/>
      <c r="Y351" s="1390"/>
      <c r="Z351" s="1390"/>
      <c r="AA351" s="1390"/>
      <c r="AB351" s="1390"/>
      <c r="AC351" s="1390"/>
      <c r="AD351" s="1390"/>
      <c r="AE351" s="1390"/>
      <c r="AF351" s="1390"/>
      <c r="AG351" s="1390"/>
      <c r="AH351" s="1390"/>
      <c r="AI351" s="1390"/>
      <c r="AJ351" s="1390"/>
      <c r="AK351" s="1390"/>
    </row>
    <row r="352" spans="3:37" ht="17.25" customHeight="1" x14ac:dyDescent="0.35">
      <c r="C352" s="1390"/>
      <c r="D352" s="1390"/>
      <c r="E352" s="1390"/>
      <c r="F352" s="1390"/>
      <c r="G352" s="1390"/>
      <c r="H352" s="1390"/>
      <c r="I352" s="1390"/>
      <c r="J352" s="1390"/>
      <c r="K352" s="1390"/>
      <c r="L352" s="1390"/>
      <c r="M352" s="1390"/>
      <c r="N352" s="1390"/>
      <c r="O352" s="1390"/>
      <c r="P352" s="1390"/>
      <c r="Q352" s="1390"/>
      <c r="R352" s="1390"/>
      <c r="S352" s="1390"/>
      <c r="T352" s="1390"/>
      <c r="U352" s="1390"/>
      <c r="V352" s="1390"/>
      <c r="W352" s="1390"/>
      <c r="X352" s="1390"/>
      <c r="Y352" s="1390"/>
      <c r="Z352" s="1390"/>
      <c r="AA352" s="1390"/>
      <c r="AB352" s="1390"/>
      <c r="AC352" s="1390"/>
      <c r="AD352" s="1390"/>
      <c r="AE352" s="1390"/>
      <c r="AF352" s="1390"/>
      <c r="AG352" s="1390"/>
      <c r="AH352" s="1390"/>
      <c r="AI352" s="1390"/>
      <c r="AJ352" s="1390"/>
      <c r="AK352" s="1390"/>
    </row>
    <row r="353" spans="3:37" ht="17.25" customHeight="1" x14ac:dyDescent="0.35">
      <c r="C353" s="1390"/>
      <c r="D353" s="1390"/>
      <c r="E353" s="1390"/>
      <c r="F353" s="1390"/>
      <c r="G353" s="1390"/>
      <c r="H353" s="1390"/>
      <c r="I353" s="1390"/>
      <c r="J353" s="1390"/>
      <c r="K353" s="1390"/>
      <c r="L353" s="1390"/>
      <c r="M353" s="1390"/>
      <c r="N353" s="1390"/>
      <c r="O353" s="1390"/>
      <c r="P353" s="1390"/>
      <c r="Q353" s="1390"/>
      <c r="R353" s="1390"/>
      <c r="S353" s="1390"/>
      <c r="T353" s="1390"/>
      <c r="U353" s="1390"/>
      <c r="V353" s="1390"/>
      <c r="W353" s="1390"/>
      <c r="X353" s="1390"/>
      <c r="Y353" s="1390"/>
      <c r="Z353" s="1390"/>
      <c r="AA353" s="1390"/>
      <c r="AB353" s="1390"/>
      <c r="AC353" s="1390"/>
      <c r="AD353" s="1390"/>
      <c r="AE353" s="1390"/>
      <c r="AF353" s="1390"/>
      <c r="AG353" s="1390"/>
      <c r="AH353" s="1390"/>
      <c r="AI353" s="1390"/>
      <c r="AJ353" s="1390"/>
      <c r="AK353" s="1390"/>
    </row>
    <row r="354" spans="3:37" ht="17.25" customHeight="1" x14ac:dyDescent="0.35">
      <c r="C354" s="1390"/>
      <c r="D354" s="1390"/>
      <c r="E354" s="1390"/>
      <c r="F354" s="1390"/>
      <c r="G354" s="1390"/>
      <c r="H354" s="1390"/>
      <c r="I354" s="1390"/>
      <c r="J354" s="1390"/>
      <c r="K354" s="1390"/>
      <c r="L354" s="1390"/>
      <c r="M354" s="1390"/>
      <c r="N354" s="1390"/>
      <c r="O354" s="1390"/>
      <c r="P354" s="1390"/>
      <c r="Q354" s="1390"/>
      <c r="R354" s="1390"/>
      <c r="S354" s="1390"/>
      <c r="T354" s="1390"/>
      <c r="U354" s="1390"/>
      <c r="V354" s="1390"/>
      <c r="W354" s="1390"/>
      <c r="X354" s="1390"/>
      <c r="Y354" s="1390"/>
      <c r="Z354" s="1390"/>
      <c r="AA354" s="1390"/>
      <c r="AB354" s="1390"/>
      <c r="AC354" s="1390"/>
      <c r="AD354" s="1390"/>
      <c r="AE354" s="1390"/>
      <c r="AF354" s="1390"/>
      <c r="AG354" s="1390"/>
      <c r="AH354" s="1390"/>
      <c r="AI354" s="1390"/>
      <c r="AJ354" s="1390"/>
      <c r="AK354" s="1390"/>
    </row>
    <row r="355" spans="3:37" ht="17.25" customHeight="1" x14ac:dyDescent="0.35">
      <c r="C355" s="1390"/>
      <c r="D355" s="1390"/>
      <c r="E355" s="1390"/>
      <c r="F355" s="1390"/>
      <c r="G355" s="1390"/>
      <c r="H355" s="1390"/>
      <c r="I355" s="1390"/>
      <c r="J355" s="1390"/>
      <c r="K355" s="1390"/>
      <c r="L355" s="1390"/>
      <c r="M355" s="1390"/>
      <c r="N355" s="1390"/>
      <c r="O355" s="1390"/>
      <c r="P355" s="1390"/>
      <c r="Q355" s="1390"/>
      <c r="R355" s="1390"/>
      <c r="S355" s="1390"/>
      <c r="T355" s="1390"/>
      <c r="U355" s="1390"/>
      <c r="V355" s="1390"/>
      <c r="W355" s="1390"/>
      <c r="X355" s="1390"/>
      <c r="Y355" s="1390"/>
      <c r="Z355" s="1390"/>
      <c r="AA355" s="1390"/>
      <c r="AB355" s="1390"/>
      <c r="AC355" s="1390"/>
      <c r="AD355" s="1390"/>
      <c r="AE355" s="1390"/>
      <c r="AF355" s="1390"/>
      <c r="AG355" s="1390"/>
      <c r="AH355" s="1390"/>
      <c r="AI355" s="1390"/>
      <c r="AJ355" s="1390"/>
      <c r="AK355" s="1390"/>
    </row>
    <row r="356" spans="3:37" ht="17.25" customHeight="1" x14ac:dyDescent="0.35">
      <c r="C356" s="1390"/>
      <c r="D356" s="1390"/>
      <c r="E356" s="1390"/>
      <c r="F356" s="1390"/>
      <c r="G356" s="1390"/>
      <c r="H356" s="1390"/>
      <c r="I356" s="1390"/>
      <c r="J356" s="1390"/>
      <c r="K356" s="1390"/>
      <c r="L356" s="1390"/>
      <c r="M356" s="1390"/>
      <c r="N356" s="1390"/>
      <c r="O356" s="1390"/>
      <c r="P356" s="1390"/>
      <c r="Q356" s="1390"/>
      <c r="R356" s="1390"/>
      <c r="S356" s="1390"/>
      <c r="T356" s="1390"/>
      <c r="U356" s="1390"/>
      <c r="V356" s="1390"/>
      <c r="W356" s="1390"/>
      <c r="X356" s="1390"/>
      <c r="Y356" s="1390"/>
      <c r="Z356" s="1390"/>
      <c r="AA356" s="1390"/>
      <c r="AB356" s="1390"/>
      <c r="AC356" s="1390"/>
      <c r="AD356" s="1390"/>
      <c r="AE356" s="1390"/>
      <c r="AF356" s="1390"/>
      <c r="AG356" s="1390"/>
      <c r="AH356" s="1390"/>
      <c r="AI356" s="1390"/>
      <c r="AJ356" s="1390"/>
      <c r="AK356" s="1390"/>
    </row>
    <row r="357" spans="3:37" ht="17.25" customHeight="1" x14ac:dyDescent="0.35">
      <c r="C357" s="1390"/>
      <c r="D357" s="1390"/>
      <c r="E357" s="1390"/>
      <c r="F357" s="1390"/>
      <c r="G357" s="1390"/>
      <c r="H357" s="1390"/>
      <c r="I357" s="1390"/>
      <c r="J357" s="1390"/>
      <c r="K357" s="1390"/>
      <c r="L357" s="1390"/>
      <c r="M357" s="1390"/>
      <c r="N357" s="1390"/>
      <c r="O357" s="1390"/>
      <c r="P357" s="1390"/>
      <c r="Q357" s="1390"/>
      <c r="R357" s="1390"/>
      <c r="S357" s="1390"/>
      <c r="T357" s="1390"/>
      <c r="U357" s="1390"/>
      <c r="V357" s="1390"/>
      <c r="W357" s="1390"/>
      <c r="X357" s="1390"/>
      <c r="Y357" s="1390"/>
      <c r="Z357" s="1390"/>
      <c r="AA357" s="1390"/>
      <c r="AB357" s="1390"/>
      <c r="AC357" s="1390"/>
      <c r="AD357" s="1390"/>
      <c r="AE357" s="1390"/>
      <c r="AF357" s="1390"/>
      <c r="AG357" s="1390"/>
      <c r="AH357" s="1390"/>
      <c r="AI357" s="1390"/>
      <c r="AJ357" s="1390"/>
      <c r="AK357" s="1390"/>
    </row>
    <row r="358" spans="3:37" ht="17.25" customHeight="1" x14ac:dyDescent="0.35">
      <c r="C358" s="1390"/>
      <c r="D358" s="1390"/>
      <c r="E358" s="1390"/>
      <c r="F358" s="1390"/>
      <c r="G358" s="1390"/>
      <c r="H358" s="1390"/>
      <c r="I358" s="1390"/>
      <c r="J358" s="1390"/>
      <c r="K358" s="1390"/>
      <c r="L358" s="1390"/>
      <c r="M358" s="1390"/>
      <c r="N358" s="1390"/>
      <c r="O358" s="1390"/>
      <c r="P358" s="1390"/>
      <c r="Q358" s="1390"/>
      <c r="R358" s="1390"/>
      <c r="S358" s="1390"/>
      <c r="T358" s="1390"/>
      <c r="U358" s="1390"/>
      <c r="V358" s="1390"/>
      <c r="W358" s="1390"/>
      <c r="X358" s="1390"/>
      <c r="Y358" s="1390"/>
      <c r="Z358" s="1390"/>
      <c r="AA358" s="1390"/>
      <c r="AB358" s="1390"/>
      <c r="AC358" s="1390"/>
      <c r="AD358" s="1390"/>
      <c r="AE358" s="1390"/>
      <c r="AF358" s="1390"/>
      <c r="AG358" s="1390"/>
      <c r="AH358" s="1390"/>
      <c r="AI358" s="1390"/>
      <c r="AJ358" s="1390"/>
      <c r="AK358" s="1390"/>
    </row>
    <row r="359" spans="3:37" ht="17.25" customHeight="1" x14ac:dyDescent="0.35">
      <c r="C359" s="1390"/>
      <c r="D359" s="1390"/>
      <c r="E359" s="1390"/>
      <c r="F359" s="1390"/>
      <c r="G359" s="1390"/>
      <c r="H359" s="1390"/>
      <c r="I359" s="1390"/>
      <c r="J359" s="1390"/>
      <c r="K359" s="1390"/>
      <c r="L359" s="1390"/>
      <c r="M359" s="1390"/>
      <c r="N359" s="1390"/>
      <c r="O359" s="1390"/>
      <c r="P359" s="1390"/>
      <c r="Q359" s="1390"/>
      <c r="R359" s="1390"/>
      <c r="S359" s="1390"/>
      <c r="T359" s="1390"/>
      <c r="U359" s="1390"/>
      <c r="V359" s="1390"/>
      <c r="W359" s="1390"/>
      <c r="X359" s="1390"/>
      <c r="Y359" s="1390"/>
      <c r="Z359" s="1390"/>
      <c r="AA359" s="1390"/>
      <c r="AB359" s="1390"/>
      <c r="AC359" s="1390"/>
      <c r="AD359" s="1390"/>
      <c r="AE359" s="1390"/>
      <c r="AF359" s="1390"/>
      <c r="AG359" s="1390"/>
      <c r="AH359" s="1390"/>
      <c r="AI359" s="1390"/>
      <c r="AJ359" s="1390"/>
      <c r="AK359" s="1390"/>
    </row>
    <row r="360" spans="3:37" ht="17.25" customHeight="1" x14ac:dyDescent="0.35">
      <c r="C360" s="1390"/>
      <c r="D360" s="1390"/>
      <c r="E360" s="1390"/>
      <c r="F360" s="1390"/>
      <c r="G360" s="1390"/>
      <c r="H360" s="1390"/>
      <c r="I360" s="1390"/>
      <c r="J360" s="1390"/>
      <c r="K360" s="1390"/>
      <c r="L360" s="1390"/>
      <c r="M360" s="1390"/>
      <c r="N360" s="1390"/>
      <c r="O360" s="1390"/>
      <c r="P360" s="1390"/>
      <c r="Q360" s="1390"/>
      <c r="R360" s="1390"/>
      <c r="S360" s="1390"/>
      <c r="T360" s="1390"/>
      <c r="U360" s="1390"/>
      <c r="V360" s="1390"/>
      <c r="W360" s="1390"/>
      <c r="X360" s="1390"/>
      <c r="Y360" s="1390"/>
      <c r="Z360" s="1390"/>
      <c r="AA360" s="1390"/>
      <c r="AB360" s="1390"/>
      <c r="AC360" s="1390"/>
      <c r="AD360" s="1390"/>
      <c r="AE360" s="1390"/>
      <c r="AF360" s="1390"/>
      <c r="AG360" s="1390"/>
      <c r="AH360" s="1390"/>
      <c r="AI360" s="1390"/>
      <c r="AJ360" s="1390"/>
      <c r="AK360" s="1390"/>
    </row>
    <row r="361" spans="3:37" ht="17.25" customHeight="1" x14ac:dyDescent="0.35">
      <c r="C361" s="1390"/>
      <c r="D361" s="1390"/>
      <c r="E361" s="1390"/>
      <c r="F361" s="1390"/>
      <c r="G361" s="1390"/>
      <c r="H361" s="1390"/>
      <c r="I361" s="1390"/>
      <c r="J361" s="1390"/>
      <c r="K361" s="1390"/>
      <c r="L361" s="1390"/>
      <c r="M361" s="1390"/>
      <c r="N361" s="1390"/>
      <c r="O361" s="1390"/>
      <c r="P361" s="1390"/>
      <c r="Q361" s="1390"/>
      <c r="R361" s="1390"/>
      <c r="S361" s="1390"/>
      <c r="T361" s="1390"/>
      <c r="U361" s="1390"/>
      <c r="V361" s="1390"/>
      <c r="W361" s="1390"/>
      <c r="X361" s="1390"/>
      <c r="Y361" s="1390"/>
      <c r="Z361" s="1390"/>
      <c r="AA361" s="1390"/>
      <c r="AB361" s="1390"/>
      <c r="AC361" s="1390"/>
      <c r="AD361" s="1390"/>
      <c r="AE361" s="1390"/>
      <c r="AF361" s="1390"/>
      <c r="AG361" s="1390"/>
      <c r="AH361" s="1390"/>
      <c r="AI361" s="1390"/>
      <c r="AJ361" s="1390"/>
      <c r="AK361" s="1390"/>
    </row>
    <row r="362" spans="3:37" ht="17.25" customHeight="1" x14ac:dyDescent="0.35">
      <c r="C362" s="1390"/>
      <c r="D362" s="1390"/>
      <c r="E362" s="1390"/>
      <c r="F362" s="1390"/>
      <c r="G362" s="1390"/>
      <c r="H362" s="1390"/>
      <c r="I362" s="1390"/>
      <c r="J362" s="1390"/>
      <c r="K362" s="1390"/>
      <c r="L362" s="1390"/>
      <c r="M362" s="1390"/>
      <c r="N362" s="1390"/>
      <c r="O362" s="1390"/>
      <c r="P362" s="1390"/>
      <c r="Q362" s="1390"/>
      <c r="R362" s="1390"/>
      <c r="S362" s="1390"/>
      <c r="T362" s="1390"/>
      <c r="U362" s="1390"/>
      <c r="V362" s="1390"/>
      <c r="W362" s="1390"/>
      <c r="X362" s="1390"/>
      <c r="Y362" s="1390"/>
      <c r="Z362" s="1390"/>
      <c r="AA362" s="1390"/>
      <c r="AB362" s="1390"/>
      <c r="AC362" s="1390"/>
      <c r="AD362" s="1390"/>
      <c r="AE362" s="1390"/>
      <c r="AF362" s="1390"/>
      <c r="AG362" s="1390"/>
      <c r="AH362" s="1390"/>
      <c r="AI362" s="1390"/>
      <c r="AJ362" s="1390"/>
      <c r="AK362" s="1390"/>
    </row>
    <row r="363" spans="3:37" ht="17.25" customHeight="1" x14ac:dyDescent="0.35">
      <c r="C363" s="1390"/>
      <c r="D363" s="1390"/>
      <c r="E363" s="1390"/>
      <c r="F363" s="1390"/>
      <c r="G363" s="1390"/>
      <c r="H363" s="1390"/>
      <c r="I363" s="1390"/>
      <c r="J363" s="1390"/>
      <c r="K363" s="1390"/>
      <c r="L363" s="1390"/>
      <c r="M363" s="1390"/>
      <c r="N363" s="1390"/>
      <c r="O363" s="1390"/>
      <c r="P363" s="1390"/>
      <c r="Q363" s="1390"/>
      <c r="R363" s="1390"/>
      <c r="S363" s="1390"/>
      <c r="T363" s="1390"/>
      <c r="U363" s="1390"/>
      <c r="V363" s="1390"/>
      <c r="W363" s="1390"/>
      <c r="X363" s="1390"/>
      <c r="Y363" s="1390"/>
      <c r="Z363" s="1390"/>
      <c r="AA363" s="1390"/>
      <c r="AB363" s="1390"/>
      <c r="AC363" s="1390"/>
      <c r="AD363" s="1390"/>
      <c r="AE363" s="1390"/>
      <c r="AF363" s="1390"/>
      <c r="AG363" s="1390"/>
      <c r="AH363" s="1390"/>
      <c r="AI363" s="1390"/>
      <c r="AJ363" s="1390"/>
      <c r="AK363" s="1390"/>
    </row>
    <row r="364" spans="3:37" ht="17.25" customHeight="1" x14ac:dyDescent="0.35">
      <c r="C364" s="1390"/>
      <c r="D364" s="1390"/>
      <c r="E364" s="1390"/>
      <c r="F364" s="1390"/>
      <c r="G364" s="1390"/>
      <c r="H364" s="1390"/>
      <c r="I364" s="1390"/>
      <c r="J364" s="1390"/>
      <c r="K364" s="1390"/>
      <c r="L364" s="1390"/>
      <c r="M364" s="1390"/>
      <c r="N364" s="1390"/>
      <c r="O364" s="1390"/>
      <c r="P364" s="1390"/>
      <c r="Q364" s="1390"/>
      <c r="R364" s="1390"/>
      <c r="S364" s="1390"/>
      <c r="T364" s="1390"/>
      <c r="U364" s="1390"/>
      <c r="V364" s="1390"/>
      <c r="W364" s="1390"/>
      <c r="X364" s="1390"/>
      <c r="Y364" s="1390"/>
      <c r="Z364" s="1390"/>
      <c r="AA364" s="1390"/>
      <c r="AB364" s="1390"/>
      <c r="AC364" s="1390"/>
      <c r="AD364" s="1390"/>
      <c r="AE364" s="1390"/>
      <c r="AF364" s="1390"/>
      <c r="AG364" s="1390"/>
      <c r="AH364" s="1390"/>
      <c r="AI364" s="1390"/>
      <c r="AJ364" s="1390"/>
      <c r="AK364" s="1390"/>
    </row>
    <row r="365" spans="3:37" ht="17.25" customHeight="1" x14ac:dyDescent="0.35">
      <c r="C365" s="1390"/>
      <c r="D365" s="1390"/>
      <c r="E365" s="1390"/>
      <c r="F365" s="1390"/>
      <c r="G365" s="1390"/>
      <c r="H365" s="1390"/>
      <c r="I365" s="1390"/>
      <c r="J365" s="1390"/>
      <c r="K365" s="1390"/>
      <c r="L365" s="1390"/>
      <c r="M365" s="1390"/>
      <c r="N365" s="1390"/>
      <c r="O365" s="1390"/>
      <c r="P365" s="1390"/>
      <c r="Q365" s="1390"/>
      <c r="R365" s="1390"/>
      <c r="S365" s="1390"/>
      <c r="T365" s="1390"/>
      <c r="U365" s="1390"/>
      <c r="V365" s="1390"/>
      <c r="W365" s="1390"/>
      <c r="X365" s="1390"/>
      <c r="Y365" s="1390"/>
      <c r="Z365" s="1390"/>
      <c r="AA365" s="1390"/>
      <c r="AB365" s="1390"/>
      <c r="AC365" s="1390"/>
      <c r="AD365" s="1390"/>
      <c r="AE365" s="1390"/>
      <c r="AF365" s="1390"/>
      <c r="AG365" s="1390"/>
      <c r="AH365" s="1390"/>
      <c r="AI365" s="1390"/>
      <c r="AJ365" s="1390"/>
      <c r="AK365" s="1390"/>
    </row>
    <row r="366" spans="3:37" ht="17.25" customHeight="1" x14ac:dyDescent="0.35">
      <c r="C366" s="1390"/>
      <c r="D366" s="1390"/>
      <c r="E366" s="1390"/>
      <c r="F366" s="1390"/>
      <c r="G366" s="1390"/>
      <c r="H366" s="1390"/>
      <c r="I366" s="1390"/>
      <c r="J366" s="1390"/>
      <c r="K366" s="1390"/>
      <c r="L366" s="1390"/>
      <c r="M366" s="1390"/>
      <c r="N366" s="1390"/>
      <c r="O366" s="1390"/>
      <c r="P366" s="1390"/>
      <c r="Q366" s="1390"/>
      <c r="R366" s="1390"/>
      <c r="S366" s="1390"/>
      <c r="T366" s="1390"/>
      <c r="U366" s="1390"/>
      <c r="V366" s="1390"/>
      <c r="W366" s="1390"/>
      <c r="X366" s="1390"/>
      <c r="Y366" s="1390"/>
      <c r="Z366" s="1390"/>
      <c r="AA366" s="1390"/>
      <c r="AB366" s="1390"/>
      <c r="AC366" s="1390"/>
      <c r="AD366" s="1390"/>
      <c r="AE366" s="1390"/>
      <c r="AF366" s="1390"/>
      <c r="AG366" s="1390"/>
      <c r="AH366" s="1390"/>
      <c r="AI366" s="1390"/>
      <c r="AJ366" s="1390"/>
      <c r="AK366" s="1390"/>
    </row>
    <row r="367" spans="3:37" ht="17.25" customHeight="1" x14ac:dyDescent="0.35">
      <c r="C367" s="1390"/>
      <c r="D367" s="1390"/>
      <c r="E367" s="1390"/>
      <c r="F367" s="1390"/>
      <c r="G367" s="1390"/>
      <c r="H367" s="1390"/>
      <c r="I367" s="1390"/>
      <c r="J367" s="1390"/>
      <c r="K367" s="1390"/>
      <c r="L367" s="1390"/>
      <c r="M367" s="1390"/>
      <c r="N367" s="1390"/>
      <c r="O367" s="1390"/>
      <c r="P367" s="1390"/>
      <c r="Q367" s="1390"/>
      <c r="R367" s="1390"/>
      <c r="S367" s="1390"/>
      <c r="T367" s="1390"/>
      <c r="U367" s="1390"/>
      <c r="V367" s="1390"/>
      <c r="W367" s="1390"/>
      <c r="X367" s="1390"/>
      <c r="Y367" s="1390"/>
      <c r="Z367" s="1390"/>
      <c r="AA367" s="1390"/>
      <c r="AB367" s="1390"/>
      <c r="AC367" s="1390"/>
      <c r="AD367" s="1390"/>
      <c r="AE367" s="1390"/>
      <c r="AF367" s="1390"/>
      <c r="AG367" s="1390"/>
      <c r="AH367" s="1390"/>
      <c r="AI367" s="1390"/>
      <c r="AJ367" s="1390"/>
      <c r="AK367" s="1390"/>
    </row>
    <row r="368" spans="3:37" ht="17.25" customHeight="1" x14ac:dyDescent="0.35">
      <c r="C368" s="1390"/>
      <c r="D368" s="1390"/>
      <c r="E368" s="1390"/>
      <c r="F368" s="1390"/>
      <c r="G368" s="1390"/>
      <c r="H368" s="1390"/>
      <c r="I368" s="1390"/>
      <c r="J368" s="1390"/>
      <c r="K368" s="1390"/>
      <c r="L368" s="1390"/>
      <c r="M368" s="1390"/>
      <c r="N368" s="1390"/>
      <c r="O368" s="1390"/>
      <c r="P368" s="1390"/>
      <c r="Q368" s="1390"/>
      <c r="R368" s="1390"/>
      <c r="S368" s="1390"/>
      <c r="T368" s="1390"/>
      <c r="U368" s="1390"/>
      <c r="V368" s="1390"/>
      <c r="W368" s="1390"/>
      <c r="X368" s="1390"/>
      <c r="Y368" s="1390"/>
      <c r="Z368" s="1390"/>
      <c r="AA368" s="1390"/>
      <c r="AB368" s="1390"/>
      <c r="AC368" s="1390"/>
      <c r="AD368" s="1390"/>
      <c r="AE368" s="1390"/>
      <c r="AF368" s="1390"/>
      <c r="AG368" s="1390"/>
      <c r="AH368" s="1390"/>
      <c r="AI368" s="1390"/>
      <c r="AJ368" s="1390"/>
      <c r="AK368" s="1390"/>
    </row>
    <row r="369" spans="3:37" ht="17.25" customHeight="1" x14ac:dyDescent="0.35">
      <c r="C369" s="1390"/>
      <c r="D369" s="1390"/>
      <c r="E369" s="1390"/>
      <c r="F369" s="1390"/>
      <c r="G369" s="1390"/>
      <c r="H369" s="1390"/>
      <c r="I369" s="1390"/>
      <c r="J369" s="1390"/>
      <c r="K369" s="1390"/>
      <c r="L369" s="1390"/>
      <c r="M369" s="1390"/>
      <c r="N369" s="1390"/>
      <c r="O369" s="1390"/>
      <c r="P369" s="1390"/>
      <c r="Q369" s="1390"/>
      <c r="R369" s="1390"/>
      <c r="S369" s="1390"/>
      <c r="T369" s="1390"/>
      <c r="U369" s="1390"/>
      <c r="V369" s="1390"/>
      <c r="W369" s="1390"/>
      <c r="X369" s="1390"/>
      <c r="Y369" s="1390"/>
      <c r="Z369" s="1390"/>
      <c r="AA369" s="1390"/>
      <c r="AB369" s="1390"/>
      <c r="AC369" s="1390"/>
      <c r="AD369" s="1390"/>
      <c r="AE369" s="1390"/>
      <c r="AF369" s="1390"/>
      <c r="AG369" s="1390"/>
      <c r="AH369" s="1390"/>
      <c r="AI369" s="1390"/>
      <c r="AJ369" s="1390"/>
      <c r="AK369" s="1390"/>
    </row>
    <row r="370" spans="3:37" ht="17.25" customHeight="1" x14ac:dyDescent="0.35">
      <c r="C370" s="1390"/>
      <c r="D370" s="1390"/>
      <c r="E370" s="1390"/>
      <c r="F370" s="1390"/>
      <c r="G370" s="1390"/>
      <c r="H370" s="1390"/>
      <c r="I370" s="1390"/>
      <c r="J370" s="1390"/>
      <c r="K370" s="1390"/>
      <c r="L370" s="1390"/>
      <c r="M370" s="1390"/>
      <c r="N370" s="1390"/>
      <c r="O370" s="1390"/>
      <c r="P370" s="1390"/>
      <c r="Q370" s="1390"/>
      <c r="R370" s="1390"/>
      <c r="S370" s="1390"/>
      <c r="T370" s="1390"/>
      <c r="U370" s="1390"/>
      <c r="V370" s="1390"/>
      <c r="W370" s="1390"/>
      <c r="X370" s="1390"/>
      <c r="Y370" s="1390"/>
      <c r="Z370" s="1390"/>
      <c r="AA370" s="1390"/>
      <c r="AB370" s="1390"/>
      <c r="AC370" s="1390"/>
      <c r="AD370" s="1390"/>
      <c r="AE370" s="1390"/>
      <c r="AF370" s="1390"/>
      <c r="AG370" s="1390"/>
      <c r="AH370" s="1390"/>
      <c r="AI370" s="1390"/>
      <c r="AJ370" s="1390"/>
      <c r="AK370" s="1390"/>
    </row>
    <row r="371" spans="3:37" ht="17.25" customHeight="1" x14ac:dyDescent="0.35">
      <c r="C371" s="1390"/>
      <c r="D371" s="1390"/>
      <c r="E371" s="1390"/>
      <c r="F371" s="1390"/>
      <c r="G371" s="1390"/>
      <c r="H371" s="1390"/>
      <c r="I371" s="1390"/>
      <c r="J371" s="1390"/>
      <c r="K371" s="1390"/>
      <c r="L371" s="1390"/>
      <c r="M371" s="1390"/>
      <c r="N371" s="1390"/>
      <c r="O371" s="1390"/>
      <c r="P371" s="1390"/>
      <c r="Q371" s="1390"/>
      <c r="R371" s="1390"/>
      <c r="S371" s="1390"/>
      <c r="T371" s="1390"/>
      <c r="U371" s="1390"/>
      <c r="V371" s="1390"/>
      <c r="W371" s="1390"/>
      <c r="X371" s="1390"/>
      <c r="Y371" s="1390"/>
      <c r="Z371" s="1390"/>
      <c r="AA371" s="1390"/>
      <c r="AB371" s="1390"/>
      <c r="AC371" s="1390"/>
      <c r="AD371" s="1390"/>
      <c r="AE371" s="1390"/>
      <c r="AF371" s="1390"/>
      <c r="AG371" s="1390"/>
      <c r="AH371" s="1390"/>
      <c r="AI371" s="1390"/>
      <c r="AJ371" s="1390"/>
      <c r="AK371" s="1390"/>
    </row>
    <row r="372" spans="3:37" ht="17.25" customHeight="1" x14ac:dyDescent="0.35">
      <c r="C372" s="1390"/>
      <c r="D372" s="1390"/>
      <c r="E372" s="1390"/>
      <c r="F372" s="1390"/>
      <c r="G372" s="1390"/>
      <c r="H372" s="1390"/>
      <c r="I372" s="1390"/>
      <c r="J372" s="1390"/>
      <c r="K372" s="1390"/>
      <c r="L372" s="1390"/>
      <c r="M372" s="1390"/>
      <c r="N372" s="1390"/>
      <c r="O372" s="1390"/>
      <c r="P372" s="1390"/>
      <c r="Q372" s="1390"/>
      <c r="R372" s="1390"/>
      <c r="S372" s="1390"/>
      <c r="T372" s="1390"/>
      <c r="U372" s="1390"/>
      <c r="V372" s="1390"/>
      <c r="W372" s="1390"/>
      <c r="X372" s="1390"/>
      <c r="Y372" s="1390"/>
      <c r="Z372" s="1390"/>
      <c r="AA372" s="1390"/>
      <c r="AB372" s="1390"/>
      <c r="AC372" s="1390"/>
      <c r="AD372" s="1390"/>
      <c r="AE372" s="1390"/>
      <c r="AF372" s="1390"/>
      <c r="AG372" s="1390"/>
      <c r="AH372" s="1390"/>
      <c r="AI372" s="1390"/>
      <c r="AJ372" s="1390"/>
      <c r="AK372" s="1390"/>
    </row>
    <row r="373" spans="3:37" ht="17.25" customHeight="1" x14ac:dyDescent="0.35">
      <c r="C373" s="1390"/>
      <c r="D373" s="1390"/>
      <c r="E373" s="1390"/>
      <c r="F373" s="1390"/>
      <c r="G373" s="1390"/>
      <c r="H373" s="1390"/>
      <c r="I373" s="1390"/>
      <c r="J373" s="1390"/>
      <c r="K373" s="1390"/>
      <c r="L373" s="1390"/>
      <c r="M373" s="1390"/>
      <c r="N373" s="1390"/>
      <c r="O373" s="1390"/>
      <c r="P373" s="1390"/>
      <c r="Q373" s="1390"/>
      <c r="R373" s="1390"/>
      <c r="S373" s="1390"/>
      <c r="T373" s="1390"/>
      <c r="U373" s="1390"/>
      <c r="V373" s="1390"/>
      <c r="W373" s="1390"/>
      <c r="X373" s="1390"/>
      <c r="Y373" s="1390"/>
      <c r="Z373" s="1390"/>
      <c r="AA373" s="1390"/>
      <c r="AB373" s="1390"/>
      <c r="AC373" s="1390"/>
      <c r="AD373" s="1390"/>
      <c r="AE373" s="1390"/>
      <c r="AF373" s="1390"/>
      <c r="AG373" s="1390"/>
      <c r="AH373" s="1390"/>
      <c r="AI373" s="1390"/>
      <c r="AJ373" s="1390"/>
      <c r="AK373" s="1390"/>
    </row>
    <row r="374" spans="3:37" ht="17.25" customHeight="1" x14ac:dyDescent="0.35">
      <c r="C374" s="1390"/>
      <c r="D374" s="1390"/>
      <c r="E374" s="1390"/>
      <c r="F374" s="1390"/>
      <c r="G374" s="1390"/>
      <c r="H374" s="1390"/>
      <c r="I374" s="1390"/>
      <c r="J374" s="1390"/>
      <c r="K374" s="1390"/>
      <c r="L374" s="1390"/>
      <c r="M374" s="1390"/>
      <c r="N374" s="1390"/>
      <c r="O374" s="1390"/>
      <c r="P374" s="1390"/>
      <c r="Q374" s="1390"/>
      <c r="R374" s="1390"/>
      <c r="S374" s="1390"/>
      <c r="T374" s="1390"/>
      <c r="U374" s="1390"/>
      <c r="V374" s="1390"/>
      <c r="W374" s="1390"/>
      <c r="X374" s="1390"/>
      <c r="Y374" s="1390"/>
      <c r="Z374" s="1390"/>
      <c r="AA374" s="1390"/>
      <c r="AB374" s="1390"/>
      <c r="AC374" s="1390"/>
      <c r="AD374" s="1390"/>
      <c r="AE374" s="1390"/>
      <c r="AF374" s="1390"/>
      <c r="AG374" s="1390"/>
      <c r="AH374" s="1390"/>
      <c r="AI374" s="1390"/>
      <c r="AJ374" s="1390"/>
      <c r="AK374" s="1390"/>
    </row>
    <row r="375" spans="3:37" ht="17.25" customHeight="1" x14ac:dyDescent="0.35">
      <c r="C375" s="1390"/>
      <c r="D375" s="1390"/>
      <c r="E375" s="1390"/>
      <c r="F375" s="1390"/>
      <c r="G375" s="1390"/>
      <c r="H375" s="1390"/>
      <c r="I375" s="1390"/>
      <c r="J375" s="1390"/>
      <c r="K375" s="1390"/>
      <c r="L375" s="1390"/>
      <c r="M375" s="1390"/>
      <c r="N375" s="1390"/>
      <c r="O375" s="1390"/>
      <c r="P375" s="1390"/>
      <c r="Q375" s="1390"/>
      <c r="R375" s="1390"/>
      <c r="S375" s="1390"/>
      <c r="T375" s="1390"/>
      <c r="U375" s="1390"/>
      <c r="V375" s="1390"/>
      <c r="W375" s="1390"/>
      <c r="X375" s="1390"/>
      <c r="Y375" s="1390"/>
      <c r="Z375" s="1390"/>
      <c r="AA375" s="1390"/>
      <c r="AB375" s="1390"/>
      <c r="AC375" s="1390"/>
      <c r="AD375" s="1390"/>
      <c r="AE375" s="1390"/>
      <c r="AF375" s="1390"/>
      <c r="AG375" s="1390"/>
      <c r="AH375" s="1390"/>
      <c r="AI375" s="1390"/>
      <c r="AJ375" s="1390"/>
      <c r="AK375" s="1390"/>
    </row>
    <row r="376" spans="3:37" ht="17.25" customHeight="1" x14ac:dyDescent="0.35">
      <c r="C376" s="1390"/>
      <c r="D376" s="1390"/>
      <c r="E376" s="1390"/>
      <c r="F376" s="1390"/>
      <c r="G376" s="1390"/>
      <c r="H376" s="1390"/>
      <c r="I376" s="1390"/>
      <c r="J376" s="1390"/>
      <c r="K376" s="1390"/>
      <c r="L376" s="1390"/>
      <c r="M376" s="1390"/>
      <c r="N376" s="1390"/>
      <c r="O376" s="1390"/>
      <c r="P376" s="1390"/>
      <c r="Q376" s="1390"/>
      <c r="R376" s="1390"/>
      <c r="S376" s="1390"/>
      <c r="T376" s="1390"/>
      <c r="U376" s="1390"/>
      <c r="V376" s="1390"/>
      <c r="W376" s="1390"/>
      <c r="X376" s="1390"/>
      <c r="Y376" s="1390"/>
      <c r="Z376" s="1390"/>
      <c r="AA376" s="1390"/>
      <c r="AB376" s="1390"/>
      <c r="AC376" s="1390"/>
      <c r="AD376" s="1390"/>
      <c r="AE376" s="1390"/>
      <c r="AF376" s="1390"/>
      <c r="AG376" s="1390"/>
      <c r="AH376" s="1390"/>
      <c r="AI376" s="1390"/>
      <c r="AJ376" s="1390"/>
      <c r="AK376" s="1390"/>
    </row>
    <row r="377" spans="3:37" ht="17.25" customHeight="1" x14ac:dyDescent="0.35">
      <c r="C377" s="1390"/>
      <c r="D377" s="1390"/>
      <c r="E377" s="1390"/>
      <c r="F377" s="1390"/>
      <c r="G377" s="1390"/>
      <c r="H377" s="1390"/>
      <c r="I377" s="1390"/>
      <c r="J377" s="1390"/>
      <c r="K377" s="1390"/>
      <c r="L377" s="1390"/>
      <c r="M377" s="1390"/>
      <c r="N377" s="1390"/>
      <c r="O377" s="1390"/>
      <c r="P377" s="1390"/>
      <c r="Q377" s="1390"/>
      <c r="R377" s="1390"/>
      <c r="S377" s="1390"/>
      <c r="T377" s="1390"/>
      <c r="U377" s="1390"/>
      <c r="V377" s="1390"/>
      <c r="W377" s="1390"/>
      <c r="X377" s="1390"/>
      <c r="Y377" s="1390"/>
      <c r="Z377" s="1390"/>
      <c r="AA377" s="1390"/>
      <c r="AB377" s="1390"/>
      <c r="AC377" s="1390"/>
      <c r="AD377" s="1390"/>
      <c r="AE377" s="1390"/>
      <c r="AF377" s="1390"/>
      <c r="AG377" s="1390"/>
      <c r="AH377" s="1390"/>
      <c r="AI377" s="1390"/>
      <c r="AJ377" s="1390"/>
      <c r="AK377" s="1390"/>
    </row>
    <row r="378" spans="3:37" ht="17.25" customHeight="1" x14ac:dyDescent="0.35">
      <c r="C378" s="1390"/>
      <c r="D378" s="1390"/>
      <c r="E378" s="1390"/>
      <c r="F378" s="1390"/>
      <c r="G378" s="1390"/>
      <c r="H378" s="1390"/>
      <c r="I378" s="1390"/>
      <c r="J378" s="1390"/>
      <c r="K378" s="1390"/>
      <c r="L378" s="1390"/>
      <c r="M378" s="1390"/>
      <c r="N378" s="1390"/>
      <c r="O378" s="1390"/>
      <c r="P378" s="1390"/>
      <c r="Q378" s="1390"/>
      <c r="R378" s="1390"/>
      <c r="S378" s="1390"/>
      <c r="T378" s="1390"/>
      <c r="U378" s="1390"/>
      <c r="V378" s="1390"/>
      <c r="W378" s="1390"/>
      <c r="X378" s="1390"/>
      <c r="Y378" s="1390"/>
      <c r="Z378" s="1390"/>
      <c r="AA378" s="1390"/>
      <c r="AB378" s="1390"/>
      <c r="AC378" s="1390"/>
      <c r="AD378" s="1390"/>
      <c r="AE378" s="1390"/>
      <c r="AF378" s="1390"/>
      <c r="AG378" s="1390"/>
      <c r="AH378" s="1390"/>
      <c r="AI378" s="1390"/>
      <c r="AJ378" s="1390"/>
      <c r="AK378" s="1390"/>
    </row>
    <row r="379" spans="3:37" ht="17.25" customHeight="1" x14ac:dyDescent="0.35">
      <c r="C379" s="1390"/>
      <c r="D379" s="1390"/>
      <c r="E379" s="1390"/>
      <c r="F379" s="1390"/>
      <c r="G379" s="1390"/>
      <c r="H379" s="1390"/>
      <c r="I379" s="1390"/>
      <c r="J379" s="1390"/>
      <c r="K379" s="1390"/>
      <c r="L379" s="1390"/>
      <c r="M379" s="1390"/>
      <c r="N379" s="1390"/>
      <c r="O379" s="1390"/>
      <c r="P379" s="1390"/>
      <c r="Q379" s="1390"/>
      <c r="R379" s="1390"/>
      <c r="S379" s="1390"/>
      <c r="T379" s="1390"/>
      <c r="U379" s="1390"/>
      <c r="V379" s="1390"/>
      <c r="W379" s="1390"/>
      <c r="X379" s="1390"/>
      <c r="Y379" s="1390"/>
      <c r="Z379" s="1390"/>
      <c r="AA379" s="1390"/>
      <c r="AB379" s="1390"/>
      <c r="AC379" s="1390"/>
      <c r="AD379" s="1390"/>
      <c r="AE379" s="1390"/>
      <c r="AF379" s="1390"/>
      <c r="AG379" s="1390"/>
      <c r="AH379" s="1390"/>
      <c r="AI379" s="1390"/>
      <c r="AJ379" s="1390"/>
      <c r="AK379" s="1390"/>
    </row>
    <row r="380" spans="3:37" ht="17.25" customHeight="1" x14ac:dyDescent="0.35">
      <c r="C380" s="1390"/>
      <c r="D380" s="1390"/>
      <c r="E380" s="1390"/>
      <c r="F380" s="1390"/>
      <c r="G380" s="1390"/>
      <c r="H380" s="1390"/>
      <c r="I380" s="1390"/>
      <c r="J380" s="1390"/>
      <c r="K380" s="1390"/>
      <c r="L380" s="1390"/>
      <c r="M380" s="1390"/>
      <c r="N380" s="1390"/>
      <c r="O380" s="1390"/>
      <c r="P380" s="1390"/>
      <c r="Q380" s="1390"/>
      <c r="R380" s="1390"/>
      <c r="S380" s="1390"/>
      <c r="T380" s="1390"/>
      <c r="U380" s="1390"/>
      <c r="V380" s="1390"/>
      <c r="W380" s="1390"/>
      <c r="X380" s="1390"/>
      <c r="Y380" s="1390"/>
      <c r="Z380" s="1390"/>
      <c r="AA380" s="1390"/>
      <c r="AB380" s="1390"/>
      <c r="AC380" s="1390"/>
      <c r="AD380" s="1390"/>
      <c r="AE380" s="1390"/>
      <c r="AF380" s="1390"/>
      <c r="AG380" s="1390"/>
      <c r="AH380" s="1390"/>
      <c r="AI380" s="1390"/>
      <c r="AJ380" s="1390"/>
      <c r="AK380" s="1390"/>
    </row>
    <row r="381" spans="3:37" ht="17.25" customHeight="1" x14ac:dyDescent="0.35">
      <c r="C381" s="1390"/>
      <c r="D381" s="1390"/>
      <c r="E381" s="1390"/>
      <c r="F381" s="1390"/>
      <c r="G381" s="1390"/>
      <c r="H381" s="1390"/>
      <c r="I381" s="1390"/>
      <c r="J381" s="1390"/>
      <c r="K381" s="1390"/>
      <c r="L381" s="1390"/>
      <c r="M381" s="1390"/>
      <c r="N381" s="1390"/>
      <c r="O381" s="1390"/>
      <c r="P381" s="1390"/>
      <c r="Q381" s="1390"/>
      <c r="R381" s="1390"/>
      <c r="S381" s="1390"/>
      <c r="T381" s="1390"/>
      <c r="U381" s="1390"/>
      <c r="V381" s="1390"/>
      <c r="W381" s="1390"/>
      <c r="X381" s="1390"/>
      <c r="Y381" s="1390"/>
      <c r="Z381" s="1390"/>
      <c r="AA381" s="1390"/>
      <c r="AB381" s="1390"/>
      <c r="AC381" s="1390"/>
      <c r="AD381" s="1390"/>
      <c r="AE381" s="1390"/>
      <c r="AF381" s="1390"/>
      <c r="AG381" s="1390"/>
      <c r="AH381" s="1390"/>
      <c r="AI381" s="1390"/>
      <c r="AJ381" s="1390"/>
      <c r="AK381" s="1390"/>
    </row>
    <row r="382" spans="3:37" ht="17.25" customHeight="1" x14ac:dyDescent="0.35">
      <c r="C382" s="1390"/>
      <c r="D382" s="1390"/>
      <c r="E382" s="1390"/>
      <c r="F382" s="1390"/>
      <c r="G382" s="1390"/>
      <c r="H382" s="1390"/>
      <c r="I382" s="1390"/>
      <c r="J382" s="1390"/>
      <c r="K382" s="1390"/>
      <c r="L382" s="1390"/>
      <c r="M382" s="1390"/>
      <c r="N382" s="1390"/>
      <c r="O382" s="1390"/>
      <c r="P382" s="1390"/>
      <c r="Q382" s="1390"/>
      <c r="R382" s="1390"/>
      <c r="S382" s="1390"/>
      <c r="T382" s="1390"/>
      <c r="U382" s="1390"/>
      <c r="V382" s="1390"/>
      <c r="W382" s="1390"/>
      <c r="X382" s="1390"/>
      <c r="Y382" s="1390"/>
      <c r="Z382" s="1390"/>
      <c r="AA382" s="1390"/>
      <c r="AB382" s="1390"/>
      <c r="AC382" s="1390"/>
      <c r="AD382" s="1390"/>
      <c r="AE382" s="1390"/>
      <c r="AF382" s="1390"/>
      <c r="AG382" s="1390"/>
      <c r="AH382" s="1390"/>
      <c r="AI382" s="1390"/>
      <c r="AJ382" s="1390"/>
      <c r="AK382" s="1390"/>
    </row>
    <row r="383" spans="3:37" ht="17.25" customHeight="1" x14ac:dyDescent="0.35">
      <c r="C383" s="1390"/>
      <c r="D383" s="1390"/>
      <c r="E383" s="1390"/>
      <c r="F383" s="1390"/>
      <c r="G383" s="1390"/>
      <c r="H383" s="1390"/>
      <c r="I383" s="1390"/>
      <c r="J383" s="1390"/>
      <c r="K383" s="1390"/>
      <c r="L383" s="1390"/>
      <c r="M383" s="1390"/>
      <c r="N383" s="1390"/>
      <c r="O383" s="1390"/>
      <c r="P383" s="1390"/>
      <c r="Q383" s="1390"/>
      <c r="R383" s="1390"/>
      <c r="S383" s="1390"/>
      <c r="T383" s="1390"/>
      <c r="U383" s="1390"/>
      <c r="V383" s="1390"/>
      <c r="W383" s="1390"/>
      <c r="X383" s="1390"/>
      <c r="Y383" s="1390"/>
      <c r="Z383" s="1390"/>
      <c r="AA383" s="1390"/>
      <c r="AB383" s="1390"/>
      <c r="AC383" s="1390"/>
      <c r="AD383" s="1390"/>
      <c r="AE383" s="1390"/>
      <c r="AF383" s="1390"/>
      <c r="AG383" s="1390"/>
      <c r="AH383" s="1390"/>
      <c r="AI383" s="1390"/>
      <c r="AJ383" s="1390"/>
      <c r="AK383" s="1390"/>
    </row>
    <row r="384" spans="3:37" ht="17.25" customHeight="1" x14ac:dyDescent="0.35">
      <c r="C384" s="1390"/>
      <c r="D384" s="1390"/>
      <c r="E384" s="1390"/>
      <c r="F384" s="1390"/>
      <c r="G384" s="1390"/>
      <c r="H384" s="1390"/>
      <c r="I384" s="1390"/>
      <c r="J384" s="1390"/>
      <c r="K384" s="1390"/>
      <c r="L384" s="1390"/>
      <c r="M384" s="1390"/>
      <c r="N384" s="1390"/>
      <c r="O384" s="1390"/>
      <c r="P384" s="1390"/>
      <c r="Q384" s="1390"/>
      <c r="R384" s="1390"/>
      <c r="S384" s="1390"/>
      <c r="T384" s="1390"/>
      <c r="U384" s="1390"/>
      <c r="V384" s="1390"/>
      <c r="W384" s="1390"/>
      <c r="X384" s="1390"/>
      <c r="Y384" s="1390"/>
      <c r="Z384" s="1390"/>
      <c r="AA384" s="1390"/>
      <c r="AB384" s="1390"/>
      <c r="AC384" s="1390"/>
      <c r="AD384" s="1390"/>
      <c r="AE384" s="1390"/>
      <c r="AF384" s="1390"/>
      <c r="AG384" s="1390"/>
      <c r="AH384" s="1390"/>
      <c r="AI384" s="1390"/>
      <c r="AJ384" s="1390"/>
      <c r="AK384" s="1390"/>
    </row>
    <row r="385" spans="3:37" ht="17.25" customHeight="1" x14ac:dyDescent="0.35">
      <c r="C385" s="1390"/>
      <c r="D385" s="1390"/>
      <c r="E385" s="1390"/>
      <c r="F385" s="1390"/>
      <c r="G385" s="1390"/>
      <c r="H385" s="1390"/>
      <c r="I385" s="1390"/>
      <c r="J385" s="1390"/>
      <c r="K385" s="1390"/>
      <c r="L385" s="1390"/>
      <c r="M385" s="1390"/>
      <c r="N385" s="1390"/>
      <c r="O385" s="1390"/>
      <c r="P385" s="1390"/>
      <c r="Q385" s="1390"/>
      <c r="R385" s="1390"/>
      <c r="S385" s="1390"/>
      <c r="T385" s="1390"/>
      <c r="U385" s="1390"/>
      <c r="V385" s="1390"/>
      <c r="W385" s="1390"/>
      <c r="X385" s="1390"/>
      <c r="Y385" s="1390"/>
      <c r="Z385" s="1390"/>
      <c r="AA385" s="1390"/>
      <c r="AB385" s="1390"/>
      <c r="AC385" s="1390"/>
      <c r="AD385" s="1390"/>
      <c r="AE385" s="1390"/>
      <c r="AF385" s="1390"/>
      <c r="AG385" s="1390"/>
      <c r="AH385" s="1390"/>
      <c r="AI385" s="1390"/>
      <c r="AJ385" s="1390"/>
      <c r="AK385" s="1390"/>
    </row>
    <row r="386" spans="3:37" ht="17.25" customHeight="1" x14ac:dyDescent="0.35">
      <c r="C386" s="1390"/>
      <c r="D386" s="1390"/>
      <c r="E386" s="1390"/>
      <c r="F386" s="1390"/>
      <c r="G386" s="1390"/>
      <c r="H386" s="1390"/>
      <c r="I386" s="1390"/>
      <c r="J386" s="1390"/>
      <c r="K386" s="1390"/>
      <c r="L386" s="1390"/>
      <c r="M386" s="1390"/>
      <c r="N386" s="1390"/>
      <c r="O386" s="1390"/>
      <c r="P386" s="1390"/>
      <c r="Q386" s="1390"/>
      <c r="R386" s="1390"/>
      <c r="S386" s="1390"/>
      <c r="T386" s="1390"/>
      <c r="U386" s="1390"/>
      <c r="V386" s="1390"/>
      <c r="W386" s="1390"/>
      <c r="X386" s="1390"/>
      <c r="Y386" s="1390"/>
      <c r="Z386" s="1390"/>
      <c r="AA386" s="1390"/>
      <c r="AB386" s="1390"/>
      <c r="AC386" s="1390"/>
      <c r="AD386" s="1390"/>
      <c r="AE386" s="1390"/>
      <c r="AF386" s="1390"/>
      <c r="AG386" s="1390"/>
      <c r="AH386" s="1390"/>
      <c r="AI386" s="1390"/>
      <c r="AJ386" s="1390"/>
      <c r="AK386" s="1390"/>
    </row>
    <row r="387" spans="3:37" ht="17.25" customHeight="1" x14ac:dyDescent="0.35">
      <c r="C387" s="1390"/>
      <c r="D387" s="1390"/>
      <c r="E387" s="1390"/>
      <c r="F387" s="1390"/>
      <c r="G387" s="1390"/>
      <c r="H387" s="1390"/>
      <c r="I387" s="1390"/>
      <c r="J387" s="1390"/>
      <c r="K387" s="1390"/>
      <c r="L387" s="1390"/>
      <c r="M387" s="1390"/>
      <c r="N387" s="1390"/>
      <c r="O387" s="1390"/>
      <c r="P387" s="1390"/>
      <c r="Q387" s="1390"/>
      <c r="R387" s="1390"/>
      <c r="S387" s="1390"/>
      <c r="T387" s="1390"/>
      <c r="U387" s="1390"/>
      <c r="V387" s="1390"/>
      <c r="W387" s="1390"/>
      <c r="X387" s="1390"/>
      <c r="Y387" s="1390"/>
      <c r="Z387" s="1390"/>
      <c r="AA387" s="1390"/>
      <c r="AB387" s="1390"/>
      <c r="AC387" s="1390"/>
      <c r="AD387" s="1390"/>
      <c r="AE387" s="1390"/>
      <c r="AF387" s="1390"/>
      <c r="AG387" s="1390"/>
      <c r="AH387" s="1390"/>
      <c r="AI387" s="1390"/>
      <c r="AJ387" s="1390"/>
      <c r="AK387" s="1390"/>
    </row>
    <row r="388" spans="3:37" ht="17.25" customHeight="1" x14ac:dyDescent="0.35">
      <c r="C388" s="1390"/>
      <c r="D388" s="1390"/>
      <c r="E388" s="1390"/>
      <c r="F388" s="1390"/>
      <c r="G388" s="1390"/>
      <c r="H388" s="1390"/>
      <c r="I388" s="1390"/>
      <c r="J388" s="1390"/>
      <c r="K388" s="1390"/>
      <c r="L388" s="1390"/>
      <c r="M388" s="1390"/>
      <c r="N388" s="1390"/>
      <c r="O388" s="1390"/>
      <c r="P388" s="1390"/>
      <c r="Q388" s="1390"/>
      <c r="R388" s="1390"/>
      <c r="S388" s="1390"/>
      <c r="T388" s="1390"/>
      <c r="U388" s="1390"/>
      <c r="V388" s="1390"/>
      <c r="W388" s="1390"/>
      <c r="X388" s="1390"/>
      <c r="Y388" s="1390"/>
      <c r="Z388" s="1390"/>
      <c r="AA388" s="1390"/>
      <c r="AB388" s="1390"/>
      <c r="AC388" s="1390"/>
      <c r="AD388" s="1390"/>
      <c r="AE388" s="1390"/>
      <c r="AF388" s="1390"/>
      <c r="AG388" s="1390"/>
      <c r="AH388" s="1390"/>
      <c r="AI388" s="1390"/>
      <c r="AJ388" s="1390"/>
      <c r="AK388" s="1390"/>
    </row>
    <row r="389" spans="3:37" ht="17.25" customHeight="1" x14ac:dyDescent="0.35">
      <c r="C389" s="1390"/>
      <c r="D389" s="1390"/>
      <c r="E389" s="1390"/>
      <c r="F389" s="1390"/>
      <c r="G389" s="1390"/>
      <c r="H389" s="1390"/>
      <c r="I389" s="1390"/>
      <c r="J389" s="1390"/>
      <c r="K389" s="1390"/>
      <c r="L389" s="1390"/>
      <c r="M389" s="1390"/>
      <c r="N389" s="1390"/>
      <c r="O389" s="1390"/>
      <c r="P389" s="1390"/>
      <c r="Q389" s="1390"/>
      <c r="R389" s="1390"/>
      <c r="S389" s="1390"/>
      <c r="T389" s="1390"/>
      <c r="U389" s="1390"/>
      <c r="V389" s="1390"/>
      <c r="W389" s="1390"/>
      <c r="X389" s="1390"/>
      <c r="Y389" s="1390"/>
      <c r="Z389" s="1390"/>
      <c r="AA389" s="1390"/>
      <c r="AB389" s="1390"/>
      <c r="AC389" s="1390"/>
      <c r="AD389" s="1390"/>
      <c r="AE389" s="1390"/>
      <c r="AF389" s="1390"/>
      <c r="AG389" s="1390"/>
      <c r="AH389" s="1390"/>
      <c r="AI389" s="1390"/>
      <c r="AJ389" s="1390"/>
      <c r="AK389" s="1390"/>
    </row>
    <row r="390" spans="3:37" ht="17.25" customHeight="1" x14ac:dyDescent="0.35">
      <c r="C390" s="1390"/>
      <c r="D390" s="1390"/>
      <c r="E390" s="1390"/>
      <c r="F390" s="1390"/>
      <c r="G390" s="1390"/>
      <c r="H390" s="1390"/>
      <c r="I390" s="1390"/>
      <c r="J390" s="1390"/>
      <c r="K390" s="1390"/>
      <c r="L390" s="1390"/>
      <c r="M390" s="1390"/>
      <c r="N390" s="1390"/>
      <c r="O390" s="1390"/>
      <c r="P390" s="1390"/>
      <c r="Q390" s="1390"/>
      <c r="R390" s="1390"/>
      <c r="S390" s="1390"/>
      <c r="T390" s="1390"/>
      <c r="U390" s="1390"/>
      <c r="V390" s="1390"/>
      <c r="W390" s="1390"/>
      <c r="X390" s="1390"/>
      <c r="Y390" s="1390"/>
      <c r="Z390" s="1390"/>
      <c r="AA390" s="1390"/>
      <c r="AB390" s="1390"/>
      <c r="AC390" s="1390"/>
      <c r="AD390" s="1390"/>
      <c r="AE390" s="1390"/>
      <c r="AF390" s="1390"/>
      <c r="AG390" s="1390"/>
      <c r="AH390" s="1390"/>
      <c r="AI390" s="1390"/>
      <c r="AJ390" s="1390"/>
      <c r="AK390" s="1390"/>
    </row>
    <row r="391" spans="3:37" ht="17.25" customHeight="1" x14ac:dyDescent="0.35">
      <c r="C391" s="1390"/>
      <c r="D391" s="1390"/>
      <c r="E391" s="1390"/>
      <c r="F391" s="1390"/>
      <c r="G391" s="1390"/>
      <c r="H391" s="1390"/>
      <c r="I391" s="1390"/>
      <c r="J391" s="1390"/>
      <c r="K391" s="1390"/>
      <c r="L391" s="1390"/>
      <c r="M391" s="1390"/>
      <c r="N391" s="1390"/>
      <c r="O391" s="1390"/>
      <c r="P391" s="1390"/>
      <c r="Q391" s="1390"/>
      <c r="R391" s="1390"/>
      <c r="S391" s="1390"/>
      <c r="T391" s="1390"/>
      <c r="U391" s="1390"/>
      <c r="V391" s="1390"/>
      <c r="W391" s="1390"/>
      <c r="X391" s="1390"/>
      <c r="Y391" s="1390"/>
      <c r="Z391" s="1390"/>
      <c r="AA391" s="1390"/>
      <c r="AB391" s="1390"/>
      <c r="AC391" s="1390"/>
      <c r="AD391" s="1390"/>
      <c r="AE391" s="1390"/>
      <c r="AF391" s="1390"/>
      <c r="AG391" s="1390"/>
      <c r="AH391" s="1390"/>
      <c r="AI391" s="1390"/>
      <c r="AJ391" s="1390"/>
      <c r="AK391" s="1390"/>
    </row>
    <row r="392" spans="3:37" ht="17.25" customHeight="1" x14ac:dyDescent="0.35">
      <c r="C392" s="1390"/>
      <c r="D392" s="1390"/>
      <c r="E392" s="1390"/>
      <c r="F392" s="1390"/>
      <c r="G392" s="1390"/>
      <c r="H392" s="1390"/>
      <c r="I392" s="1390"/>
      <c r="J392" s="1390"/>
      <c r="K392" s="1390"/>
      <c r="L392" s="1390"/>
      <c r="M392" s="1390"/>
      <c r="N392" s="1390"/>
      <c r="O392" s="1390"/>
      <c r="P392" s="1390"/>
      <c r="Q392" s="1390"/>
      <c r="R392" s="1390"/>
      <c r="S392" s="1390"/>
      <c r="T392" s="1390"/>
      <c r="U392" s="1390"/>
      <c r="V392" s="1390"/>
      <c r="W392" s="1390"/>
      <c r="X392" s="1390"/>
      <c r="Y392" s="1390"/>
      <c r="Z392" s="1390"/>
      <c r="AA392" s="1390"/>
      <c r="AB392" s="1390"/>
      <c r="AC392" s="1390"/>
      <c r="AD392" s="1390"/>
      <c r="AE392" s="1390"/>
      <c r="AF392" s="1390"/>
      <c r="AG392" s="1390"/>
      <c r="AH392" s="1390"/>
      <c r="AI392" s="1390"/>
      <c r="AJ392" s="1390"/>
      <c r="AK392" s="1390"/>
    </row>
    <row r="393" spans="3:37" ht="17.25" customHeight="1" x14ac:dyDescent="0.35">
      <c r="C393" s="1390"/>
      <c r="D393" s="1390"/>
      <c r="E393" s="1390"/>
      <c r="F393" s="1390"/>
      <c r="G393" s="1390"/>
      <c r="H393" s="1390"/>
      <c r="I393" s="1390"/>
      <c r="J393" s="1390"/>
      <c r="K393" s="1390"/>
      <c r="L393" s="1390"/>
      <c r="M393" s="1390"/>
      <c r="N393" s="1390"/>
      <c r="O393" s="1390"/>
      <c r="P393" s="1390"/>
      <c r="Q393" s="1390"/>
      <c r="R393" s="1390"/>
      <c r="S393" s="1390"/>
      <c r="T393" s="1390"/>
      <c r="U393" s="1390"/>
      <c r="V393" s="1390"/>
      <c r="W393" s="1390"/>
      <c r="X393" s="1390"/>
      <c r="Y393" s="1390"/>
      <c r="Z393" s="1390"/>
      <c r="AA393" s="1390"/>
      <c r="AB393" s="1390"/>
      <c r="AC393" s="1390"/>
      <c r="AD393" s="1390"/>
      <c r="AE393" s="1390"/>
      <c r="AF393" s="1390"/>
      <c r="AG393" s="1390"/>
      <c r="AH393" s="1390"/>
      <c r="AI393" s="1390"/>
      <c r="AJ393" s="1390"/>
      <c r="AK393" s="1390"/>
    </row>
    <row r="394" spans="3:37" ht="17.25" customHeight="1" x14ac:dyDescent="0.35">
      <c r="C394" s="1390"/>
      <c r="D394" s="1390"/>
      <c r="E394" s="1390"/>
      <c r="F394" s="1390"/>
      <c r="G394" s="1390"/>
      <c r="H394" s="1390"/>
      <c r="I394" s="1390"/>
      <c r="J394" s="1390"/>
      <c r="K394" s="1390"/>
      <c r="L394" s="1390"/>
      <c r="M394" s="1390"/>
      <c r="N394" s="1390"/>
      <c r="O394" s="1390"/>
      <c r="P394" s="1390"/>
      <c r="Q394" s="1390"/>
      <c r="R394" s="1390"/>
      <c r="S394" s="1390"/>
      <c r="T394" s="1390"/>
      <c r="U394" s="1390"/>
      <c r="V394" s="1390"/>
      <c r="W394" s="1390"/>
      <c r="X394" s="1390"/>
      <c r="Y394" s="1390"/>
      <c r="Z394" s="1390"/>
      <c r="AA394" s="1390"/>
      <c r="AB394" s="1390"/>
      <c r="AC394" s="1390"/>
      <c r="AD394" s="1390"/>
      <c r="AE394" s="1390"/>
      <c r="AF394" s="1390"/>
      <c r="AG394" s="1390"/>
      <c r="AH394" s="1390"/>
      <c r="AI394" s="1390"/>
      <c r="AJ394" s="1390"/>
      <c r="AK394" s="1390"/>
    </row>
    <row r="395" spans="3:37" ht="17.25" customHeight="1" x14ac:dyDescent="0.35">
      <c r="C395" s="1390"/>
      <c r="D395" s="1390"/>
      <c r="E395" s="1390"/>
      <c r="F395" s="1390"/>
      <c r="G395" s="1390"/>
      <c r="H395" s="1390"/>
      <c r="I395" s="1390"/>
      <c r="J395" s="1390"/>
      <c r="K395" s="1390"/>
      <c r="L395" s="1390"/>
      <c r="M395" s="1390"/>
      <c r="N395" s="1390"/>
      <c r="O395" s="1390"/>
      <c r="P395" s="1390"/>
      <c r="Q395" s="1390"/>
      <c r="R395" s="1390"/>
      <c r="S395" s="1390"/>
      <c r="T395" s="1390"/>
      <c r="U395" s="1390"/>
      <c r="V395" s="1390"/>
      <c r="W395" s="1390"/>
      <c r="X395" s="1390"/>
      <c r="Y395" s="1390"/>
      <c r="Z395" s="1390"/>
      <c r="AA395" s="1390"/>
      <c r="AB395" s="1390"/>
      <c r="AC395" s="1390"/>
      <c r="AD395" s="1390"/>
      <c r="AE395" s="1390"/>
      <c r="AF395" s="1390"/>
      <c r="AG395" s="1390"/>
      <c r="AH395" s="1390"/>
      <c r="AI395" s="1390"/>
      <c r="AJ395" s="1390"/>
      <c r="AK395" s="1390"/>
    </row>
    <row r="396" spans="3:37" ht="17.25" customHeight="1" x14ac:dyDescent="0.35">
      <c r="C396" s="1390"/>
      <c r="D396" s="1390"/>
      <c r="E396" s="1390"/>
      <c r="F396" s="1390"/>
      <c r="G396" s="1390"/>
      <c r="H396" s="1390"/>
      <c r="I396" s="1390"/>
      <c r="J396" s="1390"/>
      <c r="K396" s="1390"/>
      <c r="L396" s="1390"/>
      <c r="M396" s="1390"/>
      <c r="N396" s="1390"/>
      <c r="O396" s="1390"/>
      <c r="P396" s="1390"/>
      <c r="Q396" s="1390"/>
      <c r="R396" s="1390"/>
      <c r="S396" s="1390"/>
      <c r="T396" s="1390"/>
      <c r="U396" s="1390"/>
      <c r="V396" s="1390"/>
      <c r="W396" s="1390"/>
      <c r="X396" s="1390"/>
      <c r="Y396" s="1390"/>
      <c r="Z396" s="1390"/>
      <c r="AA396" s="1390"/>
      <c r="AB396" s="1390"/>
      <c r="AC396" s="1390"/>
      <c r="AD396" s="1390"/>
      <c r="AE396" s="1390"/>
      <c r="AF396" s="1390"/>
      <c r="AG396" s="1390"/>
      <c r="AH396" s="1390"/>
      <c r="AI396" s="1390"/>
      <c r="AJ396" s="1390"/>
      <c r="AK396" s="1390"/>
    </row>
    <row r="397" spans="3:37" ht="17.25" customHeight="1" x14ac:dyDescent="0.35">
      <c r="C397" s="1390"/>
      <c r="D397" s="1390"/>
      <c r="E397" s="1390"/>
      <c r="F397" s="1390"/>
      <c r="G397" s="1390"/>
      <c r="H397" s="1390"/>
      <c r="I397" s="1390"/>
      <c r="J397" s="1390"/>
      <c r="K397" s="1390"/>
      <c r="L397" s="1390"/>
      <c r="M397" s="1390"/>
      <c r="N397" s="1390"/>
      <c r="O397" s="1390"/>
      <c r="P397" s="1390"/>
      <c r="Q397" s="1390"/>
      <c r="R397" s="1390"/>
      <c r="S397" s="1390"/>
      <c r="T397" s="1390"/>
      <c r="U397" s="1390"/>
      <c r="V397" s="1390"/>
      <c r="W397" s="1390"/>
      <c r="X397" s="1390"/>
      <c r="Y397" s="1390"/>
      <c r="Z397" s="1390"/>
      <c r="AA397" s="1390"/>
      <c r="AB397" s="1390"/>
      <c r="AC397" s="1390"/>
      <c r="AD397" s="1390"/>
      <c r="AE397" s="1390"/>
      <c r="AF397" s="1390"/>
      <c r="AG397" s="1390"/>
      <c r="AH397" s="1390"/>
      <c r="AI397" s="1390"/>
      <c r="AJ397" s="1390"/>
      <c r="AK397" s="1390"/>
    </row>
    <row r="398" spans="3:37" ht="17.25" customHeight="1" x14ac:dyDescent="0.35">
      <c r="C398" s="1390"/>
      <c r="D398" s="1390"/>
      <c r="E398" s="1390"/>
      <c r="F398" s="1390"/>
      <c r="G398" s="1390"/>
      <c r="H398" s="1390"/>
      <c r="I398" s="1390"/>
      <c r="J398" s="1390"/>
      <c r="K398" s="1390"/>
      <c r="L398" s="1390"/>
      <c r="M398" s="1390"/>
      <c r="N398" s="1390"/>
      <c r="O398" s="1390"/>
      <c r="P398" s="1390"/>
      <c r="Q398" s="1390"/>
      <c r="R398" s="1390"/>
      <c r="S398" s="1390"/>
      <c r="T398" s="1390"/>
      <c r="U398" s="1390"/>
      <c r="V398" s="1390"/>
      <c r="W398" s="1390"/>
      <c r="X398" s="1390"/>
      <c r="Y398" s="1390"/>
      <c r="Z398" s="1390"/>
      <c r="AA398" s="1390"/>
      <c r="AB398" s="1390"/>
      <c r="AC398" s="1390"/>
      <c r="AD398" s="1390"/>
      <c r="AE398" s="1390"/>
      <c r="AF398" s="1390"/>
      <c r="AG398" s="1390"/>
      <c r="AH398" s="1390"/>
      <c r="AI398" s="1390"/>
      <c r="AJ398" s="1390"/>
      <c r="AK398" s="1390"/>
    </row>
    <row r="399" spans="3:37" ht="17.25" customHeight="1" x14ac:dyDescent="0.35">
      <c r="C399" s="1390"/>
      <c r="D399" s="1390"/>
      <c r="E399" s="1390"/>
      <c r="F399" s="1390"/>
      <c r="G399" s="1390"/>
      <c r="H399" s="1390"/>
      <c r="I399" s="1390"/>
      <c r="J399" s="1390"/>
      <c r="K399" s="1390"/>
      <c r="L399" s="1390"/>
      <c r="M399" s="1390"/>
      <c r="N399" s="1390"/>
      <c r="O399" s="1390"/>
      <c r="P399" s="1390"/>
      <c r="Q399" s="1390"/>
      <c r="R399" s="1390"/>
      <c r="S399" s="1390"/>
      <c r="T399" s="1390"/>
      <c r="U399" s="1390"/>
      <c r="V399" s="1390"/>
      <c r="W399" s="1390"/>
      <c r="X399" s="1390"/>
      <c r="Y399" s="1390"/>
      <c r="Z399" s="1390"/>
      <c r="AA399" s="1390"/>
      <c r="AB399" s="1390"/>
      <c r="AC399" s="1390"/>
      <c r="AD399" s="1390"/>
      <c r="AE399" s="1390"/>
      <c r="AF399" s="1390"/>
      <c r="AG399" s="1390"/>
      <c r="AH399" s="1390"/>
      <c r="AI399" s="1390"/>
      <c r="AJ399" s="1390"/>
      <c r="AK399" s="1390"/>
    </row>
    <row r="400" spans="3:37" ht="17.25" customHeight="1" x14ac:dyDescent="0.35">
      <c r="C400" s="1390"/>
      <c r="D400" s="1390"/>
      <c r="E400" s="1390"/>
      <c r="F400" s="1390"/>
      <c r="G400" s="1390"/>
      <c r="H400" s="1390"/>
      <c r="I400" s="1390"/>
      <c r="J400" s="1390"/>
      <c r="K400" s="1390"/>
      <c r="L400" s="1390"/>
      <c r="M400" s="1390"/>
      <c r="N400" s="1390"/>
      <c r="O400" s="1390"/>
      <c r="P400" s="1390"/>
      <c r="Q400" s="1390"/>
      <c r="R400" s="1390"/>
      <c r="S400" s="1390"/>
      <c r="T400" s="1390"/>
      <c r="U400" s="1390"/>
      <c r="V400" s="1390"/>
      <c r="W400" s="1390"/>
      <c r="X400" s="1390"/>
      <c r="Y400" s="1390"/>
      <c r="Z400" s="1390"/>
      <c r="AA400" s="1390"/>
      <c r="AB400" s="1390"/>
      <c r="AC400" s="1390"/>
      <c r="AD400" s="1390"/>
      <c r="AE400" s="1390"/>
      <c r="AF400" s="1390"/>
      <c r="AG400" s="1390"/>
      <c r="AH400" s="1390"/>
      <c r="AI400" s="1390"/>
      <c r="AJ400" s="1390"/>
      <c r="AK400" s="1390"/>
    </row>
    <row r="401" spans="3:37" ht="17.25" customHeight="1" x14ac:dyDescent="0.35">
      <c r="C401" s="1390"/>
      <c r="D401" s="1390"/>
      <c r="E401" s="1390"/>
      <c r="F401" s="1390"/>
      <c r="G401" s="1390"/>
      <c r="H401" s="1390"/>
      <c r="I401" s="1390"/>
      <c r="J401" s="1390"/>
      <c r="K401" s="1390"/>
      <c r="L401" s="1390"/>
      <c r="M401" s="1390"/>
      <c r="N401" s="1390"/>
      <c r="O401" s="1390"/>
      <c r="P401" s="1390"/>
      <c r="Q401" s="1390"/>
      <c r="R401" s="1390"/>
      <c r="S401" s="1390"/>
      <c r="T401" s="1390"/>
      <c r="U401" s="1390"/>
      <c r="V401" s="1390"/>
      <c r="W401" s="1390"/>
      <c r="X401" s="1390"/>
      <c r="Y401" s="1390"/>
      <c r="Z401" s="1390"/>
      <c r="AA401" s="1390"/>
      <c r="AB401" s="1390"/>
      <c r="AC401" s="1390"/>
      <c r="AD401" s="1390"/>
      <c r="AE401" s="1390"/>
      <c r="AF401" s="1390"/>
      <c r="AG401" s="1390"/>
      <c r="AH401" s="1390"/>
      <c r="AI401" s="1390"/>
      <c r="AJ401" s="1390"/>
      <c r="AK401" s="1390"/>
    </row>
    <row r="402" spans="3:37" ht="17.25" customHeight="1" x14ac:dyDescent="0.35">
      <c r="C402" s="1390"/>
      <c r="D402" s="1390"/>
      <c r="E402" s="1390"/>
      <c r="F402" s="1390"/>
      <c r="G402" s="1390"/>
      <c r="H402" s="1390"/>
      <c r="I402" s="1390"/>
      <c r="J402" s="1390"/>
      <c r="K402" s="1390"/>
      <c r="L402" s="1390"/>
      <c r="M402" s="1390"/>
      <c r="N402" s="1390"/>
      <c r="O402" s="1390"/>
      <c r="P402" s="1390"/>
      <c r="Q402" s="1390"/>
      <c r="R402" s="1390"/>
      <c r="S402" s="1390"/>
      <c r="T402" s="1390"/>
      <c r="U402" s="1390"/>
      <c r="V402" s="1390"/>
      <c r="W402" s="1390"/>
      <c r="X402" s="1390"/>
      <c r="Y402" s="1390"/>
      <c r="Z402" s="1390"/>
      <c r="AA402" s="1390"/>
      <c r="AB402" s="1390"/>
      <c r="AC402" s="1390"/>
      <c r="AD402" s="1390"/>
      <c r="AE402" s="1390"/>
      <c r="AF402" s="1390"/>
      <c r="AG402" s="1390"/>
      <c r="AH402" s="1390"/>
      <c r="AI402" s="1390"/>
      <c r="AJ402" s="1390"/>
      <c r="AK402" s="1390"/>
    </row>
    <row r="403" spans="3:37" ht="17.25" customHeight="1" x14ac:dyDescent="0.35">
      <c r="C403" s="1390"/>
      <c r="D403" s="1390"/>
      <c r="E403" s="1390"/>
      <c r="F403" s="1390"/>
      <c r="G403" s="1390"/>
      <c r="H403" s="1390"/>
      <c r="I403" s="1390"/>
      <c r="J403" s="1390"/>
      <c r="K403" s="1390"/>
      <c r="L403" s="1390"/>
      <c r="M403" s="1390"/>
      <c r="N403" s="1390"/>
      <c r="O403" s="1390"/>
      <c r="P403" s="1390"/>
      <c r="Q403" s="1390"/>
      <c r="R403" s="1390"/>
      <c r="S403" s="1390"/>
      <c r="T403" s="1390"/>
      <c r="U403" s="1390"/>
      <c r="V403" s="1390"/>
      <c r="W403" s="1390"/>
      <c r="X403" s="1390"/>
      <c r="Y403" s="1390"/>
      <c r="Z403" s="1390"/>
      <c r="AA403" s="1390"/>
      <c r="AB403" s="1390"/>
      <c r="AC403" s="1390"/>
      <c r="AD403" s="1390"/>
      <c r="AE403" s="1390"/>
      <c r="AF403" s="1390"/>
      <c r="AG403" s="1390"/>
      <c r="AH403" s="1390"/>
      <c r="AI403" s="1390"/>
      <c r="AJ403" s="1390"/>
      <c r="AK403" s="1390"/>
    </row>
    <row r="404" spans="3:37" ht="17.25" customHeight="1" x14ac:dyDescent="0.35">
      <c r="C404" s="1390"/>
      <c r="D404" s="1390"/>
      <c r="E404" s="1390"/>
      <c r="F404" s="1390"/>
      <c r="G404" s="1390"/>
      <c r="H404" s="1390"/>
      <c r="I404" s="1390"/>
      <c r="J404" s="1390"/>
      <c r="K404" s="1390"/>
      <c r="L404" s="1390"/>
      <c r="M404" s="1390"/>
      <c r="N404" s="1390"/>
      <c r="O404" s="1390"/>
      <c r="P404" s="1390"/>
      <c r="Q404" s="1390"/>
      <c r="R404" s="1390"/>
      <c r="S404" s="1390"/>
      <c r="T404" s="1390"/>
      <c r="U404" s="1390"/>
      <c r="V404" s="1390"/>
      <c r="W404" s="1390"/>
      <c r="X404" s="1390"/>
      <c r="Y404" s="1390"/>
      <c r="Z404" s="1390"/>
      <c r="AA404" s="1390"/>
      <c r="AB404" s="1390"/>
      <c r="AC404" s="1390"/>
      <c r="AD404" s="1390"/>
      <c r="AE404" s="1390"/>
      <c r="AF404" s="1390"/>
      <c r="AG404" s="1390"/>
      <c r="AH404" s="1390"/>
      <c r="AI404" s="1390"/>
      <c r="AJ404" s="1390"/>
      <c r="AK404" s="1390"/>
    </row>
    <row r="405" spans="3:37" ht="17.25" customHeight="1" x14ac:dyDescent="0.35">
      <c r="C405" s="1390"/>
      <c r="D405" s="1390"/>
      <c r="E405" s="1390"/>
      <c r="F405" s="1390"/>
      <c r="G405" s="1390"/>
      <c r="H405" s="1390"/>
      <c r="I405" s="1390"/>
      <c r="J405" s="1390"/>
      <c r="K405" s="1390"/>
      <c r="L405" s="1390"/>
      <c r="M405" s="1390"/>
      <c r="N405" s="1390"/>
      <c r="O405" s="1390"/>
      <c r="P405" s="1390"/>
      <c r="Q405" s="1390"/>
      <c r="R405" s="1390"/>
      <c r="S405" s="1390"/>
      <c r="T405" s="1390"/>
      <c r="U405" s="1390"/>
      <c r="V405" s="1390"/>
      <c r="W405" s="1390"/>
      <c r="X405" s="1390"/>
      <c r="Y405" s="1390"/>
      <c r="Z405" s="1390"/>
      <c r="AA405" s="1390"/>
      <c r="AB405" s="1390"/>
      <c r="AC405" s="1390"/>
      <c r="AD405" s="1390"/>
      <c r="AE405" s="1390"/>
      <c r="AF405" s="1390"/>
      <c r="AG405" s="1390"/>
      <c r="AH405" s="1390"/>
      <c r="AI405" s="1390"/>
      <c r="AJ405" s="1390"/>
      <c r="AK405" s="1390"/>
    </row>
    <row r="406" spans="3:37" ht="17.25" customHeight="1" x14ac:dyDescent="0.35">
      <c r="C406" s="1390"/>
      <c r="D406" s="1390"/>
      <c r="E406" s="1390"/>
      <c r="F406" s="1390"/>
      <c r="G406" s="1390"/>
      <c r="H406" s="1390"/>
      <c r="I406" s="1390"/>
      <c r="J406" s="1390"/>
      <c r="K406" s="1390"/>
      <c r="L406" s="1390"/>
      <c r="M406" s="1390"/>
      <c r="N406" s="1390"/>
      <c r="O406" s="1390"/>
      <c r="P406" s="1390"/>
      <c r="Q406" s="1390"/>
      <c r="R406" s="1390"/>
      <c r="S406" s="1390"/>
      <c r="T406" s="1390"/>
      <c r="U406" s="1390"/>
      <c r="V406" s="1390"/>
      <c r="W406" s="1390"/>
      <c r="X406" s="1390"/>
      <c r="Y406" s="1390"/>
      <c r="Z406" s="1390"/>
      <c r="AA406" s="1390"/>
      <c r="AB406" s="1390"/>
      <c r="AC406" s="1390"/>
      <c r="AD406" s="1390"/>
      <c r="AE406" s="1390"/>
      <c r="AF406" s="1390"/>
      <c r="AG406" s="1390"/>
      <c r="AH406" s="1390"/>
      <c r="AI406" s="1390"/>
      <c r="AJ406" s="1390"/>
      <c r="AK406" s="1390"/>
    </row>
    <row r="407" spans="3:37" ht="17.25" customHeight="1" x14ac:dyDescent="0.35">
      <c r="C407" s="1390"/>
      <c r="D407" s="1390"/>
      <c r="E407" s="1390"/>
      <c r="F407" s="1390"/>
      <c r="G407" s="1390"/>
      <c r="H407" s="1390"/>
      <c r="I407" s="1390"/>
      <c r="J407" s="1390"/>
      <c r="K407" s="1390"/>
      <c r="L407" s="1390"/>
      <c r="M407" s="1390"/>
      <c r="N407" s="1390"/>
      <c r="O407" s="1390"/>
      <c r="P407" s="1390"/>
      <c r="Q407" s="1390"/>
      <c r="R407" s="1390"/>
      <c r="S407" s="1390"/>
      <c r="T407" s="1390"/>
      <c r="U407" s="1390"/>
      <c r="V407" s="1390"/>
      <c r="W407" s="1390"/>
      <c r="X407" s="1390"/>
      <c r="Y407" s="1390"/>
      <c r="Z407" s="1390"/>
      <c r="AA407" s="1390"/>
      <c r="AB407" s="1390"/>
      <c r="AC407" s="1390"/>
      <c r="AD407" s="1390"/>
      <c r="AE407" s="1390"/>
      <c r="AF407" s="1390"/>
      <c r="AG407" s="1390"/>
      <c r="AH407" s="1390"/>
      <c r="AI407" s="1390"/>
      <c r="AJ407" s="1390"/>
      <c r="AK407" s="1390"/>
    </row>
    <row r="408" spans="3:37" ht="17.25" customHeight="1" x14ac:dyDescent="0.35">
      <c r="C408" s="1390"/>
      <c r="D408" s="1390"/>
      <c r="E408" s="1390"/>
      <c r="F408" s="1390"/>
      <c r="G408" s="1390"/>
      <c r="H408" s="1390"/>
      <c r="I408" s="1390"/>
      <c r="J408" s="1390"/>
      <c r="K408" s="1390"/>
      <c r="L408" s="1390"/>
      <c r="M408" s="1390"/>
      <c r="N408" s="1390"/>
      <c r="O408" s="1390"/>
      <c r="P408" s="1390"/>
      <c r="Q408" s="1390"/>
      <c r="R408" s="1390"/>
      <c r="S408" s="1390"/>
      <c r="T408" s="1390"/>
      <c r="U408" s="1390"/>
      <c r="V408" s="1390"/>
      <c r="W408" s="1390"/>
      <c r="X408" s="1390"/>
      <c r="Y408" s="1390"/>
      <c r="Z408" s="1390"/>
      <c r="AA408" s="1390"/>
      <c r="AB408" s="1390"/>
      <c r="AC408" s="1390"/>
      <c r="AD408" s="1390"/>
      <c r="AE408" s="1390"/>
      <c r="AF408" s="1390"/>
      <c r="AG408" s="1390"/>
      <c r="AH408" s="1390"/>
      <c r="AI408" s="1390"/>
      <c r="AJ408" s="1390"/>
      <c r="AK408" s="1390"/>
    </row>
    <row r="409" spans="3:37" ht="17.25" customHeight="1" x14ac:dyDescent="0.35">
      <c r="C409" s="1390"/>
      <c r="D409" s="1390"/>
      <c r="E409" s="1390"/>
      <c r="F409" s="1390"/>
      <c r="G409" s="1390"/>
      <c r="H409" s="1390"/>
      <c r="I409" s="1390"/>
      <c r="J409" s="1390"/>
      <c r="K409" s="1390"/>
      <c r="L409" s="1390"/>
      <c r="M409" s="1390"/>
      <c r="N409" s="1390"/>
      <c r="O409" s="1390"/>
      <c r="P409" s="1390"/>
      <c r="Q409" s="1390"/>
      <c r="R409" s="1390"/>
      <c r="S409" s="1390"/>
      <c r="T409" s="1390"/>
      <c r="U409" s="1390"/>
      <c r="V409" s="1390"/>
      <c r="W409" s="1390"/>
      <c r="X409" s="1390"/>
      <c r="Y409" s="1390"/>
      <c r="Z409" s="1390"/>
      <c r="AA409" s="1390"/>
      <c r="AB409" s="1390"/>
      <c r="AC409" s="1390"/>
      <c r="AD409" s="1390"/>
      <c r="AE409" s="1390"/>
      <c r="AF409" s="1390"/>
      <c r="AG409" s="1390"/>
      <c r="AH409" s="1390"/>
      <c r="AI409" s="1390"/>
      <c r="AJ409" s="1390"/>
      <c r="AK409" s="1390"/>
    </row>
    <row r="410" spans="3:37" ht="17.25" customHeight="1" x14ac:dyDescent="0.35">
      <c r="C410" s="1390"/>
      <c r="D410" s="1390"/>
      <c r="E410" s="1390"/>
      <c r="F410" s="1390"/>
      <c r="G410" s="1390"/>
      <c r="H410" s="1390"/>
      <c r="I410" s="1390"/>
      <c r="J410" s="1390"/>
      <c r="K410" s="1390"/>
      <c r="L410" s="1390"/>
      <c r="M410" s="1390"/>
      <c r="N410" s="1390"/>
      <c r="O410" s="1390"/>
      <c r="P410" s="1390"/>
      <c r="Q410" s="1390"/>
      <c r="R410" s="1390"/>
      <c r="S410" s="1390"/>
      <c r="T410" s="1390"/>
      <c r="U410" s="1390"/>
      <c r="V410" s="1390"/>
      <c r="W410" s="1390"/>
      <c r="X410" s="1390"/>
      <c r="Y410" s="1390"/>
      <c r="Z410" s="1390"/>
      <c r="AA410" s="1390"/>
      <c r="AB410" s="1390"/>
      <c r="AC410" s="1390"/>
      <c r="AD410" s="1390"/>
      <c r="AE410" s="1390"/>
      <c r="AF410" s="1390"/>
      <c r="AG410" s="1390"/>
      <c r="AH410" s="1390"/>
      <c r="AI410" s="1390"/>
      <c r="AJ410" s="1390"/>
      <c r="AK410" s="1390"/>
    </row>
    <row r="411" spans="3:37" ht="17.25" customHeight="1" x14ac:dyDescent="0.35">
      <c r="C411" s="1390"/>
      <c r="D411" s="1390"/>
      <c r="E411" s="1390"/>
      <c r="F411" s="1390"/>
      <c r="G411" s="1390"/>
      <c r="H411" s="1390"/>
      <c r="I411" s="1390"/>
      <c r="J411" s="1390"/>
      <c r="K411" s="1390"/>
      <c r="L411" s="1390"/>
      <c r="M411" s="1390"/>
      <c r="N411" s="1390"/>
      <c r="O411" s="1390"/>
      <c r="P411" s="1390"/>
      <c r="Q411" s="1390"/>
      <c r="R411" s="1390"/>
      <c r="S411" s="1390"/>
      <c r="T411" s="1390"/>
      <c r="U411" s="1390"/>
      <c r="V411" s="1390"/>
      <c r="W411" s="1390"/>
      <c r="X411" s="1390"/>
      <c r="Y411" s="1390"/>
      <c r="Z411" s="1390"/>
      <c r="AA411" s="1390"/>
      <c r="AB411" s="1390"/>
      <c r="AC411" s="1390"/>
      <c r="AD411" s="1390"/>
      <c r="AE411" s="1390"/>
      <c r="AF411" s="1390"/>
      <c r="AG411" s="1390"/>
      <c r="AH411" s="1390"/>
      <c r="AI411" s="1390"/>
      <c r="AJ411" s="1390"/>
      <c r="AK411" s="1390"/>
    </row>
    <row r="412" spans="3:37" ht="17.25" customHeight="1" x14ac:dyDescent="0.35">
      <c r="C412" s="1390"/>
      <c r="D412" s="1390"/>
      <c r="E412" s="1390"/>
      <c r="F412" s="1390"/>
      <c r="G412" s="1390"/>
      <c r="H412" s="1390"/>
      <c r="I412" s="1390"/>
      <c r="J412" s="1390"/>
      <c r="K412" s="1390"/>
      <c r="L412" s="1390"/>
      <c r="M412" s="1390"/>
      <c r="N412" s="1390"/>
      <c r="O412" s="1390"/>
      <c r="P412" s="1390"/>
      <c r="Q412" s="1390"/>
      <c r="R412" s="1390"/>
      <c r="S412" s="1390"/>
      <c r="T412" s="1390"/>
      <c r="U412" s="1390"/>
      <c r="V412" s="1390"/>
      <c r="W412" s="1390"/>
      <c r="X412" s="1390"/>
      <c r="Y412" s="1390"/>
      <c r="Z412" s="1390"/>
      <c r="AA412" s="1390"/>
      <c r="AB412" s="1390"/>
      <c r="AC412" s="1390"/>
      <c r="AD412" s="1390"/>
      <c r="AE412" s="1390"/>
      <c r="AF412" s="1390"/>
      <c r="AG412" s="1390"/>
      <c r="AH412" s="1390"/>
      <c r="AI412" s="1390"/>
      <c r="AJ412" s="1390"/>
      <c r="AK412" s="1390"/>
    </row>
    <row r="413" spans="3:37" ht="17.25" customHeight="1" x14ac:dyDescent="0.35">
      <c r="C413" s="1390"/>
      <c r="D413" s="1390"/>
      <c r="E413" s="1390"/>
      <c r="F413" s="1390"/>
      <c r="G413" s="1390"/>
      <c r="H413" s="1390"/>
      <c r="I413" s="1390"/>
      <c r="J413" s="1390"/>
      <c r="K413" s="1390"/>
      <c r="L413" s="1390"/>
      <c r="M413" s="1390"/>
      <c r="N413" s="1390"/>
      <c r="O413" s="1390"/>
      <c r="P413" s="1390"/>
      <c r="Q413" s="1390"/>
      <c r="R413" s="1390"/>
      <c r="S413" s="1390"/>
      <c r="T413" s="1390"/>
      <c r="U413" s="1390"/>
      <c r="V413" s="1390"/>
      <c r="W413" s="1390"/>
      <c r="X413" s="1390"/>
      <c r="Y413" s="1390"/>
      <c r="Z413" s="1390"/>
      <c r="AA413" s="1390"/>
      <c r="AB413" s="1390"/>
      <c r="AC413" s="1390"/>
      <c r="AD413" s="1390"/>
      <c r="AE413" s="1390"/>
      <c r="AF413" s="1390"/>
      <c r="AG413" s="1390"/>
      <c r="AH413" s="1390"/>
      <c r="AI413" s="1390"/>
      <c r="AJ413" s="1390"/>
      <c r="AK413" s="1390"/>
    </row>
    <row r="414" spans="3:37" ht="17.25" customHeight="1" x14ac:dyDescent="0.35">
      <c r="C414" s="1390"/>
      <c r="D414" s="1390"/>
      <c r="E414" s="1390"/>
      <c r="F414" s="1390"/>
      <c r="G414" s="1390"/>
      <c r="H414" s="1390"/>
      <c r="I414" s="1390"/>
      <c r="J414" s="1390"/>
      <c r="K414" s="1390"/>
      <c r="L414" s="1390"/>
      <c r="M414" s="1390"/>
      <c r="N414" s="1390"/>
      <c r="O414" s="1390"/>
      <c r="P414" s="1390"/>
      <c r="Q414" s="1390"/>
      <c r="R414" s="1390"/>
      <c r="S414" s="1390"/>
      <c r="T414" s="1390"/>
      <c r="U414" s="1390"/>
      <c r="V414" s="1390"/>
      <c r="W414" s="1390"/>
      <c r="X414" s="1390"/>
      <c r="Y414" s="1390"/>
      <c r="Z414" s="1390"/>
      <c r="AA414" s="1390"/>
      <c r="AB414" s="1390"/>
      <c r="AC414" s="1390"/>
      <c r="AD414" s="1390"/>
      <c r="AE414" s="1390"/>
      <c r="AF414" s="1390"/>
      <c r="AG414" s="1390"/>
      <c r="AH414" s="1390"/>
      <c r="AI414" s="1390"/>
      <c r="AJ414" s="1390"/>
      <c r="AK414" s="1390"/>
    </row>
    <row r="415" spans="3:37" ht="17.25" customHeight="1" x14ac:dyDescent="0.35">
      <c r="C415" s="1390"/>
      <c r="D415" s="1390"/>
      <c r="E415" s="1390"/>
      <c r="F415" s="1390"/>
      <c r="G415" s="1390"/>
      <c r="H415" s="1390"/>
      <c r="I415" s="1390"/>
      <c r="J415" s="1390"/>
      <c r="K415" s="1390"/>
      <c r="L415" s="1390"/>
      <c r="M415" s="1390"/>
      <c r="N415" s="1390"/>
      <c r="O415" s="1390"/>
      <c r="P415" s="1390"/>
      <c r="Q415" s="1390"/>
      <c r="R415" s="1390"/>
      <c r="S415" s="1390"/>
      <c r="T415" s="1390"/>
      <c r="U415" s="1390"/>
      <c r="V415" s="1390"/>
      <c r="W415" s="1390"/>
      <c r="X415" s="1390"/>
      <c r="Y415" s="1390"/>
      <c r="Z415" s="1390"/>
      <c r="AA415" s="1390"/>
      <c r="AB415" s="1390"/>
      <c r="AC415" s="1390"/>
      <c r="AD415" s="1390"/>
      <c r="AE415" s="1390"/>
      <c r="AF415" s="1390"/>
      <c r="AG415" s="1390"/>
      <c r="AH415" s="1390"/>
      <c r="AI415" s="1390"/>
      <c r="AJ415" s="1390"/>
      <c r="AK415" s="1390"/>
    </row>
    <row r="416" spans="3:37" ht="17.25" customHeight="1" x14ac:dyDescent="0.35">
      <c r="C416" s="1390"/>
      <c r="D416" s="1390"/>
      <c r="E416" s="1390"/>
      <c r="F416" s="1390"/>
      <c r="G416" s="1390"/>
      <c r="H416" s="1390"/>
      <c r="I416" s="1390"/>
      <c r="J416" s="1390"/>
      <c r="K416" s="1390"/>
      <c r="L416" s="1390"/>
      <c r="M416" s="1390"/>
      <c r="N416" s="1390"/>
      <c r="O416" s="1390"/>
      <c r="P416" s="1390"/>
      <c r="Q416" s="1390"/>
      <c r="R416" s="1390"/>
      <c r="S416" s="1390"/>
      <c r="T416" s="1390"/>
      <c r="U416" s="1390"/>
      <c r="V416" s="1390"/>
      <c r="W416" s="1390"/>
      <c r="X416" s="1390"/>
      <c r="Y416" s="1390"/>
      <c r="Z416" s="1390"/>
      <c r="AA416" s="1390"/>
      <c r="AB416" s="1390"/>
      <c r="AC416" s="1390"/>
      <c r="AD416" s="1390"/>
      <c r="AE416" s="1390"/>
      <c r="AF416" s="1390"/>
      <c r="AG416" s="1390"/>
      <c r="AH416" s="1390"/>
      <c r="AI416" s="1390"/>
      <c r="AJ416" s="1390"/>
      <c r="AK416" s="1390"/>
    </row>
    <row r="417" spans="3:37" ht="17.25" customHeight="1" x14ac:dyDescent="0.35">
      <c r="C417" s="1390"/>
      <c r="D417" s="1390"/>
      <c r="E417" s="1390"/>
      <c r="F417" s="1390"/>
      <c r="G417" s="1390"/>
      <c r="H417" s="1390"/>
      <c r="I417" s="1390"/>
      <c r="J417" s="1390"/>
      <c r="K417" s="1390"/>
      <c r="L417" s="1390"/>
      <c r="M417" s="1390"/>
      <c r="N417" s="1390"/>
      <c r="O417" s="1390"/>
      <c r="P417" s="1390"/>
      <c r="Q417" s="1390"/>
      <c r="R417" s="1390"/>
      <c r="S417" s="1390"/>
      <c r="T417" s="1390"/>
      <c r="U417" s="1390"/>
      <c r="V417" s="1390"/>
      <c r="W417" s="1390"/>
      <c r="X417" s="1390"/>
      <c r="Y417" s="1390"/>
      <c r="Z417" s="1390"/>
      <c r="AA417" s="1390"/>
      <c r="AB417" s="1390"/>
      <c r="AC417" s="1390"/>
      <c r="AD417" s="1390"/>
      <c r="AE417" s="1390"/>
      <c r="AF417" s="1390"/>
      <c r="AG417" s="1390"/>
      <c r="AH417" s="1390"/>
      <c r="AI417" s="1390"/>
      <c r="AJ417" s="1390"/>
      <c r="AK417" s="1390"/>
    </row>
    <row r="418" spans="3:37" ht="17.25" customHeight="1" x14ac:dyDescent="0.35">
      <c r="C418" s="1390"/>
      <c r="D418" s="1390"/>
      <c r="E418" s="1390"/>
      <c r="F418" s="1390"/>
      <c r="G418" s="1390"/>
      <c r="H418" s="1390"/>
      <c r="I418" s="1390"/>
      <c r="J418" s="1390"/>
      <c r="K418" s="1390"/>
      <c r="L418" s="1390"/>
      <c r="M418" s="1390"/>
      <c r="N418" s="1390"/>
      <c r="O418" s="1390"/>
      <c r="P418" s="1390"/>
      <c r="Q418" s="1390"/>
      <c r="R418" s="1390"/>
      <c r="S418" s="1390"/>
      <c r="T418" s="1390"/>
      <c r="U418" s="1390"/>
      <c r="V418" s="1390"/>
      <c r="W418" s="1390"/>
      <c r="X418" s="1390"/>
      <c r="Y418" s="1390"/>
      <c r="Z418" s="1390"/>
      <c r="AA418" s="1390"/>
      <c r="AB418" s="1390"/>
      <c r="AC418" s="1390"/>
      <c r="AD418" s="1390"/>
      <c r="AE418" s="1390"/>
      <c r="AF418" s="1390"/>
      <c r="AG418" s="1390"/>
      <c r="AH418" s="1390"/>
      <c r="AI418" s="1390"/>
      <c r="AJ418" s="1390"/>
      <c r="AK418" s="1390"/>
    </row>
    <row r="419" spans="3:37" ht="17.25" customHeight="1" x14ac:dyDescent="0.35">
      <c r="C419" s="1390"/>
      <c r="D419" s="1390"/>
      <c r="E419" s="1390"/>
      <c r="F419" s="1390"/>
      <c r="G419" s="1390"/>
      <c r="H419" s="1390"/>
      <c r="I419" s="1390"/>
      <c r="J419" s="1390"/>
      <c r="K419" s="1390"/>
      <c r="L419" s="1390"/>
      <c r="M419" s="1390"/>
      <c r="N419" s="1390"/>
      <c r="O419" s="1390"/>
      <c r="P419" s="1390"/>
      <c r="Q419" s="1390"/>
      <c r="R419" s="1390"/>
      <c r="S419" s="1390"/>
      <c r="T419" s="1390"/>
      <c r="U419" s="1390"/>
      <c r="V419" s="1390"/>
      <c r="W419" s="1390"/>
      <c r="X419" s="1390"/>
      <c r="Y419" s="1390"/>
      <c r="Z419" s="1390"/>
      <c r="AA419" s="1390"/>
      <c r="AB419" s="1390"/>
      <c r="AC419" s="1390"/>
      <c r="AD419" s="1390"/>
      <c r="AE419" s="1390"/>
      <c r="AF419" s="1390"/>
      <c r="AG419" s="1390"/>
      <c r="AH419" s="1390"/>
      <c r="AI419" s="1390"/>
      <c r="AJ419" s="1390"/>
      <c r="AK419" s="1390"/>
    </row>
    <row r="420" spans="3:37" ht="17.25" customHeight="1" x14ac:dyDescent="0.35">
      <c r="C420" s="1390"/>
      <c r="D420" s="1390"/>
      <c r="E420" s="1390"/>
      <c r="F420" s="1390"/>
      <c r="G420" s="1390"/>
      <c r="H420" s="1390"/>
      <c r="I420" s="1390"/>
      <c r="J420" s="1390"/>
      <c r="K420" s="1390"/>
      <c r="L420" s="1390"/>
      <c r="M420" s="1390"/>
      <c r="N420" s="1390"/>
      <c r="O420" s="1390"/>
      <c r="P420" s="1390"/>
      <c r="Q420" s="1390"/>
      <c r="R420" s="1390"/>
      <c r="S420" s="1390"/>
      <c r="T420" s="1390"/>
      <c r="U420" s="1390"/>
      <c r="V420" s="1390"/>
      <c r="W420" s="1390"/>
      <c r="X420" s="1390"/>
      <c r="Y420" s="1390"/>
      <c r="Z420" s="1390"/>
      <c r="AA420" s="1390"/>
      <c r="AB420" s="1390"/>
      <c r="AC420" s="1390"/>
      <c r="AD420" s="1390"/>
      <c r="AE420" s="1390"/>
      <c r="AF420" s="1390"/>
      <c r="AG420" s="1390"/>
      <c r="AH420" s="1390"/>
      <c r="AI420" s="1390"/>
      <c r="AJ420" s="1390"/>
      <c r="AK420" s="1390"/>
    </row>
    <row r="421" spans="3:37" ht="17.25" customHeight="1" x14ac:dyDescent="0.35">
      <c r="C421" s="1390"/>
      <c r="D421" s="1390"/>
      <c r="E421" s="1390"/>
      <c r="F421" s="1390"/>
      <c r="G421" s="1390"/>
      <c r="H421" s="1390"/>
      <c r="I421" s="1390"/>
      <c r="J421" s="1390"/>
      <c r="K421" s="1390"/>
      <c r="L421" s="1390"/>
      <c r="M421" s="1390"/>
      <c r="N421" s="1390"/>
      <c r="O421" s="1390"/>
      <c r="P421" s="1390"/>
      <c r="Q421" s="1390"/>
      <c r="R421" s="1390"/>
      <c r="S421" s="1390"/>
      <c r="T421" s="1390"/>
      <c r="U421" s="1390"/>
      <c r="V421" s="1390"/>
      <c r="W421" s="1390"/>
      <c r="X421" s="1390"/>
      <c r="Y421" s="1390"/>
      <c r="Z421" s="1390"/>
      <c r="AA421" s="1390"/>
      <c r="AB421" s="1390"/>
      <c r="AC421" s="1390"/>
      <c r="AD421" s="1390"/>
      <c r="AE421" s="1390"/>
      <c r="AF421" s="1390"/>
      <c r="AG421" s="1390"/>
      <c r="AH421" s="1390"/>
      <c r="AI421" s="1390"/>
      <c r="AJ421" s="1390"/>
      <c r="AK421" s="1390"/>
    </row>
    <row r="422" spans="3:37" ht="17.25" customHeight="1" x14ac:dyDescent="0.35">
      <c r="C422" s="1390"/>
      <c r="D422" s="1390"/>
      <c r="E422" s="1390"/>
      <c r="F422" s="1390"/>
      <c r="G422" s="1390"/>
      <c r="H422" s="1390"/>
      <c r="I422" s="1390"/>
      <c r="J422" s="1390"/>
      <c r="K422" s="1390"/>
      <c r="L422" s="1390"/>
      <c r="M422" s="1390"/>
      <c r="N422" s="1390"/>
      <c r="O422" s="1390"/>
      <c r="P422" s="1390"/>
      <c r="Q422" s="1390"/>
      <c r="R422" s="1390"/>
      <c r="S422" s="1390"/>
      <c r="T422" s="1390"/>
      <c r="U422" s="1390"/>
      <c r="V422" s="1390"/>
      <c r="W422" s="1390"/>
      <c r="X422" s="1390"/>
      <c r="Y422" s="1390"/>
      <c r="Z422" s="1390"/>
      <c r="AA422" s="1390"/>
      <c r="AB422" s="1390"/>
      <c r="AC422" s="1390"/>
      <c r="AD422" s="1390"/>
      <c r="AE422" s="1390"/>
      <c r="AF422" s="1390"/>
      <c r="AG422" s="1390"/>
      <c r="AH422" s="1390"/>
      <c r="AI422" s="1390"/>
      <c r="AJ422" s="1390"/>
      <c r="AK422" s="1390"/>
    </row>
    <row r="423" spans="3:37" ht="17.25" customHeight="1" x14ac:dyDescent="0.35">
      <c r="C423" s="1390"/>
      <c r="D423" s="1390"/>
      <c r="E423" s="1390"/>
      <c r="F423" s="1390"/>
      <c r="G423" s="1390"/>
      <c r="H423" s="1390"/>
      <c r="I423" s="1390"/>
      <c r="J423" s="1390"/>
      <c r="K423" s="1390"/>
      <c r="L423" s="1390"/>
      <c r="M423" s="1390"/>
      <c r="N423" s="1390"/>
      <c r="O423" s="1390"/>
      <c r="P423" s="1390"/>
      <c r="Q423" s="1390"/>
      <c r="R423" s="1390"/>
      <c r="S423" s="1390"/>
      <c r="T423" s="1390"/>
      <c r="U423" s="1390"/>
      <c r="V423" s="1390"/>
      <c r="W423" s="1390"/>
      <c r="X423" s="1390"/>
      <c r="Y423" s="1390"/>
      <c r="Z423" s="1390"/>
      <c r="AA423" s="1390"/>
      <c r="AB423" s="1390"/>
      <c r="AC423" s="1390"/>
      <c r="AD423" s="1390"/>
      <c r="AE423" s="1390"/>
      <c r="AF423" s="1390"/>
      <c r="AG423" s="1390"/>
      <c r="AH423" s="1390"/>
      <c r="AI423" s="1390"/>
      <c r="AJ423" s="1390"/>
      <c r="AK423" s="1390"/>
    </row>
    <row r="424" spans="3:37" ht="17.25" customHeight="1" x14ac:dyDescent="0.35">
      <c r="C424" s="1390"/>
      <c r="D424" s="1390"/>
      <c r="E424" s="1390"/>
      <c r="F424" s="1390"/>
      <c r="G424" s="1390"/>
      <c r="H424" s="1390"/>
      <c r="I424" s="1390"/>
      <c r="J424" s="1390"/>
      <c r="K424" s="1390"/>
      <c r="L424" s="1390"/>
      <c r="M424" s="1390"/>
      <c r="N424" s="1390"/>
      <c r="O424" s="1390"/>
      <c r="P424" s="1390"/>
      <c r="Q424" s="1390"/>
      <c r="R424" s="1390"/>
      <c r="S424" s="1390"/>
      <c r="T424" s="1390"/>
      <c r="U424" s="1390"/>
      <c r="V424" s="1390"/>
      <c r="W424" s="1390"/>
      <c r="X424" s="1390"/>
      <c r="Y424" s="1390"/>
      <c r="Z424" s="1390"/>
      <c r="AA424" s="1390"/>
      <c r="AB424" s="1390"/>
      <c r="AC424" s="1390"/>
      <c r="AD424" s="1390"/>
      <c r="AE424" s="1390"/>
      <c r="AF424" s="1390"/>
      <c r="AG424" s="1390"/>
      <c r="AH424" s="1390"/>
      <c r="AI424" s="1390"/>
      <c r="AJ424" s="1390"/>
      <c r="AK424" s="1390"/>
    </row>
    <row r="425" spans="3:37" ht="17.25" customHeight="1" x14ac:dyDescent="0.35">
      <c r="C425" s="1390"/>
      <c r="D425" s="1390"/>
      <c r="E425" s="1390"/>
      <c r="F425" s="1390"/>
      <c r="G425" s="1390"/>
      <c r="H425" s="1390"/>
      <c r="I425" s="1390"/>
      <c r="J425" s="1390"/>
      <c r="K425" s="1390"/>
      <c r="L425" s="1390"/>
      <c r="M425" s="1390"/>
      <c r="N425" s="1390"/>
      <c r="O425" s="1390"/>
      <c r="P425" s="1390"/>
      <c r="Q425" s="1390"/>
      <c r="R425" s="1390"/>
      <c r="S425" s="1390"/>
      <c r="T425" s="1390"/>
      <c r="U425" s="1390"/>
      <c r="V425" s="1390"/>
      <c r="W425" s="1390"/>
      <c r="X425" s="1390"/>
      <c r="Y425" s="1390"/>
      <c r="Z425" s="1390"/>
      <c r="AA425" s="1390"/>
      <c r="AB425" s="1390"/>
      <c r="AC425" s="1390"/>
      <c r="AD425" s="1390"/>
      <c r="AE425" s="1390"/>
      <c r="AF425" s="1390"/>
      <c r="AG425" s="1390"/>
      <c r="AH425" s="1390"/>
      <c r="AI425" s="1390"/>
      <c r="AJ425" s="1390"/>
      <c r="AK425" s="1390"/>
    </row>
    <row r="426" spans="3:37" ht="17.25" customHeight="1" x14ac:dyDescent="0.35">
      <c r="C426" s="1390"/>
      <c r="D426" s="1390"/>
      <c r="E426" s="1390"/>
      <c r="F426" s="1390"/>
      <c r="G426" s="1390"/>
      <c r="H426" s="1390"/>
      <c r="I426" s="1390"/>
      <c r="J426" s="1390"/>
      <c r="K426" s="1390"/>
      <c r="L426" s="1390"/>
      <c r="M426" s="1390"/>
      <c r="N426" s="1390"/>
      <c r="O426" s="1390"/>
      <c r="P426" s="1390"/>
      <c r="Q426" s="1390"/>
      <c r="R426" s="1390"/>
      <c r="S426" s="1390"/>
      <c r="T426" s="1390"/>
      <c r="U426" s="1390"/>
      <c r="V426" s="1390"/>
      <c r="W426" s="1390"/>
      <c r="X426" s="1390"/>
      <c r="Y426" s="1390"/>
      <c r="Z426" s="1390"/>
      <c r="AA426" s="1390"/>
      <c r="AB426" s="1390"/>
      <c r="AC426" s="1390"/>
      <c r="AD426" s="1390"/>
      <c r="AE426" s="1390"/>
      <c r="AF426" s="1390"/>
      <c r="AG426" s="1390"/>
      <c r="AH426" s="1390"/>
      <c r="AI426" s="1390"/>
      <c r="AJ426" s="1390"/>
      <c r="AK426" s="1390"/>
    </row>
    <row r="427" spans="3:37" ht="17.25" customHeight="1" x14ac:dyDescent="0.35">
      <c r="C427" s="1390"/>
      <c r="D427" s="1390"/>
      <c r="E427" s="1390"/>
      <c r="F427" s="1390"/>
      <c r="G427" s="1390"/>
      <c r="H427" s="1390"/>
      <c r="I427" s="1390"/>
      <c r="J427" s="1390"/>
      <c r="K427" s="1390"/>
      <c r="L427" s="1390"/>
      <c r="M427" s="1390"/>
      <c r="N427" s="1390"/>
      <c r="O427" s="1390"/>
      <c r="P427" s="1390"/>
      <c r="Q427" s="1390"/>
      <c r="R427" s="1390"/>
      <c r="S427" s="1390"/>
      <c r="T427" s="1390"/>
      <c r="U427" s="1390"/>
      <c r="V427" s="1390"/>
      <c r="W427" s="1390"/>
      <c r="X427" s="1390"/>
      <c r="Y427" s="1390"/>
      <c r="Z427" s="1390"/>
      <c r="AA427" s="1390"/>
      <c r="AB427" s="1390"/>
      <c r="AC427" s="1390"/>
      <c r="AD427" s="1390"/>
      <c r="AE427" s="1390"/>
      <c r="AF427" s="1390"/>
      <c r="AG427" s="1390"/>
      <c r="AH427" s="1390"/>
      <c r="AI427" s="1390"/>
      <c r="AJ427" s="1390"/>
      <c r="AK427" s="1390"/>
    </row>
    <row r="428" spans="3:37" ht="17.25" customHeight="1" x14ac:dyDescent="0.35">
      <c r="C428" s="1390"/>
      <c r="D428" s="1390"/>
      <c r="E428" s="1390"/>
      <c r="F428" s="1390"/>
      <c r="G428" s="1390"/>
      <c r="H428" s="1390"/>
      <c r="I428" s="1390"/>
      <c r="J428" s="1390"/>
      <c r="K428" s="1390"/>
      <c r="L428" s="1390"/>
      <c r="M428" s="1390"/>
      <c r="N428" s="1390"/>
      <c r="O428" s="1390"/>
      <c r="P428" s="1390"/>
      <c r="Q428" s="1390"/>
      <c r="R428" s="1390"/>
      <c r="S428" s="1390"/>
      <c r="T428" s="1390"/>
      <c r="U428" s="1390"/>
      <c r="V428" s="1390"/>
      <c r="W428" s="1390"/>
      <c r="X428" s="1390"/>
      <c r="Y428" s="1390"/>
      <c r="Z428" s="1390"/>
      <c r="AA428" s="1390"/>
      <c r="AB428" s="1390"/>
      <c r="AC428" s="1390"/>
      <c r="AD428" s="1390"/>
      <c r="AE428" s="1390"/>
      <c r="AF428" s="1390"/>
      <c r="AG428" s="1390"/>
      <c r="AH428" s="1390"/>
      <c r="AI428" s="1390"/>
      <c r="AJ428" s="1390"/>
      <c r="AK428" s="1390"/>
    </row>
    <row r="429" spans="3:37" ht="17.25" customHeight="1" x14ac:dyDescent="0.35">
      <c r="C429" s="1390"/>
      <c r="D429" s="1390"/>
      <c r="E429" s="1390"/>
      <c r="F429" s="1390"/>
      <c r="G429" s="1390"/>
      <c r="H429" s="1390"/>
      <c r="I429" s="1390"/>
      <c r="J429" s="1390"/>
      <c r="K429" s="1390"/>
      <c r="L429" s="1390"/>
      <c r="M429" s="1390"/>
      <c r="N429" s="1390"/>
      <c r="O429" s="1390"/>
      <c r="P429" s="1390"/>
      <c r="Q429" s="1390"/>
      <c r="R429" s="1390"/>
      <c r="S429" s="1390"/>
      <c r="T429" s="1390"/>
      <c r="U429" s="1390"/>
      <c r="V429" s="1390"/>
      <c r="W429" s="1390"/>
      <c r="X429" s="1390"/>
      <c r="Y429" s="1390"/>
      <c r="Z429" s="1390"/>
      <c r="AA429" s="1390"/>
      <c r="AB429" s="1390"/>
      <c r="AC429" s="1390"/>
      <c r="AD429" s="1390"/>
      <c r="AE429" s="1390"/>
      <c r="AF429" s="1390"/>
      <c r="AG429" s="1390"/>
      <c r="AH429" s="1390"/>
      <c r="AI429" s="1390"/>
      <c r="AJ429" s="1390"/>
      <c r="AK429" s="1390"/>
    </row>
    <row r="430" spans="3:37" ht="17.25" customHeight="1" x14ac:dyDescent="0.35">
      <c r="C430" s="1390"/>
      <c r="D430" s="1390"/>
      <c r="E430" s="1390"/>
      <c r="F430" s="1390"/>
      <c r="G430" s="1390"/>
      <c r="H430" s="1390"/>
      <c r="I430" s="1390"/>
      <c r="J430" s="1390"/>
      <c r="K430" s="1390"/>
      <c r="L430" s="1390"/>
      <c r="M430" s="1390"/>
      <c r="N430" s="1390"/>
      <c r="O430" s="1390"/>
      <c r="P430" s="1390"/>
      <c r="Q430" s="1390"/>
      <c r="R430" s="1390"/>
      <c r="S430" s="1390"/>
      <c r="T430" s="1390"/>
      <c r="U430" s="1390"/>
      <c r="V430" s="1390"/>
      <c r="W430" s="1390"/>
      <c r="X430" s="1390"/>
      <c r="Y430" s="1390"/>
      <c r="Z430" s="1390"/>
      <c r="AA430" s="1390"/>
      <c r="AB430" s="1390"/>
      <c r="AC430" s="1390"/>
      <c r="AD430" s="1390"/>
      <c r="AE430" s="1390"/>
      <c r="AF430" s="1390"/>
      <c r="AG430" s="1390"/>
      <c r="AH430" s="1390"/>
      <c r="AI430" s="1390"/>
      <c r="AJ430" s="1390"/>
      <c r="AK430" s="1390"/>
    </row>
    <row r="431" spans="3:37" ht="17.25" customHeight="1" x14ac:dyDescent="0.35">
      <c r="C431" s="1390"/>
      <c r="D431" s="1390"/>
      <c r="E431" s="1390"/>
      <c r="F431" s="1390"/>
      <c r="G431" s="1390"/>
      <c r="H431" s="1390"/>
      <c r="I431" s="1390"/>
      <c r="J431" s="1390"/>
      <c r="K431" s="1390"/>
      <c r="L431" s="1390"/>
      <c r="M431" s="1390"/>
      <c r="N431" s="1390"/>
      <c r="O431" s="1390"/>
      <c r="P431" s="1390"/>
      <c r="Q431" s="1390"/>
      <c r="R431" s="1390"/>
      <c r="S431" s="1390"/>
      <c r="T431" s="1390"/>
      <c r="U431" s="1390"/>
      <c r="V431" s="1390"/>
      <c r="W431" s="1390"/>
      <c r="X431" s="1390"/>
      <c r="Y431" s="1390"/>
      <c r="Z431" s="1390"/>
      <c r="AA431" s="1390"/>
      <c r="AB431" s="1390"/>
      <c r="AC431" s="1390"/>
      <c r="AD431" s="1390"/>
      <c r="AE431" s="1390"/>
      <c r="AF431" s="1390"/>
      <c r="AG431" s="1390"/>
      <c r="AH431" s="1390"/>
      <c r="AI431" s="1390"/>
      <c r="AJ431" s="1390"/>
      <c r="AK431" s="1390"/>
    </row>
    <row r="432" spans="3:37" ht="17.25" customHeight="1" x14ac:dyDescent="0.35">
      <c r="C432" s="1390"/>
      <c r="D432" s="1390"/>
      <c r="E432" s="1390"/>
      <c r="F432" s="1390"/>
      <c r="G432" s="1390"/>
      <c r="H432" s="1390"/>
      <c r="I432" s="1390"/>
      <c r="J432" s="1390"/>
      <c r="K432" s="1390"/>
      <c r="L432" s="1390"/>
      <c r="M432" s="1390"/>
      <c r="N432" s="1390"/>
      <c r="O432" s="1390"/>
      <c r="P432" s="1390"/>
      <c r="Q432" s="1390"/>
      <c r="R432" s="1390"/>
      <c r="S432" s="1390"/>
      <c r="T432" s="1390"/>
      <c r="U432" s="1390"/>
      <c r="V432" s="1390"/>
      <c r="W432" s="1390"/>
      <c r="X432" s="1390"/>
      <c r="Y432" s="1390"/>
      <c r="Z432" s="1390"/>
      <c r="AA432" s="1390"/>
      <c r="AB432" s="1390"/>
      <c r="AC432" s="1390"/>
      <c r="AD432" s="1390"/>
      <c r="AE432" s="1390"/>
      <c r="AF432" s="1390"/>
      <c r="AG432" s="1390"/>
      <c r="AH432" s="1390"/>
      <c r="AI432" s="1390"/>
      <c r="AJ432" s="1390"/>
      <c r="AK432" s="1390"/>
    </row>
    <row r="433" spans="3:37" ht="17.25" customHeight="1" x14ac:dyDescent="0.35">
      <c r="C433" s="1390"/>
      <c r="D433" s="1390"/>
      <c r="E433" s="1390"/>
      <c r="F433" s="1390"/>
      <c r="G433" s="1390"/>
      <c r="H433" s="1390"/>
      <c r="I433" s="1390"/>
      <c r="J433" s="1390"/>
      <c r="K433" s="1390"/>
      <c r="L433" s="1390"/>
      <c r="M433" s="1390"/>
      <c r="N433" s="1390"/>
      <c r="O433" s="1390"/>
      <c r="P433" s="1390"/>
      <c r="Q433" s="1390"/>
      <c r="R433" s="1390"/>
      <c r="S433" s="1390"/>
      <c r="T433" s="1390"/>
      <c r="U433" s="1390"/>
      <c r="V433" s="1390"/>
      <c r="W433" s="1390"/>
      <c r="X433" s="1390"/>
      <c r="Y433" s="1390"/>
      <c r="Z433" s="1390"/>
      <c r="AA433" s="1390"/>
      <c r="AB433" s="1390"/>
      <c r="AC433" s="1390"/>
      <c r="AD433" s="1390"/>
      <c r="AE433" s="1390"/>
      <c r="AF433" s="1390"/>
      <c r="AG433" s="1390"/>
      <c r="AH433" s="1390"/>
      <c r="AI433" s="1390"/>
      <c r="AJ433" s="1390"/>
      <c r="AK433" s="1390"/>
    </row>
    <row r="434" spans="3:37" ht="17.25" customHeight="1" x14ac:dyDescent="0.35">
      <c r="C434" s="1390"/>
      <c r="D434" s="1390"/>
      <c r="E434" s="1390"/>
      <c r="F434" s="1390"/>
      <c r="G434" s="1390"/>
      <c r="H434" s="1390"/>
      <c r="I434" s="1390"/>
      <c r="J434" s="1390"/>
      <c r="K434" s="1390"/>
      <c r="L434" s="1390"/>
      <c r="M434" s="1390"/>
      <c r="N434" s="1390"/>
      <c r="O434" s="1390"/>
      <c r="P434" s="1390"/>
      <c r="Q434" s="1390"/>
      <c r="R434" s="1390"/>
      <c r="S434" s="1390"/>
      <c r="T434" s="1390"/>
      <c r="U434" s="1390"/>
      <c r="V434" s="1390"/>
      <c r="W434" s="1390"/>
      <c r="X434" s="1390"/>
      <c r="Y434" s="1390"/>
      <c r="Z434" s="1390"/>
      <c r="AA434" s="1390"/>
      <c r="AB434" s="1390"/>
      <c r="AC434" s="1390"/>
      <c r="AD434" s="1390"/>
      <c r="AE434" s="1390"/>
      <c r="AF434" s="1390"/>
      <c r="AG434" s="1390"/>
      <c r="AH434" s="1390"/>
      <c r="AI434" s="1390"/>
      <c r="AJ434" s="1390"/>
      <c r="AK434" s="1390"/>
    </row>
    <row r="435" spans="3:37" ht="17.25" customHeight="1" x14ac:dyDescent="0.35">
      <c r="C435" s="1390"/>
      <c r="D435" s="1390"/>
      <c r="E435" s="1390"/>
      <c r="F435" s="1390"/>
      <c r="G435" s="1390"/>
      <c r="H435" s="1390"/>
      <c r="I435" s="1390"/>
      <c r="J435" s="1390"/>
      <c r="K435" s="1390"/>
      <c r="L435" s="1390"/>
      <c r="M435" s="1390"/>
      <c r="N435" s="1390"/>
      <c r="O435" s="1390"/>
      <c r="P435" s="1390"/>
      <c r="Q435" s="1390"/>
      <c r="R435" s="1390"/>
      <c r="S435" s="1390"/>
      <c r="T435" s="1390"/>
      <c r="U435" s="1390"/>
      <c r="V435" s="1390"/>
      <c r="W435" s="1390"/>
      <c r="X435" s="1390"/>
      <c r="Y435" s="1390"/>
      <c r="Z435" s="1390"/>
      <c r="AA435" s="1390"/>
      <c r="AB435" s="1390"/>
      <c r="AC435" s="1390"/>
      <c r="AD435" s="1390"/>
      <c r="AE435" s="1390"/>
      <c r="AF435" s="1390"/>
      <c r="AG435" s="1390"/>
      <c r="AH435" s="1390"/>
      <c r="AI435" s="1390"/>
      <c r="AJ435" s="1390"/>
      <c r="AK435" s="1390"/>
    </row>
    <row r="436" spans="3:37" ht="17.25" customHeight="1" x14ac:dyDescent="0.35">
      <c r="C436" s="1390"/>
      <c r="D436" s="1390"/>
      <c r="E436" s="1390"/>
      <c r="F436" s="1390"/>
      <c r="G436" s="1390"/>
      <c r="H436" s="1390"/>
      <c r="I436" s="1390"/>
      <c r="J436" s="1390"/>
      <c r="K436" s="1390"/>
      <c r="L436" s="1390"/>
      <c r="M436" s="1390"/>
      <c r="N436" s="1390"/>
      <c r="O436" s="1390"/>
      <c r="P436" s="1390"/>
      <c r="Q436" s="1390"/>
      <c r="R436" s="1390"/>
      <c r="S436" s="1390"/>
      <c r="T436" s="1390"/>
      <c r="U436" s="1390"/>
      <c r="V436" s="1390"/>
      <c r="W436" s="1390"/>
      <c r="X436" s="1390"/>
      <c r="Y436" s="1390"/>
      <c r="Z436" s="1390"/>
      <c r="AA436" s="1390"/>
      <c r="AB436" s="1390"/>
      <c r="AC436" s="1390"/>
      <c r="AD436" s="1390"/>
      <c r="AE436" s="1390"/>
      <c r="AF436" s="1390"/>
      <c r="AG436" s="1390"/>
      <c r="AH436" s="1390"/>
      <c r="AI436" s="1390"/>
      <c r="AJ436" s="1390"/>
      <c r="AK436" s="1390"/>
    </row>
    <row r="437" spans="3:37" ht="17.25" customHeight="1" x14ac:dyDescent="0.35">
      <c r="C437" s="1390"/>
      <c r="D437" s="1390"/>
      <c r="E437" s="1390"/>
      <c r="F437" s="1390"/>
      <c r="G437" s="1390"/>
      <c r="H437" s="1390"/>
      <c r="I437" s="1390"/>
      <c r="J437" s="1390"/>
      <c r="K437" s="1390"/>
      <c r="L437" s="1390"/>
      <c r="M437" s="1390"/>
      <c r="N437" s="1390"/>
      <c r="O437" s="1390"/>
      <c r="P437" s="1390"/>
      <c r="Q437" s="1390"/>
      <c r="R437" s="1390"/>
      <c r="S437" s="1390"/>
      <c r="T437" s="1390"/>
      <c r="U437" s="1390"/>
      <c r="V437" s="1390"/>
      <c r="W437" s="1390"/>
      <c r="X437" s="1390"/>
      <c r="Y437" s="1390"/>
      <c r="Z437" s="1390"/>
      <c r="AA437" s="1390"/>
      <c r="AB437" s="1390"/>
      <c r="AC437" s="1390"/>
      <c r="AD437" s="1390"/>
      <c r="AE437" s="1390"/>
      <c r="AF437" s="1390"/>
      <c r="AG437" s="1390"/>
      <c r="AH437" s="1390"/>
      <c r="AI437" s="1390"/>
      <c r="AJ437" s="1390"/>
      <c r="AK437" s="1390"/>
    </row>
    <row r="438" spans="3:37" ht="17.25" customHeight="1" x14ac:dyDescent="0.35">
      <c r="C438" s="1390"/>
      <c r="D438" s="1390"/>
      <c r="E438" s="1390"/>
      <c r="F438" s="1390"/>
      <c r="G438" s="1390"/>
      <c r="H438" s="1390"/>
      <c r="I438" s="1390"/>
      <c r="J438" s="1390"/>
      <c r="K438" s="1390"/>
      <c r="L438" s="1390"/>
      <c r="M438" s="1390"/>
      <c r="N438" s="1390"/>
      <c r="O438" s="1390"/>
      <c r="P438" s="1390"/>
      <c r="Q438" s="1390"/>
      <c r="R438" s="1390"/>
      <c r="S438" s="1390"/>
      <c r="T438" s="1390"/>
      <c r="U438" s="1390"/>
      <c r="V438" s="1390"/>
      <c r="W438" s="1390"/>
      <c r="X438" s="1390"/>
      <c r="Y438" s="1390"/>
      <c r="Z438" s="1390"/>
      <c r="AA438" s="1390"/>
      <c r="AB438" s="1390"/>
      <c r="AC438" s="1390"/>
      <c r="AD438" s="1390"/>
      <c r="AE438" s="1390"/>
      <c r="AF438" s="1390"/>
      <c r="AG438" s="1390"/>
      <c r="AH438" s="1390"/>
      <c r="AI438" s="1390"/>
      <c r="AJ438" s="1390"/>
      <c r="AK438" s="1390"/>
    </row>
    <row r="439" spans="3:37" ht="17.25" customHeight="1" x14ac:dyDescent="0.35">
      <c r="C439" s="1390"/>
      <c r="D439" s="1390"/>
      <c r="E439" s="1390"/>
      <c r="F439" s="1390"/>
      <c r="G439" s="1390"/>
      <c r="H439" s="1390"/>
      <c r="I439" s="1390"/>
      <c r="J439" s="1390"/>
      <c r="K439" s="1390"/>
      <c r="L439" s="1390"/>
      <c r="M439" s="1390"/>
      <c r="N439" s="1390"/>
      <c r="O439" s="1390"/>
      <c r="P439" s="1390"/>
      <c r="Q439" s="1390"/>
      <c r="R439" s="1390"/>
      <c r="S439" s="1390"/>
      <c r="T439" s="1390"/>
      <c r="U439" s="1390"/>
      <c r="V439" s="1390"/>
      <c r="W439" s="1390"/>
      <c r="X439" s="1390"/>
      <c r="Y439" s="1390"/>
      <c r="Z439" s="1390"/>
      <c r="AA439" s="1390"/>
      <c r="AB439" s="1390"/>
      <c r="AC439" s="1390"/>
      <c r="AD439" s="1390"/>
      <c r="AE439" s="1390"/>
      <c r="AF439" s="1390"/>
      <c r="AG439" s="1390"/>
      <c r="AH439" s="1390"/>
      <c r="AI439" s="1390"/>
      <c r="AJ439" s="1390"/>
      <c r="AK439" s="1390"/>
    </row>
    <row r="440" spans="3:37" ht="17.25" customHeight="1" x14ac:dyDescent="0.35">
      <c r="C440" s="1390"/>
      <c r="D440" s="1390"/>
      <c r="E440" s="1390"/>
      <c r="F440" s="1390"/>
      <c r="G440" s="1390"/>
      <c r="H440" s="1390"/>
      <c r="I440" s="1390"/>
      <c r="J440" s="1390"/>
      <c r="K440" s="1390"/>
      <c r="L440" s="1390"/>
      <c r="M440" s="1390"/>
      <c r="N440" s="1390"/>
      <c r="O440" s="1390"/>
      <c r="P440" s="1390"/>
      <c r="Q440" s="1390"/>
      <c r="R440" s="1390"/>
      <c r="S440" s="1390"/>
      <c r="T440" s="1390"/>
      <c r="U440" s="1390"/>
      <c r="V440" s="1390"/>
      <c r="W440" s="1390"/>
      <c r="X440" s="1390"/>
      <c r="Y440" s="1390"/>
      <c r="Z440" s="1390"/>
      <c r="AA440" s="1390"/>
      <c r="AB440" s="1390"/>
      <c r="AC440" s="1390"/>
      <c r="AD440" s="1390"/>
      <c r="AE440" s="1390"/>
      <c r="AF440" s="1390"/>
      <c r="AG440" s="1390"/>
      <c r="AH440" s="1390"/>
      <c r="AI440" s="1390"/>
      <c r="AJ440" s="1390"/>
      <c r="AK440" s="1390"/>
    </row>
    <row r="441" spans="3:37" ht="17.25" customHeight="1" x14ac:dyDescent="0.35">
      <c r="C441" s="1390"/>
      <c r="D441" s="1390"/>
      <c r="E441" s="1390"/>
      <c r="F441" s="1390"/>
      <c r="G441" s="1390"/>
      <c r="H441" s="1390"/>
      <c r="I441" s="1390"/>
      <c r="J441" s="1390"/>
      <c r="K441" s="1390"/>
      <c r="L441" s="1390"/>
      <c r="M441" s="1390"/>
      <c r="N441" s="1390"/>
      <c r="O441" s="1390"/>
      <c r="P441" s="1390"/>
      <c r="Q441" s="1390"/>
      <c r="R441" s="1390"/>
      <c r="S441" s="1390"/>
      <c r="T441" s="1390"/>
      <c r="U441" s="1390"/>
      <c r="V441" s="1390"/>
      <c r="W441" s="1390"/>
      <c r="X441" s="1390"/>
      <c r="Y441" s="1390"/>
      <c r="Z441" s="1390"/>
      <c r="AA441" s="1390"/>
      <c r="AB441" s="1390"/>
      <c r="AC441" s="1390"/>
      <c r="AD441" s="1390"/>
      <c r="AE441" s="1390"/>
      <c r="AF441" s="1390"/>
      <c r="AG441" s="1390"/>
      <c r="AH441" s="1390"/>
      <c r="AI441" s="1390"/>
      <c r="AJ441" s="1390"/>
      <c r="AK441" s="1390"/>
    </row>
    <row r="442" spans="3:37" ht="17.25" customHeight="1" x14ac:dyDescent="0.35">
      <c r="C442" s="1390"/>
      <c r="D442" s="1390"/>
      <c r="E442" s="1390"/>
      <c r="F442" s="1390"/>
      <c r="G442" s="1390"/>
      <c r="H442" s="1390"/>
      <c r="I442" s="1390"/>
      <c r="J442" s="1390"/>
      <c r="K442" s="1390"/>
      <c r="L442" s="1390"/>
      <c r="M442" s="1390"/>
      <c r="N442" s="1390"/>
      <c r="O442" s="1390"/>
      <c r="P442" s="1390"/>
      <c r="Q442" s="1390"/>
      <c r="R442" s="1390"/>
      <c r="S442" s="1390"/>
      <c r="T442" s="1390"/>
      <c r="U442" s="1390"/>
      <c r="V442" s="1390"/>
      <c r="W442" s="1390"/>
      <c r="X442" s="1390"/>
      <c r="Y442" s="1390"/>
      <c r="Z442" s="1390"/>
      <c r="AA442" s="1390"/>
      <c r="AB442" s="1390"/>
      <c r="AC442" s="1390"/>
      <c r="AD442" s="1390"/>
      <c r="AE442" s="1390"/>
      <c r="AF442" s="1390"/>
      <c r="AG442" s="1390"/>
      <c r="AH442" s="1390"/>
      <c r="AI442" s="1390"/>
      <c r="AJ442" s="1390"/>
      <c r="AK442" s="1390"/>
    </row>
    <row r="443" spans="3:37" ht="17.25" customHeight="1" x14ac:dyDescent="0.35">
      <c r="C443" s="1390"/>
      <c r="D443" s="1390"/>
      <c r="E443" s="1390"/>
      <c r="F443" s="1390"/>
      <c r="G443" s="1390"/>
      <c r="H443" s="1390"/>
      <c r="I443" s="1390"/>
      <c r="J443" s="1390"/>
      <c r="K443" s="1390"/>
      <c r="L443" s="1390"/>
      <c r="M443" s="1390"/>
      <c r="N443" s="1390"/>
      <c r="O443" s="1390"/>
      <c r="P443" s="1390"/>
      <c r="Q443" s="1390"/>
      <c r="R443" s="1390"/>
      <c r="S443" s="1390"/>
      <c r="T443" s="1390"/>
      <c r="U443" s="1390"/>
      <c r="V443" s="1390"/>
      <c r="W443" s="1390"/>
      <c r="X443" s="1390"/>
      <c r="Y443" s="1390"/>
      <c r="Z443" s="1390"/>
      <c r="AA443" s="1390"/>
      <c r="AB443" s="1390"/>
      <c r="AC443" s="1390"/>
      <c r="AD443" s="1390"/>
      <c r="AE443" s="1390"/>
      <c r="AF443" s="1390"/>
      <c r="AG443" s="1390"/>
      <c r="AH443" s="1390"/>
      <c r="AI443" s="1390"/>
      <c r="AJ443" s="1390"/>
      <c r="AK443" s="1390"/>
    </row>
    <row r="444" spans="3:37" ht="17.25" customHeight="1" x14ac:dyDescent="0.35">
      <c r="C444" s="1390"/>
      <c r="D444" s="1390"/>
      <c r="E444" s="1390"/>
      <c r="F444" s="1390"/>
      <c r="G444" s="1390"/>
      <c r="H444" s="1390"/>
      <c r="I444" s="1390"/>
      <c r="J444" s="1390"/>
      <c r="K444" s="1390"/>
      <c r="L444" s="1390"/>
      <c r="M444" s="1390"/>
      <c r="N444" s="1390"/>
      <c r="O444" s="1390"/>
      <c r="P444" s="1390"/>
      <c r="Q444" s="1390"/>
      <c r="R444" s="1390"/>
      <c r="S444" s="1390"/>
      <c r="T444" s="1390"/>
      <c r="U444" s="1390"/>
      <c r="V444" s="1390"/>
      <c r="W444" s="1390"/>
      <c r="X444" s="1390"/>
      <c r="Y444" s="1390"/>
      <c r="Z444" s="1390"/>
      <c r="AA444" s="1390"/>
      <c r="AB444" s="1390"/>
      <c r="AC444" s="1390"/>
      <c r="AD444" s="1390"/>
      <c r="AE444" s="1390"/>
      <c r="AF444" s="1390"/>
      <c r="AG444" s="1390"/>
      <c r="AH444" s="1390"/>
      <c r="AI444" s="1390"/>
      <c r="AJ444" s="1390"/>
      <c r="AK444" s="1390"/>
    </row>
    <row r="445" spans="3:37" ht="17.25" customHeight="1" x14ac:dyDescent="0.35">
      <c r="C445" s="1390"/>
      <c r="D445" s="1390"/>
      <c r="E445" s="1390"/>
      <c r="F445" s="1390"/>
      <c r="G445" s="1390"/>
      <c r="H445" s="1390"/>
      <c r="I445" s="1390"/>
      <c r="J445" s="1390"/>
      <c r="K445" s="1390"/>
      <c r="L445" s="1390"/>
      <c r="M445" s="1390"/>
      <c r="N445" s="1390"/>
      <c r="O445" s="1390"/>
      <c r="P445" s="1390"/>
      <c r="Q445" s="1390"/>
      <c r="R445" s="1390"/>
      <c r="S445" s="1390"/>
      <c r="T445" s="1390"/>
      <c r="U445" s="1390"/>
      <c r="V445" s="1390"/>
      <c r="W445" s="1390"/>
      <c r="X445" s="1390"/>
      <c r="Y445" s="1390"/>
      <c r="Z445" s="1390"/>
      <c r="AA445" s="1390"/>
      <c r="AB445" s="1390"/>
      <c r="AC445" s="1390"/>
      <c r="AD445" s="1390"/>
      <c r="AE445" s="1390"/>
      <c r="AF445" s="1390"/>
      <c r="AG445" s="1390"/>
      <c r="AH445" s="1390"/>
      <c r="AI445" s="1390"/>
      <c r="AJ445" s="1390"/>
      <c r="AK445" s="1390"/>
    </row>
    <row r="446" spans="3:37" ht="17.25" customHeight="1" x14ac:dyDescent="0.35">
      <c r="C446" s="1390"/>
      <c r="D446" s="1390"/>
      <c r="E446" s="1390"/>
      <c r="F446" s="1390"/>
      <c r="G446" s="1390"/>
      <c r="H446" s="1390"/>
      <c r="I446" s="1390"/>
      <c r="J446" s="1390"/>
      <c r="K446" s="1390"/>
      <c r="L446" s="1390"/>
      <c r="M446" s="1390"/>
      <c r="N446" s="1390"/>
      <c r="O446" s="1390"/>
      <c r="P446" s="1390"/>
      <c r="Q446" s="1390"/>
      <c r="R446" s="1390"/>
      <c r="S446" s="1390"/>
      <c r="T446" s="1390"/>
      <c r="U446" s="1390"/>
      <c r="V446" s="1390"/>
      <c r="W446" s="1390"/>
      <c r="X446" s="1390"/>
      <c r="Y446" s="1390"/>
      <c r="Z446" s="1390"/>
      <c r="AA446" s="1390"/>
      <c r="AB446" s="1390"/>
      <c r="AC446" s="1390"/>
      <c r="AD446" s="1390"/>
      <c r="AE446" s="1390"/>
      <c r="AF446" s="1390"/>
      <c r="AG446" s="1390"/>
      <c r="AH446" s="1390"/>
      <c r="AI446" s="1390"/>
      <c r="AJ446" s="1390"/>
      <c r="AK446" s="1390"/>
    </row>
    <row r="447" spans="3:37" ht="17.25" customHeight="1" x14ac:dyDescent="0.35">
      <c r="C447" s="1390"/>
      <c r="D447" s="1390"/>
      <c r="E447" s="1390"/>
      <c r="F447" s="1390"/>
      <c r="G447" s="1390"/>
      <c r="H447" s="1390"/>
      <c r="I447" s="1390"/>
      <c r="J447" s="1390"/>
      <c r="K447" s="1390"/>
      <c r="L447" s="1390"/>
      <c r="M447" s="1390"/>
      <c r="N447" s="1390"/>
      <c r="O447" s="1390"/>
      <c r="P447" s="1390"/>
      <c r="Q447" s="1390"/>
      <c r="R447" s="1390"/>
      <c r="S447" s="1390"/>
      <c r="T447" s="1390"/>
      <c r="U447" s="1390"/>
      <c r="V447" s="1390"/>
      <c r="W447" s="1390"/>
      <c r="X447" s="1390"/>
      <c r="Y447" s="1390"/>
      <c r="Z447" s="1390"/>
      <c r="AA447" s="1390"/>
      <c r="AB447" s="1390"/>
      <c r="AC447" s="1390"/>
      <c r="AD447" s="1390"/>
      <c r="AE447" s="1390"/>
      <c r="AF447" s="1390"/>
      <c r="AG447" s="1390"/>
      <c r="AH447" s="1390"/>
      <c r="AI447" s="1390"/>
      <c r="AJ447" s="1390"/>
      <c r="AK447" s="1390"/>
    </row>
    <row r="448" spans="3:37" ht="17.25" customHeight="1" x14ac:dyDescent="0.35">
      <c r="C448" s="1390"/>
      <c r="D448" s="1390"/>
      <c r="E448" s="1390"/>
      <c r="F448" s="1390"/>
      <c r="G448" s="1390"/>
      <c r="H448" s="1390"/>
      <c r="I448" s="1390"/>
      <c r="J448" s="1390"/>
      <c r="K448" s="1390"/>
      <c r="L448" s="1390"/>
      <c r="M448" s="1390"/>
      <c r="N448" s="1390"/>
      <c r="O448" s="1390"/>
      <c r="P448" s="1390"/>
      <c r="Q448" s="1390"/>
      <c r="R448" s="1390"/>
      <c r="S448" s="1390"/>
      <c r="T448" s="1390"/>
      <c r="U448" s="1390"/>
      <c r="V448" s="1390"/>
      <c r="W448" s="1390"/>
      <c r="X448" s="1390"/>
      <c r="Y448" s="1390"/>
      <c r="Z448" s="1390"/>
      <c r="AA448" s="1390"/>
      <c r="AB448" s="1390"/>
      <c r="AC448" s="1390"/>
      <c r="AD448" s="1390"/>
      <c r="AE448" s="1390"/>
      <c r="AF448" s="1390"/>
      <c r="AG448" s="1390"/>
      <c r="AH448" s="1390"/>
      <c r="AI448" s="1390"/>
      <c r="AJ448" s="1390"/>
      <c r="AK448" s="1390"/>
    </row>
    <row r="449" spans="3:37" ht="17.25" customHeight="1" x14ac:dyDescent="0.35">
      <c r="C449" s="1390"/>
      <c r="D449" s="1390"/>
      <c r="E449" s="1390"/>
      <c r="F449" s="1390"/>
      <c r="G449" s="1390"/>
      <c r="H449" s="1390"/>
      <c r="I449" s="1390"/>
      <c r="J449" s="1390"/>
      <c r="K449" s="1390"/>
      <c r="L449" s="1390"/>
      <c r="M449" s="1390"/>
      <c r="N449" s="1390"/>
      <c r="O449" s="1390"/>
      <c r="P449" s="1390"/>
      <c r="Q449" s="1390"/>
      <c r="R449" s="1390"/>
      <c r="S449" s="1390"/>
      <c r="T449" s="1390"/>
      <c r="U449" s="1390"/>
      <c r="V449" s="1390"/>
      <c r="W449" s="1390"/>
      <c r="X449" s="1390"/>
      <c r="Y449" s="1390"/>
      <c r="Z449" s="1390"/>
      <c r="AA449" s="1390"/>
      <c r="AB449" s="1390"/>
      <c r="AC449" s="1390"/>
      <c r="AD449" s="1390"/>
      <c r="AE449" s="1390"/>
      <c r="AF449" s="1390"/>
      <c r="AG449" s="1390"/>
      <c r="AH449" s="1390"/>
      <c r="AI449" s="1390"/>
      <c r="AJ449" s="1390"/>
      <c r="AK449" s="1390"/>
    </row>
    <row r="450" spans="3:37" ht="17.25" customHeight="1" x14ac:dyDescent="0.35">
      <c r="C450" s="1390"/>
      <c r="D450" s="1390"/>
      <c r="E450" s="1390"/>
      <c r="F450" s="1390"/>
      <c r="G450" s="1390"/>
      <c r="H450" s="1390"/>
      <c r="I450" s="1390"/>
      <c r="J450" s="1390"/>
      <c r="K450" s="1390"/>
      <c r="L450" s="1390"/>
      <c r="M450" s="1390"/>
      <c r="N450" s="1390"/>
      <c r="O450" s="1390"/>
      <c r="P450" s="1390"/>
      <c r="Q450" s="1390"/>
      <c r="R450" s="1390"/>
      <c r="S450" s="1390"/>
      <c r="T450" s="1390"/>
      <c r="U450" s="1390"/>
      <c r="V450" s="1390"/>
      <c r="W450" s="1390"/>
      <c r="X450" s="1390"/>
      <c r="Y450" s="1390"/>
      <c r="Z450" s="1390"/>
      <c r="AA450" s="1390"/>
      <c r="AB450" s="1390"/>
      <c r="AC450" s="1390"/>
      <c r="AD450" s="1390"/>
      <c r="AE450" s="1390"/>
      <c r="AF450" s="1390"/>
      <c r="AG450" s="1390"/>
      <c r="AH450" s="1390"/>
      <c r="AI450" s="1390"/>
      <c r="AJ450" s="1390"/>
      <c r="AK450" s="1390"/>
    </row>
    <row r="451" spans="3:37" ht="17.25" customHeight="1" x14ac:dyDescent="0.35">
      <c r="C451" s="1390"/>
      <c r="D451" s="1390"/>
      <c r="E451" s="1390"/>
      <c r="F451" s="1390"/>
      <c r="G451" s="1390"/>
      <c r="H451" s="1390"/>
      <c r="I451" s="1390"/>
      <c r="J451" s="1390"/>
      <c r="K451" s="1390"/>
      <c r="L451" s="1390"/>
      <c r="M451" s="1390"/>
      <c r="N451" s="1390"/>
      <c r="O451" s="1390"/>
      <c r="P451" s="1390"/>
      <c r="Q451" s="1390"/>
      <c r="R451" s="1390"/>
      <c r="S451" s="1390"/>
      <c r="T451" s="1390"/>
      <c r="U451" s="1390"/>
      <c r="V451" s="1390"/>
      <c r="W451" s="1390"/>
      <c r="X451" s="1390"/>
      <c r="Y451" s="1390"/>
      <c r="Z451" s="1390"/>
      <c r="AA451" s="1390"/>
      <c r="AB451" s="1390"/>
      <c r="AC451" s="1390"/>
      <c r="AD451" s="1390"/>
      <c r="AE451" s="1390"/>
      <c r="AF451" s="1390"/>
      <c r="AG451" s="1390"/>
      <c r="AH451" s="1390"/>
      <c r="AI451" s="1390"/>
      <c r="AJ451" s="1390"/>
      <c r="AK451" s="1390"/>
    </row>
    <row r="452" spans="3:37" ht="17.25" customHeight="1" x14ac:dyDescent="0.35">
      <c r="C452" s="1390"/>
      <c r="D452" s="1390"/>
      <c r="E452" s="1390"/>
      <c r="F452" s="1390"/>
      <c r="G452" s="1390"/>
      <c r="H452" s="1390"/>
      <c r="I452" s="1390"/>
      <c r="J452" s="1390"/>
      <c r="K452" s="1390"/>
      <c r="L452" s="1390"/>
      <c r="M452" s="1390"/>
      <c r="N452" s="1390"/>
      <c r="O452" s="1390"/>
      <c r="P452" s="1390"/>
      <c r="Q452" s="1390"/>
      <c r="R452" s="1390"/>
      <c r="S452" s="1390"/>
      <c r="T452" s="1390"/>
      <c r="U452" s="1390"/>
      <c r="V452" s="1390"/>
      <c r="W452" s="1390"/>
      <c r="X452" s="1390"/>
      <c r="Y452" s="1390"/>
      <c r="Z452" s="1390"/>
      <c r="AA452" s="1390"/>
      <c r="AB452" s="1390"/>
      <c r="AC452" s="1390"/>
      <c r="AD452" s="1390"/>
      <c r="AE452" s="1390"/>
      <c r="AF452" s="1390"/>
      <c r="AG452" s="1390"/>
      <c r="AH452" s="1390"/>
      <c r="AI452" s="1390"/>
      <c r="AJ452" s="1390"/>
      <c r="AK452" s="1390"/>
    </row>
    <row r="453" spans="3:37" ht="17.25" customHeight="1" x14ac:dyDescent="0.35">
      <c r="C453" s="1390"/>
      <c r="D453" s="1390"/>
      <c r="E453" s="1390"/>
      <c r="F453" s="1390"/>
      <c r="G453" s="1390"/>
      <c r="H453" s="1390"/>
      <c r="I453" s="1390"/>
      <c r="J453" s="1390"/>
      <c r="K453" s="1390"/>
      <c r="L453" s="1390"/>
      <c r="M453" s="1390"/>
      <c r="N453" s="1390"/>
      <c r="O453" s="1390"/>
      <c r="P453" s="1390"/>
      <c r="Q453" s="1390"/>
      <c r="R453" s="1390"/>
      <c r="S453" s="1390"/>
      <c r="T453" s="1390"/>
      <c r="U453" s="1390"/>
      <c r="V453" s="1390"/>
      <c r="W453" s="1390"/>
      <c r="X453" s="1390"/>
      <c r="Y453" s="1390"/>
      <c r="Z453" s="1390"/>
      <c r="AA453" s="1390"/>
      <c r="AB453" s="1390"/>
      <c r="AC453" s="1390"/>
      <c r="AD453" s="1390"/>
      <c r="AE453" s="1390"/>
      <c r="AF453" s="1390"/>
      <c r="AG453" s="1390"/>
      <c r="AH453" s="1390"/>
      <c r="AI453" s="1390"/>
      <c r="AJ453" s="1390"/>
      <c r="AK453" s="1390"/>
    </row>
    <row r="454" spans="3:37" ht="17.25" customHeight="1" x14ac:dyDescent="0.35">
      <c r="C454" s="1390"/>
      <c r="D454" s="1390"/>
      <c r="E454" s="1390"/>
      <c r="F454" s="1390"/>
      <c r="G454" s="1390"/>
      <c r="H454" s="1390"/>
      <c r="I454" s="1390"/>
      <c r="J454" s="1390"/>
      <c r="K454" s="1390"/>
      <c r="L454" s="1390"/>
      <c r="M454" s="1390"/>
      <c r="N454" s="1390"/>
      <c r="O454" s="1390"/>
      <c r="P454" s="1390"/>
      <c r="Q454" s="1390"/>
      <c r="R454" s="1390"/>
      <c r="S454" s="1390"/>
      <c r="T454" s="1390"/>
      <c r="U454" s="1390"/>
      <c r="V454" s="1390"/>
      <c r="W454" s="1390"/>
      <c r="X454" s="1390"/>
      <c r="Y454" s="1390"/>
      <c r="Z454" s="1390"/>
      <c r="AA454" s="1390"/>
      <c r="AB454" s="1390"/>
      <c r="AC454" s="1390"/>
      <c r="AD454" s="1390"/>
      <c r="AE454" s="1390"/>
      <c r="AF454" s="1390"/>
      <c r="AG454" s="1390"/>
      <c r="AH454" s="1390"/>
      <c r="AI454" s="1390"/>
      <c r="AJ454" s="1390"/>
      <c r="AK454" s="1390"/>
    </row>
    <row r="455" spans="3:37" ht="17.25" customHeight="1" x14ac:dyDescent="0.35">
      <c r="C455" s="1390"/>
      <c r="D455" s="1390"/>
      <c r="E455" s="1390"/>
      <c r="F455" s="1390"/>
      <c r="G455" s="1390"/>
      <c r="H455" s="1390"/>
      <c r="I455" s="1390"/>
      <c r="J455" s="1390"/>
      <c r="K455" s="1390"/>
      <c r="L455" s="1390"/>
      <c r="M455" s="1390"/>
      <c r="N455" s="1390"/>
      <c r="O455" s="1390"/>
      <c r="P455" s="1390"/>
      <c r="Q455" s="1390"/>
      <c r="R455" s="1390"/>
      <c r="S455" s="1390"/>
      <c r="T455" s="1390"/>
      <c r="U455" s="1390"/>
      <c r="V455" s="1390"/>
      <c r="W455" s="1390"/>
      <c r="X455" s="1390"/>
      <c r="Y455" s="1390"/>
      <c r="Z455" s="1390"/>
      <c r="AA455" s="1390"/>
      <c r="AB455" s="1390"/>
      <c r="AC455" s="1390"/>
      <c r="AD455" s="1390"/>
      <c r="AE455" s="1390"/>
      <c r="AF455" s="1390"/>
      <c r="AG455" s="1390"/>
      <c r="AH455" s="1390"/>
      <c r="AI455" s="1390"/>
      <c r="AJ455" s="1390"/>
      <c r="AK455" s="1390"/>
    </row>
    <row r="456" spans="3:37" ht="17.25" customHeight="1" x14ac:dyDescent="0.35">
      <c r="C456" s="1390"/>
      <c r="D456" s="1390"/>
      <c r="E456" s="1390"/>
      <c r="F456" s="1390"/>
      <c r="G456" s="1390"/>
      <c r="H456" s="1390"/>
      <c r="I456" s="1390"/>
      <c r="J456" s="1390"/>
      <c r="K456" s="1390"/>
      <c r="L456" s="1390"/>
      <c r="M456" s="1390"/>
      <c r="N456" s="1390"/>
      <c r="O456" s="1390"/>
      <c r="P456" s="1390"/>
      <c r="Q456" s="1390"/>
      <c r="R456" s="1390"/>
      <c r="S456" s="1390"/>
      <c r="T456" s="1390"/>
      <c r="U456" s="1390"/>
      <c r="V456" s="1390"/>
      <c r="W456" s="1390"/>
      <c r="X456" s="1390"/>
      <c r="Y456" s="1390"/>
      <c r="Z456" s="1390"/>
      <c r="AA456" s="1390"/>
      <c r="AB456" s="1390"/>
      <c r="AC456" s="1390"/>
      <c r="AD456" s="1390"/>
      <c r="AE456" s="1390"/>
      <c r="AF456" s="1390"/>
      <c r="AG456" s="1390"/>
      <c r="AH456" s="1390"/>
      <c r="AI456" s="1390"/>
      <c r="AJ456" s="1390"/>
      <c r="AK456" s="1390"/>
    </row>
    <row r="457" spans="3:37" ht="17.25" customHeight="1" x14ac:dyDescent="0.35">
      <c r="C457" s="1390"/>
      <c r="D457" s="1390"/>
      <c r="E457" s="1390"/>
      <c r="F457" s="1390"/>
      <c r="G457" s="1390"/>
      <c r="H457" s="1390"/>
      <c r="I457" s="1390"/>
      <c r="J457" s="1390"/>
      <c r="K457" s="1390"/>
      <c r="L457" s="1390"/>
      <c r="M457" s="1390"/>
      <c r="N457" s="1390"/>
      <c r="O457" s="1390"/>
      <c r="P457" s="1390"/>
      <c r="Q457" s="1390"/>
      <c r="R457" s="1390"/>
      <c r="S457" s="1390"/>
      <c r="T457" s="1390"/>
      <c r="U457" s="1390"/>
      <c r="V457" s="1390"/>
      <c r="W457" s="1390"/>
      <c r="X457" s="1390"/>
      <c r="Y457" s="1390"/>
      <c r="Z457" s="1390"/>
      <c r="AA457" s="1390"/>
      <c r="AB457" s="1390"/>
      <c r="AC457" s="1390"/>
      <c r="AD457" s="1390"/>
      <c r="AE457" s="1390"/>
      <c r="AF457" s="1390"/>
      <c r="AG457" s="1390"/>
      <c r="AH457" s="1390"/>
      <c r="AI457" s="1390"/>
      <c r="AJ457" s="1390"/>
      <c r="AK457" s="1390"/>
    </row>
    <row r="458" spans="3:37" ht="17.25" customHeight="1" x14ac:dyDescent="0.35">
      <c r="C458" s="1390"/>
      <c r="D458" s="1390"/>
      <c r="E458" s="1390"/>
      <c r="F458" s="1390"/>
      <c r="G458" s="1390"/>
      <c r="H458" s="1390"/>
      <c r="I458" s="1390"/>
      <c r="J458" s="1390"/>
      <c r="K458" s="1390"/>
      <c r="L458" s="1390"/>
      <c r="M458" s="1390"/>
      <c r="N458" s="1390"/>
      <c r="O458" s="1390"/>
      <c r="P458" s="1390"/>
      <c r="Q458" s="1390"/>
      <c r="R458" s="1390"/>
      <c r="S458" s="1390"/>
      <c r="T458" s="1390"/>
      <c r="U458" s="1390"/>
      <c r="V458" s="1390"/>
      <c r="W458" s="1390"/>
      <c r="X458" s="1390"/>
      <c r="Y458" s="1390"/>
      <c r="Z458" s="1390"/>
      <c r="AA458" s="1390"/>
      <c r="AB458" s="1390"/>
      <c r="AC458" s="1390"/>
      <c r="AD458" s="1390"/>
      <c r="AE458" s="1390"/>
      <c r="AF458" s="1390"/>
      <c r="AG458" s="1390"/>
      <c r="AH458" s="1390"/>
      <c r="AI458" s="1390"/>
      <c r="AJ458" s="1390"/>
      <c r="AK458" s="1390"/>
    </row>
    <row r="459" spans="3:37" ht="17.25" customHeight="1" x14ac:dyDescent="0.35">
      <c r="C459" s="1390"/>
      <c r="D459" s="1390"/>
      <c r="E459" s="1390"/>
      <c r="F459" s="1390"/>
      <c r="G459" s="1390"/>
      <c r="H459" s="1390"/>
      <c r="I459" s="1390"/>
      <c r="J459" s="1390"/>
      <c r="K459" s="1390"/>
      <c r="L459" s="1390"/>
      <c r="M459" s="1390"/>
      <c r="N459" s="1390"/>
      <c r="O459" s="1390"/>
      <c r="P459" s="1390"/>
      <c r="Q459" s="1390"/>
      <c r="R459" s="1390"/>
      <c r="S459" s="1390"/>
      <c r="T459" s="1390"/>
      <c r="U459" s="1390"/>
      <c r="V459" s="1390"/>
      <c r="W459" s="1390"/>
      <c r="X459" s="1390"/>
      <c r="Y459" s="1390"/>
      <c r="Z459" s="1390"/>
      <c r="AA459" s="1390"/>
      <c r="AB459" s="1390"/>
      <c r="AC459" s="1390"/>
      <c r="AD459" s="1390"/>
      <c r="AE459" s="1390"/>
      <c r="AF459" s="1390"/>
      <c r="AG459" s="1390"/>
      <c r="AH459" s="1390"/>
      <c r="AI459" s="1390"/>
      <c r="AJ459" s="1390"/>
      <c r="AK459" s="1390"/>
    </row>
    <row r="460" spans="3:37" ht="17.25" customHeight="1" x14ac:dyDescent="0.35">
      <c r="C460" s="1390"/>
      <c r="D460" s="1390"/>
      <c r="E460" s="1390"/>
      <c r="F460" s="1390"/>
      <c r="G460" s="1390"/>
      <c r="H460" s="1390"/>
      <c r="I460" s="1390"/>
      <c r="J460" s="1390"/>
      <c r="K460" s="1390"/>
      <c r="L460" s="1390"/>
      <c r="M460" s="1390"/>
      <c r="N460" s="1390"/>
      <c r="O460" s="1390"/>
      <c r="P460" s="1390"/>
      <c r="Q460" s="1390"/>
      <c r="R460" s="1390"/>
      <c r="S460" s="1390"/>
      <c r="T460" s="1390"/>
      <c r="U460" s="1390"/>
      <c r="V460" s="1390"/>
      <c r="W460" s="1390"/>
      <c r="X460" s="1390"/>
      <c r="Y460" s="1390"/>
      <c r="Z460" s="1390"/>
      <c r="AA460" s="1390"/>
      <c r="AB460" s="1390"/>
      <c r="AC460" s="1390"/>
      <c r="AD460" s="1390"/>
      <c r="AE460" s="1390"/>
      <c r="AF460" s="1390"/>
      <c r="AG460" s="1390"/>
      <c r="AH460" s="1390"/>
      <c r="AI460" s="1390"/>
      <c r="AJ460" s="1390"/>
      <c r="AK460" s="1390"/>
    </row>
    <row r="461" spans="3:37" ht="17.25" customHeight="1" x14ac:dyDescent="0.35">
      <c r="C461" s="1390"/>
      <c r="D461" s="1390"/>
      <c r="E461" s="1390"/>
      <c r="F461" s="1390"/>
      <c r="G461" s="1390"/>
      <c r="H461" s="1390"/>
      <c r="I461" s="1390"/>
      <c r="J461" s="1390"/>
      <c r="K461" s="1390"/>
      <c r="L461" s="1390"/>
      <c r="M461" s="1390"/>
      <c r="N461" s="1390"/>
      <c r="O461" s="1390"/>
      <c r="P461" s="1390"/>
      <c r="Q461" s="1390"/>
      <c r="R461" s="1390"/>
      <c r="S461" s="1390"/>
      <c r="T461" s="1390"/>
      <c r="U461" s="1390"/>
      <c r="V461" s="1390"/>
      <c r="W461" s="1390"/>
      <c r="X461" s="1390"/>
      <c r="Y461" s="1390"/>
      <c r="Z461" s="1390"/>
      <c r="AA461" s="1390"/>
      <c r="AB461" s="1390"/>
      <c r="AC461" s="1390"/>
      <c r="AD461" s="1390"/>
      <c r="AE461" s="1390"/>
      <c r="AF461" s="1390"/>
      <c r="AG461" s="1390"/>
      <c r="AH461" s="1390"/>
      <c r="AI461" s="1390"/>
      <c r="AJ461" s="1390"/>
      <c r="AK461" s="1390"/>
    </row>
    <row r="462" spans="3:37" ht="17.25" customHeight="1" x14ac:dyDescent="0.35">
      <c r="C462" s="1390"/>
      <c r="D462" s="1390"/>
      <c r="E462" s="1390"/>
      <c r="F462" s="1390"/>
      <c r="G462" s="1390"/>
      <c r="H462" s="1390"/>
      <c r="I462" s="1390"/>
      <c r="J462" s="1390"/>
      <c r="K462" s="1390"/>
      <c r="L462" s="1390"/>
      <c r="M462" s="1390"/>
      <c r="N462" s="1390"/>
      <c r="O462" s="1390"/>
      <c r="P462" s="1390"/>
      <c r="Q462" s="1390"/>
      <c r="R462" s="1390"/>
      <c r="S462" s="1390"/>
      <c r="T462" s="1390"/>
      <c r="U462" s="1390"/>
      <c r="V462" s="1390"/>
      <c r="W462" s="1390"/>
      <c r="X462" s="1390"/>
      <c r="Y462" s="1390"/>
      <c r="Z462" s="1390"/>
      <c r="AA462" s="1390"/>
      <c r="AB462" s="1390"/>
      <c r="AC462" s="1390"/>
      <c r="AD462" s="1390"/>
      <c r="AE462" s="1390"/>
      <c r="AF462" s="1390"/>
      <c r="AG462" s="1390"/>
      <c r="AH462" s="1390"/>
      <c r="AI462" s="1390"/>
      <c r="AJ462" s="1390"/>
      <c r="AK462" s="1390"/>
    </row>
    <row r="463" spans="3:37" ht="17.25" customHeight="1" x14ac:dyDescent="0.35">
      <c r="C463" s="1390"/>
      <c r="D463" s="1390"/>
      <c r="E463" s="1390"/>
      <c r="F463" s="1390"/>
      <c r="G463" s="1390"/>
      <c r="H463" s="1390"/>
      <c r="I463" s="1390"/>
      <c r="J463" s="1390"/>
      <c r="K463" s="1390"/>
      <c r="L463" s="1390"/>
      <c r="M463" s="1390"/>
      <c r="N463" s="1390"/>
      <c r="O463" s="1390"/>
      <c r="P463" s="1390"/>
      <c r="Q463" s="1390"/>
      <c r="R463" s="1390"/>
      <c r="S463" s="1390"/>
      <c r="T463" s="1390"/>
      <c r="U463" s="1390"/>
      <c r="V463" s="1390"/>
      <c r="W463" s="1390"/>
      <c r="X463" s="1390"/>
      <c r="Y463" s="1390"/>
      <c r="Z463" s="1390"/>
      <c r="AA463" s="1390"/>
      <c r="AB463" s="1390"/>
      <c r="AC463" s="1390"/>
      <c r="AD463" s="1390"/>
      <c r="AE463" s="1390"/>
      <c r="AF463" s="1390"/>
      <c r="AG463" s="1390"/>
      <c r="AH463" s="1390"/>
      <c r="AI463" s="1390"/>
      <c r="AJ463" s="1390"/>
      <c r="AK463" s="1390"/>
    </row>
    <row r="464" spans="3:37" ht="17.25" customHeight="1" x14ac:dyDescent="0.35">
      <c r="C464" s="1390"/>
      <c r="D464" s="1390"/>
      <c r="E464" s="1390"/>
      <c r="F464" s="1390"/>
      <c r="G464" s="1390"/>
      <c r="H464" s="1390"/>
      <c r="I464" s="1390"/>
      <c r="J464" s="1390"/>
      <c r="K464" s="1390"/>
      <c r="L464" s="1390"/>
      <c r="M464" s="1390"/>
      <c r="N464" s="1390"/>
      <c r="O464" s="1390"/>
      <c r="P464" s="1390"/>
      <c r="Q464" s="1390"/>
      <c r="R464" s="1390"/>
      <c r="S464" s="1390"/>
      <c r="T464" s="1390"/>
      <c r="U464" s="1390"/>
      <c r="V464" s="1390"/>
      <c r="W464" s="1390"/>
      <c r="X464" s="1390"/>
      <c r="Y464" s="1390"/>
      <c r="Z464" s="1390"/>
      <c r="AA464" s="1390"/>
      <c r="AB464" s="1390"/>
      <c r="AC464" s="1390"/>
      <c r="AD464" s="1390"/>
      <c r="AE464" s="1390"/>
      <c r="AF464" s="1390"/>
      <c r="AG464" s="1390"/>
      <c r="AH464" s="1390"/>
      <c r="AI464" s="1390"/>
      <c r="AJ464" s="1390"/>
      <c r="AK464" s="1390"/>
    </row>
    <row r="465" spans="3:37" ht="17.25" customHeight="1" x14ac:dyDescent="0.35">
      <c r="C465" s="1390"/>
      <c r="D465" s="1390"/>
      <c r="E465" s="1390"/>
      <c r="F465" s="1390"/>
      <c r="G465" s="1390"/>
      <c r="H465" s="1390"/>
      <c r="I465" s="1390"/>
      <c r="J465" s="1390"/>
      <c r="K465" s="1390"/>
      <c r="L465" s="1390"/>
      <c r="M465" s="1390"/>
      <c r="N465" s="1390"/>
      <c r="O465" s="1390"/>
      <c r="P465" s="1390"/>
      <c r="Q465" s="1390"/>
      <c r="R465" s="1390"/>
      <c r="S465" s="1390"/>
      <c r="T465" s="1390"/>
      <c r="U465" s="1390"/>
      <c r="V465" s="1390"/>
      <c r="W465" s="1390"/>
      <c r="X465" s="1390"/>
      <c r="Y465" s="1390"/>
      <c r="Z465" s="1390"/>
      <c r="AA465" s="1390"/>
      <c r="AB465" s="1390"/>
      <c r="AC465" s="1390"/>
      <c r="AD465" s="1390"/>
      <c r="AE465" s="1390"/>
      <c r="AF465" s="1390"/>
      <c r="AG465" s="1390"/>
      <c r="AH465" s="1390"/>
      <c r="AI465" s="1390"/>
      <c r="AJ465" s="1390"/>
      <c r="AK465" s="1390"/>
    </row>
    <row r="466" spans="3:37" ht="17.25" customHeight="1" x14ac:dyDescent="0.35">
      <c r="C466" s="1390"/>
      <c r="D466" s="1390"/>
      <c r="E466" s="1390"/>
      <c r="F466" s="1390"/>
      <c r="G466" s="1390"/>
      <c r="H466" s="1390"/>
      <c r="I466" s="1390"/>
      <c r="J466" s="1390"/>
      <c r="K466" s="1390"/>
      <c r="L466" s="1390"/>
      <c r="M466" s="1390"/>
      <c r="N466" s="1390"/>
      <c r="O466" s="1390"/>
      <c r="P466" s="1390"/>
      <c r="Q466" s="1390"/>
      <c r="R466" s="1390"/>
      <c r="S466" s="1390"/>
      <c r="T466" s="1390"/>
      <c r="U466" s="1390"/>
      <c r="V466" s="1390"/>
      <c r="W466" s="1390"/>
      <c r="X466" s="1390"/>
      <c r="Y466" s="1390"/>
      <c r="Z466" s="1390"/>
      <c r="AA466" s="1390"/>
      <c r="AB466" s="1390"/>
      <c r="AC466" s="1390"/>
      <c r="AD466" s="1390"/>
      <c r="AE466" s="1390"/>
      <c r="AF466" s="1390"/>
      <c r="AG466" s="1390"/>
      <c r="AH466" s="1390"/>
      <c r="AI466" s="1390"/>
      <c r="AJ466" s="1390"/>
      <c r="AK466" s="1390"/>
    </row>
    <row r="467" spans="3:37" ht="17.25" customHeight="1" x14ac:dyDescent="0.35">
      <c r="C467" s="1390"/>
      <c r="D467" s="1390"/>
      <c r="E467" s="1390"/>
      <c r="F467" s="1390"/>
      <c r="G467" s="1390"/>
      <c r="H467" s="1390"/>
      <c r="I467" s="1390"/>
      <c r="J467" s="1390"/>
      <c r="K467" s="1390"/>
      <c r="L467" s="1390"/>
      <c r="M467" s="1390"/>
      <c r="N467" s="1390"/>
      <c r="O467" s="1390"/>
      <c r="P467" s="1390"/>
      <c r="Q467" s="1390"/>
      <c r="R467" s="1390"/>
      <c r="S467" s="1390"/>
      <c r="T467" s="1390"/>
      <c r="U467" s="1390"/>
      <c r="V467" s="1390"/>
      <c r="W467" s="1390"/>
      <c r="X467" s="1390"/>
      <c r="Y467" s="1390"/>
      <c r="Z467" s="1390"/>
      <c r="AA467" s="1390"/>
      <c r="AB467" s="1390"/>
      <c r="AC467" s="1390"/>
      <c r="AD467" s="1390"/>
      <c r="AE467" s="1390"/>
      <c r="AF467" s="1390"/>
      <c r="AG467" s="1390"/>
      <c r="AH467" s="1390"/>
      <c r="AI467" s="1390"/>
      <c r="AJ467" s="1390"/>
      <c r="AK467" s="1390"/>
    </row>
    <row r="468" spans="3:37" ht="17.25" customHeight="1" x14ac:dyDescent="0.35">
      <c r="C468" s="1390"/>
      <c r="D468" s="1390"/>
      <c r="E468" s="1390"/>
      <c r="F468" s="1390"/>
      <c r="G468" s="1390"/>
      <c r="H468" s="1390"/>
      <c r="I468" s="1390"/>
      <c r="J468" s="1390"/>
      <c r="K468" s="1390"/>
      <c r="L468" s="1390"/>
      <c r="M468" s="1390"/>
      <c r="N468" s="1390"/>
      <c r="O468" s="1390"/>
      <c r="P468" s="1390"/>
      <c r="Q468" s="1390"/>
      <c r="R468" s="1390"/>
      <c r="S468" s="1390"/>
      <c r="T468" s="1390"/>
      <c r="U468" s="1390"/>
      <c r="V468" s="1390"/>
      <c r="W468" s="1390"/>
      <c r="X468" s="1390"/>
      <c r="Y468" s="1390"/>
      <c r="Z468" s="1390"/>
      <c r="AA468" s="1390"/>
      <c r="AB468" s="1390"/>
      <c r="AC468" s="1390"/>
      <c r="AD468" s="1390"/>
      <c r="AE468" s="1390"/>
      <c r="AF468" s="1390"/>
      <c r="AG468" s="1390"/>
      <c r="AH468" s="1390"/>
      <c r="AI468" s="1390"/>
      <c r="AJ468" s="1390"/>
      <c r="AK468" s="1390"/>
    </row>
    <row r="469" spans="3:37" ht="17.25" customHeight="1" x14ac:dyDescent="0.35">
      <c r="C469" s="1390"/>
      <c r="D469" s="1390"/>
      <c r="E469" s="1390"/>
      <c r="F469" s="1390"/>
      <c r="G469" s="1390"/>
      <c r="H469" s="1390"/>
      <c r="I469" s="1390"/>
      <c r="J469" s="1390"/>
      <c r="K469" s="1390"/>
      <c r="L469" s="1390"/>
      <c r="M469" s="1390"/>
      <c r="N469" s="1390"/>
      <c r="O469" s="1390"/>
      <c r="P469" s="1390"/>
      <c r="Q469" s="1390"/>
      <c r="R469" s="1390"/>
      <c r="S469" s="1390"/>
      <c r="T469" s="1390"/>
      <c r="U469" s="1390"/>
      <c r="V469" s="1390"/>
      <c r="W469" s="1390"/>
      <c r="X469" s="1390"/>
      <c r="Y469" s="1390"/>
      <c r="Z469" s="1390"/>
      <c r="AA469" s="1390"/>
      <c r="AB469" s="1390"/>
      <c r="AC469" s="1390"/>
      <c r="AD469" s="1390"/>
      <c r="AE469" s="1390"/>
      <c r="AF469" s="1390"/>
      <c r="AG469" s="1390"/>
      <c r="AH469" s="1390"/>
      <c r="AI469" s="1390"/>
      <c r="AJ469" s="1390"/>
      <c r="AK469" s="1390"/>
    </row>
    <row r="470" spans="3:37" ht="17.25" customHeight="1" x14ac:dyDescent="0.35">
      <c r="C470" s="1390"/>
      <c r="D470" s="1390"/>
      <c r="E470" s="1390"/>
      <c r="F470" s="1390"/>
      <c r="G470" s="1390"/>
      <c r="H470" s="1390"/>
      <c r="I470" s="1390"/>
      <c r="J470" s="1390"/>
      <c r="K470" s="1390"/>
      <c r="L470" s="1390"/>
      <c r="M470" s="1390"/>
      <c r="N470" s="1390"/>
      <c r="O470" s="1390"/>
      <c r="P470" s="1390"/>
      <c r="Q470" s="1390"/>
      <c r="R470" s="1390"/>
      <c r="S470" s="1390"/>
      <c r="T470" s="1390"/>
      <c r="U470" s="1390"/>
      <c r="V470" s="1390"/>
      <c r="W470" s="1390"/>
      <c r="X470" s="1390"/>
      <c r="Y470" s="1390"/>
      <c r="Z470" s="1390"/>
      <c r="AA470" s="1390"/>
      <c r="AB470" s="1390"/>
      <c r="AC470" s="1390"/>
      <c r="AD470" s="1390"/>
      <c r="AE470" s="1390"/>
      <c r="AF470" s="1390"/>
      <c r="AG470" s="1390"/>
      <c r="AH470" s="1390"/>
      <c r="AI470" s="1390"/>
      <c r="AJ470" s="1390"/>
      <c r="AK470" s="1390"/>
    </row>
    <row r="471" spans="3:37" ht="17.25" customHeight="1" x14ac:dyDescent="0.35">
      <c r="C471" s="1390"/>
      <c r="D471" s="1390"/>
      <c r="E471" s="1390"/>
      <c r="F471" s="1390"/>
      <c r="G471" s="1390"/>
      <c r="H471" s="1390"/>
      <c r="I471" s="1390"/>
      <c r="J471" s="1390"/>
      <c r="K471" s="1390"/>
      <c r="L471" s="1390"/>
      <c r="M471" s="1390"/>
      <c r="N471" s="1390"/>
      <c r="O471" s="1390"/>
      <c r="P471" s="1390"/>
      <c r="Q471" s="1390"/>
      <c r="R471" s="1390"/>
      <c r="S471" s="1390"/>
      <c r="T471" s="1390"/>
      <c r="U471" s="1390"/>
      <c r="V471" s="1390"/>
      <c r="W471" s="1390"/>
      <c r="X471" s="1390"/>
      <c r="Y471" s="1390"/>
      <c r="Z471" s="1390"/>
      <c r="AA471" s="1390"/>
      <c r="AB471" s="1390"/>
      <c r="AC471" s="1390"/>
      <c r="AD471" s="1390"/>
      <c r="AE471" s="1390"/>
      <c r="AF471" s="1390"/>
      <c r="AG471" s="1390"/>
      <c r="AH471" s="1390"/>
      <c r="AI471" s="1390"/>
      <c r="AJ471" s="1390"/>
      <c r="AK471" s="1390"/>
    </row>
    <row r="472" spans="3:37" ht="17.25" customHeight="1" x14ac:dyDescent="0.35">
      <c r="C472" s="1390"/>
      <c r="D472" s="1390"/>
      <c r="E472" s="1390"/>
      <c r="F472" s="1390"/>
      <c r="G472" s="1390"/>
      <c r="H472" s="1390"/>
      <c r="I472" s="1390"/>
      <c r="J472" s="1390"/>
      <c r="K472" s="1390"/>
      <c r="L472" s="1390"/>
      <c r="M472" s="1390"/>
      <c r="N472" s="1390"/>
      <c r="O472" s="1390"/>
      <c r="P472" s="1390"/>
      <c r="Q472" s="1390"/>
      <c r="R472" s="1390"/>
      <c r="S472" s="1390"/>
      <c r="T472" s="1390"/>
      <c r="U472" s="1390"/>
      <c r="V472" s="1390"/>
      <c r="W472" s="1390"/>
      <c r="X472" s="1390"/>
      <c r="Y472" s="1390"/>
      <c r="Z472" s="1390"/>
      <c r="AA472" s="1390"/>
      <c r="AB472" s="1390"/>
      <c r="AC472" s="1390"/>
      <c r="AD472" s="1390"/>
      <c r="AE472" s="1390"/>
      <c r="AF472" s="1390"/>
      <c r="AG472" s="1390"/>
      <c r="AH472" s="1390"/>
      <c r="AI472" s="1390"/>
      <c r="AJ472" s="1390"/>
      <c r="AK472" s="1390"/>
    </row>
    <row r="473" spans="3:37" ht="17.25" customHeight="1" x14ac:dyDescent="0.35">
      <c r="C473" s="1390"/>
      <c r="D473" s="1390"/>
      <c r="E473" s="1390"/>
      <c r="F473" s="1390"/>
      <c r="G473" s="1390"/>
      <c r="H473" s="1390"/>
      <c r="I473" s="1390"/>
      <c r="J473" s="1390"/>
      <c r="K473" s="1390"/>
      <c r="L473" s="1390"/>
      <c r="M473" s="1390"/>
      <c r="N473" s="1390"/>
      <c r="O473" s="1390"/>
      <c r="P473" s="1390"/>
      <c r="Q473" s="1390"/>
      <c r="R473" s="1390"/>
      <c r="S473" s="1390"/>
      <c r="T473" s="1390"/>
      <c r="U473" s="1390"/>
      <c r="V473" s="1390"/>
      <c r="W473" s="1390"/>
      <c r="X473" s="1390"/>
      <c r="Y473" s="1390"/>
      <c r="Z473" s="1390"/>
      <c r="AA473" s="1390"/>
      <c r="AB473" s="1390"/>
      <c r="AC473" s="1390"/>
      <c r="AD473" s="1390"/>
      <c r="AE473" s="1390"/>
      <c r="AF473" s="1390"/>
      <c r="AG473" s="1390"/>
      <c r="AH473" s="1390"/>
      <c r="AI473" s="1390"/>
      <c r="AJ473" s="1390"/>
      <c r="AK473" s="1390"/>
    </row>
    <row r="474" spans="3:37" ht="17.25" customHeight="1" x14ac:dyDescent="0.35">
      <c r="C474" s="1390"/>
      <c r="D474" s="1390"/>
      <c r="E474" s="1390"/>
      <c r="F474" s="1390"/>
      <c r="G474" s="1390"/>
      <c r="H474" s="1390"/>
      <c r="I474" s="1390"/>
      <c r="J474" s="1390"/>
      <c r="K474" s="1390"/>
      <c r="L474" s="1390"/>
      <c r="M474" s="1390"/>
      <c r="N474" s="1390"/>
      <c r="O474" s="1390"/>
      <c r="P474" s="1390"/>
      <c r="Q474" s="1390"/>
      <c r="R474" s="1390"/>
      <c r="S474" s="1390"/>
      <c r="T474" s="1390"/>
      <c r="U474" s="1390"/>
      <c r="V474" s="1390"/>
      <c r="W474" s="1390"/>
      <c r="X474" s="1390"/>
      <c r="Y474" s="1390"/>
      <c r="Z474" s="1390"/>
      <c r="AA474" s="1390"/>
      <c r="AB474" s="1390"/>
      <c r="AC474" s="1390"/>
      <c r="AD474" s="1390"/>
      <c r="AE474" s="1390"/>
      <c r="AF474" s="1390"/>
      <c r="AG474" s="1390"/>
      <c r="AH474" s="1390"/>
      <c r="AI474" s="1390"/>
      <c r="AJ474" s="1390"/>
      <c r="AK474" s="1390"/>
    </row>
    <row r="475" spans="3:37" ht="17.25" customHeight="1" x14ac:dyDescent="0.35">
      <c r="C475" s="1390"/>
      <c r="D475" s="1390"/>
      <c r="E475" s="1390"/>
      <c r="F475" s="1390"/>
      <c r="G475" s="1390"/>
      <c r="H475" s="1390"/>
      <c r="I475" s="1390"/>
      <c r="J475" s="1390"/>
      <c r="K475" s="1390"/>
      <c r="L475" s="1390"/>
      <c r="M475" s="1390"/>
      <c r="N475" s="1390"/>
      <c r="O475" s="1390"/>
      <c r="P475" s="1390"/>
      <c r="Q475" s="1390"/>
      <c r="R475" s="1390"/>
      <c r="S475" s="1390"/>
      <c r="T475" s="1390"/>
      <c r="U475" s="1390"/>
      <c r="V475" s="1390"/>
      <c r="W475" s="1390"/>
      <c r="X475" s="1390"/>
      <c r="Y475" s="1390"/>
      <c r="Z475" s="1390"/>
      <c r="AA475" s="1390"/>
      <c r="AB475" s="1390"/>
      <c r="AC475" s="1390"/>
      <c r="AD475" s="1390"/>
      <c r="AE475" s="1390"/>
      <c r="AF475" s="1390"/>
      <c r="AG475" s="1390"/>
      <c r="AH475" s="1390"/>
      <c r="AI475" s="1390"/>
      <c r="AJ475" s="1390"/>
      <c r="AK475" s="1390"/>
    </row>
    <row r="476" spans="3:37" ht="17.25" customHeight="1" x14ac:dyDescent="0.35">
      <c r="C476" s="1390"/>
      <c r="D476" s="1390"/>
      <c r="E476" s="1390"/>
      <c r="F476" s="1390"/>
      <c r="G476" s="1390"/>
      <c r="H476" s="1390"/>
      <c r="I476" s="1390"/>
      <c r="J476" s="1390"/>
      <c r="K476" s="1390"/>
      <c r="L476" s="1390"/>
      <c r="M476" s="1390"/>
      <c r="N476" s="1390"/>
      <c r="O476" s="1390"/>
      <c r="P476" s="1390"/>
      <c r="Q476" s="1390"/>
      <c r="R476" s="1390"/>
      <c r="S476" s="1390"/>
      <c r="T476" s="1390"/>
      <c r="U476" s="1390"/>
      <c r="V476" s="1390"/>
      <c r="W476" s="1390"/>
      <c r="X476" s="1390"/>
      <c r="Y476" s="1390"/>
      <c r="Z476" s="1390"/>
      <c r="AA476" s="1390"/>
      <c r="AB476" s="1390"/>
      <c r="AC476" s="1390"/>
      <c r="AD476" s="1390"/>
      <c r="AE476" s="1390"/>
      <c r="AF476" s="1390"/>
      <c r="AG476" s="1390"/>
      <c r="AH476" s="1390"/>
      <c r="AI476" s="1390"/>
      <c r="AJ476" s="1390"/>
      <c r="AK476" s="1390"/>
    </row>
    <row r="477" spans="3:37" ht="17.25" customHeight="1" x14ac:dyDescent="0.35">
      <c r="C477" s="1390"/>
      <c r="D477" s="1390"/>
      <c r="E477" s="1390"/>
      <c r="F477" s="1390"/>
      <c r="G477" s="1390"/>
      <c r="H477" s="1390"/>
      <c r="I477" s="1390"/>
      <c r="J477" s="1390"/>
      <c r="K477" s="1390"/>
      <c r="L477" s="1390"/>
      <c r="M477" s="1390"/>
      <c r="N477" s="1390"/>
      <c r="O477" s="1390"/>
      <c r="P477" s="1390"/>
      <c r="Q477" s="1390"/>
      <c r="R477" s="1390"/>
      <c r="S477" s="1390"/>
      <c r="T477" s="1390"/>
      <c r="U477" s="1390"/>
      <c r="V477" s="1390"/>
      <c r="W477" s="1390"/>
      <c r="X477" s="1390"/>
      <c r="Y477" s="1390"/>
      <c r="Z477" s="1390"/>
      <c r="AA477" s="1390"/>
      <c r="AB477" s="1390"/>
      <c r="AC477" s="1390"/>
      <c r="AD477" s="1390"/>
      <c r="AE477" s="1390"/>
      <c r="AF477" s="1390"/>
      <c r="AG477" s="1390"/>
      <c r="AH477" s="1390"/>
      <c r="AI477" s="1390"/>
      <c r="AJ477" s="1390"/>
      <c r="AK477" s="1390"/>
    </row>
    <row r="478" spans="3:37" ht="17.25" customHeight="1" x14ac:dyDescent="0.35">
      <c r="C478" s="1390"/>
      <c r="D478" s="1390"/>
      <c r="E478" s="1390"/>
      <c r="F478" s="1390"/>
      <c r="G478" s="1390"/>
      <c r="H478" s="1390"/>
      <c r="I478" s="1390"/>
      <c r="J478" s="1390"/>
      <c r="K478" s="1390"/>
      <c r="L478" s="1390"/>
      <c r="M478" s="1390"/>
      <c r="N478" s="1390"/>
      <c r="O478" s="1390"/>
      <c r="P478" s="1390"/>
      <c r="Q478" s="1390"/>
      <c r="R478" s="1390"/>
      <c r="S478" s="1390"/>
      <c r="T478" s="1390"/>
      <c r="U478" s="1390"/>
      <c r="V478" s="1390"/>
      <c r="W478" s="1390"/>
      <c r="X478" s="1390"/>
      <c r="Y478" s="1390"/>
      <c r="Z478" s="1390"/>
      <c r="AA478" s="1390"/>
      <c r="AB478" s="1390"/>
      <c r="AC478" s="1390"/>
      <c r="AD478" s="1390"/>
      <c r="AE478" s="1390"/>
      <c r="AF478" s="1390"/>
      <c r="AG478" s="1390"/>
      <c r="AH478" s="1390"/>
      <c r="AI478" s="1390"/>
      <c r="AJ478" s="1390"/>
      <c r="AK478" s="1390"/>
    </row>
    <row r="479" spans="3:37" ht="17.25" customHeight="1" x14ac:dyDescent="0.35">
      <c r="C479" s="1390"/>
      <c r="D479" s="1390"/>
      <c r="E479" s="1390"/>
      <c r="F479" s="1390"/>
      <c r="G479" s="1390"/>
      <c r="H479" s="1390"/>
      <c r="I479" s="1390"/>
      <c r="J479" s="1390"/>
      <c r="K479" s="1390"/>
      <c r="L479" s="1390"/>
      <c r="M479" s="1390"/>
      <c r="N479" s="1390"/>
      <c r="O479" s="1390"/>
      <c r="P479" s="1390"/>
      <c r="Q479" s="1390"/>
      <c r="R479" s="1390"/>
      <c r="S479" s="1390"/>
      <c r="T479" s="1390"/>
      <c r="U479" s="1390"/>
      <c r="V479" s="1390"/>
      <c r="W479" s="1390"/>
      <c r="X479" s="1390"/>
      <c r="Y479" s="1390"/>
      <c r="Z479" s="1390"/>
      <c r="AA479" s="1390"/>
      <c r="AB479" s="1390"/>
      <c r="AC479" s="1390"/>
      <c r="AD479" s="1390"/>
      <c r="AE479" s="1390"/>
      <c r="AF479" s="1390"/>
      <c r="AG479" s="1390"/>
      <c r="AH479" s="1390"/>
      <c r="AI479" s="1390"/>
      <c r="AJ479" s="1390"/>
      <c r="AK479" s="1390"/>
    </row>
    <row r="480" spans="3:37" ht="17.25" customHeight="1" x14ac:dyDescent="0.35">
      <c r="C480" s="1390"/>
      <c r="D480" s="1390"/>
      <c r="E480" s="1390"/>
      <c r="F480" s="1390"/>
      <c r="G480" s="1390"/>
      <c r="H480" s="1390"/>
      <c r="I480" s="1390"/>
      <c r="J480" s="1390"/>
      <c r="K480" s="1390"/>
      <c r="L480" s="1390"/>
      <c r="M480" s="1390"/>
      <c r="N480" s="1390"/>
      <c r="O480" s="1390"/>
      <c r="P480" s="1390"/>
      <c r="Q480" s="1390"/>
      <c r="R480" s="1390"/>
      <c r="S480" s="1390"/>
      <c r="T480" s="1390"/>
      <c r="U480" s="1390"/>
      <c r="V480" s="1390"/>
      <c r="W480" s="1390"/>
      <c r="X480" s="1390"/>
      <c r="Y480" s="1390"/>
      <c r="Z480" s="1390"/>
      <c r="AA480" s="1390"/>
      <c r="AB480" s="1390"/>
      <c r="AC480" s="1390"/>
      <c r="AD480" s="1390"/>
      <c r="AE480" s="1390"/>
      <c r="AF480" s="1390"/>
      <c r="AG480" s="1390"/>
      <c r="AH480" s="1390"/>
      <c r="AI480" s="1390"/>
      <c r="AJ480" s="1390"/>
      <c r="AK480" s="1390"/>
    </row>
    <row r="481" spans="3:37" ht="17.25" customHeight="1" x14ac:dyDescent="0.35">
      <c r="C481" s="1390"/>
      <c r="D481" s="1390"/>
      <c r="E481" s="1390"/>
      <c r="F481" s="1390"/>
      <c r="G481" s="1390"/>
      <c r="H481" s="1390"/>
      <c r="I481" s="1390"/>
      <c r="J481" s="1390"/>
      <c r="K481" s="1390"/>
      <c r="L481" s="1390"/>
      <c r="M481" s="1390"/>
      <c r="N481" s="1390"/>
      <c r="O481" s="1390"/>
      <c r="P481" s="1390"/>
      <c r="Q481" s="1390"/>
      <c r="R481" s="1390"/>
      <c r="S481" s="1390"/>
      <c r="T481" s="1390"/>
      <c r="U481" s="1390"/>
      <c r="V481" s="1390"/>
      <c r="W481" s="1390"/>
      <c r="X481" s="1390"/>
      <c r="Y481" s="1390"/>
      <c r="Z481" s="1390"/>
      <c r="AA481" s="1390"/>
      <c r="AB481" s="1390"/>
      <c r="AC481" s="1390"/>
      <c r="AD481" s="1390"/>
      <c r="AE481" s="1390"/>
      <c r="AF481" s="1390"/>
      <c r="AG481" s="1390"/>
      <c r="AH481" s="1390"/>
      <c r="AI481" s="1390"/>
      <c r="AJ481" s="1390"/>
      <c r="AK481" s="1390"/>
    </row>
    <row r="482" spans="3:37" ht="17.25" customHeight="1" x14ac:dyDescent="0.35">
      <c r="C482" s="1390"/>
      <c r="D482" s="1390"/>
      <c r="E482" s="1390"/>
      <c r="F482" s="1390"/>
      <c r="G482" s="1390"/>
      <c r="H482" s="1390"/>
      <c r="I482" s="1390"/>
      <c r="J482" s="1390"/>
      <c r="K482" s="1390"/>
      <c r="L482" s="1390"/>
      <c r="M482" s="1390"/>
      <c r="N482" s="1390"/>
      <c r="O482" s="1390"/>
      <c r="P482" s="1390"/>
      <c r="Q482" s="1390"/>
      <c r="R482" s="1390"/>
      <c r="S482" s="1390"/>
      <c r="T482" s="1390"/>
      <c r="U482" s="1390"/>
      <c r="V482" s="1390"/>
      <c r="W482" s="1390"/>
      <c r="X482" s="1390"/>
      <c r="Y482" s="1390"/>
      <c r="Z482" s="1390"/>
      <c r="AA482" s="1390"/>
      <c r="AB482" s="1390"/>
      <c r="AC482" s="1390"/>
      <c r="AD482" s="1390"/>
      <c r="AE482" s="1390"/>
      <c r="AF482" s="1390"/>
      <c r="AG482" s="1390"/>
      <c r="AH482" s="1390"/>
      <c r="AI482" s="1390"/>
      <c r="AJ482" s="1390"/>
      <c r="AK482" s="1390"/>
    </row>
    <row r="483" spans="3:37" ht="17.25" customHeight="1" x14ac:dyDescent="0.35">
      <c r="C483" s="1390"/>
      <c r="D483" s="1390"/>
      <c r="E483" s="1390"/>
      <c r="F483" s="1390"/>
      <c r="G483" s="1390"/>
      <c r="H483" s="1390"/>
      <c r="I483" s="1390"/>
      <c r="J483" s="1390"/>
      <c r="K483" s="1390"/>
      <c r="L483" s="1390"/>
      <c r="M483" s="1390"/>
      <c r="N483" s="1390"/>
      <c r="O483" s="1390"/>
      <c r="P483" s="1390"/>
      <c r="Q483" s="1390"/>
      <c r="R483" s="1390"/>
      <c r="S483" s="1390"/>
      <c r="T483" s="1390"/>
      <c r="U483" s="1390"/>
      <c r="V483" s="1390"/>
      <c r="W483" s="1390"/>
      <c r="X483" s="1390"/>
      <c r="Y483" s="1390"/>
      <c r="Z483" s="1390"/>
      <c r="AA483" s="1390"/>
      <c r="AB483" s="1390"/>
      <c r="AC483" s="1390"/>
      <c r="AD483" s="1390"/>
      <c r="AE483" s="1390"/>
      <c r="AF483" s="1390"/>
      <c r="AG483" s="1390"/>
      <c r="AH483" s="1390"/>
      <c r="AI483" s="1390"/>
      <c r="AJ483" s="1390"/>
      <c r="AK483" s="1390"/>
    </row>
    <row r="484" spans="3:37" ht="17.25" customHeight="1" x14ac:dyDescent="0.35">
      <c r="C484" s="1390"/>
      <c r="D484" s="1390"/>
      <c r="E484" s="1390"/>
      <c r="F484" s="1390"/>
      <c r="G484" s="1390"/>
      <c r="H484" s="1390"/>
      <c r="I484" s="1390"/>
      <c r="J484" s="1390"/>
      <c r="K484" s="1390"/>
      <c r="L484" s="1390"/>
      <c r="M484" s="1390"/>
      <c r="N484" s="1390"/>
      <c r="O484" s="1390"/>
      <c r="P484" s="1390"/>
      <c r="Q484" s="1390"/>
      <c r="R484" s="1390"/>
      <c r="S484" s="1390"/>
      <c r="T484" s="1390"/>
      <c r="U484" s="1390"/>
      <c r="V484" s="1390"/>
      <c r="W484" s="1390"/>
      <c r="X484" s="1390"/>
      <c r="Y484" s="1390"/>
      <c r="Z484" s="1390"/>
      <c r="AA484" s="1390"/>
      <c r="AB484" s="1390"/>
      <c r="AC484" s="1390"/>
      <c r="AD484" s="1390"/>
      <c r="AE484" s="1390"/>
      <c r="AF484" s="1390"/>
      <c r="AG484" s="1390"/>
      <c r="AH484" s="1390"/>
      <c r="AI484" s="1390"/>
      <c r="AJ484" s="1390"/>
      <c r="AK484" s="1390"/>
    </row>
    <row r="485" spans="3:37" ht="17.25" customHeight="1" x14ac:dyDescent="0.35">
      <c r="C485" s="1390"/>
      <c r="D485" s="1390"/>
      <c r="E485" s="1390"/>
      <c r="F485" s="1390"/>
      <c r="G485" s="1390"/>
      <c r="H485" s="1390"/>
      <c r="I485" s="1390"/>
      <c r="J485" s="1390"/>
      <c r="K485" s="1390"/>
      <c r="L485" s="1390"/>
      <c r="M485" s="1390"/>
      <c r="N485" s="1390"/>
      <c r="O485" s="1390"/>
      <c r="P485" s="1390"/>
      <c r="Q485" s="1390"/>
      <c r="R485" s="1390"/>
      <c r="S485" s="1390"/>
      <c r="T485" s="1390"/>
      <c r="U485" s="1390"/>
      <c r="V485" s="1390"/>
      <c r="W485" s="1390"/>
      <c r="X485" s="1390"/>
      <c r="Y485" s="1390"/>
      <c r="Z485" s="1390"/>
      <c r="AA485" s="1390"/>
      <c r="AB485" s="1390"/>
      <c r="AC485" s="1390"/>
      <c r="AD485" s="1390"/>
      <c r="AE485" s="1390"/>
      <c r="AF485" s="1390"/>
      <c r="AG485" s="1390"/>
      <c r="AH485" s="1390"/>
      <c r="AI485" s="1390"/>
      <c r="AJ485" s="1390"/>
      <c r="AK485" s="1390"/>
    </row>
    <row r="486" spans="3:37" ht="17.25" customHeight="1" x14ac:dyDescent="0.35">
      <c r="C486" s="1390"/>
      <c r="D486" s="1390"/>
      <c r="E486" s="1390"/>
      <c r="F486" s="1390"/>
      <c r="G486" s="1390"/>
      <c r="H486" s="1390"/>
      <c r="I486" s="1390"/>
      <c r="J486" s="1390"/>
      <c r="K486" s="1390"/>
      <c r="L486" s="1390"/>
      <c r="M486" s="1390"/>
      <c r="N486" s="1390"/>
      <c r="O486" s="1390"/>
      <c r="P486" s="1390"/>
      <c r="Q486" s="1390"/>
      <c r="R486" s="1390"/>
      <c r="S486" s="1390"/>
      <c r="T486" s="1390"/>
      <c r="U486" s="1390"/>
      <c r="V486" s="1390"/>
      <c r="W486" s="1390"/>
      <c r="X486" s="1390"/>
      <c r="Y486" s="1390"/>
      <c r="Z486" s="1390"/>
      <c r="AA486" s="1390"/>
      <c r="AB486" s="1390"/>
      <c r="AC486" s="1390"/>
      <c r="AD486" s="1390"/>
      <c r="AE486" s="1390"/>
      <c r="AF486" s="1390"/>
      <c r="AG486" s="1390"/>
      <c r="AH486" s="1390"/>
      <c r="AI486" s="1390"/>
      <c r="AJ486" s="1390"/>
      <c r="AK486" s="1390"/>
    </row>
    <row r="487" spans="3:37" ht="17.25" customHeight="1" x14ac:dyDescent="0.35">
      <c r="C487" s="1390"/>
      <c r="D487" s="1390"/>
      <c r="E487" s="1390"/>
      <c r="F487" s="1390"/>
      <c r="G487" s="1390"/>
      <c r="H487" s="1390"/>
      <c r="I487" s="1390"/>
      <c r="J487" s="1390"/>
      <c r="K487" s="1390"/>
      <c r="L487" s="1390"/>
      <c r="M487" s="1390"/>
      <c r="N487" s="1390"/>
      <c r="O487" s="1390"/>
      <c r="P487" s="1390"/>
      <c r="Q487" s="1390"/>
      <c r="R487" s="1390"/>
      <c r="S487" s="1390"/>
      <c r="T487" s="1390"/>
      <c r="U487" s="1390"/>
      <c r="V487" s="1390"/>
      <c r="W487" s="1390"/>
      <c r="X487" s="1390"/>
      <c r="Y487" s="1390"/>
      <c r="Z487" s="1390"/>
      <c r="AA487" s="1390"/>
      <c r="AB487" s="1390"/>
      <c r="AC487" s="1390"/>
      <c r="AD487" s="1390"/>
      <c r="AE487" s="1390"/>
      <c r="AF487" s="1390"/>
      <c r="AG487" s="1390"/>
      <c r="AH487" s="1390"/>
      <c r="AI487" s="1390"/>
      <c r="AJ487" s="1390"/>
      <c r="AK487" s="1390"/>
    </row>
    <row r="488" spans="3:37" ht="17.25" customHeight="1" x14ac:dyDescent="0.35">
      <c r="C488" s="1390"/>
      <c r="D488" s="1390"/>
      <c r="E488" s="1390"/>
      <c r="F488" s="1390"/>
      <c r="G488" s="1390"/>
      <c r="H488" s="1390"/>
      <c r="I488" s="1390"/>
      <c r="J488" s="1390"/>
      <c r="K488" s="1390"/>
      <c r="L488" s="1390"/>
      <c r="M488" s="1390"/>
      <c r="N488" s="1390"/>
      <c r="O488" s="1390"/>
      <c r="P488" s="1390"/>
      <c r="Q488" s="1390"/>
      <c r="R488" s="1390"/>
      <c r="S488" s="1390"/>
      <c r="T488" s="1390"/>
      <c r="U488" s="1390"/>
      <c r="V488" s="1390"/>
      <c r="W488" s="1390"/>
      <c r="X488" s="1390"/>
      <c r="Y488" s="1390"/>
      <c r="Z488" s="1390"/>
      <c r="AA488" s="1390"/>
      <c r="AB488" s="1390"/>
      <c r="AC488" s="1390"/>
      <c r="AD488" s="1390"/>
      <c r="AE488" s="1390"/>
      <c r="AF488" s="1390"/>
      <c r="AG488" s="1390"/>
      <c r="AH488" s="1390"/>
      <c r="AI488" s="1390"/>
      <c r="AJ488" s="1390"/>
      <c r="AK488" s="1390"/>
    </row>
    <row r="489" spans="3:37" ht="17.25" customHeight="1" x14ac:dyDescent="0.35">
      <c r="C489" s="1390"/>
      <c r="D489" s="1390"/>
      <c r="E489" s="1390"/>
      <c r="F489" s="1390"/>
      <c r="G489" s="1390"/>
      <c r="H489" s="1390"/>
      <c r="I489" s="1390"/>
      <c r="J489" s="1390"/>
      <c r="K489" s="1390"/>
      <c r="L489" s="1390"/>
      <c r="M489" s="1390"/>
      <c r="N489" s="1390"/>
      <c r="O489" s="1390"/>
      <c r="P489" s="1390"/>
      <c r="Q489" s="1390"/>
      <c r="R489" s="1390"/>
      <c r="S489" s="1390"/>
      <c r="T489" s="1390"/>
      <c r="U489" s="1390"/>
      <c r="V489" s="1390"/>
      <c r="W489" s="1390"/>
      <c r="X489" s="1390"/>
      <c r="Y489" s="1390"/>
      <c r="Z489" s="1390"/>
      <c r="AA489" s="1390"/>
      <c r="AB489" s="1390"/>
      <c r="AC489" s="1390"/>
      <c r="AD489" s="1390"/>
      <c r="AE489" s="1390"/>
      <c r="AF489" s="1390"/>
      <c r="AG489" s="1390"/>
      <c r="AH489" s="1390"/>
      <c r="AI489" s="1390"/>
      <c r="AJ489" s="1390"/>
      <c r="AK489" s="1390"/>
    </row>
    <row r="490" spans="3:37" ht="17.25" customHeight="1" x14ac:dyDescent="0.35">
      <c r="C490" s="1390"/>
      <c r="D490" s="1390"/>
      <c r="E490" s="1390"/>
      <c r="F490" s="1390"/>
      <c r="G490" s="1390"/>
      <c r="H490" s="1390"/>
      <c r="I490" s="1390"/>
      <c r="J490" s="1390"/>
      <c r="K490" s="1390"/>
      <c r="L490" s="1390"/>
      <c r="M490" s="1390"/>
      <c r="N490" s="1390"/>
      <c r="O490" s="1390"/>
      <c r="P490" s="1390"/>
      <c r="Q490" s="1390"/>
      <c r="R490" s="1390"/>
      <c r="S490" s="1390"/>
      <c r="T490" s="1390"/>
      <c r="U490" s="1390"/>
      <c r="V490" s="1390"/>
      <c r="W490" s="1390"/>
      <c r="X490" s="1390"/>
      <c r="Y490" s="1390"/>
      <c r="Z490" s="1390"/>
      <c r="AA490" s="1390"/>
      <c r="AB490" s="1390"/>
      <c r="AC490" s="1390"/>
      <c r="AD490" s="1390"/>
      <c r="AE490" s="1390"/>
      <c r="AF490" s="1390"/>
      <c r="AG490" s="1390"/>
      <c r="AH490" s="1390"/>
      <c r="AI490" s="1390"/>
      <c r="AJ490" s="1390"/>
      <c r="AK490" s="1390"/>
    </row>
    <row r="491" spans="3:37" ht="17.25" customHeight="1" x14ac:dyDescent="0.35">
      <c r="C491" s="1390"/>
      <c r="D491" s="1390"/>
      <c r="E491" s="1390"/>
      <c r="F491" s="1390"/>
      <c r="G491" s="1390"/>
      <c r="H491" s="1390"/>
      <c r="I491" s="1390"/>
      <c r="J491" s="1390"/>
      <c r="K491" s="1390"/>
      <c r="L491" s="1390"/>
      <c r="M491" s="1390"/>
      <c r="N491" s="1390"/>
      <c r="O491" s="1390"/>
      <c r="P491" s="1390"/>
      <c r="Q491" s="1390"/>
      <c r="R491" s="1390"/>
      <c r="S491" s="1390"/>
      <c r="T491" s="1390"/>
      <c r="U491" s="1390"/>
      <c r="V491" s="1390"/>
      <c r="W491" s="1390"/>
      <c r="X491" s="1390"/>
      <c r="Y491" s="1390"/>
      <c r="Z491" s="1390"/>
      <c r="AA491" s="1390"/>
      <c r="AB491" s="1390"/>
      <c r="AC491" s="1390"/>
      <c r="AD491" s="1390"/>
      <c r="AE491" s="1390"/>
      <c r="AF491" s="1390"/>
      <c r="AG491" s="1390"/>
      <c r="AH491" s="1390"/>
      <c r="AI491" s="1390"/>
      <c r="AJ491" s="1390"/>
      <c r="AK491" s="1390"/>
    </row>
    <row r="492" spans="3:37" ht="17.25" customHeight="1" x14ac:dyDescent="0.35">
      <c r="C492" s="1390"/>
      <c r="D492" s="1390"/>
      <c r="E492" s="1390"/>
      <c r="F492" s="1390"/>
      <c r="G492" s="1390"/>
      <c r="H492" s="1390"/>
      <c r="I492" s="1390"/>
      <c r="J492" s="1390"/>
      <c r="K492" s="1390"/>
      <c r="L492" s="1390"/>
      <c r="M492" s="1390"/>
      <c r="N492" s="1390"/>
      <c r="O492" s="1390"/>
      <c r="P492" s="1390"/>
      <c r="Q492" s="1390"/>
      <c r="R492" s="1390"/>
      <c r="S492" s="1390"/>
      <c r="T492" s="1390"/>
      <c r="U492" s="1390"/>
      <c r="V492" s="1390"/>
      <c r="W492" s="1390"/>
      <c r="X492" s="1390"/>
      <c r="Y492" s="1390"/>
      <c r="Z492" s="1390"/>
      <c r="AA492" s="1390"/>
      <c r="AB492" s="1390"/>
      <c r="AC492" s="1390"/>
      <c r="AD492" s="1390"/>
      <c r="AE492" s="1390"/>
      <c r="AF492" s="1390"/>
      <c r="AG492" s="1390"/>
      <c r="AH492" s="1390"/>
      <c r="AI492" s="1390"/>
      <c r="AJ492" s="1390"/>
      <c r="AK492" s="1390"/>
    </row>
    <row r="493" spans="3:37" ht="17.25" customHeight="1" x14ac:dyDescent="0.35">
      <c r="C493" s="1390"/>
      <c r="D493" s="1390"/>
      <c r="E493" s="1390"/>
      <c r="F493" s="1390"/>
      <c r="G493" s="1390"/>
      <c r="H493" s="1390"/>
      <c r="I493" s="1390"/>
      <c r="J493" s="1390"/>
      <c r="K493" s="1390"/>
      <c r="L493" s="1390"/>
      <c r="M493" s="1390"/>
      <c r="N493" s="1390"/>
      <c r="O493" s="1390"/>
      <c r="P493" s="1390"/>
      <c r="Q493" s="1390"/>
      <c r="R493" s="1390"/>
      <c r="S493" s="1390"/>
      <c r="T493" s="1390"/>
      <c r="U493" s="1390"/>
      <c r="V493" s="1390"/>
      <c r="W493" s="1390"/>
      <c r="X493" s="1390"/>
      <c r="Y493" s="1390"/>
      <c r="Z493" s="1390"/>
      <c r="AA493" s="1390"/>
      <c r="AB493" s="1390"/>
      <c r="AC493" s="1390"/>
      <c r="AD493" s="1390"/>
      <c r="AE493" s="1390"/>
      <c r="AF493" s="1390"/>
      <c r="AG493" s="1390"/>
      <c r="AH493" s="1390"/>
      <c r="AI493" s="1390"/>
      <c r="AJ493" s="1390"/>
      <c r="AK493" s="1390"/>
    </row>
    <row r="494" spans="3:37" ht="17.25" customHeight="1" x14ac:dyDescent="0.35">
      <c r="C494" s="1390"/>
      <c r="D494" s="1390"/>
      <c r="E494" s="1390"/>
      <c r="F494" s="1390"/>
      <c r="G494" s="1390"/>
      <c r="H494" s="1390"/>
      <c r="I494" s="1390"/>
      <c r="J494" s="1390"/>
      <c r="K494" s="1390"/>
      <c r="L494" s="1390"/>
      <c r="M494" s="1390"/>
      <c r="N494" s="1390"/>
      <c r="O494" s="1390"/>
      <c r="P494" s="1390"/>
      <c r="Q494" s="1390"/>
      <c r="R494" s="1390"/>
      <c r="S494" s="1390"/>
      <c r="T494" s="1390"/>
      <c r="U494" s="1390"/>
      <c r="V494" s="1390"/>
      <c r="W494" s="1390"/>
      <c r="X494" s="1390"/>
      <c r="Y494" s="1390"/>
      <c r="Z494" s="1390"/>
      <c r="AA494" s="1390"/>
      <c r="AB494" s="1390"/>
      <c r="AC494" s="1390"/>
      <c r="AD494" s="1390"/>
      <c r="AE494" s="1390"/>
      <c r="AF494" s="1390"/>
      <c r="AG494" s="1390"/>
      <c r="AH494" s="1390"/>
      <c r="AI494" s="1390"/>
      <c r="AJ494" s="1390"/>
      <c r="AK494" s="1390"/>
    </row>
    <row r="495" spans="3:37" ht="17.25" customHeight="1" x14ac:dyDescent="0.35">
      <c r="C495" s="1390"/>
      <c r="D495" s="1390"/>
      <c r="E495" s="1390"/>
      <c r="F495" s="1390"/>
      <c r="G495" s="1390"/>
      <c r="H495" s="1390"/>
      <c r="I495" s="1390"/>
      <c r="J495" s="1390"/>
      <c r="K495" s="1390"/>
      <c r="L495" s="1390"/>
      <c r="M495" s="1390"/>
      <c r="N495" s="1390"/>
      <c r="O495" s="1390"/>
      <c r="P495" s="1390"/>
      <c r="Q495" s="1390"/>
      <c r="R495" s="1390"/>
      <c r="S495" s="1390"/>
      <c r="T495" s="1390"/>
      <c r="U495" s="1390"/>
      <c r="V495" s="1390"/>
      <c r="W495" s="1390"/>
      <c r="X495" s="1390"/>
      <c r="Y495" s="1390"/>
      <c r="Z495" s="1390"/>
      <c r="AA495" s="1390"/>
      <c r="AB495" s="1390"/>
      <c r="AC495" s="1390"/>
      <c r="AD495" s="1390"/>
      <c r="AE495" s="1390"/>
      <c r="AF495" s="1390"/>
      <c r="AG495" s="1390"/>
      <c r="AH495" s="1390"/>
      <c r="AI495" s="1390"/>
      <c r="AJ495" s="1390"/>
      <c r="AK495" s="1390"/>
    </row>
    <row r="496" spans="3:37" ht="17.25" customHeight="1" x14ac:dyDescent="0.35">
      <c r="C496" s="1390"/>
      <c r="D496" s="1390"/>
      <c r="E496" s="1390"/>
      <c r="F496" s="1390"/>
      <c r="G496" s="1390"/>
      <c r="H496" s="1390"/>
      <c r="I496" s="1390"/>
      <c r="J496" s="1390"/>
      <c r="K496" s="1390"/>
      <c r="L496" s="1390"/>
      <c r="M496" s="1390"/>
      <c r="N496" s="1390"/>
      <c r="O496" s="1390"/>
      <c r="P496" s="1390"/>
      <c r="Q496" s="1390"/>
      <c r="R496" s="1390"/>
      <c r="S496" s="1390"/>
      <c r="T496" s="1390"/>
      <c r="U496" s="1390"/>
      <c r="V496" s="1390"/>
      <c r="W496" s="1390"/>
      <c r="X496" s="1390"/>
      <c r="Y496" s="1390"/>
      <c r="Z496" s="1390"/>
      <c r="AA496" s="1390"/>
      <c r="AB496" s="1390"/>
      <c r="AC496" s="1390"/>
      <c r="AD496" s="1390"/>
      <c r="AE496" s="1390"/>
      <c r="AF496" s="1390"/>
      <c r="AG496" s="1390"/>
      <c r="AH496" s="1390"/>
      <c r="AI496" s="1390"/>
      <c r="AJ496" s="1390"/>
      <c r="AK496" s="1390"/>
    </row>
    <row r="497" spans="3:37" ht="17.25" customHeight="1" x14ac:dyDescent="0.35">
      <c r="C497" s="1390"/>
      <c r="D497" s="1390"/>
      <c r="E497" s="1390"/>
      <c r="F497" s="1390"/>
      <c r="G497" s="1390"/>
      <c r="H497" s="1390"/>
      <c r="I497" s="1390"/>
      <c r="J497" s="1390"/>
      <c r="K497" s="1390"/>
      <c r="L497" s="1390"/>
      <c r="M497" s="1390"/>
      <c r="N497" s="1390"/>
      <c r="O497" s="1390"/>
      <c r="P497" s="1390"/>
      <c r="Q497" s="1390"/>
      <c r="R497" s="1390"/>
      <c r="S497" s="1390"/>
      <c r="T497" s="1390"/>
      <c r="U497" s="1390"/>
      <c r="V497" s="1390"/>
      <c r="W497" s="1390"/>
      <c r="X497" s="1390"/>
      <c r="Y497" s="1390"/>
      <c r="Z497" s="1390"/>
      <c r="AA497" s="1390"/>
      <c r="AB497" s="1390"/>
      <c r="AC497" s="1390"/>
      <c r="AD497" s="1390"/>
      <c r="AE497" s="1390"/>
      <c r="AF497" s="1390"/>
      <c r="AG497" s="1390"/>
      <c r="AH497" s="1390"/>
      <c r="AI497" s="1390"/>
      <c r="AJ497" s="1390"/>
      <c r="AK497" s="1390"/>
    </row>
    <row r="498" spans="3:37" ht="17.25" customHeight="1" x14ac:dyDescent="0.35">
      <c r="C498" s="1390"/>
      <c r="D498" s="1390"/>
      <c r="E498" s="1390"/>
      <c r="F498" s="1390"/>
      <c r="G498" s="1390"/>
      <c r="H498" s="1390"/>
      <c r="I498" s="1390"/>
      <c r="J498" s="1390"/>
      <c r="K498" s="1390"/>
      <c r="L498" s="1390"/>
      <c r="M498" s="1390"/>
      <c r="N498" s="1390"/>
      <c r="O498" s="1390"/>
      <c r="P498" s="1390"/>
      <c r="Q498" s="1390"/>
      <c r="R498" s="1390"/>
      <c r="S498" s="1390"/>
      <c r="T498" s="1390"/>
      <c r="U498" s="1390"/>
      <c r="V498" s="1390"/>
      <c r="W498" s="1390"/>
      <c r="X498" s="1390"/>
      <c r="Y498" s="1390"/>
      <c r="Z498" s="1390"/>
      <c r="AA498" s="1390"/>
      <c r="AB498" s="1390"/>
      <c r="AC498" s="1390"/>
      <c r="AD498" s="1390"/>
      <c r="AE498" s="1390"/>
      <c r="AF498" s="1390"/>
      <c r="AG498" s="1390"/>
      <c r="AH498" s="1390"/>
      <c r="AI498" s="1390"/>
      <c r="AJ498" s="1390"/>
      <c r="AK498" s="1390"/>
    </row>
    <row r="499" spans="3:37" ht="17.25" customHeight="1" x14ac:dyDescent="0.35">
      <c r="C499" s="1390"/>
      <c r="D499" s="1390"/>
      <c r="E499" s="1390"/>
      <c r="F499" s="1390"/>
      <c r="G499" s="1390"/>
      <c r="H499" s="1390"/>
      <c r="I499" s="1390"/>
      <c r="J499" s="1390"/>
      <c r="K499" s="1390"/>
      <c r="L499" s="1390"/>
      <c r="M499" s="1390"/>
      <c r="N499" s="1390"/>
      <c r="O499" s="1390"/>
      <c r="P499" s="1390"/>
      <c r="Q499" s="1390"/>
      <c r="R499" s="1390"/>
      <c r="S499" s="1390"/>
      <c r="T499" s="1390"/>
      <c r="U499" s="1390"/>
      <c r="V499" s="1390"/>
      <c r="W499" s="1390"/>
      <c r="X499" s="1390"/>
      <c r="Y499" s="1390"/>
      <c r="Z499" s="1390"/>
      <c r="AA499" s="1390"/>
      <c r="AB499" s="1390"/>
      <c r="AC499" s="1390"/>
      <c r="AD499" s="1390"/>
      <c r="AE499" s="1390"/>
      <c r="AF499" s="1390"/>
      <c r="AG499" s="1390"/>
      <c r="AH499" s="1390"/>
      <c r="AI499" s="1390"/>
      <c r="AJ499" s="1390"/>
      <c r="AK499" s="1390"/>
    </row>
    <row r="500" spans="3:37" ht="17.25" customHeight="1" x14ac:dyDescent="0.35">
      <c r="C500" s="1390"/>
      <c r="D500" s="1390"/>
      <c r="E500" s="1390"/>
      <c r="F500" s="1390"/>
      <c r="G500" s="1390"/>
      <c r="H500" s="1390"/>
      <c r="I500" s="1390"/>
      <c r="J500" s="1390"/>
      <c r="K500" s="1390"/>
      <c r="L500" s="1390"/>
      <c r="M500" s="1390"/>
      <c r="N500" s="1390"/>
      <c r="O500" s="1390"/>
      <c r="P500" s="1390"/>
      <c r="Q500" s="1390"/>
      <c r="R500" s="1390"/>
      <c r="S500" s="1390"/>
      <c r="T500" s="1390"/>
      <c r="U500" s="1390"/>
      <c r="V500" s="1390"/>
      <c r="W500" s="1390"/>
      <c r="X500" s="1390"/>
      <c r="Y500" s="1390"/>
      <c r="Z500" s="1390"/>
      <c r="AA500" s="1390"/>
      <c r="AB500" s="1390"/>
      <c r="AC500" s="1390"/>
      <c r="AD500" s="1390"/>
      <c r="AE500" s="1390"/>
      <c r="AF500" s="1390"/>
      <c r="AG500" s="1390"/>
      <c r="AH500" s="1390"/>
      <c r="AI500" s="1390"/>
      <c r="AJ500" s="1390"/>
      <c r="AK500" s="1390"/>
    </row>
    <row r="501" spans="3:37" ht="17.25" customHeight="1" x14ac:dyDescent="0.35">
      <c r="C501" s="1390"/>
      <c r="D501" s="1390"/>
      <c r="E501" s="1390"/>
      <c r="F501" s="1390"/>
      <c r="G501" s="1390"/>
      <c r="H501" s="1390"/>
      <c r="I501" s="1390"/>
      <c r="J501" s="1390"/>
      <c r="K501" s="1390"/>
      <c r="L501" s="1390"/>
      <c r="M501" s="1390"/>
      <c r="N501" s="1390"/>
      <c r="O501" s="1390"/>
      <c r="P501" s="1390"/>
      <c r="Q501" s="1390"/>
      <c r="R501" s="1390"/>
      <c r="S501" s="1390"/>
      <c r="T501" s="1390"/>
      <c r="U501" s="1390"/>
      <c r="V501" s="1390"/>
      <c r="W501" s="1390"/>
      <c r="X501" s="1390"/>
      <c r="Y501" s="1390"/>
      <c r="Z501" s="1390"/>
      <c r="AA501" s="1390"/>
      <c r="AB501" s="1390"/>
      <c r="AC501" s="1390"/>
      <c r="AD501" s="1390"/>
      <c r="AE501" s="1390"/>
      <c r="AF501" s="1390"/>
      <c r="AG501" s="1390"/>
      <c r="AH501" s="1390"/>
      <c r="AI501" s="1390"/>
      <c r="AJ501" s="1390"/>
      <c r="AK501" s="1390"/>
    </row>
    <row r="502" spans="3:37" ht="17.25" customHeight="1" x14ac:dyDescent="0.35">
      <c r="C502" s="1390"/>
      <c r="D502" s="1390"/>
      <c r="E502" s="1390"/>
      <c r="F502" s="1390"/>
      <c r="G502" s="1390"/>
      <c r="H502" s="1390"/>
      <c r="I502" s="1390"/>
      <c r="J502" s="1390"/>
      <c r="K502" s="1390"/>
      <c r="L502" s="1390"/>
      <c r="M502" s="1390"/>
      <c r="N502" s="1390"/>
      <c r="O502" s="1390"/>
      <c r="P502" s="1390"/>
      <c r="Q502" s="1390"/>
      <c r="R502" s="1390"/>
      <c r="S502" s="1390"/>
      <c r="T502" s="1390"/>
      <c r="U502" s="1390"/>
      <c r="V502" s="1390"/>
      <c r="W502" s="1390"/>
      <c r="X502" s="1390"/>
      <c r="Y502" s="1390"/>
      <c r="Z502" s="1390"/>
      <c r="AA502" s="1390"/>
      <c r="AB502" s="1390"/>
      <c r="AC502" s="1390"/>
      <c r="AD502" s="1390"/>
      <c r="AE502" s="1390"/>
      <c r="AF502" s="1390"/>
      <c r="AG502" s="1390"/>
      <c r="AH502" s="1390"/>
      <c r="AI502" s="1390"/>
      <c r="AJ502" s="1390"/>
      <c r="AK502" s="1390"/>
    </row>
    <row r="503" spans="3:37" ht="17.25" customHeight="1" x14ac:dyDescent="0.35">
      <c r="C503" s="1390"/>
      <c r="D503" s="1390"/>
      <c r="E503" s="1390"/>
      <c r="F503" s="1390"/>
      <c r="G503" s="1390"/>
      <c r="H503" s="1390"/>
      <c r="I503" s="1390"/>
      <c r="J503" s="1390"/>
      <c r="K503" s="1390"/>
      <c r="L503" s="1390"/>
      <c r="M503" s="1390"/>
      <c r="N503" s="1390"/>
      <c r="O503" s="1390"/>
      <c r="P503" s="1390"/>
      <c r="Q503" s="1390"/>
      <c r="R503" s="1390"/>
      <c r="S503" s="1390"/>
      <c r="T503" s="1390"/>
      <c r="U503" s="1390"/>
      <c r="V503" s="1390"/>
      <c r="W503" s="1390"/>
      <c r="X503" s="1390"/>
      <c r="Y503" s="1390"/>
      <c r="Z503" s="1390"/>
      <c r="AA503" s="1390"/>
      <c r="AB503" s="1390"/>
      <c r="AC503" s="1390"/>
      <c r="AD503" s="1390"/>
      <c r="AE503" s="1390"/>
      <c r="AF503" s="1390"/>
      <c r="AG503" s="1390"/>
      <c r="AH503" s="1390"/>
      <c r="AI503" s="1390"/>
      <c r="AJ503" s="1390"/>
      <c r="AK503" s="1390"/>
    </row>
    <row r="504" spans="3:37" ht="17.25" customHeight="1" x14ac:dyDescent="0.35">
      <c r="C504" s="1390"/>
      <c r="D504" s="1390"/>
      <c r="E504" s="1390"/>
      <c r="F504" s="1390"/>
      <c r="G504" s="1390"/>
      <c r="H504" s="1390"/>
      <c r="I504" s="1390"/>
      <c r="J504" s="1390"/>
      <c r="K504" s="1390"/>
      <c r="L504" s="1390"/>
      <c r="M504" s="1390"/>
      <c r="N504" s="1390"/>
      <c r="O504" s="1390"/>
      <c r="P504" s="1390"/>
      <c r="Q504" s="1390"/>
      <c r="R504" s="1390"/>
      <c r="S504" s="1390"/>
      <c r="T504" s="1390"/>
      <c r="U504" s="1390"/>
      <c r="V504" s="1390"/>
      <c r="W504" s="1390"/>
      <c r="X504" s="1390"/>
      <c r="Y504" s="1390"/>
      <c r="Z504" s="1390"/>
      <c r="AA504" s="1390"/>
      <c r="AB504" s="1390"/>
      <c r="AC504" s="1390"/>
      <c r="AD504" s="1390"/>
      <c r="AE504" s="1390"/>
      <c r="AF504" s="1390"/>
      <c r="AG504" s="1390"/>
      <c r="AH504" s="1390"/>
      <c r="AI504" s="1390"/>
      <c r="AJ504" s="1390"/>
      <c r="AK504" s="1390"/>
    </row>
    <row r="505" spans="3:37" ht="17.25" customHeight="1" x14ac:dyDescent="0.35">
      <c r="C505" s="1390"/>
      <c r="D505" s="1390"/>
      <c r="E505" s="1390"/>
      <c r="F505" s="1390"/>
      <c r="G505" s="1390"/>
      <c r="H505" s="1390"/>
      <c r="I505" s="1390"/>
      <c r="J505" s="1390"/>
      <c r="K505" s="1390"/>
      <c r="L505" s="1390"/>
      <c r="M505" s="1390"/>
      <c r="N505" s="1390"/>
      <c r="O505" s="1390"/>
      <c r="P505" s="1390"/>
      <c r="Q505" s="1390"/>
      <c r="R505" s="1390"/>
      <c r="S505" s="1390"/>
      <c r="T505" s="1390"/>
      <c r="U505" s="1390"/>
      <c r="V505" s="1390"/>
      <c r="W505" s="1390"/>
      <c r="X505" s="1390"/>
      <c r="Y505" s="1390"/>
      <c r="Z505" s="1390"/>
      <c r="AA505" s="1390"/>
      <c r="AB505" s="1390"/>
      <c r="AC505" s="1390"/>
      <c r="AD505" s="1390"/>
      <c r="AE505" s="1390"/>
      <c r="AF505" s="1390"/>
      <c r="AG505" s="1390"/>
      <c r="AH505" s="1390"/>
      <c r="AI505" s="1390"/>
      <c r="AJ505" s="1390"/>
      <c r="AK505" s="1390"/>
    </row>
    <row r="506" spans="3:37" ht="17.25" customHeight="1" x14ac:dyDescent="0.35">
      <c r="C506" s="1390"/>
      <c r="D506" s="1390"/>
      <c r="E506" s="1390"/>
      <c r="F506" s="1390"/>
      <c r="G506" s="1390"/>
      <c r="H506" s="1390"/>
      <c r="I506" s="1390"/>
      <c r="J506" s="1390"/>
      <c r="K506" s="1390"/>
      <c r="L506" s="1390"/>
      <c r="M506" s="1390"/>
      <c r="N506" s="1390"/>
      <c r="O506" s="1390"/>
      <c r="P506" s="1390"/>
      <c r="Q506" s="1390"/>
      <c r="R506" s="1390"/>
      <c r="S506" s="1390"/>
      <c r="T506" s="1390"/>
      <c r="U506" s="1390"/>
      <c r="V506" s="1390"/>
      <c r="W506" s="1390"/>
      <c r="X506" s="1390"/>
      <c r="Y506" s="1390"/>
      <c r="Z506" s="1390"/>
      <c r="AA506" s="1390"/>
      <c r="AB506" s="1390"/>
      <c r="AC506" s="1390"/>
      <c r="AD506" s="1390"/>
      <c r="AE506" s="1390"/>
      <c r="AF506" s="1390"/>
      <c r="AG506" s="1390"/>
      <c r="AH506" s="1390"/>
      <c r="AI506" s="1390"/>
      <c r="AJ506" s="1390"/>
      <c r="AK506" s="1390"/>
    </row>
    <row r="507" spans="3:37" ht="17.25" customHeight="1" x14ac:dyDescent="0.35">
      <c r="C507" s="1390"/>
      <c r="D507" s="1390"/>
      <c r="E507" s="1390"/>
      <c r="F507" s="1390"/>
      <c r="G507" s="1390"/>
      <c r="H507" s="1390"/>
      <c r="I507" s="1390"/>
      <c r="J507" s="1390"/>
      <c r="K507" s="1390"/>
      <c r="L507" s="1390"/>
      <c r="M507" s="1390"/>
      <c r="N507" s="1390"/>
      <c r="O507" s="1390"/>
      <c r="P507" s="1390"/>
      <c r="Q507" s="1390"/>
      <c r="R507" s="1390"/>
      <c r="S507" s="1390"/>
      <c r="T507" s="1390"/>
      <c r="U507" s="1390"/>
      <c r="V507" s="1390"/>
      <c r="W507" s="1390"/>
      <c r="X507" s="1390"/>
      <c r="Y507" s="1390"/>
      <c r="Z507" s="1390"/>
      <c r="AA507" s="1390"/>
      <c r="AB507" s="1390"/>
      <c r="AC507" s="1390"/>
      <c r="AD507" s="1390"/>
      <c r="AE507" s="1390"/>
      <c r="AF507" s="1390"/>
      <c r="AG507" s="1390"/>
      <c r="AH507" s="1390"/>
      <c r="AI507" s="1390"/>
      <c r="AJ507" s="1390"/>
      <c r="AK507" s="1390"/>
    </row>
    <row r="508" spans="3:37" ht="17.25" customHeight="1" x14ac:dyDescent="0.35">
      <c r="C508" s="1390"/>
      <c r="D508" s="1390"/>
      <c r="E508" s="1390"/>
      <c r="F508" s="1390"/>
      <c r="G508" s="1390"/>
      <c r="H508" s="1390"/>
      <c r="I508" s="1390"/>
      <c r="J508" s="1390"/>
      <c r="K508" s="1390"/>
      <c r="L508" s="1390"/>
      <c r="M508" s="1390"/>
      <c r="N508" s="1390"/>
      <c r="O508" s="1390"/>
      <c r="P508" s="1390"/>
      <c r="Q508" s="1390"/>
      <c r="R508" s="1390"/>
      <c r="S508" s="1390"/>
      <c r="T508" s="1390"/>
      <c r="U508" s="1390"/>
      <c r="V508" s="1390"/>
      <c r="W508" s="1390"/>
      <c r="X508" s="1390"/>
      <c r="Y508" s="1390"/>
      <c r="Z508" s="1390"/>
      <c r="AA508" s="1390"/>
      <c r="AB508" s="1390"/>
      <c r="AC508" s="1390"/>
      <c r="AD508" s="1390"/>
      <c r="AE508" s="1390"/>
      <c r="AF508" s="1390"/>
      <c r="AG508" s="1390"/>
      <c r="AH508" s="1390"/>
      <c r="AI508" s="1390"/>
      <c r="AJ508" s="1390"/>
      <c r="AK508" s="1390"/>
    </row>
    <row r="509" spans="3:37" ht="17.25" customHeight="1" x14ac:dyDescent="0.35">
      <c r="C509" s="1390"/>
      <c r="D509" s="1390"/>
      <c r="E509" s="1390"/>
      <c r="F509" s="1390"/>
      <c r="G509" s="1390"/>
      <c r="H509" s="1390"/>
      <c r="I509" s="1390"/>
      <c r="J509" s="1390"/>
      <c r="K509" s="1390"/>
      <c r="L509" s="1390"/>
      <c r="M509" s="1390"/>
      <c r="N509" s="1390"/>
      <c r="O509" s="1390"/>
      <c r="P509" s="1390"/>
      <c r="Q509" s="1390"/>
      <c r="R509" s="1390"/>
      <c r="S509" s="1390"/>
      <c r="T509" s="1390"/>
      <c r="U509" s="1390"/>
      <c r="V509" s="1390"/>
      <c r="W509" s="1390"/>
      <c r="X509" s="1390"/>
      <c r="Y509" s="1390"/>
      <c r="Z509" s="1390"/>
      <c r="AA509" s="1390"/>
      <c r="AB509" s="1390"/>
      <c r="AC509" s="1390"/>
      <c r="AD509" s="1390"/>
      <c r="AE509" s="1390"/>
      <c r="AF509" s="1390"/>
      <c r="AG509" s="1390"/>
      <c r="AH509" s="1390"/>
      <c r="AI509" s="1390"/>
      <c r="AJ509" s="1390"/>
      <c r="AK509" s="1390"/>
    </row>
    <row r="510" spans="3:37" ht="17.25" customHeight="1" x14ac:dyDescent="0.35">
      <c r="C510" s="1390"/>
      <c r="D510" s="1390"/>
      <c r="E510" s="1390"/>
      <c r="F510" s="1390"/>
      <c r="G510" s="1390"/>
      <c r="H510" s="1390"/>
      <c r="I510" s="1390"/>
      <c r="J510" s="1390"/>
      <c r="K510" s="1390"/>
      <c r="L510" s="1390"/>
      <c r="M510" s="1390"/>
      <c r="N510" s="1390"/>
      <c r="O510" s="1390"/>
      <c r="P510" s="1390"/>
      <c r="Q510" s="1390"/>
      <c r="R510" s="1390"/>
      <c r="S510" s="1390"/>
      <c r="T510" s="1390"/>
      <c r="U510" s="1390"/>
      <c r="V510" s="1390"/>
      <c r="W510" s="1390"/>
      <c r="X510" s="1390"/>
      <c r="Y510" s="1390"/>
      <c r="Z510" s="1390"/>
      <c r="AA510" s="1390"/>
      <c r="AB510" s="1390"/>
      <c r="AC510" s="1390"/>
      <c r="AD510" s="1390"/>
      <c r="AE510" s="1390"/>
      <c r="AF510" s="1390"/>
      <c r="AG510" s="1390"/>
      <c r="AH510" s="1390"/>
      <c r="AI510" s="1390"/>
      <c r="AJ510" s="1390"/>
      <c r="AK510" s="1390"/>
    </row>
    <row r="511" spans="3:37" ht="17.25" customHeight="1" x14ac:dyDescent="0.35">
      <c r="C511" s="1390"/>
      <c r="D511" s="1390"/>
      <c r="E511" s="1390"/>
      <c r="F511" s="1390"/>
      <c r="G511" s="1390"/>
      <c r="H511" s="1390"/>
      <c r="I511" s="1390"/>
      <c r="J511" s="1390"/>
      <c r="K511" s="1390"/>
      <c r="L511" s="1390"/>
      <c r="M511" s="1390"/>
      <c r="N511" s="1390"/>
      <c r="O511" s="1390"/>
      <c r="P511" s="1390"/>
      <c r="Q511" s="1390"/>
      <c r="R511" s="1390"/>
      <c r="S511" s="1390"/>
      <c r="T511" s="1390"/>
      <c r="U511" s="1390"/>
      <c r="V511" s="1390"/>
      <c r="W511" s="1390"/>
      <c r="X511" s="1390"/>
      <c r="Y511" s="1390"/>
      <c r="Z511" s="1390"/>
      <c r="AA511" s="1390"/>
      <c r="AB511" s="1390"/>
      <c r="AC511" s="1390"/>
      <c r="AD511" s="1390"/>
      <c r="AE511" s="1390"/>
      <c r="AF511" s="1390"/>
      <c r="AG511" s="1390"/>
      <c r="AH511" s="1390"/>
      <c r="AI511" s="1390"/>
      <c r="AJ511" s="1390"/>
      <c r="AK511" s="1390"/>
    </row>
    <row r="512" spans="3:37" ht="17.25" customHeight="1" x14ac:dyDescent="0.35">
      <c r="C512" s="1390"/>
      <c r="D512" s="1390"/>
      <c r="E512" s="1390"/>
      <c r="F512" s="1390"/>
      <c r="G512" s="1390"/>
      <c r="H512" s="1390"/>
      <c r="I512" s="1390"/>
      <c r="J512" s="1390"/>
      <c r="K512" s="1390"/>
      <c r="L512" s="1390"/>
      <c r="M512" s="1390"/>
      <c r="N512" s="1390"/>
      <c r="O512" s="1390"/>
      <c r="P512" s="1390"/>
      <c r="Q512" s="1390"/>
      <c r="R512" s="1390"/>
      <c r="S512" s="1390"/>
      <c r="T512" s="1390"/>
      <c r="U512" s="1390"/>
      <c r="V512" s="1390"/>
      <c r="W512" s="1390"/>
      <c r="X512" s="1390"/>
      <c r="Y512" s="1390"/>
      <c r="Z512" s="1390"/>
      <c r="AA512" s="1390"/>
      <c r="AB512" s="1390"/>
      <c r="AC512" s="1390"/>
      <c r="AD512" s="1390"/>
      <c r="AE512" s="1390"/>
      <c r="AF512" s="1390"/>
      <c r="AG512" s="1390"/>
      <c r="AH512" s="1390"/>
      <c r="AI512" s="1390"/>
      <c r="AJ512" s="1390"/>
      <c r="AK512" s="1390"/>
    </row>
    <row r="513" spans="3:37" ht="17.25" customHeight="1" x14ac:dyDescent="0.35">
      <c r="C513" s="1390"/>
      <c r="D513" s="1390"/>
      <c r="E513" s="1390"/>
      <c r="F513" s="1390"/>
      <c r="G513" s="1390"/>
      <c r="H513" s="1390"/>
      <c r="I513" s="1390"/>
      <c r="J513" s="1390"/>
      <c r="K513" s="1390"/>
      <c r="L513" s="1390"/>
      <c r="M513" s="1390"/>
      <c r="N513" s="1390"/>
      <c r="O513" s="1390"/>
      <c r="P513" s="1390"/>
      <c r="Q513" s="1390"/>
      <c r="R513" s="1390"/>
      <c r="S513" s="1390"/>
      <c r="T513" s="1390"/>
      <c r="U513" s="1390"/>
      <c r="V513" s="1390"/>
      <c r="W513" s="1390"/>
      <c r="X513" s="1390"/>
      <c r="Y513" s="1390"/>
      <c r="Z513" s="1390"/>
      <c r="AA513" s="1390"/>
      <c r="AB513" s="1390"/>
      <c r="AC513" s="1390"/>
      <c r="AD513" s="1390"/>
      <c r="AE513" s="1390"/>
      <c r="AF513" s="1390"/>
      <c r="AG513" s="1390"/>
      <c r="AH513" s="1390"/>
      <c r="AI513" s="1390"/>
      <c r="AJ513" s="1390"/>
      <c r="AK513" s="1390"/>
    </row>
    <row r="514" spans="3:37" ht="17.25" customHeight="1" x14ac:dyDescent="0.35">
      <c r="C514" s="1390"/>
      <c r="D514" s="1390"/>
      <c r="E514" s="1390"/>
      <c r="F514" s="1390"/>
      <c r="G514" s="1390"/>
      <c r="H514" s="1390"/>
      <c r="I514" s="1390"/>
      <c r="J514" s="1390"/>
      <c r="K514" s="1390"/>
      <c r="L514" s="1390"/>
      <c r="M514" s="1390"/>
      <c r="N514" s="1390"/>
      <c r="O514" s="1390"/>
      <c r="P514" s="1390"/>
      <c r="Q514" s="1390"/>
      <c r="R514" s="1390"/>
      <c r="S514" s="1390"/>
      <c r="T514" s="1390"/>
      <c r="U514" s="1390"/>
      <c r="V514" s="1390"/>
      <c r="W514" s="1390"/>
      <c r="X514" s="1390"/>
      <c r="Y514" s="1390"/>
      <c r="Z514" s="1390"/>
      <c r="AA514" s="1390"/>
      <c r="AB514" s="1390"/>
      <c r="AC514" s="1390"/>
      <c r="AD514" s="1390"/>
      <c r="AE514" s="1390"/>
      <c r="AF514" s="1390"/>
      <c r="AG514" s="1390"/>
      <c r="AH514" s="1390"/>
      <c r="AI514" s="1390"/>
      <c r="AJ514" s="1390"/>
      <c r="AK514" s="1390"/>
    </row>
    <row r="515" spans="3:37" ht="17.25" customHeight="1" x14ac:dyDescent="0.35">
      <c r="C515" s="1390"/>
      <c r="D515" s="1390"/>
      <c r="E515" s="1390"/>
      <c r="F515" s="1390"/>
      <c r="G515" s="1390"/>
      <c r="H515" s="1390"/>
      <c r="I515" s="1390"/>
      <c r="J515" s="1390"/>
      <c r="K515" s="1390"/>
      <c r="L515" s="1390"/>
      <c r="M515" s="1390"/>
      <c r="N515" s="1390"/>
      <c r="O515" s="1390"/>
      <c r="P515" s="1390"/>
      <c r="Q515" s="1390"/>
      <c r="R515" s="1390"/>
      <c r="S515" s="1390"/>
      <c r="T515" s="1390"/>
      <c r="U515" s="1390"/>
      <c r="V515" s="1390"/>
      <c r="W515" s="1390"/>
      <c r="X515" s="1390"/>
      <c r="Y515" s="1390"/>
      <c r="Z515" s="1390"/>
      <c r="AA515" s="1390"/>
      <c r="AB515" s="1390"/>
      <c r="AC515" s="1390"/>
      <c r="AD515" s="1390"/>
      <c r="AE515" s="1390"/>
      <c r="AF515" s="1390"/>
      <c r="AG515" s="1390"/>
      <c r="AH515" s="1390"/>
      <c r="AI515" s="1390"/>
      <c r="AJ515" s="1390"/>
      <c r="AK515" s="1390"/>
    </row>
    <row r="516" spans="3:37" ht="17.25" customHeight="1" x14ac:dyDescent="0.35">
      <c r="C516" s="1390"/>
      <c r="D516" s="1390"/>
      <c r="E516" s="1390"/>
      <c r="F516" s="1390"/>
      <c r="G516" s="1390"/>
      <c r="H516" s="1390"/>
      <c r="I516" s="1390"/>
      <c r="J516" s="1390"/>
      <c r="K516" s="1390"/>
      <c r="L516" s="1390"/>
      <c r="M516" s="1390"/>
      <c r="N516" s="1390"/>
      <c r="O516" s="1390"/>
      <c r="P516" s="1390"/>
      <c r="Q516" s="1390"/>
      <c r="R516" s="1390"/>
      <c r="S516" s="1390"/>
      <c r="T516" s="1390"/>
      <c r="U516" s="1390"/>
      <c r="V516" s="1390"/>
      <c r="W516" s="1390"/>
      <c r="X516" s="1390"/>
      <c r="Y516" s="1390"/>
      <c r="Z516" s="1390"/>
      <c r="AA516" s="1390"/>
      <c r="AB516" s="1390"/>
      <c r="AC516" s="1390"/>
      <c r="AD516" s="1390"/>
      <c r="AE516" s="1390"/>
      <c r="AF516" s="1390"/>
      <c r="AG516" s="1390"/>
      <c r="AH516" s="1390"/>
      <c r="AI516" s="1390"/>
      <c r="AJ516" s="1390"/>
      <c r="AK516" s="1390"/>
    </row>
    <row r="517" spans="3:37" ht="17.25" customHeight="1" x14ac:dyDescent="0.35">
      <c r="C517" s="1390"/>
      <c r="D517" s="1390"/>
      <c r="E517" s="1390"/>
      <c r="F517" s="1390"/>
      <c r="G517" s="1390"/>
      <c r="H517" s="1390"/>
      <c r="I517" s="1390"/>
      <c r="J517" s="1390"/>
      <c r="K517" s="1390"/>
      <c r="L517" s="1390"/>
      <c r="M517" s="1390"/>
      <c r="N517" s="1390"/>
      <c r="O517" s="1390"/>
      <c r="P517" s="1390"/>
      <c r="Q517" s="1390"/>
      <c r="R517" s="1390"/>
      <c r="S517" s="1390"/>
      <c r="T517" s="1390"/>
      <c r="U517" s="1390"/>
      <c r="V517" s="1390"/>
      <c r="W517" s="1390"/>
      <c r="X517" s="1390"/>
      <c r="Y517" s="1390"/>
      <c r="Z517" s="1390"/>
      <c r="AA517" s="1390"/>
      <c r="AB517" s="1390"/>
      <c r="AC517" s="1390"/>
      <c r="AD517" s="1390"/>
      <c r="AE517" s="1390"/>
      <c r="AF517" s="1390"/>
      <c r="AG517" s="1390"/>
      <c r="AH517" s="1390"/>
      <c r="AI517" s="1390"/>
      <c r="AJ517" s="1390"/>
      <c r="AK517" s="1390"/>
    </row>
    <row r="518" spans="3:37" ht="17.25" customHeight="1" x14ac:dyDescent="0.35">
      <c r="C518" s="1390"/>
      <c r="D518" s="1390"/>
      <c r="E518" s="1390"/>
      <c r="F518" s="1390"/>
      <c r="G518" s="1390"/>
      <c r="H518" s="1390"/>
      <c r="I518" s="1390"/>
      <c r="J518" s="1390"/>
      <c r="K518" s="1390"/>
      <c r="L518" s="1390"/>
      <c r="M518" s="1390"/>
      <c r="N518" s="1390"/>
      <c r="O518" s="1390"/>
      <c r="P518" s="1390"/>
      <c r="Q518" s="1390"/>
      <c r="R518" s="1390"/>
      <c r="S518" s="1390"/>
      <c r="T518" s="1390"/>
      <c r="U518" s="1390"/>
      <c r="V518" s="1390"/>
      <c r="W518" s="1390"/>
      <c r="X518" s="1390"/>
      <c r="Y518" s="1390"/>
      <c r="Z518" s="1390"/>
      <c r="AA518" s="1390"/>
      <c r="AB518" s="1390"/>
      <c r="AC518" s="1390"/>
      <c r="AD518" s="1390"/>
      <c r="AE518" s="1390"/>
      <c r="AF518" s="1390"/>
      <c r="AG518" s="1390"/>
      <c r="AH518" s="1390"/>
      <c r="AI518" s="1390"/>
      <c r="AJ518" s="1390"/>
      <c r="AK518" s="1390"/>
    </row>
    <row r="519" spans="3:37" ht="17.25" customHeight="1" x14ac:dyDescent="0.35">
      <c r="C519" s="1390"/>
      <c r="D519" s="1390"/>
      <c r="E519" s="1390"/>
      <c r="F519" s="1390"/>
      <c r="G519" s="1390"/>
      <c r="H519" s="1390"/>
      <c r="I519" s="1390"/>
      <c r="J519" s="1390"/>
      <c r="K519" s="1390"/>
      <c r="L519" s="1390"/>
      <c r="M519" s="1390"/>
      <c r="N519" s="1390"/>
      <c r="O519" s="1390"/>
      <c r="P519" s="1390"/>
      <c r="Q519" s="1390"/>
      <c r="R519" s="1390"/>
      <c r="S519" s="1390"/>
      <c r="T519" s="1390"/>
      <c r="U519" s="1390"/>
      <c r="V519" s="1390"/>
      <c r="W519" s="1390"/>
      <c r="X519" s="1390"/>
      <c r="Y519" s="1390"/>
      <c r="Z519" s="1390"/>
      <c r="AA519" s="1390"/>
      <c r="AB519" s="1390"/>
      <c r="AC519" s="1390"/>
      <c r="AD519" s="1390"/>
      <c r="AE519" s="1390"/>
      <c r="AF519" s="1390"/>
      <c r="AG519" s="1390"/>
      <c r="AH519" s="1390"/>
      <c r="AI519" s="1390"/>
      <c r="AJ519" s="1390"/>
      <c r="AK519" s="1390"/>
    </row>
    <row r="520" spans="3:37" ht="17.25" customHeight="1" x14ac:dyDescent="0.35">
      <c r="C520" s="1390"/>
      <c r="D520" s="1390"/>
      <c r="E520" s="1390"/>
      <c r="F520" s="1390"/>
      <c r="G520" s="1390"/>
      <c r="H520" s="1390"/>
      <c r="I520" s="1390"/>
      <c r="J520" s="1390"/>
      <c r="K520" s="1390"/>
      <c r="L520" s="1390"/>
      <c r="M520" s="1390"/>
      <c r="N520" s="1390"/>
      <c r="O520" s="1390"/>
      <c r="P520" s="1390"/>
      <c r="Q520" s="1390"/>
      <c r="R520" s="1390"/>
      <c r="S520" s="1390"/>
      <c r="T520" s="1390"/>
      <c r="U520" s="1390"/>
      <c r="V520" s="1390"/>
      <c r="W520" s="1390"/>
      <c r="X520" s="1390"/>
      <c r="Y520" s="1390"/>
      <c r="Z520" s="1390"/>
      <c r="AA520" s="1390"/>
      <c r="AB520" s="1390"/>
      <c r="AC520" s="1390"/>
      <c r="AD520" s="1390"/>
      <c r="AE520" s="1390"/>
      <c r="AF520" s="1390"/>
      <c r="AG520" s="1390"/>
      <c r="AH520" s="1390"/>
      <c r="AI520" s="1390"/>
      <c r="AJ520" s="1390"/>
      <c r="AK520" s="1390"/>
    </row>
    <row r="521" spans="3:37" ht="17.25" customHeight="1" x14ac:dyDescent="0.35">
      <c r="C521" s="1390"/>
      <c r="D521" s="1390"/>
      <c r="E521" s="1390"/>
      <c r="F521" s="1390"/>
      <c r="G521" s="1390"/>
      <c r="H521" s="1390"/>
      <c r="I521" s="1390"/>
      <c r="J521" s="1390"/>
      <c r="K521" s="1390"/>
      <c r="L521" s="1390"/>
      <c r="M521" s="1390"/>
      <c r="N521" s="1390"/>
      <c r="O521" s="1390"/>
      <c r="P521" s="1390"/>
      <c r="Q521" s="1390"/>
      <c r="R521" s="1390"/>
      <c r="S521" s="1390"/>
      <c r="T521" s="1390"/>
      <c r="U521" s="1390"/>
      <c r="V521" s="1390"/>
      <c r="W521" s="1390"/>
      <c r="X521" s="1390"/>
      <c r="Y521" s="1390"/>
      <c r="Z521" s="1390"/>
      <c r="AA521" s="1390"/>
      <c r="AB521" s="1390"/>
      <c r="AC521" s="1390"/>
      <c r="AD521" s="1390"/>
      <c r="AE521" s="1390"/>
      <c r="AF521" s="1390"/>
      <c r="AG521" s="1390"/>
      <c r="AH521" s="1390"/>
      <c r="AI521" s="1390"/>
      <c r="AJ521" s="1390"/>
      <c r="AK521" s="1390"/>
    </row>
    <row r="522" spans="3:37" ht="17.25" customHeight="1" x14ac:dyDescent="0.35">
      <c r="C522" s="1390"/>
      <c r="D522" s="1390"/>
      <c r="E522" s="1390"/>
      <c r="F522" s="1390"/>
      <c r="G522" s="1390"/>
      <c r="H522" s="1390"/>
      <c r="I522" s="1390"/>
      <c r="J522" s="1390"/>
      <c r="K522" s="1390"/>
      <c r="L522" s="1390"/>
      <c r="M522" s="1390"/>
      <c r="N522" s="1390"/>
      <c r="O522" s="1390"/>
      <c r="P522" s="1390"/>
      <c r="Q522" s="1390"/>
      <c r="R522" s="1390"/>
      <c r="S522" s="1390"/>
      <c r="T522" s="1390"/>
      <c r="U522" s="1390"/>
      <c r="V522" s="1390"/>
      <c r="W522" s="1390"/>
      <c r="X522" s="1390"/>
      <c r="Y522" s="1390"/>
      <c r="Z522" s="1390"/>
      <c r="AA522" s="1390"/>
      <c r="AB522" s="1390"/>
      <c r="AC522" s="1390"/>
      <c r="AD522" s="1390"/>
      <c r="AE522" s="1390"/>
      <c r="AF522" s="1390"/>
      <c r="AG522" s="1390"/>
      <c r="AH522" s="1390"/>
      <c r="AI522" s="1390"/>
      <c r="AJ522" s="1390"/>
      <c r="AK522" s="1390"/>
    </row>
    <row r="523" spans="3:37" ht="17.25" customHeight="1" x14ac:dyDescent="0.35">
      <c r="C523" s="1390"/>
      <c r="D523" s="1390"/>
      <c r="E523" s="1390"/>
      <c r="F523" s="1390"/>
      <c r="G523" s="1390"/>
      <c r="H523" s="1390"/>
      <c r="I523" s="1390"/>
      <c r="J523" s="1390"/>
      <c r="K523" s="1390"/>
      <c r="L523" s="1390"/>
      <c r="M523" s="1390"/>
      <c r="N523" s="1390"/>
      <c r="O523" s="1390"/>
      <c r="P523" s="1390"/>
      <c r="Q523" s="1390"/>
      <c r="R523" s="1390"/>
      <c r="S523" s="1390"/>
      <c r="T523" s="1390"/>
      <c r="U523" s="1390"/>
      <c r="V523" s="1390"/>
      <c r="W523" s="1390"/>
      <c r="X523" s="1390"/>
      <c r="Y523" s="1390"/>
      <c r="Z523" s="1390"/>
      <c r="AA523" s="1390"/>
      <c r="AB523" s="1390"/>
      <c r="AC523" s="1390"/>
      <c r="AD523" s="1390"/>
      <c r="AE523" s="1390"/>
      <c r="AF523" s="1390"/>
      <c r="AG523" s="1390"/>
      <c r="AH523" s="1390"/>
      <c r="AI523" s="1390"/>
      <c r="AJ523" s="1390"/>
      <c r="AK523" s="1390"/>
    </row>
    <row r="524" spans="3:37" ht="17.25" customHeight="1" x14ac:dyDescent="0.35">
      <c r="C524" s="1390"/>
      <c r="D524" s="1390"/>
      <c r="E524" s="1390"/>
      <c r="F524" s="1390"/>
      <c r="G524" s="1390"/>
      <c r="H524" s="1390"/>
      <c r="I524" s="1390"/>
      <c r="J524" s="1390"/>
      <c r="K524" s="1390"/>
      <c r="L524" s="1390"/>
      <c r="M524" s="1390"/>
      <c r="N524" s="1390"/>
      <c r="O524" s="1390"/>
      <c r="P524" s="1390"/>
      <c r="Q524" s="1390"/>
      <c r="R524" s="1390"/>
      <c r="S524" s="1390"/>
      <c r="T524" s="1390"/>
      <c r="U524" s="1390"/>
      <c r="V524" s="1390"/>
      <c r="W524" s="1390"/>
      <c r="X524" s="1390"/>
      <c r="Y524" s="1390"/>
      <c r="Z524" s="1390"/>
      <c r="AA524" s="1390"/>
      <c r="AB524" s="1390"/>
      <c r="AC524" s="1390"/>
      <c r="AD524" s="1390"/>
      <c r="AE524" s="1390"/>
      <c r="AF524" s="1390"/>
      <c r="AG524" s="1390"/>
      <c r="AH524" s="1390"/>
      <c r="AI524" s="1390"/>
      <c r="AJ524" s="1390"/>
      <c r="AK524" s="1390"/>
    </row>
    <row r="525" spans="3:37" ht="17.25" customHeight="1" x14ac:dyDescent="0.35">
      <c r="C525" s="1390"/>
      <c r="D525" s="1390"/>
      <c r="E525" s="1390"/>
      <c r="F525" s="1390"/>
      <c r="G525" s="1390"/>
      <c r="H525" s="1390"/>
      <c r="I525" s="1390"/>
      <c r="J525" s="1390"/>
      <c r="K525" s="1390"/>
      <c r="L525" s="1390"/>
      <c r="M525" s="1390"/>
      <c r="N525" s="1390"/>
      <c r="O525" s="1390"/>
      <c r="P525" s="1390"/>
      <c r="Q525" s="1390"/>
      <c r="R525" s="1390"/>
      <c r="S525" s="1390"/>
      <c r="T525" s="1390"/>
      <c r="U525" s="1390"/>
      <c r="V525" s="1390"/>
      <c r="W525" s="1390"/>
      <c r="X525" s="1390"/>
      <c r="Y525" s="1390"/>
      <c r="Z525" s="1390"/>
      <c r="AA525" s="1390"/>
      <c r="AB525" s="1390"/>
      <c r="AC525" s="1390"/>
      <c r="AD525" s="1390"/>
      <c r="AE525" s="1390"/>
      <c r="AF525" s="1390"/>
      <c r="AG525" s="1390"/>
      <c r="AH525" s="1390"/>
      <c r="AI525" s="1390"/>
      <c r="AJ525" s="1390"/>
      <c r="AK525" s="1390"/>
    </row>
    <row r="526" spans="3:37" ht="17.25" customHeight="1" x14ac:dyDescent="0.35">
      <c r="C526" s="1390"/>
      <c r="D526" s="1390"/>
      <c r="E526" s="1390"/>
      <c r="F526" s="1390"/>
      <c r="G526" s="1390"/>
      <c r="H526" s="1390"/>
      <c r="I526" s="1390"/>
      <c r="J526" s="1390"/>
      <c r="K526" s="1390"/>
      <c r="L526" s="1390"/>
      <c r="M526" s="1390"/>
      <c r="N526" s="1390"/>
      <c r="O526" s="1390"/>
      <c r="P526" s="1390"/>
      <c r="Q526" s="1390"/>
      <c r="R526" s="1390"/>
      <c r="S526" s="1390"/>
      <c r="T526" s="1390"/>
      <c r="U526" s="1390"/>
      <c r="V526" s="1390"/>
      <c r="W526" s="1390"/>
      <c r="X526" s="1390"/>
      <c r="Y526" s="1390"/>
      <c r="Z526" s="1390"/>
      <c r="AA526" s="1390"/>
      <c r="AB526" s="1390"/>
      <c r="AC526" s="1390"/>
      <c r="AD526" s="1390"/>
      <c r="AE526" s="1390"/>
      <c r="AF526" s="1390"/>
      <c r="AG526" s="1390"/>
      <c r="AH526" s="1390"/>
      <c r="AI526" s="1390"/>
      <c r="AJ526" s="1390"/>
      <c r="AK526" s="1390"/>
    </row>
    <row r="527" spans="3:37" ht="17.25" customHeight="1" x14ac:dyDescent="0.35">
      <c r="C527" s="1390"/>
      <c r="D527" s="1390"/>
      <c r="E527" s="1390"/>
      <c r="F527" s="1390"/>
      <c r="G527" s="1390"/>
      <c r="H527" s="1390"/>
      <c r="I527" s="1390"/>
      <c r="J527" s="1390"/>
      <c r="K527" s="1390"/>
      <c r="L527" s="1390"/>
      <c r="M527" s="1390"/>
      <c r="N527" s="1390"/>
      <c r="O527" s="1390"/>
      <c r="P527" s="1390"/>
      <c r="Q527" s="1390"/>
      <c r="R527" s="1390"/>
      <c r="S527" s="1390"/>
      <c r="T527" s="1390"/>
      <c r="U527" s="1390"/>
      <c r="V527" s="1390"/>
      <c r="W527" s="1390"/>
      <c r="X527" s="1390"/>
      <c r="Y527" s="1390"/>
      <c r="Z527" s="1390"/>
      <c r="AA527" s="1390"/>
      <c r="AB527" s="1390"/>
      <c r="AC527" s="1390"/>
      <c r="AD527" s="1390"/>
      <c r="AE527" s="1390"/>
      <c r="AF527" s="1390"/>
      <c r="AG527" s="1390"/>
      <c r="AH527" s="1390"/>
      <c r="AI527" s="1390"/>
      <c r="AJ527" s="1390"/>
      <c r="AK527" s="1390"/>
    </row>
    <row r="528" spans="3:37" ht="17.25" customHeight="1" x14ac:dyDescent="0.35">
      <c r="C528" s="1390"/>
      <c r="D528" s="1390"/>
      <c r="E528" s="1390"/>
      <c r="F528" s="1390"/>
      <c r="G528" s="1390"/>
      <c r="H528" s="1390"/>
      <c r="I528" s="1390"/>
      <c r="J528" s="1390"/>
      <c r="K528" s="1390"/>
      <c r="L528" s="1390"/>
      <c r="M528" s="1390"/>
      <c r="N528" s="1390"/>
      <c r="O528" s="1390"/>
      <c r="P528" s="1390"/>
      <c r="Q528" s="1390"/>
      <c r="R528" s="1390"/>
      <c r="S528" s="1390"/>
      <c r="T528" s="1390"/>
      <c r="U528" s="1390"/>
      <c r="V528" s="1390"/>
      <c r="W528" s="1390"/>
      <c r="X528" s="1390"/>
      <c r="Y528" s="1390"/>
      <c r="Z528" s="1390"/>
      <c r="AA528" s="1390"/>
      <c r="AB528" s="1390"/>
      <c r="AC528" s="1390"/>
      <c r="AD528" s="1390"/>
      <c r="AE528" s="1390"/>
      <c r="AF528" s="1390"/>
      <c r="AG528" s="1390"/>
      <c r="AH528" s="1390"/>
      <c r="AI528" s="1390"/>
      <c r="AJ528" s="1390"/>
      <c r="AK528" s="1390"/>
    </row>
    <row r="529" spans="3:37" ht="17.25" customHeight="1" x14ac:dyDescent="0.35">
      <c r="C529" s="1390"/>
      <c r="D529" s="1390"/>
      <c r="E529" s="1390"/>
      <c r="F529" s="1390"/>
      <c r="G529" s="1390"/>
      <c r="H529" s="1390"/>
      <c r="I529" s="1390"/>
      <c r="J529" s="1390"/>
      <c r="K529" s="1390"/>
      <c r="L529" s="1390"/>
      <c r="M529" s="1390"/>
      <c r="N529" s="1390"/>
      <c r="O529" s="1390"/>
      <c r="P529" s="1390"/>
      <c r="Q529" s="1390"/>
      <c r="R529" s="1390"/>
      <c r="S529" s="1390"/>
      <c r="T529" s="1390"/>
      <c r="U529" s="1390"/>
      <c r="V529" s="1390"/>
      <c r="W529" s="1390"/>
      <c r="X529" s="1390"/>
      <c r="Y529" s="1390"/>
      <c r="Z529" s="1390"/>
      <c r="AA529" s="1390"/>
      <c r="AB529" s="1390"/>
      <c r="AC529" s="1390"/>
      <c r="AD529" s="1390"/>
      <c r="AE529" s="1390"/>
      <c r="AF529" s="1390"/>
      <c r="AG529" s="1390"/>
      <c r="AH529" s="1390"/>
      <c r="AI529" s="1390"/>
      <c r="AJ529" s="1390"/>
      <c r="AK529" s="1390"/>
    </row>
    <row r="530" spans="3:37" ht="17.25" customHeight="1" x14ac:dyDescent="0.35">
      <c r="C530" s="1390"/>
      <c r="D530" s="1390"/>
      <c r="E530" s="1390"/>
      <c r="F530" s="1390"/>
      <c r="G530" s="1390"/>
      <c r="H530" s="1390"/>
      <c r="I530" s="1390"/>
      <c r="J530" s="1390"/>
      <c r="K530" s="1390"/>
      <c r="L530" s="1390"/>
      <c r="M530" s="1390"/>
      <c r="N530" s="1390"/>
      <c r="O530" s="1390"/>
      <c r="P530" s="1390"/>
      <c r="Q530" s="1390"/>
      <c r="R530" s="1390"/>
      <c r="S530" s="1390"/>
      <c r="T530" s="1390"/>
      <c r="U530" s="1390"/>
      <c r="V530" s="1390"/>
      <c r="W530" s="1390"/>
      <c r="X530" s="1390"/>
      <c r="Y530" s="1390"/>
      <c r="Z530" s="1390"/>
      <c r="AA530" s="1390"/>
      <c r="AB530" s="1390"/>
      <c r="AC530" s="1390"/>
      <c r="AD530" s="1390"/>
      <c r="AE530" s="1390"/>
      <c r="AF530" s="1390"/>
      <c r="AG530" s="1390"/>
      <c r="AH530" s="1390"/>
      <c r="AI530" s="1390"/>
      <c r="AJ530" s="1390"/>
      <c r="AK530" s="1390"/>
    </row>
    <row r="531" spans="3:37" ht="17.25" customHeight="1" x14ac:dyDescent="0.35">
      <c r="C531" s="1390"/>
      <c r="D531" s="1390"/>
      <c r="E531" s="1390"/>
      <c r="F531" s="1390"/>
      <c r="G531" s="1390"/>
      <c r="H531" s="1390"/>
      <c r="I531" s="1390"/>
      <c r="J531" s="1390"/>
      <c r="K531" s="1390"/>
      <c r="L531" s="1390"/>
      <c r="M531" s="1390"/>
      <c r="N531" s="1390"/>
      <c r="O531" s="1390"/>
      <c r="P531" s="1390"/>
      <c r="Q531" s="1390"/>
      <c r="R531" s="1390"/>
      <c r="S531" s="1390"/>
      <c r="T531" s="1390"/>
      <c r="U531" s="1390"/>
      <c r="V531" s="1390"/>
      <c r="W531" s="1390"/>
      <c r="X531" s="1390"/>
      <c r="Y531" s="1390"/>
      <c r="Z531" s="1390"/>
      <c r="AA531" s="1390"/>
      <c r="AB531" s="1390"/>
      <c r="AC531" s="1390"/>
      <c r="AD531" s="1390"/>
      <c r="AE531" s="1390"/>
      <c r="AF531" s="1390"/>
      <c r="AG531" s="1390"/>
      <c r="AH531" s="1390"/>
      <c r="AI531" s="1390"/>
      <c r="AJ531" s="1390"/>
      <c r="AK531" s="1390"/>
    </row>
    <row r="532" spans="3:37" ht="17.25" customHeight="1" x14ac:dyDescent="0.35">
      <c r="C532" s="1390"/>
      <c r="D532" s="1390"/>
      <c r="E532" s="1390"/>
      <c r="F532" s="1390"/>
      <c r="G532" s="1390"/>
      <c r="H532" s="1390"/>
      <c r="I532" s="1390"/>
      <c r="J532" s="1390"/>
      <c r="K532" s="1390"/>
      <c r="L532" s="1390"/>
      <c r="M532" s="1390"/>
      <c r="N532" s="1390"/>
      <c r="O532" s="1390"/>
      <c r="P532" s="1390"/>
      <c r="Q532" s="1390"/>
      <c r="R532" s="1390"/>
      <c r="S532" s="1390"/>
      <c r="T532" s="1390"/>
      <c r="U532" s="1390"/>
      <c r="V532" s="1390"/>
      <c r="W532" s="1390"/>
      <c r="X532" s="1390"/>
      <c r="Y532" s="1390"/>
      <c r="Z532" s="1390"/>
      <c r="AA532" s="1390"/>
      <c r="AB532" s="1390"/>
      <c r="AC532" s="1390"/>
      <c r="AD532" s="1390"/>
      <c r="AE532" s="1390"/>
      <c r="AF532" s="1390"/>
      <c r="AG532" s="1390"/>
      <c r="AH532" s="1390"/>
      <c r="AI532" s="1390"/>
      <c r="AJ532" s="1390"/>
      <c r="AK532" s="1390"/>
    </row>
    <row r="533" spans="3:37" ht="17.25" customHeight="1" x14ac:dyDescent="0.35">
      <c r="C533" s="1390"/>
      <c r="D533" s="1390"/>
      <c r="E533" s="1390"/>
      <c r="F533" s="1390"/>
      <c r="G533" s="1390"/>
      <c r="H533" s="1390"/>
      <c r="I533" s="1390"/>
      <c r="J533" s="1390"/>
      <c r="K533" s="1390"/>
      <c r="L533" s="1390"/>
      <c r="M533" s="1390"/>
      <c r="N533" s="1390"/>
      <c r="O533" s="1390"/>
      <c r="P533" s="1390"/>
      <c r="Q533" s="1390"/>
      <c r="R533" s="1390"/>
      <c r="S533" s="1390"/>
      <c r="T533" s="1390"/>
      <c r="U533" s="1390"/>
      <c r="V533" s="1390"/>
      <c r="W533" s="1390"/>
      <c r="X533" s="1390"/>
      <c r="Y533" s="1390"/>
      <c r="Z533" s="1390"/>
      <c r="AA533" s="1390"/>
      <c r="AB533" s="1390"/>
      <c r="AC533" s="1390"/>
      <c r="AD533" s="1390"/>
      <c r="AE533" s="1390"/>
      <c r="AF533" s="1390"/>
      <c r="AG533" s="1390"/>
      <c r="AH533" s="1390"/>
      <c r="AI533" s="1390"/>
      <c r="AJ533" s="1390"/>
      <c r="AK533" s="1390"/>
    </row>
    <row r="534" spans="3:37" ht="17.25" customHeight="1" x14ac:dyDescent="0.35">
      <c r="C534" s="1390"/>
      <c r="D534" s="1390"/>
      <c r="E534" s="1390"/>
      <c r="F534" s="1390"/>
      <c r="G534" s="1390"/>
      <c r="H534" s="1390"/>
      <c r="I534" s="1390"/>
      <c r="J534" s="1390"/>
      <c r="K534" s="1390"/>
      <c r="L534" s="1390"/>
      <c r="M534" s="1390"/>
      <c r="N534" s="1390"/>
      <c r="O534" s="1390"/>
      <c r="P534" s="1390"/>
      <c r="Q534" s="1390"/>
      <c r="R534" s="1390"/>
      <c r="S534" s="1390"/>
      <c r="T534" s="1390"/>
      <c r="U534" s="1390"/>
      <c r="V534" s="1390"/>
      <c r="W534" s="1390"/>
      <c r="X534" s="1390"/>
      <c r="Y534" s="1390"/>
      <c r="Z534" s="1390"/>
      <c r="AA534" s="1390"/>
      <c r="AB534" s="1390"/>
      <c r="AC534" s="1390"/>
      <c r="AD534" s="1390"/>
      <c r="AE534" s="1390"/>
      <c r="AF534" s="1390"/>
      <c r="AG534" s="1390"/>
      <c r="AH534" s="1390"/>
      <c r="AI534" s="1390"/>
      <c r="AJ534" s="1390"/>
      <c r="AK534" s="1390"/>
    </row>
    <row r="535" spans="3:37" ht="17.25" customHeight="1" x14ac:dyDescent="0.35">
      <c r="C535" s="1390"/>
      <c r="D535" s="1390"/>
      <c r="E535" s="1390"/>
      <c r="F535" s="1390"/>
      <c r="G535" s="1390"/>
      <c r="H535" s="1390"/>
      <c r="I535" s="1390"/>
      <c r="J535" s="1390"/>
      <c r="K535" s="1390"/>
      <c r="L535" s="1390"/>
      <c r="M535" s="1390"/>
      <c r="N535" s="1390"/>
      <c r="O535" s="1390"/>
      <c r="P535" s="1390"/>
      <c r="Q535" s="1390"/>
      <c r="R535" s="1390"/>
      <c r="S535" s="1390"/>
      <c r="T535" s="1390"/>
      <c r="U535" s="1390"/>
      <c r="V535" s="1390"/>
      <c r="W535" s="1390"/>
      <c r="X535" s="1390"/>
      <c r="Y535" s="1390"/>
      <c r="Z535" s="1390"/>
      <c r="AA535" s="1390"/>
      <c r="AB535" s="1390"/>
      <c r="AC535" s="1390"/>
      <c r="AD535" s="1390"/>
      <c r="AE535" s="1390"/>
      <c r="AF535" s="1390"/>
      <c r="AG535" s="1390"/>
      <c r="AH535" s="1390"/>
      <c r="AI535" s="1390"/>
      <c r="AJ535" s="1390"/>
      <c r="AK535" s="1390"/>
    </row>
    <row r="536" spans="3:37" ht="17.25" customHeight="1" x14ac:dyDescent="0.35">
      <c r="C536" s="1390"/>
      <c r="D536" s="1390"/>
      <c r="E536" s="1390"/>
      <c r="F536" s="1390"/>
      <c r="G536" s="1390"/>
      <c r="H536" s="1390"/>
      <c r="I536" s="1390"/>
      <c r="J536" s="1390"/>
      <c r="K536" s="1390"/>
      <c r="L536" s="1390"/>
      <c r="M536" s="1390"/>
      <c r="N536" s="1390"/>
      <c r="O536" s="1390"/>
      <c r="P536" s="1390"/>
      <c r="Q536" s="1390"/>
      <c r="R536" s="1390"/>
      <c r="S536" s="1390"/>
      <c r="T536" s="1390"/>
      <c r="U536" s="1390"/>
      <c r="V536" s="1390"/>
      <c r="W536" s="1390"/>
      <c r="X536" s="1390"/>
      <c r="Y536" s="1390"/>
      <c r="Z536" s="1390"/>
      <c r="AA536" s="1390"/>
      <c r="AB536" s="1390"/>
      <c r="AC536" s="1390"/>
      <c r="AD536" s="1390"/>
      <c r="AE536" s="1390"/>
      <c r="AF536" s="1390"/>
      <c r="AG536" s="1390"/>
      <c r="AH536" s="1390"/>
      <c r="AI536" s="1390"/>
      <c r="AJ536" s="1390"/>
      <c r="AK536" s="1390"/>
    </row>
    <row r="537" spans="3:37" ht="17.25" customHeight="1" x14ac:dyDescent="0.35">
      <c r="C537" s="1390"/>
      <c r="D537" s="1390"/>
      <c r="E537" s="1390"/>
      <c r="F537" s="1390"/>
      <c r="G537" s="1390"/>
      <c r="H537" s="1390"/>
      <c r="I537" s="1390"/>
      <c r="J537" s="1390"/>
      <c r="K537" s="1390"/>
      <c r="L537" s="1390"/>
      <c r="M537" s="1390"/>
      <c r="N537" s="1390"/>
      <c r="O537" s="1390"/>
      <c r="P537" s="1390"/>
      <c r="Q537" s="1390"/>
      <c r="R537" s="1390"/>
      <c r="S537" s="1390"/>
      <c r="T537" s="1390"/>
      <c r="U537" s="1390"/>
      <c r="V537" s="1390"/>
      <c r="W537" s="1390"/>
      <c r="X537" s="1390"/>
      <c r="Y537" s="1390"/>
      <c r="Z537" s="1390"/>
      <c r="AA537" s="1390"/>
      <c r="AB537" s="1390"/>
      <c r="AC537" s="1390"/>
      <c r="AD537" s="1390"/>
      <c r="AE537" s="1390"/>
      <c r="AF537" s="1390"/>
      <c r="AG537" s="1390"/>
      <c r="AH537" s="1390"/>
      <c r="AI537" s="1390"/>
      <c r="AJ537" s="1390"/>
      <c r="AK537" s="1390"/>
    </row>
    <row r="538" spans="3:37" ht="17.25" customHeight="1" x14ac:dyDescent="0.35">
      <c r="C538" s="1390"/>
      <c r="D538" s="1390"/>
      <c r="E538" s="1390"/>
      <c r="F538" s="1390"/>
      <c r="G538" s="1390"/>
      <c r="H538" s="1390"/>
      <c r="I538" s="1390"/>
      <c r="J538" s="1390"/>
      <c r="K538" s="1390"/>
      <c r="L538" s="1390"/>
      <c r="M538" s="1390"/>
      <c r="N538" s="1390"/>
      <c r="O538" s="1390"/>
      <c r="P538" s="1390"/>
      <c r="Q538" s="1390"/>
      <c r="R538" s="1390"/>
      <c r="S538" s="1390"/>
      <c r="T538" s="1390"/>
      <c r="U538" s="1390"/>
      <c r="V538" s="1390"/>
      <c r="W538" s="1390"/>
      <c r="X538" s="1390"/>
      <c r="Y538" s="1390"/>
      <c r="Z538" s="1390"/>
      <c r="AA538" s="1390"/>
      <c r="AB538" s="1390"/>
      <c r="AC538" s="1390"/>
      <c r="AD538" s="1390"/>
      <c r="AE538" s="1390"/>
      <c r="AF538" s="1390"/>
      <c r="AG538" s="1390"/>
      <c r="AH538" s="1390"/>
      <c r="AI538" s="1390"/>
      <c r="AJ538" s="1390"/>
      <c r="AK538" s="1390"/>
    </row>
    <row r="539" spans="3:37" ht="17.25" customHeight="1" x14ac:dyDescent="0.35">
      <c r="C539" s="1390"/>
      <c r="D539" s="1390"/>
      <c r="E539" s="1390"/>
      <c r="F539" s="1390"/>
      <c r="G539" s="1390"/>
      <c r="H539" s="1390"/>
      <c r="I539" s="1390"/>
      <c r="J539" s="1390"/>
      <c r="K539" s="1390"/>
      <c r="L539" s="1390"/>
      <c r="M539" s="1390"/>
      <c r="N539" s="1390"/>
      <c r="O539" s="1390"/>
      <c r="P539" s="1390"/>
      <c r="Q539" s="1390"/>
      <c r="R539" s="1390"/>
      <c r="S539" s="1390"/>
      <c r="T539" s="1390"/>
      <c r="U539" s="1390"/>
      <c r="V539" s="1390"/>
      <c r="W539" s="1390"/>
      <c r="X539" s="1390"/>
      <c r="Y539" s="1390"/>
      <c r="Z539" s="1390"/>
      <c r="AA539" s="1390"/>
      <c r="AB539" s="1390"/>
      <c r="AC539" s="1390"/>
      <c r="AD539" s="1390"/>
      <c r="AE539" s="1390"/>
      <c r="AF539" s="1390"/>
      <c r="AG539" s="1390"/>
      <c r="AH539" s="1390"/>
      <c r="AI539" s="1390"/>
      <c r="AJ539" s="1390"/>
      <c r="AK539" s="1390"/>
    </row>
    <row r="540" spans="3:37" ht="17.25" customHeight="1" x14ac:dyDescent="0.35">
      <c r="C540" s="1390"/>
      <c r="D540" s="1390"/>
      <c r="E540" s="1390"/>
      <c r="F540" s="1390"/>
      <c r="G540" s="1390"/>
      <c r="H540" s="1390"/>
      <c r="I540" s="1390"/>
      <c r="J540" s="1390"/>
      <c r="K540" s="1390"/>
      <c r="L540" s="1390"/>
      <c r="M540" s="1390"/>
      <c r="N540" s="1390"/>
      <c r="O540" s="1390"/>
      <c r="P540" s="1390"/>
      <c r="Q540" s="1390"/>
      <c r="R540" s="1390"/>
      <c r="S540" s="1390"/>
      <c r="T540" s="1390"/>
      <c r="U540" s="1390"/>
      <c r="V540" s="1390"/>
      <c r="W540" s="1390"/>
      <c r="X540" s="1390"/>
      <c r="Y540" s="1390"/>
      <c r="Z540" s="1390"/>
      <c r="AA540" s="1390"/>
      <c r="AB540" s="1390"/>
      <c r="AC540" s="1390"/>
      <c r="AD540" s="1390"/>
      <c r="AE540" s="1390"/>
      <c r="AF540" s="1390"/>
      <c r="AG540" s="1390"/>
      <c r="AH540" s="1390"/>
      <c r="AI540" s="1390"/>
      <c r="AJ540" s="1390"/>
      <c r="AK540" s="1390"/>
    </row>
    <row r="541" spans="3:37" ht="17.25" customHeight="1" x14ac:dyDescent="0.35">
      <c r="C541" s="1390"/>
      <c r="D541" s="1390"/>
      <c r="E541" s="1390"/>
      <c r="F541" s="1390"/>
      <c r="G541" s="1390"/>
      <c r="H541" s="1390"/>
      <c r="I541" s="1390"/>
      <c r="J541" s="1390"/>
      <c r="K541" s="1390"/>
      <c r="L541" s="1390"/>
      <c r="M541" s="1390"/>
      <c r="N541" s="1390"/>
      <c r="O541" s="1390"/>
      <c r="P541" s="1390"/>
      <c r="Q541" s="1390"/>
      <c r="R541" s="1390"/>
      <c r="S541" s="1390"/>
      <c r="T541" s="1390"/>
      <c r="U541" s="1390"/>
      <c r="V541" s="1390"/>
      <c r="W541" s="1390"/>
      <c r="X541" s="1390"/>
      <c r="Y541" s="1390"/>
      <c r="Z541" s="1390"/>
      <c r="AA541" s="1390"/>
      <c r="AB541" s="1390"/>
      <c r="AC541" s="1390"/>
      <c r="AD541" s="1390"/>
      <c r="AE541" s="1390"/>
      <c r="AF541" s="1390"/>
      <c r="AG541" s="1390"/>
      <c r="AH541" s="1390"/>
      <c r="AI541" s="1390"/>
      <c r="AJ541" s="1390"/>
      <c r="AK541" s="1390"/>
    </row>
    <row r="542" spans="3:37" ht="17.25" customHeight="1" x14ac:dyDescent="0.35">
      <c r="C542" s="1390"/>
      <c r="D542" s="1390"/>
      <c r="E542" s="1390"/>
      <c r="F542" s="1390"/>
      <c r="G542" s="1390"/>
      <c r="H542" s="1390"/>
      <c r="I542" s="1390"/>
      <c r="J542" s="1390"/>
      <c r="K542" s="1390"/>
      <c r="L542" s="1390"/>
      <c r="M542" s="1390"/>
      <c r="N542" s="1390"/>
      <c r="O542" s="1390"/>
      <c r="P542" s="1390"/>
      <c r="Q542" s="1390"/>
      <c r="R542" s="1390"/>
      <c r="S542" s="1390"/>
      <c r="T542" s="1390"/>
      <c r="U542" s="1390"/>
      <c r="V542" s="1390"/>
      <c r="W542" s="1390"/>
      <c r="X542" s="1390"/>
      <c r="Y542" s="1390"/>
      <c r="Z542" s="1390"/>
      <c r="AA542" s="1390"/>
      <c r="AB542" s="1390"/>
      <c r="AC542" s="1390"/>
      <c r="AD542" s="1390"/>
      <c r="AE542" s="1390"/>
      <c r="AF542" s="1390"/>
      <c r="AG542" s="1390"/>
      <c r="AH542" s="1390"/>
      <c r="AI542" s="1390"/>
      <c r="AJ542" s="1390"/>
      <c r="AK542" s="1390"/>
    </row>
    <row r="543" spans="3:37" ht="17.25" customHeight="1" x14ac:dyDescent="0.35">
      <c r="C543" s="1390"/>
      <c r="D543" s="1390"/>
      <c r="E543" s="1390"/>
      <c r="F543" s="1390"/>
      <c r="G543" s="1390"/>
      <c r="H543" s="1390"/>
      <c r="I543" s="1390"/>
      <c r="J543" s="1390"/>
      <c r="K543" s="1390"/>
      <c r="L543" s="1390"/>
      <c r="M543" s="1390"/>
      <c r="N543" s="1390"/>
      <c r="O543" s="1390"/>
      <c r="P543" s="1390"/>
      <c r="Q543" s="1390"/>
      <c r="R543" s="1390"/>
      <c r="S543" s="1390"/>
      <c r="T543" s="1390"/>
      <c r="U543" s="1390"/>
      <c r="V543" s="1390"/>
      <c r="W543" s="1390"/>
      <c r="X543" s="1390"/>
      <c r="Y543" s="1390"/>
      <c r="Z543" s="1390"/>
      <c r="AA543" s="1390"/>
      <c r="AB543" s="1390"/>
      <c r="AC543" s="1390"/>
      <c r="AD543" s="1390"/>
      <c r="AE543" s="1390"/>
      <c r="AF543" s="1390"/>
      <c r="AG543" s="1390"/>
      <c r="AH543" s="1390"/>
      <c r="AI543" s="1390"/>
      <c r="AJ543" s="1390"/>
      <c r="AK543" s="1390"/>
    </row>
    <row r="544" spans="3:37" ht="17.25" customHeight="1" x14ac:dyDescent="0.35">
      <c r="C544" s="1390"/>
      <c r="D544" s="1390"/>
      <c r="E544" s="1390"/>
      <c r="F544" s="1390"/>
      <c r="G544" s="1390"/>
      <c r="H544" s="1390"/>
      <c r="I544" s="1390"/>
      <c r="J544" s="1390"/>
      <c r="K544" s="1390"/>
      <c r="L544" s="1390"/>
      <c r="M544" s="1390"/>
      <c r="N544" s="1390"/>
      <c r="O544" s="1390"/>
      <c r="P544" s="1390"/>
      <c r="Q544" s="1390"/>
      <c r="R544" s="1390"/>
      <c r="S544" s="1390"/>
      <c r="T544" s="1390"/>
      <c r="U544" s="1390"/>
      <c r="V544" s="1390"/>
      <c r="W544" s="1390"/>
      <c r="X544" s="1390"/>
      <c r="Y544" s="1390"/>
      <c r="Z544" s="1390"/>
      <c r="AA544" s="1390"/>
      <c r="AB544" s="1390"/>
      <c r="AC544" s="1390"/>
      <c r="AD544" s="1390"/>
      <c r="AE544" s="1390"/>
      <c r="AF544" s="1390"/>
      <c r="AG544" s="1390"/>
      <c r="AH544" s="1390"/>
      <c r="AI544" s="1390"/>
      <c r="AJ544" s="1390"/>
      <c r="AK544" s="1390"/>
    </row>
    <row r="545" spans="3:37" ht="17.25" customHeight="1" x14ac:dyDescent="0.35">
      <c r="C545" s="1390"/>
      <c r="D545" s="1390"/>
      <c r="E545" s="1390"/>
      <c r="F545" s="1390"/>
      <c r="G545" s="1390"/>
      <c r="H545" s="1390"/>
      <c r="I545" s="1390"/>
      <c r="J545" s="1390"/>
      <c r="K545" s="1390"/>
      <c r="L545" s="1390"/>
      <c r="M545" s="1390"/>
      <c r="N545" s="1390"/>
      <c r="O545" s="1390"/>
      <c r="P545" s="1390"/>
      <c r="Q545" s="1390"/>
      <c r="R545" s="1390"/>
      <c r="S545" s="1390"/>
      <c r="T545" s="1390"/>
      <c r="U545" s="1390"/>
      <c r="V545" s="1390"/>
      <c r="W545" s="1390"/>
      <c r="X545" s="1390"/>
      <c r="Y545" s="1390"/>
      <c r="Z545" s="1390"/>
      <c r="AA545" s="1390"/>
      <c r="AB545" s="1390"/>
      <c r="AC545" s="1390"/>
      <c r="AD545" s="1390"/>
      <c r="AE545" s="1390"/>
      <c r="AF545" s="1390"/>
      <c r="AG545" s="1390"/>
      <c r="AH545" s="1390"/>
      <c r="AI545" s="1390"/>
      <c r="AJ545" s="1390"/>
      <c r="AK545" s="1390"/>
    </row>
    <row r="546" spans="3:37" ht="17.25" customHeight="1" x14ac:dyDescent="0.35">
      <c r="C546" s="1390"/>
      <c r="D546" s="1390"/>
      <c r="E546" s="1390"/>
      <c r="F546" s="1390"/>
      <c r="G546" s="1390"/>
      <c r="H546" s="1390"/>
      <c r="I546" s="1390"/>
      <c r="J546" s="1390"/>
      <c r="K546" s="1390"/>
      <c r="L546" s="1390"/>
      <c r="M546" s="1390"/>
      <c r="N546" s="1390"/>
      <c r="O546" s="1390"/>
      <c r="P546" s="1390"/>
      <c r="Q546" s="1390"/>
      <c r="R546" s="1390"/>
      <c r="S546" s="1390"/>
      <c r="T546" s="1390"/>
      <c r="U546" s="1390"/>
      <c r="V546" s="1390"/>
      <c r="W546" s="1390"/>
      <c r="X546" s="1390"/>
      <c r="Y546" s="1390"/>
      <c r="Z546" s="1390"/>
      <c r="AA546" s="1390"/>
      <c r="AB546" s="1390"/>
      <c r="AC546" s="1390"/>
      <c r="AD546" s="1390"/>
      <c r="AE546" s="1390"/>
      <c r="AF546" s="1390"/>
      <c r="AG546" s="1390"/>
      <c r="AH546" s="1390"/>
      <c r="AI546" s="1390"/>
      <c r="AJ546" s="1390"/>
      <c r="AK546" s="1390"/>
    </row>
    <row r="547" spans="3:37" ht="17.25" customHeight="1" x14ac:dyDescent="0.35">
      <c r="C547" s="1390"/>
      <c r="D547" s="1390"/>
      <c r="E547" s="1390"/>
      <c r="F547" s="1390"/>
      <c r="G547" s="1390"/>
      <c r="H547" s="1390"/>
      <c r="I547" s="1390"/>
      <c r="J547" s="1390"/>
      <c r="K547" s="1390"/>
      <c r="L547" s="1390"/>
      <c r="M547" s="1390"/>
      <c r="N547" s="1390"/>
      <c r="O547" s="1390"/>
      <c r="P547" s="1390"/>
      <c r="Q547" s="1390"/>
      <c r="R547" s="1390"/>
      <c r="S547" s="1390"/>
      <c r="T547" s="1390"/>
      <c r="U547" s="1390"/>
      <c r="V547" s="1390"/>
      <c r="W547" s="1390"/>
      <c r="X547" s="1390"/>
      <c r="Y547" s="1390"/>
      <c r="Z547" s="1390"/>
      <c r="AA547" s="1390"/>
      <c r="AB547" s="1390"/>
      <c r="AC547" s="1390"/>
      <c r="AD547" s="1390"/>
      <c r="AE547" s="1390"/>
      <c r="AF547" s="1390"/>
      <c r="AG547" s="1390"/>
      <c r="AH547" s="1390"/>
      <c r="AI547" s="1390"/>
      <c r="AJ547" s="1390"/>
      <c r="AK547" s="1390"/>
    </row>
    <row r="548" spans="3:37" ht="17.25" customHeight="1" x14ac:dyDescent="0.35">
      <c r="C548" s="1390"/>
      <c r="D548" s="1390"/>
      <c r="E548" s="1390"/>
      <c r="F548" s="1390"/>
      <c r="G548" s="1390"/>
      <c r="H548" s="1390"/>
      <c r="I548" s="1390"/>
      <c r="J548" s="1390"/>
      <c r="K548" s="1390"/>
      <c r="L548" s="1390"/>
      <c r="M548" s="1390"/>
      <c r="N548" s="1390"/>
      <c r="O548" s="1390"/>
      <c r="P548" s="1390"/>
      <c r="Q548" s="1390"/>
      <c r="R548" s="1390"/>
      <c r="S548" s="1390"/>
      <c r="T548" s="1390"/>
      <c r="U548" s="1390"/>
      <c r="V548" s="1390"/>
      <c r="W548" s="1390"/>
      <c r="X548" s="1390"/>
      <c r="Y548" s="1390"/>
      <c r="Z548" s="1390"/>
      <c r="AA548" s="1390"/>
      <c r="AB548" s="1390"/>
      <c r="AC548" s="1390"/>
      <c r="AD548" s="1390"/>
      <c r="AE548" s="1390"/>
      <c r="AF548" s="1390"/>
      <c r="AG548" s="1390"/>
      <c r="AH548" s="1390"/>
      <c r="AI548" s="1390"/>
      <c r="AJ548" s="1390"/>
      <c r="AK548" s="1390"/>
    </row>
    <row r="549" spans="3:37" ht="17.25" customHeight="1" x14ac:dyDescent="0.35">
      <c r="C549" s="1390"/>
      <c r="D549" s="1390"/>
      <c r="E549" s="1390"/>
      <c r="F549" s="1390"/>
      <c r="G549" s="1390"/>
      <c r="H549" s="1390"/>
      <c r="I549" s="1390"/>
      <c r="J549" s="1390"/>
      <c r="K549" s="1390"/>
      <c r="L549" s="1390"/>
      <c r="M549" s="1390"/>
      <c r="N549" s="1390"/>
      <c r="O549" s="1390"/>
      <c r="P549" s="1390"/>
      <c r="Q549" s="1390"/>
      <c r="R549" s="1390"/>
      <c r="S549" s="1390"/>
      <c r="T549" s="1390"/>
      <c r="U549" s="1390"/>
      <c r="V549" s="1390"/>
      <c r="W549" s="1390"/>
      <c r="X549" s="1390"/>
      <c r="Y549" s="1390"/>
      <c r="Z549" s="1390"/>
      <c r="AA549" s="1390"/>
      <c r="AB549" s="1390"/>
      <c r="AC549" s="1390"/>
      <c r="AD549" s="1390"/>
      <c r="AE549" s="1390"/>
      <c r="AF549" s="1390"/>
      <c r="AG549" s="1390"/>
      <c r="AH549" s="1390"/>
      <c r="AI549" s="1390"/>
      <c r="AJ549" s="1390"/>
      <c r="AK549" s="1390"/>
    </row>
    <row r="550" spans="3:37" ht="17.25" customHeight="1" x14ac:dyDescent="0.35">
      <c r="C550" s="1390"/>
      <c r="D550" s="1390"/>
      <c r="E550" s="1390"/>
      <c r="F550" s="1390"/>
      <c r="G550" s="1390"/>
      <c r="H550" s="1390"/>
      <c r="I550" s="1390"/>
      <c r="J550" s="1390"/>
      <c r="K550" s="1390"/>
      <c r="L550" s="1390"/>
      <c r="M550" s="1390"/>
      <c r="N550" s="1390"/>
      <c r="O550" s="1390"/>
      <c r="P550" s="1390"/>
      <c r="Q550" s="1390"/>
      <c r="R550" s="1390"/>
      <c r="S550" s="1390"/>
      <c r="T550" s="1390"/>
      <c r="U550" s="1390"/>
      <c r="V550" s="1390"/>
      <c r="W550" s="1390"/>
      <c r="X550" s="1390"/>
      <c r="Y550" s="1390"/>
      <c r="Z550" s="1390"/>
      <c r="AA550" s="1390"/>
      <c r="AB550" s="1390"/>
      <c r="AC550" s="1390"/>
      <c r="AD550" s="1390"/>
      <c r="AE550" s="1390"/>
      <c r="AF550" s="1390"/>
      <c r="AG550" s="1390"/>
      <c r="AH550" s="1390"/>
      <c r="AI550" s="1390"/>
      <c r="AJ550" s="1390"/>
      <c r="AK550" s="1390"/>
    </row>
    <row r="551" spans="3:37" ht="17.25" customHeight="1" x14ac:dyDescent="0.35">
      <c r="C551" s="1390"/>
      <c r="D551" s="1390"/>
      <c r="E551" s="1390"/>
      <c r="F551" s="1390"/>
      <c r="G551" s="1390"/>
      <c r="H551" s="1390"/>
      <c r="I551" s="1390"/>
      <c r="J551" s="1390"/>
      <c r="K551" s="1390"/>
      <c r="L551" s="1390"/>
      <c r="M551" s="1390"/>
      <c r="N551" s="1390"/>
      <c r="O551" s="1390"/>
      <c r="P551" s="1390"/>
      <c r="Q551" s="1390"/>
      <c r="R551" s="1390"/>
      <c r="S551" s="1390"/>
      <c r="T551" s="1390"/>
      <c r="U551" s="1390"/>
      <c r="V551" s="1390"/>
      <c r="W551" s="1390"/>
      <c r="X551" s="1390"/>
      <c r="Y551" s="1390"/>
      <c r="Z551" s="1390"/>
      <c r="AA551" s="1390"/>
      <c r="AB551" s="1390"/>
      <c r="AC551" s="1390"/>
      <c r="AD551" s="1390"/>
      <c r="AE551" s="1390"/>
      <c r="AF551" s="1390"/>
      <c r="AG551" s="1390"/>
      <c r="AH551" s="1390"/>
      <c r="AI551" s="1390"/>
      <c r="AJ551" s="1390"/>
      <c r="AK551" s="1390"/>
    </row>
    <row r="552" spans="3:37" ht="17.25" customHeight="1" x14ac:dyDescent="0.35">
      <c r="C552" s="1390"/>
      <c r="D552" s="1390"/>
      <c r="E552" s="1390"/>
      <c r="F552" s="1390"/>
      <c r="G552" s="1390"/>
      <c r="H552" s="1390"/>
      <c r="I552" s="1390"/>
      <c r="J552" s="1390"/>
      <c r="K552" s="1390"/>
      <c r="L552" s="1390"/>
      <c r="M552" s="1390"/>
      <c r="N552" s="1390"/>
      <c r="O552" s="1390"/>
      <c r="P552" s="1390"/>
      <c r="Q552" s="1390"/>
      <c r="R552" s="1390"/>
      <c r="S552" s="1390"/>
      <c r="T552" s="1390"/>
      <c r="U552" s="1390"/>
      <c r="V552" s="1390"/>
      <c r="W552" s="1390"/>
      <c r="X552" s="1390"/>
      <c r="Y552" s="1390"/>
      <c r="Z552" s="1390"/>
      <c r="AA552" s="1390"/>
      <c r="AB552" s="1390"/>
      <c r="AC552" s="1390"/>
      <c r="AD552" s="1390"/>
      <c r="AE552" s="1390"/>
      <c r="AF552" s="1390"/>
      <c r="AG552" s="1390"/>
      <c r="AH552" s="1390"/>
      <c r="AI552" s="1390"/>
      <c r="AJ552" s="1390"/>
      <c r="AK552" s="1390"/>
    </row>
    <row r="553" spans="3:37" ht="17.25" customHeight="1" x14ac:dyDescent="0.35">
      <c r="C553" s="1390"/>
      <c r="D553" s="1390"/>
      <c r="E553" s="1390"/>
      <c r="F553" s="1390"/>
      <c r="G553" s="1390"/>
      <c r="H553" s="1390"/>
      <c r="I553" s="1390"/>
      <c r="J553" s="1390"/>
      <c r="K553" s="1390"/>
      <c r="L553" s="1390"/>
      <c r="M553" s="1390"/>
      <c r="N553" s="1390"/>
      <c r="O553" s="1390"/>
      <c r="P553" s="1390"/>
      <c r="Q553" s="1390"/>
      <c r="R553" s="1390"/>
      <c r="S553" s="1390"/>
      <c r="T553" s="1390"/>
      <c r="U553" s="1390"/>
      <c r="V553" s="1390"/>
      <c r="W553" s="1390"/>
      <c r="X553" s="1390"/>
      <c r="Y553" s="1390"/>
      <c r="Z553" s="1390"/>
      <c r="AA553" s="1390"/>
      <c r="AB553" s="1390"/>
      <c r="AC553" s="1390"/>
      <c r="AD553" s="1390"/>
      <c r="AE553" s="1390"/>
      <c r="AF553" s="1390"/>
      <c r="AG553" s="1390"/>
      <c r="AH553" s="1390"/>
      <c r="AI553" s="1390"/>
      <c r="AJ553" s="1390"/>
      <c r="AK553" s="1390"/>
    </row>
    <row r="554" spans="3:37" ht="17.25" customHeight="1" x14ac:dyDescent="0.35">
      <c r="C554" s="1390"/>
      <c r="D554" s="1390"/>
      <c r="E554" s="1390"/>
      <c r="F554" s="1390"/>
      <c r="G554" s="1390"/>
      <c r="H554" s="1390"/>
      <c r="I554" s="1390"/>
      <c r="J554" s="1390"/>
      <c r="K554" s="1390"/>
      <c r="L554" s="1390"/>
      <c r="M554" s="1390"/>
      <c r="N554" s="1390"/>
      <c r="O554" s="1390"/>
      <c r="P554" s="1390"/>
      <c r="Q554" s="1390"/>
      <c r="R554" s="1390"/>
      <c r="S554" s="1390"/>
      <c r="T554" s="1390"/>
      <c r="U554" s="1390"/>
      <c r="V554" s="1390"/>
      <c r="W554" s="1390"/>
      <c r="X554" s="1390"/>
      <c r="Y554" s="1390"/>
      <c r="Z554" s="1390"/>
      <c r="AA554" s="1390"/>
      <c r="AB554" s="1390"/>
      <c r="AC554" s="1390"/>
      <c r="AD554" s="1390"/>
      <c r="AE554" s="1390"/>
      <c r="AF554" s="1390"/>
      <c r="AG554" s="1390"/>
      <c r="AH554" s="1390"/>
      <c r="AI554" s="1390"/>
      <c r="AJ554" s="1390"/>
      <c r="AK554" s="1390"/>
    </row>
    <row r="555" spans="3:37" ht="17.25" customHeight="1" x14ac:dyDescent="0.35">
      <c r="C555" s="1390"/>
      <c r="D555" s="1390"/>
      <c r="E555" s="1390"/>
      <c r="F555" s="1390"/>
      <c r="G555" s="1390"/>
      <c r="H555" s="1390"/>
      <c r="I555" s="1390"/>
      <c r="J555" s="1390"/>
      <c r="K555" s="1390"/>
      <c r="L555" s="1390"/>
      <c r="M555" s="1390"/>
      <c r="N555" s="1390"/>
      <c r="O555" s="1390"/>
      <c r="P555" s="1390"/>
      <c r="Q555" s="1390"/>
      <c r="R555" s="1390"/>
      <c r="S555" s="1390"/>
      <c r="T555" s="1390"/>
      <c r="U555" s="1390"/>
      <c r="V555" s="1390"/>
      <c r="W555" s="1390"/>
      <c r="X555" s="1390"/>
      <c r="Y555" s="1390"/>
      <c r="Z555" s="1390"/>
      <c r="AA555" s="1390"/>
      <c r="AB555" s="1390"/>
      <c r="AC555" s="1390"/>
      <c r="AD555" s="1390"/>
      <c r="AE555" s="1390"/>
      <c r="AF555" s="1390"/>
      <c r="AG555" s="1390"/>
      <c r="AH555" s="1390"/>
      <c r="AI555" s="1390"/>
      <c r="AJ555" s="1390"/>
      <c r="AK555" s="1390"/>
    </row>
    <row r="556" spans="3:37" ht="17.25" customHeight="1" x14ac:dyDescent="0.35">
      <c r="C556" s="1390"/>
      <c r="D556" s="1390"/>
      <c r="E556" s="1390"/>
      <c r="F556" s="1390"/>
      <c r="G556" s="1390"/>
      <c r="H556" s="1390"/>
      <c r="I556" s="1390"/>
      <c r="J556" s="1390"/>
      <c r="K556" s="1390"/>
      <c r="L556" s="1390"/>
      <c r="M556" s="1390"/>
      <c r="N556" s="1390"/>
      <c r="O556" s="1390"/>
      <c r="P556" s="1390"/>
      <c r="Q556" s="1390"/>
      <c r="R556" s="1390"/>
      <c r="S556" s="1390"/>
      <c r="T556" s="1390"/>
      <c r="U556" s="1390"/>
      <c r="V556" s="1390"/>
      <c r="W556" s="1390"/>
      <c r="X556" s="1390"/>
      <c r="Y556" s="1390"/>
      <c r="Z556" s="1390"/>
      <c r="AA556" s="1390"/>
      <c r="AB556" s="1390"/>
      <c r="AC556" s="1390"/>
      <c r="AD556" s="1390"/>
      <c r="AE556" s="1390"/>
      <c r="AF556" s="1390"/>
      <c r="AG556" s="1390"/>
      <c r="AH556" s="1390"/>
      <c r="AI556" s="1390"/>
      <c r="AJ556" s="1390"/>
      <c r="AK556" s="1390"/>
    </row>
    <row r="557" spans="3:37" ht="17.25" customHeight="1" x14ac:dyDescent="0.35">
      <c r="C557" s="1390"/>
      <c r="D557" s="1390"/>
      <c r="E557" s="1390"/>
      <c r="F557" s="1390"/>
      <c r="G557" s="1390"/>
      <c r="H557" s="1390"/>
      <c r="I557" s="1390"/>
      <c r="J557" s="1390"/>
      <c r="K557" s="1390"/>
      <c r="L557" s="1390"/>
      <c r="M557" s="1390"/>
      <c r="N557" s="1390"/>
      <c r="O557" s="1390"/>
      <c r="P557" s="1390"/>
      <c r="Q557" s="1390"/>
      <c r="R557" s="1390"/>
      <c r="S557" s="1390"/>
      <c r="T557" s="1390"/>
      <c r="U557" s="1390"/>
      <c r="V557" s="1390"/>
      <c r="W557" s="1390"/>
      <c r="X557" s="1390"/>
      <c r="Y557" s="1390"/>
      <c r="Z557" s="1390"/>
      <c r="AA557" s="1390"/>
      <c r="AB557" s="1390"/>
      <c r="AC557" s="1390"/>
      <c r="AD557" s="1390"/>
      <c r="AE557" s="1390"/>
      <c r="AF557" s="1390"/>
      <c r="AG557" s="1390"/>
      <c r="AH557" s="1390"/>
      <c r="AI557" s="1390"/>
      <c r="AJ557" s="1390"/>
      <c r="AK557" s="1390"/>
    </row>
    <row r="558" spans="3:37" ht="17.25" customHeight="1" x14ac:dyDescent="0.35">
      <c r="C558" s="1390"/>
      <c r="D558" s="1390"/>
      <c r="E558" s="1390"/>
      <c r="F558" s="1390"/>
      <c r="G558" s="1390"/>
      <c r="H558" s="1390"/>
      <c r="I558" s="1390"/>
      <c r="J558" s="1390"/>
      <c r="K558" s="1390"/>
      <c r="L558" s="1390"/>
      <c r="M558" s="1390"/>
      <c r="N558" s="1390"/>
      <c r="O558" s="1390"/>
      <c r="P558" s="1390"/>
      <c r="Q558" s="1390"/>
      <c r="R558" s="1390"/>
      <c r="S558" s="1390"/>
      <c r="T558" s="1390"/>
      <c r="U558" s="1390"/>
      <c r="V558" s="1390"/>
      <c r="W558" s="1390"/>
      <c r="X558" s="1390"/>
      <c r="Y558" s="1390"/>
      <c r="Z558" s="1390"/>
      <c r="AA558" s="1390"/>
      <c r="AB558" s="1390"/>
      <c r="AC558" s="1390"/>
      <c r="AD558" s="1390"/>
      <c r="AE558" s="1390"/>
      <c r="AF558" s="1390"/>
      <c r="AG558" s="1390"/>
      <c r="AH558" s="1390"/>
      <c r="AI558" s="1390"/>
      <c r="AJ558" s="1390"/>
      <c r="AK558" s="1390"/>
    </row>
    <row r="559" spans="3:37" ht="17.25" customHeight="1" x14ac:dyDescent="0.35">
      <c r="C559" s="1390"/>
      <c r="D559" s="1390"/>
      <c r="E559" s="1390"/>
      <c r="F559" s="1390"/>
      <c r="G559" s="1390"/>
      <c r="H559" s="1390"/>
      <c r="I559" s="1390"/>
      <c r="J559" s="1390"/>
      <c r="K559" s="1390"/>
      <c r="L559" s="1390"/>
      <c r="M559" s="1390"/>
      <c r="N559" s="1390"/>
      <c r="O559" s="1390"/>
      <c r="P559" s="1390"/>
      <c r="Q559" s="1390"/>
      <c r="R559" s="1390"/>
      <c r="S559" s="1390"/>
      <c r="T559" s="1390"/>
      <c r="U559" s="1390"/>
      <c r="V559" s="1390"/>
      <c r="W559" s="1390"/>
      <c r="X559" s="1390"/>
      <c r="Y559" s="1390"/>
      <c r="Z559" s="1390"/>
      <c r="AA559" s="1390"/>
      <c r="AB559" s="1390"/>
      <c r="AC559" s="1390"/>
      <c r="AD559" s="1390"/>
      <c r="AE559" s="1390"/>
      <c r="AF559" s="1390"/>
      <c r="AG559" s="1390"/>
      <c r="AH559" s="1390"/>
      <c r="AI559" s="1390"/>
      <c r="AJ559" s="1390"/>
      <c r="AK559" s="1390"/>
    </row>
    <row r="560" spans="3:37" ht="17.25" customHeight="1" x14ac:dyDescent="0.35">
      <c r="C560" s="1390"/>
      <c r="D560" s="1390"/>
      <c r="E560" s="1390"/>
      <c r="F560" s="1390"/>
      <c r="G560" s="1390"/>
      <c r="H560" s="1390"/>
      <c r="I560" s="1390"/>
      <c r="J560" s="1390"/>
      <c r="K560" s="1390"/>
      <c r="L560" s="1390"/>
      <c r="M560" s="1390"/>
      <c r="N560" s="1390"/>
      <c r="O560" s="1390"/>
      <c r="P560" s="1390"/>
      <c r="Q560" s="1390"/>
      <c r="R560" s="1390"/>
      <c r="S560" s="1390"/>
      <c r="T560" s="1390"/>
      <c r="U560" s="1390"/>
      <c r="V560" s="1390"/>
      <c r="W560" s="1390"/>
      <c r="X560" s="1390"/>
      <c r="Y560" s="1390"/>
      <c r="Z560" s="1390"/>
      <c r="AA560" s="1390"/>
      <c r="AB560" s="1390"/>
      <c r="AC560" s="1390"/>
      <c r="AD560" s="1390"/>
      <c r="AE560" s="1390"/>
      <c r="AF560" s="1390"/>
      <c r="AG560" s="1390"/>
      <c r="AH560" s="1390"/>
      <c r="AI560" s="1390"/>
      <c r="AJ560" s="1390"/>
      <c r="AK560" s="1390"/>
    </row>
    <row r="561" spans="3:37" ht="17.25" customHeight="1" x14ac:dyDescent="0.35">
      <c r="C561" s="1390"/>
      <c r="D561" s="1390"/>
      <c r="E561" s="1390"/>
      <c r="F561" s="1390"/>
      <c r="G561" s="1390"/>
      <c r="H561" s="1390"/>
      <c r="I561" s="1390"/>
      <c r="J561" s="1390"/>
      <c r="K561" s="1390"/>
      <c r="L561" s="1390"/>
      <c r="M561" s="1390"/>
      <c r="N561" s="1390"/>
      <c r="O561" s="1390"/>
      <c r="P561" s="1390"/>
      <c r="Q561" s="1390"/>
      <c r="R561" s="1390"/>
      <c r="S561" s="1390"/>
      <c r="T561" s="1390"/>
      <c r="U561" s="1390"/>
      <c r="V561" s="1390"/>
      <c r="W561" s="1390"/>
      <c r="X561" s="1390"/>
      <c r="Y561" s="1390"/>
      <c r="Z561" s="1390"/>
      <c r="AA561" s="1390"/>
      <c r="AB561" s="1390"/>
      <c r="AC561" s="1390"/>
      <c r="AD561" s="1390"/>
      <c r="AE561" s="1390"/>
      <c r="AF561" s="1390"/>
      <c r="AG561" s="1390"/>
      <c r="AH561" s="1390"/>
      <c r="AI561" s="1390"/>
      <c r="AJ561" s="1390"/>
      <c r="AK561" s="1390"/>
    </row>
    <row r="562" spans="3:37" ht="17.25" customHeight="1" x14ac:dyDescent="0.35">
      <c r="C562" s="1390"/>
      <c r="D562" s="1390"/>
      <c r="E562" s="1390"/>
      <c r="F562" s="1390"/>
      <c r="G562" s="1390"/>
      <c r="H562" s="1390"/>
      <c r="I562" s="1390"/>
      <c r="J562" s="1390"/>
      <c r="K562" s="1390"/>
      <c r="L562" s="1390"/>
      <c r="M562" s="1390"/>
      <c r="N562" s="1390"/>
      <c r="O562" s="1390"/>
      <c r="P562" s="1390"/>
      <c r="Q562" s="1390"/>
      <c r="R562" s="1390"/>
      <c r="S562" s="1390"/>
      <c r="T562" s="1390"/>
      <c r="U562" s="1390"/>
      <c r="V562" s="1390"/>
      <c r="W562" s="1390"/>
      <c r="X562" s="1390"/>
      <c r="Y562" s="1390"/>
      <c r="Z562" s="1390"/>
      <c r="AA562" s="1390"/>
      <c r="AB562" s="1390"/>
      <c r="AC562" s="1390"/>
      <c r="AD562" s="1390"/>
      <c r="AE562" s="1390"/>
      <c r="AF562" s="1390"/>
      <c r="AG562" s="1390"/>
      <c r="AH562" s="1390"/>
      <c r="AI562" s="1390"/>
      <c r="AJ562" s="1390"/>
      <c r="AK562" s="1390"/>
    </row>
    <row r="563" spans="3:37" ht="17.25" customHeight="1" x14ac:dyDescent="0.35">
      <c r="C563" s="1390"/>
      <c r="D563" s="1390"/>
      <c r="E563" s="1390"/>
      <c r="F563" s="1390"/>
      <c r="G563" s="1390"/>
      <c r="H563" s="1390"/>
      <c r="I563" s="1390"/>
      <c r="J563" s="1390"/>
      <c r="K563" s="1390"/>
      <c r="L563" s="1390"/>
      <c r="M563" s="1390"/>
      <c r="N563" s="1390"/>
      <c r="O563" s="1390"/>
      <c r="P563" s="1390"/>
      <c r="Q563" s="1390"/>
      <c r="R563" s="1390"/>
      <c r="S563" s="1390"/>
      <c r="T563" s="1390"/>
      <c r="U563" s="1390"/>
      <c r="V563" s="1390"/>
      <c r="W563" s="1390"/>
      <c r="X563" s="1390"/>
      <c r="Y563" s="1390"/>
      <c r="Z563" s="1390"/>
      <c r="AA563" s="1390"/>
      <c r="AB563" s="1390"/>
      <c r="AC563" s="1390"/>
      <c r="AD563" s="1390"/>
      <c r="AE563" s="1390"/>
      <c r="AF563" s="1390"/>
      <c r="AG563" s="1390"/>
      <c r="AH563" s="1390"/>
      <c r="AI563" s="1390"/>
      <c r="AJ563" s="1390"/>
      <c r="AK563" s="1390"/>
    </row>
    <row r="564" spans="3:37" ht="17.25" customHeight="1" x14ac:dyDescent="0.35">
      <c r="C564" s="1390"/>
      <c r="D564" s="1390"/>
      <c r="E564" s="1390"/>
      <c r="F564" s="1390"/>
      <c r="G564" s="1390"/>
      <c r="H564" s="1390"/>
      <c r="I564" s="1390"/>
      <c r="J564" s="1390"/>
      <c r="K564" s="1390"/>
      <c r="L564" s="1390"/>
      <c r="M564" s="1390"/>
      <c r="N564" s="1390"/>
      <c r="O564" s="1390"/>
      <c r="P564" s="1390"/>
      <c r="Q564" s="1390"/>
      <c r="R564" s="1390"/>
      <c r="S564" s="1390"/>
      <c r="T564" s="1390"/>
      <c r="U564" s="1390"/>
      <c r="V564" s="1390"/>
      <c r="W564" s="1390"/>
      <c r="X564" s="1390"/>
      <c r="Y564" s="1390"/>
      <c r="Z564" s="1390"/>
      <c r="AA564" s="1390"/>
      <c r="AB564" s="1390"/>
      <c r="AC564" s="1390"/>
      <c r="AD564" s="1390"/>
      <c r="AE564" s="1390"/>
      <c r="AF564" s="1390"/>
      <c r="AG564" s="1390"/>
      <c r="AH564" s="1390"/>
      <c r="AI564" s="1390"/>
      <c r="AJ564" s="1390"/>
      <c r="AK564" s="1390"/>
    </row>
    <row r="565" spans="3:37" ht="17.25" customHeight="1" x14ac:dyDescent="0.35">
      <c r="C565" s="1390"/>
      <c r="D565" s="1390"/>
      <c r="E565" s="1390"/>
      <c r="F565" s="1390"/>
      <c r="G565" s="1390"/>
      <c r="H565" s="1390"/>
      <c r="I565" s="1390"/>
      <c r="J565" s="1390"/>
      <c r="K565" s="1390"/>
      <c r="L565" s="1390"/>
      <c r="M565" s="1390"/>
      <c r="N565" s="1390"/>
      <c r="O565" s="1390"/>
      <c r="P565" s="1390"/>
      <c r="Q565" s="1390"/>
      <c r="R565" s="1390"/>
      <c r="S565" s="1390"/>
      <c r="T565" s="1390"/>
      <c r="U565" s="1390"/>
      <c r="V565" s="1390"/>
      <c r="W565" s="1390"/>
      <c r="X565" s="1390"/>
      <c r="Y565" s="1390"/>
      <c r="Z565" s="1390"/>
      <c r="AA565" s="1390"/>
      <c r="AB565" s="1390"/>
      <c r="AC565" s="1390"/>
      <c r="AD565" s="1390"/>
      <c r="AE565" s="1390"/>
      <c r="AF565" s="1390"/>
      <c r="AG565" s="1390"/>
      <c r="AH565" s="1390"/>
      <c r="AI565" s="1390"/>
      <c r="AJ565" s="1390"/>
      <c r="AK565" s="1390"/>
    </row>
    <row r="566" spans="3:37" ht="17.25" customHeight="1" x14ac:dyDescent="0.35">
      <c r="C566" s="1390"/>
      <c r="D566" s="1390"/>
      <c r="E566" s="1390"/>
      <c r="F566" s="1390"/>
      <c r="G566" s="1390"/>
      <c r="H566" s="1390"/>
      <c r="I566" s="1390"/>
      <c r="J566" s="1390"/>
      <c r="K566" s="1390"/>
      <c r="L566" s="1390"/>
      <c r="M566" s="1390"/>
      <c r="N566" s="1390"/>
      <c r="O566" s="1390"/>
      <c r="P566" s="1390"/>
      <c r="Q566" s="1390"/>
      <c r="R566" s="1390"/>
      <c r="S566" s="1390"/>
      <c r="T566" s="1390"/>
      <c r="U566" s="1390"/>
      <c r="V566" s="1390"/>
      <c r="W566" s="1390"/>
      <c r="X566" s="1390"/>
      <c r="Y566" s="1390"/>
      <c r="Z566" s="1390"/>
      <c r="AA566" s="1390"/>
      <c r="AB566" s="1390"/>
      <c r="AC566" s="1390"/>
      <c r="AD566" s="1390"/>
      <c r="AE566" s="1390"/>
      <c r="AF566" s="1390"/>
      <c r="AG566" s="1390"/>
      <c r="AH566" s="1390"/>
      <c r="AI566" s="1390"/>
      <c r="AJ566" s="1390"/>
      <c r="AK566" s="1390"/>
    </row>
    <row r="567" spans="3:37" ht="17.25" customHeight="1" x14ac:dyDescent="0.35">
      <c r="C567" s="1390"/>
      <c r="D567" s="1390"/>
      <c r="E567" s="1390"/>
      <c r="F567" s="1390"/>
      <c r="G567" s="1390"/>
      <c r="H567" s="1390"/>
      <c r="I567" s="1390"/>
      <c r="J567" s="1390"/>
      <c r="K567" s="1390"/>
      <c r="L567" s="1390"/>
      <c r="M567" s="1390"/>
      <c r="N567" s="1390"/>
      <c r="O567" s="1390"/>
      <c r="P567" s="1390"/>
      <c r="Q567" s="1390"/>
      <c r="R567" s="1390"/>
      <c r="S567" s="1390"/>
      <c r="T567" s="1390"/>
      <c r="U567" s="1390"/>
      <c r="V567" s="1390"/>
      <c r="W567" s="1390"/>
      <c r="X567" s="1390"/>
      <c r="Y567" s="1390"/>
      <c r="Z567" s="1390"/>
      <c r="AA567" s="1390"/>
      <c r="AB567" s="1390"/>
      <c r="AC567" s="1390"/>
      <c r="AD567" s="1390"/>
      <c r="AE567" s="1390"/>
      <c r="AF567" s="1390"/>
      <c r="AG567" s="1390"/>
      <c r="AH567" s="1390"/>
      <c r="AI567" s="1390"/>
      <c r="AJ567" s="1390"/>
      <c r="AK567" s="1390"/>
    </row>
    <row r="568" spans="3:37" ht="17.25" customHeight="1" x14ac:dyDescent="0.35">
      <c r="C568" s="1390"/>
      <c r="D568" s="1390"/>
      <c r="E568" s="1390"/>
      <c r="F568" s="1390"/>
      <c r="G568" s="1390"/>
      <c r="H568" s="1390"/>
      <c r="I568" s="1390"/>
      <c r="J568" s="1390"/>
      <c r="K568" s="1390"/>
      <c r="L568" s="1390"/>
      <c r="M568" s="1390"/>
      <c r="N568" s="1390"/>
      <c r="O568" s="1390"/>
      <c r="P568" s="1390"/>
      <c r="Q568" s="1390"/>
      <c r="R568" s="1390"/>
      <c r="S568" s="1390"/>
      <c r="T568" s="1390"/>
      <c r="U568" s="1390"/>
      <c r="V568" s="1390"/>
      <c r="W568" s="1390"/>
      <c r="X568" s="1390"/>
      <c r="Y568" s="1390"/>
      <c r="Z568" s="1390"/>
      <c r="AA568" s="1390"/>
      <c r="AB568" s="1390"/>
      <c r="AC568" s="1390"/>
      <c r="AD568" s="1390"/>
      <c r="AE568" s="1390"/>
      <c r="AF568" s="1390"/>
      <c r="AG568" s="1390"/>
      <c r="AH568" s="1390"/>
      <c r="AI568" s="1390"/>
      <c r="AJ568" s="1390"/>
      <c r="AK568" s="1390"/>
    </row>
    <row r="569" spans="3:37" ht="17.25" customHeight="1" x14ac:dyDescent="0.35">
      <c r="C569" s="1390"/>
      <c r="D569" s="1390"/>
      <c r="E569" s="1390"/>
      <c r="F569" s="1390"/>
      <c r="G569" s="1390"/>
      <c r="H569" s="1390"/>
      <c r="I569" s="1390"/>
      <c r="J569" s="1390"/>
      <c r="K569" s="1390"/>
      <c r="L569" s="1390"/>
      <c r="M569" s="1390"/>
      <c r="N569" s="1390"/>
      <c r="O569" s="1390"/>
      <c r="P569" s="1390"/>
      <c r="Q569" s="1390"/>
      <c r="R569" s="1390"/>
      <c r="S569" s="1390"/>
      <c r="T569" s="1390"/>
      <c r="U569" s="1390"/>
      <c r="V569" s="1390"/>
      <c r="W569" s="1390"/>
      <c r="X569" s="1390"/>
      <c r="Y569" s="1390"/>
      <c r="Z569" s="1390"/>
      <c r="AA569" s="1390"/>
      <c r="AB569" s="1390"/>
      <c r="AC569" s="1390"/>
      <c r="AD569" s="1390"/>
      <c r="AE569" s="1390"/>
      <c r="AF569" s="1390"/>
      <c r="AG569" s="1390"/>
      <c r="AH569" s="1390"/>
      <c r="AI569" s="1390"/>
      <c r="AJ569" s="1390"/>
      <c r="AK569" s="1390"/>
    </row>
    <row r="570" spans="3:37" ht="17.25" customHeight="1" x14ac:dyDescent="0.35">
      <c r="C570" s="1390"/>
      <c r="D570" s="1390"/>
      <c r="E570" s="1390"/>
      <c r="F570" s="1390"/>
      <c r="G570" s="1390"/>
      <c r="H570" s="1390"/>
      <c r="I570" s="1390"/>
      <c r="J570" s="1390"/>
      <c r="K570" s="1390"/>
      <c r="L570" s="1390"/>
      <c r="M570" s="1390"/>
      <c r="N570" s="1390"/>
      <c r="O570" s="1390"/>
      <c r="P570" s="1390"/>
      <c r="Q570" s="1390"/>
      <c r="R570" s="1390"/>
      <c r="S570" s="1390"/>
      <c r="T570" s="1390"/>
      <c r="U570" s="1390"/>
      <c r="V570" s="1390"/>
      <c r="W570" s="1390"/>
      <c r="X570" s="1390"/>
      <c r="Y570" s="1390"/>
      <c r="Z570" s="1390"/>
      <c r="AA570" s="1390"/>
      <c r="AB570" s="1390"/>
      <c r="AC570" s="1390"/>
      <c r="AD570" s="1390"/>
      <c r="AE570" s="1390"/>
      <c r="AF570" s="1390"/>
      <c r="AG570" s="1390"/>
      <c r="AH570" s="1390"/>
      <c r="AI570" s="1390"/>
      <c r="AJ570" s="1390"/>
      <c r="AK570" s="1390"/>
    </row>
    <row r="571" spans="3:37" ht="17.25" customHeight="1" x14ac:dyDescent="0.35">
      <c r="C571" s="1390"/>
      <c r="D571" s="1390"/>
      <c r="E571" s="1390"/>
      <c r="F571" s="1390"/>
      <c r="G571" s="1390"/>
      <c r="H571" s="1390"/>
      <c r="I571" s="1390"/>
      <c r="J571" s="1390"/>
      <c r="K571" s="1390"/>
      <c r="L571" s="1390"/>
      <c r="M571" s="1390"/>
      <c r="N571" s="1390"/>
      <c r="O571" s="1390"/>
      <c r="P571" s="1390"/>
      <c r="Q571" s="1390"/>
      <c r="R571" s="1390"/>
      <c r="S571" s="1390"/>
      <c r="T571" s="1390"/>
      <c r="U571" s="1390"/>
      <c r="V571" s="1390"/>
      <c r="W571" s="1390"/>
      <c r="X571" s="1390"/>
      <c r="Y571" s="1390"/>
      <c r="Z571" s="1390"/>
      <c r="AA571" s="1390"/>
      <c r="AB571" s="1390"/>
      <c r="AC571" s="1390"/>
      <c r="AD571" s="1390"/>
      <c r="AE571" s="1390"/>
      <c r="AF571" s="1390"/>
      <c r="AG571" s="1390"/>
      <c r="AH571" s="1390"/>
      <c r="AI571" s="1390"/>
      <c r="AJ571" s="1390"/>
      <c r="AK571" s="1390"/>
    </row>
    <row r="572" spans="3:37" ht="17.25" customHeight="1" x14ac:dyDescent="0.35">
      <c r="C572" s="1390"/>
      <c r="D572" s="1390"/>
      <c r="E572" s="1390"/>
      <c r="F572" s="1390"/>
      <c r="G572" s="1390"/>
      <c r="H572" s="1390"/>
      <c r="I572" s="1390"/>
      <c r="J572" s="1390"/>
      <c r="K572" s="1390"/>
      <c r="L572" s="1390"/>
      <c r="M572" s="1390"/>
      <c r="N572" s="1390"/>
      <c r="O572" s="1390"/>
      <c r="P572" s="1390"/>
      <c r="Q572" s="1390"/>
      <c r="R572" s="1390"/>
      <c r="S572" s="1390"/>
      <c r="T572" s="1390"/>
      <c r="U572" s="1390"/>
      <c r="V572" s="1390"/>
      <c r="W572" s="1390"/>
      <c r="X572" s="1390"/>
      <c r="Y572" s="1390"/>
      <c r="Z572" s="1390"/>
      <c r="AA572" s="1390"/>
      <c r="AB572" s="1390"/>
      <c r="AC572" s="1390"/>
      <c r="AD572" s="1390"/>
      <c r="AE572" s="1390"/>
      <c r="AF572" s="1390"/>
      <c r="AG572" s="1390"/>
      <c r="AH572" s="1390"/>
      <c r="AI572" s="1390"/>
      <c r="AJ572" s="1390"/>
      <c r="AK572" s="1390"/>
    </row>
    <row r="573" spans="3:37" ht="17.25" customHeight="1" x14ac:dyDescent="0.35">
      <c r="C573" s="1390"/>
      <c r="D573" s="1390"/>
      <c r="E573" s="1390"/>
      <c r="F573" s="1390"/>
      <c r="G573" s="1390"/>
      <c r="H573" s="1390"/>
      <c r="I573" s="1390"/>
      <c r="J573" s="1390"/>
      <c r="K573" s="1390"/>
      <c r="L573" s="1390"/>
      <c r="M573" s="1390"/>
      <c r="N573" s="1390"/>
      <c r="O573" s="1390"/>
      <c r="P573" s="1390"/>
      <c r="Q573" s="1390"/>
      <c r="R573" s="1390"/>
      <c r="S573" s="1390"/>
      <c r="T573" s="1390"/>
      <c r="U573" s="1390"/>
      <c r="V573" s="1390"/>
      <c r="W573" s="1390"/>
      <c r="X573" s="1390"/>
      <c r="Y573" s="1390"/>
      <c r="Z573" s="1390"/>
      <c r="AA573" s="1390"/>
      <c r="AB573" s="1390"/>
      <c r="AC573" s="1390"/>
      <c r="AD573" s="1390"/>
      <c r="AE573" s="1390"/>
      <c r="AF573" s="1390"/>
      <c r="AG573" s="1390"/>
      <c r="AH573" s="1390"/>
      <c r="AI573" s="1390"/>
      <c r="AJ573" s="1390"/>
      <c r="AK573" s="1390"/>
    </row>
    <row r="574" spans="3:37" ht="17.25" customHeight="1" x14ac:dyDescent="0.35">
      <c r="C574" s="1390"/>
      <c r="D574" s="1390"/>
      <c r="E574" s="1390"/>
      <c r="F574" s="1390"/>
      <c r="G574" s="1390"/>
      <c r="H574" s="1390"/>
      <c r="I574" s="1390"/>
      <c r="J574" s="1390"/>
      <c r="K574" s="1390"/>
      <c r="L574" s="1390"/>
      <c r="M574" s="1390"/>
      <c r="N574" s="1390"/>
      <c r="O574" s="1390"/>
      <c r="P574" s="1390"/>
      <c r="Q574" s="1390"/>
      <c r="R574" s="1390"/>
      <c r="S574" s="1390"/>
      <c r="T574" s="1390"/>
      <c r="U574" s="1390"/>
      <c r="V574" s="1390"/>
      <c r="W574" s="1390"/>
      <c r="X574" s="1390"/>
      <c r="Y574" s="1390"/>
      <c r="Z574" s="1390"/>
      <c r="AA574" s="1390"/>
      <c r="AB574" s="1390"/>
      <c r="AC574" s="1390"/>
      <c r="AD574" s="1390"/>
      <c r="AE574" s="1390"/>
      <c r="AF574" s="1390"/>
      <c r="AG574" s="1390"/>
      <c r="AH574" s="1390"/>
      <c r="AI574" s="1390"/>
      <c r="AJ574" s="1390"/>
      <c r="AK574" s="1390"/>
    </row>
    <row r="575" spans="3:37" ht="17.25" customHeight="1" x14ac:dyDescent="0.35">
      <c r="C575" s="1390"/>
      <c r="D575" s="1390"/>
      <c r="E575" s="1390"/>
      <c r="F575" s="1390"/>
      <c r="G575" s="1390"/>
      <c r="H575" s="1390"/>
      <c r="I575" s="1390"/>
      <c r="J575" s="1390"/>
      <c r="K575" s="1390"/>
      <c r="L575" s="1390"/>
      <c r="M575" s="1390"/>
      <c r="N575" s="1390"/>
      <c r="O575" s="1390"/>
      <c r="P575" s="1390"/>
      <c r="Q575" s="1390"/>
      <c r="R575" s="1390"/>
      <c r="S575" s="1390"/>
      <c r="T575" s="1390"/>
      <c r="U575" s="1390"/>
      <c r="V575" s="1390"/>
      <c r="W575" s="1390"/>
      <c r="X575" s="1390"/>
      <c r="Y575" s="1390"/>
      <c r="Z575" s="1390"/>
      <c r="AA575" s="1390"/>
      <c r="AB575" s="1390"/>
      <c r="AC575" s="1390"/>
      <c r="AD575" s="1390"/>
      <c r="AE575" s="1390"/>
      <c r="AF575" s="1390"/>
      <c r="AG575" s="1390"/>
      <c r="AH575" s="1390"/>
      <c r="AI575" s="1390"/>
      <c r="AJ575" s="1390"/>
      <c r="AK575" s="1390"/>
    </row>
    <row r="576" spans="3:37" ht="17.25" customHeight="1" x14ac:dyDescent="0.35">
      <c r="C576" s="1390"/>
      <c r="D576" s="1390"/>
      <c r="E576" s="1390"/>
      <c r="F576" s="1390"/>
      <c r="G576" s="1390"/>
      <c r="H576" s="1390"/>
      <c r="I576" s="1390"/>
      <c r="J576" s="1390"/>
      <c r="K576" s="1390"/>
      <c r="L576" s="1390"/>
      <c r="M576" s="1390"/>
      <c r="N576" s="1390"/>
      <c r="O576" s="1390"/>
      <c r="P576" s="1390"/>
      <c r="Q576" s="1390"/>
      <c r="R576" s="1390"/>
      <c r="S576" s="1390"/>
      <c r="T576" s="1390"/>
      <c r="U576" s="1390"/>
      <c r="V576" s="1390"/>
      <c r="W576" s="1390"/>
      <c r="X576" s="1390"/>
      <c r="Y576" s="1390"/>
      <c r="Z576" s="1390"/>
      <c r="AA576" s="1390"/>
      <c r="AB576" s="1390"/>
      <c r="AC576" s="1390"/>
      <c r="AD576" s="1390"/>
      <c r="AE576" s="1390"/>
      <c r="AF576" s="1390"/>
      <c r="AG576" s="1390"/>
      <c r="AH576" s="1390"/>
      <c r="AI576" s="1390"/>
      <c r="AJ576" s="1390"/>
      <c r="AK576" s="1390"/>
    </row>
    <row r="577" spans="3:37" ht="17.25" customHeight="1" x14ac:dyDescent="0.35">
      <c r="C577" s="1390"/>
      <c r="D577" s="1390"/>
      <c r="E577" s="1390"/>
      <c r="F577" s="1390"/>
      <c r="G577" s="1390"/>
      <c r="H577" s="1390"/>
      <c r="I577" s="1390"/>
      <c r="J577" s="1390"/>
      <c r="K577" s="1390"/>
      <c r="L577" s="1390"/>
      <c r="M577" s="1390"/>
      <c r="N577" s="1390"/>
      <c r="O577" s="1390"/>
      <c r="P577" s="1390"/>
      <c r="Q577" s="1390"/>
      <c r="R577" s="1390"/>
      <c r="S577" s="1390"/>
      <c r="T577" s="1390"/>
      <c r="U577" s="1390"/>
      <c r="V577" s="1390"/>
      <c r="W577" s="1390"/>
      <c r="X577" s="1390"/>
      <c r="Y577" s="1390"/>
      <c r="Z577" s="1390"/>
      <c r="AA577" s="1390"/>
      <c r="AB577" s="1390"/>
      <c r="AC577" s="1390"/>
      <c r="AD577" s="1390"/>
      <c r="AE577" s="1390"/>
      <c r="AF577" s="1390"/>
      <c r="AG577" s="1390"/>
      <c r="AH577" s="1390"/>
      <c r="AI577" s="1390"/>
      <c r="AJ577" s="1390"/>
      <c r="AK577" s="1390"/>
    </row>
    <row r="578" spans="3:37" ht="17.25" customHeight="1" x14ac:dyDescent="0.35">
      <c r="C578" s="1390"/>
      <c r="D578" s="1390"/>
      <c r="E578" s="1390"/>
      <c r="F578" s="1390"/>
      <c r="G578" s="1390"/>
      <c r="H578" s="1390"/>
      <c r="I578" s="1390"/>
      <c r="J578" s="1390"/>
      <c r="K578" s="1390"/>
      <c r="L578" s="1390"/>
      <c r="M578" s="1390"/>
      <c r="N578" s="1390"/>
      <c r="O578" s="1390"/>
      <c r="P578" s="1390"/>
      <c r="Q578" s="1390"/>
      <c r="R578" s="1390"/>
      <c r="S578" s="1390"/>
      <c r="T578" s="1390"/>
      <c r="U578" s="1390"/>
      <c r="V578" s="1390"/>
      <c r="W578" s="1390"/>
      <c r="X578" s="1390"/>
      <c r="Y578" s="1390"/>
      <c r="Z578" s="1390"/>
      <c r="AA578" s="1390"/>
      <c r="AB578" s="1390"/>
      <c r="AC578" s="1390"/>
      <c r="AD578" s="1390"/>
      <c r="AE578" s="1390"/>
      <c r="AF578" s="1390"/>
      <c r="AG578" s="1390"/>
      <c r="AH578" s="1390"/>
      <c r="AI578" s="1390"/>
      <c r="AJ578" s="1390"/>
      <c r="AK578" s="1390"/>
    </row>
    <row r="579" spans="3:37" ht="17.25" customHeight="1" x14ac:dyDescent="0.35">
      <c r="C579" s="1390"/>
      <c r="D579" s="1390"/>
      <c r="E579" s="1390"/>
      <c r="F579" s="1390"/>
      <c r="G579" s="1390"/>
      <c r="H579" s="1390"/>
      <c r="I579" s="1390"/>
      <c r="J579" s="1390"/>
      <c r="K579" s="1390"/>
      <c r="L579" s="1390"/>
      <c r="M579" s="1390"/>
      <c r="N579" s="1390"/>
      <c r="O579" s="1390"/>
      <c r="P579" s="1390"/>
      <c r="Q579" s="1390"/>
      <c r="R579" s="1390"/>
      <c r="S579" s="1390"/>
      <c r="T579" s="1390"/>
      <c r="U579" s="1390"/>
      <c r="V579" s="1390"/>
      <c r="W579" s="1390"/>
      <c r="X579" s="1390"/>
      <c r="Y579" s="1390"/>
      <c r="Z579" s="1390"/>
      <c r="AA579" s="1390"/>
      <c r="AB579" s="1390"/>
      <c r="AC579" s="1390"/>
      <c r="AD579" s="1390"/>
      <c r="AE579" s="1390"/>
      <c r="AF579" s="1390"/>
      <c r="AG579" s="1390"/>
      <c r="AH579" s="1390"/>
      <c r="AI579" s="1390"/>
      <c r="AJ579" s="1390"/>
      <c r="AK579" s="1390"/>
    </row>
    <row r="580" spans="3:37" ht="17.25" customHeight="1" x14ac:dyDescent="0.35">
      <c r="C580" s="1390"/>
      <c r="D580" s="1390"/>
      <c r="E580" s="1390"/>
      <c r="F580" s="1390"/>
      <c r="G580" s="1390"/>
      <c r="H580" s="1390"/>
      <c r="I580" s="1390"/>
      <c r="J580" s="1390"/>
      <c r="K580" s="1390"/>
      <c r="L580" s="1390"/>
      <c r="M580" s="1390"/>
      <c r="N580" s="1390"/>
      <c r="O580" s="1390"/>
      <c r="P580" s="1390"/>
      <c r="Q580" s="1390"/>
      <c r="R580" s="1390"/>
      <c r="S580" s="1390"/>
      <c r="T580" s="1390"/>
      <c r="U580" s="1390"/>
      <c r="V580" s="1390"/>
      <c r="W580" s="1390"/>
      <c r="X580" s="1390"/>
      <c r="Y580" s="1390"/>
      <c r="Z580" s="1390"/>
      <c r="AA580" s="1390"/>
      <c r="AB580" s="1390"/>
      <c r="AC580" s="1390"/>
      <c r="AD580" s="1390"/>
      <c r="AE580" s="1390"/>
      <c r="AF580" s="1390"/>
      <c r="AG580" s="1390"/>
      <c r="AH580" s="1390"/>
      <c r="AI580" s="1390"/>
      <c r="AJ580" s="1390"/>
      <c r="AK580" s="1390"/>
    </row>
    <row r="581" spans="3:37" ht="17.25" customHeight="1" x14ac:dyDescent="0.35">
      <c r="C581" s="1390"/>
      <c r="D581" s="1390"/>
      <c r="E581" s="1390"/>
      <c r="F581" s="1390"/>
      <c r="G581" s="1390"/>
      <c r="H581" s="1390"/>
      <c r="I581" s="1390"/>
      <c r="J581" s="1390"/>
      <c r="K581" s="1390"/>
      <c r="L581" s="1390"/>
      <c r="M581" s="1390"/>
      <c r="N581" s="1390"/>
      <c r="O581" s="1390"/>
      <c r="P581" s="1390"/>
      <c r="Q581" s="1390"/>
      <c r="R581" s="1390"/>
      <c r="S581" s="1390"/>
      <c r="T581" s="1390"/>
      <c r="U581" s="1390"/>
      <c r="V581" s="1390"/>
      <c r="W581" s="1390"/>
      <c r="X581" s="1390"/>
      <c r="Y581" s="1390"/>
      <c r="Z581" s="1390"/>
      <c r="AA581" s="1390"/>
      <c r="AB581" s="1390"/>
      <c r="AC581" s="1390"/>
      <c r="AD581" s="1390"/>
      <c r="AE581" s="1390"/>
      <c r="AF581" s="1390"/>
      <c r="AG581" s="1390"/>
      <c r="AH581" s="1390"/>
      <c r="AI581" s="1390"/>
      <c r="AJ581" s="1390"/>
      <c r="AK581" s="1390"/>
    </row>
    <row r="582" spans="3:37" ht="17.25" customHeight="1" x14ac:dyDescent="0.35">
      <c r="C582" s="1390"/>
      <c r="D582" s="1390"/>
      <c r="E582" s="1390"/>
      <c r="F582" s="1390"/>
      <c r="G582" s="1390"/>
      <c r="H582" s="1390"/>
      <c r="I582" s="1390"/>
      <c r="J582" s="1390"/>
      <c r="K582" s="1390"/>
      <c r="L582" s="1390"/>
      <c r="M582" s="1390"/>
      <c r="N582" s="1390"/>
      <c r="O582" s="1390"/>
      <c r="P582" s="1390"/>
      <c r="Q582" s="1390"/>
      <c r="R582" s="1390"/>
      <c r="S582" s="1390"/>
      <c r="T582" s="1390"/>
      <c r="U582" s="1390"/>
      <c r="V582" s="1390"/>
      <c r="W582" s="1390"/>
      <c r="X582" s="1390"/>
      <c r="Y582" s="1390"/>
      <c r="Z582" s="1390"/>
      <c r="AA582" s="1390"/>
      <c r="AB582" s="1390"/>
      <c r="AC582" s="1390"/>
      <c r="AD582" s="1390"/>
      <c r="AE582" s="1390"/>
      <c r="AF582" s="1390"/>
      <c r="AG582" s="1390"/>
      <c r="AH582" s="1390"/>
      <c r="AI582" s="1390"/>
      <c r="AJ582" s="1390"/>
      <c r="AK582" s="1390"/>
    </row>
    <row r="583" spans="3:37" ht="17.25" customHeight="1" x14ac:dyDescent="0.35">
      <c r="C583" s="1390"/>
      <c r="D583" s="1390"/>
      <c r="E583" s="1390"/>
      <c r="F583" s="1390"/>
      <c r="G583" s="1390"/>
      <c r="H583" s="1390"/>
      <c r="I583" s="1390"/>
      <c r="J583" s="1390"/>
      <c r="K583" s="1390"/>
      <c r="L583" s="1390"/>
      <c r="M583" s="1390"/>
      <c r="N583" s="1390"/>
      <c r="O583" s="1390"/>
      <c r="P583" s="1390"/>
      <c r="Q583" s="1390"/>
      <c r="R583" s="1390"/>
      <c r="S583" s="1390"/>
      <c r="T583" s="1390"/>
      <c r="U583" s="1390"/>
      <c r="V583" s="1390"/>
      <c r="W583" s="1390"/>
      <c r="X583" s="1390"/>
      <c r="Y583" s="1390"/>
      <c r="Z583" s="1390"/>
      <c r="AA583" s="1390"/>
      <c r="AB583" s="1390"/>
      <c r="AC583" s="1390"/>
      <c r="AD583" s="1390"/>
      <c r="AE583" s="1390"/>
      <c r="AF583" s="1390"/>
      <c r="AG583" s="1390"/>
      <c r="AH583" s="1390"/>
      <c r="AI583" s="1390"/>
      <c r="AJ583" s="1390"/>
      <c r="AK583" s="1390"/>
    </row>
    <row r="584" spans="3:37" ht="17.25" customHeight="1" x14ac:dyDescent="0.35">
      <c r="C584" s="1390"/>
      <c r="D584" s="1390"/>
      <c r="E584" s="1390"/>
      <c r="F584" s="1390"/>
      <c r="G584" s="1390"/>
      <c r="H584" s="1390"/>
      <c r="I584" s="1390"/>
      <c r="J584" s="1390"/>
      <c r="K584" s="1390"/>
      <c r="L584" s="1390"/>
      <c r="M584" s="1390"/>
      <c r="N584" s="1390"/>
      <c r="O584" s="1390"/>
      <c r="P584" s="1390"/>
      <c r="Q584" s="1390"/>
      <c r="R584" s="1390"/>
      <c r="S584" s="1390"/>
      <c r="T584" s="1390"/>
      <c r="U584" s="1390"/>
      <c r="V584" s="1390"/>
      <c r="W584" s="1390"/>
      <c r="X584" s="1390"/>
      <c r="Y584" s="1390"/>
      <c r="Z584" s="1390"/>
      <c r="AA584" s="1390"/>
      <c r="AB584" s="1390"/>
      <c r="AC584" s="1390"/>
      <c r="AD584" s="1390"/>
      <c r="AE584" s="1390"/>
      <c r="AF584" s="1390"/>
      <c r="AG584" s="1390"/>
      <c r="AH584" s="1390"/>
      <c r="AI584" s="1390"/>
      <c r="AJ584" s="1390"/>
      <c r="AK584" s="1390"/>
    </row>
    <row r="585" spans="3:37" ht="17.25" customHeight="1" x14ac:dyDescent="0.35">
      <c r="C585" s="1390"/>
      <c r="D585" s="1390"/>
      <c r="E585" s="1390"/>
      <c r="F585" s="1390"/>
      <c r="G585" s="1390"/>
      <c r="H585" s="1390"/>
      <c r="I585" s="1390"/>
      <c r="J585" s="1390"/>
      <c r="K585" s="1390"/>
      <c r="L585" s="1390"/>
      <c r="M585" s="1390"/>
      <c r="N585" s="1390"/>
      <c r="O585" s="1390"/>
      <c r="P585" s="1390"/>
      <c r="Q585" s="1390"/>
      <c r="R585" s="1390"/>
      <c r="S585" s="1390"/>
      <c r="T585" s="1390"/>
      <c r="U585" s="1390"/>
      <c r="V585" s="1390"/>
      <c r="W585" s="1390"/>
      <c r="X585" s="1390"/>
      <c r="Y585" s="1390"/>
      <c r="Z585" s="1390"/>
      <c r="AA585" s="1390"/>
      <c r="AB585" s="1390"/>
      <c r="AC585" s="1390"/>
      <c r="AD585" s="1390"/>
      <c r="AE585" s="1390"/>
      <c r="AF585" s="1390"/>
      <c r="AG585" s="1390"/>
      <c r="AH585" s="1390"/>
      <c r="AI585" s="1390"/>
      <c r="AJ585" s="1390"/>
      <c r="AK585" s="1390"/>
    </row>
    <row r="586" spans="3:37" ht="17.25" customHeight="1" x14ac:dyDescent="0.35">
      <c r="C586" s="1390"/>
      <c r="D586" s="1390"/>
      <c r="E586" s="1390"/>
      <c r="F586" s="1390"/>
      <c r="G586" s="1390"/>
      <c r="H586" s="1390"/>
      <c r="I586" s="1390"/>
      <c r="J586" s="1390"/>
      <c r="K586" s="1390"/>
      <c r="L586" s="1390"/>
      <c r="M586" s="1390"/>
      <c r="N586" s="1390"/>
      <c r="O586" s="1390"/>
      <c r="P586" s="1390"/>
      <c r="Q586" s="1390"/>
      <c r="R586" s="1390"/>
      <c r="S586" s="1390"/>
      <c r="T586" s="1390"/>
      <c r="U586" s="1390"/>
      <c r="V586" s="1390"/>
      <c r="W586" s="1390"/>
      <c r="X586" s="1390"/>
      <c r="Y586" s="1390"/>
      <c r="Z586" s="1390"/>
      <c r="AA586" s="1390"/>
      <c r="AB586" s="1390"/>
      <c r="AC586" s="1390"/>
      <c r="AD586" s="1390"/>
      <c r="AE586" s="1390"/>
      <c r="AF586" s="1390"/>
      <c r="AG586" s="1390"/>
      <c r="AH586" s="1390"/>
      <c r="AI586" s="1390"/>
      <c r="AJ586" s="1390"/>
      <c r="AK586" s="1390"/>
    </row>
    <row r="587" spans="3:37" ht="17.25" customHeight="1" x14ac:dyDescent="0.35">
      <c r="C587" s="1390"/>
      <c r="D587" s="1390"/>
      <c r="E587" s="1390"/>
      <c r="F587" s="1390"/>
      <c r="G587" s="1390"/>
      <c r="H587" s="1390"/>
      <c r="I587" s="1390"/>
      <c r="J587" s="1390"/>
      <c r="K587" s="1390"/>
      <c r="L587" s="1390"/>
      <c r="M587" s="1390"/>
      <c r="N587" s="1390"/>
      <c r="O587" s="1390"/>
      <c r="P587" s="1390"/>
      <c r="Q587" s="1390"/>
      <c r="R587" s="1390"/>
      <c r="S587" s="1390"/>
      <c r="T587" s="1390"/>
      <c r="U587" s="1390"/>
      <c r="V587" s="1390"/>
      <c r="W587" s="1390"/>
      <c r="X587" s="1390"/>
      <c r="Y587" s="1390"/>
      <c r="Z587" s="1390"/>
      <c r="AA587" s="1390"/>
      <c r="AB587" s="1390"/>
      <c r="AC587" s="1390"/>
      <c r="AD587" s="1390"/>
      <c r="AE587" s="1390"/>
      <c r="AF587" s="1390"/>
      <c r="AG587" s="1390"/>
      <c r="AH587" s="1390"/>
      <c r="AI587" s="1390"/>
      <c r="AJ587" s="1390"/>
      <c r="AK587" s="1390"/>
    </row>
    <row r="588" spans="3:37" ht="17.25" customHeight="1" x14ac:dyDescent="0.35">
      <c r="C588" s="1390"/>
      <c r="D588" s="1390"/>
      <c r="E588" s="1390"/>
      <c r="F588" s="1390"/>
      <c r="G588" s="1390"/>
      <c r="H588" s="1390"/>
      <c r="I588" s="1390"/>
      <c r="J588" s="1390"/>
      <c r="K588" s="1390"/>
      <c r="L588" s="1390"/>
      <c r="M588" s="1390"/>
      <c r="N588" s="1390"/>
      <c r="O588" s="1390"/>
      <c r="P588" s="1390"/>
      <c r="Q588" s="1390"/>
      <c r="R588" s="1390"/>
      <c r="S588" s="1390"/>
      <c r="T588" s="1390"/>
      <c r="U588" s="1390"/>
      <c r="V588" s="1390"/>
      <c r="W588" s="1390"/>
      <c r="X588" s="1390"/>
      <c r="Y588" s="1390"/>
      <c r="Z588" s="1390"/>
      <c r="AA588" s="1390"/>
      <c r="AB588" s="1390"/>
      <c r="AC588" s="1390"/>
      <c r="AD588" s="1390"/>
      <c r="AE588" s="1390"/>
      <c r="AF588" s="1390"/>
      <c r="AG588" s="1390"/>
      <c r="AH588" s="1390"/>
      <c r="AI588" s="1390"/>
      <c r="AJ588" s="1390"/>
      <c r="AK588" s="1390"/>
    </row>
    <row r="589" spans="3:37" ht="17.25" customHeight="1" x14ac:dyDescent="0.35">
      <c r="C589" s="1390"/>
      <c r="D589" s="1390"/>
      <c r="E589" s="1390"/>
      <c r="F589" s="1390"/>
      <c r="G589" s="1390"/>
      <c r="H589" s="1390"/>
      <c r="I589" s="1390"/>
      <c r="J589" s="1390"/>
      <c r="K589" s="1390"/>
      <c r="L589" s="1390"/>
      <c r="M589" s="1390"/>
      <c r="N589" s="1390"/>
      <c r="O589" s="1390"/>
      <c r="P589" s="1390"/>
      <c r="Q589" s="1390"/>
      <c r="R589" s="1390"/>
      <c r="S589" s="1390"/>
      <c r="T589" s="1390"/>
      <c r="U589" s="1390"/>
      <c r="V589" s="1390"/>
      <c r="W589" s="1390"/>
      <c r="X589" s="1390"/>
      <c r="Y589" s="1390"/>
      <c r="Z589" s="1390"/>
      <c r="AA589" s="1390"/>
      <c r="AB589" s="1390"/>
      <c r="AC589" s="1390"/>
      <c r="AD589" s="1390"/>
      <c r="AE589" s="1390"/>
      <c r="AF589" s="1390"/>
      <c r="AG589" s="1390"/>
      <c r="AH589" s="1390"/>
      <c r="AI589" s="1390"/>
      <c r="AJ589" s="1390"/>
      <c r="AK589" s="1390"/>
    </row>
    <row r="590" spans="3:37" ht="17.25" customHeight="1" x14ac:dyDescent="0.35">
      <c r="C590" s="1390"/>
      <c r="D590" s="1390"/>
      <c r="E590" s="1390"/>
      <c r="F590" s="1390"/>
      <c r="G590" s="1390"/>
      <c r="H590" s="1390"/>
      <c r="I590" s="1390"/>
      <c r="J590" s="1390"/>
      <c r="K590" s="1390"/>
      <c r="L590" s="1390"/>
      <c r="M590" s="1390"/>
      <c r="N590" s="1390"/>
      <c r="O590" s="1390"/>
      <c r="P590" s="1390"/>
      <c r="Q590" s="1390"/>
      <c r="R590" s="1390"/>
      <c r="S590" s="1390"/>
      <c r="T590" s="1390"/>
      <c r="U590" s="1390"/>
      <c r="V590" s="1390"/>
      <c r="W590" s="1390"/>
      <c r="X590" s="1390"/>
      <c r="Y590" s="1390"/>
      <c r="Z590" s="1390"/>
      <c r="AA590" s="1390"/>
      <c r="AB590" s="1390"/>
      <c r="AC590" s="1390"/>
      <c r="AD590" s="1390"/>
      <c r="AE590" s="1390"/>
      <c r="AF590" s="1390"/>
      <c r="AG590" s="1390"/>
      <c r="AH590" s="1390"/>
      <c r="AI590" s="1390"/>
      <c r="AJ590" s="1390"/>
      <c r="AK590" s="1390"/>
    </row>
    <row r="591" spans="3:37" ht="17.25" customHeight="1" x14ac:dyDescent="0.35">
      <c r="C591" s="1390"/>
      <c r="D591" s="1390"/>
      <c r="E591" s="1390"/>
      <c r="F591" s="1390"/>
      <c r="G591" s="1390"/>
      <c r="H591" s="1390"/>
      <c r="I591" s="1390"/>
      <c r="J591" s="1390"/>
      <c r="K591" s="1390"/>
      <c r="L591" s="1390"/>
      <c r="M591" s="1390"/>
      <c r="N591" s="1390"/>
      <c r="O591" s="1390"/>
      <c r="P591" s="1390"/>
      <c r="Q591" s="1390"/>
      <c r="R591" s="1390"/>
      <c r="S591" s="1390"/>
      <c r="T591" s="1390"/>
      <c r="U591" s="1390"/>
      <c r="V591" s="1390"/>
      <c r="W591" s="1390"/>
      <c r="X591" s="1390"/>
      <c r="Y591" s="1390"/>
      <c r="Z591" s="1390"/>
      <c r="AA591" s="1390"/>
      <c r="AB591" s="1390"/>
      <c r="AC591" s="1390"/>
      <c r="AD591" s="1390"/>
      <c r="AE591" s="1390"/>
      <c r="AF591" s="1390"/>
      <c r="AG591" s="1390"/>
      <c r="AH591" s="1390"/>
      <c r="AI591" s="1390"/>
      <c r="AJ591" s="1390"/>
      <c r="AK591" s="1390"/>
    </row>
    <row r="592" spans="3:37" ht="17.25" customHeight="1" x14ac:dyDescent="0.35">
      <c r="C592" s="1390"/>
      <c r="D592" s="1390"/>
      <c r="E592" s="1390"/>
      <c r="F592" s="1390"/>
      <c r="G592" s="1390"/>
      <c r="H592" s="1390"/>
      <c r="I592" s="1390"/>
      <c r="J592" s="1390"/>
      <c r="K592" s="1390"/>
      <c r="L592" s="1390"/>
      <c r="M592" s="1390"/>
      <c r="N592" s="1390"/>
      <c r="O592" s="1390"/>
      <c r="P592" s="1390"/>
      <c r="Q592" s="1390"/>
      <c r="R592" s="1390"/>
      <c r="S592" s="1390"/>
      <c r="T592" s="1390"/>
      <c r="U592" s="1390"/>
      <c r="V592" s="1390"/>
      <c r="W592" s="1390"/>
      <c r="X592" s="1390"/>
      <c r="Y592" s="1390"/>
      <c r="Z592" s="1390"/>
      <c r="AA592" s="1390"/>
      <c r="AB592" s="1390"/>
      <c r="AC592" s="1390"/>
      <c r="AD592" s="1390"/>
      <c r="AE592" s="1390"/>
      <c r="AF592" s="1390"/>
      <c r="AG592" s="1390"/>
      <c r="AH592" s="1390"/>
      <c r="AI592" s="1390"/>
      <c r="AJ592" s="1390"/>
      <c r="AK592" s="1390"/>
    </row>
    <row r="593" spans="3:37" ht="17.25" customHeight="1" x14ac:dyDescent="0.35">
      <c r="C593" s="1390"/>
      <c r="D593" s="1390"/>
      <c r="E593" s="1390"/>
      <c r="F593" s="1390"/>
      <c r="G593" s="1390"/>
      <c r="H593" s="1390"/>
      <c r="I593" s="1390"/>
      <c r="J593" s="1390"/>
      <c r="K593" s="1390"/>
      <c r="L593" s="1390"/>
      <c r="M593" s="1390"/>
      <c r="N593" s="1390"/>
      <c r="O593" s="1390"/>
      <c r="P593" s="1390"/>
      <c r="Q593" s="1390"/>
      <c r="R593" s="1390"/>
      <c r="S593" s="1390"/>
      <c r="T593" s="1390"/>
      <c r="U593" s="1390"/>
      <c r="V593" s="1390"/>
      <c r="W593" s="1390"/>
      <c r="X593" s="1390"/>
      <c r="Y593" s="1390"/>
      <c r="Z593" s="1390"/>
      <c r="AA593" s="1390"/>
      <c r="AB593" s="1390"/>
      <c r="AC593" s="1390"/>
      <c r="AD593" s="1390"/>
      <c r="AE593" s="1390"/>
      <c r="AF593" s="1390"/>
      <c r="AG593" s="1390"/>
      <c r="AH593" s="1390"/>
      <c r="AI593" s="1390"/>
      <c r="AJ593" s="1390"/>
      <c r="AK593" s="1390"/>
    </row>
    <row r="594" spans="3:37" ht="17.25" customHeight="1" x14ac:dyDescent="0.35">
      <c r="C594" s="1390"/>
      <c r="D594" s="1390"/>
      <c r="E594" s="1390"/>
      <c r="F594" s="1390"/>
      <c r="G594" s="1390"/>
      <c r="H594" s="1390"/>
      <c r="I594" s="1390"/>
      <c r="J594" s="1390"/>
      <c r="K594" s="1390"/>
      <c r="L594" s="1390"/>
      <c r="M594" s="1390"/>
      <c r="N594" s="1390"/>
      <c r="O594" s="1390"/>
      <c r="P594" s="1390"/>
      <c r="Q594" s="1390"/>
      <c r="R594" s="1390"/>
      <c r="S594" s="1390"/>
      <c r="T594" s="1390"/>
      <c r="U594" s="1390"/>
      <c r="V594" s="1390"/>
      <c r="W594" s="1390"/>
      <c r="X594" s="1390"/>
      <c r="Y594" s="1390"/>
      <c r="Z594" s="1390"/>
      <c r="AA594" s="1390"/>
      <c r="AB594" s="1390"/>
      <c r="AC594" s="1390"/>
      <c r="AD594" s="1390"/>
      <c r="AE594" s="1390"/>
      <c r="AF594" s="1390"/>
      <c r="AG594" s="1390"/>
      <c r="AH594" s="1390"/>
      <c r="AI594" s="1390"/>
      <c r="AJ594" s="1390"/>
      <c r="AK594" s="1390"/>
    </row>
    <row r="595" spans="3:37" ht="17.25" customHeight="1" x14ac:dyDescent="0.35">
      <c r="C595" s="1390"/>
      <c r="D595" s="1390"/>
      <c r="E595" s="1390"/>
      <c r="F595" s="1390"/>
      <c r="G595" s="1390"/>
      <c r="H595" s="1390"/>
      <c r="I595" s="1390"/>
      <c r="J595" s="1390"/>
      <c r="K595" s="1390"/>
      <c r="L595" s="1390"/>
      <c r="M595" s="1390"/>
      <c r="N595" s="1390"/>
      <c r="O595" s="1390"/>
      <c r="P595" s="1390"/>
      <c r="Q595" s="1390"/>
      <c r="R595" s="1390"/>
      <c r="S595" s="1390"/>
      <c r="T595" s="1390"/>
      <c r="U595" s="1390"/>
      <c r="V595" s="1390"/>
      <c r="W595" s="1390"/>
      <c r="X595" s="1390"/>
      <c r="Y595" s="1390"/>
      <c r="Z595" s="1390"/>
      <c r="AA595" s="1390"/>
      <c r="AB595" s="1390"/>
      <c r="AC595" s="1390"/>
      <c r="AD595" s="1390"/>
      <c r="AE595" s="1390"/>
      <c r="AF595" s="1390"/>
      <c r="AG595" s="1390"/>
      <c r="AH595" s="1390"/>
      <c r="AI595" s="1390"/>
      <c r="AJ595" s="1390"/>
      <c r="AK595" s="1390"/>
    </row>
    <row r="596" spans="3:37" ht="17.25" customHeight="1" x14ac:dyDescent="0.35">
      <c r="C596" s="1390"/>
      <c r="D596" s="1390"/>
      <c r="E596" s="1390"/>
      <c r="F596" s="1390"/>
      <c r="G596" s="1390"/>
      <c r="H596" s="1390"/>
      <c r="I596" s="1390"/>
      <c r="J596" s="1390"/>
      <c r="K596" s="1390"/>
      <c r="L596" s="1390"/>
      <c r="M596" s="1390"/>
      <c r="N596" s="1390"/>
      <c r="O596" s="1390"/>
      <c r="P596" s="1390"/>
      <c r="Q596" s="1390"/>
      <c r="R596" s="1390"/>
      <c r="S596" s="1390"/>
      <c r="T596" s="1390"/>
      <c r="U596" s="1390"/>
      <c r="V596" s="1390"/>
      <c r="W596" s="1390"/>
      <c r="X596" s="1390"/>
      <c r="Y596" s="1390"/>
      <c r="Z596" s="1390"/>
      <c r="AA596" s="1390"/>
      <c r="AB596" s="1390"/>
      <c r="AC596" s="1390"/>
      <c r="AD596" s="1390"/>
      <c r="AE596" s="1390"/>
      <c r="AF596" s="1390"/>
      <c r="AG596" s="1390"/>
      <c r="AH596" s="1390"/>
      <c r="AI596" s="1390"/>
      <c r="AJ596" s="1390"/>
      <c r="AK596" s="1390"/>
    </row>
    <row r="597" spans="3:37" ht="17.25" customHeight="1" x14ac:dyDescent="0.35">
      <c r="C597" s="1390"/>
      <c r="D597" s="1390"/>
      <c r="E597" s="1390"/>
      <c r="F597" s="1390"/>
      <c r="G597" s="1390"/>
      <c r="H597" s="1390"/>
      <c r="I597" s="1390"/>
      <c r="J597" s="1390"/>
      <c r="K597" s="1390"/>
      <c r="L597" s="1390"/>
      <c r="M597" s="1390"/>
      <c r="N597" s="1390"/>
      <c r="O597" s="1390"/>
      <c r="P597" s="1390"/>
      <c r="Q597" s="1390"/>
      <c r="R597" s="1390"/>
      <c r="S597" s="1390"/>
      <c r="T597" s="1390"/>
      <c r="U597" s="1390"/>
      <c r="V597" s="1390"/>
      <c r="W597" s="1390"/>
      <c r="X597" s="1390"/>
      <c r="Y597" s="1390"/>
      <c r="Z597" s="1390"/>
      <c r="AA597" s="1390"/>
      <c r="AB597" s="1390"/>
      <c r="AC597" s="1390"/>
      <c r="AD597" s="1390"/>
      <c r="AE597" s="1390"/>
      <c r="AF597" s="1390"/>
      <c r="AG597" s="1390"/>
      <c r="AH597" s="1390"/>
      <c r="AI597" s="1390"/>
      <c r="AJ597" s="1390"/>
      <c r="AK597" s="1390"/>
    </row>
    <row r="598" spans="3:37" ht="17.25" customHeight="1" x14ac:dyDescent="0.35">
      <c r="C598" s="1390"/>
      <c r="D598" s="1390"/>
      <c r="E598" s="1390"/>
      <c r="F598" s="1390"/>
      <c r="G598" s="1390"/>
      <c r="H598" s="1390"/>
      <c r="I598" s="1390"/>
      <c r="J598" s="1390"/>
      <c r="K598" s="1390"/>
      <c r="L598" s="1390"/>
      <c r="M598" s="1390"/>
      <c r="N598" s="1390"/>
      <c r="O598" s="1390"/>
      <c r="P598" s="1390"/>
      <c r="Q598" s="1390"/>
      <c r="R598" s="1390"/>
      <c r="S598" s="1390"/>
      <c r="T598" s="1390"/>
      <c r="U598" s="1390"/>
      <c r="V598" s="1390"/>
      <c r="W598" s="1390"/>
      <c r="X598" s="1390"/>
      <c r="Y598" s="1390"/>
      <c r="Z598" s="1390"/>
      <c r="AA598" s="1390"/>
      <c r="AB598" s="1390"/>
      <c r="AC598" s="1390"/>
      <c r="AD598" s="1390"/>
      <c r="AE598" s="1390"/>
      <c r="AF598" s="1390"/>
      <c r="AG598" s="1390"/>
      <c r="AH598" s="1390"/>
      <c r="AI598" s="1390"/>
      <c r="AJ598" s="1390"/>
      <c r="AK598" s="1390"/>
    </row>
    <row r="599" spans="3:37" ht="17.25" customHeight="1" x14ac:dyDescent="0.35">
      <c r="C599" s="1390"/>
      <c r="D599" s="1390"/>
      <c r="E599" s="1390"/>
      <c r="F599" s="1390"/>
      <c r="G599" s="1390"/>
      <c r="H599" s="1390"/>
      <c r="I599" s="1390"/>
      <c r="J599" s="1390"/>
      <c r="K599" s="1390"/>
      <c r="L599" s="1390"/>
      <c r="M599" s="1390"/>
      <c r="N599" s="1390"/>
      <c r="O599" s="1390"/>
      <c r="P599" s="1390"/>
      <c r="Q599" s="1390"/>
      <c r="R599" s="1390"/>
      <c r="S599" s="1390"/>
      <c r="T599" s="1390"/>
      <c r="U599" s="1390"/>
      <c r="V599" s="1390"/>
      <c r="W599" s="1390"/>
      <c r="X599" s="1390"/>
      <c r="Y599" s="1390"/>
      <c r="Z599" s="1390"/>
      <c r="AA599" s="1390"/>
      <c r="AB599" s="1390"/>
      <c r="AC599" s="1390"/>
      <c r="AD599" s="1390"/>
      <c r="AE599" s="1390"/>
      <c r="AF599" s="1390"/>
      <c r="AG599" s="1390"/>
      <c r="AH599" s="1390"/>
      <c r="AI599" s="1390"/>
      <c r="AJ599" s="1390"/>
      <c r="AK599" s="1390"/>
    </row>
    <row r="600" spans="3:37" ht="17.25" customHeight="1" x14ac:dyDescent="0.35">
      <c r="C600" s="1390"/>
      <c r="D600" s="1390"/>
      <c r="E600" s="1390"/>
      <c r="F600" s="1390"/>
      <c r="G600" s="1390"/>
      <c r="H600" s="1390"/>
      <c r="I600" s="1390"/>
      <c r="J600" s="1390"/>
      <c r="K600" s="1390"/>
      <c r="L600" s="1390"/>
      <c r="M600" s="1390"/>
      <c r="N600" s="1390"/>
      <c r="O600" s="1390"/>
      <c r="P600" s="1390"/>
      <c r="Q600" s="1390"/>
      <c r="R600" s="1390"/>
      <c r="S600" s="1390"/>
      <c r="T600" s="1390"/>
      <c r="U600" s="1390"/>
      <c r="V600" s="1390"/>
      <c r="W600" s="1390"/>
      <c r="X600" s="1390"/>
      <c r="Y600" s="1390"/>
      <c r="Z600" s="1390"/>
      <c r="AA600" s="1390"/>
      <c r="AB600" s="1390"/>
      <c r="AC600" s="1390"/>
      <c r="AD600" s="1390"/>
      <c r="AE600" s="1390"/>
      <c r="AF600" s="1390"/>
      <c r="AG600" s="1390"/>
      <c r="AH600" s="1390"/>
      <c r="AI600" s="1390"/>
      <c r="AJ600" s="1390"/>
      <c r="AK600" s="1390"/>
    </row>
    <row r="601" spans="3:37" ht="17.25" customHeight="1" x14ac:dyDescent="0.35">
      <c r="C601" s="1390"/>
      <c r="D601" s="1390"/>
      <c r="E601" s="1390"/>
      <c r="F601" s="1390"/>
      <c r="G601" s="1390"/>
      <c r="H601" s="1390"/>
      <c r="I601" s="1390"/>
      <c r="J601" s="1390"/>
      <c r="K601" s="1390"/>
      <c r="L601" s="1390"/>
      <c r="M601" s="1390"/>
      <c r="N601" s="1390"/>
      <c r="O601" s="1390"/>
      <c r="P601" s="1390"/>
      <c r="Q601" s="1390"/>
      <c r="R601" s="1390"/>
      <c r="S601" s="1390"/>
      <c r="T601" s="1390"/>
      <c r="U601" s="1390"/>
      <c r="V601" s="1390"/>
      <c r="W601" s="1390"/>
      <c r="X601" s="1390"/>
      <c r="Y601" s="1390"/>
      <c r="Z601" s="1390"/>
      <c r="AA601" s="1390"/>
      <c r="AB601" s="1390"/>
      <c r="AC601" s="1390"/>
      <c r="AD601" s="1390"/>
      <c r="AE601" s="1390"/>
      <c r="AF601" s="1390"/>
      <c r="AG601" s="1390"/>
      <c r="AH601" s="1390"/>
      <c r="AI601" s="1390"/>
      <c r="AJ601" s="1390"/>
      <c r="AK601" s="1390"/>
    </row>
    <row r="602" spans="3:37" ht="17.25" customHeight="1" x14ac:dyDescent="0.35">
      <c r="C602" s="1390"/>
      <c r="D602" s="1390"/>
      <c r="E602" s="1390"/>
      <c r="F602" s="1390"/>
      <c r="G602" s="1390"/>
      <c r="H602" s="1390"/>
      <c r="I602" s="1390"/>
      <c r="J602" s="1390"/>
      <c r="K602" s="1390"/>
      <c r="L602" s="1390"/>
      <c r="M602" s="1390"/>
      <c r="N602" s="1390"/>
      <c r="O602" s="1390"/>
      <c r="P602" s="1390"/>
      <c r="Q602" s="1390"/>
      <c r="R602" s="1390"/>
      <c r="S602" s="1390"/>
      <c r="T602" s="1390"/>
      <c r="U602" s="1390"/>
      <c r="V602" s="1390"/>
      <c r="W602" s="1390"/>
      <c r="X602" s="1390"/>
      <c r="Y602" s="1390"/>
      <c r="Z602" s="1390"/>
      <c r="AA602" s="1390"/>
      <c r="AB602" s="1390"/>
      <c r="AC602" s="1390"/>
      <c r="AD602" s="1390"/>
      <c r="AE602" s="1390"/>
      <c r="AF602" s="1390"/>
      <c r="AG602" s="1390"/>
      <c r="AH602" s="1390"/>
      <c r="AI602" s="1390"/>
      <c r="AJ602" s="1390"/>
      <c r="AK602" s="1390"/>
    </row>
    <row r="603" spans="3:37" ht="17.25" customHeight="1" x14ac:dyDescent="0.35">
      <c r="C603" s="1390"/>
      <c r="D603" s="1390"/>
      <c r="E603" s="1390"/>
      <c r="F603" s="1390"/>
      <c r="G603" s="1390"/>
      <c r="H603" s="1390"/>
      <c r="I603" s="1390"/>
      <c r="J603" s="1390"/>
      <c r="K603" s="1390"/>
      <c r="L603" s="1390"/>
      <c r="M603" s="1390"/>
      <c r="N603" s="1390"/>
      <c r="O603" s="1390"/>
      <c r="P603" s="1390"/>
      <c r="Q603" s="1390"/>
      <c r="R603" s="1390"/>
      <c r="S603" s="1390"/>
      <c r="T603" s="1390"/>
      <c r="U603" s="1390"/>
      <c r="V603" s="1390"/>
      <c r="W603" s="1390"/>
      <c r="X603" s="1390"/>
      <c r="Y603" s="1390"/>
      <c r="Z603" s="1390"/>
      <c r="AA603" s="1390"/>
      <c r="AB603" s="1390"/>
      <c r="AC603" s="1390"/>
      <c r="AD603" s="1390"/>
      <c r="AE603" s="1390"/>
      <c r="AF603" s="1390"/>
      <c r="AG603" s="1390"/>
      <c r="AH603" s="1390"/>
      <c r="AI603" s="1390"/>
      <c r="AJ603" s="1390"/>
      <c r="AK603" s="1390"/>
    </row>
    <row r="604" spans="3:37" ht="17.25" customHeight="1" x14ac:dyDescent="0.35">
      <c r="C604" s="1390"/>
      <c r="D604" s="1390"/>
      <c r="E604" s="1390"/>
      <c r="F604" s="1390"/>
      <c r="G604" s="1390"/>
      <c r="H604" s="1390"/>
      <c r="I604" s="1390"/>
      <c r="J604" s="1390"/>
      <c r="K604" s="1390"/>
      <c r="L604" s="1390"/>
      <c r="M604" s="1390"/>
      <c r="N604" s="1390"/>
      <c r="O604" s="1390"/>
      <c r="P604" s="1390"/>
      <c r="Q604" s="1390"/>
      <c r="R604" s="1390"/>
      <c r="S604" s="1390"/>
      <c r="T604" s="1390"/>
      <c r="U604" s="1390"/>
      <c r="V604" s="1390"/>
      <c r="W604" s="1390"/>
      <c r="X604" s="1390"/>
      <c r="Y604" s="1390"/>
      <c r="Z604" s="1390"/>
      <c r="AA604" s="1390"/>
      <c r="AB604" s="1390"/>
      <c r="AC604" s="1390"/>
      <c r="AD604" s="1390"/>
      <c r="AE604" s="1390"/>
      <c r="AF604" s="1390"/>
      <c r="AG604" s="1390"/>
      <c r="AH604" s="1390"/>
      <c r="AI604" s="1390"/>
      <c r="AJ604" s="1390"/>
      <c r="AK604" s="1390"/>
    </row>
    <row r="605" spans="3:37" ht="17.25" customHeight="1" x14ac:dyDescent="0.35">
      <c r="C605" s="1390"/>
      <c r="D605" s="1390"/>
      <c r="E605" s="1390"/>
      <c r="F605" s="1390"/>
      <c r="G605" s="1390"/>
      <c r="H605" s="1390"/>
      <c r="I605" s="1390"/>
      <c r="J605" s="1390"/>
      <c r="K605" s="1390"/>
      <c r="L605" s="1390"/>
      <c r="M605" s="1390"/>
      <c r="N605" s="1390"/>
      <c r="O605" s="1390"/>
      <c r="P605" s="1390"/>
      <c r="Q605" s="1390"/>
      <c r="R605" s="1390"/>
      <c r="S605" s="1390"/>
      <c r="T605" s="1390"/>
      <c r="U605" s="1390"/>
      <c r="V605" s="1390"/>
      <c r="W605" s="1390"/>
      <c r="X605" s="1390"/>
      <c r="Y605" s="1390"/>
      <c r="Z605" s="1390"/>
      <c r="AA605" s="1390"/>
      <c r="AB605" s="1390"/>
      <c r="AC605" s="1390"/>
      <c r="AD605" s="1390"/>
      <c r="AE605" s="1390"/>
      <c r="AF605" s="1390"/>
      <c r="AG605" s="1390"/>
      <c r="AH605" s="1390"/>
      <c r="AI605" s="1390"/>
      <c r="AJ605" s="1390"/>
      <c r="AK605" s="1390"/>
    </row>
    <row r="606" spans="3:37" ht="17.25" customHeight="1" x14ac:dyDescent="0.35">
      <c r="C606" s="1390"/>
      <c r="D606" s="1390"/>
      <c r="E606" s="1390"/>
      <c r="F606" s="1390"/>
      <c r="G606" s="1390"/>
      <c r="H606" s="1390"/>
      <c r="I606" s="1390"/>
      <c r="J606" s="1390"/>
      <c r="K606" s="1390"/>
      <c r="L606" s="1390"/>
      <c r="M606" s="1390"/>
      <c r="N606" s="1390"/>
      <c r="O606" s="1390"/>
      <c r="P606" s="1390"/>
      <c r="Q606" s="1390"/>
      <c r="R606" s="1390"/>
      <c r="S606" s="1390"/>
      <c r="T606" s="1390"/>
      <c r="U606" s="1390"/>
      <c r="V606" s="1390"/>
      <c r="W606" s="1390"/>
      <c r="X606" s="1390"/>
      <c r="Y606" s="1390"/>
      <c r="Z606" s="1390"/>
      <c r="AA606" s="1390"/>
      <c r="AB606" s="1390"/>
      <c r="AC606" s="1390"/>
      <c r="AD606" s="1390"/>
      <c r="AE606" s="1390"/>
      <c r="AF606" s="1390"/>
      <c r="AG606" s="1390"/>
      <c r="AH606" s="1390"/>
      <c r="AI606" s="1390"/>
      <c r="AJ606" s="1390"/>
      <c r="AK606" s="1390"/>
    </row>
    <row r="607" spans="3:37" ht="17.25" customHeight="1" x14ac:dyDescent="0.35">
      <c r="C607" s="1390"/>
      <c r="D607" s="1390"/>
      <c r="E607" s="1390"/>
      <c r="F607" s="1390"/>
      <c r="G607" s="1390"/>
      <c r="H607" s="1390"/>
      <c r="I607" s="1390"/>
      <c r="J607" s="1390"/>
      <c r="K607" s="1390"/>
      <c r="L607" s="1390"/>
      <c r="M607" s="1390"/>
      <c r="N607" s="1390"/>
      <c r="O607" s="1390"/>
      <c r="P607" s="1390"/>
      <c r="Q607" s="1390"/>
      <c r="R607" s="1390"/>
      <c r="S607" s="1390"/>
      <c r="T607" s="1390"/>
      <c r="U607" s="1390"/>
      <c r="V607" s="1390"/>
      <c r="W607" s="1390"/>
      <c r="X607" s="1390"/>
      <c r="Y607" s="1390"/>
      <c r="Z607" s="1390"/>
      <c r="AA607" s="1390"/>
      <c r="AB607" s="1390"/>
      <c r="AC607" s="1390"/>
      <c r="AD607" s="1390"/>
      <c r="AE607" s="1390"/>
      <c r="AF607" s="1390"/>
      <c r="AG607" s="1390"/>
      <c r="AH607" s="1390"/>
      <c r="AI607" s="1390"/>
      <c r="AJ607" s="1390"/>
      <c r="AK607" s="1390"/>
    </row>
    <row r="608" spans="3:37" ht="17.25" customHeight="1" x14ac:dyDescent="0.35">
      <c r="C608" s="1390"/>
      <c r="D608" s="1390"/>
      <c r="E608" s="1390"/>
      <c r="F608" s="1390"/>
      <c r="G608" s="1390"/>
      <c r="H608" s="1390"/>
      <c r="I608" s="1390"/>
      <c r="J608" s="1390"/>
      <c r="K608" s="1390"/>
      <c r="L608" s="1390"/>
      <c r="M608" s="1390"/>
      <c r="N608" s="1390"/>
      <c r="O608" s="1390"/>
      <c r="P608" s="1390"/>
      <c r="Q608" s="1390"/>
      <c r="R608" s="1390"/>
      <c r="S608" s="1390"/>
      <c r="T608" s="1390"/>
      <c r="U608" s="1390"/>
      <c r="V608" s="1390"/>
      <c r="W608" s="1390"/>
      <c r="X608" s="1390"/>
      <c r="Y608" s="1390"/>
      <c r="Z608" s="1390"/>
      <c r="AA608" s="1390"/>
      <c r="AB608" s="1390"/>
      <c r="AC608" s="1390"/>
      <c r="AD608" s="1390"/>
      <c r="AE608" s="1390"/>
      <c r="AF608" s="1390"/>
      <c r="AG608" s="1390"/>
      <c r="AH608" s="1390"/>
      <c r="AI608" s="1390"/>
      <c r="AJ608" s="1390"/>
      <c r="AK608" s="1390"/>
    </row>
    <row r="609" spans="3:37" ht="17.25" customHeight="1" x14ac:dyDescent="0.35">
      <c r="C609" s="1390"/>
      <c r="D609" s="1390"/>
      <c r="E609" s="1390"/>
      <c r="F609" s="1390"/>
      <c r="G609" s="1390"/>
      <c r="H609" s="1390"/>
      <c r="I609" s="1390"/>
      <c r="J609" s="1390"/>
      <c r="K609" s="1390"/>
      <c r="L609" s="1390"/>
      <c r="M609" s="1390"/>
      <c r="N609" s="1390"/>
      <c r="O609" s="1390"/>
      <c r="P609" s="1390"/>
      <c r="Q609" s="1390"/>
      <c r="R609" s="1390"/>
      <c r="S609" s="1390"/>
      <c r="T609" s="1390"/>
      <c r="U609" s="1390"/>
      <c r="V609" s="1390"/>
      <c r="W609" s="1390"/>
      <c r="X609" s="1390"/>
      <c r="Y609" s="1390"/>
      <c r="Z609" s="1390"/>
      <c r="AA609" s="1390"/>
      <c r="AB609" s="1390"/>
      <c r="AC609" s="1390"/>
      <c r="AD609" s="1390"/>
      <c r="AE609" s="1390"/>
      <c r="AF609" s="1390"/>
      <c r="AG609" s="1390"/>
      <c r="AH609" s="1390"/>
      <c r="AI609" s="1390"/>
      <c r="AJ609" s="1390"/>
      <c r="AK609" s="1390"/>
    </row>
    <row r="610" spans="3:37" ht="17.25" customHeight="1" x14ac:dyDescent="0.35">
      <c r="C610" s="1390"/>
      <c r="D610" s="1390"/>
      <c r="E610" s="1390"/>
      <c r="F610" s="1390"/>
      <c r="G610" s="1390"/>
      <c r="H610" s="1390"/>
      <c r="I610" s="1390"/>
      <c r="J610" s="1390"/>
      <c r="K610" s="1390"/>
      <c r="L610" s="1390"/>
      <c r="M610" s="1390"/>
      <c r="N610" s="1390"/>
      <c r="O610" s="1390"/>
      <c r="P610" s="1390"/>
      <c r="Q610" s="1390"/>
      <c r="R610" s="1390"/>
      <c r="S610" s="1390"/>
      <c r="T610" s="1390"/>
      <c r="U610" s="1390"/>
      <c r="V610" s="1390"/>
      <c r="W610" s="1390"/>
      <c r="X610" s="1390"/>
      <c r="Y610" s="1390"/>
      <c r="Z610" s="1390"/>
      <c r="AA610" s="1390"/>
      <c r="AB610" s="1390"/>
      <c r="AC610" s="1390"/>
      <c r="AD610" s="1390"/>
      <c r="AE610" s="1390"/>
      <c r="AF610" s="1390"/>
      <c r="AG610" s="1390"/>
      <c r="AH610" s="1390"/>
      <c r="AI610" s="1390"/>
      <c r="AJ610" s="1390"/>
      <c r="AK610" s="1390"/>
    </row>
    <row r="611" spans="3:37" ht="17.25" customHeight="1" x14ac:dyDescent="0.35">
      <c r="C611" s="1390"/>
      <c r="D611" s="1390"/>
      <c r="E611" s="1390"/>
      <c r="F611" s="1390"/>
      <c r="G611" s="1390"/>
      <c r="H611" s="1390"/>
      <c r="I611" s="1390"/>
      <c r="J611" s="1390"/>
      <c r="K611" s="1390"/>
      <c r="L611" s="1390"/>
      <c r="M611" s="1390"/>
      <c r="N611" s="1390"/>
      <c r="O611" s="1390"/>
      <c r="P611" s="1390"/>
      <c r="Q611" s="1390"/>
      <c r="R611" s="1390"/>
      <c r="S611" s="1390"/>
      <c r="T611" s="1390"/>
      <c r="U611" s="1390"/>
      <c r="V611" s="1390"/>
      <c r="W611" s="1390"/>
      <c r="X611" s="1390"/>
      <c r="Y611" s="1390"/>
      <c r="Z611" s="1390"/>
      <c r="AA611" s="1390"/>
      <c r="AB611" s="1390"/>
      <c r="AC611" s="1390"/>
      <c r="AD611" s="1390"/>
      <c r="AE611" s="1390"/>
      <c r="AF611" s="1390"/>
      <c r="AG611" s="1390"/>
      <c r="AH611" s="1390"/>
      <c r="AI611" s="1390"/>
      <c r="AJ611" s="1390"/>
      <c r="AK611" s="1390"/>
    </row>
    <row r="612" spans="3:37" ht="17.25" customHeight="1" x14ac:dyDescent="0.35">
      <c r="C612" s="1390"/>
      <c r="D612" s="1390"/>
      <c r="E612" s="1390"/>
      <c r="F612" s="1390"/>
      <c r="G612" s="1390"/>
      <c r="H612" s="1390"/>
      <c r="I612" s="1390"/>
      <c r="J612" s="1390"/>
      <c r="K612" s="1390"/>
      <c r="L612" s="1390"/>
      <c r="M612" s="1390"/>
      <c r="N612" s="1390"/>
      <c r="O612" s="1390"/>
      <c r="P612" s="1390"/>
      <c r="Q612" s="1390"/>
      <c r="R612" s="1390"/>
      <c r="S612" s="1390"/>
      <c r="T612" s="1390"/>
      <c r="U612" s="1390"/>
      <c r="V612" s="1390"/>
      <c r="W612" s="1390"/>
      <c r="X612" s="1390"/>
      <c r="Y612" s="1390"/>
      <c r="Z612" s="1390"/>
      <c r="AA612" s="1390"/>
      <c r="AB612" s="1390"/>
      <c r="AC612" s="1390"/>
      <c r="AD612" s="1390"/>
      <c r="AE612" s="1390"/>
      <c r="AF612" s="1390"/>
      <c r="AG612" s="1390"/>
      <c r="AH612" s="1390"/>
      <c r="AI612" s="1390"/>
      <c r="AJ612" s="1390"/>
      <c r="AK612" s="1390"/>
    </row>
    <row r="613" spans="3:37" ht="17.25" customHeight="1" x14ac:dyDescent="0.35">
      <c r="C613" s="1390"/>
      <c r="D613" s="1390"/>
      <c r="E613" s="1390"/>
      <c r="F613" s="1390"/>
      <c r="G613" s="1390"/>
      <c r="H613" s="1390"/>
      <c r="I613" s="1390"/>
      <c r="J613" s="1390"/>
      <c r="K613" s="1390"/>
      <c r="L613" s="1390"/>
      <c r="M613" s="1390"/>
      <c r="N613" s="1390"/>
      <c r="O613" s="1390"/>
      <c r="P613" s="1390"/>
      <c r="Q613" s="1390"/>
      <c r="R613" s="1390"/>
      <c r="S613" s="1390"/>
      <c r="T613" s="1390"/>
      <c r="U613" s="1390"/>
      <c r="V613" s="1390"/>
      <c r="W613" s="1390"/>
      <c r="X613" s="1390"/>
      <c r="Y613" s="1390"/>
      <c r="Z613" s="1390"/>
      <c r="AA613" s="1390"/>
      <c r="AB613" s="1390"/>
      <c r="AC613" s="1390"/>
      <c r="AD613" s="1390"/>
      <c r="AE613" s="1390"/>
      <c r="AF613" s="1390"/>
      <c r="AG613" s="1390"/>
      <c r="AH613" s="1390"/>
      <c r="AI613" s="1390"/>
      <c r="AJ613" s="1390"/>
      <c r="AK613" s="1390"/>
    </row>
    <row r="614" spans="3:37" ht="17.25" customHeight="1" x14ac:dyDescent="0.35">
      <c r="C614" s="1390"/>
      <c r="D614" s="1390"/>
      <c r="E614" s="1390"/>
      <c r="F614" s="1390"/>
      <c r="G614" s="1390"/>
      <c r="H614" s="1390"/>
      <c r="I614" s="1390"/>
      <c r="J614" s="1390"/>
      <c r="K614" s="1390"/>
      <c r="L614" s="1390"/>
      <c r="M614" s="1390"/>
      <c r="N614" s="1390"/>
      <c r="O614" s="1390"/>
      <c r="P614" s="1390"/>
      <c r="Q614" s="1390"/>
      <c r="R614" s="1390"/>
      <c r="S614" s="1390"/>
      <c r="T614" s="1390"/>
      <c r="U614" s="1390"/>
      <c r="V614" s="1390"/>
      <c r="W614" s="1390"/>
      <c r="X614" s="1390"/>
      <c r="Y614" s="1390"/>
      <c r="Z614" s="1390"/>
      <c r="AA614" s="1390"/>
      <c r="AB614" s="1390"/>
      <c r="AC614" s="1390"/>
      <c r="AD614" s="1390"/>
      <c r="AE614" s="1390"/>
      <c r="AF614" s="1390"/>
      <c r="AG614" s="1390"/>
      <c r="AH614" s="1390"/>
      <c r="AI614" s="1390"/>
      <c r="AJ614" s="1390"/>
      <c r="AK614" s="1390"/>
    </row>
    <row r="615" spans="3:37" ht="17.25" customHeight="1" x14ac:dyDescent="0.35">
      <c r="C615" s="1390"/>
      <c r="D615" s="1390"/>
      <c r="E615" s="1390"/>
      <c r="F615" s="1390"/>
      <c r="G615" s="1390"/>
      <c r="H615" s="1390"/>
      <c r="I615" s="1390"/>
      <c r="J615" s="1390"/>
      <c r="K615" s="1390"/>
      <c r="L615" s="1390"/>
      <c r="M615" s="1390"/>
      <c r="N615" s="1390"/>
      <c r="O615" s="1390"/>
      <c r="P615" s="1390"/>
      <c r="Q615" s="1390"/>
      <c r="R615" s="1390"/>
      <c r="S615" s="1390"/>
      <c r="T615" s="1390"/>
      <c r="U615" s="1390"/>
      <c r="V615" s="1390"/>
      <c r="W615" s="1390"/>
      <c r="X615" s="1390"/>
      <c r="Y615" s="1390"/>
      <c r="Z615" s="1390"/>
      <c r="AA615" s="1390"/>
      <c r="AB615" s="1390"/>
      <c r="AC615" s="1390"/>
      <c r="AD615" s="1390"/>
      <c r="AE615" s="1390"/>
      <c r="AF615" s="1390"/>
      <c r="AG615" s="1390"/>
      <c r="AH615" s="1390"/>
      <c r="AI615" s="1390"/>
      <c r="AJ615" s="1390"/>
      <c r="AK615" s="1390"/>
    </row>
    <row r="616" spans="3:37" ht="17.25" customHeight="1" x14ac:dyDescent="0.35">
      <c r="C616" s="1390"/>
      <c r="D616" s="1390"/>
      <c r="E616" s="1390"/>
      <c r="F616" s="1390"/>
      <c r="G616" s="1390"/>
      <c r="H616" s="1390"/>
      <c r="I616" s="1390"/>
      <c r="J616" s="1390"/>
      <c r="K616" s="1390"/>
      <c r="L616" s="1390"/>
      <c r="M616" s="1390"/>
      <c r="N616" s="1390"/>
      <c r="O616" s="1390"/>
      <c r="P616" s="1390"/>
      <c r="Q616" s="1390"/>
      <c r="R616" s="1390"/>
      <c r="S616" s="1390"/>
      <c r="T616" s="1390"/>
      <c r="U616" s="1390"/>
      <c r="V616" s="1390"/>
      <c r="W616" s="1390"/>
      <c r="X616" s="1390"/>
      <c r="Y616" s="1390"/>
      <c r="Z616" s="1390"/>
      <c r="AA616" s="1390"/>
      <c r="AB616" s="1390"/>
      <c r="AC616" s="1390"/>
      <c r="AD616" s="1390"/>
      <c r="AE616" s="1390"/>
      <c r="AF616" s="1390"/>
      <c r="AG616" s="1390"/>
      <c r="AH616" s="1390"/>
      <c r="AI616" s="1390"/>
      <c r="AJ616" s="1390"/>
      <c r="AK616" s="1390"/>
    </row>
    <row r="617" spans="3:37" ht="17.25" customHeight="1" x14ac:dyDescent="0.35">
      <c r="C617" s="1390"/>
      <c r="D617" s="1390"/>
      <c r="E617" s="1390"/>
      <c r="F617" s="1390"/>
      <c r="G617" s="1390"/>
      <c r="H617" s="1390"/>
      <c r="I617" s="1390"/>
      <c r="J617" s="1390"/>
      <c r="K617" s="1390"/>
      <c r="L617" s="1390"/>
      <c r="M617" s="1390"/>
      <c r="N617" s="1390"/>
      <c r="O617" s="1390"/>
      <c r="P617" s="1390"/>
      <c r="Q617" s="1390"/>
      <c r="R617" s="1390"/>
      <c r="S617" s="1390"/>
      <c r="T617" s="1390"/>
      <c r="U617" s="1390"/>
      <c r="V617" s="1390"/>
      <c r="W617" s="1390"/>
      <c r="X617" s="1390"/>
      <c r="Y617" s="1390"/>
      <c r="Z617" s="1390"/>
      <c r="AA617" s="1390"/>
      <c r="AB617" s="1390"/>
      <c r="AC617" s="1390"/>
      <c r="AD617" s="1390"/>
      <c r="AE617" s="1390"/>
      <c r="AF617" s="1390"/>
      <c r="AG617" s="1390"/>
      <c r="AH617" s="1390"/>
      <c r="AI617" s="1390"/>
      <c r="AJ617" s="1390"/>
      <c r="AK617" s="1390"/>
    </row>
    <row r="618" spans="3:37" ht="17.25" customHeight="1" x14ac:dyDescent="0.35">
      <c r="C618" s="1390"/>
      <c r="D618" s="1390"/>
      <c r="E618" s="1390"/>
      <c r="F618" s="1390"/>
      <c r="G618" s="1390"/>
      <c r="H618" s="1390"/>
      <c r="I618" s="1390"/>
      <c r="J618" s="1390"/>
      <c r="K618" s="1390"/>
      <c r="L618" s="1390"/>
      <c r="M618" s="1390"/>
      <c r="N618" s="1390"/>
      <c r="O618" s="1390"/>
      <c r="P618" s="1390"/>
      <c r="Q618" s="1390"/>
      <c r="R618" s="1390"/>
      <c r="S618" s="1390"/>
      <c r="T618" s="1390"/>
      <c r="U618" s="1390"/>
      <c r="V618" s="1390"/>
      <c r="W618" s="1390"/>
      <c r="X618" s="1390"/>
      <c r="Y618" s="1390"/>
      <c r="Z618" s="1390"/>
      <c r="AA618" s="1390"/>
      <c r="AB618" s="1390"/>
      <c r="AC618" s="1390"/>
      <c r="AD618" s="1390"/>
      <c r="AE618" s="1390"/>
      <c r="AF618" s="1390"/>
      <c r="AG618" s="1390"/>
      <c r="AH618" s="1390"/>
      <c r="AI618" s="1390"/>
      <c r="AJ618" s="1390"/>
      <c r="AK618" s="1390"/>
    </row>
    <row r="619" spans="3:37" ht="17.25" customHeight="1" x14ac:dyDescent="0.35">
      <c r="C619" s="1390"/>
      <c r="D619" s="1390"/>
      <c r="E619" s="1390"/>
      <c r="F619" s="1390"/>
      <c r="G619" s="1390"/>
      <c r="H619" s="1390"/>
      <c r="I619" s="1390"/>
      <c r="J619" s="1390"/>
      <c r="K619" s="1390"/>
      <c r="L619" s="1390"/>
      <c r="M619" s="1390"/>
      <c r="N619" s="1390"/>
      <c r="O619" s="1390"/>
      <c r="P619" s="1390"/>
      <c r="Q619" s="1390"/>
      <c r="R619" s="1390"/>
      <c r="S619" s="1390"/>
      <c r="T619" s="1390"/>
      <c r="U619" s="1390"/>
      <c r="V619" s="1390"/>
      <c r="W619" s="1390"/>
      <c r="X619" s="1390"/>
      <c r="Y619" s="1390"/>
      <c r="Z619" s="1390"/>
      <c r="AA619" s="1390"/>
      <c r="AB619" s="1390"/>
      <c r="AC619" s="1390"/>
      <c r="AD619" s="1390"/>
      <c r="AE619" s="1390"/>
      <c r="AF619" s="1390"/>
      <c r="AG619" s="1390"/>
      <c r="AH619" s="1390"/>
      <c r="AI619" s="1390"/>
      <c r="AJ619" s="1390"/>
      <c r="AK619" s="1390"/>
    </row>
    <row r="620" spans="3:37" ht="17.25" customHeight="1" x14ac:dyDescent="0.35">
      <c r="C620" s="1390"/>
      <c r="D620" s="1390"/>
      <c r="E620" s="1390"/>
      <c r="F620" s="1390"/>
      <c r="G620" s="1390"/>
      <c r="H620" s="1390"/>
      <c r="I620" s="1390"/>
      <c r="J620" s="1390"/>
      <c r="K620" s="1390"/>
      <c r="L620" s="1390"/>
      <c r="M620" s="1390"/>
      <c r="N620" s="1390"/>
      <c r="O620" s="1390"/>
      <c r="P620" s="1390"/>
      <c r="Q620" s="1390"/>
      <c r="R620" s="1390"/>
      <c r="S620" s="1390"/>
      <c r="T620" s="1390"/>
      <c r="U620" s="1390"/>
      <c r="V620" s="1390"/>
      <c r="W620" s="1390"/>
      <c r="X620" s="1390"/>
      <c r="Y620" s="1390"/>
      <c r="Z620" s="1390"/>
      <c r="AA620" s="1390"/>
      <c r="AB620" s="1390"/>
      <c r="AC620" s="1390"/>
      <c r="AD620" s="1390"/>
      <c r="AE620" s="1390"/>
      <c r="AF620" s="1390"/>
      <c r="AG620" s="1390"/>
      <c r="AH620" s="1390"/>
      <c r="AI620" s="1390"/>
      <c r="AJ620" s="1390"/>
      <c r="AK620" s="1390"/>
    </row>
    <row r="621" spans="3:37" ht="17.25" customHeight="1" x14ac:dyDescent="0.35">
      <c r="C621" s="1390"/>
      <c r="D621" s="1390"/>
      <c r="E621" s="1390"/>
      <c r="F621" s="1390"/>
      <c r="G621" s="1390"/>
      <c r="H621" s="1390"/>
      <c r="I621" s="1390"/>
      <c r="J621" s="1390"/>
      <c r="K621" s="1390"/>
      <c r="L621" s="1390"/>
      <c r="M621" s="1390"/>
      <c r="N621" s="1390"/>
      <c r="O621" s="1390"/>
      <c r="P621" s="1390"/>
      <c r="Q621" s="1390"/>
      <c r="R621" s="1390"/>
      <c r="S621" s="1390"/>
      <c r="T621" s="1390"/>
      <c r="U621" s="1390"/>
      <c r="V621" s="1390"/>
      <c r="W621" s="1390"/>
      <c r="X621" s="1390"/>
      <c r="Y621" s="1390"/>
      <c r="Z621" s="1390"/>
      <c r="AA621" s="1390"/>
      <c r="AB621" s="1390"/>
      <c r="AC621" s="1390"/>
      <c r="AD621" s="1390"/>
      <c r="AE621" s="1390"/>
      <c r="AF621" s="1390"/>
      <c r="AG621" s="1390"/>
      <c r="AH621" s="1390"/>
      <c r="AI621" s="1390"/>
      <c r="AJ621" s="1390"/>
      <c r="AK621" s="1390"/>
    </row>
    <row r="622" spans="3:37" ht="17.25" customHeight="1" x14ac:dyDescent="0.35">
      <c r="C622" s="1390"/>
      <c r="D622" s="1390"/>
      <c r="E622" s="1390"/>
      <c r="F622" s="1390"/>
      <c r="G622" s="1390"/>
      <c r="H622" s="1390"/>
      <c r="I622" s="1390"/>
      <c r="J622" s="1390"/>
      <c r="K622" s="1390"/>
      <c r="L622" s="1390"/>
      <c r="M622" s="1390"/>
      <c r="N622" s="1390"/>
      <c r="O622" s="1390"/>
      <c r="P622" s="1390"/>
      <c r="Q622" s="1390"/>
      <c r="R622" s="1390"/>
      <c r="S622" s="1390"/>
      <c r="T622" s="1390"/>
      <c r="U622" s="1390"/>
      <c r="V622" s="1390"/>
      <c r="W622" s="1390"/>
      <c r="X622" s="1390"/>
      <c r="Y622" s="1390"/>
      <c r="Z622" s="1390"/>
      <c r="AA622" s="1390"/>
      <c r="AB622" s="1390"/>
      <c r="AC622" s="1390"/>
      <c r="AD622" s="1390"/>
      <c r="AE622" s="1390"/>
      <c r="AF622" s="1390"/>
      <c r="AG622" s="1390"/>
      <c r="AH622" s="1390"/>
      <c r="AI622" s="1390"/>
      <c r="AJ622" s="1390"/>
      <c r="AK622" s="1390"/>
    </row>
    <row r="623" spans="3:37" ht="17.25" customHeight="1" x14ac:dyDescent="0.35">
      <c r="C623" s="1390"/>
      <c r="D623" s="1390"/>
      <c r="E623" s="1390"/>
      <c r="F623" s="1390"/>
      <c r="G623" s="1390"/>
      <c r="H623" s="1390"/>
      <c r="I623" s="1390"/>
      <c r="J623" s="1390"/>
      <c r="K623" s="1390"/>
      <c r="L623" s="1390"/>
      <c r="M623" s="1390"/>
      <c r="N623" s="1390"/>
      <c r="O623" s="1390"/>
      <c r="P623" s="1390"/>
      <c r="Q623" s="1390"/>
      <c r="R623" s="1390"/>
      <c r="S623" s="1390"/>
      <c r="T623" s="1390"/>
      <c r="U623" s="1390"/>
      <c r="V623" s="1390"/>
      <c r="W623" s="1390"/>
      <c r="X623" s="1390"/>
      <c r="Y623" s="1390"/>
      <c r="Z623" s="1390"/>
      <c r="AA623" s="1390"/>
      <c r="AB623" s="1390"/>
      <c r="AC623" s="1390"/>
      <c r="AD623" s="1390"/>
      <c r="AE623" s="1390"/>
      <c r="AF623" s="1390"/>
      <c r="AG623" s="1390"/>
      <c r="AH623" s="1390"/>
      <c r="AI623" s="1390"/>
      <c r="AJ623" s="1390"/>
      <c r="AK623" s="1390"/>
    </row>
    <row r="624" spans="3:37" ht="17.25" customHeight="1" x14ac:dyDescent="0.35">
      <c r="C624" s="1390"/>
      <c r="D624" s="1390"/>
      <c r="E624" s="1390"/>
      <c r="F624" s="1390"/>
      <c r="G624" s="1390"/>
      <c r="H624" s="1390"/>
      <c r="I624" s="1390"/>
      <c r="J624" s="1390"/>
      <c r="K624" s="1390"/>
      <c r="L624" s="1390"/>
      <c r="M624" s="1390"/>
      <c r="N624" s="1390"/>
      <c r="O624" s="1390"/>
      <c r="P624" s="1390"/>
      <c r="Q624" s="1390"/>
      <c r="R624" s="1390"/>
      <c r="S624" s="1390"/>
      <c r="T624" s="1390"/>
      <c r="U624" s="1390"/>
      <c r="V624" s="1390"/>
      <c r="W624" s="1390"/>
      <c r="X624" s="1390"/>
      <c r="Y624" s="1390"/>
      <c r="Z624" s="1390"/>
      <c r="AA624" s="1390"/>
      <c r="AB624" s="1390"/>
      <c r="AC624" s="1390"/>
      <c r="AD624" s="1390"/>
      <c r="AE624" s="1390"/>
      <c r="AF624" s="1390"/>
      <c r="AG624" s="1390"/>
      <c r="AH624" s="1390"/>
      <c r="AI624" s="1390"/>
      <c r="AJ624" s="1390"/>
      <c r="AK624" s="1390"/>
    </row>
    <row r="625" spans="3:37" ht="17.25" customHeight="1" x14ac:dyDescent="0.35">
      <c r="C625" s="1390"/>
      <c r="D625" s="1390"/>
      <c r="E625" s="1390"/>
      <c r="F625" s="1390"/>
      <c r="G625" s="1390"/>
      <c r="H625" s="1390"/>
      <c r="I625" s="1390"/>
      <c r="J625" s="1390"/>
      <c r="K625" s="1390"/>
      <c r="L625" s="1390"/>
      <c r="M625" s="1390"/>
      <c r="N625" s="1390"/>
      <c r="O625" s="1390"/>
      <c r="P625" s="1390"/>
      <c r="Q625" s="1390"/>
      <c r="R625" s="1390"/>
      <c r="S625" s="1390"/>
      <c r="T625" s="1390"/>
      <c r="U625" s="1390"/>
      <c r="V625" s="1390"/>
      <c r="W625" s="1390"/>
      <c r="X625" s="1390"/>
      <c r="Y625" s="1390"/>
      <c r="Z625" s="1390"/>
      <c r="AA625" s="1390"/>
      <c r="AB625" s="1390"/>
      <c r="AC625" s="1390"/>
      <c r="AD625" s="1390"/>
      <c r="AE625" s="1390"/>
      <c r="AF625" s="1390"/>
      <c r="AG625" s="1390"/>
      <c r="AH625" s="1390"/>
      <c r="AI625" s="1390"/>
      <c r="AJ625" s="1390"/>
      <c r="AK625" s="1390"/>
    </row>
    <row r="626" spans="3:37" ht="17.25" customHeight="1" x14ac:dyDescent="0.35">
      <c r="C626" s="1390"/>
      <c r="D626" s="1390"/>
      <c r="E626" s="1390"/>
      <c r="F626" s="1390"/>
      <c r="G626" s="1390"/>
      <c r="H626" s="1390"/>
      <c r="I626" s="1390"/>
      <c r="J626" s="1390"/>
      <c r="K626" s="1390"/>
      <c r="L626" s="1390"/>
      <c r="M626" s="1390"/>
      <c r="N626" s="1390"/>
      <c r="O626" s="1390"/>
      <c r="P626" s="1390"/>
      <c r="Q626" s="1390"/>
      <c r="R626" s="1390"/>
      <c r="S626" s="1390"/>
      <c r="T626" s="1390"/>
      <c r="U626" s="1390"/>
      <c r="V626" s="1390"/>
      <c r="W626" s="1390"/>
      <c r="X626" s="1390"/>
      <c r="Y626" s="1390"/>
      <c r="Z626" s="1390"/>
      <c r="AA626" s="1390"/>
      <c r="AB626" s="1390"/>
      <c r="AC626" s="1390"/>
      <c r="AD626" s="1390"/>
      <c r="AE626" s="1390"/>
      <c r="AF626" s="1390"/>
      <c r="AG626" s="1390"/>
      <c r="AH626" s="1390"/>
      <c r="AI626" s="1390"/>
      <c r="AJ626" s="1390"/>
      <c r="AK626" s="1390"/>
    </row>
    <row r="627" spans="3:37" ht="17.25" customHeight="1" x14ac:dyDescent="0.35">
      <c r="C627" s="1390"/>
      <c r="D627" s="1390"/>
      <c r="E627" s="1390"/>
      <c r="F627" s="1390"/>
      <c r="G627" s="1390"/>
      <c r="H627" s="1390"/>
      <c r="I627" s="1390"/>
      <c r="J627" s="1390"/>
      <c r="K627" s="1390"/>
      <c r="L627" s="1390"/>
      <c r="M627" s="1390"/>
      <c r="N627" s="1390"/>
      <c r="O627" s="1390"/>
      <c r="P627" s="1390"/>
      <c r="Q627" s="1390"/>
      <c r="R627" s="1390"/>
      <c r="S627" s="1390"/>
      <c r="T627" s="1390"/>
      <c r="U627" s="1390"/>
      <c r="V627" s="1390"/>
      <c r="W627" s="1390"/>
      <c r="X627" s="1390"/>
      <c r="Y627" s="1390"/>
      <c r="Z627" s="1390"/>
      <c r="AA627" s="1390"/>
      <c r="AB627" s="1390"/>
      <c r="AC627" s="1390"/>
      <c r="AD627" s="1390"/>
      <c r="AE627" s="1390"/>
      <c r="AF627" s="1390"/>
      <c r="AG627" s="1390"/>
      <c r="AH627" s="1390"/>
      <c r="AI627" s="1390"/>
      <c r="AJ627" s="1390"/>
      <c r="AK627" s="1390"/>
    </row>
    <row r="628" spans="3:37" ht="17.25" customHeight="1" x14ac:dyDescent="0.35">
      <c r="C628" s="1390"/>
      <c r="D628" s="1390"/>
      <c r="E628" s="1390"/>
      <c r="F628" s="1390"/>
      <c r="G628" s="1390"/>
      <c r="H628" s="1390"/>
      <c r="I628" s="1390"/>
      <c r="J628" s="1390"/>
      <c r="K628" s="1390"/>
      <c r="L628" s="1390"/>
      <c r="M628" s="1390"/>
      <c r="N628" s="1390"/>
      <c r="O628" s="1390"/>
      <c r="P628" s="1390"/>
      <c r="Q628" s="1390"/>
      <c r="R628" s="1390"/>
      <c r="S628" s="1390"/>
      <c r="T628" s="1390"/>
      <c r="U628" s="1390"/>
      <c r="V628" s="1390"/>
      <c r="W628" s="1390"/>
      <c r="X628" s="1390"/>
      <c r="Y628" s="1390"/>
      <c r="Z628" s="1390"/>
      <c r="AA628" s="1390"/>
      <c r="AB628" s="1390"/>
      <c r="AC628" s="1390"/>
      <c r="AD628" s="1390"/>
      <c r="AE628" s="1390"/>
      <c r="AF628" s="1390"/>
      <c r="AG628" s="1390"/>
      <c r="AH628" s="1390"/>
      <c r="AI628" s="1390"/>
      <c r="AJ628" s="1390"/>
      <c r="AK628" s="1390"/>
    </row>
    <row r="629" spans="3:37" ht="17.25" customHeight="1" x14ac:dyDescent="0.35">
      <c r="C629" s="1390"/>
      <c r="D629" s="1390"/>
      <c r="E629" s="1390"/>
      <c r="F629" s="1390"/>
      <c r="G629" s="1390"/>
      <c r="H629" s="1390"/>
      <c r="I629" s="1390"/>
      <c r="J629" s="1390"/>
      <c r="K629" s="1390"/>
      <c r="L629" s="1390"/>
      <c r="M629" s="1390"/>
      <c r="N629" s="1390"/>
      <c r="O629" s="1390"/>
      <c r="P629" s="1390"/>
      <c r="Q629" s="1390"/>
      <c r="R629" s="1390"/>
      <c r="S629" s="1390"/>
      <c r="T629" s="1390"/>
      <c r="U629" s="1390"/>
      <c r="V629" s="1390"/>
      <c r="W629" s="1390"/>
      <c r="X629" s="1390"/>
      <c r="Y629" s="1390"/>
      <c r="Z629" s="1390"/>
      <c r="AA629" s="1390"/>
      <c r="AB629" s="1390"/>
      <c r="AC629" s="1390"/>
      <c r="AD629" s="1390"/>
      <c r="AE629" s="1390"/>
      <c r="AF629" s="1390"/>
      <c r="AG629" s="1390"/>
      <c r="AH629" s="1390"/>
      <c r="AI629" s="1390"/>
      <c r="AJ629" s="1390"/>
      <c r="AK629" s="1390"/>
    </row>
    <row r="630" spans="3:37" ht="17.25" customHeight="1" x14ac:dyDescent="0.35">
      <c r="C630" s="1390"/>
      <c r="D630" s="1390"/>
      <c r="E630" s="1390"/>
      <c r="F630" s="1390"/>
      <c r="G630" s="1390"/>
      <c r="H630" s="1390"/>
      <c r="I630" s="1390"/>
      <c r="J630" s="1390"/>
      <c r="K630" s="1390"/>
      <c r="L630" s="1390"/>
      <c r="M630" s="1390"/>
      <c r="N630" s="1390"/>
      <c r="O630" s="1390"/>
      <c r="P630" s="1390"/>
      <c r="Q630" s="1390"/>
      <c r="R630" s="1390"/>
      <c r="S630" s="1390"/>
      <c r="T630" s="1390"/>
      <c r="U630" s="1390"/>
      <c r="V630" s="1390"/>
      <c r="W630" s="1390"/>
      <c r="X630" s="1390"/>
      <c r="Y630" s="1390"/>
      <c r="Z630" s="1390"/>
      <c r="AA630" s="1390"/>
      <c r="AB630" s="1390"/>
      <c r="AC630" s="1390"/>
      <c r="AD630" s="1390"/>
      <c r="AE630" s="1390"/>
      <c r="AF630" s="1390"/>
      <c r="AG630" s="1390"/>
      <c r="AH630" s="1390"/>
      <c r="AI630" s="1390"/>
      <c r="AJ630" s="1390"/>
      <c r="AK630" s="1390"/>
    </row>
    <row r="631" spans="3:37" ht="17.25" customHeight="1" x14ac:dyDescent="0.35">
      <c r="C631" s="1390"/>
      <c r="D631" s="1390"/>
      <c r="E631" s="1390"/>
      <c r="F631" s="1390"/>
      <c r="G631" s="1390"/>
      <c r="H631" s="1390"/>
      <c r="I631" s="1390"/>
      <c r="J631" s="1390"/>
      <c r="K631" s="1390"/>
      <c r="L631" s="1390"/>
      <c r="M631" s="1390"/>
      <c r="N631" s="1390"/>
      <c r="O631" s="1390"/>
      <c r="P631" s="1390"/>
      <c r="Q631" s="1390"/>
      <c r="R631" s="1390"/>
      <c r="S631" s="1390"/>
      <c r="T631" s="1390"/>
      <c r="U631" s="1390"/>
      <c r="V631" s="1390"/>
      <c r="W631" s="1390"/>
      <c r="X631" s="1390"/>
      <c r="Y631" s="1390"/>
      <c r="Z631" s="1390"/>
      <c r="AA631" s="1390"/>
      <c r="AB631" s="1390"/>
      <c r="AC631" s="1390"/>
      <c r="AD631" s="1390"/>
      <c r="AE631" s="1390"/>
      <c r="AF631" s="1390"/>
      <c r="AG631" s="1390"/>
      <c r="AH631" s="1390"/>
      <c r="AI631" s="1390"/>
      <c r="AJ631" s="1390"/>
      <c r="AK631" s="1390"/>
    </row>
    <row r="632" spans="3:37" ht="17.25" customHeight="1" x14ac:dyDescent="0.35">
      <c r="C632" s="1390"/>
      <c r="D632" s="1390"/>
      <c r="E632" s="1390"/>
      <c r="F632" s="1390"/>
      <c r="G632" s="1390"/>
      <c r="H632" s="1390"/>
      <c r="I632" s="1390"/>
      <c r="J632" s="1390"/>
      <c r="K632" s="1390"/>
      <c r="L632" s="1390"/>
      <c r="M632" s="1390"/>
      <c r="N632" s="1390"/>
      <c r="O632" s="1390"/>
      <c r="P632" s="1390"/>
      <c r="Q632" s="1390"/>
      <c r="R632" s="1390"/>
      <c r="S632" s="1390"/>
      <c r="T632" s="1390"/>
      <c r="U632" s="1390"/>
      <c r="V632" s="1390"/>
      <c r="W632" s="1390"/>
      <c r="X632" s="1390"/>
      <c r="Y632" s="1390"/>
      <c r="Z632" s="1390"/>
      <c r="AA632" s="1390"/>
      <c r="AB632" s="1390"/>
      <c r="AC632" s="1390"/>
      <c r="AD632" s="1390"/>
      <c r="AE632" s="1390"/>
      <c r="AF632" s="1390"/>
      <c r="AG632" s="1390"/>
      <c r="AH632" s="1390"/>
      <c r="AI632" s="1390"/>
      <c r="AJ632" s="1390"/>
      <c r="AK632" s="1390"/>
    </row>
    <row r="633" spans="3:37" ht="17.25" customHeight="1" x14ac:dyDescent="0.35">
      <c r="C633" s="1390"/>
      <c r="D633" s="1390"/>
      <c r="E633" s="1390"/>
      <c r="F633" s="1390"/>
      <c r="G633" s="1390"/>
      <c r="H633" s="1390"/>
      <c r="I633" s="1390"/>
      <c r="J633" s="1390"/>
      <c r="K633" s="1390"/>
      <c r="L633" s="1390"/>
      <c r="M633" s="1390"/>
      <c r="N633" s="1390"/>
      <c r="O633" s="1390"/>
      <c r="P633" s="1390"/>
      <c r="Q633" s="1390"/>
      <c r="R633" s="1390"/>
      <c r="S633" s="1390"/>
      <c r="T633" s="1390"/>
      <c r="U633" s="1390"/>
      <c r="V633" s="1390"/>
      <c r="W633" s="1390"/>
      <c r="X633" s="1390"/>
      <c r="Y633" s="1390"/>
      <c r="Z633" s="1390"/>
      <c r="AA633" s="1390"/>
      <c r="AB633" s="1390"/>
      <c r="AC633" s="1390"/>
      <c r="AD633" s="1390"/>
      <c r="AE633" s="1390"/>
      <c r="AF633" s="1390"/>
      <c r="AG633" s="1390"/>
      <c r="AH633" s="1390"/>
      <c r="AI633" s="1390"/>
      <c r="AJ633" s="1390"/>
      <c r="AK633" s="1390"/>
    </row>
    <row r="634" spans="3:37" ht="17.25" customHeight="1" x14ac:dyDescent="0.35">
      <c r="C634" s="1390"/>
      <c r="D634" s="1390"/>
      <c r="E634" s="1390"/>
      <c r="F634" s="1390"/>
      <c r="G634" s="1390"/>
      <c r="H634" s="1390"/>
      <c r="I634" s="1390"/>
      <c r="J634" s="1390"/>
      <c r="K634" s="1390"/>
      <c r="L634" s="1390"/>
      <c r="M634" s="1390"/>
      <c r="N634" s="1390"/>
      <c r="O634" s="1390"/>
      <c r="P634" s="1390"/>
      <c r="Q634" s="1390"/>
      <c r="R634" s="1390"/>
      <c r="S634" s="1390"/>
      <c r="T634" s="1390"/>
      <c r="U634" s="1390"/>
      <c r="V634" s="1390"/>
      <c r="W634" s="1390"/>
      <c r="X634" s="1390"/>
      <c r="Y634" s="1390"/>
      <c r="Z634" s="1390"/>
      <c r="AA634" s="1390"/>
      <c r="AB634" s="1390"/>
      <c r="AC634" s="1390"/>
      <c r="AD634" s="1390"/>
      <c r="AE634" s="1390"/>
      <c r="AF634" s="1390"/>
      <c r="AG634" s="1390"/>
      <c r="AH634" s="1390"/>
      <c r="AI634" s="1390"/>
      <c r="AJ634" s="1390"/>
      <c r="AK634" s="1390"/>
    </row>
    <row r="635" spans="3:37" ht="17.25" customHeight="1" x14ac:dyDescent="0.35">
      <c r="C635" s="1390"/>
      <c r="D635" s="1390"/>
      <c r="E635" s="1390"/>
      <c r="F635" s="1390"/>
      <c r="G635" s="1390"/>
      <c r="H635" s="1390"/>
      <c r="I635" s="1390"/>
      <c r="J635" s="1390"/>
      <c r="K635" s="1390"/>
      <c r="L635" s="1390"/>
      <c r="M635" s="1390"/>
      <c r="N635" s="1390"/>
      <c r="O635" s="1390"/>
      <c r="P635" s="1390"/>
      <c r="Q635" s="1390"/>
      <c r="R635" s="1390"/>
      <c r="S635" s="1390"/>
      <c r="T635" s="1390"/>
      <c r="U635" s="1390"/>
      <c r="V635" s="1390"/>
      <c r="W635" s="1390"/>
      <c r="X635" s="1390"/>
      <c r="Y635" s="1390"/>
      <c r="Z635" s="1390"/>
      <c r="AA635" s="1390"/>
      <c r="AB635" s="1390"/>
      <c r="AC635" s="1390"/>
      <c r="AD635" s="1390"/>
      <c r="AE635" s="1390"/>
      <c r="AF635" s="1390"/>
      <c r="AG635" s="1390"/>
      <c r="AH635" s="1390"/>
      <c r="AI635" s="1390"/>
      <c r="AJ635" s="1390"/>
      <c r="AK635" s="1390"/>
    </row>
    <row r="636" spans="3:37" ht="17.25" customHeight="1" x14ac:dyDescent="0.35">
      <c r="C636" s="1390"/>
      <c r="D636" s="1390"/>
      <c r="E636" s="1390"/>
      <c r="F636" s="1390"/>
      <c r="G636" s="1390"/>
      <c r="H636" s="1390"/>
      <c r="I636" s="1390"/>
      <c r="J636" s="1390"/>
      <c r="K636" s="1390"/>
      <c r="L636" s="1390"/>
      <c r="M636" s="1390"/>
      <c r="N636" s="1390"/>
      <c r="O636" s="1390"/>
      <c r="P636" s="1390"/>
      <c r="Q636" s="1390"/>
      <c r="R636" s="1390"/>
      <c r="S636" s="1390"/>
      <c r="T636" s="1390"/>
      <c r="U636" s="1390"/>
      <c r="V636" s="1390"/>
      <c r="W636" s="1390"/>
      <c r="X636" s="1390"/>
      <c r="Y636" s="1390"/>
      <c r="Z636" s="1390"/>
      <c r="AA636" s="1390"/>
      <c r="AB636" s="1390"/>
      <c r="AC636" s="1390"/>
      <c r="AD636" s="1390"/>
      <c r="AE636" s="1390"/>
      <c r="AF636" s="1390"/>
      <c r="AG636" s="1390"/>
      <c r="AH636" s="1390"/>
      <c r="AI636" s="1390"/>
      <c r="AJ636" s="1390"/>
      <c r="AK636" s="1390"/>
    </row>
    <row r="637" spans="3:37" ht="17.25" customHeight="1" x14ac:dyDescent="0.35">
      <c r="C637" s="1390"/>
      <c r="D637" s="1390"/>
      <c r="E637" s="1390"/>
      <c r="F637" s="1390"/>
      <c r="G637" s="1390"/>
      <c r="H637" s="1390"/>
      <c r="I637" s="1390"/>
      <c r="J637" s="1390"/>
      <c r="K637" s="1390"/>
      <c r="L637" s="1390"/>
      <c r="M637" s="1390"/>
      <c r="N637" s="1390"/>
      <c r="O637" s="1390"/>
      <c r="P637" s="1390"/>
      <c r="Q637" s="1390"/>
      <c r="R637" s="1390"/>
      <c r="S637" s="1390"/>
      <c r="T637" s="1390"/>
      <c r="U637" s="1390"/>
      <c r="V637" s="1390"/>
      <c r="W637" s="1390"/>
      <c r="X637" s="1390"/>
      <c r="Y637" s="1390"/>
      <c r="Z637" s="1390"/>
      <c r="AA637" s="1390"/>
      <c r="AB637" s="1390"/>
      <c r="AC637" s="1390"/>
      <c r="AD637" s="1390"/>
      <c r="AE637" s="1390"/>
      <c r="AF637" s="1390"/>
      <c r="AG637" s="1390"/>
      <c r="AH637" s="1390"/>
      <c r="AI637" s="1390"/>
      <c r="AJ637" s="1390"/>
      <c r="AK637" s="1390"/>
    </row>
    <row r="638" spans="3:37" ht="17.25" customHeight="1" x14ac:dyDescent="0.35">
      <c r="C638" s="1390"/>
      <c r="D638" s="1390"/>
      <c r="E638" s="1390"/>
      <c r="F638" s="1390"/>
      <c r="G638" s="1390"/>
      <c r="H638" s="1390"/>
      <c r="I638" s="1390"/>
      <c r="J638" s="1390"/>
      <c r="K638" s="1390"/>
      <c r="L638" s="1390"/>
      <c r="M638" s="1390"/>
      <c r="N638" s="1390"/>
      <c r="O638" s="1390"/>
      <c r="P638" s="1390"/>
      <c r="Q638" s="1390"/>
      <c r="R638" s="1390"/>
      <c r="S638" s="1390"/>
      <c r="T638" s="1390"/>
      <c r="U638" s="1390"/>
      <c r="V638" s="1390"/>
      <c r="W638" s="1390"/>
      <c r="X638" s="1390"/>
      <c r="Y638" s="1390"/>
      <c r="Z638" s="1390"/>
      <c r="AA638" s="1390"/>
      <c r="AB638" s="1390"/>
      <c r="AC638" s="1390"/>
      <c r="AD638" s="1390"/>
      <c r="AE638" s="1390"/>
      <c r="AF638" s="1390"/>
      <c r="AG638" s="1390"/>
      <c r="AH638" s="1390"/>
      <c r="AI638" s="1390"/>
      <c r="AJ638" s="1390"/>
      <c r="AK638" s="1390"/>
    </row>
    <row r="639" spans="3:37" ht="17.25" customHeight="1" x14ac:dyDescent="0.35">
      <c r="C639" s="1390"/>
      <c r="D639" s="1390"/>
      <c r="E639" s="1390"/>
      <c r="F639" s="1390"/>
      <c r="G639" s="1390"/>
      <c r="H639" s="1390"/>
      <c r="I639" s="1390"/>
      <c r="J639" s="1390"/>
      <c r="K639" s="1390"/>
      <c r="L639" s="1390"/>
      <c r="M639" s="1390"/>
      <c r="N639" s="1390"/>
      <c r="O639" s="1390"/>
      <c r="P639" s="1390"/>
      <c r="Q639" s="1390"/>
      <c r="R639" s="1390"/>
      <c r="S639" s="1390"/>
      <c r="T639" s="1390"/>
      <c r="U639" s="1390"/>
      <c r="V639" s="1390"/>
      <c r="W639" s="1390"/>
      <c r="X639" s="1390"/>
      <c r="Y639" s="1390"/>
      <c r="Z639" s="1390"/>
      <c r="AA639" s="1390"/>
      <c r="AB639" s="1390"/>
      <c r="AC639" s="1390"/>
      <c r="AD639" s="1390"/>
      <c r="AE639" s="1390"/>
      <c r="AF639" s="1390"/>
      <c r="AG639" s="1390"/>
      <c r="AH639" s="1390"/>
      <c r="AI639" s="1390"/>
      <c r="AJ639" s="1390"/>
      <c r="AK639" s="1390"/>
    </row>
    <row r="640" spans="3:37" ht="17.25" customHeight="1" x14ac:dyDescent="0.35">
      <c r="C640" s="1390"/>
      <c r="D640" s="1390"/>
      <c r="E640" s="1390"/>
      <c r="F640" s="1390"/>
      <c r="G640" s="1390"/>
      <c r="H640" s="1390"/>
      <c r="I640" s="1390"/>
      <c r="J640" s="1390"/>
      <c r="K640" s="1390"/>
      <c r="L640" s="1390"/>
      <c r="M640" s="1390"/>
      <c r="N640" s="1390"/>
      <c r="O640" s="1390"/>
      <c r="P640" s="1390"/>
      <c r="Q640" s="1390"/>
      <c r="R640" s="1390"/>
      <c r="S640" s="1390"/>
      <c r="T640" s="1390"/>
      <c r="U640" s="1390"/>
      <c r="V640" s="1390"/>
      <c r="W640" s="1390"/>
      <c r="X640" s="1390"/>
      <c r="Y640" s="1390"/>
      <c r="Z640" s="1390"/>
      <c r="AA640" s="1390"/>
      <c r="AB640" s="1390"/>
      <c r="AC640" s="1390"/>
      <c r="AD640" s="1390"/>
      <c r="AE640" s="1390"/>
      <c r="AF640" s="1390"/>
      <c r="AG640" s="1390"/>
      <c r="AH640" s="1390"/>
      <c r="AI640" s="1390"/>
      <c r="AJ640" s="1390"/>
      <c r="AK640" s="1390"/>
    </row>
    <row r="641" spans="3:37" ht="17.25" customHeight="1" x14ac:dyDescent="0.35">
      <c r="C641" s="1390"/>
      <c r="D641" s="1390"/>
      <c r="E641" s="1390"/>
      <c r="F641" s="1390"/>
      <c r="G641" s="1390"/>
      <c r="H641" s="1390"/>
      <c r="I641" s="1390"/>
      <c r="J641" s="1390"/>
      <c r="K641" s="1390"/>
      <c r="L641" s="1390"/>
      <c r="M641" s="1390"/>
      <c r="N641" s="1390"/>
      <c r="O641" s="1390"/>
      <c r="P641" s="1390"/>
      <c r="Q641" s="1390"/>
      <c r="R641" s="1390"/>
      <c r="S641" s="1390"/>
      <c r="T641" s="1390"/>
      <c r="U641" s="1390"/>
      <c r="V641" s="1390"/>
      <c r="W641" s="1390"/>
      <c r="X641" s="1390"/>
      <c r="Y641" s="1390"/>
      <c r="Z641" s="1390"/>
      <c r="AA641" s="1390"/>
      <c r="AB641" s="1390"/>
      <c r="AC641" s="1390"/>
      <c r="AD641" s="1390"/>
      <c r="AE641" s="1390"/>
      <c r="AF641" s="1390"/>
      <c r="AG641" s="1390"/>
      <c r="AH641" s="1390"/>
      <c r="AI641" s="1390"/>
      <c r="AJ641" s="1390"/>
      <c r="AK641" s="1390"/>
    </row>
    <row r="642" spans="3:37" ht="17.25" customHeight="1" x14ac:dyDescent="0.35">
      <c r="C642" s="1390"/>
      <c r="D642" s="1390"/>
      <c r="E642" s="1390"/>
      <c r="F642" s="1390"/>
      <c r="G642" s="1390"/>
      <c r="H642" s="1390"/>
      <c r="I642" s="1390"/>
      <c r="J642" s="1390"/>
      <c r="K642" s="1390"/>
      <c r="L642" s="1390"/>
      <c r="M642" s="1390"/>
      <c r="N642" s="1390"/>
      <c r="O642" s="1390"/>
      <c r="P642" s="1390"/>
      <c r="Q642" s="1390"/>
      <c r="R642" s="1390"/>
      <c r="S642" s="1390"/>
      <c r="T642" s="1390"/>
      <c r="U642" s="1390"/>
      <c r="V642" s="1390"/>
      <c r="W642" s="1390"/>
      <c r="X642" s="1390"/>
      <c r="Y642" s="1390"/>
      <c r="Z642" s="1390"/>
      <c r="AA642" s="1390"/>
      <c r="AB642" s="1390"/>
      <c r="AC642" s="1390"/>
      <c r="AD642" s="1390"/>
      <c r="AE642" s="1390"/>
      <c r="AF642" s="1390"/>
      <c r="AG642" s="1390"/>
      <c r="AH642" s="1390"/>
      <c r="AI642" s="1390"/>
      <c r="AJ642" s="1390"/>
      <c r="AK642" s="1390"/>
    </row>
    <row r="643" spans="3:37" ht="17.25" customHeight="1" x14ac:dyDescent="0.35">
      <c r="C643" s="1390"/>
      <c r="D643" s="1390"/>
      <c r="E643" s="1390"/>
      <c r="F643" s="1390"/>
      <c r="G643" s="1390"/>
      <c r="H643" s="1390"/>
      <c r="I643" s="1390"/>
      <c r="J643" s="1390"/>
      <c r="K643" s="1390"/>
      <c r="L643" s="1390"/>
      <c r="M643" s="1390"/>
      <c r="N643" s="1390"/>
      <c r="O643" s="1390"/>
      <c r="P643" s="1390"/>
      <c r="Q643" s="1390"/>
      <c r="R643" s="1390"/>
      <c r="S643" s="1390"/>
      <c r="T643" s="1390"/>
      <c r="U643" s="1390"/>
      <c r="V643" s="1390"/>
      <c r="W643" s="1390"/>
      <c r="X643" s="1390"/>
      <c r="Y643" s="1390"/>
      <c r="Z643" s="1390"/>
      <c r="AA643" s="1390"/>
      <c r="AB643" s="1390"/>
      <c r="AC643" s="1390"/>
      <c r="AD643" s="1390"/>
      <c r="AE643" s="1390"/>
      <c r="AF643" s="1390"/>
      <c r="AG643" s="1390"/>
      <c r="AH643" s="1390"/>
      <c r="AI643" s="1390"/>
      <c r="AJ643" s="1390"/>
      <c r="AK643" s="1390"/>
    </row>
    <row r="644" spans="3:37" ht="17.25" customHeight="1" x14ac:dyDescent="0.35">
      <c r="C644" s="1390"/>
      <c r="D644" s="1390"/>
      <c r="E644" s="1390"/>
      <c r="F644" s="1390"/>
      <c r="G644" s="1390"/>
      <c r="H644" s="1390"/>
      <c r="I644" s="1390"/>
      <c r="J644" s="1390"/>
      <c r="K644" s="1390"/>
      <c r="L644" s="1390"/>
      <c r="M644" s="1390"/>
      <c r="N644" s="1390"/>
      <c r="O644" s="1390"/>
      <c r="P644" s="1390"/>
      <c r="Q644" s="1390"/>
      <c r="R644" s="1390"/>
      <c r="S644" s="1390"/>
      <c r="T644" s="1390"/>
      <c r="U644" s="1390"/>
      <c r="V644" s="1390"/>
      <c r="W644" s="1390"/>
      <c r="X644" s="1390"/>
      <c r="Y644" s="1390"/>
      <c r="Z644" s="1390"/>
      <c r="AA644" s="1390"/>
      <c r="AB644" s="1390"/>
      <c r="AC644" s="1390"/>
      <c r="AD644" s="1390"/>
      <c r="AE644" s="1390"/>
      <c r="AF644" s="1390"/>
      <c r="AG644" s="1390"/>
      <c r="AH644" s="1390"/>
      <c r="AI644" s="1390"/>
      <c r="AJ644" s="1390"/>
      <c r="AK644" s="1390"/>
    </row>
    <row r="645" spans="3:37" ht="17.25" customHeight="1" x14ac:dyDescent="0.35">
      <c r="C645" s="1390"/>
      <c r="D645" s="1390"/>
      <c r="E645" s="1390"/>
      <c r="F645" s="1390"/>
      <c r="G645" s="1390"/>
      <c r="H645" s="1390"/>
      <c r="I645" s="1390"/>
      <c r="J645" s="1390"/>
      <c r="K645" s="1390"/>
      <c r="L645" s="1390"/>
      <c r="M645" s="1390"/>
      <c r="N645" s="1390"/>
      <c r="O645" s="1390"/>
      <c r="P645" s="1390"/>
      <c r="Q645" s="1390"/>
      <c r="R645" s="1390"/>
      <c r="S645" s="1390"/>
      <c r="T645" s="1390"/>
      <c r="U645" s="1390"/>
      <c r="V645" s="1390"/>
      <c r="W645" s="1390"/>
      <c r="X645" s="1390"/>
      <c r="Y645" s="1390"/>
      <c r="Z645" s="1390"/>
      <c r="AA645" s="1390"/>
      <c r="AB645" s="1390"/>
      <c r="AC645" s="1390"/>
      <c r="AD645" s="1390"/>
      <c r="AE645" s="1390"/>
      <c r="AF645" s="1390"/>
      <c r="AG645" s="1390"/>
      <c r="AH645" s="1390"/>
      <c r="AI645" s="1390"/>
      <c r="AJ645" s="1390"/>
      <c r="AK645" s="1390"/>
    </row>
    <row r="646" spans="3:37" ht="17.25" customHeight="1" x14ac:dyDescent="0.35">
      <c r="C646" s="1390"/>
      <c r="D646" s="1390"/>
      <c r="E646" s="1390"/>
      <c r="F646" s="1390"/>
      <c r="G646" s="1390"/>
      <c r="H646" s="1390"/>
      <c r="I646" s="1390"/>
      <c r="J646" s="1390"/>
      <c r="K646" s="1390"/>
      <c r="L646" s="1390"/>
      <c r="M646" s="1390"/>
      <c r="N646" s="1390"/>
      <c r="O646" s="1390"/>
      <c r="P646" s="1390"/>
      <c r="Q646" s="1390"/>
      <c r="R646" s="1390"/>
      <c r="S646" s="1390"/>
      <c r="T646" s="1390"/>
      <c r="U646" s="1390"/>
      <c r="V646" s="1390"/>
      <c r="W646" s="1390"/>
      <c r="X646" s="1390"/>
      <c r="Y646" s="1390"/>
      <c r="Z646" s="1390"/>
      <c r="AA646" s="1390"/>
      <c r="AB646" s="1390"/>
      <c r="AC646" s="1390"/>
      <c r="AD646" s="1390"/>
      <c r="AE646" s="1390"/>
      <c r="AF646" s="1390"/>
      <c r="AG646" s="1390"/>
      <c r="AH646" s="1390"/>
      <c r="AI646" s="1390"/>
      <c r="AJ646" s="1390"/>
      <c r="AK646" s="1390"/>
    </row>
    <row r="647" spans="3:37" ht="17.25" customHeight="1" x14ac:dyDescent="0.35">
      <c r="C647" s="1390"/>
      <c r="D647" s="1390"/>
      <c r="E647" s="1390"/>
      <c r="F647" s="1390"/>
      <c r="G647" s="1390"/>
      <c r="H647" s="1390"/>
      <c r="I647" s="1390"/>
      <c r="J647" s="1390"/>
      <c r="K647" s="1390"/>
      <c r="L647" s="1390"/>
      <c r="M647" s="1390"/>
      <c r="N647" s="1390"/>
      <c r="O647" s="1390"/>
      <c r="P647" s="1390"/>
      <c r="Q647" s="1390"/>
      <c r="R647" s="1390"/>
      <c r="S647" s="1390"/>
      <c r="T647" s="1390"/>
      <c r="U647" s="1390"/>
      <c r="V647" s="1390"/>
      <c r="W647" s="1390"/>
      <c r="X647" s="1390"/>
      <c r="Y647" s="1390"/>
      <c r="Z647" s="1390"/>
      <c r="AA647" s="1390"/>
      <c r="AB647" s="1390"/>
      <c r="AC647" s="1390"/>
      <c r="AD647" s="1390"/>
      <c r="AE647" s="1390"/>
      <c r="AF647" s="1390"/>
      <c r="AG647" s="1390"/>
      <c r="AH647" s="1390"/>
      <c r="AI647" s="1390"/>
      <c r="AJ647" s="1390"/>
      <c r="AK647" s="1390"/>
    </row>
    <row r="648" spans="3:37" ht="17.25" customHeight="1" x14ac:dyDescent="0.35">
      <c r="C648" s="1390"/>
      <c r="D648" s="1390"/>
      <c r="E648" s="1390"/>
      <c r="F648" s="1390"/>
      <c r="G648" s="1390"/>
      <c r="H648" s="1390"/>
      <c r="I648" s="1390"/>
      <c r="J648" s="1390"/>
      <c r="K648" s="1390"/>
      <c r="L648" s="1390"/>
      <c r="M648" s="1390"/>
      <c r="N648" s="1390"/>
      <c r="O648" s="1390"/>
      <c r="P648" s="1390"/>
      <c r="Q648" s="1390"/>
      <c r="R648" s="1390"/>
      <c r="S648" s="1390"/>
      <c r="T648" s="1390"/>
      <c r="U648" s="1390"/>
      <c r="V648" s="1390"/>
      <c r="W648" s="1390"/>
      <c r="X648" s="1390"/>
      <c r="Y648" s="1390"/>
      <c r="Z648" s="1390"/>
      <c r="AA648" s="1390"/>
      <c r="AB648" s="1390"/>
      <c r="AC648" s="1390"/>
      <c r="AD648" s="1390"/>
      <c r="AE648" s="1390"/>
      <c r="AF648" s="1390"/>
      <c r="AG648" s="1390"/>
      <c r="AH648" s="1390"/>
      <c r="AI648" s="1390"/>
      <c r="AJ648" s="1390"/>
      <c r="AK648" s="1390"/>
    </row>
    <row r="649" spans="3:37" ht="17.25" customHeight="1" x14ac:dyDescent="0.35">
      <c r="C649" s="1390"/>
      <c r="D649" s="1390"/>
      <c r="E649" s="1390"/>
      <c r="F649" s="1390"/>
      <c r="G649" s="1390"/>
      <c r="H649" s="1390"/>
      <c r="I649" s="1390"/>
      <c r="J649" s="1390"/>
      <c r="K649" s="1390"/>
      <c r="L649" s="1390"/>
      <c r="M649" s="1390"/>
      <c r="N649" s="1390"/>
      <c r="O649" s="1390"/>
      <c r="P649" s="1390"/>
      <c r="Q649" s="1390"/>
      <c r="R649" s="1390"/>
      <c r="S649" s="1390"/>
      <c r="T649" s="1390"/>
      <c r="U649" s="1390"/>
      <c r="V649" s="1390"/>
      <c r="W649" s="1390"/>
      <c r="X649" s="1390"/>
      <c r="Y649" s="1390"/>
      <c r="Z649" s="1390"/>
      <c r="AA649" s="1390"/>
      <c r="AB649" s="1390"/>
      <c r="AC649" s="1390"/>
      <c r="AD649" s="1390"/>
      <c r="AE649" s="1390"/>
      <c r="AF649" s="1390"/>
      <c r="AG649" s="1390"/>
      <c r="AH649" s="1390"/>
      <c r="AI649" s="1390"/>
      <c r="AJ649" s="1390"/>
      <c r="AK649" s="1390"/>
    </row>
    <row r="650" spans="3:37" ht="17.25" customHeight="1" x14ac:dyDescent="0.35">
      <c r="C650" s="1390"/>
      <c r="D650" s="1390"/>
      <c r="E650" s="1390"/>
      <c r="F650" s="1390"/>
      <c r="G650" s="1390"/>
      <c r="H650" s="1390"/>
      <c r="I650" s="1390"/>
      <c r="J650" s="1390"/>
      <c r="K650" s="1390"/>
      <c r="L650" s="1390"/>
      <c r="M650" s="1390"/>
      <c r="N650" s="1390"/>
      <c r="O650" s="1390"/>
      <c r="P650" s="1390"/>
      <c r="Q650" s="1390"/>
      <c r="R650" s="1390"/>
      <c r="S650" s="1390"/>
      <c r="T650" s="1390"/>
      <c r="U650" s="1390"/>
      <c r="V650" s="1390"/>
      <c r="W650" s="1390"/>
      <c r="X650" s="1390"/>
      <c r="Y650" s="1390"/>
      <c r="Z650" s="1390"/>
      <c r="AA650" s="1390"/>
      <c r="AB650" s="1390"/>
      <c r="AC650" s="1390"/>
      <c r="AD650" s="1390"/>
      <c r="AE650" s="1390"/>
      <c r="AF650" s="1390"/>
      <c r="AG650" s="1390"/>
      <c r="AH650" s="1390"/>
      <c r="AI650" s="1390"/>
      <c r="AJ650" s="1390"/>
      <c r="AK650" s="1390"/>
    </row>
    <row r="651" spans="3:37" ht="17.25" customHeight="1" x14ac:dyDescent="0.35">
      <c r="C651" s="1390"/>
      <c r="D651" s="1390"/>
      <c r="E651" s="1390"/>
      <c r="F651" s="1390"/>
      <c r="G651" s="1390"/>
      <c r="H651" s="1390"/>
      <c r="I651" s="1390"/>
      <c r="J651" s="1390"/>
      <c r="K651" s="1390"/>
      <c r="L651" s="1390"/>
      <c r="M651" s="1390"/>
      <c r="N651" s="1390"/>
      <c r="O651" s="1390"/>
      <c r="P651" s="1390"/>
      <c r="Q651" s="1390"/>
      <c r="R651" s="1390"/>
      <c r="S651" s="1390"/>
      <c r="T651" s="1390"/>
      <c r="U651" s="1390"/>
      <c r="V651" s="1390"/>
      <c r="W651" s="1390"/>
      <c r="X651" s="1390"/>
      <c r="Y651" s="1390"/>
      <c r="Z651" s="1390"/>
      <c r="AA651" s="1390"/>
      <c r="AB651" s="1390"/>
      <c r="AC651" s="1390"/>
      <c r="AD651" s="1390"/>
      <c r="AE651" s="1390"/>
      <c r="AF651" s="1390"/>
      <c r="AG651" s="1390"/>
      <c r="AH651" s="1390"/>
      <c r="AI651" s="1390"/>
      <c r="AJ651" s="1390"/>
      <c r="AK651" s="1390"/>
    </row>
    <row r="652" spans="3:37" ht="17.25" customHeight="1" x14ac:dyDescent="0.35">
      <c r="C652" s="1390"/>
      <c r="D652" s="1390"/>
      <c r="E652" s="1390"/>
      <c r="F652" s="1390"/>
      <c r="G652" s="1390"/>
      <c r="H652" s="1390"/>
      <c r="I652" s="1390"/>
      <c r="J652" s="1390"/>
      <c r="K652" s="1390"/>
      <c r="L652" s="1390"/>
      <c r="M652" s="1390"/>
      <c r="N652" s="1390"/>
      <c r="O652" s="1390"/>
      <c r="P652" s="1390"/>
      <c r="Q652" s="1390"/>
      <c r="R652" s="1390"/>
      <c r="S652" s="1390"/>
      <c r="T652" s="1390"/>
      <c r="U652" s="1390"/>
      <c r="V652" s="1390"/>
      <c r="W652" s="1390"/>
      <c r="X652" s="1390"/>
      <c r="Y652" s="1390"/>
      <c r="Z652" s="1390"/>
      <c r="AA652" s="1390"/>
      <c r="AB652" s="1390"/>
      <c r="AC652" s="1390"/>
      <c r="AD652" s="1390"/>
      <c r="AE652" s="1390"/>
      <c r="AF652" s="1390"/>
      <c r="AG652" s="1390"/>
      <c r="AH652" s="1390"/>
      <c r="AI652" s="1390"/>
      <c r="AJ652" s="1390"/>
      <c r="AK652" s="1390"/>
    </row>
    <row r="653" spans="3:37" ht="17.25" customHeight="1" x14ac:dyDescent="0.35">
      <c r="C653" s="1390"/>
      <c r="D653" s="1390"/>
      <c r="E653" s="1390"/>
      <c r="F653" s="1390"/>
      <c r="G653" s="1390"/>
      <c r="H653" s="1390"/>
      <c r="I653" s="1390"/>
      <c r="J653" s="1390"/>
      <c r="K653" s="1390"/>
      <c r="L653" s="1390"/>
      <c r="M653" s="1390"/>
      <c r="N653" s="1390"/>
      <c r="O653" s="1390"/>
      <c r="P653" s="1390"/>
      <c r="Q653" s="1390"/>
      <c r="R653" s="1390"/>
      <c r="S653" s="1390"/>
      <c r="T653" s="1390"/>
      <c r="U653" s="1390"/>
      <c r="V653" s="1390"/>
      <c r="W653" s="1390"/>
      <c r="X653" s="1390"/>
      <c r="Y653" s="1390"/>
      <c r="Z653" s="1390"/>
      <c r="AA653" s="1390"/>
      <c r="AB653" s="1390"/>
      <c r="AC653" s="1390"/>
      <c r="AD653" s="1390"/>
      <c r="AE653" s="1390"/>
      <c r="AF653" s="1390"/>
      <c r="AG653" s="1390"/>
      <c r="AH653" s="1390"/>
      <c r="AI653" s="1390"/>
      <c r="AJ653" s="1390"/>
      <c r="AK653" s="1390"/>
    </row>
    <row r="654" spans="3:37" ht="17.25" customHeight="1" x14ac:dyDescent="0.35">
      <c r="C654" s="1390"/>
      <c r="D654" s="1390"/>
      <c r="E654" s="1390"/>
      <c r="F654" s="1390"/>
      <c r="G654" s="1390"/>
      <c r="H654" s="1390"/>
      <c r="I654" s="1390"/>
      <c r="J654" s="1390"/>
      <c r="K654" s="1390"/>
      <c r="L654" s="1390"/>
      <c r="M654" s="1390"/>
      <c r="N654" s="1390"/>
      <c r="O654" s="1390"/>
      <c r="P654" s="1390"/>
      <c r="Q654" s="1390"/>
      <c r="R654" s="1390"/>
      <c r="S654" s="1390"/>
      <c r="T654" s="1390"/>
      <c r="U654" s="1390"/>
      <c r="V654" s="1390"/>
      <c r="W654" s="1390"/>
      <c r="X654" s="1390"/>
      <c r="Y654" s="1390"/>
      <c r="Z654" s="1390"/>
      <c r="AA654" s="1390"/>
      <c r="AB654" s="1390"/>
      <c r="AC654" s="1390"/>
      <c r="AD654" s="1390"/>
      <c r="AE654" s="1390"/>
      <c r="AF654" s="1390"/>
      <c r="AG654" s="1390"/>
      <c r="AH654" s="1390"/>
      <c r="AI654" s="1390"/>
      <c r="AJ654" s="1390"/>
      <c r="AK654" s="1390"/>
    </row>
    <row r="655" spans="3:37" ht="17.25" customHeight="1" x14ac:dyDescent="0.35">
      <c r="C655" s="1390"/>
      <c r="D655" s="1390"/>
      <c r="E655" s="1390"/>
      <c r="F655" s="1390"/>
      <c r="G655" s="1390"/>
      <c r="H655" s="1390"/>
      <c r="I655" s="1390"/>
      <c r="J655" s="1390"/>
      <c r="K655" s="1390"/>
      <c r="L655" s="1390"/>
      <c r="M655" s="1390"/>
      <c r="N655" s="1390"/>
      <c r="O655" s="1390"/>
      <c r="P655" s="1390"/>
      <c r="Q655" s="1390"/>
      <c r="R655" s="1390"/>
      <c r="S655" s="1390"/>
      <c r="T655" s="1390"/>
      <c r="U655" s="1390"/>
      <c r="V655" s="1390"/>
      <c r="W655" s="1390"/>
      <c r="X655" s="1390"/>
      <c r="Y655" s="1390"/>
      <c r="Z655" s="1390"/>
      <c r="AA655" s="1390"/>
      <c r="AB655" s="1390"/>
      <c r="AC655" s="1390"/>
      <c r="AD655" s="1390"/>
      <c r="AE655" s="1390"/>
      <c r="AF655" s="1390"/>
      <c r="AG655" s="1390"/>
      <c r="AH655" s="1390"/>
      <c r="AI655" s="1390"/>
      <c r="AJ655" s="1390"/>
      <c r="AK655" s="1390"/>
    </row>
    <row r="656" spans="3:37" ht="17.25" customHeight="1" x14ac:dyDescent="0.35">
      <c r="C656" s="1390"/>
      <c r="D656" s="1390"/>
      <c r="E656" s="1390"/>
      <c r="F656" s="1390"/>
      <c r="G656" s="1390"/>
      <c r="H656" s="1390"/>
      <c r="I656" s="1390"/>
      <c r="J656" s="1390"/>
      <c r="K656" s="1390"/>
      <c r="L656" s="1390"/>
      <c r="M656" s="1390"/>
      <c r="N656" s="1390"/>
      <c r="O656" s="1390"/>
      <c r="P656" s="1390"/>
      <c r="Q656" s="1390"/>
      <c r="R656" s="1390"/>
      <c r="S656" s="1390"/>
      <c r="T656" s="1390"/>
      <c r="U656" s="1390"/>
      <c r="V656" s="1390"/>
      <c r="W656" s="1390"/>
      <c r="X656" s="1390"/>
      <c r="Y656" s="1390"/>
      <c r="Z656" s="1390"/>
      <c r="AA656" s="1390"/>
      <c r="AB656" s="1390"/>
      <c r="AC656" s="1390"/>
      <c r="AD656" s="1390"/>
      <c r="AE656" s="1390"/>
      <c r="AF656" s="1390"/>
      <c r="AG656" s="1390"/>
      <c r="AH656" s="1390"/>
      <c r="AI656" s="1390"/>
      <c r="AJ656" s="1390"/>
      <c r="AK656" s="1390"/>
    </row>
    <row r="657" spans="3:37" ht="17.25" customHeight="1" x14ac:dyDescent="0.35">
      <c r="C657" s="1390"/>
      <c r="D657" s="1390"/>
      <c r="E657" s="1390"/>
      <c r="F657" s="1390"/>
      <c r="G657" s="1390"/>
      <c r="H657" s="1390"/>
      <c r="I657" s="1390"/>
      <c r="J657" s="1390"/>
      <c r="K657" s="1390"/>
      <c r="L657" s="1390"/>
      <c r="M657" s="1390"/>
      <c r="N657" s="1390"/>
      <c r="O657" s="1390"/>
      <c r="P657" s="1390"/>
      <c r="Q657" s="1390"/>
      <c r="R657" s="1390"/>
      <c r="S657" s="1390"/>
      <c r="T657" s="1390"/>
      <c r="U657" s="1390"/>
      <c r="V657" s="1390"/>
      <c r="W657" s="1390"/>
      <c r="X657" s="1390"/>
      <c r="Y657" s="1390"/>
      <c r="Z657" s="1390"/>
      <c r="AA657" s="1390"/>
      <c r="AB657" s="1390"/>
      <c r="AC657" s="1390"/>
      <c r="AD657" s="1390"/>
      <c r="AE657" s="1390"/>
      <c r="AF657" s="1390"/>
      <c r="AG657" s="1390"/>
      <c r="AH657" s="1390"/>
      <c r="AI657" s="1390"/>
      <c r="AJ657" s="1390"/>
      <c r="AK657" s="1390"/>
    </row>
    <row r="658" spans="3:37" ht="17.25" customHeight="1" x14ac:dyDescent="0.35">
      <c r="C658" s="1390"/>
      <c r="D658" s="1390"/>
      <c r="E658" s="1390"/>
      <c r="F658" s="1390"/>
      <c r="G658" s="1390"/>
      <c r="H658" s="1390"/>
      <c r="I658" s="1390"/>
      <c r="J658" s="1390"/>
      <c r="K658" s="1390"/>
      <c r="L658" s="1390"/>
      <c r="M658" s="1390"/>
      <c r="N658" s="1390"/>
      <c r="O658" s="1390"/>
      <c r="P658" s="1390"/>
      <c r="Q658" s="1390"/>
      <c r="R658" s="1390"/>
      <c r="S658" s="1390"/>
      <c r="T658" s="1390"/>
      <c r="U658" s="1390"/>
      <c r="V658" s="1390"/>
      <c r="W658" s="1390"/>
      <c r="X658" s="1390"/>
      <c r="Y658" s="1390"/>
      <c r="Z658" s="1390"/>
      <c r="AA658" s="1390"/>
      <c r="AB658" s="1390"/>
      <c r="AC658" s="1390"/>
      <c r="AD658" s="1390"/>
      <c r="AE658" s="1390"/>
      <c r="AF658" s="1390"/>
      <c r="AG658" s="1390"/>
      <c r="AH658" s="1390"/>
      <c r="AI658" s="1390"/>
      <c r="AJ658" s="1390"/>
      <c r="AK658" s="1390"/>
    </row>
    <row r="659" spans="3:37" ht="17.25" customHeight="1" x14ac:dyDescent="0.35">
      <c r="C659" s="1390"/>
      <c r="D659" s="1390"/>
      <c r="E659" s="1390"/>
      <c r="F659" s="1390"/>
      <c r="G659" s="1390"/>
      <c r="H659" s="1390"/>
      <c r="I659" s="1390"/>
      <c r="J659" s="1390"/>
      <c r="K659" s="1390"/>
      <c r="L659" s="1390"/>
      <c r="M659" s="1390"/>
      <c r="N659" s="1390"/>
      <c r="O659" s="1390"/>
      <c r="P659" s="1390"/>
      <c r="Q659" s="1390"/>
      <c r="R659" s="1390"/>
      <c r="S659" s="1390"/>
      <c r="T659" s="1390"/>
      <c r="U659" s="1390"/>
      <c r="V659" s="1390"/>
      <c r="W659" s="1390"/>
      <c r="X659" s="1390"/>
      <c r="Y659" s="1390"/>
      <c r="Z659" s="1390"/>
      <c r="AA659" s="1390"/>
      <c r="AB659" s="1390"/>
      <c r="AC659" s="1390"/>
      <c r="AD659" s="1390"/>
      <c r="AE659" s="1390"/>
      <c r="AF659" s="1390"/>
      <c r="AG659" s="1390"/>
      <c r="AH659" s="1390"/>
      <c r="AI659" s="1390"/>
      <c r="AJ659" s="1390"/>
      <c r="AK659" s="1390"/>
    </row>
    <row r="660" spans="3:37" ht="17.25" customHeight="1" x14ac:dyDescent="0.35">
      <c r="C660" s="1390"/>
      <c r="D660" s="1390"/>
      <c r="E660" s="1390"/>
      <c r="F660" s="1390"/>
      <c r="G660" s="1390"/>
      <c r="H660" s="1390"/>
      <c r="I660" s="1390"/>
      <c r="J660" s="1390"/>
      <c r="K660" s="1390"/>
      <c r="L660" s="1390"/>
      <c r="M660" s="1390"/>
      <c r="N660" s="1390"/>
      <c r="O660" s="1390"/>
      <c r="P660" s="1390"/>
      <c r="Q660" s="1390"/>
      <c r="R660" s="1390"/>
      <c r="S660" s="1390"/>
      <c r="T660" s="1390"/>
      <c r="U660" s="1390"/>
      <c r="V660" s="1390"/>
      <c r="W660" s="1390"/>
      <c r="X660" s="1390"/>
      <c r="Y660" s="1390"/>
      <c r="Z660" s="1390"/>
      <c r="AA660" s="1390"/>
      <c r="AB660" s="1390"/>
      <c r="AC660" s="1390"/>
      <c r="AD660" s="1390"/>
      <c r="AE660" s="1390"/>
      <c r="AF660" s="1390"/>
      <c r="AG660" s="1390"/>
      <c r="AH660" s="1390"/>
      <c r="AI660" s="1390"/>
      <c r="AJ660" s="1390"/>
      <c r="AK660" s="1390"/>
    </row>
    <row r="661" spans="3:37" ht="17.25" customHeight="1" x14ac:dyDescent="0.35">
      <c r="C661" s="1390"/>
      <c r="D661" s="1390"/>
      <c r="E661" s="1390"/>
      <c r="F661" s="1390"/>
      <c r="G661" s="1390"/>
      <c r="H661" s="1390"/>
      <c r="I661" s="1390"/>
      <c r="J661" s="1390"/>
      <c r="K661" s="1390"/>
      <c r="L661" s="1390"/>
      <c r="M661" s="1390"/>
      <c r="N661" s="1390"/>
      <c r="O661" s="1390"/>
      <c r="P661" s="1390"/>
      <c r="Q661" s="1390"/>
      <c r="R661" s="1390"/>
      <c r="S661" s="1390"/>
      <c r="T661" s="1390"/>
      <c r="U661" s="1390"/>
      <c r="V661" s="1390"/>
      <c r="W661" s="1390"/>
      <c r="X661" s="1390"/>
      <c r="Y661" s="1390"/>
      <c r="Z661" s="1390"/>
      <c r="AA661" s="1390"/>
      <c r="AB661" s="1390"/>
      <c r="AC661" s="1390"/>
      <c r="AD661" s="1390"/>
      <c r="AE661" s="1390"/>
      <c r="AF661" s="1390"/>
      <c r="AG661" s="1390"/>
      <c r="AH661" s="1390"/>
      <c r="AI661" s="1390"/>
      <c r="AJ661" s="1390"/>
      <c r="AK661" s="1390"/>
    </row>
    <row r="662" spans="3:37" ht="17.25" customHeight="1" x14ac:dyDescent="0.35">
      <c r="C662" s="1390"/>
      <c r="D662" s="1390"/>
      <c r="E662" s="1390"/>
      <c r="F662" s="1390"/>
      <c r="G662" s="1390"/>
      <c r="H662" s="1390"/>
      <c r="I662" s="1390"/>
      <c r="J662" s="1390"/>
      <c r="K662" s="1390"/>
      <c r="L662" s="1390"/>
      <c r="M662" s="1390"/>
      <c r="N662" s="1390"/>
      <c r="O662" s="1390"/>
      <c r="P662" s="1390"/>
      <c r="Q662" s="1390"/>
      <c r="R662" s="1390"/>
      <c r="S662" s="1390"/>
      <c r="T662" s="1390"/>
      <c r="U662" s="1390"/>
      <c r="V662" s="1390"/>
      <c r="W662" s="1390"/>
      <c r="X662" s="1390"/>
      <c r="Y662" s="1390"/>
      <c r="Z662" s="1390"/>
      <c r="AA662" s="1390"/>
      <c r="AB662" s="1390"/>
      <c r="AC662" s="1390"/>
      <c r="AD662" s="1390"/>
      <c r="AE662" s="1390"/>
      <c r="AF662" s="1390"/>
      <c r="AG662" s="1390"/>
      <c r="AH662" s="1390"/>
      <c r="AI662" s="1390"/>
      <c r="AJ662" s="1390"/>
      <c r="AK662" s="1390"/>
    </row>
    <row r="663" spans="3:37" ht="17.25" customHeight="1" x14ac:dyDescent="0.35">
      <c r="C663" s="1390"/>
      <c r="D663" s="1390"/>
      <c r="E663" s="1390"/>
      <c r="F663" s="1390"/>
      <c r="G663" s="1390"/>
      <c r="H663" s="1390"/>
      <c r="I663" s="1390"/>
      <c r="J663" s="1390"/>
      <c r="K663" s="1390"/>
      <c r="L663" s="1390"/>
      <c r="M663" s="1390"/>
      <c r="N663" s="1390"/>
      <c r="O663" s="1390"/>
      <c r="P663" s="1390"/>
      <c r="Q663" s="1390"/>
      <c r="R663" s="1390"/>
      <c r="S663" s="1390"/>
      <c r="T663" s="1390"/>
      <c r="U663" s="1390"/>
      <c r="V663" s="1390"/>
      <c r="W663" s="1390"/>
      <c r="X663" s="1390"/>
      <c r="Y663" s="1390"/>
      <c r="Z663" s="1390"/>
      <c r="AA663" s="1390"/>
      <c r="AB663" s="1390"/>
      <c r="AC663" s="1390"/>
      <c r="AD663" s="1390"/>
      <c r="AE663" s="1390"/>
      <c r="AF663" s="1390"/>
      <c r="AG663" s="1390"/>
      <c r="AH663" s="1390"/>
      <c r="AI663" s="1390"/>
      <c r="AJ663" s="1390"/>
      <c r="AK663" s="1390"/>
    </row>
    <row r="664" spans="3:37" ht="17.25" customHeight="1" x14ac:dyDescent="0.35">
      <c r="C664" s="1390"/>
      <c r="D664" s="1390"/>
      <c r="E664" s="1390"/>
      <c r="F664" s="1390"/>
      <c r="G664" s="1390"/>
      <c r="H664" s="1390"/>
      <c r="I664" s="1390"/>
      <c r="J664" s="1390"/>
      <c r="K664" s="1390"/>
      <c r="L664" s="1390"/>
      <c r="M664" s="1390"/>
      <c r="N664" s="1390"/>
      <c r="O664" s="1390"/>
      <c r="P664" s="1390"/>
      <c r="Q664" s="1390"/>
      <c r="R664" s="1390"/>
      <c r="S664" s="1390"/>
      <c r="T664" s="1390"/>
      <c r="U664" s="1390"/>
      <c r="V664" s="1390"/>
      <c r="W664" s="1390"/>
      <c r="X664" s="1390"/>
      <c r="Y664" s="1390"/>
      <c r="Z664" s="1390"/>
      <c r="AA664" s="1390"/>
      <c r="AB664" s="1390"/>
      <c r="AC664" s="1390"/>
      <c r="AD664" s="1390"/>
      <c r="AE664" s="1390"/>
      <c r="AF664" s="1390"/>
      <c r="AG664" s="1390"/>
      <c r="AH664" s="1390"/>
      <c r="AI664" s="1390"/>
      <c r="AJ664" s="1390"/>
      <c r="AK664" s="1390"/>
    </row>
    <row r="665" spans="3:37" ht="17.25" customHeight="1" x14ac:dyDescent="0.35">
      <c r="C665" s="1390"/>
      <c r="D665" s="1390"/>
      <c r="E665" s="1390"/>
      <c r="F665" s="1390"/>
      <c r="G665" s="1390"/>
      <c r="H665" s="1390"/>
      <c r="I665" s="1390"/>
      <c r="J665" s="1390"/>
      <c r="K665" s="1390"/>
      <c r="L665" s="1390"/>
      <c r="M665" s="1390"/>
      <c r="N665" s="1390"/>
      <c r="O665" s="1390"/>
      <c r="P665" s="1390"/>
      <c r="Q665" s="1390"/>
      <c r="R665" s="1390"/>
      <c r="S665" s="1390"/>
      <c r="T665" s="1390"/>
      <c r="U665" s="1390"/>
      <c r="V665" s="1390"/>
      <c r="W665" s="1390"/>
      <c r="X665" s="1390"/>
      <c r="Y665" s="1390"/>
      <c r="Z665" s="1390"/>
      <c r="AA665" s="1390"/>
      <c r="AB665" s="1390"/>
      <c r="AC665" s="1390"/>
      <c r="AD665" s="1390"/>
      <c r="AE665" s="1390"/>
      <c r="AF665" s="1390"/>
      <c r="AG665" s="1390"/>
      <c r="AH665" s="1390"/>
      <c r="AI665" s="1390"/>
      <c r="AJ665" s="1390"/>
      <c r="AK665" s="1390"/>
    </row>
    <row r="666" spans="3:37" ht="17.25" customHeight="1" x14ac:dyDescent="0.35">
      <c r="C666" s="1390"/>
      <c r="D666" s="1390"/>
      <c r="E666" s="1390"/>
      <c r="F666" s="1390"/>
      <c r="G666" s="1390"/>
      <c r="H666" s="1390"/>
      <c r="I666" s="1390"/>
      <c r="J666" s="1390"/>
      <c r="K666" s="1390"/>
      <c r="L666" s="1390"/>
      <c r="M666" s="1390"/>
      <c r="N666" s="1390"/>
      <c r="O666" s="1390"/>
      <c r="P666" s="1390"/>
      <c r="Q666" s="1390"/>
      <c r="R666" s="1390"/>
      <c r="S666" s="1390"/>
      <c r="T666" s="1390"/>
      <c r="U666" s="1390"/>
      <c r="V666" s="1390"/>
      <c r="W666" s="1390"/>
      <c r="X666" s="1390"/>
      <c r="Y666" s="1390"/>
      <c r="Z666" s="1390"/>
      <c r="AA666" s="1390"/>
      <c r="AB666" s="1390"/>
      <c r="AC666" s="1390"/>
      <c r="AD666" s="1390"/>
      <c r="AE666" s="1390"/>
      <c r="AF666" s="1390"/>
      <c r="AG666" s="1390"/>
      <c r="AH666" s="1390"/>
      <c r="AI666" s="1390"/>
      <c r="AJ666" s="1390"/>
      <c r="AK666" s="1390"/>
    </row>
    <row r="667" spans="3:37" ht="17.25" customHeight="1" x14ac:dyDescent="0.35">
      <c r="C667" s="1390"/>
      <c r="D667" s="1390"/>
      <c r="E667" s="1390"/>
      <c r="F667" s="1390"/>
      <c r="G667" s="1390"/>
      <c r="H667" s="1390"/>
      <c r="I667" s="1390"/>
      <c r="J667" s="1390"/>
      <c r="K667" s="1390"/>
      <c r="L667" s="1390"/>
      <c r="M667" s="1390"/>
      <c r="N667" s="1390"/>
      <c r="O667" s="1390"/>
      <c r="P667" s="1390"/>
      <c r="Q667" s="1390"/>
      <c r="R667" s="1390"/>
      <c r="S667" s="1390"/>
      <c r="T667" s="1390"/>
      <c r="U667" s="1390"/>
      <c r="V667" s="1390"/>
      <c r="W667" s="1390"/>
      <c r="X667" s="1390"/>
      <c r="Y667" s="1390"/>
      <c r="Z667" s="1390"/>
      <c r="AA667" s="1390"/>
      <c r="AB667" s="1390"/>
      <c r="AC667" s="1390"/>
      <c r="AD667" s="1390"/>
      <c r="AE667" s="1390"/>
      <c r="AF667" s="1390"/>
      <c r="AG667" s="1390"/>
      <c r="AH667" s="1390"/>
      <c r="AI667" s="1390"/>
      <c r="AJ667" s="1390"/>
      <c r="AK667" s="1390"/>
    </row>
    <row r="668" spans="3:37" ht="17.25" customHeight="1" x14ac:dyDescent="0.35">
      <c r="C668" s="1390"/>
      <c r="D668" s="1390"/>
      <c r="E668" s="1390"/>
      <c r="F668" s="1390"/>
      <c r="G668" s="1390"/>
      <c r="H668" s="1390"/>
      <c r="I668" s="1390"/>
      <c r="J668" s="1390"/>
      <c r="K668" s="1390"/>
      <c r="L668" s="1390"/>
      <c r="M668" s="1390"/>
      <c r="N668" s="1390"/>
      <c r="O668" s="1390"/>
      <c r="P668" s="1390"/>
      <c r="Q668" s="1390"/>
      <c r="R668" s="1390"/>
      <c r="S668" s="1390"/>
      <c r="T668" s="1390"/>
      <c r="U668" s="1390"/>
      <c r="V668" s="1390"/>
      <c r="W668" s="1390"/>
      <c r="X668" s="1390"/>
      <c r="Y668" s="1390"/>
      <c r="Z668" s="1390"/>
      <c r="AA668" s="1390"/>
      <c r="AB668" s="1390"/>
      <c r="AC668" s="1390"/>
      <c r="AD668" s="1390"/>
      <c r="AE668" s="1390"/>
      <c r="AF668" s="1390"/>
      <c r="AG668" s="1390"/>
      <c r="AH668" s="1390"/>
      <c r="AI668" s="1390"/>
      <c r="AJ668" s="1390"/>
      <c r="AK668" s="1390"/>
    </row>
    <row r="669" spans="3:37" ht="17.25" customHeight="1" x14ac:dyDescent="0.35">
      <c r="C669" s="1390"/>
      <c r="D669" s="1390"/>
      <c r="E669" s="1390"/>
      <c r="F669" s="1390"/>
      <c r="G669" s="1390"/>
      <c r="H669" s="1390"/>
      <c r="I669" s="1390"/>
      <c r="J669" s="1390"/>
      <c r="K669" s="1390"/>
      <c r="L669" s="1390"/>
      <c r="M669" s="1390"/>
      <c r="N669" s="1390"/>
      <c r="O669" s="1390"/>
      <c r="P669" s="1390"/>
      <c r="Q669" s="1390"/>
      <c r="R669" s="1390"/>
      <c r="S669" s="1390"/>
      <c r="T669" s="1390"/>
      <c r="U669" s="1390"/>
      <c r="V669" s="1390"/>
      <c r="W669" s="1390"/>
      <c r="X669" s="1390"/>
      <c r="Y669" s="1390"/>
      <c r="Z669" s="1390"/>
      <c r="AA669" s="1390"/>
      <c r="AB669" s="1390"/>
      <c r="AC669" s="1390"/>
      <c r="AD669" s="1390"/>
      <c r="AE669" s="1390"/>
      <c r="AF669" s="1390"/>
      <c r="AG669" s="1390"/>
      <c r="AH669" s="1390"/>
      <c r="AI669" s="1390"/>
      <c r="AJ669" s="1390"/>
      <c r="AK669" s="1390"/>
    </row>
    <row r="670" spans="3:37" ht="17.25" customHeight="1" x14ac:dyDescent="0.35">
      <c r="C670" s="1390"/>
      <c r="D670" s="1390"/>
      <c r="E670" s="1390"/>
      <c r="F670" s="1390"/>
      <c r="G670" s="1390"/>
      <c r="H670" s="1390"/>
      <c r="I670" s="1390"/>
      <c r="J670" s="1390"/>
      <c r="K670" s="1390"/>
      <c r="L670" s="1390"/>
      <c r="M670" s="1390"/>
      <c r="N670" s="1390"/>
      <c r="O670" s="1390"/>
      <c r="P670" s="1390"/>
      <c r="Q670" s="1390"/>
      <c r="R670" s="1390"/>
      <c r="S670" s="1390"/>
      <c r="T670" s="1390"/>
      <c r="U670" s="1390"/>
      <c r="V670" s="1390"/>
      <c r="W670" s="1390"/>
      <c r="X670" s="1390"/>
      <c r="Y670" s="1390"/>
      <c r="Z670" s="1390"/>
      <c r="AA670" s="1390"/>
      <c r="AB670" s="1390"/>
      <c r="AC670" s="1390"/>
      <c r="AD670" s="1390"/>
      <c r="AE670" s="1390"/>
      <c r="AF670" s="1390"/>
      <c r="AG670" s="1390"/>
      <c r="AH670" s="1390"/>
      <c r="AI670" s="1390"/>
      <c r="AJ670" s="1390"/>
      <c r="AK670" s="1390"/>
    </row>
    <row r="671" spans="3:37" ht="17.25" customHeight="1" x14ac:dyDescent="0.35">
      <c r="C671" s="1390"/>
      <c r="D671" s="1390"/>
      <c r="E671" s="1390"/>
      <c r="F671" s="1390"/>
      <c r="G671" s="1390"/>
      <c r="H671" s="1390"/>
      <c r="I671" s="1390"/>
      <c r="J671" s="1390"/>
      <c r="K671" s="1390"/>
      <c r="L671" s="1390"/>
      <c r="M671" s="1390"/>
      <c r="N671" s="1390"/>
      <c r="O671" s="1390"/>
      <c r="P671" s="1390"/>
      <c r="Q671" s="1390"/>
      <c r="R671" s="1390"/>
      <c r="S671" s="1390"/>
      <c r="T671" s="1390"/>
      <c r="U671" s="1390"/>
      <c r="V671" s="1390"/>
      <c r="W671" s="1390"/>
      <c r="X671" s="1390"/>
      <c r="Y671" s="1390"/>
      <c r="Z671" s="1390"/>
      <c r="AA671" s="1390"/>
      <c r="AB671" s="1390"/>
      <c r="AC671" s="1390"/>
      <c r="AD671" s="1390"/>
      <c r="AE671" s="1390"/>
      <c r="AF671" s="1390"/>
      <c r="AG671" s="1390"/>
      <c r="AH671" s="1390"/>
      <c r="AI671" s="1390"/>
      <c r="AJ671" s="1390"/>
      <c r="AK671" s="1390"/>
    </row>
    <row r="672" spans="3:37" ht="17.25" customHeight="1" x14ac:dyDescent="0.35">
      <c r="C672" s="1390"/>
      <c r="D672" s="1390"/>
      <c r="E672" s="1390"/>
      <c r="F672" s="1390"/>
      <c r="G672" s="1390"/>
      <c r="H672" s="1390"/>
      <c r="I672" s="1390"/>
      <c r="J672" s="1390"/>
      <c r="K672" s="1390"/>
      <c r="L672" s="1390"/>
      <c r="M672" s="1390"/>
      <c r="N672" s="1390"/>
      <c r="O672" s="1390"/>
      <c r="P672" s="1390"/>
      <c r="Q672" s="1390"/>
      <c r="R672" s="1390"/>
      <c r="S672" s="1390"/>
      <c r="T672" s="1390"/>
      <c r="U672" s="1390"/>
      <c r="V672" s="1390"/>
      <c r="W672" s="1390"/>
      <c r="X672" s="1390"/>
      <c r="Y672" s="1390"/>
      <c r="Z672" s="1390"/>
      <c r="AA672" s="1390"/>
      <c r="AB672" s="1390"/>
      <c r="AC672" s="1390"/>
      <c r="AD672" s="1390"/>
      <c r="AE672" s="1390"/>
      <c r="AF672" s="1390"/>
      <c r="AG672" s="1390"/>
      <c r="AH672" s="1390"/>
      <c r="AI672" s="1390"/>
      <c r="AJ672" s="1390"/>
      <c r="AK672" s="1390"/>
    </row>
    <row r="673" spans="3:37" ht="17.25" customHeight="1" x14ac:dyDescent="0.35">
      <c r="C673" s="1390"/>
      <c r="D673" s="1390"/>
      <c r="E673" s="1390"/>
      <c r="F673" s="1390"/>
      <c r="G673" s="1390"/>
      <c r="H673" s="1390"/>
      <c r="I673" s="1390"/>
      <c r="J673" s="1390"/>
      <c r="K673" s="1390"/>
      <c r="L673" s="1390"/>
      <c r="M673" s="1390"/>
      <c r="N673" s="1390"/>
      <c r="O673" s="1390"/>
      <c r="P673" s="1390"/>
      <c r="Q673" s="1390"/>
      <c r="R673" s="1390"/>
      <c r="S673" s="1390"/>
      <c r="T673" s="1390"/>
      <c r="U673" s="1390"/>
      <c r="V673" s="1390"/>
      <c r="W673" s="1390"/>
      <c r="X673" s="1390"/>
      <c r="Y673" s="1390"/>
      <c r="Z673" s="1390"/>
      <c r="AA673" s="1390"/>
      <c r="AB673" s="1390"/>
      <c r="AC673" s="1390"/>
      <c r="AD673" s="1390"/>
      <c r="AE673" s="1390"/>
      <c r="AF673" s="1390"/>
      <c r="AG673" s="1390"/>
      <c r="AH673" s="1390"/>
      <c r="AI673" s="1390"/>
      <c r="AJ673" s="1390"/>
      <c r="AK673" s="1390"/>
    </row>
    <row r="674" spans="3:37" ht="17.25" customHeight="1" x14ac:dyDescent="0.35">
      <c r="C674" s="1390"/>
      <c r="D674" s="1390"/>
      <c r="E674" s="1390"/>
      <c r="F674" s="1390"/>
      <c r="G674" s="1390"/>
      <c r="H674" s="1390"/>
      <c r="I674" s="1390"/>
      <c r="J674" s="1390"/>
      <c r="K674" s="1390"/>
      <c r="L674" s="1390"/>
      <c r="M674" s="1390"/>
      <c r="N674" s="1390"/>
      <c r="O674" s="1390"/>
      <c r="P674" s="1390"/>
      <c r="Q674" s="1390"/>
      <c r="R674" s="1390"/>
      <c r="S674" s="1390"/>
      <c r="T674" s="1390"/>
      <c r="U674" s="1390"/>
      <c r="V674" s="1390"/>
      <c r="W674" s="1390"/>
      <c r="X674" s="1390"/>
      <c r="Y674" s="1390"/>
      <c r="Z674" s="1390"/>
      <c r="AA674" s="1390"/>
      <c r="AB674" s="1390"/>
      <c r="AC674" s="1390"/>
      <c r="AD674" s="1390"/>
      <c r="AE674" s="1390"/>
      <c r="AF674" s="1390"/>
      <c r="AG674" s="1390"/>
      <c r="AH674" s="1390"/>
      <c r="AI674" s="1390"/>
      <c r="AJ674" s="1390"/>
      <c r="AK674" s="1390"/>
    </row>
    <row r="675" spans="3:37" ht="17.25" customHeight="1" x14ac:dyDescent="0.35">
      <c r="C675" s="1390"/>
      <c r="D675" s="1390"/>
      <c r="E675" s="1390"/>
      <c r="F675" s="1390"/>
      <c r="G675" s="1390"/>
      <c r="H675" s="1390"/>
      <c r="I675" s="1390"/>
      <c r="J675" s="1390"/>
      <c r="K675" s="1390"/>
      <c r="L675" s="1390"/>
      <c r="M675" s="1390"/>
      <c r="N675" s="1390"/>
      <c r="O675" s="1390"/>
      <c r="P675" s="1390"/>
      <c r="Q675" s="1390"/>
      <c r="R675" s="1390"/>
      <c r="S675" s="1390"/>
      <c r="T675" s="1390"/>
      <c r="U675" s="1390"/>
      <c r="V675" s="1390"/>
      <c r="W675" s="1390"/>
      <c r="X675" s="1390"/>
      <c r="Y675" s="1390"/>
      <c r="Z675" s="1390"/>
      <c r="AA675" s="1390"/>
      <c r="AB675" s="1390"/>
      <c r="AC675" s="1390"/>
      <c r="AD675" s="1390"/>
      <c r="AE675" s="1390"/>
      <c r="AF675" s="1390"/>
      <c r="AG675" s="1390"/>
      <c r="AH675" s="1390"/>
      <c r="AI675" s="1390"/>
      <c r="AJ675" s="1390"/>
      <c r="AK675" s="1390"/>
    </row>
    <row r="676" spans="3:37" ht="17.25" customHeight="1" x14ac:dyDescent="0.35">
      <c r="C676" s="1390"/>
      <c r="D676" s="1390"/>
      <c r="E676" s="1390"/>
      <c r="F676" s="1390"/>
      <c r="G676" s="1390"/>
      <c r="H676" s="1390"/>
      <c r="I676" s="1390"/>
      <c r="J676" s="1390"/>
      <c r="K676" s="1390"/>
      <c r="L676" s="1390"/>
      <c r="M676" s="1390"/>
      <c r="N676" s="1390"/>
      <c r="O676" s="1390"/>
      <c r="P676" s="1390"/>
      <c r="Q676" s="1390"/>
      <c r="R676" s="1390"/>
      <c r="S676" s="1390"/>
      <c r="T676" s="1390"/>
      <c r="U676" s="1390"/>
      <c r="V676" s="1390"/>
      <c r="W676" s="1390"/>
      <c r="X676" s="1390"/>
      <c r="Y676" s="1390"/>
      <c r="Z676" s="1390"/>
      <c r="AA676" s="1390"/>
      <c r="AB676" s="1390"/>
      <c r="AC676" s="1390"/>
      <c r="AD676" s="1390"/>
      <c r="AE676" s="1390"/>
      <c r="AF676" s="1390"/>
      <c r="AG676" s="1390"/>
      <c r="AH676" s="1390"/>
      <c r="AI676" s="1390"/>
      <c r="AJ676" s="1390"/>
      <c r="AK676" s="1390"/>
    </row>
    <row r="677" spans="3:37" ht="17.25" customHeight="1" x14ac:dyDescent="0.35">
      <c r="C677" s="1390"/>
      <c r="D677" s="1390"/>
      <c r="E677" s="1390"/>
      <c r="F677" s="1390"/>
      <c r="G677" s="1390"/>
      <c r="H677" s="1390"/>
      <c r="I677" s="1390"/>
      <c r="J677" s="1390"/>
      <c r="K677" s="1390"/>
      <c r="L677" s="1390"/>
      <c r="M677" s="1390"/>
      <c r="N677" s="1390"/>
      <c r="O677" s="1390"/>
      <c r="P677" s="1390"/>
      <c r="Q677" s="1390"/>
      <c r="R677" s="1390"/>
      <c r="S677" s="1390"/>
      <c r="T677" s="1390"/>
      <c r="U677" s="1390"/>
      <c r="V677" s="1390"/>
      <c r="W677" s="1390"/>
      <c r="X677" s="1390"/>
      <c r="Y677" s="1390"/>
      <c r="Z677" s="1390"/>
      <c r="AA677" s="1390"/>
      <c r="AB677" s="1390"/>
      <c r="AC677" s="1390"/>
      <c r="AD677" s="1390"/>
      <c r="AE677" s="1390"/>
      <c r="AF677" s="1390"/>
      <c r="AG677" s="1390"/>
      <c r="AH677" s="1390"/>
      <c r="AI677" s="1390"/>
      <c r="AJ677" s="1390"/>
      <c r="AK677" s="1390"/>
    </row>
    <row r="678" spans="3:37" ht="17.25" customHeight="1" x14ac:dyDescent="0.35">
      <c r="C678" s="1390"/>
      <c r="D678" s="1390"/>
      <c r="E678" s="1390"/>
      <c r="F678" s="1390"/>
      <c r="G678" s="1390"/>
      <c r="H678" s="1390"/>
      <c r="I678" s="1390"/>
      <c r="J678" s="1390"/>
      <c r="K678" s="1390"/>
      <c r="L678" s="1390"/>
      <c r="M678" s="1390"/>
      <c r="N678" s="1390"/>
      <c r="O678" s="1390"/>
      <c r="P678" s="1390"/>
      <c r="Q678" s="1390"/>
      <c r="R678" s="1390"/>
      <c r="S678" s="1390"/>
      <c r="T678" s="1390"/>
      <c r="U678" s="1390"/>
      <c r="V678" s="1390"/>
      <c r="W678" s="1390"/>
      <c r="X678" s="1390"/>
      <c r="Y678" s="1390"/>
      <c r="Z678" s="1390"/>
      <c r="AA678" s="1390"/>
      <c r="AB678" s="1390"/>
      <c r="AC678" s="1390"/>
      <c r="AD678" s="1390"/>
      <c r="AE678" s="1390"/>
      <c r="AF678" s="1390"/>
      <c r="AG678" s="1390"/>
      <c r="AH678" s="1390"/>
      <c r="AI678" s="1390"/>
      <c r="AJ678" s="1390"/>
      <c r="AK678" s="1390"/>
    </row>
    <row r="679" spans="3:37" ht="17.25" customHeight="1" x14ac:dyDescent="0.35">
      <c r="C679" s="1390"/>
      <c r="D679" s="1390"/>
      <c r="E679" s="1390"/>
      <c r="F679" s="1390"/>
      <c r="G679" s="1390"/>
      <c r="H679" s="1390"/>
      <c r="I679" s="1390"/>
      <c r="J679" s="1390"/>
      <c r="K679" s="1390"/>
      <c r="L679" s="1390"/>
      <c r="M679" s="1390"/>
      <c r="N679" s="1390"/>
      <c r="O679" s="1390"/>
      <c r="P679" s="1390"/>
      <c r="Q679" s="1390"/>
      <c r="R679" s="1390"/>
      <c r="S679" s="1390"/>
      <c r="T679" s="1390"/>
      <c r="U679" s="1390"/>
      <c r="V679" s="1390"/>
      <c r="W679" s="1390"/>
      <c r="X679" s="1390"/>
      <c r="Y679" s="1390"/>
      <c r="Z679" s="1390"/>
      <c r="AA679" s="1390"/>
      <c r="AB679" s="1390"/>
      <c r="AC679" s="1390"/>
      <c r="AD679" s="1390"/>
      <c r="AE679" s="1390"/>
      <c r="AF679" s="1390"/>
      <c r="AG679" s="1390"/>
      <c r="AH679" s="1390"/>
      <c r="AI679" s="1390"/>
      <c r="AJ679" s="1390"/>
      <c r="AK679" s="1390"/>
    </row>
    <row r="680" spans="3:37" ht="17.25" customHeight="1" x14ac:dyDescent="0.35">
      <c r="C680" s="1390"/>
      <c r="D680" s="1390"/>
      <c r="E680" s="1390"/>
      <c r="F680" s="1390"/>
      <c r="G680" s="1390"/>
      <c r="H680" s="1390"/>
      <c r="I680" s="1390"/>
      <c r="J680" s="1390"/>
      <c r="K680" s="1390"/>
      <c r="L680" s="1390"/>
      <c r="M680" s="1390"/>
      <c r="N680" s="1390"/>
      <c r="O680" s="1390"/>
      <c r="P680" s="1390"/>
      <c r="Q680" s="1390"/>
      <c r="R680" s="1390"/>
      <c r="S680" s="1390"/>
      <c r="T680" s="1390"/>
      <c r="U680" s="1390"/>
      <c r="V680" s="1390"/>
      <c r="W680" s="1390"/>
      <c r="X680" s="1390"/>
      <c r="Y680" s="1390"/>
      <c r="Z680" s="1390"/>
      <c r="AA680" s="1390"/>
      <c r="AB680" s="1390"/>
      <c r="AC680" s="1390"/>
      <c r="AD680" s="1390"/>
      <c r="AE680" s="1390"/>
      <c r="AF680" s="1390"/>
      <c r="AG680" s="1390"/>
      <c r="AH680" s="1390"/>
      <c r="AI680" s="1390"/>
      <c r="AJ680" s="1390"/>
      <c r="AK680" s="1390"/>
    </row>
    <row r="681" spans="3:37" ht="17.25" customHeight="1" x14ac:dyDescent="0.35">
      <c r="C681" s="1390"/>
      <c r="D681" s="1390"/>
      <c r="E681" s="1390"/>
      <c r="F681" s="1390"/>
      <c r="G681" s="1390"/>
      <c r="H681" s="1390"/>
      <c r="I681" s="1390"/>
      <c r="J681" s="1390"/>
      <c r="K681" s="1390"/>
      <c r="L681" s="1390"/>
      <c r="M681" s="1390"/>
      <c r="N681" s="1390"/>
      <c r="O681" s="1390"/>
      <c r="P681" s="1390"/>
      <c r="Q681" s="1390"/>
      <c r="R681" s="1390"/>
      <c r="S681" s="1390"/>
      <c r="T681" s="1390"/>
      <c r="U681" s="1390"/>
      <c r="V681" s="1390"/>
      <c r="W681" s="1390"/>
      <c r="X681" s="1390"/>
      <c r="Y681" s="1390"/>
      <c r="Z681" s="1390"/>
      <c r="AA681" s="1390"/>
      <c r="AB681" s="1390"/>
      <c r="AC681" s="1390"/>
      <c r="AD681" s="1390"/>
      <c r="AE681" s="1390"/>
      <c r="AF681" s="1390"/>
      <c r="AG681" s="1390"/>
      <c r="AH681" s="1390"/>
      <c r="AI681" s="1390"/>
      <c r="AJ681" s="1390"/>
      <c r="AK681" s="1390"/>
    </row>
    <row r="682" spans="3:37" ht="17.25" customHeight="1" x14ac:dyDescent="0.35">
      <c r="C682" s="1390"/>
      <c r="D682" s="1390"/>
      <c r="E682" s="1390"/>
      <c r="F682" s="1390"/>
      <c r="G682" s="1390"/>
      <c r="H682" s="1390"/>
      <c r="I682" s="1390"/>
      <c r="J682" s="1390"/>
      <c r="K682" s="1390"/>
      <c r="L682" s="1390"/>
      <c r="M682" s="1390"/>
      <c r="N682" s="1390"/>
      <c r="O682" s="1390"/>
      <c r="P682" s="1390"/>
      <c r="Q682" s="1390"/>
      <c r="R682" s="1390"/>
      <c r="S682" s="1390"/>
      <c r="T682" s="1390"/>
      <c r="U682" s="1390"/>
      <c r="V682" s="1390"/>
      <c r="W682" s="1390"/>
      <c r="X682" s="1390"/>
      <c r="Y682" s="1390"/>
      <c r="Z682" s="1390"/>
      <c r="AA682" s="1390"/>
      <c r="AB682" s="1390"/>
      <c r="AC682" s="1390"/>
      <c r="AD682" s="1390"/>
      <c r="AE682" s="1390"/>
      <c r="AF682" s="1390"/>
      <c r="AG682" s="1390"/>
      <c r="AH682" s="1390"/>
      <c r="AI682" s="1390"/>
      <c r="AJ682" s="1390"/>
      <c r="AK682" s="1390"/>
    </row>
    <row r="683" spans="3:37" ht="17.25" customHeight="1" x14ac:dyDescent="0.35">
      <c r="C683" s="1390"/>
      <c r="D683" s="1390"/>
      <c r="E683" s="1390"/>
      <c r="F683" s="1390"/>
      <c r="G683" s="1390"/>
      <c r="H683" s="1390"/>
      <c r="I683" s="1390"/>
      <c r="J683" s="1390"/>
      <c r="K683" s="1390"/>
      <c r="L683" s="1390"/>
      <c r="M683" s="1390"/>
      <c r="N683" s="1390"/>
      <c r="O683" s="1390"/>
      <c r="P683" s="1390"/>
      <c r="Q683" s="1390"/>
      <c r="R683" s="1390"/>
      <c r="S683" s="1390"/>
      <c r="T683" s="1390"/>
      <c r="U683" s="1390"/>
      <c r="V683" s="1390"/>
      <c r="W683" s="1390"/>
      <c r="X683" s="1390"/>
      <c r="Y683" s="1390"/>
      <c r="Z683" s="1390"/>
      <c r="AA683" s="1390"/>
      <c r="AB683" s="1390"/>
      <c r="AC683" s="1390"/>
      <c r="AD683" s="1390"/>
      <c r="AE683" s="1390"/>
      <c r="AF683" s="1390"/>
      <c r="AG683" s="1390"/>
      <c r="AH683" s="1390"/>
      <c r="AI683" s="1390"/>
      <c r="AJ683" s="1390"/>
      <c r="AK683" s="1390"/>
    </row>
    <row r="684" spans="3:37" ht="17.25" customHeight="1" x14ac:dyDescent="0.35">
      <c r="C684" s="1390"/>
      <c r="D684" s="1390"/>
      <c r="E684" s="1390"/>
      <c r="F684" s="1390"/>
      <c r="G684" s="1390"/>
      <c r="H684" s="1390"/>
      <c r="I684" s="1390"/>
      <c r="J684" s="1390"/>
      <c r="K684" s="1390"/>
      <c r="L684" s="1390"/>
      <c r="M684" s="1390"/>
      <c r="N684" s="1390"/>
      <c r="O684" s="1390"/>
      <c r="P684" s="1390"/>
      <c r="Q684" s="1390"/>
      <c r="R684" s="1390"/>
      <c r="S684" s="1390"/>
      <c r="T684" s="1390"/>
      <c r="U684" s="1390"/>
      <c r="V684" s="1390"/>
      <c r="W684" s="1390"/>
      <c r="X684" s="1390"/>
      <c r="Y684" s="1390"/>
      <c r="Z684" s="1390"/>
      <c r="AA684" s="1390"/>
      <c r="AB684" s="1390"/>
      <c r="AC684" s="1390"/>
      <c r="AD684" s="1390"/>
      <c r="AE684" s="1390"/>
      <c r="AF684" s="1390"/>
      <c r="AG684" s="1390"/>
      <c r="AH684" s="1390"/>
      <c r="AI684" s="1390"/>
      <c r="AJ684" s="1390"/>
      <c r="AK684" s="1390"/>
    </row>
    <row r="685" spans="3:37" ht="17.25" customHeight="1" x14ac:dyDescent="0.35">
      <c r="C685" s="1390"/>
      <c r="D685" s="1390"/>
      <c r="E685" s="1390"/>
      <c r="F685" s="1390"/>
      <c r="G685" s="1390"/>
      <c r="H685" s="1390"/>
      <c r="I685" s="1390"/>
      <c r="J685" s="1390"/>
      <c r="K685" s="1390"/>
      <c r="L685" s="1390"/>
      <c r="M685" s="1390"/>
      <c r="N685" s="1390"/>
      <c r="O685" s="1390"/>
      <c r="P685" s="1390"/>
      <c r="Q685" s="1390"/>
      <c r="R685" s="1390"/>
      <c r="S685" s="1390"/>
      <c r="T685" s="1390"/>
      <c r="U685" s="1390"/>
      <c r="V685" s="1390"/>
      <c r="W685" s="1390"/>
      <c r="X685" s="1390"/>
      <c r="Y685" s="1390"/>
      <c r="Z685" s="1390"/>
      <c r="AA685" s="1390"/>
      <c r="AB685" s="1390"/>
      <c r="AC685" s="1390"/>
      <c r="AD685" s="1390"/>
      <c r="AE685" s="1390"/>
      <c r="AF685" s="1390"/>
      <c r="AG685" s="1390"/>
      <c r="AH685" s="1390"/>
      <c r="AI685" s="1390"/>
      <c r="AJ685" s="1390"/>
      <c r="AK685" s="1390"/>
    </row>
    <row r="686" spans="3:37" ht="17.25" customHeight="1" x14ac:dyDescent="0.35">
      <c r="C686" s="1390"/>
      <c r="D686" s="1390"/>
      <c r="E686" s="1390"/>
      <c r="F686" s="1390"/>
      <c r="G686" s="1390"/>
      <c r="H686" s="1390"/>
      <c r="I686" s="1390"/>
      <c r="J686" s="1390"/>
      <c r="K686" s="1390"/>
      <c r="L686" s="1390"/>
      <c r="M686" s="1390"/>
      <c r="N686" s="1390"/>
      <c r="O686" s="1390"/>
      <c r="P686" s="1390"/>
      <c r="Q686" s="1390"/>
      <c r="R686" s="1390"/>
      <c r="S686" s="1390"/>
      <c r="T686" s="1390"/>
      <c r="U686" s="1390"/>
      <c r="V686" s="1390"/>
      <c r="W686" s="1390"/>
      <c r="X686" s="1390"/>
      <c r="Y686" s="1390"/>
      <c r="Z686" s="1390"/>
      <c r="AA686" s="1390"/>
      <c r="AB686" s="1390"/>
      <c r="AC686" s="1390"/>
      <c r="AD686" s="1390"/>
      <c r="AE686" s="1390"/>
      <c r="AF686" s="1390"/>
      <c r="AG686" s="1390"/>
      <c r="AH686" s="1390"/>
      <c r="AI686" s="1390"/>
      <c r="AJ686" s="1390"/>
      <c r="AK686" s="1390"/>
    </row>
    <row r="687" spans="3:37" ht="17.25" customHeight="1" x14ac:dyDescent="0.35">
      <c r="C687" s="1390"/>
      <c r="D687" s="1390"/>
      <c r="E687" s="1390"/>
      <c r="F687" s="1390"/>
      <c r="G687" s="1390"/>
      <c r="H687" s="1390"/>
      <c r="I687" s="1390"/>
      <c r="J687" s="1390"/>
      <c r="K687" s="1390"/>
      <c r="L687" s="1390"/>
      <c r="M687" s="1390"/>
      <c r="N687" s="1390"/>
      <c r="O687" s="1390"/>
      <c r="P687" s="1390"/>
      <c r="Q687" s="1390"/>
      <c r="R687" s="1390"/>
      <c r="S687" s="1390"/>
      <c r="T687" s="1390"/>
      <c r="U687" s="1390"/>
      <c r="V687" s="1390"/>
      <c r="W687" s="1390"/>
      <c r="X687" s="1390"/>
      <c r="Y687" s="1390"/>
      <c r="Z687" s="1390"/>
      <c r="AA687" s="1390"/>
      <c r="AB687" s="1390"/>
      <c r="AC687" s="1390"/>
      <c r="AD687" s="1390"/>
      <c r="AE687" s="1390"/>
      <c r="AF687" s="1390"/>
      <c r="AG687" s="1390"/>
      <c r="AH687" s="1390"/>
      <c r="AI687" s="1390"/>
      <c r="AJ687" s="1390"/>
      <c r="AK687" s="1390"/>
    </row>
    <row r="688" spans="3:37" ht="17.25" customHeight="1" x14ac:dyDescent="0.35">
      <c r="C688" s="1390"/>
      <c r="D688" s="1390"/>
      <c r="E688" s="1390"/>
      <c r="F688" s="1390"/>
      <c r="G688" s="1390"/>
      <c r="H688" s="1390"/>
      <c r="I688" s="1390"/>
      <c r="J688" s="1390"/>
      <c r="K688" s="1390"/>
      <c r="L688" s="1390"/>
      <c r="M688" s="1390"/>
      <c r="N688" s="1390"/>
      <c r="O688" s="1390"/>
      <c r="P688" s="1390"/>
      <c r="Q688" s="1390"/>
      <c r="R688" s="1390"/>
      <c r="S688" s="1390"/>
      <c r="T688" s="1390"/>
      <c r="U688" s="1390"/>
      <c r="V688" s="1390"/>
      <c r="W688" s="1390"/>
      <c r="X688" s="1390"/>
      <c r="Y688" s="1390"/>
      <c r="Z688" s="1390"/>
      <c r="AA688" s="1390"/>
      <c r="AB688" s="1390"/>
      <c r="AC688" s="1390"/>
      <c r="AD688" s="1390"/>
      <c r="AE688" s="1390"/>
      <c r="AF688" s="1390"/>
      <c r="AG688" s="1390"/>
      <c r="AH688" s="1390"/>
      <c r="AI688" s="1390"/>
      <c r="AJ688" s="1390"/>
      <c r="AK688" s="1390"/>
    </row>
    <row r="689" spans="3:37" ht="17.25" customHeight="1" x14ac:dyDescent="0.35">
      <c r="C689" s="1390"/>
      <c r="D689" s="1390"/>
      <c r="E689" s="1390"/>
      <c r="F689" s="1390"/>
      <c r="G689" s="1390"/>
      <c r="H689" s="1390"/>
      <c r="I689" s="1390"/>
      <c r="J689" s="1390"/>
      <c r="K689" s="1390"/>
      <c r="L689" s="1390"/>
      <c r="M689" s="1390"/>
      <c r="N689" s="1390"/>
      <c r="O689" s="1390"/>
      <c r="P689" s="1390"/>
      <c r="Q689" s="1390"/>
      <c r="R689" s="1390"/>
      <c r="S689" s="1390"/>
      <c r="T689" s="1390"/>
      <c r="U689" s="1390"/>
      <c r="V689" s="1390"/>
      <c r="W689" s="1390"/>
      <c r="X689" s="1390"/>
      <c r="Y689" s="1390"/>
      <c r="Z689" s="1390"/>
      <c r="AA689" s="1390"/>
      <c r="AB689" s="1390"/>
      <c r="AC689" s="1390"/>
      <c r="AD689" s="1390"/>
      <c r="AE689" s="1390"/>
      <c r="AF689" s="1390"/>
      <c r="AG689" s="1390"/>
      <c r="AH689" s="1390"/>
      <c r="AI689" s="1390"/>
      <c r="AJ689" s="1390"/>
      <c r="AK689" s="1390"/>
    </row>
    <row r="690" spans="3:37" ht="17.25" customHeight="1" x14ac:dyDescent="0.35">
      <c r="C690" s="1390"/>
      <c r="D690" s="1390"/>
      <c r="E690" s="1390"/>
      <c r="F690" s="1390"/>
      <c r="G690" s="1390"/>
      <c r="H690" s="1390"/>
      <c r="I690" s="1390"/>
      <c r="J690" s="1390"/>
      <c r="K690" s="1390"/>
      <c r="L690" s="1390"/>
      <c r="M690" s="1390"/>
      <c r="N690" s="1390"/>
      <c r="O690" s="1390"/>
      <c r="P690" s="1390"/>
      <c r="Q690" s="1390"/>
      <c r="R690" s="1390"/>
      <c r="S690" s="1390"/>
      <c r="T690" s="1390"/>
      <c r="U690" s="1390"/>
      <c r="V690" s="1390"/>
      <c r="W690" s="1390"/>
      <c r="X690" s="1390"/>
      <c r="Y690" s="1390"/>
      <c r="Z690" s="1390"/>
      <c r="AA690" s="1390"/>
      <c r="AB690" s="1390"/>
      <c r="AC690" s="1390"/>
      <c r="AD690" s="1390"/>
      <c r="AE690" s="1390"/>
      <c r="AF690" s="1390"/>
      <c r="AG690" s="1390"/>
      <c r="AH690" s="1390"/>
      <c r="AI690" s="1390"/>
      <c r="AJ690" s="1390"/>
      <c r="AK690" s="1390"/>
    </row>
    <row r="691" spans="3:37" ht="17.25" customHeight="1" x14ac:dyDescent="0.35">
      <c r="C691" s="1390"/>
      <c r="D691" s="1390"/>
      <c r="E691" s="1390"/>
      <c r="F691" s="1390"/>
      <c r="G691" s="1390"/>
      <c r="H691" s="1390"/>
      <c r="I691" s="1390"/>
      <c r="J691" s="1390"/>
      <c r="K691" s="1390"/>
      <c r="L691" s="1390"/>
      <c r="M691" s="1390"/>
      <c r="N691" s="1390"/>
      <c r="O691" s="1390"/>
      <c r="P691" s="1390"/>
      <c r="Q691" s="1390"/>
      <c r="R691" s="1390"/>
      <c r="S691" s="1390"/>
      <c r="T691" s="1390"/>
      <c r="U691" s="1390"/>
      <c r="V691" s="1390"/>
      <c r="W691" s="1390"/>
      <c r="X691" s="1390"/>
      <c r="Y691" s="1390"/>
      <c r="Z691" s="1390"/>
      <c r="AA691" s="1390"/>
      <c r="AB691" s="1390"/>
      <c r="AC691" s="1390"/>
      <c r="AD691" s="1390"/>
      <c r="AE691" s="1390"/>
      <c r="AF691" s="1390"/>
      <c r="AG691" s="1390"/>
      <c r="AH691" s="1390"/>
      <c r="AI691" s="1390"/>
      <c r="AJ691" s="1390"/>
      <c r="AK691" s="1390"/>
    </row>
    <row r="692" spans="3:37" ht="17.25" customHeight="1" x14ac:dyDescent="0.35">
      <c r="C692" s="1390"/>
      <c r="D692" s="1390"/>
      <c r="E692" s="1390"/>
      <c r="F692" s="1390"/>
      <c r="G692" s="1390"/>
      <c r="H692" s="1390"/>
      <c r="I692" s="1390"/>
      <c r="J692" s="1390"/>
      <c r="K692" s="1390"/>
      <c r="L692" s="1390"/>
      <c r="M692" s="1390"/>
      <c r="N692" s="1390"/>
      <c r="O692" s="1390"/>
      <c r="P692" s="1390"/>
      <c r="Q692" s="1390"/>
      <c r="R692" s="1390"/>
      <c r="S692" s="1390"/>
      <c r="T692" s="1390"/>
      <c r="U692" s="1390"/>
      <c r="V692" s="1390"/>
      <c r="W692" s="1390"/>
      <c r="X692" s="1390"/>
      <c r="Y692" s="1390"/>
      <c r="Z692" s="1390"/>
      <c r="AA692" s="1390"/>
      <c r="AB692" s="1390"/>
      <c r="AC692" s="1390"/>
      <c r="AD692" s="1390"/>
      <c r="AE692" s="1390"/>
      <c r="AF692" s="1390"/>
      <c r="AG692" s="1390"/>
      <c r="AH692" s="1390"/>
      <c r="AI692" s="1390"/>
      <c r="AJ692" s="1390"/>
      <c r="AK692" s="1390"/>
    </row>
    <row r="693" spans="3:37" ht="17.25" customHeight="1" x14ac:dyDescent="0.35">
      <c r="C693" s="1390"/>
      <c r="D693" s="1390"/>
      <c r="E693" s="1390"/>
      <c r="F693" s="1390"/>
      <c r="G693" s="1390"/>
      <c r="H693" s="1390"/>
      <c r="I693" s="1390"/>
      <c r="J693" s="1390"/>
      <c r="K693" s="1390"/>
      <c r="L693" s="1390"/>
      <c r="M693" s="1390"/>
      <c r="N693" s="1390"/>
      <c r="O693" s="1390"/>
      <c r="P693" s="1390"/>
      <c r="Q693" s="1390"/>
      <c r="R693" s="1390"/>
      <c r="S693" s="1390"/>
      <c r="T693" s="1390"/>
      <c r="U693" s="1390"/>
      <c r="V693" s="1390"/>
      <c r="W693" s="1390"/>
      <c r="X693" s="1390"/>
      <c r="Y693" s="1390"/>
      <c r="Z693" s="1390"/>
      <c r="AA693" s="1390"/>
      <c r="AB693" s="1390"/>
      <c r="AC693" s="1390"/>
      <c r="AD693" s="1390"/>
      <c r="AE693" s="1390"/>
      <c r="AF693" s="1390"/>
      <c r="AG693" s="1390"/>
      <c r="AH693" s="1390"/>
      <c r="AI693" s="1390"/>
      <c r="AJ693" s="1390"/>
      <c r="AK693" s="1390"/>
    </row>
    <row r="694" spans="3:37" ht="17.25" customHeight="1" x14ac:dyDescent="0.35">
      <c r="C694" s="1390"/>
      <c r="D694" s="1390"/>
      <c r="E694" s="1390"/>
      <c r="F694" s="1390"/>
      <c r="G694" s="1390"/>
      <c r="H694" s="1390"/>
      <c r="I694" s="1390"/>
      <c r="J694" s="1390"/>
      <c r="K694" s="1390"/>
      <c r="L694" s="1390"/>
      <c r="M694" s="1390"/>
      <c r="N694" s="1390"/>
      <c r="O694" s="1390"/>
      <c r="P694" s="1390"/>
      <c r="Q694" s="1390"/>
      <c r="R694" s="1390"/>
      <c r="S694" s="1390"/>
      <c r="T694" s="1390"/>
      <c r="U694" s="1390"/>
      <c r="V694" s="1390"/>
      <c r="W694" s="1390"/>
      <c r="X694" s="1390"/>
      <c r="Y694" s="1390"/>
      <c r="Z694" s="1390"/>
      <c r="AA694" s="1390"/>
      <c r="AB694" s="1390"/>
      <c r="AC694" s="1390"/>
      <c r="AD694" s="1390"/>
      <c r="AE694" s="1390"/>
      <c r="AF694" s="1390"/>
      <c r="AG694" s="1390"/>
      <c r="AH694" s="1390"/>
      <c r="AI694" s="1390"/>
      <c r="AJ694" s="1390"/>
      <c r="AK694" s="1390"/>
    </row>
    <row r="695" spans="3:37" ht="17.25" customHeight="1" x14ac:dyDescent="0.35">
      <c r="C695" s="1390"/>
      <c r="D695" s="1390"/>
      <c r="E695" s="1390"/>
      <c r="F695" s="1390"/>
      <c r="G695" s="1390"/>
      <c r="H695" s="1390"/>
      <c r="I695" s="1390"/>
      <c r="J695" s="1390"/>
      <c r="K695" s="1390"/>
      <c r="L695" s="1390"/>
      <c r="M695" s="1390"/>
      <c r="N695" s="1390"/>
      <c r="O695" s="1390"/>
      <c r="P695" s="1390"/>
      <c r="Q695" s="1390"/>
      <c r="R695" s="1390"/>
      <c r="S695" s="1390"/>
      <c r="T695" s="1390"/>
      <c r="U695" s="1390"/>
      <c r="V695" s="1390"/>
      <c r="W695" s="1390"/>
      <c r="X695" s="1390"/>
      <c r="Y695" s="1390"/>
      <c r="Z695" s="1390"/>
      <c r="AA695" s="1390"/>
      <c r="AB695" s="1390"/>
      <c r="AC695" s="1390"/>
      <c r="AD695" s="1390"/>
      <c r="AE695" s="1390"/>
      <c r="AF695" s="1390"/>
      <c r="AG695" s="1390"/>
      <c r="AH695" s="1390"/>
      <c r="AI695" s="1390"/>
      <c r="AJ695" s="1390"/>
      <c r="AK695" s="1390"/>
    </row>
    <row r="696" spans="3:37" ht="17.25" customHeight="1" x14ac:dyDescent="0.35">
      <c r="C696" s="1390"/>
      <c r="D696" s="1390"/>
      <c r="E696" s="1390"/>
      <c r="F696" s="1390"/>
      <c r="G696" s="1390"/>
      <c r="H696" s="1390"/>
      <c r="I696" s="1390"/>
      <c r="J696" s="1390"/>
      <c r="K696" s="1390"/>
      <c r="L696" s="1390"/>
      <c r="M696" s="1390"/>
      <c r="N696" s="1390"/>
      <c r="O696" s="1390"/>
      <c r="P696" s="1390"/>
      <c r="Q696" s="1390"/>
      <c r="R696" s="1390"/>
      <c r="S696" s="1390"/>
      <c r="T696" s="1390"/>
      <c r="U696" s="1390"/>
      <c r="V696" s="1390"/>
      <c r="W696" s="1390"/>
      <c r="X696" s="1390"/>
      <c r="Y696" s="1390"/>
      <c r="Z696" s="1390"/>
      <c r="AA696" s="1390"/>
      <c r="AB696" s="1390"/>
      <c r="AC696" s="1390"/>
      <c r="AD696" s="1390"/>
      <c r="AE696" s="1390"/>
      <c r="AF696" s="1390"/>
      <c r="AG696" s="1390"/>
      <c r="AH696" s="1390"/>
      <c r="AI696" s="1390"/>
      <c r="AJ696" s="1390"/>
      <c r="AK696" s="1390"/>
    </row>
    <row r="697" spans="3:37" ht="17.25" customHeight="1" x14ac:dyDescent="0.35">
      <c r="C697" s="1390"/>
      <c r="D697" s="1390"/>
      <c r="E697" s="1390"/>
      <c r="F697" s="1390"/>
      <c r="G697" s="1390"/>
      <c r="H697" s="1390"/>
      <c r="I697" s="1390"/>
      <c r="J697" s="1390"/>
      <c r="K697" s="1390"/>
      <c r="L697" s="1390"/>
      <c r="M697" s="1390"/>
      <c r="N697" s="1390"/>
      <c r="O697" s="1390"/>
      <c r="P697" s="1390"/>
      <c r="Q697" s="1390"/>
      <c r="R697" s="1390"/>
      <c r="S697" s="1390"/>
      <c r="T697" s="1390"/>
      <c r="U697" s="1390"/>
      <c r="V697" s="1390"/>
      <c r="W697" s="1390"/>
      <c r="X697" s="1390"/>
      <c r="Y697" s="1390"/>
      <c r="Z697" s="1390"/>
      <c r="AA697" s="1390"/>
      <c r="AB697" s="1390"/>
      <c r="AC697" s="1390"/>
      <c r="AD697" s="1390"/>
      <c r="AE697" s="1390"/>
      <c r="AF697" s="1390"/>
      <c r="AG697" s="1390"/>
      <c r="AH697" s="1390"/>
      <c r="AI697" s="1390"/>
      <c r="AJ697" s="1390"/>
      <c r="AK697" s="1390"/>
    </row>
    <row r="698" spans="3:37" ht="17.25" customHeight="1" x14ac:dyDescent="0.35">
      <c r="C698" s="1390"/>
      <c r="D698" s="1390"/>
      <c r="E698" s="1390"/>
      <c r="F698" s="1390"/>
      <c r="G698" s="1390"/>
      <c r="H698" s="1390"/>
      <c r="I698" s="1390"/>
      <c r="J698" s="1390"/>
      <c r="K698" s="1390"/>
      <c r="L698" s="1390"/>
      <c r="M698" s="1390"/>
      <c r="N698" s="1390"/>
      <c r="O698" s="1390"/>
      <c r="P698" s="1390"/>
      <c r="Q698" s="1390"/>
      <c r="R698" s="1390"/>
      <c r="S698" s="1390"/>
      <c r="T698" s="1390"/>
      <c r="U698" s="1390"/>
      <c r="V698" s="1390"/>
      <c r="W698" s="1390"/>
      <c r="X698" s="1390"/>
      <c r="Y698" s="1390"/>
      <c r="Z698" s="1390"/>
      <c r="AA698" s="1390"/>
      <c r="AB698" s="1390"/>
      <c r="AC698" s="1390"/>
      <c r="AD698" s="1390"/>
      <c r="AE698" s="1390"/>
      <c r="AF698" s="1390"/>
      <c r="AG698" s="1390"/>
      <c r="AH698" s="1390"/>
      <c r="AI698" s="1390"/>
      <c r="AJ698" s="1390"/>
      <c r="AK698" s="1390"/>
    </row>
    <row r="699" spans="3:37" ht="17.25" customHeight="1" x14ac:dyDescent="0.35">
      <c r="C699" s="1390"/>
      <c r="D699" s="1390"/>
      <c r="E699" s="1390"/>
      <c r="F699" s="1390"/>
      <c r="G699" s="1390"/>
      <c r="H699" s="1390"/>
      <c r="I699" s="1390"/>
      <c r="J699" s="1390"/>
      <c r="K699" s="1390"/>
      <c r="L699" s="1390"/>
      <c r="M699" s="1390"/>
      <c r="N699" s="1390"/>
      <c r="O699" s="1390"/>
      <c r="P699" s="1390"/>
      <c r="Q699" s="1390"/>
      <c r="R699" s="1390"/>
      <c r="S699" s="1390"/>
      <c r="T699" s="1390"/>
      <c r="U699" s="1390"/>
      <c r="V699" s="1390"/>
      <c r="W699" s="1390"/>
      <c r="X699" s="1390"/>
      <c r="Y699" s="1390"/>
      <c r="Z699" s="1390"/>
      <c r="AA699" s="1390"/>
      <c r="AB699" s="1390"/>
      <c r="AC699" s="1390"/>
      <c r="AD699" s="1390"/>
      <c r="AE699" s="1390"/>
      <c r="AF699" s="1390"/>
      <c r="AG699" s="1390"/>
      <c r="AH699" s="1390"/>
      <c r="AI699" s="1390"/>
      <c r="AJ699" s="1390"/>
      <c r="AK699" s="1390"/>
    </row>
    <row r="700" spans="3:37" ht="17.25" customHeight="1" x14ac:dyDescent="0.35">
      <c r="C700" s="1390"/>
      <c r="D700" s="1390"/>
      <c r="E700" s="1390"/>
      <c r="F700" s="1390"/>
      <c r="G700" s="1390"/>
      <c r="H700" s="1390"/>
      <c r="I700" s="1390"/>
      <c r="J700" s="1390"/>
      <c r="K700" s="1390"/>
      <c r="L700" s="1390"/>
      <c r="M700" s="1390"/>
      <c r="N700" s="1390"/>
      <c r="O700" s="1390"/>
      <c r="P700" s="1390"/>
      <c r="Q700" s="1390"/>
      <c r="R700" s="1390"/>
      <c r="S700" s="1390"/>
      <c r="T700" s="1390"/>
      <c r="U700" s="1390"/>
      <c r="V700" s="1390"/>
      <c r="W700" s="1390"/>
      <c r="X700" s="1390"/>
      <c r="Y700" s="1390"/>
      <c r="Z700" s="1390"/>
      <c r="AA700" s="1390"/>
      <c r="AB700" s="1390"/>
      <c r="AC700" s="1390"/>
      <c r="AD700" s="1390"/>
      <c r="AE700" s="1390"/>
      <c r="AF700" s="1390"/>
      <c r="AG700" s="1390"/>
      <c r="AH700" s="1390"/>
      <c r="AI700" s="1390"/>
      <c r="AJ700" s="1390"/>
      <c r="AK700" s="1390"/>
    </row>
    <row r="701" spans="3:37" ht="17.25" customHeight="1" x14ac:dyDescent="0.35">
      <c r="C701" s="1390"/>
      <c r="D701" s="1390"/>
      <c r="E701" s="1390"/>
      <c r="F701" s="1390"/>
      <c r="G701" s="1390"/>
      <c r="H701" s="1390"/>
      <c r="I701" s="1390"/>
      <c r="J701" s="1390"/>
      <c r="K701" s="1390"/>
      <c r="L701" s="1390"/>
      <c r="M701" s="1390"/>
      <c r="N701" s="1390"/>
      <c r="O701" s="1390"/>
      <c r="P701" s="1390"/>
      <c r="Q701" s="1390"/>
      <c r="R701" s="1390"/>
      <c r="S701" s="1390"/>
      <c r="T701" s="1390"/>
      <c r="U701" s="1390"/>
      <c r="V701" s="1390"/>
      <c r="W701" s="1390"/>
      <c r="X701" s="1390"/>
      <c r="Y701" s="1390"/>
      <c r="Z701" s="1390"/>
      <c r="AA701" s="1390"/>
      <c r="AB701" s="1390"/>
      <c r="AC701" s="1390"/>
      <c r="AD701" s="1390"/>
      <c r="AE701" s="1390"/>
      <c r="AF701" s="1390"/>
      <c r="AG701" s="1390"/>
      <c r="AH701" s="1390"/>
      <c r="AI701" s="1390"/>
      <c r="AJ701" s="1390"/>
      <c r="AK701" s="1390"/>
    </row>
    <row r="702" spans="3:37" ht="17.25" customHeight="1" x14ac:dyDescent="0.35">
      <c r="C702" s="1390"/>
      <c r="D702" s="1390"/>
      <c r="E702" s="1390"/>
      <c r="F702" s="1390"/>
      <c r="G702" s="1390"/>
      <c r="H702" s="1390"/>
      <c r="I702" s="1390"/>
      <c r="J702" s="1390"/>
      <c r="K702" s="1390"/>
      <c r="L702" s="1390"/>
      <c r="M702" s="1390"/>
      <c r="N702" s="1390"/>
      <c r="O702" s="1390"/>
      <c r="P702" s="1390"/>
      <c r="Q702" s="1390"/>
      <c r="R702" s="1390"/>
      <c r="S702" s="1390"/>
      <c r="T702" s="1390"/>
      <c r="U702" s="1390"/>
      <c r="V702" s="1390"/>
      <c r="W702" s="1390"/>
      <c r="X702" s="1390"/>
      <c r="Y702" s="1390"/>
      <c r="Z702" s="1390"/>
      <c r="AA702" s="1390"/>
      <c r="AB702" s="1390"/>
      <c r="AC702" s="1390"/>
      <c r="AD702" s="1390"/>
      <c r="AE702" s="1390"/>
      <c r="AF702" s="1390"/>
      <c r="AG702" s="1390"/>
      <c r="AH702" s="1390"/>
      <c r="AI702" s="1390"/>
      <c r="AJ702" s="1390"/>
      <c r="AK702" s="1390"/>
    </row>
    <row r="703" spans="3:37" ht="17.25" customHeight="1" x14ac:dyDescent="0.35">
      <c r="C703" s="1390"/>
      <c r="D703" s="1390"/>
      <c r="E703" s="1390"/>
      <c r="F703" s="1390"/>
      <c r="G703" s="1390"/>
      <c r="H703" s="1390"/>
      <c r="I703" s="1390"/>
      <c r="J703" s="1390"/>
      <c r="K703" s="1390"/>
      <c r="L703" s="1390"/>
      <c r="M703" s="1390"/>
      <c r="N703" s="1390"/>
      <c r="O703" s="1390"/>
      <c r="P703" s="1390"/>
      <c r="Q703" s="1390"/>
      <c r="R703" s="1390"/>
      <c r="S703" s="1390"/>
      <c r="T703" s="1390"/>
      <c r="U703" s="1390"/>
      <c r="V703" s="1390"/>
      <c r="W703" s="1390"/>
      <c r="X703" s="1390"/>
      <c r="Y703" s="1390"/>
      <c r="Z703" s="1390"/>
      <c r="AA703" s="1390"/>
      <c r="AB703" s="1390"/>
      <c r="AC703" s="1390"/>
      <c r="AD703" s="1390"/>
      <c r="AE703" s="1390"/>
      <c r="AF703" s="1390"/>
      <c r="AG703" s="1390"/>
      <c r="AH703" s="1390"/>
      <c r="AI703" s="1390"/>
      <c r="AJ703" s="1390"/>
      <c r="AK703" s="1390"/>
    </row>
    <row r="704" spans="3:37" ht="17.25" customHeight="1" x14ac:dyDescent="0.35">
      <c r="C704" s="1390"/>
      <c r="D704" s="1390"/>
      <c r="E704" s="1390"/>
      <c r="F704" s="1390"/>
      <c r="G704" s="1390"/>
      <c r="H704" s="1390"/>
      <c r="I704" s="1390"/>
      <c r="J704" s="1390"/>
      <c r="K704" s="1390"/>
      <c r="L704" s="1390"/>
      <c r="M704" s="1390"/>
      <c r="N704" s="1390"/>
      <c r="O704" s="1390"/>
      <c r="P704" s="1390"/>
      <c r="Q704" s="1390"/>
      <c r="R704" s="1390"/>
      <c r="S704" s="1390"/>
      <c r="T704" s="1390"/>
      <c r="U704" s="1390"/>
      <c r="V704" s="1390"/>
      <c r="W704" s="1390"/>
      <c r="X704" s="1390"/>
      <c r="Y704" s="1390"/>
      <c r="Z704" s="1390"/>
      <c r="AA704" s="1390"/>
      <c r="AB704" s="1390"/>
      <c r="AC704" s="1390"/>
      <c r="AD704" s="1390"/>
      <c r="AE704" s="1390"/>
      <c r="AF704" s="1390"/>
      <c r="AG704" s="1390"/>
      <c r="AH704" s="1390"/>
      <c r="AI704" s="1390"/>
      <c r="AJ704" s="1390"/>
      <c r="AK704" s="1390"/>
    </row>
    <row r="705" spans="3:37" ht="17.25" customHeight="1" x14ac:dyDescent="0.35">
      <c r="C705" s="1390"/>
      <c r="D705" s="1390"/>
      <c r="E705" s="1390"/>
      <c r="F705" s="1390"/>
      <c r="G705" s="1390"/>
      <c r="H705" s="1390"/>
      <c r="I705" s="1390"/>
      <c r="J705" s="1390"/>
      <c r="K705" s="1390"/>
      <c r="L705" s="1390"/>
      <c r="M705" s="1390"/>
      <c r="N705" s="1390"/>
      <c r="O705" s="1390"/>
      <c r="P705" s="1390"/>
      <c r="Q705" s="1390"/>
      <c r="R705" s="1390"/>
      <c r="S705" s="1390"/>
      <c r="T705" s="1390"/>
      <c r="U705" s="1390"/>
      <c r="V705" s="1390"/>
      <c r="W705" s="1390"/>
      <c r="X705" s="1390"/>
      <c r="Y705" s="1390"/>
      <c r="Z705" s="1390"/>
      <c r="AA705" s="1390"/>
      <c r="AB705" s="1390"/>
      <c r="AC705" s="1390"/>
      <c r="AD705" s="1390"/>
      <c r="AE705" s="1390"/>
      <c r="AF705" s="1390"/>
      <c r="AG705" s="1390"/>
      <c r="AH705" s="1390"/>
      <c r="AI705" s="1390"/>
      <c r="AJ705" s="1390"/>
      <c r="AK705" s="1390"/>
    </row>
    <row r="706" spans="3:37" ht="17.25" customHeight="1" x14ac:dyDescent="0.35">
      <c r="C706" s="1390"/>
      <c r="D706" s="1390"/>
      <c r="E706" s="1390"/>
      <c r="F706" s="1390"/>
      <c r="G706" s="1390"/>
      <c r="H706" s="1390"/>
      <c r="I706" s="1390"/>
      <c r="J706" s="1390"/>
      <c r="K706" s="1390"/>
      <c r="L706" s="1390"/>
      <c r="M706" s="1390"/>
      <c r="N706" s="1390"/>
      <c r="O706" s="1390"/>
      <c r="P706" s="1390"/>
      <c r="Q706" s="1390"/>
      <c r="R706" s="1390"/>
      <c r="S706" s="1390"/>
      <c r="T706" s="1390"/>
      <c r="U706" s="1390"/>
      <c r="V706" s="1390"/>
      <c r="W706" s="1390"/>
      <c r="X706" s="1390"/>
      <c r="Y706" s="1390"/>
      <c r="Z706" s="1390"/>
      <c r="AA706" s="1390"/>
      <c r="AB706" s="1390"/>
      <c r="AC706" s="1390"/>
      <c r="AD706" s="1390"/>
      <c r="AE706" s="1390"/>
      <c r="AF706" s="1390"/>
      <c r="AG706" s="1390"/>
      <c r="AH706" s="1390"/>
      <c r="AI706" s="1390"/>
      <c r="AJ706" s="1390"/>
      <c r="AK706" s="1390"/>
    </row>
    <row r="707" spans="3:37" ht="17.25" customHeight="1" x14ac:dyDescent="0.35">
      <c r="C707" s="1390"/>
      <c r="D707" s="1390"/>
      <c r="E707" s="1390"/>
      <c r="F707" s="1390"/>
      <c r="G707" s="1390"/>
      <c r="H707" s="1390"/>
      <c r="I707" s="1390"/>
      <c r="J707" s="1390"/>
      <c r="K707" s="1390"/>
      <c r="L707" s="1390"/>
      <c r="M707" s="1390"/>
      <c r="N707" s="1390"/>
      <c r="O707" s="1390"/>
      <c r="P707" s="1390"/>
      <c r="Q707" s="1390"/>
      <c r="R707" s="1390"/>
      <c r="S707" s="1390"/>
      <c r="T707" s="1390"/>
      <c r="U707" s="1390"/>
      <c r="V707" s="1390"/>
      <c r="W707" s="1390"/>
      <c r="X707" s="1390"/>
      <c r="Y707" s="1390"/>
      <c r="Z707" s="1390"/>
      <c r="AA707" s="1390"/>
      <c r="AB707" s="1390"/>
      <c r="AC707" s="1390"/>
      <c r="AD707" s="1390"/>
      <c r="AE707" s="1390"/>
      <c r="AF707" s="1390"/>
      <c r="AG707" s="1390"/>
      <c r="AH707" s="1390"/>
      <c r="AI707" s="1390"/>
      <c r="AJ707" s="1390"/>
      <c r="AK707" s="1390"/>
    </row>
    <row r="708" spans="3:37" ht="17.25" customHeight="1" x14ac:dyDescent="0.35">
      <c r="C708" s="1390"/>
      <c r="D708" s="1390"/>
      <c r="E708" s="1390"/>
      <c r="F708" s="1390"/>
      <c r="G708" s="1390"/>
      <c r="H708" s="1390"/>
      <c r="I708" s="1390"/>
      <c r="J708" s="1390"/>
      <c r="K708" s="1390"/>
      <c r="L708" s="1390"/>
      <c r="M708" s="1390"/>
      <c r="N708" s="1390"/>
      <c r="O708" s="1390"/>
      <c r="P708" s="1390"/>
      <c r="Q708" s="1390"/>
      <c r="R708" s="1390"/>
      <c r="S708" s="1390"/>
      <c r="T708" s="1390"/>
      <c r="U708" s="1390"/>
      <c r="V708" s="1390"/>
      <c r="W708" s="1390"/>
      <c r="X708" s="1390"/>
      <c r="Y708" s="1390"/>
      <c r="Z708" s="1390"/>
      <c r="AA708" s="1390"/>
      <c r="AB708" s="1390"/>
      <c r="AC708" s="1390"/>
      <c r="AD708" s="1390"/>
      <c r="AE708" s="1390"/>
      <c r="AF708" s="1390"/>
      <c r="AG708" s="1390"/>
      <c r="AH708" s="1390"/>
      <c r="AI708" s="1390"/>
      <c r="AJ708" s="1390"/>
      <c r="AK708" s="1390"/>
    </row>
    <row r="709" spans="3:37" ht="17.25" customHeight="1" x14ac:dyDescent="0.35">
      <c r="C709" s="1390"/>
      <c r="D709" s="1390"/>
      <c r="E709" s="1390"/>
      <c r="F709" s="1390"/>
      <c r="G709" s="1390"/>
      <c r="H709" s="1390"/>
      <c r="I709" s="1390"/>
      <c r="J709" s="1390"/>
      <c r="K709" s="1390"/>
      <c r="L709" s="1390"/>
      <c r="M709" s="1390"/>
      <c r="N709" s="1390"/>
      <c r="O709" s="1390"/>
      <c r="P709" s="1390"/>
      <c r="Q709" s="1390"/>
      <c r="R709" s="1390"/>
      <c r="S709" s="1390"/>
      <c r="T709" s="1390"/>
      <c r="U709" s="1390"/>
      <c r="V709" s="1390"/>
      <c r="W709" s="1390"/>
      <c r="X709" s="1390"/>
      <c r="Y709" s="1390"/>
      <c r="Z709" s="1390"/>
      <c r="AA709" s="1390"/>
      <c r="AB709" s="1390"/>
      <c r="AC709" s="1390"/>
      <c r="AD709" s="1390"/>
      <c r="AE709" s="1390"/>
      <c r="AF709" s="1390"/>
      <c r="AG709" s="1390"/>
      <c r="AH709" s="1390"/>
      <c r="AI709" s="1390"/>
      <c r="AJ709" s="1390"/>
      <c r="AK709" s="1390"/>
    </row>
    <row r="710" spans="3:37" ht="17.25" customHeight="1" x14ac:dyDescent="0.35">
      <c r="C710" s="1390"/>
      <c r="D710" s="1390"/>
      <c r="E710" s="1390"/>
      <c r="F710" s="1390"/>
      <c r="G710" s="1390"/>
      <c r="H710" s="1390"/>
      <c r="I710" s="1390"/>
      <c r="J710" s="1390"/>
      <c r="K710" s="1390"/>
      <c r="L710" s="1390"/>
      <c r="M710" s="1390"/>
      <c r="N710" s="1390"/>
      <c r="O710" s="1390"/>
      <c r="P710" s="1390"/>
      <c r="Q710" s="1390"/>
      <c r="R710" s="1390"/>
      <c r="S710" s="1390"/>
      <c r="T710" s="1390"/>
      <c r="U710" s="1390"/>
      <c r="V710" s="1390"/>
      <c r="W710" s="1390"/>
      <c r="X710" s="1390"/>
      <c r="Y710" s="1390"/>
      <c r="Z710" s="1390"/>
      <c r="AA710" s="1390"/>
      <c r="AB710" s="1390"/>
      <c r="AC710" s="1390"/>
      <c r="AD710" s="1390"/>
      <c r="AE710" s="1390"/>
      <c r="AF710" s="1390"/>
      <c r="AG710" s="1390"/>
      <c r="AH710" s="1390"/>
      <c r="AI710" s="1390"/>
      <c r="AJ710" s="1390"/>
      <c r="AK710" s="1390"/>
    </row>
    <row r="711" spans="3:37" ht="17.25" customHeight="1" x14ac:dyDescent="0.35">
      <c r="C711" s="1390"/>
      <c r="D711" s="1390"/>
      <c r="E711" s="1390"/>
      <c r="F711" s="1390"/>
      <c r="G711" s="1390"/>
      <c r="H711" s="1390"/>
      <c r="I711" s="1390"/>
      <c r="J711" s="1390"/>
      <c r="K711" s="1390"/>
      <c r="L711" s="1390"/>
      <c r="M711" s="1390"/>
      <c r="N711" s="1390"/>
      <c r="O711" s="1390"/>
      <c r="P711" s="1390"/>
      <c r="Q711" s="1390"/>
      <c r="R711" s="1390"/>
      <c r="S711" s="1390"/>
      <c r="T711" s="1390"/>
      <c r="U711" s="1390"/>
      <c r="V711" s="1390"/>
      <c r="W711" s="1390"/>
      <c r="X711" s="1390"/>
      <c r="Y711" s="1390"/>
      <c r="Z711" s="1390"/>
      <c r="AA711" s="1390"/>
      <c r="AB711" s="1390"/>
      <c r="AC711" s="1390"/>
      <c r="AD711" s="1390"/>
      <c r="AE711" s="1390"/>
      <c r="AF711" s="1390"/>
      <c r="AG711" s="1390"/>
      <c r="AH711" s="1390"/>
      <c r="AI711" s="1390"/>
      <c r="AJ711" s="1390"/>
      <c r="AK711" s="1390"/>
    </row>
    <row r="712" spans="3:37" ht="17.25" customHeight="1" x14ac:dyDescent="0.35">
      <c r="C712" s="1390"/>
      <c r="D712" s="1390"/>
      <c r="E712" s="1390"/>
      <c r="F712" s="1390"/>
      <c r="G712" s="1390"/>
      <c r="H712" s="1390"/>
      <c r="I712" s="1390"/>
      <c r="J712" s="1390"/>
      <c r="K712" s="1390"/>
      <c r="L712" s="1390"/>
      <c r="M712" s="1390"/>
      <c r="N712" s="1390"/>
      <c r="O712" s="1390"/>
      <c r="P712" s="1390"/>
      <c r="Q712" s="1390"/>
      <c r="R712" s="1390"/>
      <c r="S712" s="1390"/>
      <c r="T712" s="1390"/>
      <c r="U712" s="1390"/>
      <c r="V712" s="1390"/>
      <c r="W712" s="1390"/>
      <c r="X712" s="1390"/>
      <c r="Y712" s="1390"/>
      <c r="Z712" s="1390"/>
      <c r="AA712" s="1390"/>
      <c r="AB712" s="1390"/>
      <c r="AC712" s="1390"/>
      <c r="AD712" s="1390"/>
      <c r="AE712" s="1390"/>
      <c r="AF712" s="1390"/>
      <c r="AG712" s="1390"/>
      <c r="AH712" s="1390"/>
      <c r="AI712" s="1390"/>
      <c r="AJ712" s="1390"/>
      <c r="AK712" s="1390"/>
    </row>
    <row r="713" spans="3:37" ht="17.25" customHeight="1" x14ac:dyDescent="0.35">
      <c r="C713" s="1390"/>
      <c r="D713" s="1390"/>
      <c r="E713" s="1390"/>
      <c r="F713" s="1390"/>
      <c r="G713" s="1390"/>
      <c r="H713" s="1390"/>
      <c r="I713" s="1390"/>
      <c r="J713" s="1390"/>
      <c r="K713" s="1390"/>
      <c r="L713" s="1390"/>
      <c r="M713" s="1390"/>
      <c r="N713" s="1390"/>
      <c r="O713" s="1390"/>
      <c r="P713" s="1390"/>
      <c r="Q713" s="1390"/>
      <c r="R713" s="1390"/>
      <c r="S713" s="1390"/>
      <c r="T713" s="1390"/>
      <c r="U713" s="1390"/>
      <c r="V713" s="1390"/>
      <c r="W713" s="1390"/>
      <c r="X713" s="1390"/>
      <c r="Y713" s="1390"/>
      <c r="Z713" s="1390"/>
      <c r="AA713" s="1390"/>
      <c r="AB713" s="1390"/>
      <c r="AC713" s="1390"/>
      <c r="AD713" s="1390"/>
      <c r="AE713" s="1390"/>
      <c r="AF713" s="1390"/>
      <c r="AG713" s="1390"/>
      <c r="AH713" s="1390"/>
      <c r="AI713" s="1390"/>
      <c r="AJ713" s="1390"/>
      <c r="AK713" s="1390"/>
    </row>
    <row r="714" spans="3:37" ht="17.25" customHeight="1" x14ac:dyDescent="0.35">
      <c r="C714" s="1390"/>
      <c r="D714" s="1390"/>
      <c r="E714" s="1390"/>
      <c r="F714" s="1390"/>
      <c r="G714" s="1390"/>
      <c r="H714" s="1390"/>
      <c r="I714" s="1390"/>
      <c r="J714" s="1390"/>
      <c r="K714" s="1390"/>
      <c r="L714" s="1390"/>
      <c r="M714" s="1390"/>
      <c r="N714" s="1390"/>
      <c r="O714" s="1390"/>
      <c r="P714" s="1390"/>
      <c r="Q714" s="1390"/>
      <c r="R714" s="1390"/>
      <c r="S714" s="1390"/>
      <c r="T714" s="1390"/>
      <c r="U714" s="1390"/>
      <c r="V714" s="1390"/>
      <c r="W714" s="1390"/>
      <c r="X714" s="1390"/>
      <c r="Y714" s="1390"/>
      <c r="Z714" s="1390"/>
      <c r="AA714" s="1390"/>
      <c r="AB714" s="1390"/>
      <c r="AC714" s="1390"/>
      <c r="AD714" s="1390"/>
      <c r="AE714" s="1390"/>
      <c r="AF714" s="1390"/>
      <c r="AG714" s="1390"/>
      <c r="AH714" s="1390"/>
      <c r="AI714" s="1390"/>
      <c r="AJ714" s="1390"/>
      <c r="AK714" s="1390"/>
    </row>
    <row r="715" spans="3:37" ht="17.25" customHeight="1" x14ac:dyDescent="0.35">
      <c r="C715" s="1390"/>
      <c r="D715" s="1390"/>
      <c r="E715" s="1390"/>
      <c r="F715" s="1390"/>
      <c r="G715" s="1390"/>
      <c r="H715" s="1390"/>
      <c r="I715" s="1390"/>
      <c r="J715" s="1390"/>
      <c r="K715" s="1390"/>
      <c r="L715" s="1390"/>
      <c r="M715" s="1390"/>
      <c r="N715" s="1390"/>
      <c r="O715" s="1390"/>
      <c r="P715" s="1390"/>
      <c r="Q715" s="1390"/>
      <c r="R715" s="1390"/>
      <c r="S715" s="1390"/>
      <c r="T715" s="1390"/>
      <c r="U715" s="1390"/>
      <c r="V715" s="1390"/>
      <c r="W715" s="1390"/>
      <c r="X715" s="1390"/>
      <c r="Y715" s="1390"/>
      <c r="Z715" s="1390"/>
      <c r="AA715" s="1390"/>
      <c r="AB715" s="1390"/>
      <c r="AC715" s="1390"/>
      <c r="AD715" s="1390"/>
      <c r="AE715" s="1390"/>
      <c r="AF715" s="1390"/>
      <c r="AG715" s="1390"/>
      <c r="AH715" s="1390"/>
      <c r="AI715" s="1390"/>
      <c r="AJ715" s="1390"/>
      <c r="AK715" s="1390"/>
    </row>
    <row r="716" spans="3:37" ht="17.25" customHeight="1" x14ac:dyDescent="0.35">
      <c r="C716" s="1390"/>
      <c r="D716" s="1390"/>
      <c r="E716" s="1390"/>
      <c r="F716" s="1390"/>
      <c r="G716" s="1390"/>
      <c r="H716" s="1390"/>
      <c r="I716" s="1390"/>
      <c r="J716" s="1390"/>
      <c r="K716" s="1390"/>
      <c r="L716" s="1390"/>
      <c r="M716" s="1390"/>
      <c r="N716" s="1390"/>
      <c r="O716" s="1390"/>
      <c r="P716" s="1390"/>
      <c r="Q716" s="1390"/>
      <c r="R716" s="1390"/>
      <c r="S716" s="1390"/>
      <c r="T716" s="1390"/>
      <c r="U716" s="1390"/>
      <c r="V716" s="1390"/>
      <c r="W716" s="1390"/>
      <c r="X716" s="1390"/>
      <c r="Y716" s="1390"/>
      <c r="Z716" s="1390"/>
      <c r="AA716" s="1390"/>
      <c r="AB716" s="1390"/>
      <c r="AC716" s="1390"/>
      <c r="AD716" s="1390"/>
      <c r="AE716" s="1390"/>
      <c r="AF716" s="1390"/>
      <c r="AG716" s="1390"/>
      <c r="AH716" s="1390"/>
      <c r="AI716" s="1390"/>
      <c r="AJ716" s="1390"/>
      <c r="AK716" s="1390"/>
    </row>
    <row r="717" spans="3:37" ht="17.25" customHeight="1" x14ac:dyDescent="0.35">
      <c r="C717" s="1390"/>
      <c r="D717" s="1390"/>
      <c r="E717" s="1390"/>
      <c r="F717" s="1390"/>
      <c r="G717" s="1390"/>
      <c r="H717" s="1390"/>
      <c r="I717" s="1390"/>
      <c r="J717" s="1390"/>
      <c r="K717" s="1390"/>
      <c r="L717" s="1390"/>
      <c r="M717" s="1390"/>
      <c r="N717" s="1390"/>
      <c r="O717" s="1390"/>
      <c r="P717" s="1390"/>
      <c r="Q717" s="1390"/>
      <c r="R717" s="1390"/>
      <c r="S717" s="1390"/>
      <c r="T717" s="1390"/>
      <c r="U717" s="1390"/>
      <c r="V717" s="1390"/>
      <c r="W717" s="1390"/>
      <c r="X717" s="1390"/>
      <c r="Y717" s="1390"/>
      <c r="Z717" s="1390"/>
      <c r="AA717" s="1390"/>
      <c r="AB717" s="1390"/>
      <c r="AC717" s="1390"/>
      <c r="AD717" s="1390"/>
      <c r="AE717" s="1390"/>
      <c r="AF717" s="1390"/>
      <c r="AG717" s="1390"/>
      <c r="AH717" s="1390"/>
      <c r="AI717" s="1390"/>
      <c r="AJ717" s="1390"/>
      <c r="AK717" s="1390"/>
    </row>
    <row r="718" spans="3:37" ht="17.25" customHeight="1" x14ac:dyDescent="0.35">
      <c r="C718" s="1390"/>
      <c r="D718" s="1390"/>
      <c r="E718" s="1390"/>
      <c r="F718" s="1390"/>
      <c r="G718" s="1390"/>
      <c r="H718" s="1390"/>
      <c r="I718" s="1390"/>
      <c r="J718" s="1390"/>
      <c r="K718" s="1390"/>
      <c r="L718" s="1390"/>
      <c r="M718" s="1390"/>
      <c r="N718" s="1390"/>
      <c r="O718" s="1390"/>
      <c r="P718" s="1390"/>
      <c r="Q718" s="1390"/>
      <c r="R718" s="1390"/>
      <c r="S718" s="1390"/>
      <c r="T718" s="1390"/>
      <c r="U718" s="1390"/>
      <c r="V718" s="1390"/>
      <c r="W718" s="1390"/>
      <c r="X718" s="1390"/>
      <c r="Y718" s="1390"/>
      <c r="Z718" s="1390"/>
      <c r="AA718" s="1390"/>
      <c r="AB718" s="1390"/>
      <c r="AC718" s="1390"/>
      <c r="AD718" s="1390"/>
      <c r="AE718" s="1390"/>
      <c r="AF718" s="1390"/>
      <c r="AG718" s="1390"/>
      <c r="AH718" s="1390"/>
      <c r="AI718" s="1390"/>
      <c r="AJ718" s="1390"/>
      <c r="AK718" s="1390"/>
    </row>
    <row r="719" spans="3:37" ht="17.25" customHeight="1" x14ac:dyDescent="0.35">
      <c r="C719" s="1390"/>
      <c r="D719" s="1390"/>
      <c r="E719" s="1390"/>
      <c r="F719" s="1390"/>
      <c r="G719" s="1390"/>
      <c r="H719" s="1390"/>
      <c r="I719" s="1390"/>
      <c r="J719" s="1390"/>
      <c r="K719" s="1390"/>
      <c r="L719" s="1390"/>
      <c r="M719" s="1390"/>
      <c r="N719" s="1390"/>
      <c r="O719" s="1390"/>
      <c r="P719" s="1390"/>
      <c r="Q719" s="1390"/>
      <c r="R719" s="1390"/>
      <c r="S719" s="1390"/>
      <c r="T719" s="1390"/>
      <c r="U719" s="1390"/>
      <c r="V719" s="1390"/>
      <c r="W719" s="1390"/>
      <c r="X719" s="1390"/>
      <c r="Y719" s="1390"/>
      <c r="Z719" s="1390"/>
      <c r="AA719" s="1390"/>
      <c r="AB719" s="1390"/>
      <c r="AC719" s="1390"/>
      <c r="AD719" s="1390"/>
      <c r="AE719" s="1390"/>
      <c r="AF719" s="1390"/>
      <c r="AG719" s="1390"/>
      <c r="AH719" s="1390"/>
      <c r="AI719" s="1390"/>
      <c r="AJ719" s="1390"/>
      <c r="AK719" s="1390"/>
    </row>
    <row r="720" spans="3:37" ht="17.25" customHeight="1" x14ac:dyDescent="0.35">
      <c r="C720" s="1390"/>
      <c r="D720" s="1390"/>
      <c r="E720" s="1390"/>
      <c r="F720" s="1390"/>
      <c r="G720" s="1390"/>
      <c r="H720" s="1390"/>
      <c r="I720" s="1390"/>
      <c r="J720" s="1390"/>
      <c r="K720" s="1390"/>
      <c r="L720" s="1390"/>
      <c r="M720" s="1390"/>
      <c r="N720" s="1390"/>
      <c r="O720" s="1390"/>
      <c r="P720" s="1390"/>
      <c r="Q720" s="1390"/>
      <c r="R720" s="1390"/>
      <c r="S720" s="1390"/>
      <c r="T720" s="1390"/>
      <c r="U720" s="1390"/>
      <c r="V720" s="1390"/>
      <c r="W720" s="1390"/>
      <c r="X720" s="1390"/>
      <c r="Y720" s="1390"/>
      <c r="Z720" s="1390"/>
      <c r="AA720" s="1390"/>
      <c r="AB720" s="1390"/>
      <c r="AC720" s="1390"/>
      <c r="AD720" s="1390"/>
      <c r="AE720" s="1390"/>
      <c r="AF720" s="1390"/>
      <c r="AG720" s="1390"/>
      <c r="AH720" s="1390"/>
      <c r="AI720" s="1390"/>
      <c r="AJ720" s="1390"/>
      <c r="AK720" s="1390"/>
    </row>
    <row r="721" spans="3:37" ht="17.25" customHeight="1" x14ac:dyDescent="0.35">
      <c r="C721" s="1390"/>
      <c r="D721" s="1390"/>
      <c r="E721" s="1390"/>
      <c r="F721" s="1390"/>
      <c r="G721" s="1390"/>
      <c r="H721" s="1390"/>
      <c r="I721" s="1390"/>
      <c r="J721" s="1390"/>
      <c r="K721" s="1390"/>
      <c r="L721" s="1390"/>
      <c r="M721" s="1390"/>
      <c r="N721" s="1390"/>
      <c r="O721" s="1390"/>
      <c r="P721" s="1390"/>
      <c r="Q721" s="1390"/>
      <c r="R721" s="1390"/>
      <c r="S721" s="1390"/>
      <c r="T721" s="1390"/>
      <c r="U721" s="1390"/>
      <c r="V721" s="1390"/>
      <c r="W721" s="1390"/>
      <c r="X721" s="1390"/>
      <c r="Y721" s="1390"/>
      <c r="Z721" s="1390"/>
      <c r="AA721" s="1390"/>
      <c r="AB721" s="1390"/>
      <c r="AC721" s="1390"/>
      <c r="AD721" s="1390"/>
      <c r="AE721" s="1390"/>
      <c r="AF721" s="1390"/>
      <c r="AG721" s="1390"/>
      <c r="AH721" s="1390"/>
      <c r="AI721" s="1390"/>
      <c r="AJ721" s="1390"/>
      <c r="AK721" s="1390"/>
    </row>
    <row r="722" spans="3:37" ht="17.25" customHeight="1" x14ac:dyDescent="0.35">
      <c r="C722" s="1390"/>
      <c r="D722" s="1390"/>
      <c r="E722" s="1390"/>
      <c r="F722" s="1390"/>
      <c r="G722" s="1390"/>
      <c r="H722" s="1390"/>
      <c r="I722" s="1390"/>
      <c r="J722" s="1390"/>
      <c r="K722" s="1390"/>
      <c r="L722" s="1390"/>
      <c r="M722" s="1390"/>
      <c r="N722" s="1390"/>
      <c r="O722" s="1390"/>
      <c r="P722" s="1390"/>
      <c r="Q722" s="1390"/>
      <c r="R722" s="1390"/>
      <c r="S722" s="1390"/>
      <c r="T722" s="1390"/>
      <c r="U722" s="1390"/>
      <c r="V722" s="1390"/>
      <c r="W722" s="1390"/>
      <c r="X722" s="1390"/>
      <c r="Y722" s="1390"/>
      <c r="Z722" s="1390"/>
      <c r="AA722" s="1390"/>
      <c r="AB722" s="1390"/>
      <c r="AC722" s="1390"/>
      <c r="AD722" s="1390"/>
      <c r="AE722" s="1390"/>
      <c r="AF722" s="1390"/>
      <c r="AG722" s="1390"/>
      <c r="AH722" s="1390"/>
      <c r="AI722" s="1390"/>
      <c r="AJ722" s="1390"/>
      <c r="AK722" s="1390"/>
    </row>
    <row r="723" spans="3:37" ht="17.25" customHeight="1" x14ac:dyDescent="0.35">
      <c r="C723" s="1390"/>
      <c r="D723" s="1390"/>
      <c r="E723" s="1390"/>
      <c r="F723" s="1390"/>
      <c r="G723" s="1390"/>
      <c r="H723" s="1390"/>
      <c r="I723" s="1390"/>
      <c r="J723" s="1390"/>
      <c r="K723" s="1390"/>
      <c r="L723" s="1390"/>
      <c r="M723" s="1390"/>
      <c r="N723" s="1390"/>
      <c r="O723" s="1390"/>
      <c r="P723" s="1390"/>
      <c r="Q723" s="1390"/>
      <c r="R723" s="1390"/>
      <c r="S723" s="1390"/>
      <c r="T723" s="1390"/>
      <c r="U723" s="1390"/>
      <c r="V723" s="1390"/>
      <c r="W723" s="1390"/>
      <c r="X723" s="1390"/>
      <c r="Y723" s="1390"/>
      <c r="Z723" s="1390"/>
      <c r="AA723" s="1390"/>
      <c r="AB723" s="1390"/>
      <c r="AC723" s="1390"/>
      <c r="AD723" s="1390"/>
      <c r="AE723" s="1390"/>
      <c r="AF723" s="1390"/>
      <c r="AG723" s="1390"/>
      <c r="AH723" s="1390"/>
      <c r="AI723" s="1390"/>
      <c r="AJ723" s="1390"/>
      <c r="AK723" s="1390"/>
    </row>
    <row r="724" spans="3:37" ht="17.25" customHeight="1" x14ac:dyDescent="0.35">
      <c r="C724" s="1390"/>
      <c r="D724" s="1390"/>
      <c r="E724" s="1390"/>
      <c r="F724" s="1390"/>
      <c r="G724" s="1390"/>
      <c r="H724" s="1390"/>
      <c r="I724" s="1390"/>
      <c r="J724" s="1390"/>
      <c r="K724" s="1390"/>
      <c r="L724" s="1390"/>
      <c r="M724" s="1390"/>
      <c r="N724" s="1390"/>
      <c r="O724" s="1390"/>
      <c r="P724" s="1390"/>
      <c r="Q724" s="1390"/>
      <c r="R724" s="1390"/>
      <c r="S724" s="1390"/>
      <c r="T724" s="1390"/>
      <c r="U724" s="1390"/>
      <c r="V724" s="1390"/>
      <c r="W724" s="1390"/>
      <c r="X724" s="1390"/>
      <c r="Y724" s="1390"/>
      <c r="Z724" s="1390"/>
      <c r="AA724" s="1390"/>
      <c r="AB724" s="1390"/>
      <c r="AC724" s="1390"/>
      <c r="AD724" s="1390"/>
      <c r="AE724" s="1390"/>
      <c r="AF724" s="1390"/>
      <c r="AG724" s="1390"/>
      <c r="AH724" s="1390"/>
      <c r="AI724" s="1390"/>
      <c r="AJ724" s="1390"/>
      <c r="AK724" s="1390"/>
    </row>
    <row r="725" spans="3:37" ht="17.25" customHeight="1" x14ac:dyDescent="0.35">
      <c r="C725" s="1390"/>
      <c r="D725" s="1390"/>
      <c r="E725" s="1390"/>
      <c r="F725" s="1390"/>
      <c r="G725" s="1390"/>
      <c r="H725" s="1390"/>
      <c r="I725" s="1390"/>
      <c r="J725" s="1390"/>
      <c r="K725" s="1390"/>
      <c r="L725" s="1390"/>
      <c r="M725" s="1390"/>
      <c r="N725" s="1390"/>
      <c r="O725" s="1390"/>
      <c r="P725" s="1390"/>
      <c r="Q725" s="1390"/>
      <c r="R725" s="1390"/>
      <c r="S725" s="1390"/>
      <c r="T725" s="1390"/>
      <c r="U725" s="1390"/>
      <c r="V725" s="1390"/>
      <c r="W725" s="1390"/>
      <c r="X725" s="1390"/>
      <c r="Y725" s="1390"/>
      <c r="Z725" s="1390"/>
      <c r="AA725" s="1390"/>
      <c r="AB725" s="1390"/>
      <c r="AC725" s="1390"/>
      <c r="AD725" s="1390"/>
      <c r="AE725" s="1390"/>
      <c r="AF725" s="1390"/>
      <c r="AG725" s="1390"/>
      <c r="AH725" s="1390"/>
      <c r="AI725" s="1390"/>
      <c r="AJ725" s="1390"/>
      <c r="AK725" s="1390"/>
    </row>
    <row r="726" spans="3:37" ht="17.25" customHeight="1" x14ac:dyDescent="0.35">
      <c r="C726" s="1390"/>
      <c r="D726" s="1390"/>
      <c r="E726" s="1390"/>
      <c r="F726" s="1390"/>
      <c r="G726" s="1390"/>
      <c r="H726" s="1390"/>
      <c r="I726" s="1390"/>
      <c r="J726" s="1390"/>
      <c r="K726" s="1390"/>
      <c r="L726" s="1390"/>
      <c r="M726" s="1390"/>
      <c r="N726" s="1390"/>
      <c r="O726" s="1390"/>
      <c r="P726" s="1390"/>
      <c r="Q726" s="1390"/>
      <c r="R726" s="1390"/>
      <c r="S726" s="1390"/>
      <c r="T726" s="1390"/>
      <c r="U726" s="1390"/>
      <c r="V726" s="1390"/>
      <c r="W726" s="1390"/>
      <c r="X726" s="1390"/>
      <c r="Y726" s="1390"/>
      <c r="Z726" s="1390"/>
      <c r="AA726" s="1390"/>
      <c r="AB726" s="1390"/>
      <c r="AC726" s="1390"/>
      <c r="AD726" s="1390"/>
      <c r="AE726" s="1390"/>
      <c r="AF726" s="1390"/>
      <c r="AG726" s="1390"/>
      <c r="AH726" s="1390"/>
      <c r="AI726" s="1390"/>
      <c r="AJ726" s="1390"/>
      <c r="AK726" s="1390"/>
    </row>
    <row r="727" spans="3:37" ht="17.25" customHeight="1" x14ac:dyDescent="0.35">
      <c r="C727" s="1390"/>
      <c r="D727" s="1390"/>
      <c r="E727" s="1390"/>
      <c r="F727" s="1390"/>
      <c r="G727" s="1390"/>
      <c r="H727" s="1390"/>
      <c r="I727" s="1390"/>
      <c r="J727" s="1390"/>
      <c r="K727" s="1390"/>
      <c r="L727" s="1390"/>
      <c r="M727" s="1390"/>
      <c r="N727" s="1390"/>
      <c r="O727" s="1390"/>
      <c r="P727" s="1390"/>
      <c r="Q727" s="1390"/>
      <c r="R727" s="1390"/>
      <c r="S727" s="1390"/>
      <c r="T727" s="1390"/>
      <c r="U727" s="1390"/>
      <c r="V727" s="1390"/>
      <c r="W727" s="1390"/>
      <c r="X727" s="1390"/>
      <c r="Y727" s="1390"/>
      <c r="Z727" s="1390"/>
      <c r="AA727" s="1390"/>
      <c r="AB727" s="1390"/>
      <c r="AC727" s="1390"/>
      <c r="AD727" s="1390"/>
      <c r="AE727" s="1390"/>
      <c r="AF727" s="1390"/>
      <c r="AG727" s="1390"/>
      <c r="AH727" s="1390"/>
      <c r="AI727" s="1390"/>
      <c r="AJ727" s="1390"/>
      <c r="AK727" s="1390"/>
    </row>
    <row r="728" spans="3:37" ht="17.25" customHeight="1" x14ac:dyDescent="0.35">
      <c r="C728" s="1390"/>
      <c r="D728" s="1390"/>
      <c r="E728" s="1390"/>
      <c r="F728" s="1390"/>
      <c r="G728" s="1390"/>
      <c r="H728" s="1390"/>
      <c r="I728" s="1390"/>
      <c r="J728" s="1390"/>
      <c r="K728" s="1390"/>
      <c r="L728" s="1390"/>
      <c r="M728" s="1390"/>
      <c r="N728" s="1390"/>
      <c r="O728" s="1390"/>
      <c r="P728" s="1390"/>
      <c r="Q728" s="1390"/>
      <c r="R728" s="1390"/>
      <c r="S728" s="1390"/>
      <c r="T728" s="1390"/>
      <c r="U728" s="1390"/>
      <c r="V728" s="1390"/>
      <c r="W728" s="1390"/>
      <c r="X728" s="1390"/>
      <c r="Y728" s="1390"/>
      <c r="Z728" s="1390"/>
      <c r="AA728" s="1390"/>
      <c r="AB728" s="1390"/>
      <c r="AC728" s="1390"/>
      <c r="AD728" s="1390"/>
      <c r="AE728" s="1390"/>
      <c r="AF728" s="1390"/>
      <c r="AG728" s="1390"/>
      <c r="AH728" s="1390"/>
      <c r="AI728" s="1390"/>
      <c r="AJ728" s="1390"/>
      <c r="AK728" s="1390"/>
    </row>
    <row r="729" spans="3:37" ht="17.25" customHeight="1" x14ac:dyDescent="0.35">
      <c r="C729" s="1390"/>
      <c r="D729" s="1390"/>
      <c r="E729" s="1390"/>
      <c r="F729" s="1390"/>
      <c r="G729" s="1390"/>
      <c r="H729" s="1390"/>
      <c r="I729" s="1390"/>
      <c r="J729" s="1390"/>
      <c r="K729" s="1390"/>
      <c r="L729" s="1390"/>
      <c r="M729" s="1390"/>
      <c r="N729" s="1390"/>
      <c r="O729" s="1390"/>
      <c r="P729" s="1390"/>
      <c r="Q729" s="1390"/>
      <c r="R729" s="1390"/>
      <c r="S729" s="1390"/>
      <c r="T729" s="1390"/>
      <c r="U729" s="1390"/>
      <c r="V729" s="1390"/>
      <c r="W729" s="1390"/>
      <c r="X729" s="1390"/>
      <c r="Y729" s="1390"/>
      <c r="Z729" s="1390"/>
      <c r="AA729" s="1390"/>
      <c r="AB729" s="1390"/>
      <c r="AC729" s="1390"/>
      <c r="AD729" s="1390"/>
      <c r="AE729" s="1390"/>
      <c r="AF729" s="1390"/>
      <c r="AG729" s="1390"/>
      <c r="AH729" s="1390"/>
      <c r="AI729" s="1390"/>
      <c r="AJ729" s="1390"/>
      <c r="AK729" s="1390"/>
    </row>
    <row r="730" spans="3:37" ht="17.25" customHeight="1" x14ac:dyDescent="0.35">
      <c r="C730" s="1390"/>
      <c r="D730" s="1390"/>
      <c r="E730" s="1390"/>
      <c r="F730" s="1390"/>
      <c r="G730" s="1390"/>
      <c r="H730" s="1390"/>
      <c r="I730" s="1390"/>
      <c r="J730" s="1390"/>
      <c r="K730" s="1390"/>
      <c r="L730" s="1390"/>
      <c r="M730" s="1390"/>
      <c r="N730" s="1390"/>
      <c r="O730" s="1390"/>
      <c r="P730" s="1390"/>
      <c r="Q730" s="1390"/>
      <c r="R730" s="1390"/>
      <c r="S730" s="1390"/>
      <c r="T730" s="1390"/>
      <c r="U730" s="1390"/>
      <c r="V730" s="1390"/>
      <c r="W730" s="1390"/>
      <c r="X730" s="1390"/>
      <c r="Y730" s="1390"/>
      <c r="Z730" s="1390"/>
      <c r="AA730" s="1390"/>
      <c r="AB730" s="1390"/>
      <c r="AC730" s="1390"/>
      <c r="AD730" s="1390"/>
      <c r="AE730" s="1390"/>
      <c r="AF730" s="1390"/>
      <c r="AG730" s="1390"/>
      <c r="AH730" s="1390"/>
      <c r="AI730" s="1390"/>
      <c r="AJ730" s="1390"/>
      <c r="AK730" s="1390"/>
    </row>
    <row r="731" spans="3:37" ht="17.25" customHeight="1" x14ac:dyDescent="0.35">
      <c r="C731" s="1390"/>
      <c r="D731" s="1390"/>
      <c r="E731" s="1390"/>
      <c r="F731" s="1390"/>
      <c r="G731" s="1390"/>
      <c r="H731" s="1390"/>
      <c r="I731" s="1390"/>
      <c r="J731" s="1390"/>
      <c r="K731" s="1390"/>
      <c r="L731" s="1390"/>
      <c r="M731" s="1390"/>
      <c r="N731" s="1390"/>
      <c r="O731" s="1390"/>
      <c r="P731" s="1390"/>
      <c r="Q731" s="1390"/>
      <c r="R731" s="1390"/>
      <c r="S731" s="1390"/>
      <c r="T731" s="1390"/>
      <c r="U731" s="1390"/>
      <c r="V731" s="1390"/>
      <c r="W731" s="1390"/>
      <c r="X731" s="1390"/>
      <c r="Y731" s="1390"/>
      <c r="Z731" s="1390"/>
      <c r="AA731" s="1390"/>
      <c r="AB731" s="1390"/>
      <c r="AC731" s="1390"/>
      <c r="AD731" s="1390"/>
      <c r="AE731" s="1390"/>
      <c r="AF731" s="1390"/>
      <c r="AG731" s="1390"/>
      <c r="AH731" s="1390"/>
      <c r="AI731" s="1390"/>
      <c r="AJ731" s="1390"/>
      <c r="AK731" s="1390"/>
    </row>
    <row r="732" spans="3:37" ht="17.25" customHeight="1" x14ac:dyDescent="0.35">
      <c r="C732" s="1390"/>
      <c r="D732" s="1390"/>
      <c r="E732" s="1390"/>
      <c r="F732" s="1390"/>
      <c r="G732" s="1390"/>
      <c r="H732" s="1390"/>
      <c r="I732" s="1390"/>
      <c r="J732" s="1390"/>
      <c r="K732" s="1390"/>
      <c r="L732" s="1390"/>
      <c r="M732" s="1390"/>
      <c r="N732" s="1390"/>
      <c r="O732" s="1390"/>
      <c r="P732" s="1390"/>
      <c r="Q732" s="1390"/>
      <c r="R732" s="1390"/>
      <c r="S732" s="1390"/>
      <c r="T732" s="1390"/>
      <c r="U732" s="1390"/>
      <c r="V732" s="1390"/>
      <c r="W732" s="1390"/>
      <c r="X732" s="1390"/>
      <c r="Y732" s="1390"/>
      <c r="Z732" s="1390"/>
      <c r="AA732" s="1390"/>
      <c r="AB732" s="1390"/>
      <c r="AC732" s="1390"/>
      <c r="AD732" s="1390"/>
      <c r="AE732" s="1390"/>
      <c r="AF732" s="1390"/>
      <c r="AG732" s="1390"/>
      <c r="AH732" s="1390"/>
      <c r="AI732" s="1390"/>
      <c r="AJ732" s="1390"/>
      <c r="AK732" s="1390"/>
    </row>
    <row r="733" spans="3:37" ht="17.25" customHeight="1" x14ac:dyDescent="0.35">
      <c r="C733" s="1390"/>
      <c r="D733" s="1390"/>
      <c r="E733" s="1390"/>
      <c r="F733" s="1390"/>
      <c r="G733" s="1390"/>
      <c r="H733" s="1390"/>
      <c r="I733" s="1390"/>
      <c r="J733" s="1390"/>
      <c r="K733" s="1390"/>
      <c r="L733" s="1390"/>
      <c r="M733" s="1390"/>
      <c r="N733" s="1390"/>
      <c r="O733" s="1390"/>
      <c r="P733" s="1390"/>
      <c r="Q733" s="1390"/>
      <c r="R733" s="1390"/>
      <c r="S733" s="1390"/>
      <c r="T733" s="1390"/>
      <c r="U733" s="1390"/>
      <c r="V733" s="1390"/>
      <c r="W733" s="1390"/>
      <c r="X733" s="1390"/>
      <c r="Y733" s="1390"/>
      <c r="Z733" s="1390"/>
      <c r="AA733" s="1390"/>
      <c r="AB733" s="1390"/>
      <c r="AC733" s="1390"/>
      <c r="AD733" s="1390"/>
      <c r="AE733" s="1390"/>
      <c r="AF733" s="1390"/>
      <c r="AG733" s="1390"/>
      <c r="AH733" s="1390"/>
      <c r="AI733" s="1390"/>
      <c r="AJ733" s="1390"/>
      <c r="AK733" s="1390"/>
    </row>
    <row r="734" spans="3:37" ht="17.25" customHeight="1" x14ac:dyDescent="0.35">
      <c r="C734" s="1390"/>
      <c r="D734" s="1390"/>
      <c r="E734" s="1390"/>
      <c r="F734" s="1390"/>
      <c r="G734" s="1390"/>
      <c r="H734" s="1390"/>
      <c r="I734" s="1390"/>
      <c r="J734" s="1390"/>
      <c r="K734" s="1390"/>
      <c r="L734" s="1390"/>
      <c r="M734" s="1390"/>
      <c r="N734" s="1390"/>
      <c r="O734" s="1390"/>
      <c r="P734" s="1390"/>
      <c r="Q734" s="1390"/>
      <c r="R734" s="1390"/>
      <c r="S734" s="1390"/>
      <c r="T734" s="1390"/>
      <c r="U734" s="1390"/>
      <c r="V734" s="1390"/>
      <c r="W734" s="1390"/>
      <c r="X734" s="1390"/>
      <c r="Y734" s="1390"/>
      <c r="Z734" s="1390"/>
      <c r="AA734" s="1390"/>
      <c r="AB734" s="1390"/>
      <c r="AC734" s="1390"/>
      <c r="AD734" s="1390"/>
      <c r="AE734" s="1390"/>
      <c r="AF734" s="1390"/>
      <c r="AG734" s="1390"/>
      <c r="AH734" s="1390"/>
      <c r="AI734" s="1390"/>
      <c r="AJ734" s="1390"/>
      <c r="AK734" s="1390"/>
    </row>
    <row r="735" spans="3:37" ht="17.25" customHeight="1" x14ac:dyDescent="0.35">
      <c r="C735" s="1390"/>
      <c r="D735" s="1390"/>
      <c r="E735" s="1390"/>
      <c r="F735" s="1390"/>
      <c r="G735" s="1390"/>
      <c r="H735" s="1390"/>
      <c r="I735" s="1390"/>
      <c r="J735" s="1390"/>
      <c r="K735" s="1390"/>
      <c r="L735" s="1390"/>
      <c r="M735" s="1390"/>
      <c r="N735" s="1390"/>
      <c r="O735" s="1390"/>
      <c r="P735" s="1390"/>
      <c r="Q735" s="1390"/>
      <c r="R735" s="1390"/>
      <c r="S735" s="1390"/>
      <c r="T735" s="1390"/>
      <c r="U735" s="1390"/>
      <c r="V735" s="1390"/>
      <c r="W735" s="1390"/>
      <c r="X735" s="1390"/>
      <c r="Y735" s="1390"/>
      <c r="Z735" s="1390"/>
      <c r="AA735" s="1390"/>
      <c r="AB735" s="1390"/>
      <c r="AC735" s="1390"/>
      <c r="AD735" s="1390"/>
      <c r="AE735" s="1390"/>
      <c r="AF735" s="1390"/>
      <c r="AG735" s="1390"/>
      <c r="AH735" s="1390"/>
      <c r="AI735" s="1390"/>
      <c r="AJ735" s="1390"/>
      <c r="AK735" s="1390"/>
    </row>
    <row r="736" spans="3:37" ht="17.25" customHeight="1" x14ac:dyDescent="0.35">
      <c r="C736" s="1390"/>
      <c r="D736" s="1390"/>
      <c r="E736" s="1390"/>
      <c r="F736" s="1390"/>
      <c r="G736" s="1390"/>
      <c r="H736" s="1390"/>
      <c r="I736" s="1390"/>
      <c r="J736" s="1390"/>
      <c r="K736" s="1390"/>
      <c r="L736" s="1390"/>
      <c r="M736" s="1390"/>
      <c r="N736" s="1390"/>
      <c r="O736" s="1390"/>
      <c r="P736" s="1390"/>
      <c r="Q736" s="1390"/>
      <c r="R736" s="1390"/>
      <c r="S736" s="1390"/>
      <c r="T736" s="1390"/>
      <c r="U736" s="1390"/>
      <c r="V736" s="1390"/>
      <c r="W736" s="1390"/>
      <c r="X736" s="1390"/>
      <c r="Y736" s="1390"/>
      <c r="Z736" s="1390"/>
      <c r="AA736" s="1390"/>
      <c r="AB736" s="1390"/>
      <c r="AC736" s="1390"/>
      <c r="AD736" s="1390"/>
      <c r="AE736" s="1390"/>
      <c r="AF736" s="1390"/>
      <c r="AG736" s="1390"/>
      <c r="AH736" s="1390"/>
      <c r="AI736" s="1390"/>
      <c r="AJ736" s="1390"/>
      <c r="AK736" s="1390"/>
    </row>
    <row r="737" spans="3:37" ht="17.25" customHeight="1" x14ac:dyDescent="0.35">
      <c r="C737" s="1390"/>
      <c r="D737" s="1390"/>
      <c r="E737" s="1390"/>
      <c r="F737" s="1390"/>
      <c r="G737" s="1390"/>
      <c r="H737" s="1390"/>
      <c r="I737" s="1390"/>
      <c r="J737" s="1390"/>
      <c r="K737" s="1390"/>
      <c r="L737" s="1390"/>
      <c r="M737" s="1390"/>
      <c r="N737" s="1390"/>
      <c r="O737" s="1390"/>
      <c r="P737" s="1390"/>
      <c r="Q737" s="1390"/>
      <c r="R737" s="1390"/>
      <c r="S737" s="1390"/>
      <c r="T737" s="1390"/>
      <c r="U737" s="1390"/>
      <c r="V737" s="1390"/>
      <c r="W737" s="1390"/>
      <c r="X737" s="1390"/>
      <c r="Y737" s="1390"/>
      <c r="Z737" s="1390"/>
      <c r="AA737" s="1390"/>
      <c r="AB737" s="1390"/>
      <c r="AC737" s="1390"/>
      <c r="AD737" s="1390"/>
      <c r="AE737" s="1390"/>
      <c r="AF737" s="1390"/>
      <c r="AG737" s="1390"/>
      <c r="AH737" s="1390"/>
      <c r="AI737" s="1390"/>
      <c r="AJ737" s="1390"/>
      <c r="AK737" s="1390"/>
    </row>
    <row r="738" spans="3:37" ht="17.25" customHeight="1" x14ac:dyDescent="0.35">
      <c r="C738" s="1390"/>
      <c r="D738" s="1390"/>
      <c r="E738" s="1390"/>
      <c r="F738" s="1390"/>
      <c r="G738" s="1390"/>
      <c r="H738" s="1390"/>
      <c r="I738" s="1390"/>
      <c r="J738" s="1390"/>
      <c r="K738" s="1390"/>
      <c r="L738" s="1390"/>
      <c r="M738" s="1390"/>
      <c r="N738" s="1390"/>
      <c r="O738" s="1390"/>
      <c r="P738" s="1390"/>
      <c r="Q738" s="1390"/>
      <c r="R738" s="1390"/>
      <c r="S738" s="1390"/>
      <c r="T738" s="1390"/>
      <c r="U738" s="1390"/>
      <c r="V738" s="1390"/>
      <c r="W738" s="1390"/>
      <c r="X738" s="1390"/>
      <c r="Y738" s="1390"/>
      <c r="Z738" s="1390"/>
      <c r="AA738" s="1390"/>
      <c r="AB738" s="1390"/>
      <c r="AC738" s="1390"/>
      <c r="AD738" s="1390"/>
      <c r="AE738" s="1390"/>
      <c r="AF738" s="1390"/>
      <c r="AG738" s="1390"/>
      <c r="AH738" s="1390"/>
      <c r="AI738" s="1390"/>
      <c r="AJ738" s="1390"/>
      <c r="AK738" s="1390"/>
    </row>
    <row r="739" spans="3:37" ht="17.25" customHeight="1" x14ac:dyDescent="0.35">
      <c r="C739" s="1390"/>
      <c r="D739" s="1390"/>
      <c r="E739" s="1390"/>
      <c r="F739" s="1390"/>
      <c r="G739" s="1390"/>
      <c r="H739" s="1390"/>
      <c r="I739" s="1390"/>
      <c r="J739" s="1390"/>
      <c r="K739" s="1390"/>
      <c r="L739" s="1390"/>
      <c r="M739" s="1390"/>
      <c r="N739" s="1390"/>
      <c r="O739" s="1390"/>
      <c r="P739" s="1390"/>
      <c r="Q739" s="1390"/>
      <c r="R739" s="1390"/>
      <c r="S739" s="1390"/>
      <c r="T739" s="1390"/>
      <c r="U739" s="1390"/>
      <c r="V739" s="1390"/>
      <c r="W739" s="1390"/>
      <c r="X739" s="1390"/>
      <c r="Y739" s="1390"/>
      <c r="Z739" s="1390"/>
      <c r="AA739" s="1390"/>
      <c r="AB739" s="1390"/>
      <c r="AC739" s="1390"/>
      <c r="AD739" s="1390"/>
      <c r="AE739" s="1390"/>
      <c r="AF739" s="1390"/>
      <c r="AG739" s="1390"/>
      <c r="AH739" s="1390"/>
      <c r="AI739" s="1390"/>
      <c r="AJ739" s="1390"/>
      <c r="AK739" s="1390"/>
    </row>
    <row r="740" spans="3:37" ht="17.25" customHeight="1" x14ac:dyDescent="0.35">
      <c r="C740" s="1390"/>
      <c r="D740" s="1390"/>
      <c r="E740" s="1390"/>
      <c r="F740" s="1390"/>
      <c r="G740" s="1390"/>
      <c r="H740" s="1390"/>
      <c r="I740" s="1390"/>
      <c r="J740" s="1390"/>
      <c r="K740" s="1390"/>
      <c r="L740" s="1390"/>
      <c r="M740" s="1390"/>
      <c r="N740" s="1390"/>
      <c r="O740" s="1390"/>
      <c r="P740" s="1390"/>
      <c r="Q740" s="1390"/>
      <c r="R740" s="1390"/>
      <c r="S740" s="1390"/>
      <c r="T740" s="1390"/>
      <c r="U740" s="1390"/>
      <c r="V740" s="1390"/>
      <c r="W740" s="1390"/>
      <c r="X740" s="1390"/>
      <c r="Y740" s="1390"/>
      <c r="Z740" s="1390"/>
      <c r="AA740" s="1390"/>
      <c r="AB740" s="1390"/>
      <c r="AC740" s="1390"/>
      <c r="AD740" s="1390"/>
      <c r="AE740" s="1390"/>
      <c r="AF740" s="1390"/>
      <c r="AG740" s="1390"/>
      <c r="AH740" s="1390"/>
      <c r="AI740" s="1390"/>
      <c r="AJ740" s="1390"/>
      <c r="AK740" s="1390"/>
    </row>
    <row r="741" spans="3:37" ht="17.25" customHeight="1" x14ac:dyDescent="0.35">
      <c r="C741" s="1390"/>
      <c r="D741" s="1390"/>
      <c r="E741" s="1390"/>
      <c r="F741" s="1390"/>
      <c r="G741" s="1390"/>
      <c r="H741" s="1390"/>
      <c r="I741" s="1390"/>
      <c r="J741" s="1390"/>
      <c r="K741" s="1390"/>
      <c r="L741" s="1390"/>
      <c r="M741" s="1390"/>
      <c r="N741" s="1390"/>
      <c r="O741" s="1390"/>
      <c r="P741" s="1390"/>
      <c r="Q741" s="1390"/>
      <c r="R741" s="1390"/>
      <c r="S741" s="1390"/>
      <c r="T741" s="1390"/>
      <c r="U741" s="1390"/>
      <c r="V741" s="1390"/>
      <c r="W741" s="1390"/>
      <c r="X741" s="1390"/>
      <c r="Y741" s="1390"/>
      <c r="Z741" s="1390"/>
      <c r="AA741" s="1390"/>
      <c r="AB741" s="1390"/>
      <c r="AC741" s="1390"/>
      <c r="AD741" s="1390"/>
      <c r="AE741" s="1390"/>
      <c r="AF741" s="1390"/>
      <c r="AG741" s="1390"/>
      <c r="AH741" s="1390"/>
      <c r="AI741" s="1390"/>
      <c r="AJ741" s="1390"/>
      <c r="AK741" s="1390"/>
    </row>
    <row r="742" spans="3:37" ht="17.25" customHeight="1" x14ac:dyDescent="0.35">
      <c r="C742" s="1390"/>
      <c r="D742" s="1390"/>
      <c r="E742" s="1390"/>
      <c r="F742" s="1390"/>
      <c r="G742" s="1390"/>
      <c r="H742" s="1390"/>
      <c r="I742" s="1390"/>
      <c r="J742" s="1390"/>
      <c r="K742" s="1390"/>
      <c r="L742" s="1390"/>
      <c r="M742" s="1390"/>
      <c r="N742" s="1390"/>
      <c r="O742" s="1390"/>
      <c r="P742" s="1390"/>
      <c r="Q742" s="1390"/>
      <c r="R742" s="1390"/>
      <c r="S742" s="1390"/>
      <c r="T742" s="1390"/>
      <c r="U742" s="1390"/>
      <c r="V742" s="1390"/>
      <c r="W742" s="1390"/>
      <c r="X742" s="1390"/>
      <c r="Y742" s="1390"/>
      <c r="Z742" s="1390"/>
      <c r="AA742" s="1390"/>
      <c r="AB742" s="1390"/>
      <c r="AC742" s="1390"/>
      <c r="AD742" s="1390"/>
      <c r="AE742" s="1390"/>
      <c r="AF742" s="1390"/>
      <c r="AG742" s="1390"/>
      <c r="AH742" s="1390"/>
      <c r="AI742" s="1390"/>
      <c r="AJ742" s="1390"/>
      <c r="AK742" s="1390"/>
    </row>
    <row r="743" spans="3:37" ht="17.25" customHeight="1" x14ac:dyDescent="0.35">
      <c r="C743" s="1390"/>
      <c r="D743" s="1390"/>
      <c r="E743" s="1390"/>
      <c r="F743" s="1390"/>
      <c r="G743" s="1390"/>
      <c r="H743" s="1390"/>
      <c r="I743" s="1390"/>
      <c r="J743" s="1390"/>
      <c r="K743" s="1390"/>
      <c r="L743" s="1390"/>
      <c r="M743" s="1390"/>
      <c r="N743" s="1390"/>
      <c r="O743" s="1390"/>
      <c r="P743" s="1390"/>
      <c r="Q743" s="1390"/>
      <c r="R743" s="1390"/>
      <c r="S743" s="1390"/>
      <c r="T743" s="1390"/>
      <c r="U743" s="1390"/>
      <c r="V743" s="1390"/>
      <c r="W743" s="1390"/>
      <c r="X743" s="1390"/>
      <c r="Y743" s="1390"/>
      <c r="Z743" s="1390"/>
      <c r="AA743" s="1390"/>
      <c r="AB743" s="1390"/>
      <c r="AC743" s="1390"/>
      <c r="AD743" s="1390"/>
      <c r="AE743" s="1390"/>
      <c r="AF743" s="1390"/>
      <c r="AG743" s="1390"/>
      <c r="AH743" s="1390"/>
      <c r="AI743" s="1390"/>
      <c r="AJ743" s="1390"/>
      <c r="AK743" s="1390"/>
    </row>
    <row r="744" spans="3:37" ht="17.25" customHeight="1" x14ac:dyDescent="0.35">
      <c r="C744" s="1390"/>
      <c r="D744" s="1390"/>
      <c r="E744" s="1390"/>
      <c r="F744" s="1390"/>
      <c r="G744" s="1390"/>
      <c r="H744" s="1390"/>
      <c r="I744" s="1390"/>
      <c r="J744" s="1390"/>
      <c r="K744" s="1390"/>
      <c r="L744" s="1390"/>
      <c r="M744" s="1390"/>
      <c r="N744" s="1390"/>
      <c r="O744" s="1390"/>
      <c r="P744" s="1390"/>
      <c r="Q744" s="1390"/>
      <c r="R744" s="1390"/>
      <c r="S744" s="1390"/>
      <c r="T744" s="1390"/>
      <c r="U744" s="1390"/>
      <c r="V744" s="1390"/>
      <c r="W744" s="1390"/>
      <c r="X744" s="1390"/>
      <c r="Y744" s="1390"/>
      <c r="Z744" s="1390"/>
      <c r="AA744" s="1390"/>
      <c r="AB744" s="1390"/>
      <c r="AC744" s="1390"/>
      <c r="AD744" s="1390"/>
      <c r="AE744" s="1390"/>
      <c r="AF744" s="1390"/>
      <c r="AG744" s="1390"/>
      <c r="AH744" s="1390"/>
      <c r="AI744" s="1390"/>
      <c r="AJ744" s="1390"/>
      <c r="AK744" s="1390"/>
    </row>
    <row r="745" spans="3:37" ht="17.25" customHeight="1" x14ac:dyDescent="0.35">
      <c r="C745" s="1390"/>
      <c r="D745" s="1390"/>
      <c r="E745" s="1390"/>
      <c r="F745" s="1390"/>
      <c r="G745" s="1390"/>
      <c r="H745" s="1390"/>
      <c r="I745" s="1390"/>
      <c r="J745" s="1390"/>
      <c r="K745" s="1390"/>
      <c r="L745" s="1390"/>
      <c r="M745" s="1390"/>
      <c r="N745" s="1390"/>
      <c r="O745" s="1390"/>
      <c r="P745" s="1390"/>
      <c r="Q745" s="1390"/>
      <c r="R745" s="1390"/>
      <c r="S745" s="1390"/>
      <c r="T745" s="1390"/>
      <c r="U745" s="1390"/>
      <c r="V745" s="1390"/>
      <c r="W745" s="1390"/>
      <c r="X745" s="1390"/>
      <c r="Y745" s="1390"/>
      <c r="Z745" s="1390"/>
      <c r="AA745" s="1390"/>
      <c r="AB745" s="1390"/>
      <c r="AC745" s="1390"/>
      <c r="AD745" s="1390"/>
      <c r="AE745" s="1390"/>
      <c r="AF745" s="1390"/>
      <c r="AG745" s="1390"/>
      <c r="AH745" s="1390"/>
      <c r="AI745" s="1390"/>
      <c r="AJ745" s="1390"/>
      <c r="AK745" s="1390"/>
    </row>
    <row r="746" spans="3:37" ht="17.25" customHeight="1" x14ac:dyDescent="0.35">
      <c r="C746" s="1390"/>
      <c r="D746" s="1390"/>
      <c r="E746" s="1390"/>
      <c r="F746" s="1390"/>
      <c r="G746" s="1390"/>
      <c r="H746" s="1390"/>
      <c r="I746" s="1390"/>
      <c r="J746" s="1390"/>
      <c r="K746" s="1390"/>
      <c r="L746" s="1390"/>
      <c r="M746" s="1390"/>
      <c r="N746" s="1390"/>
      <c r="O746" s="1390"/>
      <c r="P746" s="1390"/>
      <c r="Q746" s="1390"/>
      <c r="R746" s="1390"/>
      <c r="S746" s="1390"/>
      <c r="T746" s="1390"/>
      <c r="U746" s="1390"/>
      <c r="V746" s="1390"/>
      <c r="W746" s="1390"/>
      <c r="X746" s="1390"/>
      <c r="Y746" s="1390"/>
      <c r="Z746" s="1390"/>
      <c r="AA746" s="1390"/>
      <c r="AB746" s="1390"/>
      <c r="AC746" s="1390"/>
      <c r="AD746" s="1390"/>
      <c r="AE746" s="1390"/>
      <c r="AF746" s="1390"/>
      <c r="AG746" s="1390"/>
      <c r="AH746" s="1390"/>
      <c r="AI746" s="1390"/>
      <c r="AJ746" s="1390"/>
      <c r="AK746" s="1390"/>
    </row>
    <row r="747" spans="3:37" ht="17.25" customHeight="1" x14ac:dyDescent="0.35">
      <c r="C747" s="1390"/>
      <c r="D747" s="1390"/>
      <c r="E747" s="1390"/>
      <c r="F747" s="1390"/>
      <c r="G747" s="1390"/>
      <c r="H747" s="1390"/>
      <c r="I747" s="1390"/>
      <c r="J747" s="1390"/>
      <c r="K747" s="1390"/>
      <c r="L747" s="1390"/>
      <c r="M747" s="1390"/>
      <c r="N747" s="1390"/>
      <c r="O747" s="1390"/>
      <c r="P747" s="1390"/>
      <c r="Q747" s="1390"/>
      <c r="R747" s="1390"/>
      <c r="S747" s="1390"/>
      <c r="T747" s="1390"/>
      <c r="U747" s="1390"/>
      <c r="V747" s="1390"/>
      <c r="W747" s="1390"/>
      <c r="X747" s="1390"/>
      <c r="Y747" s="1390"/>
      <c r="Z747" s="1390"/>
      <c r="AA747" s="1390"/>
      <c r="AB747" s="1390"/>
      <c r="AC747" s="1390"/>
      <c r="AD747" s="1390"/>
      <c r="AE747" s="1390"/>
      <c r="AF747" s="1390"/>
      <c r="AG747" s="1390"/>
      <c r="AH747" s="1390"/>
      <c r="AI747" s="1390"/>
      <c r="AJ747" s="1390"/>
      <c r="AK747" s="1390"/>
    </row>
    <row r="748" spans="3:37" ht="17.25" customHeight="1" x14ac:dyDescent="0.35">
      <c r="C748" s="1390"/>
      <c r="D748" s="1390"/>
      <c r="E748" s="1390"/>
      <c r="F748" s="1390"/>
      <c r="G748" s="1390"/>
      <c r="H748" s="1390"/>
      <c r="I748" s="1390"/>
      <c r="J748" s="1390"/>
      <c r="K748" s="1390"/>
      <c r="L748" s="1390"/>
      <c r="M748" s="1390"/>
      <c r="N748" s="1390"/>
      <c r="O748" s="1390"/>
      <c r="P748" s="1390"/>
      <c r="Q748" s="1390"/>
      <c r="R748" s="1390"/>
      <c r="S748" s="1390"/>
      <c r="T748" s="1390"/>
      <c r="U748" s="1390"/>
      <c r="V748" s="1390"/>
      <c r="W748" s="1390"/>
      <c r="X748" s="1390"/>
      <c r="Y748" s="1390"/>
      <c r="Z748" s="1390"/>
      <c r="AA748" s="1390"/>
      <c r="AB748" s="1390"/>
      <c r="AC748" s="1390"/>
      <c r="AD748" s="1390"/>
      <c r="AE748" s="1390"/>
      <c r="AF748" s="1390"/>
      <c r="AG748" s="1390"/>
      <c r="AH748" s="1390"/>
      <c r="AI748" s="1390"/>
      <c r="AJ748" s="1390"/>
      <c r="AK748" s="1390"/>
    </row>
    <row r="749" spans="3:37" ht="17.25" customHeight="1" x14ac:dyDescent="0.35">
      <c r="C749" s="1390"/>
      <c r="D749" s="1390"/>
      <c r="E749" s="1390"/>
      <c r="F749" s="1390"/>
      <c r="G749" s="1390"/>
      <c r="H749" s="1390"/>
      <c r="I749" s="1390"/>
      <c r="J749" s="1390"/>
      <c r="K749" s="1390"/>
      <c r="L749" s="1390"/>
      <c r="M749" s="1390"/>
      <c r="N749" s="1390"/>
      <c r="O749" s="1390"/>
      <c r="P749" s="1390"/>
      <c r="Q749" s="1390"/>
      <c r="R749" s="1390"/>
      <c r="S749" s="1390"/>
      <c r="T749" s="1390"/>
      <c r="U749" s="1390"/>
      <c r="V749" s="1390"/>
      <c r="W749" s="1390"/>
      <c r="X749" s="1390"/>
      <c r="Y749" s="1390"/>
      <c r="Z749" s="1390"/>
      <c r="AA749" s="1390"/>
      <c r="AB749" s="1390"/>
      <c r="AC749" s="1390"/>
      <c r="AD749" s="1390"/>
      <c r="AE749" s="1390"/>
      <c r="AF749" s="1390"/>
      <c r="AG749" s="1390"/>
      <c r="AH749" s="1390"/>
      <c r="AI749" s="1390"/>
      <c r="AJ749" s="1390"/>
      <c r="AK749" s="1390"/>
    </row>
    <row r="750" spans="3:37" ht="17.25" customHeight="1" x14ac:dyDescent="0.35">
      <c r="C750" s="1390"/>
      <c r="D750" s="1390"/>
      <c r="E750" s="1390"/>
      <c r="F750" s="1390"/>
      <c r="G750" s="1390"/>
      <c r="H750" s="1390"/>
      <c r="I750" s="1390"/>
      <c r="J750" s="1390"/>
      <c r="K750" s="1390"/>
      <c r="L750" s="1390"/>
      <c r="M750" s="1390"/>
      <c r="N750" s="1390"/>
      <c r="O750" s="1390"/>
      <c r="P750" s="1390"/>
      <c r="Q750" s="1390"/>
      <c r="R750" s="1390"/>
      <c r="S750" s="1390"/>
      <c r="T750" s="1390"/>
      <c r="U750" s="1390"/>
      <c r="V750" s="1390"/>
      <c r="W750" s="1390"/>
      <c r="X750" s="1390"/>
      <c r="Y750" s="1390"/>
      <c r="Z750" s="1390"/>
      <c r="AA750" s="1390"/>
      <c r="AB750" s="1390"/>
      <c r="AC750" s="1390"/>
      <c r="AD750" s="1390"/>
      <c r="AE750" s="1390"/>
      <c r="AF750" s="1390"/>
      <c r="AG750" s="1390"/>
      <c r="AH750" s="1390"/>
      <c r="AI750" s="1390"/>
      <c r="AJ750" s="1390"/>
      <c r="AK750" s="1390"/>
    </row>
    <row r="751" spans="3:37" ht="17.25" customHeight="1" x14ac:dyDescent="0.35">
      <c r="C751" s="1390"/>
      <c r="D751" s="1390"/>
      <c r="E751" s="1390"/>
      <c r="F751" s="1390"/>
      <c r="G751" s="1390"/>
      <c r="H751" s="1390"/>
      <c r="I751" s="1390"/>
      <c r="J751" s="1390"/>
      <c r="K751" s="1390"/>
      <c r="L751" s="1390"/>
      <c r="M751" s="1390"/>
      <c r="N751" s="1390"/>
      <c r="O751" s="1390"/>
      <c r="P751" s="1390"/>
      <c r="Q751" s="1390"/>
      <c r="R751" s="1390"/>
      <c r="S751" s="1390"/>
      <c r="T751" s="1390"/>
      <c r="U751" s="1390"/>
      <c r="V751" s="1390"/>
      <c r="W751" s="1390"/>
      <c r="X751" s="1390"/>
      <c r="Y751" s="1390"/>
      <c r="Z751" s="1390"/>
      <c r="AA751" s="1390"/>
      <c r="AB751" s="1390"/>
      <c r="AC751" s="1390"/>
      <c r="AD751" s="1390"/>
      <c r="AE751" s="1390"/>
      <c r="AF751" s="1390"/>
      <c r="AG751" s="1390"/>
      <c r="AH751" s="1390"/>
      <c r="AI751" s="1390"/>
      <c r="AJ751" s="1390"/>
      <c r="AK751" s="1390"/>
    </row>
    <row r="752" spans="3:37" ht="17.25" customHeight="1" x14ac:dyDescent="0.35">
      <c r="C752" s="1390"/>
      <c r="D752" s="1390"/>
      <c r="E752" s="1390"/>
      <c r="F752" s="1390"/>
      <c r="G752" s="1390"/>
      <c r="H752" s="1390"/>
      <c r="I752" s="1390"/>
      <c r="J752" s="1390"/>
      <c r="K752" s="1390"/>
      <c r="L752" s="1390"/>
      <c r="M752" s="1390"/>
      <c r="N752" s="1390"/>
      <c r="O752" s="1390"/>
      <c r="P752" s="1390"/>
      <c r="Q752" s="1390"/>
      <c r="R752" s="1390"/>
      <c r="S752" s="1390"/>
      <c r="T752" s="1390"/>
      <c r="U752" s="1390"/>
      <c r="V752" s="1390"/>
      <c r="W752" s="1390"/>
      <c r="X752" s="1390"/>
      <c r="Y752" s="1390"/>
      <c r="Z752" s="1390"/>
      <c r="AA752" s="1390"/>
      <c r="AB752" s="1390"/>
      <c r="AC752" s="1390"/>
      <c r="AD752" s="1390"/>
      <c r="AE752" s="1390"/>
      <c r="AF752" s="1390"/>
      <c r="AG752" s="1390"/>
      <c r="AH752" s="1390"/>
      <c r="AI752" s="1390"/>
      <c r="AJ752" s="1390"/>
      <c r="AK752" s="1390"/>
    </row>
    <row r="753" spans="3:37" ht="17.25" customHeight="1" x14ac:dyDescent="0.35">
      <c r="C753" s="1390"/>
      <c r="D753" s="1390"/>
      <c r="E753" s="1390"/>
      <c r="F753" s="1390"/>
      <c r="G753" s="1390"/>
      <c r="H753" s="1390"/>
      <c r="I753" s="1390"/>
      <c r="J753" s="1390"/>
      <c r="K753" s="1390"/>
      <c r="L753" s="1390"/>
      <c r="M753" s="1390"/>
      <c r="N753" s="1390"/>
      <c r="O753" s="1390"/>
      <c r="P753" s="1390"/>
      <c r="Q753" s="1390"/>
      <c r="R753" s="1390"/>
      <c r="S753" s="1390"/>
      <c r="T753" s="1390"/>
      <c r="U753" s="1390"/>
      <c r="V753" s="1390"/>
      <c r="W753" s="1390"/>
      <c r="X753" s="1390"/>
      <c r="Y753" s="1390"/>
      <c r="Z753" s="1390"/>
      <c r="AA753" s="1390"/>
      <c r="AB753" s="1390"/>
      <c r="AC753" s="1390"/>
      <c r="AD753" s="1390"/>
      <c r="AE753" s="1390"/>
      <c r="AF753" s="1390"/>
      <c r="AG753" s="1390"/>
      <c r="AH753" s="1390"/>
      <c r="AI753" s="1390"/>
      <c r="AJ753" s="1390"/>
      <c r="AK753" s="1390"/>
    </row>
    <row r="754" spans="3:37" ht="17.25" customHeight="1" x14ac:dyDescent="0.35">
      <c r="C754" s="1390"/>
      <c r="D754" s="1390"/>
      <c r="E754" s="1390"/>
      <c r="F754" s="1390"/>
      <c r="G754" s="1390"/>
      <c r="H754" s="1390"/>
      <c r="I754" s="1390"/>
      <c r="J754" s="1390"/>
      <c r="K754" s="1390"/>
      <c r="L754" s="1390"/>
      <c r="M754" s="1390"/>
      <c r="N754" s="1390"/>
      <c r="O754" s="1390"/>
      <c r="P754" s="1390"/>
      <c r="Q754" s="1390"/>
      <c r="R754" s="1390"/>
      <c r="S754" s="1390"/>
      <c r="T754" s="1390"/>
      <c r="U754" s="1390"/>
      <c r="V754" s="1390"/>
      <c r="W754" s="1390"/>
      <c r="X754" s="1390"/>
      <c r="Y754" s="1390"/>
      <c r="Z754" s="1390"/>
      <c r="AA754" s="1390"/>
      <c r="AB754" s="1390"/>
      <c r="AC754" s="1390"/>
      <c r="AD754" s="1390"/>
      <c r="AE754" s="1390"/>
      <c r="AF754" s="1390"/>
      <c r="AG754" s="1390"/>
      <c r="AH754" s="1390"/>
      <c r="AI754" s="1390"/>
      <c r="AJ754" s="1390"/>
      <c r="AK754" s="1390"/>
    </row>
    <row r="755" spans="3:37" ht="17.25" customHeight="1" x14ac:dyDescent="0.35">
      <c r="C755" s="1390"/>
      <c r="D755" s="1390"/>
      <c r="E755" s="1390"/>
      <c r="F755" s="1390"/>
      <c r="G755" s="1390"/>
      <c r="H755" s="1390"/>
      <c r="I755" s="1390"/>
      <c r="J755" s="1390"/>
      <c r="K755" s="1390"/>
      <c r="L755" s="1390"/>
      <c r="M755" s="1390"/>
      <c r="N755" s="1390"/>
      <c r="O755" s="1390"/>
      <c r="P755" s="1390"/>
      <c r="Q755" s="1390"/>
      <c r="R755" s="1390"/>
      <c r="S755" s="1390"/>
      <c r="T755" s="1390"/>
      <c r="U755" s="1390"/>
      <c r="V755" s="1390"/>
      <c r="W755" s="1390"/>
      <c r="X755" s="1390"/>
      <c r="Y755" s="1390"/>
      <c r="Z755" s="1390"/>
      <c r="AA755" s="1390"/>
      <c r="AB755" s="1390"/>
      <c r="AC755" s="1390"/>
      <c r="AD755" s="1390"/>
      <c r="AE755" s="1390"/>
      <c r="AF755" s="1390"/>
      <c r="AG755" s="1390"/>
      <c r="AH755" s="1390"/>
      <c r="AI755" s="1390"/>
      <c r="AJ755" s="1390"/>
      <c r="AK755" s="1390"/>
    </row>
    <row r="756" spans="3:37" ht="17.25" customHeight="1" x14ac:dyDescent="0.35">
      <c r="C756" s="1390"/>
      <c r="D756" s="1390"/>
      <c r="E756" s="1390"/>
      <c r="F756" s="1390"/>
      <c r="G756" s="1390"/>
      <c r="H756" s="1390"/>
      <c r="I756" s="1390"/>
      <c r="J756" s="1390"/>
      <c r="K756" s="1390"/>
      <c r="L756" s="1390"/>
      <c r="M756" s="1390"/>
      <c r="N756" s="1390"/>
      <c r="O756" s="1390"/>
      <c r="P756" s="1390"/>
      <c r="Q756" s="1390"/>
      <c r="R756" s="1390"/>
      <c r="S756" s="1390"/>
      <c r="T756" s="1390"/>
      <c r="U756" s="1390"/>
      <c r="V756" s="1390"/>
      <c r="W756" s="1390"/>
      <c r="X756" s="1390"/>
      <c r="Y756" s="1390"/>
      <c r="Z756" s="1390"/>
      <c r="AA756" s="1390"/>
      <c r="AB756" s="1390"/>
      <c r="AC756" s="1390"/>
      <c r="AD756" s="1390"/>
      <c r="AE756" s="1390"/>
      <c r="AF756" s="1390"/>
      <c r="AG756" s="1390"/>
      <c r="AH756" s="1390"/>
      <c r="AI756" s="1390"/>
      <c r="AJ756" s="1390"/>
      <c r="AK756" s="1390"/>
    </row>
    <row r="757" spans="3:37" ht="17.25" customHeight="1" x14ac:dyDescent="0.35">
      <c r="C757" s="1390"/>
      <c r="D757" s="1390"/>
      <c r="E757" s="1390"/>
      <c r="F757" s="1390"/>
      <c r="G757" s="1390"/>
      <c r="H757" s="1390"/>
      <c r="I757" s="1390"/>
      <c r="J757" s="1390"/>
      <c r="K757" s="1390"/>
      <c r="L757" s="1390"/>
      <c r="M757" s="1390"/>
      <c r="N757" s="1390"/>
      <c r="O757" s="1390"/>
      <c r="P757" s="1390"/>
      <c r="Q757" s="1390"/>
      <c r="R757" s="1390"/>
      <c r="S757" s="1390"/>
      <c r="T757" s="1390"/>
      <c r="U757" s="1390"/>
      <c r="V757" s="1390"/>
      <c r="W757" s="1390"/>
      <c r="X757" s="1390"/>
      <c r="Y757" s="1390"/>
      <c r="Z757" s="1390"/>
      <c r="AA757" s="1390"/>
      <c r="AB757" s="1390"/>
      <c r="AC757" s="1390"/>
      <c r="AD757" s="1390"/>
      <c r="AE757" s="1390"/>
      <c r="AF757" s="1390"/>
      <c r="AG757" s="1390"/>
      <c r="AH757" s="1390"/>
      <c r="AI757" s="1390"/>
      <c r="AJ757" s="1390"/>
      <c r="AK757" s="1390"/>
    </row>
    <row r="758" spans="3:37" ht="17.25" customHeight="1" x14ac:dyDescent="0.35">
      <c r="C758" s="1390"/>
      <c r="D758" s="1390"/>
      <c r="E758" s="1390"/>
      <c r="F758" s="1390"/>
      <c r="G758" s="1390"/>
      <c r="H758" s="1390"/>
      <c r="I758" s="1390"/>
      <c r="J758" s="1390"/>
      <c r="K758" s="1390"/>
      <c r="L758" s="1390"/>
      <c r="M758" s="1390"/>
      <c r="N758" s="1390"/>
      <c r="O758" s="1390"/>
      <c r="P758" s="1390"/>
      <c r="Q758" s="1390"/>
      <c r="R758" s="1390"/>
      <c r="S758" s="1390"/>
      <c r="T758" s="1390"/>
      <c r="U758" s="1390"/>
      <c r="V758" s="1390"/>
      <c r="W758" s="1390"/>
      <c r="X758" s="1390"/>
      <c r="Y758" s="1390"/>
      <c r="Z758" s="1390"/>
      <c r="AA758" s="1390"/>
      <c r="AB758" s="1390"/>
      <c r="AC758" s="1390"/>
      <c r="AD758" s="1390"/>
      <c r="AE758" s="1390"/>
      <c r="AF758" s="1390"/>
      <c r="AG758" s="1390"/>
      <c r="AH758" s="1390"/>
      <c r="AI758" s="1390"/>
      <c r="AJ758" s="1390"/>
      <c r="AK758" s="1390"/>
    </row>
    <row r="759" spans="3:37" ht="17.25" customHeight="1" x14ac:dyDescent="0.35">
      <c r="C759" s="1390"/>
      <c r="D759" s="1390"/>
      <c r="E759" s="1390"/>
      <c r="F759" s="1390"/>
      <c r="G759" s="1390"/>
      <c r="H759" s="1390"/>
      <c r="I759" s="1390"/>
      <c r="J759" s="1390"/>
      <c r="K759" s="1390"/>
      <c r="L759" s="1390"/>
      <c r="M759" s="1390"/>
      <c r="N759" s="1390"/>
      <c r="O759" s="1390"/>
      <c r="P759" s="1390"/>
      <c r="Q759" s="1390"/>
      <c r="R759" s="1390"/>
      <c r="S759" s="1390"/>
      <c r="T759" s="1390"/>
      <c r="U759" s="1390"/>
      <c r="V759" s="1390"/>
      <c r="W759" s="1390"/>
      <c r="X759" s="1390"/>
      <c r="Y759" s="1390"/>
      <c r="Z759" s="1390"/>
      <c r="AA759" s="1390"/>
      <c r="AB759" s="1390"/>
      <c r="AC759" s="1390"/>
      <c r="AD759" s="1390"/>
      <c r="AE759" s="1390"/>
      <c r="AF759" s="1390"/>
      <c r="AG759" s="1390"/>
      <c r="AH759" s="1390"/>
      <c r="AI759" s="1390"/>
      <c r="AJ759" s="1390"/>
      <c r="AK759" s="1390"/>
    </row>
    <row r="760" spans="3:37" ht="17.25" customHeight="1" x14ac:dyDescent="0.35">
      <c r="C760" s="1390"/>
      <c r="D760" s="1390"/>
      <c r="E760" s="1390"/>
      <c r="F760" s="1390"/>
      <c r="G760" s="1390"/>
      <c r="H760" s="1390"/>
      <c r="I760" s="1390"/>
      <c r="J760" s="1390"/>
      <c r="K760" s="1390"/>
      <c r="L760" s="1390"/>
      <c r="M760" s="1390"/>
      <c r="N760" s="1390"/>
      <c r="O760" s="1390"/>
      <c r="P760" s="1390"/>
      <c r="Q760" s="1390"/>
      <c r="R760" s="1390"/>
      <c r="S760" s="1390"/>
      <c r="T760" s="1390"/>
      <c r="U760" s="1390"/>
      <c r="V760" s="1390"/>
      <c r="W760" s="1390"/>
      <c r="X760" s="1390"/>
      <c r="Y760" s="1390"/>
      <c r="Z760" s="1390"/>
      <c r="AA760" s="1390"/>
      <c r="AB760" s="1390"/>
      <c r="AC760" s="1390"/>
      <c r="AD760" s="1390"/>
      <c r="AE760" s="1390"/>
      <c r="AF760" s="1390"/>
      <c r="AG760" s="1390"/>
      <c r="AH760" s="1390"/>
      <c r="AI760" s="1390"/>
      <c r="AJ760" s="1390"/>
      <c r="AK760" s="1390"/>
    </row>
    <row r="761" spans="3:37" ht="17.25" customHeight="1" x14ac:dyDescent="0.35">
      <c r="C761" s="1390"/>
      <c r="D761" s="1390"/>
      <c r="E761" s="1390"/>
      <c r="F761" s="1390"/>
      <c r="G761" s="1390"/>
      <c r="H761" s="1390"/>
      <c r="I761" s="1390"/>
      <c r="J761" s="1390"/>
      <c r="K761" s="1390"/>
      <c r="L761" s="1390"/>
      <c r="M761" s="1390"/>
      <c r="N761" s="1390"/>
      <c r="O761" s="1390"/>
      <c r="P761" s="1390"/>
      <c r="Q761" s="1390"/>
      <c r="R761" s="1390"/>
      <c r="S761" s="1390"/>
      <c r="T761" s="1390"/>
      <c r="U761" s="1390"/>
      <c r="V761" s="1390"/>
      <c r="W761" s="1390"/>
      <c r="X761" s="1390"/>
      <c r="Y761" s="1390"/>
      <c r="Z761" s="1390"/>
      <c r="AA761" s="1390"/>
      <c r="AB761" s="1390"/>
      <c r="AC761" s="1390"/>
      <c r="AD761" s="1390"/>
      <c r="AE761" s="1390"/>
      <c r="AF761" s="1390"/>
      <c r="AG761" s="1390"/>
      <c r="AH761" s="1390"/>
      <c r="AI761" s="1390"/>
      <c r="AJ761" s="1390"/>
      <c r="AK761" s="1390"/>
    </row>
    <row r="762" spans="3:37" ht="17.25" customHeight="1" x14ac:dyDescent="0.35">
      <c r="C762" s="1390"/>
      <c r="D762" s="1390"/>
      <c r="E762" s="1390"/>
      <c r="F762" s="1390"/>
      <c r="G762" s="1390"/>
      <c r="H762" s="1390"/>
      <c r="I762" s="1390"/>
      <c r="J762" s="1390"/>
      <c r="K762" s="1390"/>
      <c r="L762" s="1390"/>
      <c r="M762" s="1390"/>
      <c r="N762" s="1390"/>
      <c r="O762" s="1390"/>
      <c r="P762" s="1390"/>
      <c r="Q762" s="1390"/>
      <c r="R762" s="1390"/>
      <c r="S762" s="1390"/>
      <c r="T762" s="1390"/>
      <c r="U762" s="1390"/>
      <c r="V762" s="1390"/>
      <c r="W762" s="1390"/>
      <c r="X762" s="1390"/>
      <c r="Y762" s="1390"/>
      <c r="Z762" s="1390"/>
      <c r="AA762" s="1390"/>
      <c r="AB762" s="1390"/>
      <c r="AC762" s="1390"/>
      <c r="AD762" s="1390"/>
      <c r="AE762" s="1390"/>
      <c r="AF762" s="1390"/>
      <c r="AG762" s="1390"/>
      <c r="AH762" s="1390"/>
      <c r="AI762" s="1390"/>
      <c r="AJ762" s="1390"/>
      <c r="AK762" s="1390"/>
    </row>
    <row r="763" spans="3:37" ht="17.25" customHeight="1" x14ac:dyDescent="0.35">
      <c r="C763" s="1390"/>
      <c r="D763" s="1390"/>
      <c r="E763" s="1390"/>
      <c r="F763" s="1390"/>
      <c r="G763" s="1390"/>
      <c r="H763" s="1390"/>
      <c r="I763" s="1390"/>
      <c r="J763" s="1390"/>
      <c r="K763" s="1390"/>
      <c r="L763" s="1390"/>
      <c r="M763" s="1390"/>
      <c r="N763" s="1390"/>
      <c r="O763" s="1390"/>
      <c r="P763" s="1390"/>
      <c r="Q763" s="1390"/>
      <c r="R763" s="1390"/>
      <c r="S763" s="1390"/>
      <c r="T763" s="1390"/>
      <c r="U763" s="1390"/>
      <c r="V763" s="1390"/>
      <c r="W763" s="1390"/>
      <c r="X763" s="1390"/>
      <c r="Y763" s="1390"/>
      <c r="Z763" s="1390"/>
      <c r="AA763" s="1390"/>
      <c r="AB763" s="1390"/>
      <c r="AC763" s="1390"/>
      <c r="AD763" s="1390"/>
      <c r="AE763" s="1390"/>
      <c r="AF763" s="1390"/>
      <c r="AG763" s="1390"/>
      <c r="AH763" s="1390"/>
      <c r="AI763" s="1390"/>
      <c r="AJ763" s="1390"/>
      <c r="AK763" s="1390"/>
    </row>
    <row r="764" spans="3:37" ht="17.25" customHeight="1" x14ac:dyDescent="0.35">
      <c r="C764" s="1390"/>
      <c r="D764" s="1390"/>
      <c r="E764" s="1390"/>
      <c r="F764" s="1390"/>
      <c r="G764" s="1390"/>
      <c r="H764" s="1390"/>
      <c r="I764" s="1390"/>
      <c r="J764" s="1390"/>
      <c r="K764" s="1390"/>
      <c r="L764" s="1390"/>
      <c r="M764" s="1390"/>
      <c r="N764" s="1390"/>
      <c r="O764" s="1390"/>
      <c r="P764" s="1390"/>
      <c r="Q764" s="1390"/>
      <c r="R764" s="1390"/>
      <c r="S764" s="1390"/>
      <c r="T764" s="1390"/>
      <c r="U764" s="1390"/>
      <c r="V764" s="1390"/>
      <c r="W764" s="1390"/>
      <c r="X764" s="1390"/>
      <c r="Y764" s="1390"/>
      <c r="Z764" s="1390"/>
      <c r="AA764" s="1390"/>
      <c r="AB764" s="1390"/>
      <c r="AC764" s="1390"/>
      <c r="AD764" s="1390"/>
      <c r="AE764" s="1390"/>
      <c r="AF764" s="1390"/>
      <c r="AG764" s="1390"/>
      <c r="AH764" s="1390"/>
      <c r="AI764" s="1390"/>
      <c r="AJ764" s="1390"/>
      <c r="AK764" s="1390"/>
    </row>
    <row r="765" spans="3:37" ht="17.25" customHeight="1" x14ac:dyDescent="0.35">
      <c r="C765" s="1390"/>
      <c r="D765" s="1390"/>
      <c r="E765" s="1390"/>
      <c r="F765" s="1390"/>
      <c r="G765" s="1390"/>
      <c r="H765" s="1390"/>
      <c r="I765" s="1390"/>
      <c r="J765" s="1390"/>
      <c r="K765" s="1390"/>
      <c r="L765" s="1390"/>
      <c r="M765" s="1390"/>
      <c r="N765" s="1390"/>
      <c r="O765" s="1390"/>
      <c r="P765" s="1390"/>
      <c r="Q765" s="1390"/>
      <c r="R765" s="1390"/>
      <c r="S765" s="1390"/>
      <c r="T765" s="1390"/>
      <c r="U765" s="1390"/>
      <c r="V765" s="1390"/>
      <c r="W765" s="1390"/>
      <c r="X765" s="1390"/>
      <c r="Y765" s="1390"/>
      <c r="Z765" s="1390"/>
      <c r="AA765" s="1390"/>
      <c r="AB765" s="1390"/>
      <c r="AC765" s="1390"/>
      <c r="AD765" s="1390"/>
      <c r="AE765" s="1390"/>
      <c r="AF765" s="1390"/>
      <c r="AG765" s="1390"/>
      <c r="AH765" s="1390"/>
      <c r="AI765" s="1390"/>
      <c r="AJ765" s="1390"/>
      <c r="AK765" s="1390"/>
    </row>
    <row r="766" spans="3:37" ht="17.25" customHeight="1" x14ac:dyDescent="0.35">
      <c r="C766" s="1390"/>
      <c r="D766" s="1390"/>
      <c r="E766" s="1390"/>
      <c r="F766" s="1390"/>
      <c r="G766" s="1390"/>
      <c r="H766" s="1390"/>
      <c r="I766" s="1390"/>
      <c r="J766" s="1390"/>
      <c r="K766" s="1390"/>
      <c r="L766" s="1390"/>
      <c r="M766" s="1390"/>
      <c r="N766" s="1390"/>
      <c r="O766" s="1390"/>
      <c r="P766" s="1390"/>
      <c r="Q766" s="1390"/>
      <c r="R766" s="1390"/>
      <c r="S766" s="1390"/>
      <c r="T766" s="1390"/>
      <c r="U766" s="1390"/>
      <c r="V766" s="1390"/>
      <c r="W766" s="1390"/>
      <c r="X766" s="1390"/>
      <c r="Y766" s="1390"/>
      <c r="Z766" s="1390"/>
      <c r="AA766" s="1390"/>
      <c r="AB766" s="1390"/>
      <c r="AC766" s="1390"/>
      <c r="AD766" s="1390"/>
      <c r="AE766" s="1390"/>
      <c r="AF766" s="1390"/>
      <c r="AG766" s="1390"/>
      <c r="AH766" s="1390"/>
      <c r="AI766" s="1390"/>
      <c r="AJ766" s="1390"/>
      <c r="AK766" s="1390"/>
    </row>
    <row r="767" spans="3:37" ht="17.25" customHeight="1" x14ac:dyDescent="0.35">
      <c r="C767" s="1390"/>
      <c r="D767" s="1390"/>
      <c r="E767" s="1390"/>
      <c r="F767" s="1390"/>
      <c r="G767" s="1390"/>
      <c r="H767" s="1390"/>
      <c r="I767" s="1390"/>
      <c r="J767" s="1390"/>
      <c r="K767" s="1390"/>
      <c r="L767" s="1390"/>
      <c r="M767" s="1390"/>
      <c r="N767" s="1390"/>
      <c r="O767" s="1390"/>
      <c r="P767" s="1390"/>
      <c r="Q767" s="1390"/>
      <c r="R767" s="1390"/>
      <c r="S767" s="1390"/>
      <c r="T767" s="1390"/>
      <c r="U767" s="1390"/>
      <c r="V767" s="1390"/>
      <c r="W767" s="1390"/>
      <c r="X767" s="1390"/>
      <c r="Y767" s="1390"/>
      <c r="Z767" s="1390"/>
      <c r="AA767" s="1390"/>
      <c r="AB767" s="1390"/>
      <c r="AC767" s="1390"/>
      <c r="AD767" s="1390"/>
      <c r="AE767" s="1390"/>
      <c r="AF767" s="1390"/>
      <c r="AG767" s="1390"/>
      <c r="AH767" s="1390"/>
      <c r="AI767" s="1390"/>
      <c r="AJ767" s="1390"/>
      <c r="AK767" s="1390"/>
    </row>
    <row r="768" spans="3:37" ht="17.25" customHeight="1" x14ac:dyDescent="0.35">
      <c r="C768" s="1390"/>
      <c r="D768" s="1390"/>
      <c r="E768" s="1390"/>
      <c r="F768" s="1390"/>
      <c r="G768" s="1390"/>
      <c r="H768" s="1390"/>
      <c r="I768" s="1390"/>
      <c r="J768" s="1390"/>
      <c r="K768" s="1390"/>
      <c r="L768" s="1390"/>
      <c r="M768" s="1390"/>
      <c r="N768" s="1390"/>
      <c r="O768" s="1390"/>
      <c r="P768" s="1390"/>
      <c r="Q768" s="1390"/>
      <c r="R768" s="1390"/>
      <c r="S768" s="1390"/>
      <c r="T768" s="1390"/>
      <c r="U768" s="1390"/>
      <c r="V768" s="1390"/>
      <c r="W768" s="1390"/>
      <c r="X768" s="1390"/>
      <c r="Y768" s="1390"/>
      <c r="Z768" s="1390"/>
      <c r="AA768" s="1390"/>
      <c r="AB768" s="1390"/>
      <c r="AC768" s="1390"/>
      <c r="AD768" s="1390"/>
      <c r="AE768" s="1390"/>
      <c r="AF768" s="1390"/>
      <c r="AG768" s="1390"/>
      <c r="AH768" s="1390"/>
      <c r="AI768" s="1390"/>
      <c r="AJ768" s="1390"/>
      <c r="AK768" s="1390"/>
    </row>
    <row r="769" spans="3:37" ht="17.25" customHeight="1" x14ac:dyDescent="0.35">
      <c r="C769" s="1390"/>
      <c r="D769" s="1390"/>
      <c r="E769" s="1390"/>
      <c r="F769" s="1390"/>
      <c r="G769" s="1390"/>
      <c r="H769" s="1390"/>
      <c r="I769" s="1390"/>
      <c r="J769" s="1390"/>
      <c r="K769" s="1390"/>
      <c r="L769" s="1390"/>
      <c r="M769" s="1390"/>
      <c r="N769" s="1390"/>
      <c r="O769" s="1390"/>
      <c r="P769" s="1390"/>
      <c r="Q769" s="1390"/>
      <c r="R769" s="1390"/>
      <c r="S769" s="1390"/>
      <c r="T769" s="1390"/>
      <c r="U769" s="1390"/>
      <c r="V769" s="1390"/>
      <c r="W769" s="1390"/>
      <c r="X769" s="1390"/>
      <c r="Y769" s="1390"/>
      <c r="Z769" s="1390"/>
      <c r="AA769" s="1390"/>
      <c r="AB769" s="1390"/>
      <c r="AC769" s="1390"/>
      <c r="AD769" s="1390"/>
      <c r="AE769" s="1390"/>
      <c r="AF769" s="1390"/>
      <c r="AG769" s="1390"/>
      <c r="AH769" s="1390"/>
      <c r="AI769" s="1390"/>
      <c r="AJ769" s="1390"/>
      <c r="AK769" s="1390"/>
    </row>
    <row r="770" spans="3:37" ht="17.25" customHeight="1" x14ac:dyDescent="0.35">
      <c r="C770" s="1390"/>
      <c r="D770" s="1390"/>
      <c r="E770" s="1390"/>
      <c r="F770" s="1390"/>
      <c r="G770" s="1390"/>
      <c r="H770" s="1390"/>
      <c r="I770" s="1390"/>
      <c r="J770" s="1390"/>
      <c r="K770" s="1390"/>
      <c r="L770" s="1390"/>
      <c r="M770" s="1390"/>
      <c r="N770" s="1390"/>
      <c r="O770" s="1390"/>
      <c r="P770" s="1390"/>
      <c r="Q770" s="1390"/>
      <c r="R770" s="1390"/>
      <c r="S770" s="1390"/>
      <c r="T770" s="1390"/>
      <c r="U770" s="1390"/>
      <c r="V770" s="1390"/>
      <c r="W770" s="1390"/>
      <c r="X770" s="1390"/>
      <c r="Y770" s="1390"/>
      <c r="Z770" s="1390"/>
      <c r="AA770" s="1390"/>
      <c r="AB770" s="1390"/>
      <c r="AC770" s="1390"/>
      <c r="AD770" s="1390"/>
      <c r="AE770" s="1390"/>
      <c r="AF770" s="1390"/>
      <c r="AG770" s="1390"/>
      <c r="AH770" s="1390"/>
      <c r="AI770" s="1390"/>
      <c r="AJ770" s="1390"/>
      <c r="AK770" s="1390"/>
    </row>
    <row r="771" spans="3:37" ht="17.25" customHeight="1" x14ac:dyDescent="0.35">
      <c r="C771" s="1390"/>
      <c r="D771" s="1390"/>
      <c r="E771" s="1390"/>
      <c r="F771" s="1390"/>
      <c r="G771" s="1390"/>
      <c r="H771" s="1390"/>
      <c r="I771" s="1390"/>
      <c r="J771" s="1390"/>
      <c r="K771" s="1390"/>
      <c r="L771" s="1390"/>
      <c r="M771" s="1390"/>
      <c r="N771" s="1390"/>
      <c r="O771" s="1390"/>
      <c r="P771" s="1390"/>
      <c r="Q771" s="1390"/>
      <c r="R771" s="1390"/>
      <c r="S771" s="1390"/>
      <c r="T771" s="1390"/>
      <c r="U771" s="1390"/>
      <c r="V771" s="1390"/>
      <c r="W771" s="1390"/>
      <c r="X771" s="1390"/>
      <c r="Y771" s="1390"/>
      <c r="Z771" s="1390"/>
      <c r="AA771" s="1390"/>
      <c r="AB771" s="1390"/>
      <c r="AC771" s="1390"/>
      <c r="AD771" s="1390"/>
      <c r="AE771" s="1390"/>
      <c r="AF771" s="1390"/>
      <c r="AG771" s="1390"/>
      <c r="AH771" s="1390"/>
      <c r="AI771" s="1390"/>
      <c r="AJ771" s="1390"/>
      <c r="AK771" s="1390"/>
    </row>
    <row r="772" spans="3:37" ht="17.25" customHeight="1" x14ac:dyDescent="0.35">
      <c r="C772" s="1390"/>
      <c r="D772" s="1390"/>
      <c r="E772" s="1390"/>
      <c r="F772" s="1390"/>
      <c r="G772" s="1390"/>
      <c r="H772" s="1390"/>
      <c r="I772" s="1390"/>
      <c r="J772" s="1390"/>
      <c r="K772" s="1390"/>
      <c r="L772" s="1390"/>
      <c r="M772" s="1390"/>
      <c r="N772" s="1390"/>
      <c r="O772" s="1390"/>
      <c r="P772" s="1390"/>
      <c r="Q772" s="1390"/>
      <c r="R772" s="1390"/>
      <c r="S772" s="1390"/>
      <c r="T772" s="1390"/>
      <c r="U772" s="1390"/>
      <c r="V772" s="1390"/>
      <c r="W772" s="1390"/>
      <c r="X772" s="1390"/>
      <c r="Y772" s="1390"/>
      <c r="Z772" s="1390"/>
      <c r="AA772" s="1390"/>
      <c r="AB772" s="1390"/>
      <c r="AC772" s="1390"/>
      <c r="AD772" s="1390"/>
      <c r="AE772" s="1390"/>
      <c r="AF772" s="1390"/>
      <c r="AG772" s="1390"/>
      <c r="AH772" s="1390"/>
      <c r="AI772" s="1390"/>
      <c r="AJ772" s="1390"/>
      <c r="AK772" s="1390"/>
    </row>
    <row r="773" spans="3:37" ht="17.25" customHeight="1" x14ac:dyDescent="0.35">
      <c r="C773" s="1390"/>
      <c r="D773" s="1390"/>
      <c r="E773" s="1390"/>
      <c r="F773" s="1390"/>
      <c r="G773" s="1390"/>
      <c r="H773" s="1390"/>
      <c r="I773" s="1390"/>
      <c r="J773" s="1390"/>
      <c r="K773" s="1390"/>
      <c r="L773" s="1390"/>
      <c r="M773" s="1390"/>
      <c r="N773" s="1390"/>
      <c r="O773" s="1390"/>
      <c r="P773" s="1390"/>
      <c r="Q773" s="1390"/>
      <c r="R773" s="1390"/>
      <c r="S773" s="1390"/>
      <c r="T773" s="1390"/>
      <c r="U773" s="1390"/>
      <c r="V773" s="1390"/>
      <c r="W773" s="1390"/>
      <c r="X773" s="1390"/>
      <c r="Y773" s="1390"/>
      <c r="Z773" s="1390"/>
      <c r="AA773" s="1390"/>
      <c r="AB773" s="1390"/>
      <c r="AC773" s="1390"/>
      <c r="AD773" s="1390"/>
      <c r="AE773" s="1390"/>
      <c r="AF773" s="1390"/>
      <c r="AG773" s="1390"/>
      <c r="AH773" s="1390"/>
      <c r="AI773" s="1390"/>
      <c r="AJ773" s="1390"/>
      <c r="AK773" s="1390"/>
    </row>
    <row r="774" spans="3:37" ht="17.25" customHeight="1" x14ac:dyDescent="0.35">
      <c r="C774" s="1390"/>
      <c r="D774" s="1390"/>
      <c r="E774" s="1390"/>
      <c r="F774" s="1390"/>
      <c r="G774" s="1390"/>
      <c r="H774" s="1390"/>
      <c r="I774" s="1390"/>
      <c r="J774" s="1390"/>
      <c r="K774" s="1390"/>
      <c r="L774" s="1390"/>
      <c r="M774" s="1390"/>
      <c r="N774" s="1390"/>
      <c r="O774" s="1390"/>
      <c r="P774" s="1390"/>
      <c r="Q774" s="1390"/>
      <c r="R774" s="1390"/>
      <c r="S774" s="1390"/>
      <c r="T774" s="1390"/>
      <c r="U774" s="1390"/>
      <c r="V774" s="1390"/>
      <c r="W774" s="1390"/>
      <c r="X774" s="1390"/>
      <c r="Y774" s="1390"/>
      <c r="Z774" s="1390"/>
      <c r="AA774" s="1390"/>
      <c r="AB774" s="1390"/>
      <c r="AC774" s="1390"/>
      <c r="AD774" s="1390"/>
      <c r="AE774" s="1390"/>
      <c r="AF774" s="1390"/>
      <c r="AG774" s="1390"/>
      <c r="AH774" s="1390"/>
      <c r="AI774" s="1390"/>
      <c r="AJ774" s="1390"/>
      <c r="AK774" s="1390"/>
    </row>
    <row r="775" spans="3:37" ht="17.25" customHeight="1" x14ac:dyDescent="0.35">
      <c r="C775" s="1390"/>
      <c r="D775" s="1390"/>
      <c r="E775" s="1390"/>
      <c r="F775" s="1390"/>
      <c r="G775" s="1390"/>
      <c r="H775" s="1390"/>
      <c r="I775" s="1390"/>
      <c r="J775" s="1390"/>
      <c r="K775" s="1390"/>
      <c r="L775" s="1390"/>
      <c r="M775" s="1390"/>
      <c r="N775" s="1390"/>
      <c r="O775" s="1390"/>
      <c r="P775" s="1390"/>
      <c r="Q775" s="1390"/>
      <c r="R775" s="1390"/>
      <c r="S775" s="1390"/>
      <c r="T775" s="1390"/>
      <c r="U775" s="1390"/>
      <c r="V775" s="1390"/>
      <c r="W775" s="1390"/>
      <c r="X775" s="1390"/>
      <c r="Y775" s="1390"/>
      <c r="Z775" s="1390"/>
      <c r="AA775" s="1390"/>
      <c r="AB775" s="1390"/>
      <c r="AC775" s="1390"/>
      <c r="AD775" s="1390"/>
      <c r="AE775" s="1390"/>
      <c r="AF775" s="1390"/>
      <c r="AG775" s="1390"/>
      <c r="AH775" s="1390"/>
      <c r="AI775" s="1390"/>
      <c r="AJ775" s="1390"/>
      <c r="AK775" s="1390"/>
    </row>
    <row r="776" spans="3:37" ht="17.25" customHeight="1" x14ac:dyDescent="0.35">
      <c r="C776" s="1390"/>
      <c r="D776" s="1390"/>
      <c r="E776" s="1390"/>
      <c r="F776" s="1390"/>
      <c r="G776" s="1390"/>
      <c r="H776" s="1390"/>
      <c r="I776" s="1390"/>
      <c r="J776" s="1390"/>
      <c r="K776" s="1390"/>
      <c r="L776" s="1390"/>
      <c r="M776" s="1390"/>
      <c r="N776" s="1390"/>
      <c r="O776" s="1390"/>
      <c r="P776" s="1390"/>
      <c r="Q776" s="1390"/>
      <c r="R776" s="1390"/>
      <c r="S776" s="1390"/>
      <c r="T776" s="1390"/>
      <c r="U776" s="1390"/>
      <c r="V776" s="1390"/>
      <c r="W776" s="1390"/>
      <c r="X776" s="1390"/>
      <c r="Y776" s="1390"/>
      <c r="Z776" s="1390"/>
      <c r="AA776" s="1390"/>
      <c r="AB776" s="1390"/>
      <c r="AC776" s="1390"/>
      <c r="AD776" s="1390"/>
      <c r="AE776" s="1390"/>
      <c r="AF776" s="1390"/>
      <c r="AG776" s="1390"/>
      <c r="AH776" s="1390"/>
      <c r="AI776" s="1390"/>
      <c r="AJ776" s="1390"/>
      <c r="AK776" s="1390"/>
    </row>
    <row r="777" spans="3:37" ht="17.25" customHeight="1" x14ac:dyDescent="0.35">
      <c r="C777" s="1390"/>
      <c r="D777" s="1390"/>
      <c r="E777" s="1390"/>
      <c r="F777" s="1390"/>
      <c r="G777" s="1390"/>
      <c r="H777" s="1390"/>
      <c r="I777" s="1390"/>
      <c r="J777" s="1390"/>
      <c r="K777" s="1390"/>
      <c r="L777" s="1390"/>
      <c r="M777" s="1390"/>
      <c r="N777" s="1390"/>
      <c r="O777" s="1390"/>
      <c r="P777" s="1390"/>
      <c r="Q777" s="1390"/>
      <c r="R777" s="1390"/>
      <c r="S777" s="1390"/>
      <c r="T777" s="1390"/>
      <c r="U777" s="1390"/>
      <c r="V777" s="1390"/>
      <c r="W777" s="1390"/>
      <c r="X777" s="1390"/>
      <c r="Y777" s="1390"/>
      <c r="Z777" s="1390"/>
      <c r="AA777" s="1390"/>
      <c r="AB777" s="1390"/>
      <c r="AC777" s="1390"/>
      <c r="AD777" s="1390"/>
      <c r="AE777" s="1390"/>
      <c r="AF777" s="1390"/>
      <c r="AG777" s="1390"/>
      <c r="AH777" s="1390"/>
      <c r="AI777" s="1390"/>
      <c r="AJ777" s="1390"/>
      <c r="AK777" s="1390"/>
    </row>
    <row r="778" spans="3:37" ht="17.25" customHeight="1" x14ac:dyDescent="0.35">
      <c r="C778" s="1390"/>
      <c r="D778" s="1390"/>
      <c r="E778" s="1390"/>
      <c r="F778" s="1390"/>
      <c r="G778" s="1390"/>
      <c r="H778" s="1390"/>
      <c r="I778" s="1390"/>
      <c r="J778" s="1390"/>
      <c r="K778" s="1390"/>
      <c r="L778" s="1390"/>
      <c r="M778" s="1390"/>
      <c r="N778" s="1390"/>
      <c r="O778" s="1390"/>
      <c r="P778" s="1390"/>
      <c r="Q778" s="1390"/>
      <c r="R778" s="1390"/>
      <c r="S778" s="1390"/>
      <c r="T778" s="1390"/>
      <c r="U778" s="1390"/>
      <c r="V778" s="1390"/>
      <c r="W778" s="1390"/>
      <c r="X778" s="1390"/>
      <c r="Y778" s="1390"/>
      <c r="Z778" s="1390"/>
      <c r="AA778" s="1390"/>
      <c r="AB778" s="1390"/>
      <c r="AC778" s="1390"/>
      <c r="AD778" s="1390"/>
      <c r="AE778" s="1390"/>
      <c r="AF778" s="1390"/>
      <c r="AG778" s="1390"/>
      <c r="AH778" s="1390"/>
      <c r="AI778" s="1390"/>
      <c r="AJ778" s="1390"/>
      <c r="AK778" s="1390"/>
    </row>
    <row r="779" spans="3:37" ht="17.25" customHeight="1" x14ac:dyDescent="0.35">
      <c r="C779" s="1390"/>
      <c r="D779" s="1390"/>
      <c r="E779" s="1390"/>
      <c r="F779" s="1390"/>
      <c r="G779" s="1390"/>
      <c r="H779" s="1390"/>
      <c r="I779" s="1390"/>
      <c r="J779" s="1390"/>
      <c r="K779" s="1390"/>
      <c r="L779" s="1390"/>
      <c r="M779" s="1390"/>
      <c r="N779" s="1390"/>
      <c r="O779" s="1390"/>
      <c r="P779" s="1390"/>
      <c r="Q779" s="1390"/>
      <c r="R779" s="1390"/>
      <c r="S779" s="1390"/>
      <c r="T779" s="1390"/>
      <c r="U779" s="1390"/>
      <c r="V779" s="1390"/>
      <c r="W779" s="1390"/>
      <c r="X779" s="1390"/>
      <c r="Y779" s="1390"/>
      <c r="Z779" s="1390"/>
      <c r="AA779" s="1390"/>
      <c r="AB779" s="1390"/>
      <c r="AC779" s="1390"/>
      <c r="AD779" s="1390"/>
      <c r="AE779" s="1390"/>
      <c r="AF779" s="1390"/>
      <c r="AG779" s="1390"/>
      <c r="AH779" s="1390"/>
      <c r="AI779" s="1390"/>
      <c r="AJ779" s="1390"/>
      <c r="AK779" s="1390"/>
    </row>
    <row r="780" spans="3:37" ht="17.25" customHeight="1" x14ac:dyDescent="0.35">
      <c r="C780" s="1390"/>
      <c r="D780" s="1390"/>
      <c r="E780" s="1390"/>
      <c r="F780" s="1390"/>
      <c r="G780" s="1390"/>
      <c r="H780" s="1390"/>
      <c r="I780" s="1390"/>
      <c r="J780" s="1390"/>
      <c r="K780" s="1390"/>
      <c r="L780" s="1390"/>
      <c r="M780" s="1390"/>
      <c r="N780" s="1390"/>
      <c r="O780" s="1390"/>
      <c r="P780" s="1390"/>
      <c r="Q780" s="1390"/>
      <c r="R780" s="1390"/>
      <c r="S780" s="1390"/>
      <c r="T780" s="1390"/>
      <c r="U780" s="1390"/>
      <c r="V780" s="1390"/>
      <c r="W780" s="1390"/>
      <c r="X780" s="1390"/>
      <c r="Y780" s="1390"/>
      <c r="Z780" s="1390"/>
      <c r="AA780" s="1390"/>
      <c r="AB780" s="1390"/>
      <c r="AC780" s="1390"/>
      <c r="AD780" s="1390"/>
      <c r="AE780" s="1390"/>
      <c r="AF780" s="1390"/>
      <c r="AG780" s="1390"/>
      <c r="AH780" s="1390"/>
      <c r="AI780" s="1390"/>
      <c r="AJ780" s="1390"/>
      <c r="AK780" s="1390"/>
    </row>
    <row r="781" spans="3:37" ht="17.25" customHeight="1" x14ac:dyDescent="0.35">
      <c r="C781" s="1390"/>
      <c r="D781" s="1390"/>
      <c r="E781" s="1390"/>
      <c r="F781" s="1390"/>
      <c r="G781" s="1390"/>
      <c r="H781" s="1390"/>
      <c r="I781" s="1390"/>
      <c r="J781" s="1390"/>
      <c r="K781" s="1390"/>
      <c r="L781" s="1390"/>
      <c r="M781" s="1390"/>
      <c r="N781" s="1390"/>
      <c r="O781" s="1390"/>
      <c r="P781" s="1390"/>
      <c r="Q781" s="1390"/>
      <c r="R781" s="1390"/>
      <c r="S781" s="1390"/>
      <c r="T781" s="1390"/>
      <c r="U781" s="1390"/>
      <c r="V781" s="1390"/>
      <c r="W781" s="1390"/>
      <c r="X781" s="1390"/>
      <c r="Y781" s="1390"/>
      <c r="Z781" s="1390"/>
      <c r="AA781" s="1390"/>
      <c r="AB781" s="1390"/>
      <c r="AC781" s="1390"/>
      <c r="AD781" s="1390"/>
      <c r="AE781" s="1390"/>
      <c r="AF781" s="1390"/>
      <c r="AG781" s="1390"/>
      <c r="AH781" s="1390"/>
      <c r="AI781" s="1390"/>
      <c r="AJ781" s="1390"/>
      <c r="AK781" s="1390"/>
    </row>
    <row r="782" spans="3:37" ht="17.25" customHeight="1" x14ac:dyDescent="0.35">
      <c r="C782" s="1390"/>
      <c r="D782" s="1390"/>
      <c r="E782" s="1390"/>
      <c r="F782" s="1390"/>
      <c r="G782" s="1390"/>
      <c r="H782" s="1390"/>
      <c r="I782" s="1390"/>
      <c r="J782" s="1390"/>
      <c r="K782" s="1390"/>
      <c r="L782" s="1390"/>
      <c r="M782" s="1390"/>
      <c r="N782" s="1390"/>
      <c r="O782" s="1390"/>
      <c r="P782" s="1390"/>
      <c r="Q782" s="1390"/>
      <c r="R782" s="1390"/>
      <c r="S782" s="1390"/>
      <c r="T782" s="1390"/>
      <c r="U782" s="1390"/>
      <c r="V782" s="1390"/>
      <c r="W782" s="1390"/>
      <c r="X782" s="1390"/>
      <c r="Y782" s="1390"/>
      <c r="Z782" s="1390"/>
      <c r="AA782" s="1390"/>
      <c r="AB782" s="1390"/>
      <c r="AC782" s="1390"/>
      <c r="AD782" s="1390"/>
      <c r="AE782" s="1390"/>
      <c r="AF782" s="1390"/>
      <c r="AG782" s="1390"/>
      <c r="AH782" s="1390"/>
      <c r="AI782" s="1390"/>
      <c r="AJ782" s="1390"/>
      <c r="AK782" s="1390"/>
    </row>
    <row r="783" spans="3:37" ht="17.25" customHeight="1" x14ac:dyDescent="0.35">
      <c r="C783" s="1390"/>
      <c r="D783" s="1390"/>
      <c r="E783" s="1390"/>
      <c r="F783" s="1390"/>
      <c r="G783" s="1390"/>
      <c r="H783" s="1390"/>
      <c r="I783" s="1390"/>
      <c r="J783" s="1390"/>
      <c r="K783" s="1390"/>
      <c r="L783" s="1390"/>
      <c r="M783" s="1390"/>
      <c r="N783" s="1390"/>
      <c r="O783" s="1390"/>
      <c r="P783" s="1390"/>
      <c r="Q783" s="1390"/>
      <c r="R783" s="1390"/>
      <c r="S783" s="1390"/>
      <c r="T783" s="1390"/>
      <c r="U783" s="1390"/>
      <c r="V783" s="1390"/>
      <c r="W783" s="1390"/>
      <c r="X783" s="1390"/>
      <c r="Y783" s="1390"/>
      <c r="Z783" s="1390"/>
      <c r="AA783" s="1390"/>
      <c r="AB783" s="1390"/>
      <c r="AC783" s="1390"/>
      <c r="AD783" s="1390"/>
      <c r="AE783" s="1390"/>
      <c r="AF783" s="1390"/>
      <c r="AG783" s="1390"/>
      <c r="AH783" s="1390"/>
      <c r="AI783" s="1390"/>
      <c r="AJ783" s="1390"/>
      <c r="AK783" s="1390"/>
    </row>
    <row r="784" spans="3:37" ht="17.25" customHeight="1" x14ac:dyDescent="0.35">
      <c r="C784" s="1390"/>
      <c r="D784" s="1390"/>
      <c r="E784" s="1390"/>
      <c r="F784" s="1390"/>
      <c r="G784" s="1390"/>
      <c r="H784" s="1390"/>
      <c r="I784" s="1390"/>
      <c r="J784" s="1390"/>
      <c r="K784" s="1390"/>
      <c r="L784" s="1390"/>
      <c r="M784" s="1390"/>
      <c r="N784" s="1390"/>
      <c r="O784" s="1390"/>
      <c r="P784" s="1390"/>
      <c r="Q784" s="1390"/>
      <c r="R784" s="1390"/>
      <c r="S784" s="1390"/>
      <c r="T784" s="1390"/>
      <c r="U784" s="1390"/>
      <c r="V784" s="1390"/>
      <c r="W784" s="1390"/>
      <c r="X784" s="1390"/>
      <c r="Y784" s="1390"/>
      <c r="Z784" s="1390"/>
      <c r="AA784" s="1390"/>
      <c r="AB784" s="1390"/>
      <c r="AC784" s="1390"/>
      <c r="AD784" s="1390"/>
      <c r="AE784" s="1390"/>
      <c r="AF784" s="1390"/>
      <c r="AG784" s="1390"/>
      <c r="AH784" s="1390"/>
      <c r="AI784" s="1390"/>
      <c r="AJ784" s="1390"/>
      <c r="AK784" s="1390"/>
    </row>
    <row r="785" spans="3:37" ht="17.25" customHeight="1" x14ac:dyDescent="0.35">
      <c r="C785" s="1390"/>
      <c r="D785" s="1390"/>
      <c r="E785" s="1390"/>
      <c r="F785" s="1390"/>
      <c r="G785" s="1390"/>
      <c r="H785" s="1390"/>
      <c r="I785" s="1390"/>
      <c r="J785" s="1390"/>
      <c r="K785" s="1390"/>
      <c r="L785" s="1390"/>
      <c r="M785" s="1390"/>
      <c r="N785" s="1390"/>
      <c r="O785" s="1390"/>
      <c r="P785" s="1390"/>
      <c r="Q785" s="1390"/>
      <c r="R785" s="1390"/>
      <c r="S785" s="1390"/>
      <c r="T785" s="1390"/>
      <c r="U785" s="1390"/>
      <c r="V785" s="1390"/>
      <c r="W785" s="1390"/>
      <c r="X785" s="1390"/>
      <c r="Y785" s="1390"/>
      <c r="Z785" s="1390"/>
      <c r="AA785" s="1390"/>
      <c r="AB785" s="1390"/>
      <c r="AC785" s="1390"/>
      <c r="AD785" s="1390"/>
      <c r="AE785" s="1390"/>
      <c r="AF785" s="1390"/>
      <c r="AG785" s="1390"/>
      <c r="AH785" s="1390"/>
      <c r="AI785" s="1390"/>
      <c r="AJ785" s="1390"/>
      <c r="AK785" s="1390"/>
    </row>
    <row r="786" spans="3:37" ht="17.25" customHeight="1" x14ac:dyDescent="0.35">
      <c r="C786" s="1390"/>
      <c r="D786" s="1390"/>
      <c r="E786" s="1390"/>
      <c r="F786" s="1390"/>
      <c r="G786" s="1390"/>
      <c r="H786" s="1390"/>
      <c r="I786" s="1390"/>
      <c r="J786" s="1390"/>
      <c r="K786" s="1390"/>
      <c r="L786" s="1390"/>
      <c r="M786" s="1390"/>
      <c r="N786" s="1390"/>
      <c r="O786" s="1390"/>
      <c r="P786" s="1390"/>
      <c r="Q786" s="1390"/>
      <c r="R786" s="1390"/>
      <c r="S786" s="1390"/>
      <c r="T786" s="1390"/>
      <c r="U786" s="1390"/>
      <c r="V786" s="1390"/>
      <c r="W786" s="1390"/>
      <c r="X786" s="1390"/>
      <c r="Y786" s="1390"/>
      <c r="Z786" s="1390"/>
      <c r="AA786" s="1390"/>
      <c r="AB786" s="1390"/>
      <c r="AC786" s="1390"/>
      <c r="AD786" s="1390"/>
      <c r="AE786" s="1390"/>
      <c r="AF786" s="1390"/>
      <c r="AG786" s="1390"/>
      <c r="AH786" s="1390"/>
      <c r="AI786" s="1390"/>
      <c r="AJ786" s="1390"/>
      <c r="AK786" s="1390"/>
    </row>
    <row r="787" spans="3:37" ht="17.25" customHeight="1" x14ac:dyDescent="0.35">
      <c r="C787" s="1390"/>
      <c r="D787" s="1390"/>
      <c r="E787" s="1390"/>
      <c r="F787" s="1390"/>
      <c r="G787" s="1390"/>
      <c r="H787" s="1390"/>
      <c r="I787" s="1390"/>
      <c r="J787" s="1390"/>
      <c r="K787" s="1390"/>
      <c r="L787" s="1390"/>
      <c r="M787" s="1390"/>
      <c r="N787" s="1390"/>
      <c r="O787" s="1390"/>
      <c r="P787" s="1390"/>
      <c r="Q787" s="1390"/>
      <c r="R787" s="1390"/>
      <c r="S787" s="1390"/>
      <c r="T787" s="1390"/>
      <c r="U787" s="1390"/>
      <c r="V787" s="1390"/>
      <c r="W787" s="1390"/>
      <c r="X787" s="1390"/>
      <c r="Y787" s="1390"/>
      <c r="Z787" s="1390"/>
      <c r="AA787" s="1390"/>
      <c r="AB787" s="1390"/>
      <c r="AC787" s="1390"/>
      <c r="AD787" s="1390"/>
      <c r="AE787" s="1390"/>
      <c r="AF787" s="1390"/>
      <c r="AG787" s="1390"/>
      <c r="AH787" s="1390"/>
      <c r="AI787" s="1390"/>
      <c r="AJ787" s="1390"/>
      <c r="AK787" s="1390"/>
    </row>
    <row r="788" spans="3:37" ht="17.25" customHeight="1" x14ac:dyDescent="0.35">
      <c r="C788" s="1390"/>
      <c r="D788" s="1390"/>
      <c r="E788" s="1390"/>
      <c r="F788" s="1390"/>
      <c r="G788" s="1390"/>
      <c r="H788" s="1390"/>
      <c r="I788" s="1390"/>
      <c r="J788" s="1390"/>
      <c r="K788" s="1390"/>
      <c r="L788" s="1390"/>
      <c r="M788" s="1390"/>
      <c r="N788" s="1390"/>
      <c r="O788" s="1390"/>
      <c r="P788" s="1390"/>
      <c r="Q788" s="1390"/>
      <c r="R788" s="1390"/>
      <c r="S788" s="1390"/>
      <c r="T788" s="1390"/>
      <c r="U788" s="1390"/>
      <c r="V788" s="1390"/>
      <c r="W788" s="1390"/>
      <c r="X788" s="1390"/>
      <c r="Y788" s="1390"/>
      <c r="Z788" s="1390"/>
      <c r="AA788" s="1390"/>
      <c r="AB788" s="1390"/>
      <c r="AC788" s="1390"/>
      <c r="AD788" s="1390"/>
      <c r="AE788" s="1390"/>
      <c r="AF788" s="1390"/>
      <c r="AG788" s="1390"/>
      <c r="AH788" s="1390"/>
      <c r="AI788" s="1390"/>
      <c r="AJ788" s="1390"/>
      <c r="AK788" s="1390"/>
    </row>
    <row r="789" spans="3:37" ht="17.25" customHeight="1" x14ac:dyDescent="0.35">
      <c r="C789" s="1390"/>
      <c r="D789" s="1390"/>
      <c r="E789" s="1390"/>
      <c r="F789" s="1390"/>
      <c r="G789" s="1390"/>
      <c r="H789" s="1390"/>
      <c r="I789" s="1390"/>
      <c r="J789" s="1390"/>
      <c r="K789" s="1390"/>
      <c r="L789" s="1390"/>
      <c r="M789" s="1390"/>
      <c r="N789" s="1390"/>
      <c r="O789" s="1390"/>
      <c r="P789" s="1390"/>
      <c r="Q789" s="1390"/>
      <c r="R789" s="1390"/>
      <c r="S789" s="1390"/>
      <c r="T789" s="1390"/>
      <c r="U789" s="1390"/>
      <c r="V789" s="1390"/>
      <c r="W789" s="1390"/>
      <c r="X789" s="1390"/>
      <c r="Y789" s="1390"/>
      <c r="Z789" s="1390"/>
      <c r="AA789" s="1390"/>
      <c r="AB789" s="1390"/>
      <c r="AC789" s="1390"/>
      <c r="AD789" s="1390"/>
      <c r="AE789" s="1390"/>
      <c r="AF789" s="1390"/>
      <c r="AG789" s="1390"/>
      <c r="AH789" s="1390"/>
      <c r="AI789" s="1390"/>
      <c r="AJ789" s="1390"/>
      <c r="AK789" s="1390"/>
    </row>
    <row r="790" spans="3:37" ht="17.25" customHeight="1" x14ac:dyDescent="0.35">
      <c r="C790" s="1390"/>
      <c r="D790" s="1390"/>
      <c r="E790" s="1390"/>
      <c r="F790" s="1390"/>
      <c r="G790" s="1390"/>
      <c r="H790" s="1390"/>
      <c r="I790" s="1390"/>
      <c r="J790" s="1390"/>
      <c r="K790" s="1390"/>
      <c r="L790" s="1390"/>
      <c r="M790" s="1390"/>
      <c r="N790" s="1390"/>
      <c r="O790" s="1390"/>
      <c r="P790" s="1390"/>
      <c r="Q790" s="1390"/>
      <c r="R790" s="1390"/>
      <c r="S790" s="1390"/>
      <c r="T790" s="1390"/>
      <c r="U790" s="1390"/>
      <c r="V790" s="1390"/>
      <c r="W790" s="1390"/>
      <c r="X790" s="1390"/>
      <c r="Y790" s="1390"/>
      <c r="Z790" s="1390"/>
      <c r="AA790" s="1390"/>
      <c r="AB790" s="1390"/>
      <c r="AC790" s="1390"/>
      <c r="AD790" s="1390"/>
      <c r="AE790" s="1390"/>
      <c r="AF790" s="1390"/>
      <c r="AG790" s="1390"/>
      <c r="AH790" s="1390"/>
      <c r="AI790" s="1390"/>
      <c r="AJ790" s="1390"/>
      <c r="AK790" s="1390"/>
    </row>
    <row r="791" spans="3:37" ht="17.25" customHeight="1" x14ac:dyDescent="0.35">
      <c r="C791" s="1390"/>
      <c r="D791" s="1390"/>
      <c r="E791" s="1390"/>
      <c r="F791" s="1390"/>
      <c r="G791" s="1390"/>
      <c r="H791" s="1390"/>
      <c r="I791" s="1390"/>
      <c r="J791" s="1390"/>
      <c r="K791" s="1390"/>
      <c r="L791" s="1390"/>
      <c r="M791" s="1390"/>
      <c r="N791" s="1390"/>
      <c r="O791" s="1390"/>
      <c r="P791" s="1390"/>
      <c r="Q791" s="1390"/>
      <c r="R791" s="1390"/>
      <c r="S791" s="1390"/>
      <c r="T791" s="1390"/>
      <c r="U791" s="1390"/>
      <c r="V791" s="1390"/>
      <c r="W791" s="1390"/>
      <c r="X791" s="1390"/>
      <c r="Y791" s="1390"/>
      <c r="Z791" s="1390"/>
      <c r="AA791" s="1390"/>
      <c r="AB791" s="1390"/>
      <c r="AC791" s="1390"/>
      <c r="AD791" s="1390"/>
      <c r="AE791" s="1390"/>
      <c r="AF791" s="1390"/>
      <c r="AG791" s="1390"/>
      <c r="AH791" s="1390"/>
      <c r="AI791" s="1390"/>
      <c r="AJ791" s="1390"/>
      <c r="AK791" s="1390"/>
    </row>
    <row r="792" spans="3:37" ht="17.25" customHeight="1" x14ac:dyDescent="0.35">
      <c r="C792" s="1390"/>
      <c r="D792" s="1390"/>
      <c r="E792" s="1390"/>
      <c r="F792" s="1390"/>
      <c r="G792" s="1390"/>
      <c r="H792" s="1390"/>
      <c r="I792" s="1390"/>
      <c r="J792" s="1390"/>
      <c r="K792" s="1390"/>
      <c r="L792" s="1390"/>
      <c r="M792" s="1390"/>
      <c r="N792" s="1390"/>
      <c r="O792" s="1390"/>
      <c r="P792" s="1390"/>
      <c r="Q792" s="1390"/>
      <c r="R792" s="1390"/>
      <c r="S792" s="1390"/>
      <c r="T792" s="1390"/>
      <c r="U792" s="1390"/>
      <c r="V792" s="1390"/>
      <c r="W792" s="1390"/>
      <c r="X792" s="1390"/>
      <c r="Y792" s="1390"/>
      <c r="Z792" s="1390"/>
      <c r="AA792" s="1390"/>
      <c r="AB792" s="1390"/>
      <c r="AC792" s="1390"/>
      <c r="AD792" s="1390"/>
      <c r="AE792" s="1390"/>
      <c r="AF792" s="1390"/>
      <c r="AG792" s="1390"/>
      <c r="AH792" s="1390"/>
      <c r="AI792" s="1390"/>
      <c r="AJ792" s="1390"/>
      <c r="AK792" s="1390"/>
    </row>
    <row r="793" spans="3:37" ht="17.25" customHeight="1" x14ac:dyDescent="0.35">
      <c r="C793" s="1390"/>
      <c r="D793" s="1390"/>
      <c r="E793" s="1390"/>
      <c r="F793" s="1390"/>
      <c r="G793" s="1390"/>
      <c r="H793" s="1390"/>
      <c r="I793" s="1390"/>
      <c r="J793" s="1390"/>
      <c r="K793" s="1390"/>
      <c r="L793" s="1390"/>
      <c r="M793" s="1390"/>
      <c r="N793" s="1390"/>
      <c r="O793" s="1390"/>
      <c r="P793" s="1390"/>
      <c r="Q793" s="1390"/>
      <c r="R793" s="1390"/>
      <c r="S793" s="1390"/>
      <c r="T793" s="1390"/>
      <c r="U793" s="1390"/>
      <c r="V793" s="1390"/>
      <c r="W793" s="1390"/>
      <c r="X793" s="1390"/>
      <c r="Y793" s="1390"/>
      <c r="Z793" s="1390"/>
      <c r="AA793" s="1390"/>
      <c r="AB793" s="1390"/>
      <c r="AC793" s="1390"/>
      <c r="AD793" s="1390"/>
      <c r="AE793" s="1390"/>
      <c r="AF793" s="1390"/>
      <c r="AG793" s="1390"/>
      <c r="AH793" s="1390"/>
      <c r="AI793" s="1390"/>
      <c r="AJ793" s="1390"/>
      <c r="AK793" s="1390"/>
    </row>
    <row r="794" spans="3:37" ht="17.25" customHeight="1" x14ac:dyDescent="0.35">
      <c r="C794" s="1390"/>
      <c r="D794" s="1390"/>
      <c r="E794" s="1390"/>
      <c r="F794" s="1390"/>
      <c r="G794" s="1390"/>
      <c r="H794" s="1390"/>
      <c r="I794" s="1390"/>
      <c r="J794" s="1390"/>
      <c r="K794" s="1390"/>
      <c r="L794" s="1390"/>
      <c r="M794" s="1390"/>
      <c r="N794" s="1390"/>
      <c r="O794" s="1390"/>
      <c r="P794" s="1390"/>
      <c r="Q794" s="1390"/>
      <c r="R794" s="1390"/>
      <c r="S794" s="1390"/>
      <c r="T794" s="1390"/>
      <c r="U794" s="1390"/>
      <c r="V794" s="1390"/>
      <c r="W794" s="1390"/>
      <c r="X794" s="1390"/>
      <c r="Y794" s="1390"/>
      <c r="Z794" s="1390"/>
      <c r="AA794" s="1390"/>
      <c r="AB794" s="1390"/>
      <c r="AC794" s="1390"/>
      <c r="AD794" s="1390"/>
      <c r="AE794" s="1390"/>
      <c r="AF794" s="1390"/>
      <c r="AG794" s="1390"/>
      <c r="AH794" s="1390"/>
      <c r="AI794" s="1390"/>
      <c r="AJ794" s="1390"/>
      <c r="AK794" s="1390"/>
    </row>
    <row r="795" spans="3:37" ht="17.25" customHeight="1" x14ac:dyDescent="0.35">
      <c r="C795" s="1390"/>
      <c r="D795" s="1390"/>
      <c r="E795" s="1390"/>
      <c r="F795" s="1390"/>
      <c r="G795" s="1390"/>
      <c r="H795" s="1390"/>
      <c r="I795" s="1390"/>
      <c r="J795" s="1390"/>
      <c r="K795" s="1390"/>
      <c r="L795" s="1390"/>
      <c r="M795" s="1390"/>
      <c r="N795" s="1390"/>
      <c r="O795" s="1390"/>
      <c r="P795" s="1390"/>
      <c r="Q795" s="1390"/>
      <c r="R795" s="1390"/>
      <c r="S795" s="1390"/>
      <c r="T795" s="1390"/>
      <c r="U795" s="1390"/>
      <c r="V795" s="1390"/>
      <c r="W795" s="1390"/>
      <c r="X795" s="1390"/>
      <c r="Y795" s="1390"/>
      <c r="Z795" s="1390"/>
      <c r="AA795" s="1390"/>
      <c r="AB795" s="1390"/>
      <c r="AC795" s="1390"/>
      <c r="AD795" s="1390"/>
      <c r="AE795" s="1390"/>
      <c r="AF795" s="1390"/>
      <c r="AG795" s="1390"/>
      <c r="AH795" s="1390"/>
      <c r="AI795" s="1390"/>
      <c r="AJ795" s="1390"/>
      <c r="AK795" s="1390"/>
    </row>
    <row r="796" spans="3:37" ht="17.25" customHeight="1" x14ac:dyDescent="0.35">
      <c r="C796" s="1390"/>
      <c r="D796" s="1390"/>
      <c r="E796" s="1390"/>
      <c r="F796" s="1390"/>
      <c r="G796" s="1390"/>
      <c r="H796" s="1390"/>
      <c r="I796" s="1390"/>
      <c r="J796" s="1390"/>
      <c r="K796" s="1390"/>
      <c r="L796" s="1390"/>
      <c r="M796" s="1390"/>
      <c r="N796" s="1390"/>
      <c r="O796" s="1390"/>
      <c r="P796" s="1390"/>
      <c r="Q796" s="1390"/>
      <c r="R796" s="1390"/>
      <c r="S796" s="1390"/>
      <c r="T796" s="1390"/>
      <c r="U796" s="1390"/>
      <c r="V796" s="1390"/>
      <c r="W796" s="1390"/>
      <c r="X796" s="1390"/>
      <c r="Y796" s="1390"/>
      <c r="Z796" s="1390"/>
      <c r="AA796" s="1390"/>
      <c r="AB796" s="1390"/>
      <c r="AC796" s="1390"/>
      <c r="AD796" s="1390"/>
      <c r="AE796" s="1390"/>
      <c r="AF796" s="1390"/>
      <c r="AG796" s="1390"/>
      <c r="AH796" s="1390"/>
      <c r="AI796" s="1390"/>
      <c r="AJ796" s="1390"/>
      <c r="AK796" s="1390"/>
    </row>
    <row r="797" spans="3:37" ht="17.25" customHeight="1" x14ac:dyDescent="0.35">
      <c r="C797" s="1390"/>
      <c r="D797" s="1390"/>
      <c r="E797" s="1390"/>
      <c r="F797" s="1390"/>
      <c r="G797" s="1390"/>
      <c r="H797" s="1390"/>
      <c r="I797" s="1390"/>
      <c r="J797" s="1390"/>
      <c r="K797" s="1390"/>
      <c r="L797" s="1390"/>
      <c r="M797" s="1390"/>
      <c r="N797" s="1390"/>
      <c r="O797" s="1390"/>
      <c r="P797" s="1390"/>
      <c r="Q797" s="1390"/>
      <c r="R797" s="1390"/>
      <c r="S797" s="1390"/>
      <c r="T797" s="1390"/>
      <c r="U797" s="1390"/>
      <c r="V797" s="1390"/>
      <c r="W797" s="1390"/>
      <c r="X797" s="1390"/>
      <c r="Y797" s="1390"/>
      <c r="Z797" s="1390"/>
      <c r="AA797" s="1390"/>
      <c r="AB797" s="1390"/>
      <c r="AC797" s="1390"/>
      <c r="AD797" s="1390"/>
      <c r="AE797" s="1390"/>
      <c r="AF797" s="1390"/>
      <c r="AG797" s="1390"/>
      <c r="AH797" s="1390"/>
      <c r="AI797" s="1390"/>
      <c r="AJ797" s="1390"/>
      <c r="AK797" s="1390"/>
    </row>
    <row r="798" spans="3:37" ht="17.25" customHeight="1" x14ac:dyDescent="0.35">
      <c r="C798" s="1390"/>
      <c r="D798" s="1390"/>
      <c r="E798" s="1390"/>
      <c r="F798" s="1390"/>
      <c r="G798" s="1390"/>
      <c r="H798" s="1390"/>
      <c r="I798" s="1390"/>
      <c r="J798" s="1390"/>
      <c r="K798" s="1390"/>
      <c r="L798" s="1390"/>
      <c r="M798" s="1390"/>
      <c r="N798" s="1390"/>
      <c r="O798" s="1390"/>
      <c r="P798" s="1390"/>
      <c r="Q798" s="1390"/>
      <c r="R798" s="1390"/>
      <c r="S798" s="1390"/>
      <c r="T798" s="1390"/>
      <c r="U798" s="1390"/>
      <c r="V798" s="1390"/>
      <c r="W798" s="1390"/>
      <c r="X798" s="1390"/>
      <c r="Y798" s="1390"/>
      <c r="Z798" s="1390"/>
      <c r="AA798" s="1390"/>
      <c r="AB798" s="1390"/>
      <c r="AC798" s="1390"/>
      <c r="AD798" s="1390"/>
      <c r="AE798" s="1390"/>
      <c r="AF798" s="1390"/>
      <c r="AG798" s="1390"/>
      <c r="AH798" s="1390"/>
      <c r="AI798" s="1390"/>
      <c r="AJ798" s="1390"/>
      <c r="AK798" s="1390"/>
    </row>
    <row r="799" spans="3:37" ht="17.25" customHeight="1" x14ac:dyDescent="0.35">
      <c r="C799" s="1390"/>
      <c r="D799" s="1390"/>
      <c r="E799" s="1390"/>
      <c r="F799" s="1390"/>
      <c r="G799" s="1390"/>
      <c r="H799" s="1390"/>
      <c r="I799" s="1390"/>
      <c r="J799" s="1390"/>
      <c r="K799" s="1390"/>
      <c r="L799" s="1390"/>
      <c r="M799" s="1390"/>
      <c r="N799" s="1390"/>
      <c r="O799" s="1390"/>
      <c r="P799" s="1390"/>
      <c r="Q799" s="1390"/>
      <c r="R799" s="1390"/>
      <c r="S799" s="1390"/>
      <c r="T799" s="1390"/>
      <c r="U799" s="1390"/>
      <c r="V799" s="1390"/>
      <c r="W799" s="1390"/>
      <c r="X799" s="1390"/>
      <c r="Y799" s="1390"/>
      <c r="Z799" s="1390"/>
      <c r="AA799" s="1390"/>
      <c r="AB799" s="1390"/>
      <c r="AC799" s="1390"/>
      <c r="AD799" s="1390"/>
      <c r="AE799" s="1390"/>
      <c r="AF799" s="1390"/>
      <c r="AG799" s="1390"/>
      <c r="AH799" s="1390"/>
      <c r="AI799" s="1390"/>
      <c r="AJ799" s="1390"/>
      <c r="AK799" s="1390"/>
    </row>
    <row r="800" spans="3:37" ht="17.25" customHeight="1" x14ac:dyDescent="0.35">
      <c r="C800" s="1390"/>
      <c r="D800" s="1390"/>
      <c r="E800" s="1390"/>
      <c r="F800" s="1390"/>
      <c r="G800" s="1390"/>
      <c r="H800" s="1390"/>
      <c r="I800" s="1390"/>
      <c r="J800" s="1390"/>
      <c r="K800" s="1390"/>
      <c r="L800" s="1390"/>
      <c r="M800" s="1390"/>
      <c r="N800" s="1390"/>
      <c r="O800" s="1390"/>
      <c r="P800" s="1390"/>
      <c r="Q800" s="1390"/>
      <c r="R800" s="1390"/>
      <c r="S800" s="1390"/>
      <c r="T800" s="1390"/>
      <c r="U800" s="1390"/>
      <c r="V800" s="1390"/>
      <c r="W800" s="1390"/>
      <c r="X800" s="1390"/>
      <c r="Y800" s="1390"/>
      <c r="Z800" s="1390"/>
      <c r="AA800" s="1390"/>
      <c r="AB800" s="1390"/>
      <c r="AC800" s="1390"/>
      <c r="AD800" s="1390"/>
      <c r="AE800" s="1390"/>
      <c r="AF800" s="1390"/>
      <c r="AG800" s="1390"/>
      <c r="AH800" s="1390"/>
      <c r="AI800" s="1390"/>
      <c r="AJ800" s="1390"/>
      <c r="AK800" s="1390"/>
    </row>
    <row r="801" spans="3:37" ht="17.25" customHeight="1" x14ac:dyDescent="0.35">
      <c r="C801" s="1390"/>
      <c r="D801" s="1390"/>
      <c r="E801" s="1390"/>
      <c r="F801" s="1390"/>
      <c r="G801" s="1390"/>
      <c r="H801" s="1390"/>
      <c r="I801" s="1390"/>
      <c r="J801" s="1390"/>
      <c r="K801" s="1390"/>
      <c r="L801" s="1390"/>
      <c r="M801" s="1390"/>
      <c r="N801" s="1390"/>
      <c r="O801" s="1390"/>
      <c r="P801" s="1390"/>
      <c r="Q801" s="1390"/>
      <c r="R801" s="1390"/>
      <c r="S801" s="1390"/>
      <c r="T801" s="1390"/>
      <c r="U801" s="1390"/>
      <c r="V801" s="1390"/>
      <c r="W801" s="1390"/>
      <c r="X801" s="1390"/>
      <c r="Y801" s="1390"/>
      <c r="Z801" s="1390"/>
      <c r="AA801" s="1390"/>
      <c r="AB801" s="1390"/>
      <c r="AC801" s="1390"/>
      <c r="AD801" s="1390"/>
      <c r="AE801" s="1390"/>
      <c r="AF801" s="1390"/>
      <c r="AG801" s="1390"/>
      <c r="AH801" s="1390"/>
      <c r="AI801" s="1390"/>
      <c r="AJ801" s="1390"/>
      <c r="AK801" s="1390"/>
    </row>
    <row r="802" spans="3:37" ht="17.25" customHeight="1" x14ac:dyDescent="0.35">
      <c r="C802" s="1390"/>
      <c r="D802" s="1390"/>
      <c r="E802" s="1390"/>
      <c r="F802" s="1390"/>
      <c r="G802" s="1390"/>
      <c r="H802" s="1390"/>
      <c r="I802" s="1390"/>
      <c r="J802" s="1390"/>
      <c r="K802" s="1390"/>
      <c r="L802" s="1390"/>
      <c r="M802" s="1390"/>
      <c r="N802" s="1390"/>
      <c r="O802" s="1390"/>
      <c r="P802" s="1390"/>
      <c r="Q802" s="1390"/>
      <c r="R802" s="1390"/>
      <c r="S802" s="1390"/>
      <c r="T802" s="1390"/>
      <c r="U802" s="1390"/>
      <c r="V802" s="1390"/>
      <c r="W802" s="1390"/>
      <c r="X802" s="1390"/>
      <c r="Y802" s="1390"/>
      <c r="Z802" s="1390"/>
      <c r="AA802" s="1390"/>
      <c r="AB802" s="1390"/>
      <c r="AC802" s="1390"/>
      <c r="AD802" s="1390"/>
      <c r="AE802" s="1390"/>
      <c r="AF802" s="1390"/>
      <c r="AG802" s="1390"/>
      <c r="AH802" s="1390"/>
      <c r="AI802" s="1390"/>
      <c r="AJ802" s="1390"/>
      <c r="AK802" s="1390"/>
    </row>
    <row r="803" spans="3:37" ht="17.25" customHeight="1" x14ac:dyDescent="0.35">
      <c r="C803" s="1390"/>
      <c r="D803" s="1390"/>
      <c r="E803" s="1390"/>
      <c r="F803" s="1390"/>
      <c r="G803" s="1390"/>
      <c r="H803" s="1390"/>
      <c r="I803" s="1390"/>
      <c r="J803" s="1390"/>
      <c r="K803" s="1390"/>
      <c r="L803" s="1390"/>
      <c r="M803" s="1390"/>
      <c r="N803" s="1390"/>
      <c r="O803" s="1390"/>
      <c r="P803" s="1390"/>
      <c r="Q803" s="1390"/>
      <c r="R803" s="1390"/>
      <c r="S803" s="1390"/>
      <c r="T803" s="1390"/>
      <c r="U803" s="1390"/>
      <c r="V803" s="1390"/>
      <c r="W803" s="1390"/>
      <c r="X803" s="1390"/>
      <c r="Y803" s="1390"/>
      <c r="Z803" s="1390"/>
      <c r="AA803" s="1390"/>
      <c r="AB803" s="1390"/>
      <c r="AC803" s="1390"/>
      <c r="AD803" s="1390"/>
      <c r="AE803" s="1390"/>
      <c r="AF803" s="1390"/>
      <c r="AG803" s="1390"/>
      <c r="AH803" s="1390"/>
      <c r="AI803" s="1390"/>
      <c r="AJ803" s="1390"/>
      <c r="AK803" s="1390"/>
    </row>
    <row r="804" spans="3:37" ht="17.25" customHeight="1" x14ac:dyDescent="0.35">
      <c r="C804" s="1390"/>
      <c r="D804" s="1390"/>
      <c r="E804" s="1390"/>
      <c r="F804" s="1390"/>
      <c r="G804" s="1390"/>
      <c r="H804" s="1390"/>
      <c r="I804" s="1390"/>
      <c r="J804" s="1390"/>
      <c r="K804" s="1390"/>
      <c r="L804" s="1390"/>
      <c r="M804" s="1390"/>
      <c r="N804" s="1390"/>
      <c r="O804" s="1390"/>
      <c r="P804" s="1390"/>
      <c r="Q804" s="1390"/>
      <c r="R804" s="1390"/>
      <c r="S804" s="1390"/>
      <c r="T804" s="1390"/>
      <c r="U804" s="1390"/>
      <c r="V804" s="1390"/>
      <c r="W804" s="1390"/>
      <c r="X804" s="1390"/>
      <c r="Y804" s="1390"/>
      <c r="Z804" s="1390"/>
      <c r="AA804" s="1390"/>
      <c r="AB804" s="1390"/>
      <c r="AC804" s="1390"/>
      <c r="AD804" s="1390"/>
      <c r="AE804" s="1390"/>
      <c r="AF804" s="1390"/>
      <c r="AG804" s="1390"/>
      <c r="AH804" s="1390"/>
      <c r="AI804" s="1390"/>
      <c r="AJ804" s="1390"/>
      <c r="AK804" s="1390"/>
    </row>
    <row r="805" spans="3:37" ht="17.25" customHeight="1" x14ac:dyDescent="0.35">
      <c r="C805" s="1390"/>
      <c r="D805" s="1390"/>
      <c r="E805" s="1390"/>
      <c r="F805" s="1390"/>
      <c r="G805" s="1390"/>
      <c r="H805" s="1390"/>
      <c r="I805" s="1390"/>
      <c r="J805" s="1390"/>
      <c r="K805" s="1390"/>
      <c r="L805" s="1390"/>
      <c r="M805" s="1390"/>
      <c r="N805" s="1390"/>
      <c r="O805" s="1390"/>
      <c r="P805" s="1390"/>
      <c r="Q805" s="1390"/>
      <c r="R805" s="1390"/>
      <c r="S805" s="1390"/>
      <c r="T805" s="1390"/>
      <c r="U805" s="1390"/>
      <c r="V805" s="1390"/>
      <c r="W805" s="1390"/>
      <c r="X805" s="1390"/>
      <c r="Y805" s="1390"/>
      <c r="Z805" s="1390"/>
      <c r="AA805" s="1390"/>
      <c r="AB805" s="1390"/>
      <c r="AC805" s="1390"/>
      <c r="AD805" s="1390"/>
      <c r="AE805" s="1390"/>
      <c r="AF805" s="1390"/>
      <c r="AG805" s="1390"/>
      <c r="AH805" s="1390"/>
      <c r="AI805" s="1390"/>
      <c r="AJ805" s="1390"/>
      <c r="AK805" s="1390"/>
    </row>
    <row r="806" spans="3:37" ht="17.25" customHeight="1" x14ac:dyDescent="0.35">
      <c r="C806" s="1390"/>
      <c r="D806" s="1390"/>
      <c r="E806" s="1390"/>
      <c r="F806" s="1390"/>
      <c r="G806" s="1390"/>
      <c r="H806" s="1390"/>
      <c r="I806" s="1390"/>
      <c r="J806" s="1390"/>
      <c r="K806" s="1390"/>
      <c r="L806" s="1390"/>
      <c r="M806" s="1390"/>
      <c r="N806" s="1390"/>
      <c r="O806" s="1390"/>
      <c r="P806" s="1390"/>
      <c r="Q806" s="1390"/>
      <c r="R806" s="1390"/>
      <c r="S806" s="1390"/>
      <c r="T806" s="1390"/>
      <c r="U806" s="1390"/>
      <c r="V806" s="1390"/>
      <c r="W806" s="1390"/>
      <c r="X806" s="1390"/>
      <c r="Y806" s="1390"/>
      <c r="Z806" s="1390"/>
      <c r="AA806" s="1390"/>
      <c r="AB806" s="1390"/>
      <c r="AC806" s="1390"/>
      <c r="AD806" s="1390"/>
      <c r="AE806" s="1390"/>
      <c r="AF806" s="1390"/>
      <c r="AG806" s="1390"/>
      <c r="AH806" s="1390"/>
      <c r="AI806" s="1390"/>
      <c r="AJ806" s="1390"/>
      <c r="AK806" s="1390"/>
    </row>
    <row r="807" spans="3:37" ht="17.25" customHeight="1" x14ac:dyDescent="0.35">
      <c r="C807" s="1390"/>
      <c r="D807" s="1390"/>
      <c r="E807" s="1390"/>
      <c r="F807" s="1390"/>
      <c r="G807" s="1390"/>
      <c r="H807" s="1390"/>
      <c r="I807" s="1390"/>
      <c r="J807" s="1390"/>
      <c r="K807" s="1390"/>
      <c r="L807" s="1390"/>
      <c r="M807" s="1390"/>
      <c r="N807" s="1390"/>
      <c r="O807" s="1390"/>
      <c r="P807" s="1390"/>
      <c r="Q807" s="1390"/>
      <c r="R807" s="1390"/>
      <c r="S807" s="1390"/>
      <c r="T807" s="1390"/>
      <c r="U807" s="1390"/>
      <c r="V807" s="1390"/>
      <c r="W807" s="1390"/>
      <c r="X807" s="1390"/>
      <c r="Y807" s="1390"/>
      <c r="Z807" s="1390"/>
      <c r="AA807" s="1390"/>
      <c r="AB807" s="1390"/>
      <c r="AC807" s="1390"/>
      <c r="AD807" s="1390"/>
      <c r="AE807" s="1390"/>
      <c r="AF807" s="1390"/>
      <c r="AG807" s="1390"/>
      <c r="AH807" s="1390"/>
      <c r="AI807" s="1390"/>
      <c r="AJ807" s="1390"/>
      <c r="AK807" s="1390"/>
    </row>
    <row r="808" spans="3:37" ht="17.25" customHeight="1" x14ac:dyDescent="0.35">
      <c r="C808" s="1390"/>
      <c r="D808" s="1390"/>
      <c r="E808" s="1390"/>
      <c r="F808" s="1390"/>
      <c r="G808" s="1390"/>
      <c r="H808" s="1390"/>
      <c r="I808" s="1390"/>
      <c r="J808" s="1390"/>
      <c r="K808" s="1390"/>
      <c r="L808" s="1390"/>
      <c r="M808" s="1390"/>
      <c r="N808" s="1390"/>
      <c r="O808" s="1390"/>
      <c r="P808" s="1390"/>
      <c r="Q808" s="1390"/>
      <c r="R808" s="1390"/>
      <c r="S808" s="1390"/>
      <c r="T808" s="1390"/>
      <c r="U808" s="1390"/>
      <c r="V808" s="1390"/>
      <c r="W808" s="1390"/>
      <c r="X808" s="1390"/>
      <c r="Y808" s="1390"/>
      <c r="Z808" s="1390"/>
      <c r="AA808" s="1390"/>
      <c r="AB808" s="1390"/>
      <c r="AC808" s="1390"/>
      <c r="AD808" s="1390"/>
      <c r="AE808" s="1390"/>
      <c r="AF808" s="1390"/>
      <c r="AG808" s="1390"/>
      <c r="AH808" s="1390"/>
      <c r="AI808" s="1390"/>
      <c r="AJ808" s="1390"/>
      <c r="AK808" s="1390"/>
    </row>
    <row r="809" spans="3:37" ht="17.25" customHeight="1" x14ac:dyDescent="0.35">
      <c r="C809" s="1390"/>
      <c r="D809" s="1390"/>
      <c r="E809" s="1390"/>
      <c r="F809" s="1390"/>
      <c r="G809" s="1390"/>
      <c r="H809" s="1390"/>
      <c r="I809" s="1390"/>
      <c r="J809" s="1390"/>
      <c r="K809" s="1390"/>
      <c r="L809" s="1390"/>
      <c r="M809" s="1390"/>
      <c r="N809" s="1390"/>
      <c r="O809" s="1390"/>
      <c r="P809" s="1390"/>
      <c r="Q809" s="1390"/>
      <c r="R809" s="1390"/>
      <c r="S809" s="1390"/>
      <c r="T809" s="1390"/>
      <c r="U809" s="1390"/>
      <c r="V809" s="1390"/>
      <c r="W809" s="1390"/>
      <c r="X809" s="1390"/>
      <c r="Y809" s="1390"/>
      <c r="Z809" s="1390"/>
      <c r="AA809" s="1390"/>
      <c r="AB809" s="1390"/>
      <c r="AC809" s="1390"/>
      <c r="AD809" s="1390"/>
      <c r="AE809" s="1390"/>
      <c r="AF809" s="1390"/>
      <c r="AG809" s="1390"/>
      <c r="AH809" s="1390"/>
      <c r="AI809" s="1390"/>
      <c r="AJ809" s="1390"/>
      <c r="AK809" s="1390"/>
    </row>
    <row r="810" spans="3:37" ht="17.25" customHeight="1" x14ac:dyDescent="0.35">
      <c r="C810" s="1390"/>
      <c r="D810" s="1390"/>
      <c r="E810" s="1390"/>
      <c r="F810" s="1390"/>
      <c r="G810" s="1390"/>
      <c r="H810" s="1390"/>
      <c r="I810" s="1390"/>
      <c r="J810" s="1390"/>
      <c r="K810" s="1390"/>
      <c r="L810" s="1390"/>
      <c r="M810" s="1390"/>
      <c r="N810" s="1390"/>
      <c r="O810" s="1390"/>
      <c r="P810" s="1390"/>
      <c r="Q810" s="1390"/>
      <c r="R810" s="1390"/>
      <c r="S810" s="1390"/>
      <c r="T810" s="1390"/>
      <c r="U810" s="1390"/>
      <c r="V810" s="1390"/>
      <c r="W810" s="1390"/>
      <c r="X810" s="1390"/>
      <c r="Y810" s="1390"/>
      <c r="Z810" s="1390"/>
      <c r="AA810" s="1390"/>
      <c r="AB810" s="1390"/>
      <c r="AC810" s="1390"/>
      <c r="AD810" s="1390"/>
      <c r="AE810" s="1390"/>
      <c r="AF810" s="1390"/>
      <c r="AG810" s="1390"/>
      <c r="AH810" s="1390"/>
      <c r="AI810" s="1390"/>
      <c r="AJ810" s="1390"/>
      <c r="AK810" s="1390"/>
    </row>
    <row r="811" spans="3:37" ht="17.25" customHeight="1" x14ac:dyDescent="0.35">
      <c r="C811" s="1390"/>
      <c r="D811" s="1390"/>
      <c r="E811" s="1390"/>
      <c r="F811" s="1390"/>
      <c r="G811" s="1390"/>
      <c r="H811" s="1390"/>
      <c r="I811" s="1390"/>
      <c r="J811" s="1390"/>
      <c r="K811" s="1390"/>
      <c r="L811" s="1390"/>
      <c r="M811" s="1390"/>
      <c r="N811" s="1390"/>
      <c r="O811" s="1390"/>
      <c r="P811" s="1390"/>
      <c r="Q811" s="1390"/>
      <c r="R811" s="1390"/>
      <c r="S811" s="1390"/>
      <c r="T811" s="1390"/>
      <c r="U811" s="1390"/>
      <c r="V811" s="1390"/>
      <c r="W811" s="1390"/>
      <c r="X811" s="1390"/>
      <c r="Y811" s="1390"/>
      <c r="Z811" s="1390"/>
      <c r="AA811" s="1390"/>
      <c r="AB811" s="1390"/>
      <c r="AC811" s="1390"/>
      <c r="AD811" s="1390"/>
      <c r="AE811" s="1390"/>
      <c r="AF811" s="1390"/>
      <c r="AG811" s="1390"/>
      <c r="AH811" s="1390"/>
      <c r="AI811" s="1390"/>
      <c r="AJ811" s="1390"/>
      <c r="AK811" s="1390"/>
    </row>
    <row r="812" spans="3:37" ht="17.25" customHeight="1" x14ac:dyDescent="0.35">
      <c r="C812" s="1390"/>
      <c r="D812" s="1390"/>
      <c r="E812" s="1390"/>
      <c r="F812" s="1390"/>
      <c r="G812" s="1390"/>
      <c r="H812" s="1390"/>
      <c r="I812" s="1390"/>
      <c r="J812" s="1390"/>
      <c r="K812" s="1390"/>
      <c r="L812" s="1390"/>
      <c r="M812" s="1390"/>
      <c r="N812" s="1390"/>
      <c r="O812" s="1390"/>
      <c r="P812" s="1390"/>
      <c r="Q812" s="1390"/>
      <c r="R812" s="1390"/>
      <c r="S812" s="1390"/>
      <c r="T812" s="1390"/>
      <c r="U812" s="1390"/>
      <c r="V812" s="1390"/>
      <c r="W812" s="1390"/>
      <c r="X812" s="1390"/>
      <c r="Y812" s="1390"/>
      <c r="Z812" s="1390"/>
      <c r="AA812" s="1390"/>
      <c r="AB812" s="1390"/>
      <c r="AC812" s="1390"/>
      <c r="AD812" s="1390"/>
      <c r="AE812" s="1390"/>
      <c r="AF812" s="1390"/>
      <c r="AG812" s="1390"/>
      <c r="AH812" s="1390"/>
      <c r="AI812" s="1390"/>
      <c r="AJ812" s="1390"/>
      <c r="AK812" s="1390"/>
    </row>
    <row r="813" spans="3:37" ht="17.25" customHeight="1" x14ac:dyDescent="0.35">
      <c r="C813" s="1390"/>
      <c r="D813" s="1390"/>
      <c r="E813" s="1390"/>
      <c r="F813" s="1390"/>
      <c r="G813" s="1390"/>
      <c r="H813" s="1390"/>
      <c r="I813" s="1390"/>
      <c r="J813" s="1390"/>
      <c r="K813" s="1390"/>
      <c r="L813" s="1390"/>
      <c r="M813" s="1390"/>
      <c r="N813" s="1390"/>
      <c r="O813" s="1390"/>
      <c r="P813" s="1390"/>
      <c r="Q813" s="1390"/>
      <c r="R813" s="1390"/>
      <c r="S813" s="1390"/>
      <c r="T813" s="1390"/>
      <c r="U813" s="1390"/>
      <c r="V813" s="1390"/>
      <c r="W813" s="1390"/>
      <c r="X813" s="1390"/>
      <c r="Y813" s="1390"/>
      <c r="Z813" s="1390"/>
      <c r="AA813" s="1390"/>
      <c r="AB813" s="1390"/>
      <c r="AC813" s="1390"/>
      <c r="AD813" s="1390"/>
      <c r="AE813" s="1390"/>
      <c r="AF813" s="1390"/>
      <c r="AG813" s="1390"/>
      <c r="AH813" s="1390"/>
      <c r="AI813" s="1390"/>
      <c r="AJ813" s="1390"/>
      <c r="AK813" s="1390"/>
    </row>
    <row r="814" spans="3:37" ht="17.25" customHeight="1" x14ac:dyDescent="0.35">
      <c r="C814" s="1390"/>
      <c r="D814" s="1390"/>
      <c r="E814" s="1390"/>
      <c r="F814" s="1390"/>
      <c r="G814" s="1390"/>
      <c r="H814" s="1390"/>
      <c r="I814" s="1390"/>
      <c r="J814" s="1390"/>
      <c r="K814" s="1390"/>
      <c r="L814" s="1390"/>
      <c r="M814" s="1390"/>
      <c r="N814" s="1390"/>
      <c r="O814" s="1390"/>
      <c r="P814" s="1390"/>
      <c r="Q814" s="1390"/>
      <c r="R814" s="1390"/>
      <c r="S814" s="1390"/>
      <c r="T814" s="1390"/>
      <c r="U814" s="1390"/>
      <c r="V814" s="1390"/>
      <c r="W814" s="1390"/>
      <c r="X814" s="1390"/>
      <c r="Y814" s="1390"/>
      <c r="Z814" s="1390"/>
      <c r="AA814" s="1390"/>
      <c r="AB814" s="1390"/>
      <c r="AC814" s="1390"/>
      <c r="AD814" s="1390"/>
      <c r="AE814" s="1390"/>
      <c r="AF814" s="1390"/>
      <c r="AG814" s="1390"/>
      <c r="AH814" s="1390"/>
      <c r="AI814" s="1390"/>
      <c r="AJ814" s="1390"/>
      <c r="AK814" s="1390"/>
    </row>
    <row r="815" spans="3:37" ht="17.25" customHeight="1" x14ac:dyDescent="0.35">
      <c r="C815" s="1390"/>
      <c r="D815" s="1390"/>
      <c r="E815" s="1390"/>
      <c r="F815" s="1390"/>
      <c r="G815" s="1390"/>
      <c r="H815" s="1390"/>
      <c r="I815" s="1390"/>
      <c r="J815" s="1390"/>
      <c r="K815" s="1390"/>
      <c r="L815" s="1390"/>
      <c r="M815" s="1390"/>
      <c r="N815" s="1390"/>
      <c r="O815" s="1390"/>
      <c r="P815" s="1390"/>
      <c r="Q815" s="1390"/>
      <c r="R815" s="1390"/>
      <c r="S815" s="1390"/>
      <c r="T815" s="1390"/>
      <c r="U815" s="1390"/>
      <c r="V815" s="1390"/>
      <c r="W815" s="1390"/>
      <c r="X815" s="1390"/>
      <c r="Y815" s="1390"/>
      <c r="Z815" s="1390"/>
      <c r="AA815" s="1390"/>
      <c r="AB815" s="1390"/>
      <c r="AC815" s="1390"/>
      <c r="AD815" s="1390"/>
      <c r="AE815" s="1390"/>
      <c r="AF815" s="1390"/>
      <c r="AG815" s="1390"/>
      <c r="AH815" s="1390"/>
      <c r="AI815" s="1390"/>
      <c r="AJ815" s="1390"/>
      <c r="AK815" s="1390"/>
    </row>
    <row r="816" spans="3:37" ht="17.25" customHeight="1" x14ac:dyDescent="0.35">
      <c r="C816" s="1390"/>
      <c r="D816" s="1390"/>
      <c r="E816" s="1390"/>
      <c r="F816" s="1390"/>
      <c r="G816" s="1390"/>
      <c r="H816" s="1390"/>
      <c r="I816" s="1390"/>
      <c r="J816" s="1390"/>
      <c r="K816" s="1390"/>
      <c r="L816" s="1390"/>
      <c r="M816" s="1390"/>
      <c r="N816" s="1390"/>
      <c r="O816" s="1390"/>
      <c r="P816" s="1390"/>
      <c r="Q816" s="1390"/>
      <c r="R816" s="1390"/>
      <c r="S816" s="1390"/>
      <c r="T816" s="1390"/>
      <c r="U816" s="1390"/>
      <c r="V816" s="1390"/>
      <c r="W816" s="1390"/>
      <c r="X816" s="1390"/>
      <c r="Y816" s="1390"/>
      <c r="Z816" s="1390"/>
      <c r="AA816" s="1390"/>
      <c r="AB816" s="1390"/>
      <c r="AC816" s="1390"/>
      <c r="AD816" s="1390"/>
      <c r="AE816" s="1390"/>
      <c r="AF816" s="1390"/>
      <c r="AG816" s="1390"/>
      <c r="AH816" s="1390"/>
      <c r="AI816" s="1390"/>
      <c r="AJ816" s="1390"/>
      <c r="AK816" s="1390"/>
    </row>
    <row r="817" spans="3:37" ht="17.25" customHeight="1" x14ac:dyDescent="0.35">
      <c r="C817" s="1390"/>
      <c r="D817" s="1390"/>
      <c r="E817" s="1390"/>
      <c r="F817" s="1390"/>
      <c r="G817" s="1390"/>
      <c r="H817" s="1390"/>
      <c r="I817" s="1390"/>
      <c r="J817" s="1390"/>
      <c r="K817" s="1390"/>
      <c r="L817" s="1390"/>
      <c r="M817" s="1390"/>
      <c r="N817" s="1390"/>
      <c r="O817" s="1390"/>
      <c r="P817" s="1390"/>
      <c r="Q817" s="1390"/>
      <c r="R817" s="1390"/>
      <c r="S817" s="1390"/>
      <c r="T817" s="1390"/>
      <c r="U817" s="1390"/>
      <c r="V817" s="1390"/>
      <c r="W817" s="1390"/>
      <c r="X817" s="1390"/>
      <c r="Y817" s="1390"/>
      <c r="Z817" s="1390"/>
      <c r="AA817" s="1390"/>
      <c r="AB817" s="1390"/>
      <c r="AC817" s="1390"/>
      <c r="AD817" s="1390"/>
      <c r="AE817" s="1390"/>
      <c r="AF817" s="1390"/>
      <c r="AG817" s="1390"/>
      <c r="AH817" s="1390"/>
      <c r="AI817" s="1390"/>
      <c r="AJ817" s="1390"/>
      <c r="AK817" s="1390"/>
    </row>
    <row r="818" spans="3:37" ht="17.25" customHeight="1" x14ac:dyDescent="0.35">
      <c r="C818" s="1390"/>
      <c r="D818" s="1390"/>
      <c r="E818" s="1390"/>
      <c r="F818" s="1390"/>
      <c r="G818" s="1390"/>
      <c r="H818" s="1390"/>
      <c r="I818" s="1390"/>
      <c r="J818" s="1390"/>
      <c r="K818" s="1390"/>
      <c r="L818" s="1390"/>
      <c r="M818" s="1390"/>
      <c r="N818" s="1390"/>
      <c r="O818" s="1390"/>
      <c r="P818" s="1390"/>
      <c r="Q818" s="1390"/>
      <c r="R818" s="1390"/>
      <c r="S818" s="1390"/>
      <c r="T818" s="1390"/>
      <c r="U818" s="1390"/>
      <c r="V818" s="1390"/>
      <c r="W818" s="1390"/>
      <c r="X818" s="1390"/>
      <c r="Y818" s="1390"/>
      <c r="Z818" s="1390"/>
      <c r="AA818" s="1390"/>
      <c r="AB818" s="1390"/>
      <c r="AC818" s="1390"/>
      <c r="AD818" s="1390"/>
      <c r="AE818" s="1390"/>
      <c r="AF818" s="1390"/>
      <c r="AG818" s="1390"/>
      <c r="AH818" s="1390"/>
      <c r="AI818" s="1390"/>
      <c r="AJ818" s="1390"/>
      <c r="AK818" s="1390"/>
    </row>
    <row r="819" spans="3:37" ht="17.25" customHeight="1" x14ac:dyDescent="0.35">
      <c r="C819" s="1390"/>
      <c r="D819" s="1390"/>
      <c r="E819" s="1390"/>
      <c r="F819" s="1390"/>
      <c r="G819" s="1390"/>
      <c r="H819" s="1390"/>
      <c r="I819" s="1390"/>
      <c r="J819" s="1390"/>
      <c r="K819" s="1390"/>
      <c r="L819" s="1390"/>
      <c r="M819" s="1390"/>
      <c r="N819" s="1390"/>
      <c r="O819" s="1390"/>
      <c r="P819" s="1390"/>
      <c r="Q819" s="1390"/>
      <c r="R819" s="1390"/>
      <c r="S819" s="1390"/>
      <c r="T819" s="1390"/>
      <c r="U819" s="1390"/>
      <c r="V819" s="1390"/>
      <c r="W819" s="1390"/>
      <c r="X819" s="1390"/>
      <c r="Y819" s="1390"/>
      <c r="Z819" s="1390"/>
      <c r="AA819" s="1390"/>
      <c r="AB819" s="1390"/>
      <c r="AC819" s="1390"/>
      <c r="AD819" s="1390"/>
      <c r="AE819" s="1390"/>
      <c r="AF819" s="1390"/>
      <c r="AG819" s="1390"/>
      <c r="AH819" s="1390"/>
      <c r="AI819" s="1390"/>
      <c r="AJ819" s="1390"/>
      <c r="AK819" s="1390"/>
    </row>
    <row r="820" spans="3:37" ht="17.25" customHeight="1" x14ac:dyDescent="0.35">
      <c r="C820" s="1390"/>
      <c r="D820" s="1390"/>
      <c r="E820" s="1390"/>
      <c r="F820" s="1390"/>
      <c r="G820" s="1390"/>
      <c r="H820" s="1390"/>
      <c r="I820" s="1390"/>
      <c r="J820" s="1390"/>
      <c r="K820" s="1390"/>
      <c r="L820" s="1390"/>
      <c r="M820" s="1390"/>
      <c r="N820" s="1390"/>
      <c r="O820" s="1390"/>
      <c r="P820" s="1390"/>
      <c r="Q820" s="1390"/>
      <c r="R820" s="1390"/>
      <c r="S820" s="1390"/>
      <c r="T820" s="1390"/>
      <c r="U820" s="1390"/>
      <c r="V820" s="1390"/>
      <c r="W820" s="1390"/>
      <c r="X820" s="1390"/>
      <c r="Y820" s="1390"/>
      <c r="Z820" s="1390"/>
      <c r="AA820" s="1390"/>
      <c r="AB820" s="1390"/>
      <c r="AC820" s="1390"/>
      <c r="AD820" s="1390"/>
      <c r="AE820" s="1390"/>
      <c r="AF820" s="1390"/>
      <c r="AG820" s="1390"/>
      <c r="AH820" s="1390"/>
      <c r="AI820" s="1390"/>
      <c r="AJ820" s="1390"/>
      <c r="AK820" s="1390"/>
    </row>
    <row r="821" spans="3:37" ht="17.25" customHeight="1" x14ac:dyDescent="0.35">
      <c r="C821" s="1390"/>
      <c r="D821" s="1390"/>
      <c r="E821" s="1390"/>
      <c r="F821" s="1390"/>
      <c r="G821" s="1390"/>
      <c r="H821" s="1390"/>
      <c r="I821" s="1390"/>
      <c r="J821" s="1390"/>
      <c r="K821" s="1390"/>
      <c r="L821" s="1390"/>
      <c r="M821" s="1390"/>
      <c r="N821" s="1390"/>
      <c r="O821" s="1390"/>
      <c r="P821" s="1390"/>
      <c r="Q821" s="1390"/>
      <c r="R821" s="1390"/>
      <c r="S821" s="1390"/>
      <c r="T821" s="1390"/>
      <c r="U821" s="1390"/>
      <c r="V821" s="1390"/>
      <c r="W821" s="1390"/>
      <c r="X821" s="1390"/>
      <c r="Y821" s="1390"/>
      <c r="Z821" s="1390"/>
      <c r="AA821" s="1390"/>
      <c r="AB821" s="1390"/>
      <c r="AC821" s="1390"/>
      <c r="AD821" s="1390"/>
      <c r="AE821" s="1390"/>
      <c r="AF821" s="1390"/>
      <c r="AG821" s="1390"/>
      <c r="AH821" s="1390"/>
      <c r="AI821" s="1390"/>
      <c r="AJ821" s="1390"/>
      <c r="AK821" s="1390"/>
    </row>
    <row r="822" spans="3:37" ht="17.25" customHeight="1" x14ac:dyDescent="0.35">
      <c r="C822" s="1390"/>
      <c r="D822" s="1390"/>
      <c r="E822" s="1390"/>
      <c r="F822" s="1390"/>
      <c r="G822" s="1390"/>
      <c r="H822" s="1390"/>
      <c r="I822" s="1390"/>
      <c r="J822" s="1390"/>
      <c r="K822" s="1390"/>
      <c r="L822" s="1390"/>
      <c r="M822" s="1390"/>
      <c r="N822" s="1390"/>
      <c r="O822" s="1390"/>
      <c r="P822" s="1390"/>
      <c r="Q822" s="1390"/>
      <c r="R822" s="1390"/>
      <c r="S822" s="1390"/>
      <c r="T822" s="1390"/>
      <c r="U822" s="1390"/>
      <c r="V822" s="1390"/>
      <c r="W822" s="1390"/>
      <c r="X822" s="1390"/>
      <c r="Y822" s="1390"/>
      <c r="Z822" s="1390"/>
      <c r="AA822" s="1390"/>
      <c r="AB822" s="1390"/>
      <c r="AC822" s="1390"/>
      <c r="AD822" s="1390"/>
      <c r="AE822" s="1390"/>
      <c r="AF822" s="1390"/>
      <c r="AG822" s="1390"/>
      <c r="AH822" s="1390"/>
      <c r="AI822" s="1390"/>
      <c r="AJ822" s="1390"/>
      <c r="AK822" s="1390"/>
    </row>
    <row r="823" spans="3:37" ht="17.25" customHeight="1" x14ac:dyDescent="0.35">
      <c r="C823" s="1390"/>
      <c r="D823" s="1390"/>
      <c r="E823" s="1390"/>
      <c r="F823" s="1390"/>
      <c r="G823" s="1390"/>
      <c r="H823" s="1390"/>
      <c r="I823" s="1390"/>
      <c r="J823" s="1390"/>
      <c r="K823" s="1390"/>
      <c r="L823" s="1390"/>
      <c r="M823" s="1390"/>
      <c r="N823" s="1390"/>
      <c r="O823" s="1390"/>
      <c r="P823" s="1390"/>
      <c r="Q823" s="1390"/>
      <c r="R823" s="1390"/>
      <c r="S823" s="1390"/>
      <c r="T823" s="1390"/>
      <c r="U823" s="1390"/>
      <c r="V823" s="1390"/>
      <c r="W823" s="1390"/>
      <c r="X823" s="1390"/>
      <c r="Y823" s="1390"/>
      <c r="Z823" s="1390"/>
      <c r="AA823" s="1390"/>
      <c r="AB823" s="1390"/>
      <c r="AC823" s="1390"/>
      <c r="AD823" s="1390"/>
      <c r="AE823" s="1390"/>
      <c r="AF823" s="1390"/>
      <c r="AG823" s="1390"/>
      <c r="AH823" s="1390"/>
      <c r="AI823" s="1390"/>
      <c r="AJ823" s="1390"/>
      <c r="AK823" s="1390"/>
    </row>
    <row r="824" spans="3:37" ht="17.25" customHeight="1" x14ac:dyDescent="0.35">
      <c r="C824" s="1390"/>
      <c r="D824" s="1390"/>
      <c r="E824" s="1390"/>
      <c r="F824" s="1390"/>
      <c r="G824" s="1390"/>
      <c r="H824" s="1390"/>
      <c r="I824" s="1390"/>
      <c r="J824" s="1390"/>
      <c r="K824" s="1390"/>
      <c r="L824" s="1390"/>
      <c r="M824" s="1390"/>
      <c r="N824" s="1390"/>
      <c r="O824" s="1390"/>
      <c r="P824" s="1390"/>
      <c r="Q824" s="1390"/>
      <c r="R824" s="1390"/>
      <c r="S824" s="1390"/>
      <c r="T824" s="1390"/>
      <c r="U824" s="1390"/>
      <c r="V824" s="1390"/>
      <c r="W824" s="1390"/>
      <c r="X824" s="1390"/>
      <c r="Y824" s="1390"/>
      <c r="Z824" s="1390"/>
      <c r="AA824" s="1390"/>
      <c r="AB824" s="1390"/>
      <c r="AC824" s="1390"/>
      <c r="AD824" s="1390"/>
      <c r="AE824" s="1390"/>
      <c r="AF824" s="1390"/>
      <c r="AG824" s="1390"/>
      <c r="AH824" s="1390"/>
      <c r="AI824" s="1390"/>
      <c r="AJ824" s="1390"/>
      <c r="AK824" s="1390"/>
    </row>
    <row r="825" spans="3:37" ht="17.25" customHeight="1" x14ac:dyDescent="0.35">
      <c r="C825" s="1390"/>
      <c r="D825" s="1390"/>
      <c r="E825" s="1390"/>
      <c r="F825" s="1390"/>
      <c r="G825" s="1390"/>
      <c r="H825" s="1390"/>
      <c r="I825" s="1390"/>
      <c r="J825" s="1390"/>
      <c r="K825" s="1390"/>
      <c r="L825" s="1390"/>
      <c r="M825" s="1390"/>
      <c r="N825" s="1390"/>
      <c r="O825" s="1390"/>
      <c r="P825" s="1390"/>
      <c r="Q825" s="1390"/>
      <c r="R825" s="1390"/>
      <c r="S825" s="1390"/>
      <c r="T825" s="1390"/>
      <c r="U825" s="1390"/>
      <c r="V825" s="1390"/>
      <c r="W825" s="1390"/>
      <c r="X825" s="1390"/>
      <c r="Y825" s="1390"/>
      <c r="Z825" s="1390"/>
      <c r="AA825" s="1390"/>
      <c r="AB825" s="1390"/>
      <c r="AC825" s="1390"/>
      <c r="AD825" s="1390"/>
      <c r="AE825" s="1390"/>
      <c r="AF825" s="1390"/>
      <c r="AG825" s="1390"/>
      <c r="AH825" s="1390"/>
      <c r="AI825" s="1390"/>
      <c r="AJ825" s="1390"/>
      <c r="AK825" s="1390"/>
    </row>
    <row r="826" spans="3:37" ht="17.25" customHeight="1" x14ac:dyDescent="0.35">
      <c r="C826" s="1390"/>
      <c r="D826" s="1390"/>
      <c r="E826" s="1390"/>
      <c r="F826" s="1390"/>
      <c r="G826" s="1390"/>
      <c r="H826" s="1390"/>
      <c r="I826" s="1390"/>
      <c r="J826" s="1390"/>
      <c r="K826" s="1390"/>
      <c r="L826" s="1390"/>
      <c r="M826" s="1390"/>
      <c r="N826" s="1390"/>
      <c r="O826" s="1390"/>
      <c r="P826" s="1390"/>
      <c r="Q826" s="1390"/>
      <c r="R826" s="1390"/>
      <c r="S826" s="1390"/>
      <c r="T826" s="1390"/>
      <c r="U826" s="1390"/>
      <c r="V826" s="1390"/>
      <c r="W826" s="1390"/>
      <c r="X826" s="1390"/>
      <c r="Y826" s="1390"/>
      <c r="Z826" s="1390"/>
      <c r="AA826" s="1390"/>
      <c r="AB826" s="1390"/>
      <c r="AC826" s="1390"/>
      <c r="AD826" s="1390"/>
      <c r="AE826" s="1390"/>
      <c r="AF826" s="1390"/>
      <c r="AG826" s="1390"/>
      <c r="AH826" s="1390"/>
      <c r="AI826" s="1390"/>
      <c r="AJ826" s="1390"/>
      <c r="AK826" s="1390"/>
    </row>
    <row r="827" spans="3:37" ht="17.25" customHeight="1" x14ac:dyDescent="0.35">
      <c r="C827" s="1390"/>
      <c r="D827" s="1390"/>
      <c r="E827" s="1390"/>
      <c r="F827" s="1390"/>
      <c r="G827" s="1390"/>
      <c r="H827" s="1390"/>
      <c r="I827" s="1390"/>
      <c r="J827" s="1390"/>
      <c r="K827" s="1390"/>
      <c r="L827" s="1390"/>
      <c r="M827" s="1390"/>
      <c r="N827" s="1390"/>
      <c r="O827" s="1390"/>
      <c r="P827" s="1390"/>
      <c r="Q827" s="1390"/>
      <c r="R827" s="1390"/>
      <c r="S827" s="1390"/>
      <c r="T827" s="1390"/>
      <c r="U827" s="1390"/>
      <c r="V827" s="1390"/>
      <c r="W827" s="1390"/>
      <c r="X827" s="1390"/>
      <c r="Y827" s="1390"/>
      <c r="Z827" s="1390"/>
      <c r="AA827" s="1390"/>
      <c r="AB827" s="1390"/>
      <c r="AC827" s="1390"/>
      <c r="AD827" s="1390"/>
      <c r="AE827" s="1390"/>
      <c r="AF827" s="1390"/>
      <c r="AG827" s="1390"/>
      <c r="AH827" s="1390"/>
      <c r="AI827" s="1390"/>
      <c r="AJ827" s="1390"/>
      <c r="AK827" s="1390"/>
    </row>
    <row r="828" spans="3:37" ht="17.25" customHeight="1" x14ac:dyDescent="0.35">
      <c r="C828" s="1390"/>
      <c r="D828" s="1390"/>
      <c r="E828" s="1390"/>
      <c r="F828" s="1390"/>
      <c r="G828" s="1390"/>
      <c r="H828" s="1390"/>
      <c r="I828" s="1390"/>
      <c r="J828" s="1390"/>
      <c r="K828" s="1390"/>
      <c r="L828" s="1390"/>
      <c r="M828" s="1390"/>
      <c r="N828" s="1390"/>
      <c r="O828" s="1390"/>
      <c r="P828" s="1390"/>
      <c r="Q828" s="1390"/>
      <c r="R828" s="1390"/>
      <c r="S828" s="1390"/>
      <c r="T828" s="1390"/>
      <c r="U828" s="1390"/>
      <c r="V828" s="1390"/>
      <c r="W828" s="1390"/>
      <c r="X828" s="1390"/>
      <c r="Y828" s="1390"/>
      <c r="Z828" s="1390"/>
      <c r="AA828" s="1390"/>
      <c r="AB828" s="1390"/>
      <c r="AC828" s="1390"/>
      <c r="AD828" s="1390"/>
      <c r="AE828" s="1390"/>
      <c r="AF828" s="1390"/>
      <c r="AG828" s="1390"/>
      <c r="AH828" s="1390"/>
      <c r="AI828" s="1390"/>
      <c r="AJ828" s="1390"/>
      <c r="AK828" s="1390"/>
    </row>
    <row r="829" spans="3:37" ht="17.25" customHeight="1" x14ac:dyDescent="0.35">
      <c r="C829" s="1390"/>
      <c r="D829" s="1390"/>
      <c r="E829" s="1390"/>
      <c r="F829" s="1390"/>
      <c r="G829" s="1390"/>
      <c r="H829" s="1390"/>
      <c r="I829" s="1390"/>
      <c r="J829" s="1390"/>
      <c r="K829" s="1390"/>
      <c r="L829" s="1390"/>
      <c r="M829" s="1390"/>
      <c r="N829" s="1390"/>
      <c r="O829" s="1390"/>
      <c r="P829" s="1390"/>
      <c r="Q829" s="1390"/>
      <c r="R829" s="1390"/>
      <c r="S829" s="1390"/>
      <c r="T829" s="1390"/>
      <c r="U829" s="1390"/>
      <c r="V829" s="1390"/>
      <c r="W829" s="1390"/>
      <c r="X829" s="1390"/>
      <c r="Y829" s="1390"/>
      <c r="Z829" s="1390"/>
      <c r="AA829" s="1390"/>
      <c r="AB829" s="1390"/>
      <c r="AC829" s="1390"/>
      <c r="AD829" s="1390"/>
      <c r="AE829" s="1390"/>
      <c r="AF829" s="1390"/>
      <c r="AG829" s="1390"/>
      <c r="AH829" s="1390"/>
      <c r="AI829" s="1390"/>
      <c r="AJ829" s="1390"/>
      <c r="AK829" s="1390"/>
    </row>
    <row r="830" spans="3:37" ht="17.25" customHeight="1" x14ac:dyDescent="0.35">
      <c r="C830" s="1390"/>
      <c r="D830" s="1390"/>
      <c r="E830" s="1390"/>
      <c r="F830" s="1390"/>
      <c r="G830" s="1390"/>
      <c r="H830" s="1390"/>
      <c r="I830" s="1390"/>
      <c r="J830" s="1390"/>
      <c r="K830" s="1390"/>
      <c r="L830" s="1390"/>
      <c r="M830" s="1390"/>
      <c r="N830" s="1390"/>
      <c r="O830" s="1390"/>
      <c r="P830" s="1390"/>
      <c r="Q830" s="1390"/>
      <c r="R830" s="1390"/>
      <c r="S830" s="1390"/>
      <c r="T830" s="1390"/>
      <c r="U830" s="1390"/>
      <c r="V830" s="1390"/>
      <c r="W830" s="1390"/>
      <c r="X830" s="1390"/>
      <c r="Y830" s="1390"/>
      <c r="Z830" s="1390"/>
      <c r="AA830" s="1390"/>
      <c r="AB830" s="1390"/>
      <c r="AC830" s="1390"/>
      <c r="AD830" s="1390"/>
      <c r="AE830" s="1390"/>
      <c r="AF830" s="1390"/>
      <c r="AG830" s="1390"/>
      <c r="AH830" s="1390"/>
      <c r="AI830" s="1390"/>
      <c r="AJ830" s="1390"/>
      <c r="AK830" s="1390"/>
    </row>
    <row r="831" spans="3:37" ht="17.25" customHeight="1" x14ac:dyDescent="0.35">
      <c r="C831" s="1390"/>
      <c r="D831" s="1390"/>
      <c r="E831" s="1390"/>
      <c r="F831" s="1390"/>
      <c r="G831" s="1390"/>
      <c r="H831" s="1390"/>
      <c r="I831" s="1390"/>
      <c r="J831" s="1390"/>
      <c r="K831" s="1390"/>
      <c r="L831" s="1390"/>
      <c r="M831" s="1390"/>
      <c r="N831" s="1390"/>
      <c r="O831" s="1390"/>
      <c r="P831" s="1390"/>
      <c r="Q831" s="1390"/>
      <c r="R831" s="1390"/>
      <c r="S831" s="1390"/>
      <c r="T831" s="1390"/>
      <c r="U831" s="1390"/>
      <c r="V831" s="1390"/>
      <c r="W831" s="1390"/>
      <c r="X831" s="1390"/>
      <c r="Y831" s="1390"/>
      <c r="Z831" s="1390"/>
      <c r="AA831" s="1390"/>
      <c r="AB831" s="1390"/>
      <c r="AC831" s="1390"/>
      <c r="AD831" s="1390"/>
      <c r="AE831" s="1390"/>
      <c r="AF831" s="1390"/>
      <c r="AG831" s="1390"/>
      <c r="AH831" s="1390"/>
      <c r="AI831" s="1390"/>
      <c r="AJ831" s="1390"/>
      <c r="AK831" s="1390"/>
    </row>
    <row r="832" spans="3:37" ht="17.25" customHeight="1" x14ac:dyDescent="0.35">
      <c r="C832" s="1390"/>
      <c r="D832" s="1390"/>
      <c r="E832" s="1390"/>
      <c r="F832" s="1390"/>
      <c r="G832" s="1390"/>
      <c r="H832" s="1390"/>
      <c r="I832" s="1390"/>
      <c r="J832" s="1390"/>
      <c r="K832" s="1390"/>
      <c r="L832" s="1390"/>
      <c r="M832" s="1390"/>
      <c r="N832" s="1390"/>
      <c r="O832" s="1390"/>
      <c r="P832" s="1390"/>
      <c r="Q832" s="1390"/>
      <c r="R832" s="1390"/>
      <c r="S832" s="1390"/>
      <c r="T832" s="1390"/>
      <c r="U832" s="1390"/>
      <c r="V832" s="1390"/>
      <c r="W832" s="1390"/>
      <c r="X832" s="1390"/>
      <c r="Y832" s="1390"/>
      <c r="Z832" s="1390"/>
      <c r="AA832" s="1390"/>
      <c r="AB832" s="1390"/>
      <c r="AC832" s="1390"/>
      <c r="AD832" s="1390"/>
      <c r="AE832" s="1390"/>
      <c r="AF832" s="1390"/>
      <c r="AG832" s="1390"/>
      <c r="AH832" s="1390"/>
      <c r="AI832" s="1390"/>
      <c r="AJ832" s="1390"/>
      <c r="AK832" s="1390"/>
    </row>
    <row r="833" spans="3:37" ht="17.25" customHeight="1" x14ac:dyDescent="0.35">
      <c r="C833" s="1390"/>
      <c r="D833" s="1390"/>
      <c r="E833" s="1390"/>
      <c r="F833" s="1390"/>
      <c r="G833" s="1390"/>
      <c r="H833" s="1390"/>
      <c r="I833" s="1390"/>
      <c r="J833" s="1390"/>
      <c r="K833" s="1390"/>
      <c r="L833" s="1390"/>
      <c r="M833" s="1390"/>
      <c r="N833" s="1390"/>
      <c r="O833" s="1390"/>
      <c r="P833" s="1390"/>
      <c r="Q833" s="1390"/>
      <c r="R833" s="1390"/>
      <c r="S833" s="1390"/>
      <c r="T833" s="1390"/>
      <c r="U833" s="1390"/>
      <c r="V833" s="1390"/>
      <c r="W833" s="1390"/>
      <c r="X833" s="1390"/>
      <c r="Y833" s="1390"/>
      <c r="Z833" s="1390"/>
      <c r="AA833" s="1390"/>
      <c r="AB833" s="1390"/>
      <c r="AC833" s="1390"/>
      <c r="AD833" s="1390"/>
      <c r="AE833" s="1390"/>
      <c r="AF833" s="1390"/>
      <c r="AG833" s="1390"/>
      <c r="AH833" s="1390"/>
      <c r="AI833" s="1390"/>
      <c r="AJ833" s="1390"/>
      <c r="AK833" s="1390"/>
    </row>
    <row r="834" spans="3:37" ht="17.25" customHeight="1" x14ac:dyDescent="0.35">
      <c r="C834" s="1390"/>
      <c r="D834" s="1390"/>
      <c r="E834" s="1390"/>
      <c r="F834" s="1390"/>
      <c r="G834" s="1390"/>
      <c r="H834" s="1390"/>
      <c r="I834" s="1390"/>
      <c r="J834" s="1390"/>
      <c r="K834" s="1390"/>
      <c r="L834" s="1390"/>
      <c r="M834" s="1390"/>
      <c r="N834" s="1390"/>
      <c r="O834" s="1390"/>
      <c r="P834" s="1390"/>
      <c r="Q834" s="1390"/>
      <c r="R834" s="1390"/>
      <c r="S834" s="1390"/>
      <c r="T834" s="1390"/>
      <c r="U834" s="1390"/>
      <c r="V834" s="1390"/>
      <c r="W834" s="1390"/>
      <c r="X834" s="1390"/>
      <c r="Y834" s="1390"/>
      <c r="Z834" s="1390"/>
      <c r="AA834" s="1390"/>
      <c r="AB834" s="1390"/>
      <c r="AC834" s="1390"/>
      <c r="AD834" s="1390"/>
      <c r="AE834" s="1390"/>
      <c r="AF834" s="1390"/>
      <c r="AG834" s="1390"/>
      <c r="AH834" s="1390"/>
      <c r="AI834" s="1390"/>
      <c r="AJ834" s="1390"/>
      <c r="AK834" s="1390"/>
    </row>
    <row r="835" spans="3:37" ht="17.25" customHeight="1" x14ac:dyDescent="0.35">
      <c r="C835" s="1390"/>
      <c r="D835" s="1390"/>
      <c r="E835" s="1390"/>
      <c r="F835" s="1390"/>
      <c r="G835" s="1390"/>
      <c r="H835" s="1390"/>
      <c r="I835" s="1390"/>
      <c r="J835" s="1390"/>
      <c r="K835" s="1390"/>
      <c r="L835" s="1390"/>
      <c r="M835" s="1390"/>
      <c r="N835" s="1390"/>
      <c r="O835" s="1390"/>
      <c r="P835" s="1390"/>
      <c r="Q835" s="1390"/>
      <c r="R835" s="1390"/>
      <c r="S835" s="1390"/>
      <c r="T835" s="1390"/>
      <c r="U835" s="1390"/>
      <c r="V835" s="1390"/>
      <c r="W835" s="1390"/>
      <c r="X835" s="1390"/>
      <c r="Y835" s="1390"/>
      <c r="Z835" s="1390"/>
      <c r="AA835" s="1390"/>
      <c r="AB835" s="1390"/>
      <c r="AC835" s="1390"/>
      <c r="AD835" s="1390"/>
      <c r="AE835" s="1390"/>
      <c r="AF835" s="1390"/>
      <c r="AG835" s="1390"/>
      <c r="AH835" s="1390"/>
      <c r="AI835" s="1390"/>
      <c r="AJ835" s="1390"/>
      <c r="AK835" s="1390"/>
    </row>
    <row r="836" spans="3:37" ht="17.25" customHeight="1" x14ac:dyDescent="0.35">
      <c r="C836" s="1390"/>
      <c r="D836" s="1390"/>
      <c r="E836" s="1390"/>
      <c r="F836" s="1390"/>
      <c r="G836" s="1390"/>
      <c r="H836" s="1390"/>
      <c r="I836" s="1390"/>
      <c r="J836" s="1390"/>
      <c r="K836" s="1390"/>
      <c r="L836" s="1390"/>
      <c r="M836" s="1390"/>
      <c r="N836" s="1390"/>
      <c r="O836" s="1390"/>
      <c r="P836" s="1390"/>
      <c r="Q836" s="1390"/>
      <c r="R836" s="1390"/>
      <c r="S836" s="1390"/>
      <c r="T836" s="1390"/>
      <c r="U836" s="1390"/>
      <c r="V836" s="1390"/>
      <c r="W836" s="1390"/>
      <c r="X836" s="1390"/>
      <c r="Y836" s="1390"/>
      <c r="Z836" s="1390"/>
      <c r="AA836" s="1390"/>
      <c r="AB836" s="1390"/>
      <c r="AC836" s="1390"/>
      <c r="AD836" s="1390"/>
      <c r="AE836" s="1390"/>
      <c r="AF836" s="1390"/>
      <c r="AG836" s="1390"/>
      <c r="AH836" s="1390"/>
      <c r="AI836" s="1390"/>
      <c r="AJ836" s="1390"/>
      <c r="AK836" s="1390"/>
    </row>
    <row r="837" spans="3:37" ht="17.25" customHeight="1" x14ac:dyDescent="0.35">
      <c r="C837" s="1390"/>
      <c r="D837" s="1390"/>
      <c r="E837" s="1390"/>
      <c r="F837" s="1390"/>
      <c r="G837" s="1390"/>
      <c r="H837" s="1390"/>
      <c r="I837" s="1390"/>
      <c r="J837" s="1390"/>
      <c r="K837" s="1390"/>
      <c r="L837" s="1390"/>
      <c r="M837" s="1390"/>
      <c r="N837" s="1390"/>
      <c r="O837" s="1390"/>
      <c r="P837" s="1390"/>
      <c r="Q837" s="1390"/>
      <c r="R837" s="1390"/>
      <c r="S837" s="1390"/>
      <c r="T837" s="1390"/>
      <c r="U837" s="1390"/>
      <c r="V837" s="1390"/>
      <c r="W837" s="1390"/>
      <c r="X837" s="1390"/>
      <c r="Y837" s="1390"/>
      <c r="Z837" s="1390"/>
      <c r="AA837" s="1390"/>
      <c r="AB837" s="1390"/>
      <c r="AC837" s="1390"/>
      <c r="AD837" s="1390"/>
      <c r="AE837" s="1390"/>
      <c r="AF837" s="1390"/>
      <c r="AG837" s="1390"/>
      <c r="AH837" s="1390"/>
      <c r="AI837" s="1390"/>
      <c r="AJ837" s="1390"/>
      <c r="AK837" s="1390"/>
    </row>
    <row r="838" spans="3:37" ht="17.25" customHeight="1" x14ac:dyDescent="0.35">
      <c r="C838" s="1390"/>
      <c r="D838" s="1390"/>
      <c r="E838" s="1390"/>
      <c r="F838" s="1390"/>
      <c r="G838" s="1390"/>
      <c r="H838" s="1390"/>
      <c r="I838" s="1390"/>
      <c r="J838" s="1390"/>
      <c r="K838" s="1390"/>
      <c r="L838" s="1390"/>
      <c r="M838" s="1390"/>
      <c r="N838" s="1390"/>
      <c r="O838" s="1390"/>
      <c r="P838" s="1390"/>
      <c r="Q838" s="1390"/>
      <c r="R838" s="1390"/>
      <c r="S838" s="1390"/>
      <c r="T838" s="1390"/>
      <c r="U838" s="1390"/>
      <c r="V838" s="1390"/>
      <c r="W838" s="1390"/>
      <c r="X838" s="1390"/>
      <c r="Y838" s="1390"/>
      <c r="Z838" s="1390"/>
      <c r="AA838" s="1390"/>
      <c r="AB838" s="1390"/>
      <c r="AC838" s="1390"/>
      <c r="AD838" s="1390"/>
      <c r="AE838" s="1390"/>
      <c r="AF838" s="1390"/>
      <c r="AG838" s="1390"/>
      <c r="AH838" s="1390"/>
      <c r="AI838" s="1390"/>
      <c r="AJ838" s="1390"/>
      <c r="AK838" s="1390"/>
    </row>
    <row r="839" spans="3:37" ht="17.25" customHeight="1" x14ac:dyDescent="0.35">
      <c r="C839" s="1390"/>
      <c r="D839" s="1390"/>
      <c r="E839" s="1390"/>
      <c r="F839" s="1390"/>
      <c r="G839" s="1390"/>
      <c r="H839" s="1390"/>
      <c r="I839" s="1390"/>
      <c r="J839" s="1390"/>
      <c r="K839" s="1390"/>
      <c r="L839" s="1390"/>
      <c r="M839" s="1390"/>
      <c r="N839" s="1390"/>
      <c r="O839" s="1390"/>
      <c r="P839" s="1390"/>
      <c r="Q839" s="1390"/>
      <c r="R839" s="1390"/>
      <c r="S839" s="1390"/>
      <c r="T839" s="1390"/>
      <c r="U839" s="1390"/>
      <c r="V839" s="1390"/>
      <c r="W839" s="1390"/>
      <c r="X839" s="1390"/>
      <c r="Y839" s="1390"/>
      <c r="Z839" s="1390"/>
      <c r="AA839" s="1390"/>
      <c r="AB839" s="1390"/>
      <c r="AC839" s="1390"/>
      <c r="AD839" s="1390"/>
      <c r="AE839" s="1390"/>
      <c r="AF839" s="1390"/>
      <c r="AG839" s="1390"/>
      <c r="AH839" s="1390"/>
      <c r="AI839" s="1390"/>
      <c r="AJ839" s="1390"/>
      <c r="AK839" s="1390"/>
    </row>
    <row r="840" spans="3:37" ht="17.25" customHeight="1" x14ac:dyDescent="0.35">
      <c r="C840" s="1390"/>
      <c r="D840" s="1390"/>
      <c r="E840" s="1390"/>
      <c r="F840" s="1390"/>
      <c r="G840" s="1390"/>
      <c r="H840" s="1390"/>
      <c r="I840" s="1390"/>
      <c r="J840" s="1390"/>
      <c r="K840" s="1390"/>
      <c r="L840" s="1390"/>
      <c r="M840" s="1390"/>
      <c r="N840" s="1390"/>
      <c r="O840" s="1390"/>
      <c r="P840" s="1390"/>
      <c r="Q840" s="1390"/>
      <c r="R840" s="1390"/>
      <c r="S840" s="1390"/>
      <c r="T840" s="1390"/>
      <c r="U840" s="1390"/>
      <c r="V840" s="1390"/>
      <c r="W840" s="1390"/>
      <c r="X840" s="1390"/>
      <c r="Y840" s="1390"/>
      <c r="Z840" s="1390"/>
      <c r="AA840" s="1390"/>
      <c r="AB840" s="1390"/>
      <c r="AC840" s="1390"/>
      <c r="AD840" s="1390"/>
      <c r="AE840" s="1390"/>
      <c r="AF840" s="1390"/>
      <c r="AG840" s="1390"/>
      <c r="AH840" s="1390"/>
      <c r="AI840" s="1390"/>
      <c r="AJ840" s="1390"/>
      <c r="AK840" s="1390"/>
    </row>
    <row r="841" spans="3:37" ht="17.25" customHeight="1" x14ac:dyDescent="0.35">
      <c r="C841" s="1390"/>
      <c r="D841" s="1390"/>
      <c r="E841" s="1390"/>
      <c r="F841" s="1390"/>
      <c r="G841" s="1390"/>
      <c r="H841" s="1390"/>
      <c r="I841" s="1390"/>
      <c r="J841" s="1390"/>
      <c r="K841" s="1390"/>
      <c r="L841" s="1390"/>
      <c r="M841" s="1390"/>
      <c r="N841" s="1390"/>
      <c r="O841" s="1390"/>
      <c r="P841" s="1390"/>
      <c r="Q841" s="1390"/>
      <c r="R841" s="1390"/>
      <c r="S841" s="1390"/>
      <c r="T841" s="1390"/>
      <c r="U841" s="1390"/>
      <c r="V841" s="1390"/>
      <c r="W841" s="1390"/>
      <c r="X841" s="1390"/>
      <c r="Y841" s="1390"/>
      <c r="Z841" s="1390"/>
      <c r="AA841" s="1390"/>
      <c r="AB841" s="1390"/>
      <c r="AC841" s="1390"/>
      <c r="AD841" s="1390"/>
      <c r="AE841" s="1390"/>
      <c r="AF841" s="1390"/>
      <c r="AG841" s="1390"/>
      <c r="AH841" s="1390"/>
      <c r="AI841" s="1390"/>
      <c r="AJ841" s="1390"/>
      <c r="AK841" s="1390"/>
    </row>
    <row r="842" spans="3:37" ht="17.25" customHeight="1" x14ac:dyDescent="0.35">
      <c r="C842" s="1390"/>
      <c r="D842" s="1390"/>
      <c r="E842" s="1390"/>
      <c r="F842" s="1390"/>
      <c r="G842" s="1390"/>
      <c r="H842" s="1390"/>
      <c r="I842" s="1390"/>
      <c r="J842" s="1390"/>
      <c r="K842" s="1390"/>
      <c r="L842" s="1390"/>
      <c r="M842" s="1390"/>
      <c r="N842" s="1390"/>
      <c r="O842" s="1390"/>
      <c r="P842" s="1390"/>
      <c r="Q842" s="1390"/>
      <c r="R842" s="1390"/>
      <c r="S842" s="1390"/>
      <c r="T842" s="1390"/>
      <c r="U842" s="1390"/>
      <c r="V842" s="1390"/>
      <c r="W842" s="1390"/>
      <c r="X842" s="1390"/>
      <c r="Y842" s="1390"/>
      <c r="Z842" s="1390"/>
      <c r="AA842" s="1390"/>
      <c r="AB842" s="1390"/>
      <c r="AC842" s="1390"/>
      <c r="AD842" s="1390"/>
      <c r="AE842" s="1390"/>
      <c r="AF842" s="1390"/>
      <c r="AG842" s="1390"/>
      <c r="AH842" s="1390"/>
      <c r="AI842" s="1390"/>
      <c r="AJ842" s="1390"/>
      <c r="AK842" s="1390"/>
    </row>
    <row r="843" spans="3:37" ht="17.25" customHeight="1" x14ac:dyDescent="0.35">
      <c r="C843" s="1390"/>
      <c r="D843" s="1390"/>
      <c r="E843" s="1390"/>
      <c r="F843" s="1390"/>
      <c r="G843" s="1390"/>
      <c r="H843" s="1390"/>
      <c r="I843" s="1390"/>
      <c r="J843" s="1390"/>
      <c r="K843" s="1390"/>
      <c r="L843" s="1390"/>
      <c r="M843" s="1390"/>
      <c r="N843" s="1390"/>
      <c r="O843" s="1390"/>
      <c r="P843" s="1390"/>
      <c r="Q843" s="1390"/>
      <c r="R843" s="1390"/>
      <c r="S843" s="1390"/>
      <c r="T843" s="1390"/>
      <c r="U843" s="1390"/>
      <c r="V843" s="1390"/>
      <c r="W843" s="1390"/>
      <c r="X843" s="1390"/>
      <c r="Y843" s="1390"/>
      <c r="Z843" s="1390"/>
      <c r="AA843" s="1390"/>
      <c r="AB843" s="1390"/>
      <c r="AC843" s="1390"/>
      <c r="AD843" s="1390"/>
      <c r="AE843" s="1390"/>
      <c r="AF843" s="1390"/>
      <c r="AG843" s="1390"/>
      <c r="AH843" s="1390"/>
      <c r="AI843" s="1390"/>
      <c r="AJ843" s="1390"/>
      <c r="AK843" s="1390"/>
    </row>
    <row r="844" spans="3:37" ht="17.25" customHeight="1" x14ac:dyDescent="0.35">
      <c r="C844" s="1390"/>
      <c r="D844" s="1390"/>
      <c r="E844" s="1390"/>
      <c r="F844" s="1390"/>
      <c r="G844" s="1390"/>
      <c r="H844" s="1390"/>
      <c r="I844" s="1390"/>
      <c r="J844" s="1390"/>
      <c r="K844" s="1390"/>
      <c r="L844" s="1390"/>
      <c r="M844" s="1390"/>
      <c r="N844" s="1390"/>
      <c r="O844" s="1390"/>
      <c r="P844" s="1390"/>
      <c r="Q844" s="1390"/>
      <c r="R844" s="1390"/>
      <c r="S844" s="1390"/>
      <c r="T844" s="1390"/>
      <c r="U844" s="1390"/>
      <c r="V844" s="1390"/>
      <c r="W844" s="1390"/>
      <c r="X844" s="1390"/>
      <c r="Y844" s="1390"/>
      <c r="Z844" s="1390"/>
      <c r="AA844" s="1390"/>
      <c r="AB844" s="1390"/>
      <c r="AC844" s="1390"/>
      <c r="AD844" s="1390"/>
      <c r="AE844" s="1390"/>
      <c r="AF844" s="1390"/>
      <c r="AG844" s="1390"/>
      <c r="AH844" s="1390"/>
      <c r="AI844" s="1390"/>
      <c r="AJ844" s="1390"/>
      <c r="AK844" s="1390"/>
    </row>
    <row r="845" spans="3:37" ht="17.25" customHeight="1" x14ac:dyDescent="0.35">
      <c r="C845" s="1390"/>
      <c r="D845" s="1390"/>
      <c r="E845" s="1390"/>
      <c r="F845" s="1390"/>
      <c r="G845" s="1390"/>
      <c r="H845" s="1390"/>
      <c r="I845" s="1390"/>
      <c r="J845" s="1390"/>
      <c r="K845" s="1390"/>
      <c r="L845" s="1390"/>
      <c r="M845" s="1390"/>
      <c r="N845" s="1390"/>
      <c r="O845" s="1390"/>
      <c r="P845" s="1390"/>
      <c r="Q845" s="1390"/>
      <c r="R845" s="1390"/>
      <c r="S845" s="1390"/>
      <c r="T845" s="1390"/>
      <c r="U845" s="1390"/>
      <c r="V845" s="1390"/>
      <c r="W845" s="1390"/>
      <c r="X845" s="1390"/>
      <c r="Y845" s="1390"/>
      <c r="Z845" s="1390"/>
      <c r="AA845" s="1390"/>
      <c r="AB845" s="1390"/>
      <c r="AC845" s="1390"/>
      <c r="AD845" s="1390"/>
      <c r="AE845" s="1390"/>
      <c r="AF845" s="1390"/>
      <c r="AG845" s="1390"/>
      <c r="AH845" s="1390"/>
      <c r="AI845" s="1390"/>
      <c r="AJ845" s="1390"/>
      <c r="AK845" s="1390"/>
    </row>
    <row r="846" spans="3:37" ht="17.25" customHeight="1" x14ac:dyDescent="0.35">
      <c r="C846" s="1390"/>
      <c r="D846" s="1390"/>
      <c r="E846" s="1390"/>
      <c r="F846" s="1390"/>
      <c r="G846" s="1390"/>
      <c r="H846" s="1390"/>
      <c r="I846" s="1390"/>
      <c r="J846" s="1390"/>
      <c r="K846" s="1390"/>
      <c r="L846" s="1390"/>
      <c r="M846" s="1390"/>
      <c r="N846" s="1390"/>
      <c r="O846" s="1390"/>
      <c r="P846" s="1390"/>
      <c r="Q846" s="1390"/>
      <c r="R846" s="1390"/>
      <c r="S846" s="1390"/>
      <c r="T846" s="1390"/>
      <c r="U846" s="1390"/>
      <c r="V846" s="1390"/>
      <c r="W846" s="1390"/>
      <c r="X846" s="1390"/>
      <c r="Y846" s="1390"/>
      <c r="Z846" s="1390"/>
      <c r="AA846" s="1390"/>
      <c r="AB846" s="1390"/>
      <c r="AC846" s="1390"/>
      <c r="AD846" s="1390"/>
      <c r="AE846" s="1390"/>
      <c r="AF846" s="1390"/>
      <c r="AG846" s="1390"/>
      <c r="AH846" s="1390"/>
      <c r="AI846" s="1390"/>
      <c r="AJ846" s="1390"/>
      <c r="AK846" s="1390"/>
    </row>
    <row r="847" spans="3:37" ht="17.25" customHeight="1" x14ac:dyDescent="0.35">
      <c r="C847" s="1390"/>
      <c r="D847" s="1390"/>
      <c r="E847" s="1390"/>
      <c r="F847" s="1390"/>
      <c r="G847" s="1390"/>
      <c r="H847" s="1390"/>
      <c r="I847" s="1390"/>
      <c r="J847" s="1390"/>
      <c r="K847" s="1390"/>
      <c r="L847" s="1390"/>
      <c r="M847" s="1390"/>
      <c r="N847" s="1390"/>
      <c r="O847" s="1390"/>
      <c r="P847" s="1390"/>
      <c r="Q847" s="1390"/>
      <c r="R847" s="1390"/>
      <c r="S847" s="1390"/>
      <c r="T847" s="1390"/>
      <c r="U847" s="1390"/>
      <c r="V847" s="1390"/>
      <c r="W847" s="1390"/>
      <c r="X847" s="1390"/>
      <c r="Y847" s="1390"/>
      <c r="Z847" s="1390"/>
      <c r="AA847" s="1390"/>
      <c r="AB847" s="1390"/>
      <c r="AC847" s="1390"/>
      <c r="AD847" s="1390"/>
      <c r="AE847" s="1390"/>
      <c r="AF847" s="1390"/>
      <c r="AG847" s="1390"/>
      <c r="AH847" s="1390"/>
      <c r="AI847" s="1390"/>
      <c r="AJ847" s="1390"/>
      <c r="AK847" s="1390"/>
    </row>
    <row r="848" spans="3:37" ht="17.25" customHeight="1" x14ac:dyDescent="0.35">
      <c r="C848" s="1390"/>
      <c r="D848" s="1390"/>
      <c r="E848" s="1390"/>
      <c r="F848" s="1390"/>
      <c r="G848" s="1390"/>
      <c r="H848" s="1390"/>
      <c r="I848" s="1390"/>
      <c r="J848" s="1390"/>
      <c r="K848" s="1390"/>
      <c r="L848" s="1390"/>
      <c r="M848" s="1390"/>
      <c r="N848" s="1390"/>
      <c r="O848" s="1390"/>
      <c r="P848" s="1390"/>
      <c r="Q848" s="1390"/>
      <c r="R848" s="1390"/>
      <c r="S848" s="1390"/>
      <c r="T848" s="1390"/>
      <c r="U848" s="1390"/>
      <c r="V848" s="1390"/>
      <c r="W848" s="1390"/>
      <c r="X848" s="1390"/>
      <c r="Y848" s="1390"/>
      <c r="Z848" s="1390"/>
      <c r="AA848" s="1390"/>
      <c r="AB848" s="1390"/>
      <c r="AC848" s="1390"/>
      <c r="AD848" s="1390"/>
      <c r="AE848" s="1390"/>
      <c r="AF848" s="1390"/>
      <c r="AG848" s="1390"/>
      <c r="AH848" s="1390"/>
      <c r="AI848" s="1390"/>
      <c r="AJ848" s="1390"/>
      <c r="AK848" s="1390"/>
    </row>
    <row r="849" spans="3:37" ht="17.25" customHeight="1" x14ac:dyDescent="0.35">
      <c r="C849" s="1390"/>
      <c r="D849" s="1390"/>
      <c r="E849" s="1390"/>
      <c r="F849" s="1390"/>
      <c r="G849" s="1390"/>
      <c r="H849" s="1390"/>
      <c r="I849" s="1390"/>
      <c r="J849" s="1390"/>
      <c r="K849" s="1390"/>
      <c r="L849" s="1390"/>
      <c r="M849" s="1390"/>
      <c r="N849" s="1390"/>
      <c r="O849" s="1390"/>
      <c r="P849" s="1390"/>
      <c r="Q849" s="1390"/>
      <c r="R849" s="1390"/>
      <c r="S849" s="1390"/>
      <c r="T849" s="1390"/>
      <c r="U849" s="1390"/>
      <c r="V849" s="1390"/>
      <c r="W849" s="1390"/>
      <c r="X849" s="1390"/>
      <c r="Y849" s="1390"/>
      <c r="Z849" s="1390"/>
      <c r="AA849" s="1390"/>
      <c r="AB849" s="1390"/>
      <c r="AC849" s="1390"/>
      <c r="AD849" s="1390"/>
      <c r="AE849" s="1390"/>
      <c r="AF849" s="1390"/>
      <c r="AG849" s="1390"/>
      <c r="AH849" s="1390"/>
      <c r="AI849" s="1390"/>
      <c r="AJ849" s="1390"/>
      <c r="AK849" s="1390"/>
    </row>
    <row r="850" spans="3:37" ht="17.25" customHeight="1" x14ac:dyDescent="0.35">
      <c r="C850" s="1390"/>
      <c r="D850" s="1390"/>
      <c r="E850" s="1390"/>
      <c r="F850" s="1390"/>
      <c r="G850" s="1390"/>
      <c r="H850" s="1390"/>
      <c r="I850" s="1390"/>
      <c r="J850" s="1390"/>
      <c r="K850" s="1390"/>
      <c r="L850" s="1390"/>
      <c r="M850" s="1390"/>
      <c r="N850" s="1390"/>
      <c r="O850" s="1390"/>
      <c r="P850" s="1390"/>
      <c r="Q850" s="1390"/>
      <c r="R850" s="1390"/>
      <c r="S850" s="1390"/>
      <c r="T850" s="1390"/>
      <c r="U850" s="1390"/>
      <c r="V850" s="1390"/>
      <c r="W850" s="1390"/>
      <c r="X850" s="1390"/>
      <c r="Y850" s="1390"/>
      <c r="Z850" s="1390"/>
      <c r="AA850" s="1390"/>
      <c r="AB850" s="1390"/>
      <c r="AC850" s="1390"/>
      <c r="AD850" s="1390"/>
      <c r="AE850" s="1390"/>
      <c r="AF850" s="1390"/>
      <c r="AG850" s="1390"/>
      <c r="AH850" s="1390"/>
      <c r="AI850" s="1390"/>
      <c r="AJ850" s="1390"/>
      <c r="AK850" s="1390"/>
    </row>
    <row r="851" spans="3:37" ht="17.25" customHeight="1" x14ac:dyDescent="0.35">
      <c r="C851" s="1390"/>
      <c r="D851" s="1390"/>
      <c r="E851" s="1390"/>
      <c r="F851" s="1390"/>
      <c r="G851" s="1390"/>
      <c r="H851" s="1390"/>
      <c r="I851" s="1390"/>
      <c r="J851" s="1390"/>
      <c r="K851" s="1390"/>
      <c r="L851" s="1390"/>
      <c r="M851" s="1390"/>
      <c r="N851" s="1390"/>
      <c r="O851" s="1390"/>
      <c r="P851" s="1390"/>
      <c r="Q851" s="1390"/>
      <c r="R851" s="1390"/>
      <c r="S851" s="1390"/>
      <c r="T851" s="1390"/>
      <c r="U851" s="1390"/>
      <c r="V851" s="1390"/>
      <c r="W851" s="1390"/>
      <c r="X851" s="1390"/>
      <c r="Y851" s="1390"/>
      <c r="Z851" s="1390"/>
      <c r="AA851" s="1390"/>
      <c r="AB851" s="1390"/>
      <c r="AC851" s="1390"/>
      <c r="AD851" s="1390"/>
      <c r="AE851" s="1390"/>
      <c r="AF851" s="1390"/>
      <c r="AG851" s="1390"/>
      <c r="AH851" s="1390"/>
      <c r="AI851" s="1390"/>
      <c r="AJ851" s="1390"/>
      <c r="AK851" s="1390"/>
    </row>
    <row r="852" spans="3:37" ht="17.25" customHeight="1" x14ac:dyDescent="0.35">
      <c r="C852" s="1390"/>
      <c r="D852" s="1390"/>
      <c r="E852" s="1390"/>
      <c r="F852" s="1390"/>
      <c r="G852" s="1390"/>
      <c r="H852" s="1390"/>
      <c r="I852" s="1390"/>
      <c r="J852" s="1390"/>
      <c r="K852" s="1390"/>
      <c r="L852" s="1390"/>
      <c r="M852" s="1390"/>
      <c r="N852" s="1390"/>
      <c r="O852" s="1390"/>
      <c r="P852" s="1390"/>
      <c r="Q852" s="1390"/>
      <c r="R852" s="1390"/>
      <c r="S852" s="1390"/>
      <c r="T852" s="1390"/>
      <c r="U852" s="1390"/>
      <c r="V852" s="1390"/>
      <c r="W852" s="1390"/>
      <c r="X852" s="1390"/>
      <c r="Y852" s="1390"/>
      <c r="Z852" s="1390"/>
      <c r="AA852" s="1390"/>
      <c r="AB852" s="1390"/>
      <c r="AC852" s="1390"/>
      <c r="AD852" s="1390"/>
      <c r="AE852" s="1390"/>
      <c r="AF852" s="1390"/>
      <c r="AG852" s="1390"/>
      <c r="AH852" s="1390"/>
      <c r="AI852" s="1390"/>
      <c r="AJ852" s="1390"/>
      <c r="AK852" s="1390"/>
    </row>
    <row r="853" spans="3:37" ht="17.25" customHeight="1" x14ac:dyDescent="0.35">
      <c r="C853" s="1390"/>
      <c r="D853" s="1390"/>
      <c r="E853" s="1390"/>
      <c r="F853" s="1390"/>
      <c r="G853" s="1390"/>
      <c r="H853" s="1390"/>
      <c r="I853" s="1390"/>
      <c r="J853" s="1390"/>
      <c r="K853" s="1390"/>
      <c r="L853" s="1390"/>
      <c r="M853" s="1390"/>
      <c r="N853" s="1390"/>
      <c r="O853" s="1390"/>
      <c r="P853" s="1390"/>
      <c r="Q853" s="1390"/>
      <c r="R853" s="1390"/>
      <c r="S853" s="1390"/>
      <c r="T853" s="1390"/>
      <c r="U853" s="1390"/>
      <c r="V853" s="1390"/>
      <c r="W853" s="1390"/>
      <c r="X853" s="1390"/>
      <c r="Y853" s="1390"/>
      <c r="Z853" s="1390"/>
      <c r="AA853" s="1390"/>
      <c r="AB853" s="1390"/>
      <c r="AC853" s="1390"/>
      <c r="AD853" s="1390"/>
      <c r="AE853" s="1390"/>
      <c r="AF853" s="1390"/>
      <c r="AG853" s="1390"/>
      <c r="AH853" s="1390"/>
      <c r="AI853" s="1390"/>
      <c r="AJ853" s="1390"/>
      <c r="AK853" s="1390"/>
    </row>
    <row r="854" spans="3:37" ht="17.25" customHeight="1" x14ac:dyDescent="0.35">
      <c r="C854" s="1390"/>
      <c r="D854" s="1390"/>
      <c r="E854" s="1390"/>
      <c r="F854" s="1390"/>
      <c r="G854" s="1390"/>
      <c r="H854" s="1390"/>
      <c r="I854" s="1390"/>
      <c r="J854" s="1390"/>
      <c r="K854" s="1390"/>
      <c r="L854" s="1390"/>
      <c r="M854" s="1390"/>
      <c r="N854" s="1390"/>
      <c r="O854" s="1390"/>
      <c r="P854" s="1390"/>
      <c r="Q854" s="1390"/>
      <c r="R854" s="1390"/>
      <c r="S854" s="1390"/>
      <c r="T854" s="1390"/>
      <c r="U854" s="1390"/>
      <c r="V854" s="1390"/>
      <c r="W854" s="1390"/>
      <c r="X854" s="1390"/>
      <c r="Y854" s="1390"/>
      <c r="Z854" s="1390"/>
      <c r="AA854" s="1390"/>
      <c r="AB854" s="1390"/>
      <c r="AC854" s="1390"/>
      <c r="AD854" s="1390"/>
      <c r="AE854" s="1390"/>
      <c r="AF854" s="1390"/>
      <c r="AG854" s="1390"/>
      <c r="AH854" s="1390"/>
      <c r="AI854" s="1390"/>
      <c r="AJ854" s="1390"/>
      <c r="AK854" s="1390"/>
    </row>
    <row r="855" spans="3:37" ht="17.25" customHeight="1" x14ac:dyDescent="0.35">
      <c r="C855" s="1390"/>
      <c r="D855" s="1390"/>
      <c r="E855" s="1390"/>
      <c r="F855" s="1390"/>
      <c r="G855" s="1390"/>
      <c r="H855" s="1390"/>
      <c r="I855" s="1390"/>
      <c r="J855" s="1390"/>
      <c r="K855" s="1390"/>
      <c r="L855" s="1390"/>
      <c r="M855" s="1390"/>
      <c r="N855" s="1390"/>
      <c r="O855" s="1390"/>
      <c r="P855" s="1390"/>
      <c r="Q855" s="1390"/>
      <c r="R855" s="1390"/>
      <c r="S855" s="1390"/>
      <c r="T855" s="1390"/>
      <c r="U855" s="1390"/>
      <c r="V855" s="1390"/>
      <c r="W855" s="1390"/>
      <c r="X855" s="1390"/>
      <c r="Y855" s="1390"/>
      <c r="Z855" s="1390"/>
      <c r="AA855" s="1390"/>
      <c r="AB855" s="1390"/>
      <c r="AC855" s="1390"/>
      <c r="AD855" s="1390"/>
      <c r="AE855" s="1390"/>
      <c r="AF855" s="1390"/>
      <c r="AG855" s="1390"/>
      <c r="AH855" s="1390"/>
      <c r="AI855" s="1390"/>
      <c r="AJ855" s="1390"/>
      <c r="AK855" s="1390"/>
    </row>
    <row r="856" spans="3:37" ht="17.25" customHeight="1" x14ac:dyDescent="0.35">
      <c r="C856" s="1390"/>
      <c r="D856" s="1390"/>
      <c r="E856" s="1390"/>
      <c r="F856" s="1390"/>
      <c r="G856" s="1390"/>
      <c r="H856" s="1390"/>
      <c r="I856" s="1390"/>
      <c r="J856" s="1390"/>
      <c r="K856" s="1390"/>
      <c r="L856" s="1390"/>
      <c r="M856" s="1390"/>
      <c r="N856" s="1390"/>
      <c r="O856" s="1390"/>
      <c r="P856" s="1390"/>
      <c r="Q856" s="1390"/>
      <c r="R856" s="1390"/>
      <c r="S856" s="1390"/>
      <c r="T856" s="1390"/>
      <c r="U856" s="1390"/>
      <c r="V856" s="1390"/>
      <c r="W856" s="1390"/>
      <c r="X856" s="1390"/>
      <c r="Y856" s="1390"/>
      <c r="Z856" s="1390"/>
      <c r="AA856" s="1390"/>
      <c r="AB856" s="1390"/>
      <c r="AC856" s="1390"/>
      <c r="AD856" s="1390"/>
      <c r="AE856" s="1390"/>
      <c r="AF856" s="1390"/>
      <c r="AG856" s="1390"/>
      <c r="AH856" s="1390"/>
      <c r="AI856" s="1390"/>
      <c r="AJ856" s="1390"/>
      <c r="AK856" s="1390"/>
    </row>
    <row r="857" spans="3:37" ht="17.25" customHeight="1" x14ac:dyDescent="0.35">
      <c r="C857" s="1390"/>
      <c r="D857" s="1390"/>
      <c r="E857" s="1390"/>
      <c r="F857" s="1390"/>
      <c r="G857" s="1390"/>
      <c r="H857" s="1390"/>
      <c r="I857" s="1390"/>
      <c r="J857" s="1390"/>
      <c r="K857" s="1390"/>
      <c r="L857" s="1390"/>
      <c r="M857" s="1390"/>
      <c r="N857" s="1390"/>
      <c r="O857" s="1390"/>
      <c r="P857" s="1390"/>
      <c r="Q857" s="1390"/>
      <c r="R857" s="1390"/>
      <c r="S857" s="1390"/>
      <c r="T857" s="1390"/>
      <c r="U857" s="1390"/>
      <c r="V857" s="1390"/>
      <c r="W857" s="1390"/>
      <c r="X857" s="1390"/>
      <c r="Y857" s="1390"/>
      <c r="Z857" s="1390"/>
      <c r="AA857" s="1390"/>
      <c r="AB857" s="1390"/>
      <c r="AC857" s="1390"/>
      <c r="AD857" s="1390"/>
      <c r="AE857" s="1390"/>
      <c r="AF857" s="1390"/>
      <c r="AG857" s="1390"/>
      <c r="AH857" s="1390"/>
      <c r="AI857" s="1390"/>
      <c r="AJ857" s="1390"/>
      <c r="AK857" s="1390"/>
    </row>
    <row r="858" spans="3:37" ht="17.25" customHeight="1" x14ac:dyDescent="0.35">
      <c r="C858" s="1390"/>
      <c r="D858" s="1390"/>
      <c r="E858" s="1390"/>
      <c r="F858" s="1390"/>
      <c r="G858" s="1390"/>
      <c r="H858" s="1390"/>
      <c r="I858" s="1390"/>
      <c r="J858" s="1390"/>
      <c r="K858" s="1390"/>
      <c r="L858" s="1390"/>
      <c r="M858" s="1390"/>
      <c r="N858" s="1390"/>
      <c r="O858" s="1390"/>
      <c r="P858" s="1390"/>
      <c r="Q858" s="1390"/>
      <c r="R858" s="1390"/>
      <c r="S858" s="1390"/>
      <c r="T858" s="1390"/>
      <c r="U858" s="1390"/>
      <c r="V858" s="1390"/>
      <c r="W858" s="1390"/>
      <c r="X858" s="1390"/>
      <c r="Y858" s="1390"/>
      <c r="Z858" s="1390"/>
      <c r="AA858" s="1390"/>
      <c r="AB858" s="1390"/>
      <c r="AC858" s="1390"/>
      <c r="AD858" s="1390"/>
      <c r="AE858" s="1390"/>
      <c r="AF858" s="1390"/>
      <c r="AG858" s="1390"/>
      <c r="AH858" s="1390"/>
      <c r="AI858" s="1390"/>
      <c r="AJ858" s="1390"/>
      <c r="AK858" s="1390"/>
    </row>
    <row r="859" spans="3:37" ht="17.25" customHeight="1" x14ac:dyDescent="0.35">
      <c r="C859" s="1390"/>
      <c r="D859" s="1390"/>
      <c r="E859" s="1390"/>
      <c r="F859" s="1390"/>
      <c r="G859" s="1390"/>
      <c r="H859" s="1390"/>
      <c r="I859" s="1390"/>
      <c r="J859" s="1390"/>
      <c r="K859" s="1390"/>
      <c r="L859" s="1390"/>
      <c r="M859" s="1390"/>
      <c r="N859" s="1390"/>
      <c r="O859" s="1390"/>
      <c r="P859" s="1390"/>
      <c r="Q859" s="1390"/>
      <c r="R859" s="1390"/>
      <c r="S859" s="1390"/>
      <c r="T859" s="1390"/>
      <c r="U859" s="1390"/>
      <c r="V859" s="1390"/>
      <c r="W859" s="1390"/>
      <c r="X859" s="1390"/>
      <c r="Y859" s="1390"/>
      <c r="Z859" s="1390"/>
      <c r="AA859" s="1390"/>
      <c r="AB859" s="1390"/>
      <c r="AC859" s="1390"/>
      <c r="AD859" s="1390"/>
      <c r="AE859" s="1390"/>
      <c r="AF859" s="1390"/>
      <c r="AG859" s="1390"/>
      <c r="AH859" s="1390"/>
      <c r="AI859" s="1390"/>
      <c r="AJ859" s="1390"/>
      <c r="AK859" s="1390"/>
    </row>
    <row r="860" spans="3:37" ht="17.25" customHeight="1" x14ac:dyDescent="0.35">
      <c r="C860" s="1390"/>
      <c r="D860" s="1390"/>
      <c r="E860" s="1390"/>
      <c r="F860" s="1390"/>
      <c r="G860" s="1390"/>
      <c r="H860" s="1390"/>
      <c r="I860" s="1390"/>
      <c r="J860" s="1390"/>
      <c r="K860" s="1390"/>
      <c r="L860" s="1390"/>
      <c r="M860" s="1390"/>
      <c r="N860" s="1390"/>
      <c r="O860" s="1390"/>
      <c r="P860" s="1390"/>
      <c r="Q860" s="1390"/>
      <c r="R860" s="1390"/>
      <c r="S860" s="1390"/>
      <c r="T860" s="1390"/>
      <c r="U860" s="1390"/>
      <c r="V860" s="1390"/>
      <c r="W860" s="1390"/>
      <c r="X860" s="1390"/>
      <c r="Y860" s="1390"/>
      <c r="Z860" s="1390"/>
      <c r="AA860" s="1390"/>
      <c r="AB860" s="1390"/>
      <c r="AC860" s="1390"/>
      <c r="AD860" s="1390"/>
      <c r="AE860" s="1390"/>
      <c r="AF860" s="1390"/>
      <c r="AG860" s="1390"/>
      <c r="AH860" s="1390"/>
      <c r="AI860" s="1390"/>
      <c r="AJ860" s="1390"/>
      <c r="AK860" s="1390"/>
    </row>
    <row r="861" spans="3:37" ht="17.25" customHeight="1" x14ac:dyDescent="0.35">
      <c r="C861" s="1390"/>
      <c r="D861" s="1390"/>
      <c r="E861" s="1390"/>
      <c r="F861" s="1390"/>
      <c r="G861" s="1390"/>
      <c r="H861" s="1390"/>
      <c r="I861" s="1390"/>
      <c r="J861" s="1390"/>
      <c r="K861" s="1390"/>
      <c r="L861" s="1390"/>
      <c r="M861" s="1390"/>
      <c r="N861" s="1390"/>
      <c r="O861" s="1390"/>
      <c r="P861" s="1390"/>
      <c r="Q861" s="1390"/>
      <c r="R861" s="1390"/>
      <c r="S861" s="1390"/>
      <c r="T861" s="1390"/>
      <c r="U861" s="1390"/>
      <c r="V861" s="1390"/>
      <c r="W861" s="1390"/>
      <c r="X861" s="1390"/>
      <c r="Y861" s="1390"/>
      <c r="Z861" s="1390"/>
      <c r="AA861" s="1390"/>
      <c r="AB861" s="1390"/>
      <c r="AC861" s="1390"/>
      <c r="AD861" s="1390"/>
      <c r="AE861" s="1390"/>
      <c r="AF861" s="1390"/>
      <c r="AG861" s="1390"/>
      <c r="AH861" s="1390"/>
      <c r="AI861" s="1390"/>
      <c r="AJ861" s="1390"/>
      <c r="AK861" s="1390"/>
    </row>
    <row r="862" spans="3:37" ht="17.25" customHeight="1" x14ac:dyDescent="0.35">
      <c r="C862" s="1390"/>
      <c r="D862" s="1390"/>
      <c r="E862" s="1390"/>
      <c r="F862" s="1390"/>
      <c r="G862" s="1390"/>
      <c r="H862" s="1390"/>
      <c r="I862" s="1390"/>
      <c r="J862" s="1390"/>
      <c r="K862" s="1390"/>
      <c r="L862" s="1390"/>
      <c r="M862" s="1390"/>
      <c r="N862" s="1390"/>
      <c r="O862" s="1390"/>
      <c r="P862" s="1390"/>
      <c r="Q862" s="1390"/>
      <c r="R862" s="1390"/>
      <c r="S862" s="1390"/>
      <c r="T862" s="1390"/>
      <c r="U862" s="1390"/>
      <c r="V862" s="1390"/>
      <c r="W862" s="1390"/>
      <c r="X862" s="1390"/>
      <c r="Y862" s="1390"/>
      <c r="Z862" s="1390"/>
      <c r="AA862" s="1390"/>
      <c r="AB862" s="1390"/>
      <c r="AC862" s="1390"/>
      <c r="AD862" s="1390"/>
      <c r="AE862" s="1390"/>
      <c r="AF862" s="1390"/>
      <c r="AG862" s="1390"/>
      <c r="AH862" s="1390"/>
      <c r="AI862" s="1390"/>
      <c r="AJ862" s="1390"/>
      <c r="AK862" s="1390"/>
    </row>
    <row r="863" spans="3:37" ht="17.25" customHeight="1" x14ac:dyDescent="0.35">
      <c r="C863" s="1390"/>
      <c r="D863" s="1390"/>
      <c r="E863" s="1390"/>
      <c r="F863" s="1390"/>
      <c r="G863" s="1390"/>
      <c r="H863" s="1390"/>
      <c r="I863" s="1390"/>
      <c r="J863" s="1390"/>
      <c r="K863" s="1390"/>
      <c r="L863" s="1390"/>
      <c r="M863" s="1390"/>
      <c r="N863" s="1390"/>
      <c r="O863" s="1390"/>
      <c r="P863" s="1390"/>
      <c r="Q863" s="1390"/>
      <c r="R863" s="1390"/>
      <c r="S863" s="1390"/>
      <c r="T863" s="1390"/>
      <c r="U863" s="1390"/>
      <c r="V863" s="1390"/>
      <c r="W863" s="1390"/>
      <c r="X863" s="1390"/>
      <c r="Y863" s="1390"/>
      <c r="Z863" s="1390"/>
      <c r="AA863" s="1390"/>
      <c r="AB863" s="1390"/>
      <c r="AC863" s="1390"/>
      <c r="AD863" s="1390"/>
      <c r="AE863" s="1390"/>
      <c r="AF863" s="1390"/>
      <c r="AG863" s="1390"/>
      <c r="AH863" s="1390"/>
      <c r="AI863" s="1390"/>
      <c r="AJ863" s="1390"/>
      <c r="AK863" s="1390"/>
    </row>
    <row r="864" spans="3:37" ht="17.25" customHeight="1" x14ac:dyDescent="0.35">
      <c r="C864" s="1390"/>
      <c r="D864" s="1390"/>
      <c r="E864" s="1390"/>
      <c r="F864" s="1390"/>
      <c r="G864" s="1390"/>
      <c r="H864" s="1390"/>
      <c r="I864" s="1390"/>
      <c r="J864" s="1390"/>
      <c r="K864" s="1390"/>
      <c r="L864" s="1390"/>
      <c r="M864" s="1390"/>
      <c r="N864" s="1390"/>
      <c r="O864" s="1390"/>
      <c r="P864" s="1390"/>
      <c r="Q864" s="1390"/>
      <c r="R864" s="1390"/>
      <c r="S864" s="1390"/>
      <c r="T864" s="1390"/>
      <c r="U864" s="1390"/>
      <c r="V864" s="1390"/>
      <c r="W864" s="1390"/>
      <c r="X864" s="1390"/>
      <c r="Y864" s="1390"/>
      <c r="Z864" s="1390"/>
      <c r="AA864" s="1390"/>
      <c r="AB864" s="1390"/>
      <c r="AC864" s="1390"/>
      <c r="AD864" s="1390"/>
      <c r="AE864" s="1390"/>
      <c r="AF864" s="1390"/>
      <c r="AG864" s="1390"/>
      <c r="AH864" s="1390"/>
      <c r="AI864" s="1390"/>
      <c r="AJ864" s="1390"/>
      <c r="AK864" s="1390"/>
    </row>
    <row r="865" spans="3:37" ht="17.25" customHeight="1" x14ac:dyDescent="0.35">
      <c r="C865" s="1390"/>
      <c r="D865" s="1390"/>
      <c r="E865" s="1390"/>
      <c r="F865" s="1390"/>
      <c r="G865" s="1390"/>
      <c r="H865" s="1390"/>
      <c r="I865" s="1390"/>
      <c r="J865" s="1390"/>
      <c r="K865" s="1390"/>
      <c r="L865" s="1390"/>
      <c r="M865" s="1390"/>
      <c r="N865" s="1390"/>
      <c r="O865" s="1390"/>
      <c r="P865" s="1390"/>
      <c r="Q865" s="1390"/>
      <c r="R865" s="1390"/>
      <c r="S865" s="1390"/>
      <c r="T865" s="1390"/>
      <c r="U865" s="1390"/>
      <c r="V865" s="1390"/>
      <c r="W865" s="1390"/>
      <c r="X865" s="1390"/>
      <c r="Y865" s="1390"/>
      <c r="Z865" s="1390"/>
      <c r="AA865" s="1390"/>
      <c r="AB865" s="1390"/>
      <c r="AC865" s="1390"/>
      <c r="AD865" s="1390"/>
      <c r="AE865" s="1390"/>
      <c r="AF865" s="1390"/>
      <c r="AG865" s="1390"/>
      <c r="AH865" s="1390"/>
      <c r="AI865" s="1390"/>
      <c r="AJ865" s="1390"/>
      <c r="AK865" s="1390"/>
    </row>
    <row r="866" spans="3:37" ht="17.25" customHeight="1" x14ac:dyDescent="0.35">
      <c r="C866" s="1390"/>
      <c r="D866" s="1390"/>
      <c r="E866" s="1390"/>
      <c r="F866" s="1390"/>
      <c r="G866" s="1390"/>
      <c r="H866" s="1390"/>
      <c r="I866" s="1390"/>
      <c r="J866" s="1390"/>
      <c r="K866" s="1390"/>
      <c r="L866" s="1390"/>
      <c r="M866" s="1390"/>
      <c r="N866" s="1390"/>
      <c r="O866" s="1390"/>
      <c r="P866" s="1390"/>
      <c r="Q866" s="1390"/>
      <c r="R866" s="1390"/>
      <c r="S866" s="1390"/>
      <c r="T866" s="1390"/>
      <c r="U866" s="1390"/>
      <c r="V866" s="1390"/>
      <c r="W866" s="1390"/>
      <c r="X866" s="1390"/>
      <c r="Y866" s="1390"/>
      <c r="Z866" s="1390"/>
      <c r="AA866" s="1390"/>
      <c r="AB866" s="1390"/>
      <c r="AC866" s="1390"/>
      <c r="AD866" s="1390"/>
      <c r="AE866" s="1390"/>
      <c r="AF866" s="1390"/>
      <c r="AG866" s="1390"/>
      <c r="AH866" s="1390"/>
      <c r="AI866" s="1390"/>
      <c r="AJ866" s="1390"/>
      <c r="AK866" s="1390"/>
    </row>
    <row r="867" spans="3:37" ht="17.25" customHeight="1" x14ac:dyDescent="0.35">
      <c r="C867" s="1390"/>
      <c r="D867" s="1390"/>
      <c r="E867" s="1390"/>
      <c r="F867" s="1390"/>
      <c r="G867" s="1390"/>
      <c r="H867" s="1390"/>
      <c r="I867" s="1390"/>
      <c r="J867" s="1390"/>
      <c r="K867" s="1390"/>
      <c r="L867" s="1390"/>
      <c r="M867" s="1390"/>
      <c r="N867" s="1390"/>
      <c r="O867" s="1390"/>
      <c r="P867" s="1390"/>
      <c r="Q867" s="1390"/>
      <c r="R867" s="1390"/>
      <c r="S867" s="1390"/>
      <c r="T867" s="1390"/>
      <c r="U867" s="1390"/>
      <c r="V867" s="1390"/>
      <c r="W867" s="1390"/>
      <c r="X867" s="1390"/>
      <c r="Y867" s="1390"/>
      <c r="Z867" s="1390"/>
      <c r="AA867" s="1390"/>
      <c r="AB867" s="1390"/>
      <c r="AC867" s="1390"/>
      <c r="AD867" s="1390"/>
      <c r="AE867" s="1390"/>
      <c r="AF867" s="1390"/>
      <c r="AG867" s="1390"/>
      <c r="AH867" s="1390"/>
      <c r="AI867" s="1390"/>
      <c r="AJ867" s="1390"/>
      <c r="AK867" s="1390"/>
    </row>
    <row r="868" spans="3:37" ht="17.25" customHeight="1" x14ac:dyDescent="0.35">
      <c r="C868" s="1390"/>
      <c r="D868" s="1390"/>
      <c r="E868" s="1390"/>
      <c r="F868" s="1390"/>
      <c r="G868" s="1390"/>
      <c r="H868" s="1390"/>
      <c r="I868" s="1390"/>
      <c r="J868" s="1390"/>
      <c r="K868" s="1390"/>
      <c r="L868" s="1390"/>
      <c r="M868" s="1390"/>
      <c r="N868" s="1390"/>
      <c r="O868" s="1390"/>
      <c r="P868" s="1390"/>
      <c r="Q868" s="1390"/>
      <c r="R868" s="1390"/>
      <c r="S868" s="1390"/>
      <c r="T868" s="1390"/>
      <c r="U868" s="1390"/>
      <c r="V868" s="1390"/>
      <c r="W868" s="1390"/>
      <c r="X868" s="1390"/>
      <c r="Y868" s="1390"/>
      <c r="Z868" s="1390"/>
      <c r="AA868" s="1390"/>
      <c r="AB868" s="1390"/>
      <c r="AC868" s="1390"/>
      <c r="AD868" s="1390"/>
      <c r="AE868" s="1390"/>
      <c r="AF868" s="1390"/>
      <c r="AG868" s="1390"/>
      <c r="AH868" s="1390"/>
      <c r="AI868" s="1390"/>
      <c r="AJ868" s="1390"/>
      <c r="AK868" s="1390"/>
    </row>
    <row r="869" spans="3:37" ht="17.25" customHeight="1" x14ac:dyDescent="0.35">
      <c r="C869" s="1390"/>
      <c r="D869" s="1390"/>
      <c r="E869" s="1390"/>
      <c r="F869" s="1390"/>
      <c r="G869" s="1390"/>
      <c r="H869" s="1390"/>
      <c r="I869" s="1390"/>
      <c r="J869" s="1390"/>
      <c r="K869" s="1390"/>
      <c r="L869" s="1390"/>
      <c r="M869" s="1390"/>
      <c r="N869" s="1390"/>
      <c r="O869" s="1390"/>
      <c r="P869" s="1390"/>
      <c r="Q869" s="1390"/>
      <c r="R869" s="1390"/>
      <c r="S869" s="1390"/>
      <c r="T869" s="1390"/>
      <c r="U869" s="1390"/>
      <c r="V869" s="1390"/>
      <c r="W869" s="1390"/>
      <c r="X869" s="1390"/>
      <c r="Y869" s="1390"/>
      <c r="Z869" s="1390"/>
      <c r="AA869" s="1390"/>
      <c r="AB869" s="1390"/>
      <c r="AC869" s="1390"/>
      <c r="AD869" s="1390"/>
      <c r="AE869" s="1390"/>
      <c r="AF869" s="1390"/>
      <c r="AG869" s="1390"/>
      <c r="AH869" s="1390"/>
      <c r="AI869" s="1390"/>
      <c r="AJ869" s="1390"/>
      <c r="AK869" s="1390"/>
    </row>
    <row r="870" spans="3:37" ht="17.25" customHeight="1" x14ac:dyDescent="0.35">
      <c r="C870" s="1390"/>
      <c r="D870" s="1390"/>
      <c r="E870" s="1390"/>
      <c r="F870" s="1390"/>
      <c r="G870" s="1390"/>
      <c r="H870" s="1390"/>
      <c r="I870" s="1390"/>
      <c r="J870" s="1390"/>
      <c r="K870" s="1390"/>
      <c r="L870" s="1390"/>
      <c r="M870" s="1390"/>
      <c r="N870" s="1390"/>
      <c r="O870" s="1390"/>
      <c r="P870" s="1390"/>
      <c r="Q870" s="1390"/>
      <c r="R870" s="1390"/>
      <c r="S870" s="1390"/>
      <c r="T870" s="1390"/>
      <c r="U870" s="1390"/>
      <c r="V870" s="1390"/>
      <c r="W870" s="1390"/>
      <c r="X870" s="1390"/>
      <c r="Y870" s="1390"/>
      <c r="Z870" s="1390"/>
      <c r="AA870" s="1390"/>
      <c r="AB870" s="1390"/>
      <c r="AC870" s="1390"/>
      <c r="AD870" s="1390"/>
      <c r="AE870" s="1390"/>
      <c r="AF870" s="1390"/>
      <c r="AG870" s="1390"/>
      <c r="AH870" s="1390"/>
      <c r="AI870" s="1390"/>
      <c r="AJ870" s="1390"/>
      <c r="AK870" s="1390"/>
    </row>
    <row r="871" spans="3:37" ht="17.25" customHeight="1" x14ac:dyDescent="0.35">
      <c r="C871" s="1390"/>
      <c r="D871" s="1390"/>
      <c r="E871" s="1390"/>
      <c r="F871" s="1390"/>
      <c r="G871" s="1390"/>
      <c r="H871" s="1390"/>
      <c r="I871" s="1390"/>
      <c r="J871" s="1390"/>
      <c r="K871" s="1390"/>
      <c r="L871" s="1390"/>
      <c r="M871" s="1390"/>
      <c r="N871" s="1390"/>
      <c r="O871" s="1390"/>
      <c r="P871" s="1390"/>
      <c r="Q871" s="1390"/>
      <c r="R871" s="1390"/>
      <c r="S871" s="1390"/>
      <c r="T871" s="1390"/>
      <c r="U871" s="1390"/>
      <c r="V871" s="1390"/>
      <c r="W871" s="1390"/>
      <c r="X871" s="1390"/>
      <c r="Y871" s="1390"/>
      <c r="Z871" s="1390"/>
      <c r="AA871" s="1390"/>
      <c r="AB871" s="1390"/>
      <c r="AC871" s="1390"/>
      <c r="AD871" s="1390"/>
      <c r="AE871" s="1390"/>
      <c r="AF871" s="1390"/>
      <c r="AG871" s="1390"/>
      <c r="AH871" s="1390"/>
      <c r="AI871" s="1390"/>
      <c r="AJ871" s="1390"/>
      <c r="AK871" s="1390"/>
    </row>
    <row r="872" spans="3:37" ht="17.25" customHeight="1" x14ac:dyDescent="0.35">
      <c r="C872" s="1390"/>
      <c r="D872" s="1390"/>
      <c r="E872" s="1390"/>
      <c r="F872" s="1390"/>
      <c r="G872" s="1390"/>
      <c r="H872" s="1390"/>
      <c r="I872" s="1390"/>
      <c r="J872" s="1390"/>
      <c r="K872" s="1390"/>
      <c r="L872" s="1390"/>
      <c r="M872" s="1390"/>
      <c r="N872" s="1390"/>
      <c r="O872" s="1390"/>
      <c r="P872" s="1390"/>
      <c r="Q872" s="1390"/>
      <c r="R872" s="1390"/>
      <c r="S872" s="1390"/>
      <c r="T872" s="1390"/>
      <c r="U872" s="1390"/>
      <c r="V872" s="1390"/>
      <c r="W872" s="1390"/>
      <c r="X872" s="1390"/>
      <c r="Y872" s="1390"/>
      <c r="Z872" s="1390"/>
      <c r="AA872" s="1390"/>
      <c r="AB872" s="1390"/>
      <c r="AC872" s="1390"/>
      <c r="AD872" s="1390"/>
      <c r="AE872" s="1390"/>
      <c r="AF872" s="1390"/>
      <c r="AG872" s="1390"/>
      <c r="AH872" s="1390"/>
      <c r="AI872" s="1390"/>
      <c r="AJ872" s="1390"/>
      <c r="AK872" s="1390"/>
    </row>
    <row r="873" spans="3:37" ht="17.25" customHeight="1" x14ac:dyDescent="0.35">
      <c r="C873" s="1390"/>
      <c r="D873" s="1390"/>
      <c r="E873" s="1390"/>
      <c r="F873" s="1390"/>
      <c r="G873" s="1390"/>
      <c r="H873" s="1390"/>
      <c r="I873" s="1390"/>
      <c r="J873" s="1390"/>
      <c r="K873" s="1390"/>
      <c r="L873" s="1390"/>
      <c r="M873" s="1390"/>
      <c r="N873" s="1390"/>
      <c r="O873" s="1390"/>
      <c r="P873" s="1390"/>
      <c r="Q873" s="1390"/>
      <c r="R873" s="1390"/>
      <c r="S873" s="1390"/>
      <c r="T873" s="1390"/>
      <c r="U873" s="1390"/>
      <c r="V873" s="1390"/>
      <c r="W873" s="1390"/>
      <c r="X873" s="1390"/>
      <c r="Y873" s="1390"/>
      <c r="Z873" s="1390"/>
      <c r="AA873" s="1390"/>
      <c r="AB873" s="1390"/>
      <c r="AC873" s="1390"/>
      <c r="AD873" s="1390"/>
      <c r="AE873" s="1390"/>
      <c r="AF873" s="1390"/>
      <c r="AG873" s="1390"/>
      <c r="AH873" s="1390"/>
      <c r="AI873" s="1390"/>
      <c r="AJ873" s="1390"/>
      <c r="AK873" s="1390"/>
    </row>
    <row r="874" spans="3:37" ht="17.25" customHeight="1" x14ac:dyDescent="0.35">
      <c r="C874" s="1390"/>
      <c r="D874" s="1390"/>
      <c r="E874" s="1390"/>
      <c r="F874" s="1390"/>
      <c r="G874" s="1390"/>
      <c r="H874" s="1390"/>
      <c r="I874" s="1390"/>
      <c r="J874" s="1390"/>
      <c r="K874" s="1390"/>
      <c r="L874" s="1390"/>
      <c r="M874" s="1390"/>
      <c r="N874" s="1390"/>
      <c r="O874" s="1390"/>
      <c r="P874" s="1390"/>
      <c r="Q874" s="1390"/>
      <c r="R874" s="1390"/>
      <c r="S874" s="1390"/>
      <c r="T874" s="1390"/>
      <c r="U874" s="1390"/>
      <c r="V874" s="1390"/>
      <c r="W874" s="1390"/>
      <c r="X874" s="1390"/>
      <c r="Y874" s="1390"/>
      <c r="Z874" s="1390"/>
      <c r="AA874" s="1390"/>
      <c r="AB874" s="1390"/>
      <c r="AC874" s="1390"/>
      <c r="AD874" s="1390"/>
      <c r="AE874" s="1390"/>
      <c r="AF874" s="1390"/>
      <c r="AG874" s="1390"/>
      <c r="AH874" s="1390"/>
      <c r="AI874" s="1390"/>
      <c r="AJ874" s="1390"/>
      <c r="AK874" s="1390"/>
    </row>
    <row r="875" spans="3:37" ht="17.25" customHeight="1" x14ac:dyDescent="0.35">
      <c r="C875" s="1390"/>
      <c r="D875" s="1390"/>
      <c r="E875" s="1390"/>
      <c r="F875" s="1390"/>
      <c r="G875" s="1390"/>
      <c r="H875" s="1390"/>
      <c r="I875" s="1390"/>
      <c r="J875" s="1390"/>
      <c r="K875" s="1390"/>
      <c r="L875" s="1390"/>
      <c r="M875" s="1390"/>
      <c r="N875" s="1390"/>
      <c r="O875" s="1390"/>
      <c r="P875" s="1390"/>
      <c r="Q875" s="1390"/>
      <c r="R875" s="1390"/>
      <c r="S875" s="1390"/>
      <c r="T875" s="1390"/>
      <c r="U875" s="1390"/>
      <c r="V875" s="1390"/>
      <c r="W875" s="1390"/>
      <c r="X875" s="1390"/>
      <c r="Y875" s="1390"/>
      <c r="Z875" s="1390"/>
      <c r="AA875" s="1390"/>
      <c r="AB875" s="1390"/>
      <c r="AC875" s="1390"/>
      <c r="AD875" s="1390"/>
      <c r="AE875" s="1390"/>
      <c r="AF875" s="1390"/>
      <c r="AG875" s="1390"/>
      <c r="AH875" s="1390"/>
      <c r="AI875" s="1390"/>
      <c r="AJ875" s="1390"/>
      <c r="AK875" s="1390"/>
    </row>
    <row r="876" spans="3:37" ht="17.25" customHeight="1" x14ac:dyDescent="0.35">
      <c r="C876" s="1390"/>
      <c r="D876" s="1390"/>
      <c r="E876" s="1390"/>
      <c r="F876" s="1390"/>
      <c r="G876" s="1390"/>
      <c r="H876" s="1390"/>
      <c r="I876" s="1390"/>
      <c r="J876" s="1390"/>
      <c r="K876" s="1390"/>
      <c r="L876" s="1390"/>
      <c r="M876" s="1390"/>
      <c r="N876" s="1390"/>
      <c r="O876" s="1390"/>
      <c r="P876" s="1390"/>
      <c r="Q876" s="1390"/>
      <c r="R876" s="1390"/>
      <c r="S876" s="1390"/>
      <c r="T876" s="1390"/>
      <c r="U876" s="1390"/>
      <c r="V876" s="1390"/>
      <c r="W876" s="1390"/>
      <c r="X876" s="1390"/>
      <c r="Y876" s="1390"/>
      <c r="Z876" s="1390"/>
      <c r="AA876" s="1390"/>
      <c r="AB876" s="1390"/>
      <c r="AC876" s="1390"/>
      <c r="AD876" s="1390"/>
      <c r="AE876" s="1390"/>
      <c r="AF876" s="1390"/>
      <c r="AG876" s="1390"/>
      <c r="AH876" s="1390"/>
      <c r="AI876" s="1390"/>
      <c r="AJ876" s="1390"/>
      <c r="AK876" s="1390"/>
    </row>
    <row r="877" spans="3:37" ht="17.25" customHeight="1" x14ac:dyDescent="0.35">
      <c r="C877" s="1390"/>
      <c r="D877" s="1390"/>
      <c r="E877" s="1390"/>
      <c r="F877" s="1390"/>
      <c r="G877" s="1390"/>
      <c r="H877" s="1390"/>
      <c r="I877" s="1390"/>
      <c r="J877" s="1390"/>
      <c r="K877" s="1390"/>
      <c r="L877" s="1390"/>
      <c r="M877" s="1390"/>
      <c r="N877" s="1390"/>
      <c r="O877" s="1390"/>
      <c r="P877" s="1390"/>
      <c r="Q877" s="1390"/>
      <c r="R877" s="1390"/>
      <c r="S877" s="1390"/>
      <c r="T877" s="1390"/>
      <c r="U877" s="1390"/>
      <c r="V877" s="1390"/>
      <c r="W877" s="1390"/>
      <c r="X877" s="1390"/>
      <c r="Y877" s="1390"/>
      <c r="Z877" s="1390"/>
      <c r="AA877" s="1390"/>
      <c r="AB877" s="1390"/>
      <c r="AC877" s="1390"/>
      <c r="AD877" s="1390"/>
      <c r="AE877" s="1390"/>
      <c r="AF877" s="1390"/>
      <c r="AG877" s="1390"/>
      <c r="AH877" s="1390"/>
      <c r="AI877" s="1390"/>
      <c r="AJ877" s="1390"/>
      <c r="AK877" s="1390"/>
    </row>
    <row r="878" spans="3:37" ht="17.25" customHeight="1" x14ac:dyDescent="0.35">
      <c r="C878" s="1390"/>
      <c r="D878" s="1390"/>
      <c r="E878" s="1390"/>
      <c r="F878" s="1390"/>
      <c r="G878" s="1390"/>
      <c r="H878" s="1390"/>
      <c r="I878" s="1390"/>
      <c r="J878" s="1390"/>
      <c r="K878" s="1390"/>
      <c r="L878" s="1390"/>
      <c r="M878" s="1390"/>
      <c r="N878" s="1390"/>
      <c r="O878" s="1390"/>
      <c r="P878" s="1390"/>
      <c r="Q878" s="1390"/>
      <c r="R878" s="1390"/>
      <c r="S878" s="1390"/>
      <c r="T878" s="1390"/>
      <c r="U878" s="1390"/>
      <c r="V878" s="1390"/>
      <c r="W878" s="1390"/>
      <c r="X878" s="1390"/>
      <c r="Y878" s="1390"/>
      <c r="Z878" s="1390"/>
      <c r="AA878" s="1390"/>
      <c r="AB878" s="1390"/>
      <c r="AC878" s="1390"/>
      <c r="AD878" s="1390"/>
      <c r="AE878" s="1390"/>
      <c r="AF878" s="1390"/>
      <c r="AG878" s="1390"/>
      <c r="AH878" s="1390"/>
      <c r="AI878" s="1390"/>
      <c r="AJ878" s="1390"/>
      <c r="AK878" s="1390"/>
    </row>
    <row r="879" spans="3:37" ht="17.25" customHeight="1" x14ac:dyDescent="0.35">
      <c r="C879" s="1390"/>
      <c r="D879" s="1390"/>
      <c r="E879" s="1390"/>
      <c r="F879" s="1390"/>
      <c r="G879" s="1390"/>
      <c r="H879" s="1390"/>
      <c r="I879" s="1390"/>
      <c r="J879" s="1390"/>
      <c r="K879" s="1390"/>
      <c r="L879" s="1390"/>
      <c r="M879" s="1390"/>
      <c r="N879" s="1390"/>
      <c r="O879" s="1390"/>
      <c r="P879" s="1390"/>
      <c r="Q879" s="1390"/>
      <c r="R879" s="1390"/>
      <c r="S879" s="1390"/>
      <c r="T879" s="1390"/>
      <c r="U879" s="1390"/>
      <c r="V879" s="1390"/>
      <c r="W879" s="1390"/>
      <c r="X879" s="1390"/>
      <c r="Y879" s="1390"/>
      <c r="Z879" s="1390"/>
      <c r="AA879" s="1390"/>
      <c r="AB879" s="1390"/>
      <c r="AC879" s="1390"/>
      <c r="AD879" s="1390"/>
      <c r="AE879" s="1390"/>
      <c r="AF879" s="1390"/>
      <c r="AG879" s="1390"/>
      <c r="AH879" s="1390"/>
      <c r="AI879" s="1390"/>
      <c r="AJ879" s="1390"/>
      <c r="AK879" s="1390"/>
    </row>
    <row r="880" spans="3:37" ht="17.25" customHeight="1" x14ac:dyDescent="0.35">
      <c r="C880" s="1390"/>
      <c r="D880" s="1390"/>
      <c r="E880" s="1390"/>
      <c r="F880" s="1390"/>
      <c r="G880" s="1390"/>
      <c r="H880" s="1390"/>
      <c r="I880" s="1390"/>
      <c r="J880" s="1390"/>
      <c r="K880" s="1390"/>
      <c r="L880" s="1390"/>
      <c r="M880" s="1390"/>
      <c r="N880" s="1390"/>
      <c r="O880" s="1390"/>
      <c r="P880" s="1390"/>
      <c r="Q880" s="1390"/>
      <c r="R880" s="1390"/>
      <c r="S880" s="1390"/>
      <c r="T880" s="1390"/>
      <c r="U880" s="1390"/>
      <c r="V880" s="1390"/>
      <c r="W880" s="1390"/>
      <c r="X880" s="1390"/>
      <c r="Y880" s="1390"/>
      <c r="Z880" s="1390"/>
      <c r="AA880" s="1390"/>
      <c r="AB880" s="1390"/>
      <c r="AC880" s="1390"/>
      <c r="AD880" s="1390"/>
      <c r="AE880" s="1390"/>
      <c r="AF880" s="1390"/>
      <c r="AG880" s="1390"/>
      <c r="AH880" s="1390"/>
      <c r="AI880" s="1390"/>
      <c r="AJ880" s="1390"/>
      <c r="AK880" s="1390"/>
    </row>
    <row r="881" spans="3:37" ht="17.25" customHeight="1" x14ac:dyDescent="0.35">
      <c r="C881" s="1390"/>
      <c r="D881" s="1390"/>
      <c r="E881" s="1390"/>
      <c r="F881" s="1390"/>
      <c r="G881" s="1390"/>
      <c r="H881" s="1390"/>
      <c r="I881" s="1390"/>
      <c r="J881" s="1390"/>
      <c r="K881" s="1390"/>
      <c r="L881" s="1390"/>
      <c r="M881" s="1390"/>
      <c r="N881" s="1390"/>
      <c r="O881" s="1390"/>
      <c r="P881" s="1390"/>
      <c r="Q881" s="1390"/>
      <c r="R881" s="1390"/>
      <c r="S881" s="1390"/>
      <c r="T881" s="1390"/>
      <c r="U881" s="1390"/>
      <c r="V881" s="1390"/>
      <c r="W881" s="1390"/>
      <c r="X881" s="1390"/>
      <c r="Y881" s="1390"/>
      <c r="Z881" s="1390"/>
      <c r="AA881" s="1390"/>
      <c r="AB881" s="1390"/>
      <c r="AC881" s="1390"/>
      <c r="AD881" s="1390"/>
      <c r="AE881" s="1390"/>
      <c r="AF881" s="1390"/>
      <c r="AG881" s="1390"/>
      <c r="AH881" s="1390"/>
      <c r="AI881" s="1390"/>
      <c r="AJ881" s="1390"/>
      <c r="AK881" s="1390"/>
    </row>
    <row r="882" spans="3:37" ht="17.25" customHeight="1" x14ac:dyDescent="0.35">
      <c r="C882" s="1390"/>
      <c r="D882" s="1390"/>
      <c r="E882" s="1390"/>
      <c r="F882" s="1390"/>
      <c r="G882" s="1390"/>
      <c r="H882" s="1390"/>
      <c r="I882" s="1390"/>
      <c r="J882" s="1390"/>
      <c r="K882" s="1390"/>
      <c r="L882" s="1390"/>
      <c r="M882" s="1390"/>
      <c r="N882" s="1390"/>
      <c r="O882" s="1390"/>
      <c r="P882" s="1390"/>
      <c r="Q882" s="1390"/>
      <c r="R882" s="1390"/>
      <c r="S882" s="1390"/>
      <c r="T882" s="1390"/>
      <c r="U882" s="1390"/>
      <c r="V882" s="1390"/>
      <c r="W882" s="1390"/>
      <c r="X882" s="1390"/>
      <c r="Y882" s="1390"/>
      <c r="Z882" s="1390"/>
      <c r="AA882" s="1390"/>
      <c r="AB882" s="1390"/>
      <c r="AC882" s="1390"/>
      <c r="AD882" s="1390"/>
      <c r="AE882" s="1390"/>
      <c r="AF882" s="1390"/>
      <c r="AG882" s="1390"/>
      <c r="AH882" s="1390"/>
      <c r="AI882" s="1390"/>
      <c r="AJ882" s="1390"/>
      <c r="AK882" s="1390"/>
    </row>
    <row r="883" spans="3:37" ht="17.25" customHeight="1" x14ac:dyDescent="0.35">
      <c r="C883" s="1390"/>
      <c r="D883" s="1390"/>
      <c r="E883" s="1390"/>
      <c r="F883" s="1390"/>
      <c r="G883" s="1390"/>
      <c r="H883" s="1390"/>
      <c r="I883" s="1390"/>
      <c r="J883" s="1390"/>
      <c r="K883" s="1390"/>
      <c r="L883" s="1390"/>
      <c r="M883" s="1390"/>
      <c r="N883" s="1390"/>
      <c r="O883" s="1390"/>
      <c r="P883" s="1390"/>
      <c r="Q883" s="1390"/>
      <c r="R883" s="1390"/>
      <c r="S883" s="1390"/>
      <c r="T883" s="1390"/>
      <c r="U883" s="1390"/>
      <c r="V883" s="1390"/>
      <c r="W883" s="1390"/>
      <c r="X883" s="1390"/>
      <c r="Y883" s="1390"/>
      <c r="Z883" s="1390"/>
      <c r="AA883" s="1390"/>
      <c r="AB883" s="1390"/>
      <c r="AC883" s="1390"/>
      <c r="AD883" s="1390"/>
      <c r="AE883" s="1390"/>
      <c r="AF883" s="1390"/>
      <c r="AG883" s="1390"/>
      <c r="AH883" s="1390"/>
      <c r="AI883" s="1390"/>
      <c r="AJ883" s="1390"/>
      <c r="AK883" s="1390"/>
    </row>
    <row r="884" spans="3:37" ht="17.25" customHeight="1" x14ac:dyDescent="0.35">
      <c r="C884" s="1390"/>
      <c r="D884" s="1390"/>
      <c r="E884" s="1390"/>
      <c r="F884" s="1390"/>
      <c r="G884" s="1390"/>
      <c r="H884" s="1390"/>
      <c r="I884" s="1390"/>
      <c r="J884" s="1390"/>
      <c r="K884" s="1390"/>
      <c r="L884" s="1390"/>
      <c r="M884" s="1390"/>
      <c r="N884" s="1390"/>
      <c r="O884" s="1390"/>
      <c r="P884" s="1390"/>
      <c r="Q884" s="1390"/>
      <c r="R884" s="1390"/>
      <c r="S884" s="1390"/>
      <c r="T884" s="1390"/>
      <c r="U884" s="1390"/>
      <c r="V884" s="1390"/>
      <c r="W884" s="1390"/>
      <c r="X884" s="1390"/>
      <c r="Y884" s="1390"/>
      <c r="Z884" s="1390"/>
      <c r="AA884" s="1390"/>
      <c r="AB884" s="1390"/>
      <c r="AC884" s="1390"/>
      <c r="AD884" s="1390"/>
      <c r="AE884" s="1390"/>
      <c r="AF884" s="1390"/>
      <c r="AG884" s="1390"/>
      <c r="AH884" s="1390"/>
      <c r="AI884" s="1390"/>
      <c r="AJ884" s="1390"/>
      <c r="AK884" s="1390"/>
    </row>
  </sheetData>
  <pageMargins left="0.3" right="0.3" top="0.3" bottom="0.3" header="0.3" footer="0.3"/>
  <pageSetup scale="32" fitToHeight="0" orientation="landscape" r:id="rId1"/>
  <headerFooter>
    <oddFooter>Page &amp;P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27C62-A15D-4A1A-8929-ED660569CB86}">
  <sheetPr>
    <pageSetUpPr fitToPage="1"/>
  </sheetPr>
  <dimension ref="A1:AS945"/>
  <sheetViews>
    <sheetView view="pageBreakPreview" zoomScale="50" zoomScaleNormal="55" zoomScaleSheetLayoutView="50" workbookViewId="0">
      <pane xSplit="1" ySplit="5" topLeftCell="B6" activePane="bottomRight" state="frozen"/>
      <selection activeCell="U1" sqref="U1"/>
      <selection pane="topRight" activeCell="U1" sqref="U1"/>
      <selection pane="bottomLeft" activeCell="U1" sqref="U1"/>
      <selection pane="bottomRight" activeCell="B6" sqref="B6"/>
    </sheetView>
  </sheetViews>
  <sheetFormatPr defaultColWidth="8.7265625" defaultRowHeight="17.25" customHeight="1" outlineLevelRow="1" outlineLevelCol="1" x14ac:dyDescent="0.35"/>
  <cols>
    <col min="1" max="1" width="30.81640625" style="1272" customWidth="1"/>
    <col min="2" max="2" width="4.453125" style="1272" customWidth="1"/>
    <col min="3" max="6" width="8.7265625" style="1272" hidden="1" customWidth="1" outlineLevel="1"/>
    <col min="7" max="7" width="13.26953125" style="1272" customWidth="1" collapsed="1"/>
    <col min="8" max="30" width="13.26953125" style="1272" customWidth="1"/>
    <col min="31" max="31" width="14.26953125" style="1272" customWidth="1"/>
    <col min="32" max="32" width="8.7265625" style="1272" hidden="1" customWidth="1" outlineLevel="1"/>
    <col min="33" max="33" width="13.26953125" style="1272" customWidth="1" collapsed="1"/>
    <col min="34" max="39" width="13.26953125" style="1272" customWidth="1"/>
    <col min="40" max="40" width="10.1796875" style="1272" bestFit="1" customWidth="1"/>
    <col min="41" max="42" width="8.81640625" style="1272" bestFit="1" customWidth="1"/>
    <col min="43" max="16384" width="8.7265625" style="1272"/>
  </cols>
  <sheetData>
    <row r="1" spans="1:39" ht="17.25" customHeight="1" x14ac:dyDescent="0.35">
      <c r="A1" s="1272" t="s">
        <v>4</v>
      </c>
      <c r="AJ1" s="1273"/>
      <c r="AK1" s="1273"/>
      <c r="AL1" s="1273"/>
      <c r="AM1" s="1273">
        <f ca="1">TODAY()</f>
        <v>45797</v>
      </c>
    </row>
    <row r="2" spans="1:39" ht="17.25" customHeight="1" x14ac:dyDescent="0.35">
      <c r="A2" s="1274" t="s">
        <v>173</v>
      </c>
      <c r="B2" s="1274"/>
    </row>
    <row r="3" spans="1:39" s="1276" customFormat="1" ht="17.25" customHeight="1" x14ac:dyDescent="0.35">
      <c r="A3" s="1275" t="str">
        <f>+'[2]Simple Model (Base)'!B3</f>
        <v>(USD in mm)</v>
      </c>
      <c r="B3" s="1275"/>
      <c r="W3" s="1277" t="s">
        <v>79</v>
      </c>
      <c r="X3" s="1277" t="s">
        <v>80</v>
      </c>
      <c r="Y3" s="1277"/>
      <c r="Z3" s="1277" t="s">
        <v>81</v>
      </c>
      <c r="AA3" s="1277" t="s">
        <v>82</v>
      </c>
      <c r="AB3" s="1277" t="s">
        <v>83</v>
      </c>
      <c r="AC3" s="1277" t="s">
        <v>84</v>
      </c>
      <c r="AD3" s="1277" t="s">
        <v>85</v>
      </c>
    </row>
    <row r="4" spans="1:39" ht="17.25" customHeight="1" x14ac:dyDescent="0.35">
      <c r="C4" s="1278"/>
      <c r="D4" s="1279"/>
      <c r="E4" s="1279"/>
      <c r="F4" s="1279"/>
      <c r="G4" s="1278" t="s">
        <v>7</v>
      </c>
      <c r="H4" s="1278"/>
      <c r="I4" s="1278"/>
      <c r="J4" s="1278"/>
      <c r="K4" s="1278"/>
      <c r="L4" s="1278"/>
      <c r="M4" s="1278"/>
      <c r="N4" s="1278"/>
      <c r="O4" s="1278"/>
      <c r="P4" s="1278"/>
      <c r="Q4" s="1278"/>
      <c r="R4" s="1278"/>
      <c r="S4" s="1278"/>
      <c r="T4" s="1278"/>
      <c r="U4" s="1278"/>
      <c r="V4" s="1278"/>
      <c r="W4" s="1278"/>
      <c r="X4" s="1278"/>
      <c r="Y4" s="1278"/>
      <c r="Z4" s="1278"/>
      <c r="AA4" s="1278"/>
      <c r="AB4" s="1278"/>
      <c r="AC4" s="1278"/>
      <c r="AD4" s="1278"/>
      <c r="AE4" s="1280"/>
      <c r="AF4" s="1278"/>
      <c r="AG4" s="1278" t="s">
        <v>7</v>
      </c>
      <c r="AH4" s="1279"/>
      <c r="AI4" s="1278"/>
      <c r="AJ4" s="1278"/>
      <c r="AK4" s="1278"/>
      <c r="AL4" s="1278"/>
      <c r="AM4" s="1278"/>
    </row>
    <row r="5" spans="1:39" ht="17.25" customHeight="1" x14ac:dyDescent="0.8">
      <c r="C5" s="1281" t="s">
        <v>86</v>
      </c>
      <c r="D5" s="1281" t="s">
        <v>87</v>
      </c>
      <c r="E5" s="1281" t="s">
        <v>88</v>
      </c>
      <c r="F5" s="1282" t="s">
        <v>89</v>
      </c>
      <c r="G5" s="1281" t="s">
        <v>90</v>
      </c>
      <c r="H5" s="1281" t="s">
        <v>91</v>
      </c>
      <c r="I5" s="1281" t="s">
        <v>92</v>
      </c>
      <c r="J5" s="1282" t="s">
        <v>93</v>
      </c>
      <c r="K5" s="1281" t="s">
        <v>94</v>
      </c>
      <c r="L5" s="1281" t="s">
        <v>95</v>
      </c>
      <c r="M5" s="1281" t="s">
        <v>96</v>
      </c>
      <c r="N5" s="1282" t="s">
        <v>97</v>
      </c>
      <c r="O5" s="1281" t="s">
        <v>98</v>
      </c>
      <c r="P5" s="1281" t="s">
        <v>99</v>
      </c>
      <c r="Q5" s="1281" t="s">
        <v>100</v>
      </c>
      <c r="R5" s="1282" t="s">
        <v>101</v>
      </c>
      <c r="S5" s="1283" t="s">
        <v>102</v>
      </c>
      <c r="T5" s="1281" t="s">
        <v>103</v>
      </c>
      <c r="U5" s="1281" t="s">
        <v>104</v>
      </c>
      <c r="V5" s="1281" t="s">
        <v>105</v>
      </c>
      <c r="W5" s="1283" t="s">
        <v>106</v>
      </c>
      <c r="X5" s="1281" t="s">
        <v>107</v>
      </c>
      <c r="Y5" s="1284" t="s">
        <v>108</v>
      </c>
      <c r="Z5" s="2320" t="s">
        <v>109</v>
      </c>
      <c r="AA5" s="1281" t="s">
        <v>110</v>
      </c>
      <c r="AB5" s="1281" t="s">
        <v>111</v>
      </c>
      <c r="AC5" s="1281" t="s">
        <v>112</v>
      </c>
      <c r="AD5" s="1281" t="s">
        <v>113</v>
      </c>
      <c r="AE5" s="1280"/>
      <c r="AF5" s="1281" t="s">
        <v>114</v>
      </c>
      <c r="AG5" s="1281" t="s">
        <v>115</v>
      </c>
      <c r="AH5" s="1281" t="s">
        <v>116</v>
      </c>
      <c r="AI5" s="1281" t="s">
        <v>117</v>
      </c>
      <c r="AJ5" s="1281" t="s">
        <v>118</v>
      </c>
      <c r="AK5" s="1284" t="s">
        <v>119</v>
      </c>
      <c r="AL5" s="1281" t="s">
        <v>13</v>
      </c>
      <c r="AM5" s="1281" t="s">
        <v>14</v>
      </c>
    </row>
    <row r="6" spans="1:39" ht="17.25" customHeight="1" x14ac:dyDescent="0.8">
      <c r="A6" s="1285" t="s">
        <v>120</v>
      </c>
      <c r="C6" s="1286"/>
      <c r="D6" s="1286"/>
      <c r="E6" s="1286"/>
      <c r="F6" s="1287"/>
      <c r="G6" s="1286"/>
      <c r="H6" s="1286"/>
      <c r="I6" s="1286"/>
      <c r="J6" s="1287"/>
      <c r="K6" s="1286"/>
      <c r="L6" s="1286"/>
      <c r="M6" s="1286"/>
      <c r="N6" s="1287"/>
      <c r="O6" s="1286"/>
      <c r="P6" s="1286"/>
      <c r="Q6" s="1286"/>
      <c r="R6" s="1287"/>
      <c r="S6" s="1288"/>
      <c r="T6" s="1286"/>
      <c r="U6" s="1286"/>
      <c r="V6" s="1286"/>
      <c r="W6" s="1288"/>
      <c r="X6" s="1286"/>
      <c r="Y6" s="1289"/>
      <c r="Z6" s="1287"/>
      <c r="AA6" s="1286"/>
      <c r="AB6" s="1286"/>
      <c r="AC6" s="1286"/>
      <c r="AD6" s="1286"/>
      <c r="AE6" s="1280"/>
      <c r="AF6" s="1286"/>
      <c r="AG6" s="1286"/>
      <c r="AH6" s="1286"/>
      <c r="AI6" s="1286"/>
      <c r="AJ6" s="1286"/>
      <c r="AK6" s="1289"/>
      <c r="AL6" s="1286"/>
      <c r="AM6" s="1286"/>
    </row>
    <row r="7" spans="1:39" ht="17.25" customHeight="1" x14ac:dyDescent="0.8">
      <c r="C7" s="1286"/>
      <c r="D7" s="1286"/>
      <c r="E7" s="1286"/>
      <c r="F7" s="1287"/>
      <c r="G7" s="1286"/>
      <c r="H7" s="1286"/>
      <c r="I7" s="1286"/>
      <c r="J7" s="1287"/>
      <c r="K7" s="1286"/>
      <c r="L7" s="1286"/>
      <c r="M7" s="1286"/>
      <c r="N7" s="1287"/>
      <c r="O7" s="1286"/>
      <c r="P7" s="1286"/>
      <c r="Q7" s="1286"/>
      <c r="R7" s="1287"/>
      <c r="S7" s="1288"/>
      <c r="T7" s="1286"/>
      <c r="U7" s="1286"/>
      <c r="V7" s="1286"/>
      <c r="W7" s="1288"/>
      <c r="X7" s="1286"/>
      <c r="Y7" s="1289"/>
      <c r="Z7" s="1287"/>
      <c r="AA7" s="1286"/>
      <c r="AB7" s="1286"/>
      <c r="AC7" s="1286"/>
      <c r="AD7" s="1286"/>
      <c r="AE7" s="1280"/>
      <c r="AF7" s="1286"/>
      <c r="AG7" s="1286"/>
      <c r="AH7" s="1286"/>
      <c r="AI7" s="1286"/>
      <c r="AJ7" s="1286"/>
      <c r="AK7" s="1289"/>
      <c r="AL7" s="1286"/>
      <c r="AM7" s="1286"/>
    </row>
    <row r="8" spans="1:39" ht="17.25" customHeight="1" x14ac:dyDescent="0.35">
      <c r="A8" s="1317" t="s">
        <v>28</v>
      </c>
      <c r="C8" s="1291"/>
      <c r="D8" s="1291"/>
      <c r="E8" s="1291"/>
      <c r="F8" s="1292"/>
      <c r="G8" s="1291"/>
      <c r="H8" s="1291"/>
      <c r="I8" s="1291"/>
      <c r="J8" s="1292"/>
      <c r="K8" s="1291"/>
      <c r="L8" s="1291"/>
      <c r="M8" s="1291"/>
      <c r="N8" s="1292"/>
      <c r="O8" s="1291"/>
      <c r="P8" s="1291"/>
      <c r="Q8" s="1291"/>
      <c r="R8" s="1292"/>
      <c r="S8" s="1293"/>
      <c r="T8" s="1291"/>
      <c r="U8" s="1291"/>
      <c r="V8" s="1291"/>
      <c r="W8" s="1293"/>
      <c r="X8" s="1291"/>
      <c r="Y8" s="1294"/>
      <c r="Z8" s="1292"/>
      <c r="AA8" s="1291"/>
      <c r="AB8" s="1291"/>
      <c r="AC8" s="1291"/>
      <c r="AD8" s="1291"/>
      <c r="AE8" s="1280"/>
      <c r="AF8" s="1291"/>
      <c r="AG8" s="1291"/>
      <c r="AH8" s="1291"/>
      <c r="AI8" s="1291"/>
      <c r="AJ8" s="1291"/>
      <c r="AK8" s="1294"/>
    </row>
    <row r="9" spans="1:39" ht="17.25" customHeight="1" x14ac:dyDescent="0.35">
      <c r="A9" s="1272" t="s">
        <v>174</v>
      </c>
      <c r="C9" s="1291">
        <f>+'FA - Historical Financials'!C12</f>
        <v>109.687</v>
      </c>
      <c r="D9" s="1291">
        <f>+'FA - Historical Financials'!D12</f>
        <v>121.621</v>
      </c>
      <c r="E9" s="1291">
        <f>+'FA - Historical Financials'!E12</f>
        <v>123.76900000000001</v>
      </c>
      <c r="F9" s="1292">
        <f>+'FA - Historical Financials'!F12</f>
        <v>126.68999999999994</v>
      </c>
      <c r="G9" s="1291">
        <f>+'FA - Historical Financials'!G12</f>
        <v>110.839</v>
      </c>
      <c r="H9" s="1291">
        <f>+'FA - Historical Financials'!H12</f>
        <v>104.99299999999999</v>
      </c>
      <c r="I9" s="1291">
        <f>+'FA - Historical Financials'!I12</f>
        <v>136.77799999999999</v>
      </c>
      <c r="J9" s="1292">
        <f>+'FA - Historical Financials'!J12</f>
        <v>156.54399999999993</v>
      </c>
      <c r="K9" s="1291">
        <f>+'FA - Historical Financials'!K12</f>
        <v>132.07</v>
      </c>
      <c r="L9" s="1291">
        <f>+'FA - Historical Financials'!L12</f>
        <v>174.82599999999999</v>
      </c>
      <c r="M9" s="1291">
        <f>+'FA - Historical Financials'!M12</f>
        <v>192.86699999999999</v>
      </c>
      <c r="N9" s="1292">
        <f>+'FA - Historical Financials'!N12</f>
        <v>212.53200000000015</v>
      </c>
      <c r="O9" s="1291">
        <f>+'FA - Historical Financials'!O12</f>
        <v>189.881</v>
      </c>
      <c r="P9" s="1291">
        <f>+'FA - Historical Financials'!P12</f>
        <v>201.56100000000001</v>
      </c>
      <c r="Q9" s="1291">
        <f>+'FA - Historical Financials'!Q12</f>
        <v>205.98599999999999</v>
      </c>
      <c r="R9" s="1292">
        <f>+'FA - Historical Financials'!R12</f>
        <v>212.595</v>
      </c>
      <c r="S9" s="1293">
        <f>+'FA - Historical Financials'!S12</f>
        <v>175.52</v>
      </c>
      <c r="T9" s="1291">
        <f>+'FA - Historical Financials'!T12</f>
        <v>185.315</v>
      </c>
      <c r="U9" s="1291">
        <f>+'FA - Historical Financials'!U12</f>
        <v>200.364</v>
      </c>
      <c r="V9" s="1291">
        <f>+'FA - Historical Financials'!V12</f>
        <v>202.56199999999998</v>
      </c>
      <c r="W9" s="1293">
        <f>+'FA - Historical Financials'!W12</f>
        <v>169.416</v>
      </c>
      <c r="X9" s="1291">
        <f>+'FA - Historical Financials'!X12</f>
        <v>184.54599999999999</v>
      </c>
      <c r="Y9" s="1294">
        <f>+'FA - Historical Financials'!Y12</f>
        <v>199.119</v>
      </c>
      <c r="Z9" s="1292">
        <f>+'FA - Historical Financials'!Z12</f>
        <v>208.23063923597104</v>
      </c>
      <c r="AA9" s="1291">
        <f>+'FA - Historical Financials'!AA12</f>
        <v>178.33705848686398</v>
      </c>
      <c r="AB9" s="1291">
        <f>+'FA - Historical Financials'!AB12</f>
        <v>195.99197637927966</v>
      </c>
      <c r="AC9" s="1291">
        <f>+'FA - Historical Financials'!AC12</f>
        <v>213.95302119231067</v>
      </c>
      <c r="AD9" s="1291">
        <f>+'FA - Historical Financials'!AD12</f>
        <v>225.32397611620252</v>
      </c>
      <c r="AE9" s="1280"/>
      <c r="AF9" s="1291">
        <f>+'FA - Historical Financials'!AF12</f>
        <v>446.90816326530603</v>
      </c>
      <c r="AG9" s="1291">
        <f>+'FA - Historical Financials'!AG12</f>
        <v>481.76699999999994</v>
      </c>
      <c r="AH9" s="1291">
        <f>+'FA - Historical Financials'!AH12</f>
        <v>509.15399999999994</v>
      </c>
      <c r="AI9" s="1291">
        <f>+'FA - Historical Financials'!AI12</f>
        <v>712.29500000000007</v>
      </c>
      <c r="AJ9" s="1291">
        <f>+'FA - Historical Financials'!AJ12</f>
        <v>810.02300000000002</v>
      </c>
      <c r="AK9" s="1294">
        <f>+'FA - Historical Financials'!AK12</f>
        <v>763.76100000000008</v>
      </c>
      <c r="AL9" s="1291">
        <f>+SUM(W9:Z9)</f>
        <v>761.31163923597103</v>
      </c>
      <c r="AM9" s="1291">
        <f>+SUM(AA9:AD9)</f>
        <v>813.60603217465678</v>
      </c>
    </row>
    <row r="10" spans="1:39" s="1295" customFormat="1" ht="17.25" customHeight="1" x14ac:dyDescent="0.65">
      <c r="A10" s="1272" t="s">
        <v>175</v>
      </c>
      <c r="C10" s="1296">
        <f>+'Peer benchmarking'!C32</f>
        <v>110.521</v>
      </c>
      <c r="D10" s="1296">
        <f>+'Peer benchmarking'!D32</f>
        <v>132.40029999999999</v>
      </c>
      <c r="E10" s="1296">
        <f>+'Peer benchmarking'!E32</f>
        <v>132.7653</v>
      </c>
      <c r="F10" s="1297">
        <f>+'Peer benchmarking'!F32</f>
        <v>121.429</v>
      </c>
      <c r="G10" s="1296">
        <f>+'Peer benchmarking'!G32</f>
        <v>119.376</v>
      </c>
      <c r="H10" s="1296">
        <f>+'Peer benchmarking'!H32</f>
        <v>88.570999999999998</v>
      </c>
      <c r="I10" s="1296">
        <f>+'Peer benchmarking'!I32</f>
        <v>117.6023</v>
      </c>
      <c r="J10" s="1297">
        <f>+'Peer benchmarking'!J32</f>
        <v>128.5033</v>
      </c>
      <c r="K10" s="1296">
        <f>+'Peer benchmarking'!K32</f>
        <v>139.37</v>
      </c>
      <c r="L10" s="1296">
        <f>+'Peer benchmarking'!L32</f>
        <v>159.328</v>
      </c>
      <c r="M10" s="1296">
        <f>+'Peer benchmarking'!M32</f>
        <v>169.55699999999999</v>
      </c>
      <c r="N10" s="1297">
        <f>+'Peer benchmarking'!N32</f>
        <v>173.62899999999999</v>
      </c>
      <c r="O10" s="1296">
        <f>+'Peer benchmarking'!O32</f>
        <v>191.97200000000001</v>
      </c>
      <c r="P10" s="1296">
        <f>+'Peer benchmarking'!P32</f>
        <v>205.59100000000001</v>
      </c>
      <c r="Q10" s="1296">
        <f>+'Peer benchmarking'!Q32</f>
        <v>199.29900000000001</v>
      </c>
      <c r="R10" s="1297">
        <f>+'Peer benchmarking'!R32</f>
        <v>169.92</v>
      </c>
      <c r="S10" s="1298">
        <f>+'Peer benchmarking'!S32</f>
        <v>179.274</v>
      </c>
      <c r="T10" s="1296">
        <f>+'Peer benchmarking'!T32</f>
        <v>190.38399999999999</v>
      </c>
      <c r="U10" s="1296">
        <f>+'Peer benchmarking'!U32</f>
        <v>180.566</v>
      </c>
      <c r="V10" s="1296">
        <f>+'Peer benchmarking'!V32</f>
        <v>169.41599999999994</v>
      </c>
      <c r="W10" s="1298">
        <f>+'Peer benchmarking'!W32</f>
        <v>185.999</v>
      </c>
      <c r="X10" s="1296">
        <f>+'Peer benchmarking'!X32</f>
        <v>200.52799999999999</v>
      </c>
      <c r="Y10" s="1299">
        <f>+'STER - Historical Financials'!Y12</f>
        <v>195.5</v>
      </c>
      <c r="Z10" s="1297">
        <f>+'STER - Historical Financials'!Z12</f>
        <v>177.34088151831733</v>
      </c>
      <c r="AA10" s="1296">
        <f>+'STER - Historical Financials'!AA12</f>
        <v>192.11953113803466</v>
      </c>
      <c r="AB10" s="1296">
        <f>+'STER - Historical Financials'!AB12</f>
        <v>209.96595177092334</v>
      </c>
      <c r="AC10" s="1296">
        <f>+'STER - Historical Financials'!AC12</f>
        <v>208.13058086566602</v>
      </c>
      <c r="AD10" s="1296">
        <f>+'STER - Historical Financials'!AD12</f>
        <v>192.01557912509796</v>
      </c>
      <c r="AE10" s="1300"/>
      <c r="AF10" s="1296">
        <v>460.06799999999998</v>
      </c>
      <c r="AG10" s="1296">
        <f>+'Peer benchmarking'!AB32</f>
        <v>497.11559999999997</v>
      </c>
      <c r="AH10" s="1296">
        <f>+'Peer benchmarking'!AC32</f>
        <v>454.05259999999998</v>
      </c>
      <c r="AI10" s="1296">
        <f>+'Peer benchmarking'!AD32</f>
        <v>641.88400000000001</v>
      </c>
      <c r="AJ10" s="1296">
        <f>+'Peer benchmarking'!AE32</f>
        <v>766.78199999999993</v>
      </c>
      <c r="AK10" s="1299">
        <f>+'Peer benchmarking'!AF32</f>
        <v>719.64</v>
      </c>
      <c r="AL10" s="1296">
        <f>+SUM(W10:Z10)</f>
        <v>759.3678815183174</v>
      </c>
      <c r="AM10" s="1296">
        <f>+SUM(AA10:AD10)</f>
        <v>802.23164289972192</v>
      </c>
    </row>
    <row r="11" spans="1:39" s="1307" customFormat="1" ht="17.25" customHeight="1" x14ac:dyDescent="0.35">
      <c r="A11" s="1306" t="s">
        <v>176</v>
      </c>
      <c r="C11" s="1280">
        <f t="shared" ref="C11:AD11" si="0">+SUM(C9:C10)</f>
        <v>220.208</v>
      </c>
      <c r="D11" s="1280">
        <f t="shared" si="0"/>
        <v>254.0213</v>
      </c>
      <c r="E11" s="1280">
        <f t="shared" si="0"/>
        <v>256.53430000000003</v>
      </c>
      <c r="F11" s="1308">
        <f t="shared" si="0"/>
        <v>248.11899999999994</v>
      </c>
      <c r="G11" s="1280">
        <f t="shared" si="0"/>
        <v>230.215</v>
      </c>
      <c r="H11" s="1280">
        <f t="shared" si="0"/>
        <v>193.56399999999999</v>
      </c>
      <c r="I11" s="1280">
        <f t="shared" si="0"/>
        <v>254.38029999999998</v>
      </c>
      <c r="J11" s="1308">
        <f t="shared" si="0"/>
        <v>285.04729999999995</v>
      </c>
      <c r="K11" s="1280">
        <f t="shared" si="0"/>
        <v>271.44</v>
      </c>
      <c r="L11" s="1280">
        <f t="shared" si="0"/>
        <v>334.154</v>
      </c>
      <c r="M11" s="1280">
        <f t="shared" si="0"/>
        <v>362.42399999999998</v>
      </c>
      <c r="N11" s="1308">
        <f t="shared" si="0"/>
        <v>386.16100000000017</v>
      </c>
      <c r="O11" s="1280">
        <f t="shared" si="0"/>
        <v>381.85300000000001</v>
      </c>
      <c r="P11" s="1280">
        <f t="shared" si="0"/>
        <v>407.15200000000004</v>
      </c>
      <c r="Q11" s="1280">
        <f t="shared" si="0"/>
        <v>405.28499999999997</v>
      </c>
      <c r="R11" s="1308">
        <f t="shared" si="0"/>
        <v>382.51499999999999</v>
      </c>
      <c r="S11" s="1309">
        <f t="shared" si="0"/>
        <v>354.79399999999998</v>
      </c>
      <c r="T11" s="1280">
        <f t="shared" si="0"/>
        <v>375.69899999999996</v>
      </c>
      <c r="U11" s="1280">
        <f t="shared" si="0"/>
        <v>380.93</v>
      </c>
      <c r="V11" s="1280">
        <f t="shared" si="0"/>
        <v>371.97799999999995</v>
      </c>
      <c r="W11" s="1309">
        <f t="shared" si="0"/>
        <v>355.41499999999996</v>
      </c>
      <c r="X11" s="1280">
        <f t="shared" si="0"/>
        <v>385.07399999999996</v>
      </c>
      <c r="Y11" s="1310">
        <f t="shared" si="0"/>
        <v>394.61900000000003</v>
      </c>
      <c r="Z11" s="1308">
        <f t="shared" si="0"/>
        <v>385.57152075428837</v>
      </c>
      <c r="AA11" s="1280">
        <f t="shared" si="0"/>
        <v>370.45658962489864</v>
      </c>
      <c r="AB11" s="1280">
        <f t="shared" si="0"/>
        <v>405.95792815020297</v>
      </c>
      <c r="AC11" s="1280">
        <f t="shared" si="0"/>
        <v>422.08360205797669</v>
      </c>
      <c r="AD11" s="1280">
        <f t="shared" si="0"/>
        <v>417.33955524130045</v>
      </c>
      <c r="AE11" s="1280"/>
      <c r="AF11" s="1280">
        <f t="shared" ref="AF11:AM11" si="1">+SUM(AF9:AF10)</f>
        <v>906.97616326530601</v>
      </c>
      <c r="AG11" s="1280">
        <f t="shared" si="1"/>
        <v>978.88259999999991</v>
      </c>
      <c r="AH11" s="1280">
        <f t="shared" si="1"/>
        <v>963.20659999999998</v>
      </c>
      <c r="AI11" s="1280">
        <f t="shared" si="1"/>
        <v>1354.1790000000001</v>
      </c>
      <c r="AJ11" s="1280">
        <f t="shared" si="1"/>
        <v>1576.8049999999998</v>
      </c>
      <c r="AK11" s="1310">
        <f t="shared" si="1"/>
        <v>1483.4010000000001</v>
      </c>
      <c r="AL11" s="1280">
        <f t="shared" si="1"/>
        <v>1520.6795207542884</v>
      </c>
      <c r="AM11" s="1280">
        <f t="shared" si="1"/>
        <v>1615.8376750743787</v>
      </c>
    </row>
    <row r="12" spans="1:39" s="1307" customFormat="1" ht="17.25" customHeight="1" x14ac:dyDescent="0.35">
      <c r="A12" s="1306"/>
      <c r="C12" s="1280"/>
      <c r="D12" s="1280"/>
      <c r="E12" s="1280"/>
      <c r="F12" s="1308"/>
      <c r="G12" s="1280"/>
      <c r="H12" s="1280"/>
      <c r="I12" s="1280"/>
      <c r="J12" s="1308"/>
      <c r="K12" s="1280"/>
      <c r="L12" s="1280"/>
      <c r="M12" s="1280"/>
      <c r="N12" s="1308"/>
      <c r="O12" s="1280"/>
      <c r="P12" s="1280"/>
      <c r="Q12" s="1280"/>
      <c r="R12" s="1308"/>
      <c r="S12" s="1309"/>
      <c r="T12" s="1280"/>
      <c r="U12" s="1280"/>
      <c r="V12" s="1280"/>
      <c r="W12" s="1309"/>
      <c r="X12" s="1280"/>
      <c r="Y12" s="1310"/>
      <c r="Z12" s="1308"/>
      <c r="AA12" s="1280"/>
      <c r="AB12" s="1280"/>
      <c r="AC12" s="1280"/>
      <c r="AD12" s="1280"/>
      <c r="AE12" s="1280"/>
      <c r="AF12" s="1280"/>
      <c r="AG12" s="1280"/>
      <c r="AH12" s="1280"/>
      <c r="AI12" s="1280"/>
      <c r="AJ12" s="1280"/>
      <c r="AK12" s="1310"/>
      <c r="AL12" s="1280"/>
      <c r="AM12" s="1280"/>
    </row>
    <row r="13" spans="1:39" ht="17.25" customHeight="1" x14ac:dyDescent="0.35">
      <c r="A13" s="1311" t="s">
        <v>121</v>
      </c>
      <c r="C13" s="1291"/>
      <c r="D13" s="1291"/>
      <c r="E13" s="1291"/>
      <c r="F13" s="1292"/>
      <c r="G13" s="1312"/>
      <c r="H13" s="1312"/>
      <c r="I13" s="1312"/>
      <c r="J13" s="1313"/>
      <c r="K13" s="1312"/>
      <c r="L13" s="1312"/>
      <c r="M13" s="1312"/>
      <c r="N13" s="1313"/>
      <c r="O13" s="1312"/>
      <c r="P13" s="1312"/>
      <c r="Q13" s="1312"/>
      <c r="R13" s="1313"/>
      <c r="S13" s="1314"/>
      <c r="T13" s="1312"/>
      <c r="U13" s="1312"/>
      <c r="V13" s="1312"/>
      <c r="W13" s="1314"/>
      <c r="X13" s="1312"/>
      <c r="Y13" s="1315"/>
      <c r="Z13" s="1313"/>
      <c r="AA13" s="1312"/>
      <c r="AB13" s="1312"/>
      <c r="AC13" s="1312"/>
      <c r="AD13" s="1312"/>
      <c r="AE13" s="1291"/>
      <c r="AF13" s="1312"/>
      <c r="AG13" s="1312"/>
      <c r="AH13" s="1312"/>
      <c r="AI13" s="1312"/>
      <c r="AJ13" s="1312"/>
      <c r="AK13" s="1315"/>
      <c r="AL13" s="1312"/>
      <c r="AM13" s="1312"/>
    </row>
    <row r="14" spans="1:39" ht="17.25" customHeight="1" x14ac:dyDescent="0.35">
      <c r="A14" s="1316" t="str">
        <f>+A9</f>
        <v>FA</v>
      </c>
      <c r="C14" s="1291"/>
      <c r="D14" s="1291"/>
      <c r="E14" s="1291"/>
      <c r="F14" s="1292"/>
      <c r="G14" s="1312">
        <f t="shared" ref="G14:P16" si="2">+G9/C9-1</f>
        <v>1.0502611977718512E-2</v>
      </c>
      <c r="H14" s="1312">
        <f t="shared" si="2"/>
        <v>-0.13671980990125066</v>
      </c>
      <c r="I14" s="1312">
        <f t="shared" si="2"/>
        <v>0.10510709466829327</v>
      </c>
      <c r="J14" s="1313">
        <f t="shared" si="2"/>
        <v>0.23564606519851616</v>
      </c>
      <c r="K14" s="1312">
        <f t="shared" si="2"/>
        <v>0.19154810130008393</v>
      </c>
      <c r="L14" s="1312">
        <f t="shared" si="2"/>
        <v>0.66512053184498021</v>
      </c>
      <c r="M14" s="1312">
        <f t="shared" si="2"/>
        <v>0.41007325739519507</v>
      </c>
      <c r="N14" s="1313">
        <f t="shared" si="2"/>
        <v>0.35765024529844802</v>
      </c>
      <c r="O14" s="1312">
        <f t="shared" si="2"/>
        <v>0.43772999167108351</v>
      </c>
      <c r="P14" s="1312">
        <f t="shared" si="2"/>
        <v>0.15292347820118302</v>
      </c>
      <c r="Q14" s="1312">
        <f t="shared" ref="Q14:Z16" si="3">+Q9/M9-1</f>
        <v>6.8020967817200351E-2</v>
      </c>
      <c r="R14" s="1313">
        <f t="shared" si="3"/>
        <v>2.9642594997381089E-4</v>
      </c>
      <c r="S14" s="1314">
        <f t="shared" si="3"/>
        <v>-7.5631579778914104E-2</v>
      </c>
      <c r="T14" s="1312">
        <f t="shared" si="3"/>
        <v>-8.06009098982442E-2</v>
      </c>
      <c r="U14" s="1312">
        <f t="shared" si="3"/>
        <v>-2.7293117007951895E-2</v>
      </c>
      <c r="V14" s="1312">
        <f t="shared" si="3"/>
        <v>-4.7193019591241669E-2</v>
      </c>
      <c r="W14" s="1314">
        <f t="shared" si="3"/>
        <v>-3.4776663628076632E-2</v>
      </c>
      <c r="X14" s="1312">
        <f t="shared" si="3"/>
        <v>-4.1496910665623776E-3</v>
      </c>
      <c r="Y14" s="1315">
        <f t="shared" si="3"/>
        <v>-6.2136910822303548E-3</v>
      </c>
      <c r="Z14" s="1313">
        <f t="shared" si="3"/>
        <v>2.7984712018893187E-2</v>
      </c>
      <c r="AA14" s="1312">
        <f t="shared" ref="AA14:AD16" si="4">+AA9/W9-1</f>
        <v>5.2657709347782911E-2</v>
      </c>
      <c r="AB14" s="1312">
        <f t="shared" si="4"/>
        <v>6.2022348787184045E-2</v>
      </c>
      <c r="AC14" s="1312">
        <f t="shared" si="4"/>
        <v>7.4498270844624015E-2</v>
      </c>
      <c r="AD14" s="1312">
        <f t="shared" si="4"/>
        <v>8.2088481036937999E-2</v>
      </c>
      <c r="AE14" s="1291"/>
      <c r="AF14" s="1312"/>
      <c r="AG14" s="1312">
        <f t="shared" ref="AG14:AM16" si="5">+AG9/AF9-1</f>
        <v>7.8000000000000069E-2</v>
      </c>
      <c r="AH14" s="1312">
        <f t="shared" si="5"/>
        <v>5.684698204733829E-2</v>
      </c>
      <c r="AI14" s="1312">
        <f t="shared" si="5"/>
        <v>0.39897751957168204</v>
      </c>
      <c r="AJ14" s="1312">
        <f t="shared" si="5"/>
        <v>0.13720158080570544</v>
      </c>
      <c r="AK14" s="1315">
        <f t="shared" si="5"/>
        <v>-5.7111958549325048E-2</v>
      </c>
      <c r="AL14" s="1312">
        <f t="shared" si="5"/>
        <v>-3.2069728148321763E-3</v>
      </c>
      <c r="AM14" s="1312">
        <f t="shared" si="5"/>
        <v>6.8689863971036713E-2</v>
      </c>
    </row>
    <row r="15" spans="1:39" s="1317" customFormat="1" ht="17.25" customHeight="1" x14ac:dyDescent="0.35">
      <c r="A15" s="1316" t="str">
        <f>+A10</f>
        <v>STER</v>
      </c>
      <c r="C15" s="1318"/>
      <c r="D15" s="1318"/>
      <c r="E15" s="1318"/>
      <c r="F15" s="1319"/>
      <c r="G15" s="1320">
        <f t="shared" si="2"/>
        <v>8.0120520082156421E-2</v>
      </c>
      <c r="H15" s="1320">
        <f t="shared" si="2"/>
        <v>-0.3310362589812863</v>
      </c>
      <c r="I15" s="1320">
        <f t="shared" si="2"/>
        <v>-0.11420905914421908</v>
      </c>
      <c r="J15" s="1321">
        <f t="shared" si="2"/>
        <v>5.8258735557403796E-2</v>
      </c>
      <c r="K15" s="1320">
        <f t="shared" si="2"/>
        <v>0.16748760219809666</v>
      </c>
      <c r="L15" s="1320">
        <f t="shared" si="2"/>
        <v>0.79887322035429209</v>
      </c>
      <c r="M15" s="1320">
        <f t="shared" si="2"/>
        <v>0.44178302635237565</v>
      </c>
      <c r="N15" s="1321">
        <f t="shared" si="2"/>
        <v>0.35116374443302223</v>
      </c>
      <c r="O15" s="1320">
        <f t="shared" si="2"/>
        <v>0.37742699289660608</v>
      </c>
      <c r="P15" s="1320">
        <f t="shared" si="2"/>
        <v>0.29036327575818444</v>
      </c>
      <c r="Q15" s="1320">
        <f t="shared" si="3"/>
        <v>0.17541003910189512</v>
      </c>
      <c r="R15" s="1321">
        <f t="shared" si="3"/>
        <v>-2.1361638896728152E-2</v>
      </c>
      <c r="S15" s="1322">
        <f t="shared" si="3"/>
        <v>-6.6145062821661549E-2</v>
      </c>
      <c r="T15" s="1320">
        <f t="shared" si="3"/>
        <v>-7.3967245647912683E-2</v>
      </c>
      <c r="U15" s="1320">
        <f t="shared" si="3"/>
        <v>-9.3994450549174879E-2</v>
      </c>
      <c r="V15" s="1320">
        <f t="shared" si="3"/>
        <v>-2.9661016949155128E-3</v>
      </c>
      <c r="W15" s="1322">
        <f t="shared" si="3"/>
        <v>3.7512411169494664E-2</v>
      </c>
      <c r="X15" s="1320">
        <f t="shared" si="3"/>
        <v>5.3281788385578732E-2</v>
      </c>
      <c r="Y15" s="1323">
        <f t="shared" si="3"/>
        <v>8.2706600356656335E-2</v>
      </c>
      <c r="Z15" s="1321">
        <f t="shared" si="3"/>
        <v>4.6777645076718777E-2</v>
      </c>
      <c r="AA15" s="1320">
        <f t="shared" si="4"/>
        <v>3.290625830265026E-2</v>
      </c>
      <c r="AB15" s="1320">
        <f t="shared" si="4"/>
        <v>4.7065505918990613E-2</v>
      </c>
      <c r="AC15" s="1320">
        <f t="shared" si="4"/>
        <v>6.4606551742537155E-2</v>
      </c>
      <c r="AD15" s="1320">
        <f t="shared" si="4"/>
        <v>8.2748531986206908E-2</v>
      </c>
      <c r="AE15" s="1318"/>
      <c r="AF15" s="1320"/>
      <c r="AG15" s="1320">
        <f t="shared" si="5"/>
        <v>8.0526356973317004E-2</v>
      </c>
      <c r="AH15" s="1320">
        <f t="shared" si="5"/>
        <v>-8.6625726490981103E-2</v>
      </c>
      <c r="AI15" s="1320">
        <f t="shared" si="5"/>
        <v>0.41367762237238592</v>
      </c>
      <c r="AJ15" s="1320">
        <f t="shared" si="5"/>
        <v>0.19458032915604684</v>
      </c>
      <c r="AK15" s="1323">
        <f t="shared" si="5"/>
        <v>-6.1480316439352922E-2</v>
      </c>
      <c r="AL15" s="1320">
        <f t="shared" si="5"/>
        <v>5.5205215827799137E-2</v>
      </c>
      <c r="AM15" s="1320">
        <f t="shared" si="5"/>
        <v>5.6446634661055928E-2</v>
      </c>
    </row>
    <row r="16" spans="1:39" ht="17.25" customHeight="1" x14ac:dyDescent="0.35">
      <c r="A16" s="1331" t="str">
        <f>+A11</f>
        <v>PF Revenue</v>
      </c>
      <c r="C16" s="1291"/>
      <c r="D16" s="1291"/>
      <c r="E16" s="1291"/>
      <c r="F16" s="1292"/>
      <c r="G16" s="1312">
        <f t="shared" si="2"/>
        <v>4.5443398968248117E-2</v>
      </c>
      <c r="H16" s="1312">
        <f t="shared" si="2"/>
        <v>-0.2380009077978894</v>
      </c>
      <c r="I16" s="1312">
        <f t="shared" si="2"/>
        <v>-8.3965380068086182E-3</v>
      </c>
      <c r="J16" s="1313">
        <f t="shared" si="2"/>
        <v>0.14883301963976958</v>
      </c>
      <c r="K16" s="1312">
        <f t="shared" si="2"/>
        <v>0.17907173728905579</v>
      </c>
      <c r="L16" s="1312">
        <f t="shared" si="2"/>
        <v>0.72632307660515383</v>
      </c>
      <c r="M16" s="1312">
        <f t="shared" si="2"/>
        <v>0.42473296870866184</v>
      </c>
      <c r="N16" s="1313">
        <f t="shared" si="2"/>
        <v>0.35472604020455645</v>
      </c>
      <c r="O16" s="1312">
        <f t="shared" si="2"/>
        <v>0.40676760978485116</v>
      </c>
      <c r="P16" s="1312">
        <f t="shared" si="2"/>
        <v>0.2184561609317861</v>
      </c>
      <c r="Q16" s="1312">
        <f t="shared" si="3"/>
        <v>0.11826203562677962</v>
      </c>
      <c r="R16" s="1313">
        <f t="shared" si="3"/>
        <v>-9.4416577541496238E-3</v>
      </c>
      <c r="S16" s="1314">
        <f t="shared" si="3"/>
        <v>-7.0862347552592242E-2</v>
      </c>
      <c r="T16" s="1312">
        <f t="shared" si="3"/>
        <v>-7.7251247691280112E-2</v>
      </c>
      <c r="U16" s="1312">
        <f t="shared" si="3"/>
        <v>-6.0093514440455409E-2</v>
      </c>
      <c r="V16" s="1312">
        <f t="shared" si="3"/>
        <v>-2.7546632158216067E-2</v>
      </c>
      <c r="W16" s="1314">
        <f t="shared" si="3"/>
        <v>1.7503114483332638E-3</v>
      </c>
      <c r="X16" s="1312">
        <f t="shared" si="3"/>
        <v>2.4953486700789673E-2</v>
      </c>
      <c r="Y16" s="1315">
        <f t="shared" si="3"/>
        <v>3.593573622450319E-2</v>
      </c>
      <c r="Z16" s="1313">
        <f t="shared" si="3"/>
        <v>3.6543883655185017E-2</v>
      </c>
      <c r="AA16" s="1312">
        <f t="shared" si="4"/>
        <v>4.2321200919766211E-2</v>
      </c>
      <c r="AB16" s="1312">
        <f t="shared" si="4"/>
        <v>5.4233545111337156E-2</v>
      </c>
      <c r="AC16" s="1312">
        <f t="shared" si="4"/>
        <v>6.9597769134219778E-2</v>
      </c>
      <c r="AD16" s="1312">
        <f t="shared" si="4"/>
        <v>8.2392066781448836E-2</v>
      </c>
      <c r="AE16" s="1291"/>
      <c r="AF16" s="1312"/>
      <c r="AG16" s="1312">
        <f t="shared" si="5"/>
        <v>7.9281506666961876E-2</v>
      </c>
      <c r="AH16" s="1312">
        <f t="shared" si="5"/>
        <v>-1.601417779823644E-2</v>
      </c>
      <c r="AI16" s="1312">
        <f t="shared" si="5"/>
        <v>0.40590710238073546</v>
      </c>
      <c r="AJ16" s="1312">
        <f t="shared" si="5"/>
        <v>0.1643992411638342</v>
      </c>
      <c r="AK16" s="1315">
        <f t="shared" si="5"/>
        <v>-5.9236240372144811E-2</v>
      </c>
      <c r="AL16" s="1312">
        <f t="shared" si="5"/>
        <v>2.5130440625487305E-2</v>
      </c>
      <c r="AM16" s="1312">
        <f t="shared" si="5"/>
        <v>6.2576074065158638E-2</v>
      </c>
    </row>
    <row r="17" spans="1:39" ht="17.25" customHeight="1" x14ac:dyDescent="0.35">
      <c r="A17" s="1316"/>
      <c r="C17" s="1291"/>
      <c r="D17" s="1291"/>
      <c r="E17" s="1291"/>
      <c r="F17" s="1292"/>
      <c r="G17" s="1312"/>
      <c r="H17" s="1312"/>
      <c r="I17" s="1312"/>
      <c r="J17" s="1313"/>
      <c r="K17" s="1312"/>
      <c r="L17" s="1312"/>
      <c r="M17" s="1312"/>
      <c r="N17" s="1313"/>
      <c r="O17" s="1312"/>
      <c r="P17" s="1312"/>
      <c r="Q17" s="1312"/>
      <c r="R17" s="1313"/>
      <c r="S17" s="1314"/>
      <c r="T17" s="1312"/>
      <c r="U17" s="1312"/>
      <c r="V17" s="1312"/>
      <c r="W17" s="1314"/>
      <c r="X17" s="1312"/>
      <c r="Y17" s="1315"/>
      <c r="Z17" s="1313"/>
      <c r="AA17" s="1312"/>
      <c r="AB17" s="1312"/>
      <c r="AC17" s="1312"/>
      <c r="AD17" s="1312"/>
      <c r="AE17" s="1291"/>
      <c r="AF17" s="1312"/>
      <c r="AG17" s="1312"/>
      <c r="AH17" s="1312"/>
      <c r="AI17" s="1312"/>
      <c r="AJ17" s="1312"/>
      <c r="AK17" s="1315"/>
      <c r="AL17" s="1312"/>
      <c r="AM17" s="1312"/>
    </row>
    <row r="18" spans="1:39" ht="17.25" customHeight="1" x14ac:dyDescent="0.35">
      <c r="A18" s="1311" t="s">
        <v>122</v>
      </c>
      <c r="F18" s="1292"/>
      <c r="G18" s="1312"/>
      <c r="H18" s="1312"/>
      <c r="I18" s="1312"/>
      <c r="J18" s="1313"/>
      <c r="K18" s="1312"/>
      <c r="L18" s="1312"/>
      <c r="M18" s="1312"/>
      <c r="N18" s="1313"/>
      <c r="O18" s="1312"/>
      <c r="P18" s="1312"/>
      <c r="Q18" s="1312"/>
      <c r="R18" s="1313"/>
      <c r="S18" s="1314"/>
      <c r="T18" s="1312"/>
      <c r="U18" s="1312"/>
      <c r="V18" s="1312"/>
      <c r="W18" s="1314"/>
      <c r="X18" s="1312"/>
      <c r="Y18" s="1315"/>
      <c r="Z18" s="1313"/>
      <c r="AA18" s="1312"/>
      <c r="AB18" s="1312"/>
      <c r="AC18" s="1312"/>
      <c r="AD18" s="1312"/>
      <c r="AE18" s="1291"/>
      <c r="AF18" s="1312"/>
      <c r="AG18" s="1312"/>
      <c r="AH18" s="1312"/>
      <c r="AI18" s="1312"/>
      <c r="AJ18" s="1312"/>
      <c r="AK18" s="1315"/>
      <c r="AL18" s="1312"/>
      <c r="AM18" s="1312"/>
    </row>
    <row r="19" spans="1:39" ht="17.25" customHeight="1" x14ac:dyDescent="0.35">
      <c r="A19" s="1316" t="str">
        <f>+A14</f>
        <v>FA</v>
      </c>
      <c r="C19" s="1291"/>
      <c r="D19" s="1291"/>
      <c r="E19" s="1291"/>
      <c r="F19" s="1292"/>
      <c r="G19" s="1312">
        <f>+'FA - Historical Financials'!G29</f>
        <v>7.7305631828704403E-3</v>
      </c>
      <c r="H19" s="1312">
        <f>+'FA - Historical Financials'!H29</f>
        <v>-0.13268348470213548</v>
      </c>
      <c r="I19" s="1312">
        <f>+'FA - Historical Financials'!I29</f>
        <v>0.10297242943574247</v>
      </c>
      <c r="J19" s="1313">
        <f>+'FA - Historical Financials'!J29</f>
        <v>0.23371278158281353</v>
      </c>
      <c r="K19" s="1312">
        <f>+'FA - Historical Financials'!K29</f>
        <v>0.192</v>
      </c>
      <c r="L19" s="1312">
        <f>+'FA - Historical Financials'!L29</f>
        <v>0.59330622041469439</v>
      </c>
      <c r="M19" s="1312">
        <f>+'FA - Historical Financials'!M29</f>
        <v>0.34251853368231733</v>
      </c>
      <c r="N19" s="1313">
        <f>+'FA - Historical Financials'!N29</f>
        <v>0.30207481602616504</v>
      </c>
      <c r="O19" s="1312">
        <f>+'FA - Historical Financials'!O29</f>
        <v>0.33294465056409495</v>
      </c>
      <c r="P19" s="1312">
        <f>+'FA - Historical Financials'!P29</f>
        <v>0.11791724343061083</v>
      </c>
      <c r="Q19" s="1312">
        <f>+'FA - Historical Financials'!Q29</f>
        <v>4.2303763733557265E-2</v>
      </c>
      <c r="R19" s="1313">
        <f>+'FA - Historical Financials'!R29</f>
        <v>-8.116424820732937E-3</v>
      </c>
      <c r="S19" s="1314">
        <f>+'FA - Historical Financials'!S29</f>
        <v>-6.4308698605968884E-2</v>
      </c>
      <c r="T19" s="1312">
        <f>+'FA - Historical Financials'!T29</f>
        <v>-7.5262575597461856E-2</v>
      </c>
      <c r="U19" s="1312">
        <f>+'FA - Historical Financials'!U29</f>
        <v>-3.3842105774178677E-2</v>
      </c>
      <c r="V19" s="1312">
        <f>+'FA - Historical Financials'!V29</f>
        <v>-5.9557032321893612E-2</v>
      </c>
      <c r="W19" s="1314">
        <f>+'FA - Historical Financials'!W29</f>
        <v>-5.0999999999999997E-2</v>
      </c>
      <c r="X19" s="1312">
        <f>+'FA - Historical Financials'!X29</f>
        <v>-2.1999999999999999E-2</v>
      </c>
      <c r="Y19" s="1315">
        <f>+'FA - Historical Financials'!Y29</f>
        <v>-1.7999999999999999E-2</v>
      </c>
      <c r="Z19" s="1313">
        <f>+'FA - Historical Financials'!Z29</f>
        <v>0.03</v>
      </c>
      <c r="AA19" s="1312">
        <f>+'FA - Historical Financials'!AA29</f>
        <v>0.05</v>
      </c>
      <c r="AB19" s="1312">
        <f>+'FA - Historical Financials'!AB29</f>
        <v>5.9999999999999991E-2</v>
      </c>
      <c r="AC19" s="1312">
        <f>+'FA - Historical Financials'!AC29</f>
        <v>7.0000000000000007E-2</v>
      </c>
      <c r="AD19" s="1312">
        <f>+'FA - Historical Financials'!AD29</f>
        <v>0.08</v>
      </c>
      <c r="AE19" s="1291"/>
      <c r="AF19" s="1312"/>
      <c r="AG19" s="1312">
        <f>+'FA - Historical Financials'!AG29</f>
        <v>8.2981677786642408E-2</v>
      </c>
      <c r="AH19" s="1312">
        <f>+'FA - Historical Financials'!AH29</f>
        <v>5.6178009511735218E-2</v>
      </c>
      <c r="AI19" s="1312">
        <f>+'FA - Historical Financials'!AI29</f>
        <v>0.35038711273995687</v>
      </c>
      <c r="AJ19" s="1312">
        <f>+'FA - Historical Financials'!AJ29</f>
        <v>9.9651127692880204E-2</v>
      </c>
      <c r="AK19" s="1315">
        <f>+'FA - Historical Financials'!AK29</f>
        <v>-5.8039743669590776E-2</v>
      </c>
      <c r="AL19" s="1312">
        <f>+SUMPRODUCT(W19:Z19,S9:V9)/SUM(S9:V9)</f>
        <v>-1.3823882078294126E-2</v>
      </c>
      <c r="AM19" s="1312">
        <f>+SUMPRODUCT(AA19:AD19,W9:Z9)/SUM(W9:Z9)</f>
        <v>6.5860468374287551E-2</v>
      </c>
    </row>
    <row r="20" spans="1:39" s="1317" customFormat="1" ht="17.25" customHeight="1" x14ac:dyDescent="0.35">
      <c r="A20" s="1316" t="str">
        <f>+A15</f>
        <v>STER</v>
      </c>
      <c r="C20" s="1320"/>
      <c r="D20" s="1320"/>
      <c r="E20" s="1320"/>
      <c r="F20" s="1321"/>
      <c r="G20" s="1320">
        <f>+'Peer benchmarking'!G67</f>
        <v>8.4680557995455277E-2</v>
      </c>
      <c r="H20" s="1320">
        <f>+'Peer benchmarking'!H67</f>
        <v>-0.32449355966189164</v>
      </c>
      <c r="I20" s="1320">
        <f>+'Peer benchmarking'!I67</f>
        <v>-0.12178973646619713</v>
      </c>
      <c r="J20" s="1321">
        <f>+'Peer benchmarking'!J67</f>
        <v>4.7325180565086042E-2</v>
      </c>
      <c r="K20" s="1320">
        <f>+'Peer benchmarking'!K67</f>
        <v>0.1436179272751468</v>
      </c>
      <c r="L20" s="1320">
        <f>+'Peer benchmarking'!L67</f>
        <v>0.76674289527724193</v>
      </c>
      <c r="M20" s="1320">
        <f>+'Peer benchmarking'!M67</f>
        <v>0.43178302635237564</v>
      </c>
      <c r="N20" s="1321">
        <f>+'Peer benchmarking'!N67</f>
        <v>0.3231637444330222</v>
      </c>
      <c r="O20" s="1320">
        <f>+'Peer benchmarking'!O67</f>
        <v>0.30442699289660607</v>
      </c>
      <c r="P20" s="1320">
        <f>+'Peer benchmarking'!P67</f>
        <v>0.22836327575818444</v>
      </c>
      <c r="Q20" s="1320">
        <f>+'Peer benchmarking'!Q67</f>
        <v>0.124</v>
      </c>
      <c r="R20" s="1321">
        <f>+'Peer benchmarking'!R67</f>
        <v>-4.2999999999999997E-2</v>
      </c>
      <c r="S20" s="1322">
        <f>+'Peer benchmarking'!S67</f>
        <v>-7.0999999999999994E-2</v>
      </c>
      <c r="T20" s="1320">
        <f>+'Peer benchmarking'!T67</f>
        <v>-0.10100000000000001</v>
      </c>
      <c r="U20" s="1320">
        <f>+'Peer benchmarking'!U67</f>
        <v>-0.11899999999999999</v>
      </c>
      <c r="V20" s="1320">
        <f>+'Peer benchmarking'!V67</f>
        <v>-2.8000000000000001E-2</v>
      </c>
      <c r="W20" s="1322">
        <f>+'STER - Historical Financials'!W27</f>
        <v>-4.9000000000000002E-2</v>
      </c>
      <c r="X20" s="1320">
        <f>+'STER - Historical Financials'!X27</f>
        <v>-9.0000000000000011E-3</v>
      </c>
      <c r="Y20" s="1323">
        <f>+'STER - Historical Financials'!Y27</f>
        <v>1.4999999999999999E-2</v>
      </c>
      <c r="Z20" s="1321">
        <f>+'STER - Historical Financials'!Z27</f>
        <v>-2.127558790196912E-2</v>
      </c>
      <c r="AA20" s="1320">
        <f>+'STER - Historical Financials'!AA27</f>
        <v>3.0000000000000002E-2</v>
      </c>
      <c r="AB20" s="1320">
        <f>+'STER - Historical Financials'!AB27</f>
        <v>4.4999999999999998E-2</v>
      </c>
      <c r="AC20" s="1320">
        <f>+'STER - Historical Financials'!AC27</f>
        <v>6.0000000000000005E-2</v>
      </c>
      <c r="AD20" s="1320">
        <f>+'STER - Historical Financials'!AD27</f>
        <v>0.08</v>
      </c>
      <c r="AF20" s="1320"/>
      <c r="AG20" s="1320">
        <v>6.1351910038065685E-2</v>
      </c>
      <c r="AH20" s="1320">
        <f>+'Peer benchmarking'!AC67</f>
        <v>-8.8564644209726026E-2</v>
      </c>
      <c r="AI20" s="1320">
        <f>+'Peer benchmarking'!AD67</f>
        <v>0.39061994857864163</v>
      </c>
      <c r="AJ20" s="1320">
        <f>+'Peer benchmarking'!AE67</f>
        <v>0.14390711561590563</v>
      </c>
      <c r="AK20" s="1323">
        <f>+'Peer benchmarking'!AF67</f>
        <v>-8.1990766606414869E-2</v>
      </c>
      <c r="AL20" s="1320">
        <f>+SUMPRODUCT(W20:Z20,S10:V10)/SUM(S10:V10)</f>
        <v>-1.5832662164415541E-2</v>
      </c>
      <c r="AM20" s="1320">
        <f>+SUMPRODUCT(AA20:AD20,W10:Z10)/SUM(W10:Z10)</f>
        <v>5.3361488558675549E-2</v>
      </c>
    </row>
    <row r="21" spans="1:39" ht="17.25" customHeight="1" x14ac:dyDescent="0.35">
      <c r="A21" s="1331" t="str">
        <f>+A16</f>
        <v>PF Revenue</v>
      </c>
      <c r="C21" s="1291"/>
      <c r="D21" s="1291"/>
      <c r="E21" s="1291"/>
      <c r="F21" s="1292"/>
      <c r="G21" s="1312">
        <f t="shared" ref="G21:AD21" si="6">+SUMPRODUCT(G19:G20,C9:C10)/SUM(C9:C10)</f>
        <v>4.6351278037379304E-2</v>
      </c>
      <c r="H21" s="1312">
        <f t="shared" si="6"/>
        <v>-0.2326582170088129</v>
      </c>
      <c r="I21" s="1312">
        <f t="shared" si="6"/>
        <v>-1.3349701307089106E-2</v>
      </c>
      <c r="J21" s="1313">
        <f t="shared" si="6"/>
        <v>0.14249501912213283</v>
      </c>
      <c r="K21" s="1312">
        <f t="shared" si="6"/>
        <v>0.16691189403991019</v>
      </c>
      <c r="L21" s="1312">
        <f t="shared" si="6"/>
        <v>0.67266736055051879</v>
      </c>
      <c r="M21" s="1312">
        <f t="shared" si="6"/>
        <v>0.38378631128275259</v>
      </c>
      <c r="N21" s="1313">
        <f t="shared" si="6"/>
        <v>0.31158199919802765</v>
      </c>
      <c r="O21" s="1312">
        <f t="shared" si="6"/>
        <v>0.31830235042735044</v>
      </c>
      <c r="P21" s="1312">
        <f t="shared" si="6"/>
        <v>0.17057902643691225</v>
      </c>
      <c r="Q21" s="1312">
        <f t="shared" si="6"/>
        <v>8.0524656203783379E-2</v>
      </c>
      <c r="R21" s="1313">
        <f t="shared" si="6"/>
        <v>-2.3801075199204498E-2</v>
      </c>
      <c r="S21" s="1314">
        <f t="shared" si="6"/>
        <v>-6.7672669849392242E-2</v>
      </c>
      <c r="T21" s="1312">
        <f t="shared" si="6"/>
        <v>-8.8258662612488728E-2</v>
      </c>
      <c r="U21" s="1312">
        <f t="shared" si="6"/>
        <v>-7.5718521534228936E-2</v>
      </c>
      <c r="V21" s="1312">
        <f t="shared" si="6"/>
        <v>-4.553883452014424E-2</v>
      </c>
      <c r="W21" s="1314">
        <f t="shared" si="6"/>
        <v>-4.9989419212275288E-2</v>
      </c>
      <c r="X21" s="1312">
        <f t="shared" si="6"/>
        <v>-1.5412300804633497E-2</v>
      </c>
      <c r="Y21" s="1315">
        <f t="shared" si="6"/>
        <v>-2.3575512561362978E-3</v>
      </c>
      <c r="Z21" s="1313">
        <f t="shared" si="6"/>
        <v>6.6467237309733376E-3</v>
      </c>
      <c r="AA21" s="1312">
        <f t="shared" si="6"/>
        <v>3.9533418679571775E-2</v>
      </c>
      <c r="AB21" s="1312">
        <f t="shared" si="6"/>
        <v>5.2188722167687253E-2</v>
      </c>
      <c r="AC21" s="1312">
        <f t="shared" si="6"/>
        <v>6.5045854355720328E-2</v>
      </c>
      <c r="AD21" s="1312">
        <f t="shared" si="6"/>
        <v>0.08</v>
      </c>
      <c r="AE21" s="1291"/>
      <c r="AF21" s="1312"/>
      <c r="AG21" s="1312">
        <f t="shared" ref="AG21:AL21" si="7">+SUMPRODUCT(AG19:AG20,AF9:AF10)/SUM(AF9:AF10)</f>
        <v>7.2009874566670351E-2</v>
      </c>
      <c r="AH21" s="1312">
        <f t="shared" si="7"/>
        <v>-1.7328079114558113E-2</v>
      </c>
      <c r="AI21" s="1312">
        <f t="shared" si="7"/>
        <v>0.36935274661116163</v>
      </c>
      <c r="AJ21" s="1312">
        <f t="shared" si="7"/>
        <v>0.12062856904441738</v>
      </c>
      <c r="AK21" s="1315">
        <f t="shared" si="7"/>
        <v>-6.968684858715754E-2</v>
      </c>
      <c r="AL21" s="1312">
        <f t="shared" si="7"/>
        <v>-1.4798398410139942E-2</v>
      </c>
      <c r="AM21" s="1312">
        <f>+SUMPRODUCT(AA21:AD21,W11:Z11)/SUM(W11:Z11)</f>
        <v>5.9618966667857265E-2</v>
      </c>
    </row>
    <row r="22" spans="1:39" ht="17.25" customHeight="1" x14ac:dyDescent="0.35">
      <c r="A22" s="1331"/>
      <c r="C22" s="1291"/>
      <c r="D22" s="1291"/>
      <c r="E22" s="1291"/>
      <c r="F22" s="1292"/>
      <c r="G22" s="1312"/>
      <c r="H22" s="1312"/>
      <c r="I22" s="1312"/>
      <c r="J22" s="1313"/>
      <c r="K22" s="1312"/>
      <c r="L22" s="1312"/>
      <c r="M22" s="1312"/>
      <c r="N22" s="1313"/>
      <c r="O22" s="1312"/>
      <c r="P22" s="1312"/>
      <c r="Q22" s="1312"/>
      <c r="R22" s="1313"/>
      <c r="S22" s="1314"/>
      <c r="T22" s="1312"/>
      <c r="U22" s="1312"/>
      <c r="V22" s="1312"/>
      <c r="W22" s="1314"/>
      <c r="X22" s="1312"/>
      <c r="Y22" s="1315"/>
      <c r="Z22" s="1313"/>
      <c r="AA22" s="1312"/>
      <c r="AB22" s="1312"/>
      <c r="AC22" s="1312"/>
      <c r="AD22" s="1312"/>
      <c r="AE22" s="1291"/>
      <c r="AF22" s="1312"/>
      <c r="AG22" s="1312"/>
      <c r="AH22" s="1312"/>
      <c r="AI22" s="1312"/>
      <c r="AJ22" s="1312"/>
      <c r="AK22" s="1315"/>
    </row>
    <row r="23" spans="1:39" ht="17.25" customHeight="1" x14ac:dyDescent="0.35">
      <c r="A23" s="1311" t="s">
        <v>123</v>
      </c>
      <c r="C23" s="1291"/>
      <c r="D23" s="1291"/>
      <c r="E23" s="1291"/>
      <c r="F23" s="1292"/>
      <c r="G23" s="1312"/>
      <c r="H23" s="1312"/>
      <c r="I23" s="1312"/>
      <c r="J23" s="1313"/>
      <c r="K23" s="1312"/>
      <c r="L23" s="1312"/>
      <c r="M23" s="1312"/>
      <c r="N23" s="1313"/>
      <c r="O23" s="1312"/>
      <c r="P23" s="1312"/>
      <c r="Q23" s="1312"/>
      <c r="R23" s="1313"/>
      <c r="S23" s="1314"/>
      <c r="T23" s="1312"/>
      <c r="U23" s="1312"/>
      <c r="V23" s="1312"/>
      <c r="W23" s="1314"/>
      <c r="X23" s="1312"/>
      <c r="Y23" s="1315"/>
      <c r="Z23" s="1313"/>
      <c r="AA23" s="1312"/>
      <c r="AB23" s="1312"/>
      <c r="AC23" s="1312"/>
      <c r="AD23" s="1312"/>
      <c r="AE23" s="1291"/>
      <c r="AF23" s="1312"/>
      <c r="AG23" s="1312"/>
      <c r="AH23" s="1312"/>
      <c r="AI23" s="1312"/>
      <c r="AJ23" s="1312"/>
      <c r="AK23" s="1315"/>
      <c r="AL23" s="1312"/>
      <c r="AM23" s="1312"/>
    </row>
    <row r="24" spans="1:39" ht="17.25" customHeight="1" x14ac:dyDescent="0.35">
      <c r="A24" s="1316" t="str">
        <f>+A19</f>
        <v>FA</v>
      </c>
      <c r="C24" s="1312"/>
      <c r="D24" s="1312">
        <f t="shared" ref="D24:AD24" si="8">D9/C9-1</f>
        <v>0.10880049595667662</v>
      </c>
      <c r="E24" s="1312">
        <f t="shared" si="8"/>
        <v>1.7661423602831849E-2</v>
      </c>
      <c r="F24" s="1313">
        <f t="shared" si="8"/>
        <v>2.3600416905686705E-2</v>
      </c>
      <c r="G24" s="1312">
        <f t="shared" si="8"/>
        <v>-0.12511642592154038</v>
      </c>
      <c r="H24" s="1312">
        <f t="shared" si="8"/>
        <v>-5.2743168018477338E-2</v>
      </c>
      <c r="I24" s="1312">
        <f t="shared" si="8"/>
        <v>0.30273446801215309</v>
      </c>
      <c r="J24" s="1313">
        <f t="shared" si="8"/>
        <v>0.14451154425419244</v>
      </c>
      <c r="K24" s="1312">
        <f t="shared" si="8"/>
        <v>-0.15633943172526543</v>
      </c>
      <c r="L24" s="1312">
        <f t="shared" si="8"/>
        <v>0.32373741197849637</v>
      </c>
      <c r="M24" s="1312">
        <f t="shared" si="8"/>
        <v>0.10319403292416451</v>
      </c>
      <c r="N24" s="1313">
        <f t="shared" si="8"/>
        <v>0.10196145530339651</v>
      </c>
      <c r="O24" s="1312">
        <f t="shared" si="8"/>
        <v>-0.10657689195038933</v>
      </c>
      <c r="P24" s="1312">
        <f t="shared" si="8"/>
        <v>6.1512210279069501E-2</v>
      </c>
      <c r="Q24" s="1312">
        <f t="shared" si="8"/>
        <v>2.195365174810604E-2</v>
      </c>
      <c r="R24" s="1313">
        <f t="shared" si="8"/>
        <v>3.2084704785762197E-2</v>
      </c>
      <c r="S24" s="1314">
        <f t="shared" si="8"/>
        <v>-0.17439262447376458</v>
      </c>
      <c r="T24" s="1312">
        <f t="shared" si="8"/>
        <v>5.5805606198723767E-2</v>
      </c>
      <c r="U24" s="1312">
        <f t="shared" si="8"/>
        <v>8.1207673420931936E-2</v>
      </c>
      <c r="V24" s="1312">
        <f t="shared" si="8"/>
        <v>1.0970034537142404E-2</v>
      </c>
      <c r="W24" s="1314">
        <f t="shared" si="8"/>
        <v>-0.16363385037667477</v>
      </c>
      <c r="X24" s="1312">
        <f t="shared" si="8"/>
        <v>8.9306795107900072E-2</v>
      </c>
      <c r="Y24" s="1315">
        <f t="shared" si="8"/>
        <v>7.8966761674596153E-2</v>
      </c>
      <c r="Z24" s="1313">
        <f t="shared" si="8"/>
        <v>4.5759767957708863E-2</v>
      </c>
      <c r="AA24" s="1312">
        <f t="shared" si="8"/>
        <v>-0.14355995284263168</v>
      </c>
      <c r="AB24" s="1312">
        <f t="shared" si="8"/>
        <v>9.8997471654025837E-2</v>
      </c>
      <c r="AC24" s="1312">
        <f t="shared" si="8"/>
        <v>9.1641735263045421E-2</v>
      </c>
      <c r="AD24" s="1312">
        <f t="shared" si="8"/>
        <v>5.3146970585057129E-2</v>
      </c>
      <c r="AE24" s="1291"/>
      <c r="AF24" s="1312"/>
      <c r="AG24" s="1312"/>
      <c r="AH24" s="1312"/>
      <c r="AI24" s="1312"/>
      <c r="AJ24" s="1312"/>
      <c r="AK24" s="1315"/>
      <c r="AL24" s="1312"/>
      <c r="AM24" s="1312"/>
    </row>
    <row r="25" spans="1:39" s="1317" customFormat="1" ht="17.25" customHeight="1" x14ac:dyDescent="0.35">
      <c r="A25" s="1316" t="str">
        <f>+A20</f>
        <v>STER</v>
      </c>
      <c r="C25" s="1320"/>
      <c r="D25" s="1320">
        <f t="shared" ref="D25:AD25" si="9">D10/C10-1</f>
        <v>0.19796509260683481</v>
      </c>
      <c r="E25" s="1320">
        <f t="shared" si="9"/>
        <v>2.7567913365755814E-3</v>
      </c>
      <c r="F25" s="1321">
        <f t="shared" si="9"/>
        <v>-8.5386015773699864E-2</v>
      </c>
      <c r="G25" s="1320">
        <f t="shared" si="9"/>
        <v>-1.6906999151767632E-2</v>
      </c>
      <c r="H25" s="1320">
        <f t="shared" si="9"/>
        <v>-0.25805019434392173</v>
      </c>
      <c r="I25" s="1320">
        <f t="shared" si="9"/>
        <v>0.32777432794029648</v>
      </c>
      <c r="J25" s="1321">
        <f t="shared" si="9"/>
        <v>9.2693765343024648E-2</v>
      </c>
      <c r="K25" s="1320">
        <f t="shared" si="9"/>
        <v>8.4563587082977731E-2</v>
      </c>
      <c r="L25" s="1320">
        <f t="shared" si="9"/>
        <v>0.14320154983138411</v>
      </c>
      <c r="M25" s="1320">
        <f t="shared" si="9"/>
        <v>6.4200893753765698E-2</v>
      </c>
      <c r="N25" s="1321">
        <f t="shared" si="9"/>
        <v>2.4015522803541023E-2</v>
      </c>
      <c r="O25" s="1320">
        <f t="shared" si="9"/>
        <v>0.10564479436038932</v>
      </c>
      <c r="P25" s="1320">
        <f t="shared" si="9"/>
        <v>7.0942637467964031E-2</v>
      </c>
      <c r="Q25" s="1320">
        <f t="shared" si="9"/>
        <v>-3.0604452529536808E-2</v>
      </c>
      <c r="R25" s="1321">
        <f t="shared" si="9"/>
        <v>-0.14741167793114873</v>
      </c>
      <c r="S25" s="1322">
        <f t="shared" si="9"/>
        <v>5.5049435028248661E-2</v>
      </c>
      <c r="T25" s="1320">
        <f t="shared" si="9"/>
        <v>6.1972176668116941E-2</v>
      </c>
      <c r="U25" s="1320">
        <f t="shared" si="9"/>
        <v>-5.1569459618455271E-2</v>
      </c>
      <c r="V25" s="1320">
        <f t="shared" si="9"/>
        <v>-6.1750274137988725E-2</v>
      </c>
      <c r="W25" s="1322">
        <f t="shared" si="9"/>
        <v>9.7883316805969178E-2</v>
      </c>
      <c r="X25" s="1320">
        <f t="shared" si="9"/>
        <v>7.81133231899096E-2</v>
      </c>
      <c r="Y25" s="1323">
        <f t="shared" si="9"/>
        <v>-2.5073805154392392E-2</v>
      </c>
      <c r="Z25" s="1321">
        <f t="shared" si="9"/>
        <v>-9.2885516530346157E-2</v>
      </c>
      <c r="AA25" s="1320">
        <f t="shared" si="9"/>
        <v>8.333470259755571E-2</v>
      </c>
      <c r="AB25" s="1320">
        <f t="shared" si="9"/>
        <v>9.2892276632021931E-2</v>
      </c>
      <c r="AC25" s="1320">
        <f t="shared" si="9"/>
        <v>-8.7412787157974403E-3</v>
      </c>
      <c r="AD25" s="1320">
        <f t="shared" si="9"/>
        <v>-7.7427361580128307E-2</v>
      </c>
      <c r="AE25" s="1318"/>
      <c r="AF25" s="1320"/>
      <c r="AG25" s="1320"/>
      <c r="AH25" s="1320"/>
      <c r="AI25" s="1320"/>
      <c r="AJ25" s="1320"/>
      <c r="AK25" s="1323"/>
      <c r="AL25" s="1320"/>
      <c r="AM25" s="1320"/>
    </row>
    <row r="26" spans="1:39" ht="17.25" customHeight="1" x14ac:dyDescent="0.35">
      <c r="A26" s="1331" t="str">
        <f>+A21</f>
        <v>PF Revenue</v>
      </c>
      <c r="C26" s="1312"/>
      <c r="D26" s="1312">
        <f t="shared" ref="D26:AD26" si="10">D11/C11-1</f>
        <v>0.15355164208384808</v>
      </c>
      <c r="E26" s="1312">
        <f t="shared" si="10"/>
        <v>9.8928711883610188E-3</v>
      </c>
      <c r="F26" s="1313">
        <f t="shared" si="10"/>
        <v>-3.2803800505429859E-2</v>
      </c>
      <c r="G26" s="1312">
        <f t="shared" si="10"/>
        <v>-7.2158923742236314E-2</v>
      </c>
      <c r="H26" s="1312">
        <f t="shared" si="10"/>
        <v>-0.15920335338705127</v>
      </c>
      <c r="I26" s="1312">
        <f t="shared" si="10"/>
        <v>0.31419220516211688</v>
      </c>
      <c r="J26" s="1313">
        <f t="shared" si="10"/>
        <v>0.12055571913391083</v>
      </c>
      <c r="K26" s="1312">
        <f t="shared" si="10"/>
        <v>-4.773698961540751E-2</v>
      </c>
      <c r="L26" s="1312">
        <f t="shared" si="10"/>
        <v>0.23104185086943718</v>
      </c>
      <c r="M26" s="1312">
        <f t="shared" si="10"/>
        <v>8.4601710588531054E-2</v>
      </c>
      <c r="N26" s="1313">
        <f t="shared" si="10"/>
        <v>6.5495110699071324E-2</v>
      </c>
      <c r="O26" s="1312">
        <f t="shared" si="10"/>
        <v>-1.115596862448609E-2</v>
      </c>
      <c r="P26" s="1312">
        <f t="shared" si="10"/>
        <v>6.6253244049411686E-2</v>
      </c>
      <c r="Q26" s="1312">
        <f t="shared" si="10"/>
        <v>-4.5855110622079476E-3</v>
      </c>
      <c r="R26" s="1313">
        <f t="shared" si="10"/>
        <v>-5.6182686257818526E-2</v>
      </c>
      <c r="S26" s="1314">
        <f t="shared" si="10"/>
        <v>-7.2470360639452114E-2</v>
      </c>
      <c r="T26" s="1312">
        <f t="shared" si="10"/>
        <v>5.8921515019983328E-2</v>
      </c>
      <c r="U26" s="1312">
        <f t="shared" si="10"/>
        <v>1.3923380152728759E-2</v>
      </c>
      <c r="V26" s="1312">
        <f t="shared" si="10"/>
        <v>-2.350038064736315E-2</v>
      </c>
      <c r="W26" s="1314">
        <f t="shared" si="10"/>
        <v>-4.4526826855351587E-2</v>
      </c>
      <c r="X26" s="1312">
        <f t="shared" si="10"/>
        <v>8.3448925903521154E-2</v>
      </c>
      <c r="Y26" s="1315">
        <f t="shared" si="10"/>
        <v>2.478744345242756E-2</v>
      </c>
      <c r="Z26" s="1313">
        <f t="shared" si="10"/>
        <v>-2.2927125266932524E-2</v>
      </c>
      <c r="AA26" s="1312">
        <f t="shared" si="10"/>
        <v>-3.920136814000319E-2</v>
      </c>
      <c r="AB26" s="1312">
        <f t="shared" si="10"/>
        <v>9.5831305258332167E-2</v>
      </c>
      <c r="AC26" s="1312">
        <f t="shared" si="10"/>
        <v>3.9722524896243172E-2</v>
      </c>
      <c r="AD26" s="1312">
        <f t="shared" si="10"/>
        <v>-1.1239590435509483E-2</v>
      </c>
      <c r="AE26" s="1291"/>
      <c r="AF26" s="1312"/>
      <c r="AG26" s="1312"/>
      <c r="AH26" s="1312"/>
      <c r="AI26" s="1312"/>
      <c r="AJ26" s="1312"/>
      <c r="AK26" s="1315"/>
      <c r="AL26" s="1312"/>
      <c r="AM26" s="1312"/>
    </row>
    <row r="27" spans="1:39" ht="17.25" customHeight="1" x14ac:dyDescent="0.35">
      <c r="A27" s="1316"/>
      <c r="C27" s="1312"/>
      <c r="D27" s="1312"/>
      <c r="E27" s="1312"/>
      <c r="F27" s="1313"/>
      <c r="G27" s="1312"/>
      <c r="H27" s="1312"/>
      <c r="I27" s="1312"/>
      <c r="J27" s="1313"/>
      <c r="K27" s="1312"/>
      <c r="L27" s="1312"/>
      <c r="M27" s="1312"/>
      <c r="N27" s="1313"/>
      <c r="O27" s="1312"/>
      <c r="P27" s="1312"/>
      <c r="Q27" s="1312"/>
      <c r="R27" s="1313"/>
      <c r="S27" s="1314"/>
      <c r="T27" s="1312"/>
      <c r="U27" s="1312"/>
      <c r="V27" s="1312"/>
      <c r="W27" s="1314"/>
      <c r="X27" s="1312"/>
      <c r="Y27" s="1315"/>
      <c r="Z27" s="1313"/>
      <c r="AA27" s="1312"/>
      <c r="AB27" s="1312"/>
      <c r="AC27" s="1312"/>
      <c r="AD27" s="1312"/>
      <c r="AE27" s="1291"/>
      <c r="AF27" s="1312"/>
      <c r="AG27" s="1312"/>
      <c r="AH27" s="1312"/>
      <c r="AI27" s="1312"/>
      <c r="AJ27" s="1312"/>
      <c r="AK27" s="1315"/>
      <c r="AL27" s="1312"/>
      <c r="AM27" s="1312"/>
    </row>
    <row r="28" spans="1:39" ht="17.25" customHeight="1" x14ac:dyDescent="0.35">
      <c r="A28" s="1311" t="s">
        <v>124</v>
      </c>
      <c r="F28" s="1292"/>
      <c r="G28" s="1312"/>
      <c r="H28" s="1312"/>
      <c r="I28" s="1312"/>
      <c r="J28" s="1313"/>
      <c r="K28" s="1312"/>
      <c r="L28" s="1312"/>
      <c r="M28" s="1312"/>
      <c r="N28" s="1313"/>
      <c r="O28" s="1312"/>
      <c r="P28" s="1312"/>
      <c r="Q28" s="1312"/>
      <c r="R28" s="1313"/>
      <c r="S28" s="1314"/>
      <c r="T28" s="1312"/>
      <c r="U28" s="1312"/>
      <c r="V28" s="1312"/>
      <c r="W28" s="1314"/>
      <c r="X28" s="1312"/>
      <c r="Y28" s="1315"/>
      <c r="Z28" s="1313"/>
      <c r="AA28" s="1312"/>
      <c r="AB28" s="1312"/>
      <c r="AC28" s="1312"/>
      <c r="AD28" s="1312"/>
      <c r="AE28" s="1291"/>
      <c r="AF28" s="1312"/>
      <c r="AG28" s="1312"/>
      <c r="AH28" s="1312"/>
      <c r="AI28" s="1312"/>
      <c r="AJ28" s="1312"/>
      <c r="AK28" s="1315"/>
      <c r="AL28" s="1312"/>
      <c r="AM28" s="1312"/>
    </row>
    <row r="29" spans="1:39" ht="17.25" customHeight="1" x14ac:dyDescent="0.35">
      <c r="A29" s="1316" t="str">
        <f>+A24</f>
        <v>FA</v>
      </c>
      <c r="C29" s="1291"/>
      <c r="D29" s="1291"/>
      <c r="E29" s="1291"/>
      <c r="F29" s="1292"/>
      <c r="G29" s="1312">
        <f>+'FA - Historical Financials'!G30</f>
        <v>-0.12588171614834517</v>
      </c>
      <c r="H29" s="1312">
        <f>+'FA - Historical Financials'!H30</f>
        <v>-5.5420978967437244E-2</v>
      </c>
      <c r="I29" s="1312">
        <f>+'FA - Historical Financials'!I30</f>
        <v>0.30597153695106238</v>
      </c>
      <c r="J29" s="1313">
        <f>+'FA - Historical Financials'!J30</f>
        <v>0.14596437372187154</v>
      </c>
      <c r="K29" s="1312">
        <f>+'FA - Historical Financials'!K30</f>
        <v>-0.15305567888309818</v>
      </c>
      <c r="L29" s="1312">
        <f>+'FA - Historical Financials'!L30</f>
        <v>0.32451184840929903</v>
      </c>
      <c r="M29" s="1312">
        <f>+'FA - Historical Financials'!M30</f>
        <v>0.10093241923959298</v>
      </c>
      <c r="N29" s="1313">
        <f>+'FA - Historical Financials'!N30</f>
        <v>9.5792553216010198E-2</v>
      </c>
      <c r="O29" s="1312">
        <f>+'FA - Historical Financials'!O30</f>
        <v>-0.13676968244761434</v>
      </c>
      <c r="P29" s="1312">
        <f>+'FA - Historical Financials'!P30</f>
        <v>5.3707182079853463E-2</v>
      </c>
      <c r="Q29" s="1312">
        <f>+'FA - Historical Financials'!Q30</f>
        <v>1.4435582631464874E-2</v>
      </c>
      <c r="R29" s="1313">
        <f>+'FA - Historical Financials'!R30</f>
        <v>3.1589291606284514E-2</v>
      </c>
      <c r="S29" s="1314">
        <f>+'FA - Historical Financials'!S30</f>
        <v>-0.17058059880775103</v>
      </c>
      <c r="T29" s="1312">
        <f>+'FA - Historical Financials'!T30</f>
        <v>5.8204218436535463E-2</v>
      </c>
      <c r="U29" s="1312">
        <f>+'FA - Historical Financials'!U30</f>
        <v>7.7221021472540952E-2</v>
      </c>
      <c r="V29" s="1312">
        <f>+'FA - Historical Financials'!V30</f>
        <v>3.103360230935469E-3</v>
      </c>
      <c r="W29" s="1314">
        <f>+'FA - Historical Financials'!W30</f>
        <v>-0.16199250982173832</v>
      </c>
      <c r="X29" s="1312">
        <f>+'FA - Historical Financials'!X30</f>
        <v>8.8630375042550891E-2</v>
      </c>
      <c r="Y29" s="1315">
        <f>+'FA - Historical Financials'!Y30</f>
        <v>8.1542601044661295E-2</v>
      </c>
      <c r="Z29" s="1313">
        <f>+'FA - Historical Financials'!Z30</f>
        <v>4.4154548698592505E-2</v>
      </c>
      <c r="AA29" s="1312">
        <f>+'FA - Historical Financials'!AA30</f>
        <v>-0.1461432245706891</v>
      </c>
      <c r="AB29" s="1312">
        <f>+'FA - Historical Financials'!AB30</f>
        <v>9.8997471654025837E-2</v>
      </c>
      <c r="AC29" s="1312">
        <f>+'FA - Historical Financials'!AC30</f>
        <v>9.1641735263045421E-2</v>
      </c>
      <c r="AD29" s="1312">
        <f>+'FA - Historical Financials'!AD30</f>
        <v>5.3146970585057129E-2</v>
      </c>
      <c r="AE29" s="1291"/>
      <c r="AF29" s="1312"/>
      <c r="AG29" s="1312"/>
      <c r="AH29" s="1312"/>
      <c r="AI29" s="1312"/>
      <c r="AJ29" s="1312"/>
      <c r="AK29" s="1315"/>
      <c r="AL29" s="1312"/>
      <c r="AM29" s="1312"/>
    </row>
    <row r="30" spans="1:39" s="1317" customFormat="1" ht="17.25" customHeight="1" x14ac:dyDescent="0.35">
      <c r="A30" s="1316" t="str">
        <f>+A25</f>
        <v>STER</v>
      </c>
      <c r="C30" s="1320"/>
      <c r="D30" s="1320"/>
      <c r="E30" s="1320"/>
      <c r="F30" s="1321"/>
      <c r="G30" s="1346" t="s">
        <v>126</v>
      </c>
      <c r="H30" s="1346" t="s">
        <v>126</v>
      </c>
      <c r="I30" s="1320">
        <f>+'STER - Historical Financials'!I28</f>
        <v>0.33373525137285392</v>
      </c>
      <c r="J30" s="1321">
        <f>+'STER - Historical Financials'!J28</f>
        <v>9.5917756178158314E-2</v>
      </c>
      <c r="K30" s="1320">
        <f>+'STER - Historical Financials'!K28</f>
        <v>9.0236494255143282E-2</v>
      </c>
      <c r="L30" s="1320">
        <f>+'STER - Historical Financials'!L28</f>
        <v>0.14402176676613271</v>
      </c>
      <c r="M30" s="1320">
        <f>+'STER - Historical Financials'!M28</f>
        <v>6.2033231900941066E-2</v>
      </c>
      <c r="N30" s="1321">
        <f>+'STER - Historical Financials'!N28</f>
        <v>3.2292738979812913E-3</v>
      </c>
      <c r="O30" s="1320">
        <f>+'STER - Historical Financials'!O28</f>
        <v>5.7269697326086534E-2</v>
      </c>
      <c r="P30" s="1320">
        <f>+'STER - Historical Financials'!P28</f>
        <v>6.3653707038954038E-2</v>
      </c>
      <c r="Q30" s="1320">
        <f>+'STER - Historical Financials'!Q28</f>
        <v>-3.8142851913165909E-2</v>
      </c>
      <c r="R30" s="1321">
        <f>+'STER - Historical Financials'!R28</f>
        <v>-0.14807773960984646</v>
      </c>
      <c r="S30" s="1322">
        <f>+'STER - Historical Financials'!S28</f>
        <v>4.2538498903244105E-2</v>
      </c>
      <c r="T30" s="1320">
        <f>+'STER - Historical Financials'!T28</f>
        <v>4.406622247160058E-2</v>
      </c>
      <c r="U30" s="1320">
        <f>+'STER - Historical Financials'!U28</f>
        <v>-5.0866708501199488E-2</v>
      </c>
      <c r="V30" s="1320">
        <f>+'STER - Historical Financials'!V28</f>
        <v>-6.3690148458722756E-2</v>
      </c>
      <c r="W30" s="1322">
        <f>+'STER - Historical Financials'!W28</f>
        <v>2.978653536909559E-2</v>
      </c>
      <c r="X30" s="1320">
        <f>+'STER - Historical Financials'!X28</f>
        <v>7.7429944658908567E-2</v>
      </c>
      <c r="Y30" s="1323">
        <f>+'STER - Historical Financials'!Y28</f>
        <v>-2.2467505886566576E-2</v>
      </c>
      <c r="Z30" s="1321">
        <f>+'STER - Historical Financials'!Z28</f>
        <v>-9.4977957632413332E-2</v>
      </c>
      <c r="AA30" s="1320">
        <f>+'STER - Historical Financials'!AA28</f>
        <v>8.0538226056185741E-2</v>
      </c>
      <c r="AB30" s="1320">
        <f>+'STER - Historical Financials'!AB28</f>
        <v>9.2892276632021931E-2</v>
      </c>
      <c r="AC30" s="1320">
        <f>+'STER - Historical Financials'!AC28</f>
        <v>-8.7412787157974403E-3</v>
      </c>
      <c r="AD30" s="1320">
        <f>+'STER - Historical Financials'!AD28</f>
        <v>-7.7427361580128307E-2</v>
      </c>
      <c r="AF30" s="1320"/>
      <c r="AG30" s="1320"/>
      <c r="AH30" s="1320"/>
      <c r="AI30" s="1320"/>
      <c r="AJ30" s="1320"/>
      <c r="AK30" s="1323"/>
      <c r="AL30" s="1320"/>
      <c r="AM30" s="1320"/>
    </row>
    <row r="31" spans="1:39" ht="17.25" customHeight="1" x14ac:dyDescent="0.35">
      <c r="A31" s="1331" t="str">
        <f>+A26</f>
        <v>PF Revenue</v>
      </c>
      <c r="C31" s="1291"/>
      <c r="D31" s="1291"/>
      <c r="E31" s="1291"/>
      <c r="F31" s="1292"/>
      <c r="G31" s="1332" t="s">
        <v>126</v>
      </c>
      <c r="H31" s="1332" t="s">
        <v>126</v>
      </c>
      <c r="I31" s="1312">
        <f t="shared" ref="I31:AD31" si="11">+SUMPRODUCT(I29:I30,H9:H10)/H11</f>
        <v>0.31867565522745939</v>
      </c>
      <c r="J31" s="1313">
        <f t="shared" si="11"/>
        <v>0.12282737242750626</v>
      </c>
      <c r="K31" s="1312">
        <f t="shared" si="11"/>
        <v>-4.3376172666286475E-2</v>
      </c>
      <c r="L31" s="1312">
        <f t="shared" si="11"/>
        <v>0.23183979315359576</v>
      </c>
      <c r="M31" s="1312">
        <f t="shared" si="11"/>
        <v>8.2384894085643798E-2</v>
      </c>
      <c r="N31" s="1313">
        <f t="shared" si="11"/>
        <v>5.248760665803659E-2</v>
      </c>
      <c r="O31" s="1312">
        <f t="shared" si="11"/>
        <v>-4.9524042751404991E-2</v>
      </c>
      <c r="P31" s="1312">
        <f t="shared" si="11"/>
        <v>5.8707677792728452E-2</v>
      </c>
      <c r="Q31" s="1312">
        <f t="shared" si="11"/>
        <v>-1.2113845927071465E-2</v>
      </c>
      <c r="R31" s="1313">
        <f t="shared" si="11"/>
        <v>-5.6762015879419848E-2</v>
      </c>
      <c r="S31" s="1314">
        <f t="shared" si="11"/>
        <v>-7.5909286354507916E-2</v>
      </c>
      <c r="T31" s="1312">
        <f t="shared" si="11"/>
        <v>5.1060424886989149E-2</v>
      </c>
      <c r="U31" s="1312">
        <f t="shared" si="11"/>
        <v>1.2313064881438502E-2</v>
      </c>
      <c r="V31" s="1312">
        <f t="shared" si="11"/>
        <v>-2.8557671166058278E-2</v>
      </c>
      <c r="W31" s="1314">
        <f t="shared" si="11"/>
        <v>-7.4647455221599837E-2</v>
      </c>
      <c r="X31" s="1312">
        <f t="shared" si="11"/>
        <v>8.2768864270841527E-2</v>
      </c>
      <c r="Y31" s="1315">
        <f t="shared" si="11"/>
        <v>2.737914487076936E-2</v>
      </c>
      <c r="Z31" s="1313">
        <f t="shared" si="11"/>
        <v>-2.4773721323154148E-2</v>
      </c>
      <c r="AA31" s="1312">
        <f t="shared" si="11"/>
        <v>-4.1882701907141717E-2</v>
      </c>
      <c r="AB31" s="1312">
        <f t="shared" si="11"/>
        <v>9.5831305258332125E-2</v>
      </c>
      <c r="AC31" s="1312">
        <f t="shared" si="11"/>
        <v>3.9722524896243019E-2</v>
      </c>
      <c r="AD31" s="1312">
        <f t="shared" si="11"/>
        <v>-1.1239590435509464E-2</v>
      </c>
      <c r="AE31" s="1291"/>
      <c r="AF31" s="1312"/>
      <c r="AG31" s="1312"/>
      <c r="AH31" s="1312"/>
      <c r="AI31" s="1312"/>
      <c r="AJ31" s="1312"/>
      <c r="AK31" s="1315"/>
      <c r="AL31" s="1312"/>
      <c r="AM31" s="1312"/>
    </row>
    <row r="32" spans="1:39" s="1274" customFormat="1" ht="17.25" customHeight="1" x14ac:dyDescent="0.35">
      <c r="A32" s="1324"/>
      <c r="C32" s="1325"/>
      <c r="D32" s="1325"/>
      <c r="E32" s="1325"/>
      <c r="F32" s="1326"/>
      <c r="G32" s="1327"/>
      <c r="H32" s="1327"/>
      <c r="I32" s="1327"/>
      <c r="J32" s="1328"/>
      <c r="K32" s="1327"/>
      <c r="L32" s="1327"/>
      <c r="M32" s="1327"/>
      <c r="N32" s="1328"/>
      <c r="O32" s="1327"/>
      <c r="P32" s="1327"/>
      <c r="Q32" s="1327"/>
      <c r="R32" s="1328"/>
      <c r="S32" s="1329"/>
      <c r="T32" s="1327"/>
      <c r="U32" s="1327"/>
      <c r="V32" s="1327"/>
      <c r="W32" s="1329"/>
      <c r="X32" s="1327"/>
      <c r="Y32" s="1330"/>
      <c r="Z32" s="1328"/>
      <c r="AA32" s="1327"/>
      <c r="AB32" s="1327"/>
      <c r="AC32" s="1327"/>
      <c r="AD32" s="1327"/>
      <c r="AE32" s="1325"/>
      <c r="AF32" s="1327"/>
      <c r="AG32" s="1327"/>
      <c r="AH32" s="1327"/>
      <c r="AI32" s="1327"/>
      <c r="AJ32" s="1327"/>
      <c r="AK32" s="1330"/>
    </row>
    <row r="33" spans="1:44" ht="17.25" customHeight="1" x14ac:dyDescent="0.35">
      <c r="A33" s="1317" t="s">
        <v>125</v>
      </c>
      <c r="C33" s="1291"/>
      <c r="D33" s="1291"/>
      <c r="E33" s="1291"/>
      <c r="F33" s="1292"/>
      <c r="G33" s="1291"/>
      <c r="H33" s="1291"/>
      <c r="I33" s="1291"/>
      <c r="J33" s="1292"/>
      <c r="K33" s="1291"/>
      <c r="L33" s="1291"/>
      <c r="M33" s="1291"/>
      <c r="N33" s="1292"/>
      <c r="O33" s="1291"/>
      <c r="P33" s="1291"/>
      <c r="Q33" s="1291"/>
      <c r="R33" s="1292"/>
      <c r="S33" s="1293"/>
      <c r="T33" s="1291"/>
      <c r="U33" s="1291"/>
      <c r="V33" s="1291"/>
      <c r="W33" s="1293"/>
      <c r="X33" s="1291"/>
      <c r="Y33" s="1294"/>
      <c r="Z33" s="1292"/>
      <c r="AA33" s="1291"/>
      <c r="AB33" s="1291"/>
      <c r="AC33" s="1291"/>
      <c r="AD33" s="1291"/>
      <c r="AE33" s="1280"/>
      <c r="AF33" s="1291"/>
      <c r="AG33" s="1291"/>
      <c r="AH33" s="1291"/>
      <c r="AI33" s="1291"/>
      <c r="AJ33" s="1291"/>
      <c r="AK33" s="1294"/>
    </row>
    <row r="34" spans="1:44" ht="17.25" customHeight="1" x14ac:dyDescent="0.35">
      <c r="A34" s="1272" t="s">
        <v>174</v>
      </c>
      <c r="C34" s="1291"/>
      <c r="D34" s="1291"/>
      <c r="E34" s="1291"/>
      <c r="F34" s="1292"/>
      <c r="G34" s="1291">
        <f>+'FA - Historical Financials'!G40</f>
        <v>53.928999999999981</v>
      </c>
      <c r="H34" s="1291">
        <f>+'FA - Historical Financials'!H40</f>
        <v>52.614999999999995</v>
      </c>
      <c r="I34" s="1291">
        <f>+'FA - Historical Financials'!I40</f>
        <v>69.322999999999993</v>
      </c>
      <c r="J34" s="1292">
        <f>+'FA - Historical Financials'!J40</f>
        <v>72.991000000000014</v>
      </c>
      <c r="K34" s="1291">
        <f>+'FA - Historical Financials'!K40</f>
        <v>66.158000000000001</v>
      </c>
      <c r="L34" s="1291">
        <f>+'FA - Historical Financials'!L40</f>
        <v>89.998999999999995</v>
      </c>
      <c r="M34" s="1291">
        <f>+'FA - Historical Financials'!M40</f>
        <v>98.718999999999994</v>
      </c>
      <c r="N34" s="1292">
        <f>+'FA - Historical Financials'!N40</f>
        <v>105.41200000000001</v>
      </c>
      <c r="O34" s="1291">
        <f>+'FA - Historical Financials'!O40</f>
        <v>93.724000000000004</v>
      </c>
      <c r="P34" s="1291">
        <f>+'FA - Historical Financials'!P40</f>
        <v>101.54600000000001</v>
      </c>
      <c r="Q34" s="1291">
        <f>+'FA - Historical Financials'!Q40</f>
        <v>101.97799999999999</v>
      </c>
      <c r="R34" s="1292">
        <f>+'FA - Historical Financials'!R40</f>
        <v>104.95</v>
      </c>
      <c r="S34" s="1293">
        <f>+'FA - Historical Financials'!S40</f>
        <v>84.734000000000009</v>
      </c>
      <c r="T34" s="1291">
        <f>+'FA - Historical Financials'!T40</f>
        <v>92.631</v>
      </c>
      <c r="U34" s="1291">
        <f>+'FA - Historical Financials'!U40</f>
        <v>99.284000000000006</v>
      </c>
      <c r="V34" s="1291">
        <f>+'FA - Historical Financials'!V40</f>
        <v>101.61400000000002</v>
      </c>
      <c r="W34" s="1293">
        <f>+'FA - Historical Financials'!W40</f>
        <v>82.581000000000003</v>
      </c>
      <c r="X34" s="1291">
        <f>+'FA - Historical Financials'!X40</f>
        <v>92.61</v>
      </c>
      <c r="Y34" s="1294">
        <f>+'FA - Historical Financials'!Y40</f>
        <v>98.653999999999996</v>
      </c>
      <c r="Z34" s="1292">
        <f>+'FA - Historical Financials'!Z40</f>
        <v>104.11531961798552</v>
      </c>
      <c r="AA34" s="1291">
        <f>+'FA - Historical Financials'!AA40</f>
        <v>87.818189546092299</v>
      </c>
      <c r="AB34" s="1291">
        <f>+'FA - Historical Financials'!AB40</f>
        <v>99.201123785368111</v>
      </c>
      <c r="AC34" s="1291">
        <f>+'FA - Historical Financials'!AC40</f>
        <v>107.15058082548038</v>
      </c>
      <c r="AD34" s="1291">
        <f>+'FA - Historical Financials'!AD40</f>
        <v>112.66198805810126</v>
      </c>
      <c r="AE34" s="1280"/>
      <c r="AF34" s="1291"/>
      <c r="AG34" s="1291">
        <f>+'FA - Historical Financials'!AG40</f>
        <v>236.61399999999998</v>
      </c>
      <c r="AH34" s="1291">
        <f>+'FA - Historical Financials'!AH40</f>
        <v>248.85799999999998</v>
      </c>
      <c r="AI34" s="1291">
        <f>+'FA - Historical Financials'!AI40</f>
        <v>360.28800000000001</v>
      </c>
      <c r="AJ34" s="1291">
        <f>+'FA - Historical Financials'!AJ40</f>
        <v>402.19799999999998</v>
      </c>
      <c r="AK34" s="1294">
        <f>+'FA - Historical Financials'!AK40</f>
        <v>378.26300000000003</v>
      </c>
      <c r="AL34" s="1291">
        <f>+SUM(W34:Z34)</f>
        <v>377.96031961798553</v>
      </c>
      <c r="AM34" s="1291">
        <f>+SUM(AA34:AD34)</f>
        <v>406.83188221504207</v>
      </c>
    </row>
    <row r="35" spans="1:44" s="1295" customFormat="1" ht="17.25" customHeight="1" x14ac:dyDescent="0.65">
      <c r="A35" s="1272" t="s">
        <v>175</v>
      </c>
      <c r="C35" s="1296"/>
      <c r="D35" s="1296"/>
      <c r="E35" s="1296"/>
      <c r="F35" s="1297"/>
      <c r="G35" s="2298" t="s">
        <v>126</v>
      </c>
      <c r="H35" s="2298" t="s">
        <v>126</v>
      </c>
      <c r="I35" s="2298">
        <f>+'STER - Historical Financials'!I36</f>
        <v>62.49</v>
      </c>
      <c r="J35" s="2299" t="str">
        <f>+'STER - Historical Financials'!J36</f>
        <v>NA</v>
      </c>
      <c r="K35" s="1296">
        <f>+'STER - Historical Financials'!K36</f>
        <v>71.791000000000011</v>
      </c>
      <c r="L35" s="1296">
        <f>+'STER - Historical Financials'!L36</f>
        <v>83.747000000000043</v>
      </c>
      <c r="M35" s="1296">
        <f>+'STER - Historical Financials'!M36</f>
        <v>86.918999999999983</v>
      </c>
      <c r="N35" s="1297">
        <f>+'STER - Historical Financials'!N36</f>
        <v>86.271999999999991</v>
      </c>
      <c r="O35" s="1296">
        <f>+'STER - Historical Financials'!O36</f>
        <v>91.429000000000002</v>
      </c>
      <c r="P35" s="1296">
        <f>+'STER - Historical Financials'!P36</f>
        <v>98.426000000000016</v>
      </c>
      <c r="Q35" s="1296">
        <f>+'STER - Historical Financials'!Q36</f>
        <v>93.26100000000001</v>
      </c>
      <c r="R35" s="1297">
        <f>+'STER - Historical Financials'!R36</f>
        <v>77.515999999999991</v>
      </c>
      <c r="S35" s="1298">
        <f>+'STER - Historical Financials'!S36</f>
        <v>84.947999999999993</v>
      </c>
      <c r="T35" s="1296">
        <f>+'STER - Historical Financials'!T36</f>
        <v>88.721999999999994</v>
      </c>
      <c r="U35" s="1296">
        <f>+'STER - Historical Financials'!U36</f>
        <v>85.08</v>
      </c>
      <c r="V35" s="1296">
        <f>+'STER - Historical Financials'!V36</f>
        <v>77.827999999999932</v>
      </c>
      <c r="W35" s="1298">
        <f>+'STER - Historical Financials'!W36</f>
        <v>82.316999999999993</v>
      </c>
      <c r="X35" s="1296">
        <f>+'STER - Historical Financials'!X36</f>
        <v>90.037999999999997</v>
      </c>
      <c r="Y35" s="1487">
        <f>+'STER - Historical Financials'!Y36</f>
        <v>88.790944169002657</v>
      </c>
      <c r="Z35" s="1297">
        <f>+'STER - Historical Financials'!Z36</f>
        <v>78.45178963540036</v>
      </c>
      <c r="AA35" s="1296">
        <f>+'STER - Historical Financials'!AA36</f>
        <v>85.141016183382078</v>
      </c>
      <c r="AB35" s="1296">
        <f>+'STER - Historical Financials'!AB36</f>
        <v>94.401663592996627</v>
      </c>
      <c r="AC35" s="1296">
        <f>+'STER - Historical Financials'!AC36</f>
        <v>94.652299246245462</v>
      </c>
      <c r="AD35" s="1296">
        <f>+'STER - Historical Financials'!AD36</f>
        <v>85.058769406895536</v>
      </c>
      <c r="AE35" s="1300"/>
      <c r="AF35" s="1296"/>
      <c r="AG35" s="1296">
        <f>+'Peer benchmarking'!AB123</f>
        <v>277.10000000000002</v>
      </c>
      <c r="AH35" s="1296">
        <f>+'Peer benchmarking'!AC123</f>
        <v>236.8</v>
      </c>
      <c r="AI35" s="1296">
        <f>+'Peer benchmarking'!AD123</f>
        <v>328.7</v>
      </c>
      <c r="AJ35" s="1296">
        <f>+'Peer benchmarking'!AE123</f>
        <v>359.06799999999998</v>
      </c>
      <c r="AK35" s="1299">
        <f>+'Peer benchmarking'!AF123</f>
        <v>334.98699999999997</v>
      </c>
      <c r="AL35" s="1296">
        <f>+SUM(W35:Z35)</f>
        <v>339.59773380440299</v>
      </c>
      <c r="AM35" s="1296">
        <f>+SUM(AA35:AD35)</f>
        <v>359.25374842951965</v>
      </c>
    </row>
    <row r="36" spans="1:44" s="1307" customFormat="1" ht="17.25" customHeight="1" x14ac:dyDescent="0.35">
      <c r="A36" s="1306" t="s">
        <v>177</v>
      </c>
      <c r="C36" s="1280"/>
      <c r="D36" s="1280"/>
      <c r="E36" s="1280"/>
      <c r="F36" s="1308"/>
      <c r="G36" s="2300" t="s">
        <v>126</v>
      </c>
      <c r="H36" s="2300" t="s">
        <v>126</v>
      </c>
      <c r="I36" s="2300">
        <f>+SUM(I34:I35)</f>
        <v>131.81299999999999</v>
      </c>
      <c r="J36" s="2301" t="s">
        <v>126</v>
      </c>
      <c r="K36" s="1280">
        <f t="shared" ref="K36:AD36" si="12">+SUM(K34:K35)</f>
        <v>137.94900000000001</v>
      </c>
      <c r="L36" s="1280">
        <f t="shared" si="12"/>
        <v>173.74600000000004</v>
      </c>
      <c r="M36" s="1280">
        <f t="shared" si="12"/>
        <v>185.63799999999998</v>
      </c>
      <c r="N36" s="1308">
        <f t="shared" si="12"/>
        <v>191.684</v>
      </c>
      <c r="O36" s="1280">
        <f t="shared" si="12"/>
        <v>185.15300000000002</v>
      </c>
      <c r="P36" s="1280">
        <f t="shared" si="12"/>
        <v>199.97200000000004</v>
      </c>
      <c r="Q36" s="1280">
        <f t="shared" si="12"/>
        <v>195.239</v>
      </c>
      <c r="R36" s="1308">
        <f t="shared" si="12"/>
        <v>182.46600000000001</v>
      </c>
      <c r="S36" s="1309">
        <f t="shared" si="12"/>
        <v>169.68200000000002</v>
      </c>
      <c r="T36" s="1280">
        <f t="shared" si="12"/>
        <v>181.35300000000001</v>
      </c>
      <c r="U36" s="1280">
        <f t="shared" si="12"/>
        <v>184.364</v>
      </c>
      <c r="V36" s="1280">
        <f t="shared" si="12"/>
        <v>179.44199999999995</v>
      </c>
      <c r="W36" s="1309">
        <f t="shared" si="12"/>
        <v>164.898</v>
      </c>
      <c r="X36" s="1280">
        <f t="shared" si="12"/>
        <v>182.648</v>
      </c>
      <c r="Y36" s="1310">
        <f t="shared" si="12"/>
        <v>187.44494416900267</v>
      </c>
      <c r="Z36" s="1308">
        <f t="shared" si="12"/>
        <v>182.56710925338587</v>
      </c>
      <c r="AA36" s="1280">
        <f t="shared" si="12"/>
        <v>172.95920572947438</v>
      </c>
      <c r="AB36" s="1280">
        <f t="shared" si="12"/>
        <v>193.60278737836472</v>
      </c>
      <c r="AC36" s="1280">
        <f t="shared" si="12"/>
        <v>201.80288007172584</v>
      </c>
      <c r="AD36" s="1280">
        <f t="shared" si="12"/>
        <v>197.72075746499678</v>
      </c>
      <c r="AE36" s="1280"/>
      <c r="AF36" s="1280"/>
      <c r="AG36" s="1280">
        <f>+SUM(AG34:AG35)</f>
        <v>513.71399999999994</v>
      </c>
      <c r="AH36" s="1280">
        <f>+SUM(AH34:AH35)</f>
        <v>485.65800000000002</v>
      </c>
      <c r="AI36" s="1280">
        <f>+SUM(AI34:AI35)</f>
        <v>688.98800000000006</v>
      </c>
      <c r="AJ36" s="1280">
        <f>+SUM(AJ34:AJ35)</f>
        <v>761.26599999999996</v>
      </c>
      <c r="AK36" s="1310">
        <f>+SUM(AK34:AK35)</f>
        <v>713.25</v>
      </c>
      <c r="AL36" s="1280">
        <f>+SUM(W36:Z36)</f>
        <v>717.55805342238853</v>
      </c>
      <c r="AM36" s="1280">
        <f>+SUM(AA36:AD36)</f>
        <v>766.08563064456166</v>
      </c>
      <c r="AP36" s="1307">
        <v>2185</v>
      </c>
    </row>
    <row r="37" spans="1:44" s="1307" customFormat="1" ht="17.25" customHeight="1" x14ac:dyDescent="0.35">
      <c r="A37" s="1306"/>
      <c r="C37" s="1280"/>
      <c r="D37" s="1280"/>
      <c r="E37" s="1280"/>
      <c r="F37" s="1308"/>
      <c r="G37" s="1280"/>
      <c r="H37" s="1280"/>
      <c r="I37" s="1280"/>
      <c r="J37" s="1308"/>
      <c r="K37" s="1280"/>
      <c r="L37" s="1280"/>
      <c r="M37" s="1280"/>
      <c r="N37" s="1308"/>
      <c r="O37" s="1280"/>
      <c r="P37" s="1280"/>
      <c r="Q37" s="1280"/>
      <c r="R37" s="1308"/>
      <c r="S37" s="1309"/>
      <c r="T37" s="1280"/>
      <c r="U37" s="1280"/>
      <c r="V37" s="1280"/>
      <c r="W37" s="1309"/>
      <c r="X37" s="1280"/>
      <c r="Y37" s="1310"/>
      <c r="Z37" s="1308"/>
      <c r="AA37" s="1280"/>
      <c r="AB37" s="1280"/>
      <c r="AC37" s="1280"/>
      <c r="AD37" s="1280"/>
      <c r="AE37" s="1280"/>
      <c r="AF37" s="1280"/>
      <c r="AG37" s="1280"/>
      <c r="AH37" s="1280"/>
      <c r="AI37" s="1280"/>
      <c r="AJ37" s="1280"/>
      <c r="AK37" s="1310"/>
      <c r="AL37" s="1280"/>
      <c r="AM37" s="1280"/>
      <c r="AP37" s="1307">
        <v>835</v>
      </c>
      <c r="AQ37" s="2296">
        <v>3.9E-2</v>
      </c>
      <c r="AR37" s="1307">
        <f>+AQ37*AP37</f>
        <v>32.564999999999998</v>
      </c>
    </row>
    <row r="38" spans="1:44" ht="17.25" customHeight="1" x14ac:dyDescent="0.35">
      <c r="A38" s="1311" t="s">
        <v>121</v>
      </c>
      <c r="C38" s="1291"/>
      <c r="D38" s="1291"/>
      <c r="E38" s="1291"/>
      <c r="F38" s="1292"/>
      <c r="G38" s="1312"/>
      <c r="H38" s="1312"/>
      <c r="I38" s="1312"/>
      <c r="J38" s="1313"/>
      <c r="K38" s="1312"/>
      <c r="L38" s="1312"/>
      <c r="M38" s="1312"/>
      <c r="N38" s="1313"/>
      <c r="O38" s="1312"/>
      <c r="P38" s="1312"/>
      <c r="Q38" s="1312"/>
      <c r="R38" s="1313"/>
      <c r="S38" s="1314"/>
      <c r="T38" s="1312"/>
      <c r="U38" s="1312"/>
      <c r="V38" s="1312"/>
      <c r="W38" s="1314"/>
      <c r="X38" s="1312"/>
      <c r="Y38" s="1315"/>
      <c r="Z38" s="1313"/>
      <c r="AA38" s="1312"/>
      <c r="AB38" s="1312"/>
      <c r="AC38" s="1312"/>
      <c r="AD38" s="1312"/>
      <c r="AE38" s="1291"/>
      <c r="AF38" s="1312"/>
      <c r="AG38" s="1312"/>
      <c r="AH38" s="1312"/>
      <c r="AI38" s="1312"/>
      <c r="AJ38" s="1312"/>
      <c r="AK38" s="1315"/>
      <c r="AL38" s="1312"/>
      <c r="AM38" s="1312"/>
      <c r="AP38" s="1272">
        <f>+AP36-AP37</f>
        <v>1350</v>
      </c>
      <c r="AQ38" s="2296">
        <f>3.25%+4.8%</f>
        <v>8.0500000000000002E-2</v>
      </c>
      <c r="AR38" s="1307">
        <f>+AQ38*AP38</f>
        <v>108.675</v>
      </c>
    </row>
    <row r="39" spans="1:44" ht="17.25" customHeight="1" x14ac:dyDescent="0.35">
      <c r="A39" s="1316" t="str">
        <f>+A34</f>
        <v>FA</v>
      </c>
      <c r="C39" s="1291"/>
      <c r="D39" s="1291"/>
      <c r="E39" s="1291"/>
      <c r="F39" s="1292"/>
      <c r="G39" s="1312"/>
      <c r="H39" s="1312"/>
      <c r="I39" s="1312"/>
      <c r="J39" s="1313"/>
      <c r="K39" s="1312">
        <f t="shared" ref="K39:AD39" si="13">+K34/G34-1</f>
        <v>0.22676111183222436</v>
      </c>
      <c r="L39" s="1312">
        <f t="shared" si="13"/>
        <v>0.71051981374132867</v>
      </c>
      <c r="M39" s="1312">
        <f t="shared" si="13"/>
        <v>0.42404396809139833</v>
      </c>
      <c r="N39" s="1313">
        <f t="shared" si="13"/>
        <v>0.44417804934854965</v>
      </c>
      <c r="O39" s="1312">
        <f t="shared" si="13"/>
        <v>0.41666918588832802</v>
      </c>
      <c r="P39" s="1312">
        <f t="shared" si="13"/>
        <v>0.12830142557139546</v>
      </c>
      <c r="Q39" s="1312">
        <f t="shared" si="13"/>
        <v>3.3012895187350066E-2</v>
      </c>
      <c r="R39" s="1313">
        <f t="shared" si="13"/>
        <v>-4.382802716958234E-3</v>
      </c>
      <c r="S39" s="1314">
        <f t="shared" si="13"/>
        <v>-9.5919935128675582E-2</v>
      </c>
      <c r="T39" s="1312">
        <f t="shared" si="13"/>
        <v>-8.7792724479546225E-2</v>
      </c>
      <c r="U39" s="1312">
        <f t="shared" si="13"/>
        <v>-2.6417462589970242E-2</v>
      </c>
      <c r="V39" s="1312">
        <f t="shared" si="13"/>
        <v>-3.1786565030966996E-2</v>
      </c>
      <c r="W39" s="1314">
        <f t="shared" si="13"/>
        <v>-2.5408926759034167E-2</v>
      </c>
      <c r="X39" s="1312">
        <f t="shared" si="13"/>
        <v>-2.2670596236684659E-4</v>
      </c>
      <c r="Y39" s="1315">
        <f t="shared" si="13"/>
        <v>-6.3454333024456355E-3</v>
      </c>
      <c r="Z39" s="1313">
        <f t="shared" si="13"/>
        <v>2.461589562447597E-2</v>
      </c>
      <c r="AA39" s="1312">
        <f t="shared" si="13"/>
        <v>6.3418819656970715E-2</v>
      </c>
      <c r="AB39" s="1312">
        <f t="shared" si="13"/>
        <v>7.1170756779701083E-2</v>
      </c>
      <c r="AC39" s="1312">
        <f t="shared" si="13"/>
        <v>8.6125051447284218E-2</v>
      </c>
      <c r="AD39" s="1312">
        <f t="shared" si="13"/>
        <v>8.2088481036937999E-2</v>
      </c>
      <c r="AE39" s="1291"/>
      <c r="AF39" s="1312"/>
      <c r="AG39" s="1312"/>
      <c r="AH39" s="1312">
        <f t="shared" ref="AH39:AM41" si="14">+AH34/AG34-1</f>
        <v>5.1746726736372262E-2</v>
      </c>
      <c r="AI39" s="1312">
        <f t="shared" si="14"/>
        <v>0.44776539231208168</v>
      </c>
      <c r="AJ39" s="1312">
        <f t="shared" si="14"/>
        <v>0.11632360778044215</v>
      </c>
      <c r="AK39" s="1315">
        <f t="shared" si="14"/>
        <v>-5.9510489858228932E-2</v>
      </c>
      <c r="AL39" s="1312">
        <f t="shared" si="14"/>
        <v>-8.0018500888134891E-4</v>
      </c>
      <c r="AM39" s="1312">
        <f t="shared" si="14"/>
        <v>7.6387814007136567E-2</v>
      </c>
      <c r="AR39" s="1272">
        <f>+AR38+AR37</f>
        <v>141.24</v>
      </c>
    </row>
    <row r="40" spans="1:44" s="1317" customFormat="1" ht="17.25" customHeight="1" x14ac:dyDescent="0.35">
      <c r="A40" s="1316" t="str">
        <f>+A35</f>
        <v>STER</v>
      </c>
      <c r="C40" s="1318"/>
      <c r="D40" s="1318"/>
      <c r="E40" s="1318"/>
      <c r="F40" s="1319"/>
      <c r="G40" s="1320"/>
      <c r="H40" s="1320"/>
      <c r="I40" s="1320"/>
      <c r="J40" s="1321"/>
      <c r="K40" s="1346" t="s">
        <v>126</v>
      </c>
      <c r="L40" s="1346" t="s">
        <v>126</v>
      </c>
      <c r="M40" s="1320">
        <f>+M35/I35-1</f>
        <v>0.39092654824771933</v>
      </c>
      <c r="N40" s="2302" t="s">
        <v>126</v>
      </c>
      <c r="O40" s="1320">
        <f t="shared" ref="O40:AD41" si="15">+O35/K35-1</f>
        <v>0.27354403755345369</v>
      </c>
      <c r="P40" s="1320">
        <f t="shared" si="15"/>
        <v>0.17527792040311851</v>
      </c>
      <c r="Q40" s="1320">
        <f t="shared" si="15"/>
        <v>7.296448417492174E-2</v>
      </c>
      <c r="R40" s="1321">
        <f t="shared" si="15"/>
        <v>-0.10149295252225521</v>
      </c>
      <c r="S40" s="1322">
        <f t="shared" si="15"/>
        <v>-7.0885605223725556E-2</v>
      </c>
      <c r="T40" s="1320">
        <f t="shared" si="15"/>
        <v>-9.8591835490622559E-2</v>
      </c>
      <c r="U40" s="1320">
        <f t="shared" si="15"/>
        <v>-8.7721555634188042E-2</v>
      </c>
      <c r="V40" s="1320">
        <f t="shared" si="15"/>
        <v>4.0249754889305489E-3</v>
      </c>
      <c r="W40" s="1322">
        <f t="shared" si="15"/>
        <v>-3.0971888684842463E-2</v>
      </c>
      <c r="X40" s="1320">
        <f t="shared" si="15"/>
        <v>1.4832848673384413E-2</v>
      </c>
      <c r="Y40" s="1323">
        <f t="shared" si="15"/>
        <v>4.361711529152168E-2</v>
      </c>
      <c r="Z40" s="1321">
        <f t="shared" si="15"/>
        <v>8.0149770699546874E-3</v>
      </c>
      <c r="AA40" s="1320">
        <f t="shared" si="15"/>
        <v>3.4306597463246824E-2</v>
      </c>
      <c r="AB40" s="1320">
        <f t="shared" si="15"/>
        <v>4.8464688164959524E-2</v>
      </c>
      <c r="AC40" s="1320">
        <f t="shared" si="15"/>
        <v>6.6012982879047222E-2</v>
      </c>
      <c r="AD40" s="1320">
        <f t="shared" si="15"/>
        <v>8.4217068880145129E-2</v>
      </c>
      <c r="AE40" s="1318"/>
      <c r="AF40" s="1320"/>
      <c r="AG40" s="1320"/>
      <c r="AH40" s="1320">
        <f t="shared" si="14"/>
        <v>-0.1454348610609888</v>
      </c>
      <c r="AI40" s="1320">
        <f t="shared" si="14"/>
        <v>0.38809121621621601</v>
      </c>
      <c r="AJ40" s="1320">
        <f t="shared" si="14"/>
        <v>9.238819592333436E-2</v>
      </c>
      <c r="AK40" s="1323">
        <f t="shared" si="14"/>
        <v>-6.7065291254024384E-2</v>
      </c>
      <c r="AL40" s="1320">
        <f t="shared" si="14"/>
        <v>1.3763918612970105E-2</v>
      </c>
      <c r="AM40" s="1320">
        <f t="shared" si="14"/>
        <v>5.7880287965754951E-2</v>
      </c>
    </row>
    <row r="41" spans="1:44" ht="17.25" customHeight="1" x14ac:dyDescent="0.35">
      <c r="A41" s="1331" t="str">
        <f>+A36</f>
        <v>PF Adj. GP</v>
      </c>
      <c r="C41" s="1291"/>
      <c r="D41" s="1291"/>
      <c r="E41" s="1291"/>
      <c r="F41" s="1292"/>
      <c r="G41" s="1312"/>
      <c r="H41" s="1312"/>
      <c r="I41" s="1312"/>
      <c r="J41" s="1313"/>
      <c r="K41" s="1332" t="s">
        <v>126</v>
      </c>
      <c r="L41" s="1332" t="s">
        <v>126</v>
      </c>
      <c r="M41" s="1312">
        <f>+M36/I36-1</f>
        <v>0.40834363833612763</v>
      </c>
      <c r="N41" s="1333" t="s">
        <v>126</v>
      </c>
      <c r="O41" s="1312">
        <f t="shared" si="15"/>
        <v>0.34218443047793023</v>
      </c>
      <c r="P41" s="1312">
        <f t="shared" si="15"/>
        <v>0.15094448217512912</v>
      </c>
      <c r="Q41" s="1312">
        <f t="shared" si="15"/>
        <v>5.1718936855600806E-2</v>
      </c>
      <c r="R41" s="1313">
        <f t="shared" si="15"/>
        <v>-4.8089564074205393E-2</v>
      </c>
      <c r="S41" s="1314">
        <f t="shared" si="15"/>
        <v>-8.35579223669074E-2</v>
      </c>
      <c r="T41" s="1312">
        <f t="shared" si="15"/>
        <v>-9.310803512491761E-2</v>
      </c>
      <c r="U41" s="1312">
        <f t="shared" si="15"/>
        <v>-5.5700961385788728E-2</v>
      </c>
      <c r="V41" s="1312">
        <f t="shared" si="15"/>
        <v>-1.6572950577094181E-2</v>
      </c>
      <c r="W41" s="1314">
        <f t="shared" si="15"/>
        <v>-2.8193915677561687E-2</v>
      </c>
      <c r="X41" s="1312">
        <f t="shared" si="15"/>
        <v>7.1407696591729852E-3</v>
      </c>
      <c r="Y41" s="1315">
        <f t="shared" si="15"/>
        <v>1.6711202669733138E-2</v>
      </c>
      <c r="Z41" s="1313">
        <f t="shared" si="15"/>
        <v>1.7415706765338657E-2</v>
      </c>
      <c r="AA41" s="1312">
        <f t="shared" si="15"/>
        <v>4.8886012744086438E-2</v>
      </c>
      <c r="AB41" s="1312">
        <f t="shared" si="15"/>
        <v>5.9977592847251238E-2</v>
      </c>
      <c r="AC41" s="1312">
        <f t="shared" si="15"/>
        <v>7.6598149746721855E-2</v>
      </c>
      <c r="AD41" s="1312">
        <f t="shared" si="15"/>
        <v>8.3003166745544865E-2</v>
      </c>
      <c r="AE41" s="1291"/>
      <c r="AF41" s="1312"/>
      <c r="AG41" s="1312"/>
      <c r="AH41" s="1312">
        <f t="shared" si="14"/>
        <v>-5.4614045947745105E-2</v>
      </c>
      <c r="AI41" s="1312">
        <f t="shared" si="14"/>
        <v>0.41866910459623852</v>
      </c>
      <c r="AJ41" s="1312">
        <f t="shared" si="14"/>
        <v>0.10490458469523412</v>
      </c>
      <c r="AK41" s="1315">
        <f t="shared" si="14"/>
        <v>-6.3073879563779189E-2</v>
      </c>
      <c r="AL41" s="1312">
        <f t="shared" si="14"/>
        <v>6.0400328389604852E-3</v>
      </c>
      <c r="AM41" s="1312">
        <f t="shared" si="14"/>
        <v>6.7628782076545768E-2</v>
      </c>
    </row>
    <row r="42" spans="1:44" ht="17.25" customHeight="1" x14ac:dyDescent="0.35">
      <c r="A42" s="1316"/>
      <c r="C42" s="1291"/>
      <c r="D42" s="1291"/>
      <c r="E42" s="1291"/>
      <c r="F42" s="1292"/>
      <c r="G42" s="1312"/>
      <c r="H42" s="1312"/>
      <c r="I42" s="1312"/>
      <c r="J42" s="1313"/>
      <c r="K42" s="1312"/>
      <c r="L42" s="1312"/>
      <c r="M42" s="1312"/>
      <c r="N42" s="1313"/>
      <c r="O42" s="1312"/>
      <c r="P42" s="1312"/>
      <c r="Q42" s="1312"/>
      <c r="R42" s="1313"/>
      <c r="S42" s="1314"/>
      <c r="T42" s="1312"/>
      <c r="U42" s="1312"/>
      <c r="V42" s="1312"/>
      <c r="W42" s="1314"/>
      <c r="X42" s="1312"/>
      <c r="Y42" s="1315"/>
      <c r="Z42" s="1313"/>
      <c r="AA42" s="1312"/>
      <c r="AB42" s="1312"/>
      <c r="AC42" s="1312"/>
      <c r="AD42" s="1312"/>
      <c r="AE42" s="1291"/>
      <c r="AF42" s="1312"/>
      <c r="AG42" s="1312"/>
      <c r="AH42" s="1312"/>
      <c r="AI42" s="1312"/>
      <c r="AJ42" s="1312"/>
      <c r="AK42" s="1315"/>
      <c r="AL42" s="1312"/>
      <c r="AM42" s="1312"/>
    </row>
    <row r="43" spans="1:44" ht="17.25" customHeight="1" x14ac:dyDescent="0.35">
      <c r="A43" s="1311" t="s">
        <v>127</v>
      </c>
      <c r="F43" s="1292"/>
      <c r="G43" s="1312"/>
      <c r="H43" s="1312"/>
      <c r="I43" s="1312"/>
      <c r="J43" s="1313"/>
      <c r="K43" s="1312"/>
      <c r="L43" s="1312"/>
      <c r="M43" s="1312"/>
      <c r="N43" s="1313"/>
      <c r="O43" s="1312"/>
      <c r="P43" s="1312"/>
      <c r="Q43" s="1312"/>
      <c r="R43" s="1313"/>
      <c r="S43" s="1314"/>
      <c r="T43" s="1312"/>
      <c r="U43" s="1312"/>
      <c r="V43" s="1312"/>
      <c r="W43" s="1314"/>
      <c r="X43" s="1312"/>
      <c r="Y43" s="1315"/>
      <c r="Z43" s="1313"/>
      <c r="AA43" s="1312"/>
      <c r="AB43" s="1312"/>
      <c r="AC43" s="1312"/>
      <c r="AD43" s="1312"/>
      <c r="AE43" s="1291"/>
      <c r="AF43" s="1312"/>
      <c r="AG43" s="1312"/>
      <c r="AH43" s="1312"/>
      <c r="AI43" s="1312"/>
      <c r="AJ43" s="1312"/>
      <c r="AK43" s="1315"/>
      <c r="AL43" s="1312"/>
      <c r="AM43" s="1312"/>
    </row>
    <row r="44" spans="1:44" ht="17.25" customHeight="1" x14ac:dyDescent="0.35">
      <c r="A44" s="1316" t="str">
        <f>+A39</f>
        <v>FA</v>
      </c>
      <c r="C44" s="1291"/>
      <c r="D44" s="1291"/>
      <c r="E44" s="1291"/>
      <c r="F44" s="1292"/>
      <c r="G44" s="1312">
        <f t="shared" ref="G44:AD44" si="16">+G34/G9</f>
        <v>0.48655256723716367</v>
      </c>
      <c r="H44" s="1312">
        <f t="shared" si="16"/>
        <v>0.50112864667168289</v>
      </c>
      <c r="I44" s="1312">
        <f t="shared" si="16"/>
        <v>0.50682858354413718</v>
      </c>
      <c r="J44" s="1313">
        <f t="shared" si="16"/>
        <v>0.46626507563368796</v>
      </c>
      <c r="K44" s="1312">
        <f t="shared" si="16"/>
        <v>0.50093132429772091</v>
      </c>
      <c r="L44" s="1312">
        <f t="shared" si="16"/>
        <v>0.51479185018246709</v>
      </c>
      <c r="M44" s="1312">
        <f t="shared" si="16"/>
        <v>0.51185013506717059</v>
      </c>
      <c r="N44" s="1313">
        <f t="shared" si="16"/>
        <v>0.49598178156701078</v>
      </c>
      <c r="O44" s="1312">
        <f t="shared" si="16"/>
        <v>0.49359335583865688</v>
      </c>
      <c r="P44" s="1312">
        <f t="shared" si="16"/>
        <v>0.50379785772049157</v>
      </c>
      <c r="Q44" s="1312">
        <f t="shared" si="16"/>
        <v>0.49507248065402504</v>
      </c>
      <c r="R44" s="1313">
        <f t="shared" si="16"/>
        <v>0.49366165714151322</v>
      </c>
      <c r="S44" s="1314">
        <f t="shared" si="16"/>
        <v>0.48275979945305381</v>
      </c>
      <c r="T44" s="1312">
        <f t="shared" si="16"/>
        <v>0.49985700024282981</v>
      </c>
      <c r="U44" s="1312">
        <f t="shared" si="16"/>
        <v>0.49551815695434309</v>
      </c>
      <c r="V44" s="1312">
        <f t="shared" si="16"/>
        <v>0.50164394111432564</v>
      </c>
      <c r="W44" s="1314">
        <f t="shared" si="16"/>
        <v>0.4874451055390282</v>
      </c>
      <c r="X44" s="1312">
        <f t="shared" si="16"/>
        <v>0.50182610297703556</v>
      </c>
      <c r="Y44" s="1315">
        <f t="shared" si="16"/>
        <v>0.49545246812207772</v>
      </c>
      <c r="Z44" s="1313">
        <f t="shared" si="16"/>
        <v>0.5</v>
      </c>
      <c r="AA44" s="1312">
        <f t="shared" si="16"/>
        <v>0.49242815986314387</v>
      </c>
      <c r="AB44" s="1312">
        <f t="shared" si="16"/>
        <v>0.50614890271526281</v>
      </c>
      <c r="AC44" s="1312">
        <f t="shared" si="16"/>
        <v>0.50081359089184618</v>
      </c>
      <c r="AD44" s="1312">
        <f t="shared" si="16"/>
        <v>0.5</v>
      </c>
      <c r="AE44" s="1291"/>
      <c r="AF44" s="1312"/>
      <c r="AG44" s="1312">
        <f t="shared" ref="AG44:AM46" si="17">+AG34/AG9</f>
        <v>0.49113783218858909</v>
      </c>
      <c r="AH44" s="1312">
        <f t="shared" si="17"/>
        <v>0.48876764201007949</v>
      </c>
      <c r="AI44" s="1312">
        <f t="shared" si="17"/>
        <v>0.50581290055384354</v>
      </c>
      <c r="AJ44" s="1312">
        <f t="shared" si="17"/>
        <v>0.49652664183609596</v>
      </c>
      <c r="AK44" s="1315">
        <f t="shared" si="17"/>
        <v>0.49526357067197724</v>
      </c>
      <c r="AL44" s="1312">
        <f t="shared" si="17"/>
        <v>0.49645939998670569</v>
      </c>
      <c r="AM44" s="1312">
        <f t="shared" si="17"/>
        <v>0.50003547924495662</v>
      </c>
    </row>
    <row r="45" spans="1:44" s="1317" customFormat="1" ht="17.25" customHeight="1" x14ac:dyDescent="0.35">
      <c r="A45" s="1316" t="str">
        <f>+A40</f>
        <v>STER</v>
      </c>
      <c r="C45" s="1320"/>
      <c r="D45" s="1320"/>
      <c r="E45" s="1320"/>
      <c r="F45" s="1321"/>
      <c r="G45" s="1346" t="s">
        <v>126</v>
      </c>
      <c r="H45" s="1346" t="s">
        <v>126</v>
      </c>
      <c r="I45" s="1320">
        <f>+I35/I10</f>
        <v>0.53136715863550288</v>
      </c>
      <c r="J45" s="2302" t="s">
        <v>126</v>
      </c>
      <c r="K45" s="1320">
        <f t="shared" ref="K45:AD45" si="18">+K35/K10</f>
        <v>0.51511085599483397</v>
      </c>
      <c r="L45" s="1320">
        <f t="shared" si="18"/>
        <v>0.52562638079935753</v>
      </c>
      <c r="M45" s="1320">
        <f t="shared" si="18"/>
        <v>0.51262407332047621</v>
      </c>
      <c r="N45" s="1321">
        <f t="shared" si="18"/>
        <v>0.49687552194621865</v>
      </c>
      <c r="O45" s="1320">
        <f t="shared" si="18"/>
        <v>0.47626216323213799</v>
      </c>
      <c r="P45" s="1320">
        <f t="shared" si="18"/>
        <v>0.47874663774192455</v>
      </c>
      <c r="Q45" s="1320">
        <f t="shared" si="18"/>
        <v>0.46794514774283869</v>
      </c>
      <c r="R45" s="1321">
        <f t="shared" si="18"/>
        <v>0.45619114877589451</v>
      </c>
      <c r="S45" s="1322">
        <f t="shared" si="18"/>
        <v>0.47384450617490542</v>
      </c>
      <c r="T45" s="1320">
        <f t="shared" si="18"/>
        <v>0.46601605176905625</v>
      </c>
      <c r="U45" s="1320">
        <f t="shared" si="18"/>
        <v>0.47118505144933154</v>
      </c>
      <c r="V45" s="1320">
        <f t="shared" si="18"/>
        <v>0.45938990414128511</v>
      </c>
      <c r="W45" s="1322">
        <f t="shared" si="18"/>
        <v>0.44256689552094364</v>
      </c>
      <c r="X45" s="1320">
        <f t="shared" si="18"/>
        <v>0.44900462778265382</v>
      </c>
      <c r="Y45" s="1323">
        <f t="shared" si="18"/>
        <v>0.45417362746292916</v>
      </c>
      <c r="Z45" s="1321">
        <f t="shared" si="18"/>
        <v>0.44237848015488279</v>
      </c>
      <c r="AA45" s="1320">
        <f t="shared" si="18"/>
        <v>0.44316689552094363</v>
      </c>
      <c r="AB45" s="1320">
        <f t="shared" si="18"/>
        <v>0.44960462778265381</v>
      </c>
      <c r="AC45" s="1320">
        <f t="shared" si="18"/>
        <v>0.45477362746292921</v>
      </c>
      <c r="AD45" s="1320">
        <f t="shared" si="18"/>
        <v>0.44297848015488284</v>
      </c>
      <c r="AF45" s="1320"/>
      <c r="AG45" s="1320">
        <f t="shared" si="17"/>
        <v>0.55741561922418048</v>
      </c>
      <c r="AH45" s="1320">
        <f t="shared" si="17"/>
        <v>0.52152547964707174</v>
      </c>
      <c r="AI45" s="1320">
        <f t="shared" si="17"/>
        <v>0.51208629596624933</v>
      </c>
      <c r="AJ45" s="1320">
        <f t="shared" si="17"/>
        <v>0.46827911974981157</v>
      </c>
      <c r="AK45" s="1323">
        <f t="shared" si="17"/>
        <v>0.46549246845645043</v>
      </c>
      <c r="AL45" s="1320">
        <f t="shared" si="17"/>
        <v>0.44721108446856433</v>
      </c>
      <c r="AM45" s="1320">
        <f t="shared" si="17"/>
        <v>0.44781797328633416</v>
      </c>
    </row>
    <row r="46" spans="1:44" ht="17.25" customHeight="1" x14ac:dyDescent="0.35">
      <c r="A46" s="1331" t="str">
        <f>+A41</f>
        <v>PF Adj. GP</v>
      </c>
      <c r="C46" s="1291"/>
      <c r="D46" s="1291"/>
      <c r="E46" s="1291"/>
      <c r="F46" s="1292"/>
      <c r="G46" s="1332" t="s">
        <v>126</v>
      </c>
      <c r="H46" s="1332" t="s">
        <v>126</v>
      </c>
      <c r="I46" s="1312">
        <f>+I36/I11</f>
        <v>0.5181729874522516</v>
      </c>
      <c r="J46" s="1333" t="s">
        <v>126</v>
      </c>
      <c r="K46" s="1312">
        <f t="shared" ref="K46:AD46" si="19">+K36/K11</f>
        <v>0.50821175950486297</v>
      </c>
      <c r="L46" s="1312">
        <f t="shared" si="19"/>
        <v>0.5199578637394735</v>
      </c>
      <c r="M46" s="1312">
        <f t="shared" si="19"/>
        <v>0.51221221552656548</v>
      </c>
      <c r="N46" s="1313">
        <f t="shared" si="19"/>
        <v>0.49638363273349695</v>
      </c>
      <c r="O46" s="1312">
        <f t="shared" si="19"/>
        <v>0.48488030734340182</v>
      </c>
      <c r="P46" s="1312">
        <f t="shared" si="19"/>
        <v>0.49114826895115343</v>
      </c>
      <c r="Q46" s="1312">
        <f t="shared" si="19"/>
        <v>0.48173260791788497</v>
      </c>
      <c r="R46" s="1313">
        <f t="shared" si="19"/>
        <v>0.47701658758480064</v>
      </c>
      <c r="S46" s="1314">
        <f t="shared" si="19"/>
        <v>0.47825498740113986</v>
      </c>
      <c r="T46" s="1312">
        <f t="shared" si="19"/>
        <v>0.48270823185582085</v>
      </c>
      <c r="U46" s="1312">
        <f t="shared" si="19"/>
        <v>0.48398393405612578</v>
      </c>
      <c r="V46" s="1312">
        <f t="shared" si="19"/>
        <v>0.48239949674443106</v>
      </c>
      <c r="W46" s="1314">
        <f t="shared" si="19"/>
        <v>0.46395903380555131</v>
      </c>
      <c r="X46" s="1312">
        <f t="shared" si="19"/>
        <v>0.47431922175997343</v>
      </c>
      <c r="Y46" s="1315">
        <f t="shared" si="19"/>
        <v>0.47500232925683422</v>
      </c>
      <c r="Z46" s="1313">
        <f t="shared" si="19"/>
        <v>0.47349739134319957</v>
      </c>
      <c r="AA46" s="1312">
        <f t="shared" si="19"/>
        <v>0.46688116927438689</v>
      </c>
      <c r="AB46" s="1312">
        <f t="shared" si="19"/>
        <v>0.47690357535456823</v>
      </c>
      <c r="AC46" s="1312">
        <f t="shared" si="19"/>
        <v>0.47811115875571619</v>
      </c>
      <c r="AD46" s="1312">
        <f t="shared" si="19"/>
        <v>0.47376471983509244</v>
      </c>
      <c r="AE46" s="1291"/>
      <c r="AF46" s="1312"/>
      <c r="AG46" s="1312">
        <f t="shared" si="17"/>
        <v>0.52479633410584681</v>
      </c>
      <c r="AH46" s="1312">
        <f t="shared" si="17"/>
        <v>0.50420958494262813</v>
      </c>
      <c r="AI46" s="1312">
        <f t="shared" si="17"/>
        <v>0.50878650459060437</v>
      </c>
      <c r="AJ46" s="1312">
        <f t="shared" si="17"/>
        <v>0.48279019916857191</v>
      </c>
      <c r="AK46" s="1315">
        <f t="shared" si="17"/>
        <v>0.480820762558472</v>
      </c>
      <c r="AL46" s="1312">
        <f t="shared" si="17"/>
        <v>0.47186671723340162</v>
      </c>
      <c r="AM46" s="1312">
        <f t="shared" si="17"/>
        <v>0.47411051398420817</v>
      </c>
    </row>
    <row r="47" spans="1:44" s="1274" customFormat="1" ht="17.25" customHeight="1" x14ac:dyDescent="0.35">
      <c r="A47" s="1324"/>
      <c r="C47" s="1325"/>
      <c r="D47" s="1325"/>
      <c r="E47" s="1325"/>
      <c r="F47" s="1326"/>
      <c r="G47" s="1327"/>
      <c r="H47" s="1327"/>
      <c r="I47" s="1327"/>
      <c r="J47" s="1328"/>
      <c r="K47" s="1327"/>
      <c r="L47" s="1327"/>
      <c r="M47" s="1327"/>
      <c r="N47" s="1328"/>
      <c r="O47" s="1327"/>
      <c r="P47" s="1327"/>
      <c r="Q47" s="1327"/>
      <c r="R47" s="1328"/>
      <c r="S47" s="1329"/>
      <c r="T47" s="1327"/>
      <c r="U47" s="1327"/>
      <c r="V47" s="1327"/>
      <c r="W47" s="1329"/>
      <c r="X47" s="1327"/>
      <c r="Y47" s="1330"/>
      <c r="Z47" s="1328"/>
      <c r="AA47" s="1327"/>
      <c r="AB47" s="1327"/>
      <c r="AC47" s="1327"/>
      <c r="AD47" s="1327"/>
      <c r="AE47" s="1325"/>
      <c r="AF47" s="1327"/>
      <c r="AG47" s="1327"/>
      <c r="AH47" s="1327"/>
      <c r="AI47" s="1327"/>
      <c r="AJ47" s="1327"/>
      <c r="AK47" s="1330"/>
    </row>
    <row r="48" spans="1:44" ht="17.25" customHeight="1" x14ac:dyDescent="0.35">
      <c r="A48" s="1317" t="s">
        <v>128</v>
      </c>
      <c r="C48" s="1291"/>
      <c r="D48" s="1291"/>
      <c r="E48" s="1291"/>
      <c r="F48" s="1292"/>
      <c r="G48" s="1291"/>
      <c r="H48" s="1291"/>
      <c r="I48" s="1291"/>
      <c r="J48" s="1292"/>
      <c r="K48" s="1291"/>
      <c r="L48" s="1291"/>
      <c r="M48" s="1291"/>
      <c r="N48" s="1292"/>
      <c r="O48" s="1291"/>
      <c r="P48" s="1291"/>
      <c r="Q48" s="1291"/>
      <c r="R48" s="1292"/>
      <c r="S48" s="1293"/>
      <c r="T48" s="1291"/>
      <c r="U48" s="1291"/>
      <c r="V48" s="1291"/>
      <c r="W48" s="1293"/>
      <c r="X48" s="1291"/>
      <c r="Y48" s="1294"/>
      <c r="Z48" s="1292"/>
      <c r="AA48" s="1291"/>
      <c r="AB48" s="1291"/>
      <c r="AC48" s="1291"/>
      <c r="AD48" s="1291"/>
      <c r="AE48" s="1280"/>
      <c r="AF48" s="1291"/>
      <c r="AG48" s="1291"/>
      <c r="AH48" s="1291"/>
      <c r="AI48" s="1291"/>
      <c r="AJ48" s="1291"/>
      <c r="AK48" s="1294"/>
    </row>
    <row r="49" spans="1:39" ht="17.25" customHeight="1" x14ac:dyDescent="0.35">
      <c r="A49" s="1272" t="str">
        <f>+A34</f>
        <v>FA</v>
      </c>
      <c r="C49" s="1291">
        <f>+'FA - Historical Financials'!C75</f>
        <v>25.092000000000002</v>
      </c>
      <c r="D49" s="1291">
        <f>+'FA - Historical Financials'!D75</f>
        <v>33.361999999999995</v>
      </c>
      <c r="E49" s="1291">
        <f>+'FA - Historical Financials'!E75</f>
        <v>33.490999999999993</v>
      </c>
      <c r="F49" s="1292">
        <f>+'FA - Historical Financials'!F75</f>
        <v>31.828000000000003</v>
      </c>
      <c r="G49" s="1291">
        <f>+'FA - Historical Financials'!G75</f>
        <v>27.210999999999999</v>
      </c>
      <c r="H49" s="1291">
        <f>+'FA - Historical Financials'!H75</f>
        <v>31.655000000000005</v>
      </c>
      <c r="I49" s="1291">
        <f>+'FA - Historical Financials'!I75</f>
        <v>43.287000000000006</v>
      </c>
      <c r="J49" s="1292">
        <f>+'FA - Historical Financials'!J75</f>
        <v>44.644999999999996</v>
      </c>
      <c r="K49" s="1291">
        <f>+'FA - Historical Financials'!K75</f>
        <v>36.590000000000003</v>
      </c>
      <c r="L49" s="1291">
        <f>+'FA - Historical Financials'!L75</f>
        <v>56.322000000000003</v>
      </c>
      <c r="M49" s="1291">
        <f>+'FA - Historical Financials'!M75</f>
        <v>63.943999999999996</v>
      </c>
      <c r="N49" s="1292">
        <f>+'FA - Historical Financials'!N75</f>
        <v>69.438000000000002</v>
      </c>
      <c r="O49" s="1291">
        <f>+'FA - Historical Financials'!O75</f>
        <v>53.599999999999994</v>
      </c>
      <c r="P49" s="1291">
        <f>+'FA - Historical Financials'!P75</f>
        <v>60.833999999999996</v>
      </c>
      <c r="Q49" s="1291">
        <f>+'FA - Historical Financials'!Q75</f>
        <v>64.188000000000002</v>
      </c>
      <c r="R49" s="1292">
        <f>+'FA - Historical Financials'!R75</f>
        <v>70.287999999999997</v>
      </c>
      <c r="S49" s="1293">
        <f>+'FA - Historical Financials'!S75</f>
        <v>48.559999999999995</v>
      </c>
      <c r="T49" s="1291">
        <f>+'FA - Historical Financials'!T75</f>
        <v>55.970999999999997</v>
      </c>
      <c r="U49" s="1291">
        <f>+'FA - Historical Financials'!U75</f>
        <v>64.790999999999997</v>
      </c>
      <c r="V49" s="1291">
        <f>+'FA - Historical Financials'!V75</f>
        <v>68.233999999999995</v>
      </c>
      <c r="W49" s="1293">
        <f>+'FA - Historical Financials'!W75</f>
        <v>46.558</v>
      </c>
      <c r="X49" s="1291">
        <f>+'FA - Historical Financials'!X75</f>
        <v>55.761000000000003</v>
      </c>
      <c r="Y49" s="1294">
        <f>+'FA - Historical Financials'!Y75</f>
        <v>64.046000000000006</v>
      </c>
      <c r="Z49" s="1292">
        <f>+'FA - Historical Financials'!Z75</f>
        <v>70.313319617985513</v>
      </c>
      <c r="AA49" s="1291">
        <f>+'FA - Historical Financials'!AA75</f>
        <v>52.013589546092305</v>
      </c>
      <c r="AB49" s="1291">
        <f>+'FA - Historical Financials'!AB75</f>
        <v>61.687383785368112</v>
      </c>
      <c r="AC49" s="1291">
        <f>+'FA - Historical Financials'!AC75</f>
        <v>70.822291425480373</v>
      </c>
      <c r="AD49" s="1291">
        <f>+'FA - Historical Financials'!AD75</f>
        <v>77.169888058101265</v>
      </c>
      <c r="AE49" s="1280"/>
      <c r="AF49" s="1291"/>
      <c r="AG49" s="1291">
        <f>+'FA - Historical Financials'!AG75</f>
        <v>123.773</v>
      </c>
      <c r="AH49" s="1291">
        <f>+'FA - Historical Financials'!AH75</f>
        <v>146.798</v>
      </c>
      <c r="AI49" s="1291">
        <f>+'FA - Historical Financials'!AI75</f>
        <v>226.29399999999998</v>
      </c>
      <c r="AJ49" s="1291">
        <f>+'FA - Historical Financials'!AJ75</f>
        <v>248.91000000000003</v>
      </c>
      <c r="AK49" s="1294">
        <f>+'FA - Historical Financials'!AK75</f>
        <v>237.55599999999998</v>
      </c>
      <c r="AL49" s="1291">
        <f>+SUM(W49:Z49)</f>
        <v>236.67831961798552</v>
      </c>
      <c r="AM49" s="1291">
        <f>+SUM(AA49:AD49)</f>
        <v>261.69315281504203</v>
      </c>
    </row>
    <row r="50" spans="1:39" s="1295" customFormat="1" ht="17.25" customHeight="1" x14ac:dyDescent="0.65">
      <c r="A50" s="1272" t="str">
        <f>+A35</f>
        <v>STER</v>
      </c>
      <c r="C50" s="1296">
        <f>+'Peer benchmarking'!C135</f>
        <v>24.0198</v>
      </c>
      <c r="D50" s="1296">
        <f>+'Peer benchmarking'!D135</f>
        <v>35.342800000000004</v>
      </c>
      <c r="E50" s="1296">
        <f>+'Peer benchmarking'!E135</f>
        <v>35.883599999999994</v>
      </c>
      <c r="F50" s="1297">
        <f>+'Peer benchmarking'!F135</f>
        <v>23.737499999999997</v>
      </c>
      <c r="G50" s="1296">
        <f>+'Peer benchmarking'!G135</f>
        <v>27.590300000000003</v>
      </c>
      <c r="H50" s="1296">
        <f>+'Peer benchmarking'!H135</f>
        <v>13.938399999999998</v>
      </c>
      <c r="I50" s="1296">
        <f>+'Peer benchmarking'!I135</f>
        <v>30.402999999999992</v>
      </c>
      <c r="J50" s="1297">
        <f>+'Peer benchmarking'!J135</f>
        <v>27.90140000000001</v>
      </c>
      <c r="K50" s="1296">
        <f>+'Peer benchmarking'!K135</f>
        <v>36.804400000000001</v>
      </c>
      <c r="L50" s="1296">
        <f>+'Peer benchmarking'!L135</f>
        <v>47.033000000000001</v>
      </c>
      <c r="M50" s="1296">
        <f>+'Peer benchmarking'!M135</f>
        <v>51.299500000000002</v>
      </c>
      <c r="N50" s="1297">
        <f>+'Peer benchmarking'!N135</f>
        <v>44.048999999999999</v>
      </c>
      <c r="O50" s="1296">
        <f>+'Peer benchmarking'!O135</f>
        <v>47.636000000000003</v>
      </c>
      <c r="P50" s="1296">
        <f>+'Peer benchmarking'!P135</f>
        <v>56.472000000000001</v>
      </c>
      <c r="Q50" s="1296">
        <f>+'Peer benchmarking'!Q135</f>
        <v>53.097999999999999</v>
      </c>
      <c r="R50" s="1297">
        <f>+'Peer benchmarking'!R135</f>
        <v>41.296999999999997</v>
      </c>
      <c r="S50" s="1298">
        <f>+'Peer benchmarking'!S135</f>
        <v>45.555</v>
      </c>
      <c r="T50" s="1296">
        <f>+'Peer benchmarking'!T135</f>
        <v>49.997</v>
      </c>
      <c r="U50" s="1296">
        <f>+'Peer benchmarking'!U135</f>
        <v>47.555999999999997</v>
      </c>
      <c r="V50" s="1296">
        <f>+'Peer benchmarking'!V135</f>
        <v>41.915999999999997</v>
      </c>
      <c r="W50" s="1298">
        <f>+'Peer benchmarking'!W135</f>
        <v>38.51</v>
      </c>
      <c r="X50" s="1296">
        <f>+'STER - Historical Financials'!X64</f>
        <v>46.283999999999999</v>
      </c>
      <c r="Y50" s="1299">
        <f>+'STER - Historical Financials'!Y64</f>
        <v>45.288999999999994</v>
      </c>
      <c r="Z50" s="1297">
        <f>+'STER - Historical Financials'!Z64</f>
        <v>36.34684546639771</v>
      </c>
      <c r="AA50" s="1296">
        <f>+'STER - Historical Financials'!AA64</f>
        <v>40.322891183382083</v>
      </c>
      <c r="AB50" s="1296">
        <f>+'STER - Historical Financials'!AB64</f>
        <v>48.593388592996632</v>
      </c>
      <c r="AC50" s="1296">
        <f>+'STER - Historical Financials'!AC64</f>
        <v>50.062806473017737</v>
      </c>
      <c r="AD50" s="1296">
        <f>+'STER - Historical Financials'!AD64</f>
        <v>41.901201633667824</v>
      </c>
      <c r="AE50" s="1300"/>
      <c r="AF50" s="1296"/>
      <c r="AG50" s="1296">
        <f>+'Peer benchmarking'!AB135</f>
        <v>118.98369999999998</v>
      </c>
      <c r="AH50" s="1296">
        <f>+'Peer benchmarking'!AC135</f>
        <v>99.833100000000002</v>
      </c>
      <c r="AI50" s="1296">
        <f>+'Peer benchmarking'!AD135</f>
        <v>179.1859</v>
      </c>
      <c r="AJ50" s="1296">
        <f>+'Peer benchmarking'!AE135</f>
        <v>198.50300000000001</v>
      </c>
      <c r="AK50" s="1299">
        <f>+'Peer benchmarking'!AF135</f>
        <v>185.024</v>
      </c>
      <c r="AL50" s="1296">
        <f>+SUM(W50:Z50)</f>
        <v>166.42984546639769</v>
      </c>
      <c r="AM50" s="1296">
        <f>+SUM(AA50:AD50)</f>
        <v>180.88028788306428</v>
      </c>
    </row>
    <row r="51" spans="1:39" s="1307" customFormat="1" ht="17.25" customHeight="1" x14ac:dyDescent="0.35">
      <c r="A51" s="1306" t="s">
        <v>178</v>
      </c>
      <c r="C51" s="1280">
        <f t="shared" ref="C51:AD51" si="20">+SUM(C49:C50)</f>
        <v>49.111800000000002</v>
      </c>
      <c r="D51" s="1280">
        <f t="shared" si="20"/>
        <v>68.704800000000006</v>
      </c>
      <c r="E51" s="1280">
        <f t="shared" si="20"/>
        <v>69.374599999999987</v>
      </c>
      <c r="F51" s="1308">
        <f t="shared" si="20"/>
        <v>55.5655</v>
      </c>
      <c r="G51" s="1280">
        <f t="shared" si="20"/>
        <v>54.801299999999998</v>
      </c>
      <c r="H51" s="1280">
        <f t="shared" si="20"/>
        <v>45.593400000000003</v>
      </c>
      <c r="I51" s="1280">
        <f t="shared" si="20"/>
        <v>73.69</v>
      </c>
      <c r="J51" s="1308">
        <f t="shared" si="20"/>
        <v>72.546400000000006</v>
      </c>
      <c r="K51" s="1280">
        <f t="shared" si="20"/>
        <v>73.394400000000005</v>
      </c>
      <c r="L51" s="1280">
        <f t="shared" si="20"/>
        <v>103.355</v>
      </c>
      <c r="M51" s="1280">
        <f t="shared" si="20"/>
        <v>115.2435</v>
      </c>
      <c r="N51" s="1308">
        <f t="shared" si="20"/>
        <v>113.48699999999999</v>
      </c>
      <c r="O51" s="1280">
        <f t="shared" si="20"/>
        <v>101.23599999999999</v>
      </c>
      <c r="P51" s="1280">
        <f t="shared" si="20"/>
        <v>117.306</v>
      </c>
      <c r="Q51" s="1280">
        <f t="shared" si="20"/>
        <v>117.286</v>
      </c>
      <c r="R51" s="1308">
        <f t="shared" si="20"/>
        <v>111.58499999999999</v>
      </c>
      <c r="S51" s="1309">
        <f t="shared" si="20"/>
        <v>94.114999999999995</v>
      </c>
      <c r="T51" s="1280">
        <f t="shared" si="20"/>
        <v>105.96799999999999</v>
      </c>
      <c r="U51" s="1280">
        <f t="shared" si="20"/>
        <v>112.34699999999999</v>
      </c>
      <c r="V51" s="1280">
        <f t="shared" si="20"/>
        <v>110.14999999999999</v>
      </c>
      <c r="W51" s="1309">
        <f t="shared" si="20"/>
        <v>85.067999999999998</v>
      </c>
      <c r="X51" s="1280">
        <f t="shared" si="20"/>
        <v>102.045</v>
      </c>
      <c r="Y51" s="1310">
        <f t="shared" si="20"/>
        <v>109.33500000000001</v>
      </c>
      <c r="Z51" s="1308">
        <f t="shared" si="20"/>
        <v>106.66016508438322</v>
      </c>
      <c r="AA51" s="1280">
        <f t="shared" si="20"/>
        <v>92.336480729474388</v>
      </c>
      <c r="AB51" s="1280">
        <f t="shared" si="20"/>
        <v>110.28077237836474</v>
      </c>
      <c r="AC51" s="1280">
        <f t="shared" si="20"/>
        <v>120.88509789849812</v>
      </c>
      <c r="AD51" s="1280">
        <f t="shared" si="20"/>
        <v>119.07108969176909</v>
      </c>
      <c r="AE51" s="1280"/>
      <c r="AF51" s="1280"/>
      <c r="AG51" s="1280">
        <f>+SUM(AG49:AG50)</f>
        <v>242.75669999999997</v>
      </c>
      <c r="AH51" s="1280">
        <f>+SUM(AH49:AH50)</f>
        <v>246.6311</v>
      </c>
      <c r="AI51" s="1280">
        <f>+SUM(AI49:AI50)</f>
        <v>405.47989999999999</v>
      </c>
      <c r="AJ51" s="1280">
        <f>+SUM(AJ49:AJ50)</f>
        <v>447.41300000000001</v>
      </c>
      <c r="AK51" s="1310">
        <f>+SUM(AK49:AK50)</f>
        <v>422.58</v>
      </c>
      <c r="AL51" s="1280">
        <f>+SUM(W51:Z51)</f>
        <v>403.10816508438319</v>
      </c>
      <c r="AM51" s="1280">
        <f>+SUM(AA51:AD51)</f>
        <v>442.57344069810631</v>
      </c>
    </row>
    <row r="52" spans="1:39" s="1307" customFormat="1" ht="17.25" customHeight="1" x14ac:dyDescent="0.35">
      <c r="A52" s="1306"/>
      <c r="C52" s="1280"/>
      <c r="D52" s="1280"/>
      <c r="E52" s="1280"/>
      <c r="F52" s="1308"/>
      <c r="G52" s="1280"/>
      <c r="H52" s="1280"/>
      <c r="I52" s="1280"/>
      <c r="J52" s="1308"/>
      <c r="K52" s="1280"/>
      <c r="L52" s="1280"/>
      <c r="M52" s="1280"/>
      <c r="N52" s="1308"/>
      <c r="O52" s="1280"/>
      <c r="P52" s="1280"/>
      <c r="Q52" s="1280"/>
      <c r="R52" s="1308"/>
      <c r="S52" s="1309"/>
      <c r="T52" s="1280"/>
      <c r="U52" s="1280"/>
      <c r="V52" s="1280"/>
      <c r="W52" s="1309"/>
      <c r="X52" s="1280"/>
      <c r="Y52" s="1310"/>
      <c r="Z52" s="1308"/>
      <c r="AA52" s="1280"/>
      <c r="AB52" s="1280"/>
      <c r="AC52" s="1280"/>
      <c r="AD52" s="1280"/>
      <c r="AE52" s="1280"/>
      <c r="AF52" s="1280"/>
      <c r="AG52" s="1280"/>
      <c r="AH52" s="1280"/>
      <c r="AI52" s="1280"/>
      <c r="AJ52" s="1280"/>
      <c r="AK52" s="1310"/>
      <c r="AL52" s="1280"/>
      <c r="AM52" s="1280"/>
    </row>
    <row r="53" spans="1:39" ht="17.25" customHeight="1" x14ac:dyDescent="0.35">
      <c r="A53" s="1311" t="s">
        <v>121</v>
      </c>
      <c r="C53" s="1291"/>
      <c r="D53" s="1291"/>
      <c r="E53" s="1291"/>
      <c r="F53" s="1292"/>
      <c r="G53" s="1312"/>
      <c r="H53" s="1312"/>
      <c r="I53" s="1312"/>
      <c r="J53" s="1313"/>
      <c r="K53" s="1312"/>
      <c r="L53" s="1312"/>
      <c r="M53" s="1312"/>
      <c r="N53" s="1313"/>
      <c r="O53" s="1312"/>
      <c r="P53" s="1312"/>
      <c r="Q53" s="1312"/>
      <c r="R53" s="1313"/>
      <c r="S53" s="1314"/>
      <c r="T53" s="1312"/>
      <c r="U53" s="1312"/>
      <c r="V53" s="1312"/>
      <c r="W53" s="1314"/>
      <c r="X53" s="1312"/>
      <c r="Y53" s="1315"/>
      <c r="Z53" s="1313"/>
      <c r="AA53" s="1312"/>
      <c r="AB53" s="1312"/>
      <c r="AC53" s="1312"/>
      <c r="AD53" s="1312"/>
      <c r="AE53" s="1291"/>
      <c r="AF53" s="1312"/>
      <c r="AG53" s="1312"/>
      <c r="AH53" s="1312"/>
      <c r="AI53" s="1312"/>
      <c r="AJ53" s="1312"/>
      <c r="AK53" s="1315"/>
      <c r="AL53" s="1312"/>
      <c r="AM53" s="1312"/>
    </row>
    <row r="54" spans="1:39" ht="17.25" customHeight="1" x14ac:dyDescent="0.35">
      <c r="A54" s="1316" t="str">
        <f>+A49</f>
        <v>FA</v>
      </c>
      <c r="C54" s="1291"/>
      <c r="D54" s="1291"/>
      <c r="E54" s="1291"/>
      <c r="F54" s="1292"/>
      <c r="G54" s="1312">
        <f t="shared" ref="G54:P56" si="21">+G49/C49-1</f>
        <v>8.4449226845209502E-2</v>
      </c>
      <c r="H54" s="1312">
        <f t="shared" si="21"/>
        <v>-5.1165997242371253E-2</v>
      </c>
      <c r="I54" s="1312">
        <f t="shared" si="21"/>
        <v>0.29249649159475721</v>
      </c>
      <c r="J54" s="1313">
        <f t="shared" si="21"/>
        <v>0.40269573960035165</v>
      </c>
      <c r="K54" s="1312">
        <f t="shared" si="21"/>
        <v>0.3446767851236634</v>
      </c>
      <c r="L54" s="1312">
        <f t="shared" si="21"/>
        <v>0.77924498499447137</v>
      </c>
      <c r="M54" s="1312">
        <f t="shared" si="21"/>
        <v>0.47721024788042565</v>
      </c>
      <c r="N54" s="1313">
        <f t="shared" si="21"/>
        <v>0.55533654384589548</v>
      </c>
      <c r="O54" s="1312">
        <f t="shared" si="21"/>
        <v>0.46488111505875884</v>
      </c>
      <c r="P54" s="1312">
        <f t="shared" si="21"/>
        <v>8.0110791520187297E-2</v>
      </c>
      <c r="Q54" s="1312">
        <f t="shared" ref="Q54:Z56" si="22">+Q49/M49-1</f>
        <v>3.8158388590017189E-3</v>
      </c>
      <c r="R54" s="1313">
        <f t="shared" si="22"/>
        <v>1.2241135977418605E-2</v>
      </c>
      <c r="S54" s="1314">
        <f t="shared" si="22"/>
        <v>-9.4029850746268684E-2</v>
      </c>
      <c r="T54" s="1312">
        <f t="shared" si="22"/>
        <v>-7.9938849985205618E-2</v>
      </c>
      <c r="U54" s="1312">
        <f t="shared" si="22"/>
        <v>9.3942793045427297E-3</v>
      </c>
      <c r="V54" s="1312">
        <f t="shared" si="22"/>
        <v>-2.9222626906442062E-2</v>
      </c>
      <c r="W54" s="1314">
        <f t="shared" si="22"/>
        <v>-4.1227347611202503E-2</v>
      </c>
      <c r="X54" s="1312">
        <f t="shared" si="22"/>
        <v>-3.7519429704667706E-3</v>
      </c>
      <c r="Y54" s="1315">
        <f t="shared" si="22"/>
        <v>-1.1498510595607248E-2</v>
      </c>
      <c r="Z54" s="1313">
        <f t="shared" si="22"/>
        <v>3.0473365448097978E-2</v>
      </c>
      <c r="AA54" s="1312">
        <f t="shared" ref="AA54:AD56" si="23">+AA49/W49-1</f>
        <v>0.11717834842760233</v>
      </c>
      <c r="AB54" s="1312">
        <f t="shared" si="23"/>
        <v>0.1062818777526966</v>
      </c>
      <c r="AC54" s="1312">
        <f t="shared" si="23"/>
        <v>0.10580350725229315</v>
      </c>
      <c r="AD54" s="1312">
        <f t="shared" si="23"/>
        <v>9.7514503331199709E-2</v>
      </c>
      <c r="AE54" s="1291"/>
      <c r="AF54" s="1312"/>
      <c r="AG54" s="1312"/>
      <c r="AH54" s="1312">
        <f t="shared" ref="AH54:AM56" si="24">+AH49/AG49-1</f>
        <v>0.18602603152545383</v>
      </c>
      <c r="AI54" s="1312">
        <f t="shared" si="24"/>
        <v>0.54153326339595886</v>
      </c>
      <c r="AJ54" s="1312">
        <f t="shared" si="24"/>
        <v>9.9940784996509269E-2</v>
      </c>
      <c r="AK54" s="1315">
        <f t="shared" si="24"/>
        <v>-4.5614880880639808E-2</v>
      </c>
      <c r="AL54" s="1312">
        <f t="shared" si="24"/>
        <v>-3.6946251915946915E-3</v>
      </c>
      <c r="AM54" s="1312">
        <f t="shared" si="24"/>
        <v>0.10569127428922132</v>
      </c>
    </row>
    <row r="55" spans="1:39" s="1317" customFormat="1" ht="17.25" customHeight="1" x14ac:dyDescent="0.35">
      <c r="A55" s="1316" t="str">
        <f>+A50</f>
        <v>STER</v>
      </c>
      <c r="C55" s="1318"/>
      <c r="D55" s="1318"/>
      <c r="E55" s="1318"/>
      <c r="F55" s="1319"/>
      <c r="G55" s="1320">
        <f t="shared" si="21"/>
        <v>0.14864819856951361</v>
      </c>
      <c r="H55" s="1320">
        <f t="shared" si="21"/>
        <v>-0.60562264449902115</v>
      </c>
      <c r="I55" s="1320">
        <f t="shared" si="21"/>
        <v>-0.15273272469874832</v>
      </c>
      <c r="J55" s="1321">
        <f t="shared" si="21"/>
        <v>0.17541442864665657</v>
      </c>
      <c r="K55" s="1320">
        <f t="shared" si="21"/>
        <v>0.3339615734515391</v>
      </c>
      <c r="L55" s="1320">
        <f t="shared" si="21"/>
        <v>2.3743471273603864</v>
      </c>
      <c r="M55" s="1320">
        <f t="shared" si="21"/>
        <v>0.68731704108147285</v>
      </c>
      <c r="N55" s="1321">
        <f t="shared" si="21"/>
        <v>0.5787379844738969</v>
      </c>
      <c r="O55" s="1320">
        <f t="shared" si="21"/>
        <v>0.29430176826683763</v>
      </c>
      <c r="P55" s="1320">
        <f t="shared" si="21"/>
        <v>0.20068887802181457</v>
      </c>
      <c r="Q55" s="1320">
        <f t="shared" si="22"/>
        <v>3.5058821236074289E-2</v>
      </c>
      <c r="R55" s="1321">
        <f t="shared" si="22"/>
        <v>-6.2475879134600176E-2</v>
      </c>
      <c r="S55" s="1322">
        <f t="shared" si="22"/>
        <v>-4.3685447980518988E-2</v>
      </c>
      <c r="T55" s="1320">
        <f t="shared" si="22"/>
        <v>-0.11465859186853666</v>
      </c>
      <c r="U55" s="1320">
        <f t="shared" si="22"/>
        <v>-0.10437304606576525</v>
      </c>
      <c r="V55" s="1320">
        <f t="shared" si="22"/>
        <v>1.4988982250526695E-2</v>
      </c>
      <c r="W55" s="1322">
        <f t="shared" si="22"/>
        <v>-0.15464822741740758</v>
      </c>
      <c r="X55" s="1320">
        <f t="shared" si="22"/>
        <v>-7.4264455867352086E-2</v>
      </c>
      <c r="Y55" s="1323">
        <f t="shared" si="22"/>
        <v>-4.7670115232568033E-2</v>
      </c>
      <c r="Z55" s="1321">
        <f t="shared" si="22"/>
        <v>-0.13286464676024157</v>
      </c>
      <c r="AA55" s="1320">
        <f t="shared" si="23"/>
        <v>4.7075855190394256E-2</v>
      </c>
      <c r="AB55" s="1320">
        <f t="shared" si="23"/>
        <v>4.9896045998544469E-2</v>
      </c>
      <c r="AC55" s="1320">
        <f t="shared" si="23"/>
        <v>0.10540763702041867</v>
      </c>
      <c r="AD55" s="1320">
        <f t="shared" si="23"/>
        <v>0.15281535704123383</v>
      </c>
      <c r="AE55" s="1318"/>
      <c r="AF55" s="1320"/>
      <c r="AG55" s="1320"/>
      <c r="AH55" s="1320">
        <f t="shared" si="24"/>
        <v>-0.16095145805685973</v>
      </c>
      <c r="AI55" s="1320">
        <f t="shared" si="24"/>
        <v>0.79485461234800892</v>
      </c>
      <c r="AJ55" s="1320">
        <f t="shared" si="24"/>
        <v>0.10780479937316501</v>
      </c>
      <c r="AK55" s="1323">
        <f t="shared" si="24"/>
        <v>-6.7903255870188417E-2</v>
      </c>
      <c r="AL55" s="1320">
        <f t="shared" si="24"/>
        <v>-0.10049590611813763</v>
      </c>
      <c r="AM55" s="1320">
        <f t="shared" si="24"/>
        <v>8.6826027964943098E-2</v>
      </c>
    </row>
    <row r="56" spans="1:39" ht="17.25" customHeight="1" x14ac:dyDescent="0.35">
      <c r="A56" s="1331" t="str">
        <f>+A51</f>
        <v>PF Adj. EBITDA pre-synergy</v>
      </c>
      <c r="C56" s="1291"/>
      <c r="D56" s="1291"/>
      <c r="E56" s="1291"/>
      <c r="F56" s="1292"/>
      <c r="G56" s="1312">
        <f t="shared" si="21"/>
        <v>0.1158479224952047</v>
      </c>
      <c r="H56" s="1312">
        <f t="shared" si="21"/>
        <v>-0.33638697732909495</v>
      </c>
      <c r="I56" s="1312">
        <f t="shared" si="21"/>
        <v>6.2204322619517916E-2</v>
      </c>
      <c r="J56" s="1313">
        <f t="shared" si="21"/>
        <v>0.30560149733197761</v>
      </c>
      <c r="K56" s="1312">
        <f t="shared" si="21"/>
        <v>0.3392820973225088</v>
      </c>
      <c r="L56" s="1312">
        <f t="shared" si="21"/>
        <v>1.2668851193374477</v>
      </c>
      <c r="M56" s="1312">
        <f t="shared" si="21"/>
        <v>0.56389605102456231</v>
      </c>
      <c r="N56" s="1313">
        <f t="shared" si="21"/>
        <v>0.56433675551095552</v>
      </c>
      <c r="O56" s="1312">
        <f t="shared" si="21"/>
        <v>0.3793422931449808</v>
      </c>
      <c r="P56" s="1312">
        <f t="shared" si="21"/>
        <v>0.13498137487301043</v>
      </c>
      <c r="Q56" s="1312">
        <f t="shared" si="22"/>
        <v>1.7723342314317048E-2</v>
      </c>
      <c r="R56" s="1313">
        <f t="shared" si="22"/>
        <v>-1.6759628856168551E-2</v>
      </c>
      <c r="S56" s="1314">
        <f t="shared" si="22"/>
        <v>-7.034059030384443E-2</v>
      </c>
      <c r="T56" s="1312">
        <f t="shared" si="22"/>
        <v>-9.6653197619900211E-2</v>
      </c>
      <c r="U56" s="1312">
        <f t="shared" si="22"/>
        <v>-4.21107378544755E-2</v>
      </c>
      <c r="V56" s="1312">
        <f t="shared" si="22"/>
        <v>-1.2860151454048507E-2</v>
      </c>
      <c r="W56" s="1314">
        <f t="shared" si="22"/>
        <v>-9.6127078574084868E-2</v>
      </c>
      <c r="X56" s="1312">
        <f t="shared" si="22"/>
        <v>-3.7020609995470188E-2</v>
      </c>
      <c r="Y56" s="1315">
        <f t="shared" si="22"/>
        <v>-2.6809794654062746E-2</v>
      </c>
      <c r="Z56" s="1313">
        <f t="shared" si="22"/>
        <v>-3.1682568457710114E-2</v>
      </c>
      <c r="AA56" s="1312">
        <f t="shared" si="23"/>
        <v>8.5443183447058813E-2</v>
      </c>
      <c r="AB56" s="1312">
        <f t="shared" si="23"/>
        <v>8.0707260310301843E-2</v>
      </c>
      <c r="AC56" s="1312">
        <f t="shared" si="23"/>
        <v>0.10563952895685835</v>
      </c>
      <c r="AD56" s="1312">
        <f t="shared" si="23"/>
        <v>0.11635951057798444</v>
      </c>
      <c r="AE56" s="1291"/>
      <c r="AF56" s="1312"/>
      <c r="AG56" s="1312"/>
      <c r="AH56" s="1312">
        <f t="shared" si="24"/>
        <v>1.5960012638168264E-2</v>
      </c>
      <c r="AI56" s="1312">
        <f t="shared" si="24"/>
        <v>0.64407449020014096</v>
      </c>
      <c r="AJ56" s="1312">
        <f t="shared" si="24"/>
        <v>0.10341597696951199</v>
      </c>
      <c r="AK56" s="1315">
        <f t="shared" si="24"/>
        <v>-5.5503528060203977E-2</v>
      </c>
      <c r="AL56" s="1312">
        <f t="shared" si="24"/>
        <v>-4.6078458317044824E-2</v>
      </c>
      <c r="AM56" s="1312">
        <f t="shared" si="24"/>
        <v>9.7902446618668204E-2</v>
      </c>
    </row>
    <row r="57" spans="1:39" ht="17.25" customHeight="1" x14ac:dyDescent="0.35">
      <c r="A57" s="1316"/>
      <c r="C57" s="1332"/>
      <c r="D57" s="1332"/>
      <c r="E57" s="1332"/>
      <c r="F57" s="1333"/>
      <c r="G57" s="1332"/>
      <c r="H57" s="1332"/>
      <c r="I57" s="1332"/>
      <c r="J57" s="1333"/>
      <c r="K57" s="1332"/>
      <c r="L57" s="1332"/>
      <c r="M57" s="1332"/>
      <c r="N57" s="1333"/>
      <c r="O57" s="1332"/>
      <c r="P57" s="1332"/>
      <c r="Q57" s="1332"/>
      <c r="R57" s="1333"/>
      <c r="S57" s="1334"/>
      <c r="T57" s="1332"/>
      <c r="U57" s="1332"/>
      <c r="V57" s="1332"/>
      <c r="W57" s="1334"/>
      <c r="X57" s="1332"/>
      <c r="Y57" s="1335"/>
      <c r="Z57" s="1333"/>
      <c r="AA57" s="1332"/>
      <c r="AB57" s="1332"/>
      <c r="AC57" s="1332"/>
      <c r="AD57" s="1332"/>
      <c r="AE57" s="1291"/>
      <c r="AF57" s="1332"/>
      <c r="AG57" s="1332"/>
      <c r="AH57" s="1332"/>
      <c r="AI57" s="1332"/>
      <c r="AJ57" s="1332"/>
      <c r="AK57" s="1335"/>
      <c r="AL57" s="1332"/>
      <c r="AM57" s="1332"/>
    </row>
    <row r="58" spans="1:39" ht="17.25" customHeight="1" x14ac:dyDescent="0.35">
      <c r="A58" s="1311" t="s">
        <v>127</v>
      </c>
      <c r="C58" s="1291"/>
      <c r="D58" s="1291"/>
      <c r="E58" s="1291"/>
      <c r="F58" s="1292"/>
      <c r="G58" s="1312"/>
      <c r="H58" s="1312"/>
      <c r="I58" s="1312"/>
      <c r="J58" s="1313"/>
      <c r="K58" s="1312"/>
      <c r="L58" s="1312"/>
      <c r="M58" s="1312"/>
      <c r="N58" s="1313"/>
      <c r="O58" s="1312"/>
      <c r="P58" s="1312"/>
      <c r="Q58" s="1312"/>
      <c r="R58" s="1313"/>
      <c r="S58" s="1314"/>
      <c r="T58" s="1312"/>
      <c r="U58" s="1312"/>
      <c r="V58" s="1312"/>
      <c r="W58" s="1314"/>
      <c r="X58" s="1312"/>
      <c r="Y58" s="1315"/>
      <c r="Z58" s="1313"/>
      <c r="AA58" s="1312"/>
      <c r="AB58" s="1312"/>
      <c r="AC58" s="1312"/>
      <c r="AD58" s="1312"/>
      <c r="AE58" s="1291"/>
      <c r="AF58" s="1312"/>
      <c r="AG58" s="1312"/>
      <c r="AH58" s="1312"/>
      <c r="AI58" s="1312"/>
      <c r="AJ58" s="1312"/>
      <c r="AK58" s="1315"/>
      <c r="AL58" s="1312"/>
      <c r="AM58" s="1312"/>
    </row>
    <row r="59" spans="1:39" ht="17.25" customHeight="1" x14ac:dyDescent="0.35">
      <c r="A59" s="1316" t="str">
        <f>+A54</f>
        <v>FA</v>
      </c>
      <c r="C59" s="1312">
        <f t="shared" ref="C59:AD59" si="25">+C49/C9</f>
        <v>0.22876001713967931</v>
      </c>
      <c r="D59" s="1312">
        <f t="shared" si="25"/>
        <v>0.27431117981269681</v>
      </c>
      <c r="E59" s="1312">
        <f t="shared" si="25"/>
        <v>0.27059279787345775</v>
      </c>
      <c r="F59" s="1313">
        <f t="shared" si="25"/>
        <v>0.25122740547793843</v>
      </c>
      <c r="G59" s="1312">
        <f t="shared" si="25"/>
        <v>0.24550023006342531</v>
      </c>
      <c r="H59" s="1312">
        <f t="shared" si="25"/>
        <v>0.30149629022887248</v>
      </c>
      <c r="I59" s="1312">
        <f t="shared" si="25"/>
        <v>0.31647633391334873</v>
      </c>
      <c r="J59" s="1313">
        <f t="shared" si="25"/>
        <v>0.28519138389206877</v>
      </c>
      <c r="K59" s="1312">
        <f t="shared" si="25"/>
        <v>0.2770500492163247</v>
      </c>
      <c r="L59" s="1312">
        <f t="shared" si="25"/>
        <v>0.32216031940329243</v>
      </c>
      <c r="M59" s="1312">
        <f t="shared" si="25"/>
        <v>0.33154453587187027</v>
      </c>
      <c r="N59" s="1313">
        <f t="shared" si="25"/>
        <v>0.32671785895770966</v>
      </c>
      <c r="O59" s="1312">
        <f t="shared" si="25"/>
        <v>0.28228206086970259</v>
      </c>
      <c r="P59" s="1312">
        <f t="shared" si="25"/>
        <v>0.30181433908345362</v>
      </c>
      <c r="Q59" s="1312">
        <f t="shared" si="25"/>
        <v>0.31161341062013925</v>
      </c>
      <c r="R59" s="1313">
        <f t="shared" si="25"/>
        <v>0.33061925256943953</v>
      </c>
      <c r="S59" s="1314">
        <f t="shared" si="25"/>
        <v>0.27666362807657241</v>
      </c>
      <c r="T59" s="1312">
        <f t="shared" si="25"/>
        <v>0.30203167579526752</v>
      </c>
      <c r="U59" s="1312">
        <f t="shared" si="25"/>
        <v>0.32336647301910521</v>
      </c>
      <c r="V59" s="1312">
        <f t="shared" si="25"/>
        <v>0.3368548888735301</v>
      </c>
      <c r="W59" s="1314">
        <f t="shared" si="25"/>
        <v>0.27481465741134248</v>
      </c>
      <c r="X59" s="1312">
        <f t="shared" si="25"/>
        <v>0.30215230890943184</v>
      </c>
      <c r="Y59" s="2293">
        <f t="shared" si="25"/>
        <v>0.32164685439360385</v>
      </c>
      <c r="Z59" s="2249">
        <f t="shared" si="25"/>
        <v>0.33767038259103205</v>
      </c>
      <c r="AA59" s="1351">
        <f t="shared" si="25"/>
        <v>0.29165889573043252</v>
      </c>
      <c r="AB59" s="1351">
        <f t="shared" si="25"/>
        <v>0.3147444345680353</v>
      </c>
      <c r="AC59" s="1351">
        <f t="shared" si="25"/>
        <v>0.33101795445936744</v>
      </c>
      <c r="AD59" s="1351">
        <f t="shared" si="25"/>
        <v>0.34248413945218037</v>
      </c>
      <c r="AE59" s="1291"/>
      <c r="AF59" s="1312"/>
      <c r="AG59" s="1312">
        <f t="shared" ref="AG59:AM61" si="26">+AG49/AG9</f>
        <v>0.25691464961277966</v>
      </c>
      <c r="AH59" s="1312">
        <f t="shared" si="26"/>
        <v>0.28831748351186481</v>
      </c>
      <c r="AI59" s="1312">
        <f t="shared" si="26"/>
        <v>0.31769702159919688</v>
      </c>
      <c r="AJ59" s="1312">
        <f t="shared" si="26"/>
        <v>0.30728757084675373</v>
      </c>
      <c r="AK59" s="1315">
        <f t="shared" si="26"/>
        <v>0.31103447282592322</v>
      </c>
      <c r="AL59" s="1312">
        <f t="shared" si="26"/>
        <v>0.31088230813797701</v>
      </c>
      <c r="AM59" s="1312">
        <f>+AM49/AM9</f>
        <v>0.32164603317354012</v>
      </c>
    </row>
    <row r="60" spans="1:39" s="1317" customFormat="1" ht="17.25" customHeight="1" x14ac:dyDescent="0.35">
      <c r="A60" s="1316" t="str">
        <f>+A55</f>
        <v>STER</v>
      </c>
      <c r="C60" s="1320">
        <f t="shared" ref="C60:AD60" si="27">+C50/C10</f>
        <v>0.2173324526560563</v>
      </c>
      <c r="D60" s="1320">
        <f t="shared" si="27"/>
        <v>0.26693897219266127</v>
      </c>
      <c r="E60" s="1320">
        <f t="shared" si="27"/>
        <v>0.27027845378272786</v>
      </c>
      <c r="F60" s="1321">
        <f t="shared" si="27"/>
        <v>0.19548460417198524</v>
      </c>
      <c r="G60" s="1320">
        <f t="shared" si="27"/>
        <v>0.23112099584506099</v>
      </c>
      <c r="H60" s="1320">
        <f t="shared" si="27"/>
        <v>0.15736979372480833</v>
      </c>
      <c r="I60" s="1320">
        <f t="shared" si="27"/>
        <v>0.25852385540078715</v>
      </c>
      <c r="J60" s="1321">
        <f t="shared" si="27"/>
        <v>0.21712594151278614</v>
      </c>
      <c r="K60" s="1320">
        <f t="shared" si="27"/>
        <v>0.26407691755758056</v>
      </c>
      <c r="L60" s="1320">
        <f t="shared" si="27"/>
        <v>0.29519607350873672</v>
      </c>
      <c r="M60" s="1320">
        <f t="shared" si="27"/>
        <v>0.30255017486744873</v>
      </c>
      <c r="N60" s="1321">
        <f t="shared" si="27"/>
        <v>0.2536960991539432</v>
      </c>
      <c r="O60" s="1320">
        <f t="shared" si="27"/>
        <v>0.24814035380159608</v>
      </c>
      <c r="P60" s="1320">
        <f t="shared" si="27"/>
        <v>0.27468128468658648</v>
      </c>
      <c r="Q60" s="1320">
        <f t="shared" si="27"/>
        <v>0.26642381547323368</v>
      </c>
      <c r="R60" s="1321">
        <f t="shared" si="27"/>
        <v>0.24303790018832391</v>
      </c>
      <c r="S60" s="1322">
        <f t="shared" si="27"/>
        <v>0.25410823655410153</v>
      </c>
      <c r="T60" s="1320">
        <f t="shared" si="27"/>
        <v>0.26261135389528534</v>
      </c>
      <c r="U60" s="1320">
        <f t="shared" si="27"/>
        <v>0.26337184187499307</v>
      </c>
      <c r="V60" s="1320">
        <f t="shared" si="27"/>
        <v>0.24741464796713422</v>
      </c>
      <c r="W60" s="1322">
        <f t="shared" si="27"/>
        <v>0.2070441238931392</v>
      </c>
      <c r="X60" s="1320">
        <f t="shared" si="27"/>
        <v>0.23081065985797494</v>
      </c>
      <c r="Y60" s="2294">
        <f t="shared" si="27"/>
        <v>0.23165728900255753</v>
      </c>
      <c r="Z60" s="2250">
        <f t="shared" si="27"/>
        <v>0.20495469039745068</v>
      </c>
      <c r="AA60" s="2242">
        <f t="shared" si="27"/>
        <v>0.20988439303659742</v>
      </c>
      <c r="AB60" s="2242">
        <f t="shared" si="27"/>
        <v>0.23143461205563889</v>
      </c>
      <c r="AC60" s="2242">
        <f t="shared" si="27"/>
        <v>0.24053556312961927</v>
      </c>
      <c r="AD60" s="2242">
        <f t="shared" si="27"/>
        <v>0.2182177187110908</v>
      </c>
      <c r="AE60" s="1318"/>
      <c r="AF60" s="1320"/>
      <c r="AG60" s="1320">
        <f t="shared" si="26"/>
        <v>0.23934815161704842</v>
      </c>
      <c r="AH60" s="1320">
        <f t="shared" si="26"/>
        <v>0.21987122196855607</v>
      </c>
      <c r="AI60" s="1320">
        <f t="shared" si="26"/>
        <v>0.27915620267836555</v>
      </c>
      <c r="AJ60" s="1320">
        <f t="shared" si="26"/>
        <v>0.25887801226424201</v>
      </c>
      <c r="AK60" s="1323">
        <f t="shared" si="26"/>
        <v>0.25710633094324942</v>
      </c>
      <c r="AL60" s="1320">
        <f t="shared" si="26"/>
        <v>0.21916892920678932</v>
      </c>
      <c r="AM60" s="1320">
        <f t="shared" si="26"/>
        <v>0.22547139530579963</v>
      </c>
    </row>
    <row r="61" spans="1:39" ht="17.25" customHeight="1" x14ac:dyDescent="0.35">
      <c r="A61" s="1331" t="str">
        <f>+A56</f>
        <v>PF Adj. EBITDA pre-synergy</v>
      </c>
      <c r="C61" s="1312">
        <f t="shared" ref="C61:AD61" si="28">+C51/C11</f>
        <v>0.22302459492843132</v>
      </c>
      <c r="D61" s="1312">
        <f t="shared" si="28"/>
        <v>0.27046865754958349</v>
      </c>
      <c r="E61" s="1312">
        <f t="shared" si="28"/>
        <v>0.27043011402373868</v>
      </c>
      <c r="F61" s="1313">
        <f t="shared" si="28"/>
        <v>0.22394697705536462</v>
      </c>
      <c r="G61" s="1312">
        <f t="shared" si="28"/>
        <v>0.23804400234563342</v>
      </c>
      <c r="H61" s="1312">
        <f t="shared" si="28"/>
        <v>0.23554689921679653</v>
      </c>
      <c r="I61" s="1312">
        <f t="shared" si="28"/>
        <v>0.28968438200599655</v>
      </c>
      <c r="J61" s="1313">
        <f t="shared" si="28"/>
        <v>0.25450653277543767</v>
      </c>
      <c r="K61" s="1312">
        <f t="shared" si="28"/>
        <v>0.27038903625110522</v>
      </c>
      <c r="L61" s="1312">
        <f t="shared" si="28"/>
        <v>0.30930349479581271</v>
      </c>
      <c r="M61" s="1312">
        <f t="shared" si="28"/>
        <v>0.31797976955168533</v>
      </c>
      <c r="N61" s="1313">
        <f t="shared" si="28"/>
        <v>0.29388519296355653</v>
      </c>
      <c r="O61" s="1312">
        <f t="shared" si="28"/>
        <v>0.26511772854999172</v>
      </c>
      <c r="P61" s="1312">
        <f t="shared" si="28"/>
        <v>0.28811353008213147</v>
      </c>
      <c r="Q61" s="1312">
        <f t="shared" si="28"/>
        <v>0.28939141591719408</v>
      </c>
      <c r="R61" s="1313">
        <f t="shared" si="28"/>
        <v>0.29171405042939491</v>
      </c>
      <c r="S61" s="1314">
        <f t="shared" si="28"/>
        <v>0.26526660541046354</v>
      </c>
      <c r="T61" s="1312">
        <f t="shared" si="28"/>
        <v>0.28205558172899048</v>
      </c>
      <c r="U61" s="1312">
        <f t="shared" si="28"/>
        <v>0.29492820203186937</v>
      </c>
      <c r="V61" s="1312">
        <f t="shared" si="28"/>
        <v>0.29611966299082204</v>
      </c>
      <c r="W61" s="1314">
        <f t="shared" si="28"/>
        <v>0.23934836740148843</v>
      </c>
      <c r="X61" s="1312">
        <f t="shared" si="28"/>
        <v>0.26500101279234645</v>
      </c>
      <c r="Y61" s="2293">
        <f t="shared" si="28"/>
        <v>0.27706471305233654</v>
      </c>
      <c r="Z61" s="2249">
        <f t="shared" si="28"/>
        <v>0.27662874290021572</v>
      </c>
      <c r="AA61" s="1351">
        <f t="shared" si="28"/>
        <v>0.24925047445631507</v>
      </c>
      <c r="AB61" s="1351">
        <f t="shared" si="28"/>
        <v>0.27165566855874101</v>
      </c>
      <c r="AC61" s="1351">
        <f t="shared" si="28"/>
        <v>0.28640083933394206</v>
      </c>
      <c r="AD61" s="1351">
        <f t="shared" si="28"/>
        <v>0.28530985907368328</v>
      </c>
      <c r="AE61" s="1291"/>
      <c r="AF61" s="1312"/>
      <c r="AG61" s="1312">
        <f t="shared" si="26"/>
        <v>0.2479936817755265</v>
      </c>
      <c r="AH61" s="1312">
        <f t="shared" si="26"/>
        <v>0.25605212838034958</v>
      </c>
      <c r="AI61" s="1312">
        <f t="shared" si="26"/>
        <v>0.29942858366582259</v>
      </c>
      <c r="AJ61" s="1312">
        <f t="shared" si="26"/>
        <v>0.28374656346219096</v>
      </c>
      <c r="AK61" s="1315">
        <f t="shared" si="26"/>
        <v>0.28487239795577862</v>
      </c>
      <c r="AL61" s="1312">
        <f t="shared" si="26"/>
        <v>0.26508423345139365</v>
      </c>
      <c r="AM61" s="1312">
        <f t="shared" si="26"/>
        <v>0.27389721599215355</v>
      </c>
    </row>
    <row r="62" spans="1:39" ht="17.25" customHeight="1" outlineLevel="1" x14ac:dyDescent="0.35">
      <c r="A62" s="1331"/>
      <c r="C62" s="1332"/>
      <c r="D62" s="1332"/>
      <c r="E62" s="1332"/>
      <c r="F62" s="1333"/>
      <c r="G62" s="1332"/>
      <c r="H62" s="1332"/>
      <c r="I62" s="1332"/>
      <c r="J62" s="1333"/>
      <c r="K62" s="1332"/>
      <c r="L62" s="1332"/>
      <c r="M62" s="1332"/>
      <c r="N62" s="1333"/>
      <c r="O62" s="1332"/>
      <c r="P62" s="1332"/>
      <c r="Q62" s="1332"/>
      <c r="R62" s="1333"/>
      <c r="S62" s="1334"/>
      <c r="T62" s="1332"/>
      <c r="U62" s="1332"/>
      <c r="V62" s="1332"/>
      <c r="W62" s="1334"/>
      <c r="X62" s="1332"/>
      <c r="Y62" s="1335"/>
      <c r="Z62" s="1333"/>
      <c r="AA62" s="1332"/>
      <c r="AB62" s="1332"/>
      <c r="AC62" s="1332"/>
      <c r="AD62" s="1332"/>
      <c r="AE62" s="1291"/>
      <c r="AF62" s="1332"/>
      <c r="AG62" s="1332"/>
      <c r="AH62" s="1332"/>
      <c r="AI62" s="1332"/>
      <c r="AJ62" s="1332"/>
      <c r="AK62" s="1335"/>
      <c r="AL62" s="1332"/>
      <c r="AM62" s="1332"/>
    </row>
    <row r="63" spans="1:39" ht="17.25" customHeight="1" outlineLevel="1" x14ac:dyDescent="0.35">
      <c r="A63" s="1311" t="s">
        <v>129</v>
      </c>
      <c r="F63" s="1292"/>
      <c r="G63" s="1336"/>
      <c r="H63" s="1336"/>
      <c r="I63" s="1336"/>
      <c r="J63" s="1337"/>
      <c r="K63" s="1336"/>
      <c r="L63" s="1336"/>
      <c r="M63" s="1336"/>
      <c r="N63" s="1337"/>
      <c r="O63" s="1336"/>
      <c r="P63" s="1336"/>
      <c r="Q63" s="1336"/>
      <c r="R63" s="1337"/>
      <c r="S63" s="1338"/>
      <c r="T63" s="1336"/>
      <c r="U63" s="1336"/>
      <c r="V63" s="1336"/>
      <c r="W63" s="1338"/>
      <c r="X63" s="1336"/>
      <c r="Y63" s="1339"/>
      <c r="Z63" s="1337"/>
      <c r="AA63" s="1336"/>
      <c r="AB63" s="1336"/>
      <c r="AC63" s="1336"/>
      <c r="AD63" s="1336"/>
      <c r="AE63" s="1291"/>
      <c r="AF63" s="1336"/>
      <c r="AG63" s="1336"/>
      <c r="AH63" s="1336"/>
      <c r="AI63" s="1336"/>
      <c r="AJ63" s="1336"/>
      <c r="AK63" s="1339"/>
    </row>
    <row r="64" spans="1:39" ht="17.25" customHeight="1" outlineLevel="1" x14ac:dyDescent="0.35">
      <c r="A64" s="1316" t="str">
        <f>+A59</f>
        <v>FA</v>
      </c>
      <c r="B64" s="1274"/>
      <c r="C64" s="1291" t="e">
        <f t="shared" ref="C64" si="29">IF(OR(C49&lt;0,#REF!&lt;0),"NM",(C49-#REF!)/(C$9-#REF!))</f>
        <v>#REF!</v>
      </c>
      <c r="D64" s="1291" t="e">
        <f t="shared" ref="D64:F64" si="30">IF(OR(D49&lt;0,#REF!&lt;0),"NM",(D49-#REF!)/(D$9-#REF!))</f>
        <v>#REF!</v>
      </c>
      <c r="E64" s="1291" t="e">
        <f t="shared" si="30"/>
        <v>#REF!</v>
      </c>
      <c r="F64" s="1292" t="e">
        <f t="shared" si="30"/>
        <v>#REF!</v>
      </c>
      <c r="G64" s="1336">
        <f t="shared" ref="G64:AC64" si="31">IF(OR(G49&lt;0,C49&lt;0),"NM",(G49-C49)/(G$9-C$9))</f>
        <v>1.8394097222222172</v>
      </c>
      <c r="H64" s="1336">
        <f t="shared" si="31"/>
        <v>0.10265816694731718</v>
      </c>
      <c r="I64" s="1336">
        <f t="shared" si="31"/>
        <v>0.75301714197863201</v>
      </c>
      <c r="J64" s="1337">
        <f t="shared" si="31"/>
        <v>0.42932270382528304</v>
      </c>
      <c r="K64" s="1336">
        <f t="shared" si="31"/>
        <v>0.44175969101785162</v>
      </c>
      <c r="L64" s="1336">
        <f t="shared" si="31"/>
        <v>0.35322841636475588</v>
      </c>
      <c r="M64" s="1336">
        <f t="shared" si="31"/>
        <v>0.36828968246893312</v>
      </c>
      <c r="N64" s="1337">
        <f t="shared" si="31"/>
        <v>0.44282703436450499</v>
      </c>
      <c r="O64" s="1336">
        <f t="shared" si="31"/>
        <v>0.29423466122364239</v>
      </c>
      <c r="P64" s="1336">
        <f t="shared" si="31"/>
        <v>0.16876753319618445</v>
      </c>
      <c r="Q64" s="1336">
        <f t="shared" si="31"/>
        <v>1.8598978580685026E-2</v>
      </c>
      <c r="R64" s="1337">
        <f t="shared" si="31"/>
        <v>13.492063492096367</v>
      </c>
      <c r="S64" s="1338">
        <f t="shared" si="31"/>
        <v>0.35095049091288927</v>
      </c>
      <c r="T64" s="1336">
        <f t="shared" si="31"/>
        <v>0.29933522097747117</v>
      </c>
      <c r="U64" s="1336">
        <f t="shared" si="31"/>
        <v>-0.10725720384204837</v>
      </c>
      <c r="V64" s="1336">
        <f t="shared" si="31"/>
        <v>0.20472440944881878</v>
      </c>
      <c r="W64" s="1338">
        <f t="shared" si="31"/>
        <v>0.32798165137614532</v>
      </c>
      <c r="X64" s="1336">
        <f t="shared" si="31"/>
        <v>0.27308192457736313</v>
      </c>
      <c r="Y64" s="1339">
        <f t="shared" si="31"/>
        <v>0.59839357429717877</v>
      </c>
      <c r="Z64" s="1337">
        <f t="shared" si="31"/>
        <v>0.36681106901122529</v>
      </c>
      <c r="AA64" s="1336">
        <f t="shared" si="31"/>
        <v>0.61154060968499557</v>
      </c>
      <c r="AB64" s="1336">
        <f t="shared" si="31"/>
        <v>0.51777005202426207</v>
      </c>
      <c r="AC64" s="1336">
        <f t="shared" si="31"/>
        <v>0.45680745211506835</v>
      </c>
      <c r="AD64" s="1336">
        <f>IF(OR(AD49&lt;0,Z49&lt;0),"NM",(AD49-Z49)/(AD$9-Z$9))</f>
        <v>0.40112521552450092</v>
      </c>
      <c r="AE64" s="1291"/>
      <c r="AF64" s="1336"/>
      <c r="AG64" s="1336"/>
      <c r="AH64" s="1336">
        <f t="shared" ref="AH64:AL64" si="32">IF(OR(AH49&lt;0,AG49&lt;0),"NM",(AH49-AG49)/(AH$9-AG$9))</f>
        <v>0.84072735239347152</v>
      </c>
      <c r="AI64" s="1336">
        <f t="shared" si="32"/>
        <v>0.39133409799105018</v>
      </c>
      <c r="AJ64" s="1336">
        <f t="shared" si="32"/>
        <v>0.2314178127046502</v>
      </c>
      <c r="AK64" s="1339">
        <f t="shared" si="32"/>
        <v>0.24542821322035485</v>
      </c>
      <c r="AL64" s="1312">
        <f t="shared" si="32"/>
        <v>0.35833038354494134</v>
      </c>
      <c r="AM64" s="1312">
        <f>IF(OR(AM49&lt;0,AL49&lt;0),"NM",(AM49-AL49)/(AM$9-AL$9))</f>
        <v>0.47834637312619643</v>
      </c>
    </row>
    <row r="65" spans="1:39" s="1317" customFormat="1" ht="17.25" customHeight="1" outlineLevel="1" x14ac:dyDescent="0.35">
      <c r="A65" s="1316" t="str">
        <f>+A60</f>
        <v>STER</v>
      </c>
      <c r="B65" s="1290"/>
      <c r="C65" s="1318" t="e">
        <f t="shared" ref="C65" si="33">IF(OR(C50&lt;0,#REF!&lt;0),"NM",(C50-#REF!)/(C$10-#REF!))</f>
        <v>#REF!</v>
      </c>
      <c r="D65" s="1318" t="e">
        <f t="shared" ref="D65:F65" si="34">IF(OR(D50&lt;0,#REF!&lt;0),"NM",(D50-#REF!)/(D$10-#REF!))</f>
        <v>#REF!</v>
      </c>
      <c r="E65" s="1318" t="e">
        <f t="shared" si="34"/>
        <v>#REF!</v>
      </c>
      <c r="F65" s="1319" t="e">
        <f t="shared" si="34"/>
        <v>#REF!</v>
      </c>
      <c r="G65" s="1340">
        <f t="shared" ref="G65:AC65" si="35">IF(OR(G50&lt;0,C50&lt;0),"NM",(G50-C50)/(G$10-C$10))</f>
        <v>0.4032185206098251</v>
      </c>
      <c r="H65" s="1340">
        <f t="shared" si="35"/>
        <v>0.48835824437077507</v>
      </c>
      <c r="I65" s="1340">
        <f t="shared" si="35"/>
        <v>0.3614456242168439</v>
      </c>
      <c r="J65" s="1341">
        <f t="shared" si="35"/>
        <v>0.58859533805465081</v>
      </c>
      <c r="K65" s="1340">
        <f t="shared" si="35"/>
        <v>0.46084325297589268</v>
      </c>
      <c r="L65" s="1340">
        <f t="shared" si="35"/>
        <v>0.46772192150599939</v>
      </c>
      <c r="M65" s="1340">
        <f t="shared" si="35"/>
        <v>0.40220615266761267</v>
      </c>
      <c r="N65" s="1341">
        <f t="shared" si="35"/>
        <v>0.35783600032797258</v>
      </c>
      <c r="O65" s="1340">
        <f t="shared" si="35"/>
        <v>0.20591612486217256</v>
      </c>
      <c r="P65" s="1340">
        <f t="shared" si="35"/>
        <v>0.204029137755874</v>
      </c>
      <c r="Q65" s="1340">
        <f t="shared" si="35"/>
        <v>6.0470042364333128E-2</v>
      </c>
      <c r="R65" s="1341">
        <f t="shared" si="35"/>
        <v>0.7419789700727959</v>
      </c>
      <c r="S65" s="1342">
        <f t="shared" si="35"/>
        <v>0.16388407623247769</v>
      </c>
      <c r="T65" s="1340">
        <f t="shared" si="35"/>
        <v>0.42579075425790702</v>
      </c>
      <c r="U65" s="1340">
        <f t="shared" si="35"/>
        <v>0.29584156301713554</v>
      </c>
      <c r="V65" s="1340">
        <f t="shared" si="35"/>
        <v>-1.2281746031744869</v>
      </c>
      <c r="W65" s="1342">
        <f t="shared" si="35"/>
        <v>-1.0475836431226777</v>
      </c>
      <c r="X65" s="1340">
        <f t="shared" si="35"/>
        <v>-0.36602917981072547</v>
      </c>
      <c r="Y65" s="1343">
        <f t="shared" si="35"/>
        <v>-0.151801258872372</v>
      </c>
      <c r="Z65" s="1341">
        <f t="shared" si="35"/>
        <v>-0.70274293952911082</v>
      </c>
      <c r="AA65" s="1340">
        <f t="shared" si="35"/>
        <v>0.29619834332943434</v>
      </c>
      <c r="AB65" s="1340">
        <f t="shared" si="35"/>
        <v>0.24469171373723789</v>
      </c>
      <c r="AC65" s="1340">
        <f t="shared" si="35"/>
        <v>0.37795620991545087</v>
      </c>
      <c r="AD65" s="1340">
        <f>IF(OR(AD50&lt;0,Z50&lt;0),"NM",(AD50-Z50)/(AD$10-Z$10))</f>
        <v>0.37849884993225724</v>
      </c>
      <c r="AE65" s="1318"/>
      <c r="AF65" s="1340"/>
      <c r="AG65" s="1340"/>
      <c r="AH65" s="1340">
        <f t="shared" ref="AH65:AL65" si="36">IF(OR(AH50&lt;0,AG50&lt;0),"NM",(AH50-AG50)/(AH$10-AG$10))</f>
        <v>0.44471123702482385</v>
      </c>
      <c r="AI65" s="1340">
        <f t="shared" si="36"/>
        <v>0.42246823481058005</v>
      </c>
      <c r="AJ65" s="1340">
        <f t="shared" si="36"/>
        <v>0.15466300501209007</v>
      </c>
      <c r="AK65" s="1343">
        <f t="shared" si="36"/>
        <v>0.28592338042509929</v>
      </c>
      <c r="AL65" s="1320">
        <f t="shared" si="36"/>
        <v>-0.46803790745874685</v>
      </c>
      <c r="AM65" s="1320">
        <f>IF(OR(AM50&lt;0,AL50&lt;0),"NM",(AM50-AL50)/(AM$10-AL$10))</f>
        <v>0.33712492676705669</v>
      </c>
    </row>
    <row r="66" spans="1:39" ht="17.25" customHeight="1" outlineLevel="1" x14ac:dyDescent="0.35">
      <c r="A66" s="1331" t="str">
        <f>+A61</f>
        <v>PF Adj. EBITDA pre-synergy</v>
      </c>
      <c r="B66" s="1274"/>
      <c r="C66" s="1291" t="e">
        <f t="shared" ref="C66" si="37">IF(OR(C51&lt;0,#REF!&lt;0),"NM",(C51-#REF!)/(C$11-#REF!))</f>
        <v>#REF!</v>
      </c>
      <c r="D66" s="1291" t="e">
        <f t="shared" ref="D66:F66" si="38">IF(OR(D51&lt;0,#REF!&lt;0),"NM",(D51-#REF!)/(D$11-#REF!))</f>
        <v>#REF!</v>
      </c>
      <c r="E66" s="1291" t="e">
        <f t="shared" si="38"/>
        <v>#REF!</v>
      </c>
      <c r="F66" s="1292" t="e">
        <f t="shared" si="38"/>
        <v>#REF!</v>
      </c>
      <c r="G66" s="1336">
        <f t="shared" ref="G66" si="39">IF(OR(G51&lt;0,C51&lt;0),"NM",(G51-C51)/(G$11-C$11))</f>
        <v>0.56855201359048591</v>
      </c>
      <c r="H66" s="1336">
        <f t="shared" ref="H66" si="40">IF(OR(H51&lt;0,D51&lt;0),"NM",(H51-D51)/(H$11-D$11))</f>
        <v>0.38227641657831235</v>
      </c>
      <c r="I66" s="1336">
        <f t="shared" ref="I66" si="41">IF(OR(I51&lt;0,E51&lt;0),"NM",(I51-E51)/(I$11-E$11))</f>
        <v>-2.0034354688950344</v>
      </c>
      <c r="J66" s="1337">
        <f t="shared" ref="J66" si="42">IF(OR(J51&lt;0,F51&lt;0),"NM",(J51-F51)/(J$11-F$11))</f>
        <v>0.45983432760240794</v>
      </c>
      <c r="K66" s="1336">
        <f t="shared" ref="K66" si="43">IF(OR(K51&lt;0,G51&lt;0),"NM",(K51-G51)/(K$11-G$11))</f>
        <v>0.45101516070345687</v>
      </c>
      <c r="L66" s="1336">
        <f t="shared" ref="L66" si="44">IF(OR(L51&lt;0,H51&lt;0),"NM",(L51-H51)/(L$11-H$11))</f>
        <v>0.4108514119069635</v>
      </c>
      <c r="M66" s="1336">
        <f t="shared" ref="M66" si="45">IF(OR(M51&lt;0,I51&lt;0),"NM",(M51-I51)/(M$11-I$11))</f>
        <v>0.38459900947486986</v>
      </c>
      <c r="N66" s="1337">
        <f t="shared" ref="N66" si="46">IF(OR(N51&lt;0,J51&lt;0),"NM",(N51-J51)/(N$11-J$11))</f>
        <v>0.40489666583262107</v>
      </c>
      <c r="O66" s="1336">
        <f t="shared" ref="O66" si="47">IF(OR(O51&lt;0,K51&lt;0),"NM",(O51-K51)/(O$11-K$11))</f>
        <v>0.25215871319500405</v>
      </c>
      <c r="P66" s="1336">
        <f t="shared" ref="P66" si="48">IF(OR(P51&lt;0,L51&lt;0),"NM",(P51-L51)/(P$11-L$11))</f>
        <v>0.19111482506370017</v>
      </c>
      <c r="Q66" s="1336">
        <f t="shared" ref="Q66" si="49">IF(OR(Q51&lt;0,M51&lt;0),"NM",(Q51-M51)/(Q$11-M$11))</f>
        <v>4.7654044469331198E-2</v>
      </c>
      <c r="R66" s="1337">
        <f t="shared" ref="R66" si="50">IF(OR(R51&lt;0,N51&lt;0),"NM",(R51-N51)/(R$11-N$11))</f>
        <v>0.52166758091056065</v>
      </c>
      <c r="S66" s="1338">
        <f t="shared" ref="S66" si="51">IF(OR(S51&lt;0,O51&lt;0),"NM",(S51-O51)/(S$11-O$11))</f>
        <v>0.26316567500646693</v>
      </c>
      <c r="T66" s="1336">
        <f t="shared" ref="T66" si="52">IF(OR(T51&lt;0,P51&lt;0),"NM",(T51-P51)/(T$11-P$11))</f>
        <v>0.36047435856674964</v>
      </c>
      <c r="U66" s="1336">
        <f t="shared" ref="U66" si="53">IF(OR(U51&lt;0,Q51&lt;0),"NM",(U51-Q51)/(U$11-Q$11))</f>
        <v>0.20279203448983843</v>
      </c>
      <c r="V66" s="1336">
        <f t="shared" ref="V66" si="54">IF(OR(V51&lt;0,R51&lt;0),"NM",(V51-R51)/(V$11-R$11))</f>
        <v>0.13618677042801533</v>
      </c>
      <c r="W66" s="1338">
        <f t="shared" ref="W66" si="55">IF(OR(W51&lt;0,S51&lt;0),"NM",(W51-S51)/(W$11-S$11))</f>
        <v>-14.568438003221056</v>
      </c>
      <c r="X66" s="1336">
        <f t="shared" ref="X66" si="56">IF(OR(X51&lt;0,T51&lt;0),"NM",(X51-T51)/(X$11-T$11))</f>
        <v>-0.41845333333333201</v>
      </c>
      <c r="Y66" s="1339">
        <f t="shared" ref="Y66" si="57">IF(OR(Y51&lt;0,U51&lt;0),"NM",(Y51-U51)/(Y$11-U$11))</f>
        <v>-0.22003068156914177</v>
      </c>
      <c r="Z66" s="1337">
        <f t="shared" ref="Z66" si="58">IF(OR(Z51&lt;0,V51&lt;0),"NM",(Z51-V51)/(Z$11-V$11))</f>
        <v>-0.25672781751672474</v>
      </c>
      <c r="AA66" s="1336">
        <f t="shared" ref="AA66" si="59">IF(OR(AA51&lt;0,W51&lt;0),"NM",(AA51-W51)/(AA$11-W$11))</f>
        <v>0.48322557061673277</v>
      </c>
      <c r="AB66" s="1336">
        <f t="shared" ref="AB66" si="60">IF(OR(AB51&lt;0,X51&lt;0),"NM",(AB51-X51)/(AB$11-X$11))</f>
        <v>0.39435935227945518</v>
      </c>
      <c r="AC66" s="1336">
        <f t="shared" ref="AC66" si="61">IF(OR(AC51&lt;0,Y51&lt;0),"NM",(AC51-Y51)/(AC$11-Y$11))</f>
        <v>0.42054488443401872</v>
      </c>
      <c r="AD66" s="1336">
        <f t="shared" ref="AD66" si="62">IF(OR(AD51&lt;0,Z51&lt;0),"NM",(AD51-Z51)/(AD$11-Z$11))</f>
        <v>0.39067335476672005</v>
      </c>
      <c r="AE66" s="1291"/>
      <c r="AF66" s="1336"/>
      <c r="AG66" s="1336"/>
      <c r="AH66" s="1336">
        <f t="shared" ref="AH66" si="63">IF(OR(AH51&lt;0,AG51&lt;0),"NM",(AH51-AG51)/(AH$11-AG$11))</f>
        <v>-0.24715488645062861</v>
      </c>
      <c r="AI66" s="1336">
        <f t="shared" ref="AI66" si="64">IF(OR(AI51&lt;0,AH51&lt;0),"NM",(AI51-AH51)/(AI$11-AH$11))</f>
        <v>0.40629159500772927</v>
      </c>
      <c r="AJ66" s="1336">
        <f t="shared" ref="AJ66" si="65">IF(OR(AJ51&lt;0,AI51&lt;0),"NM",(AJ51-AI51)/(AJ$11-AI$11))</f>
        <v>0.18835670586544281</v>
      </c>
      <c r="AK66" s="1339">
        <f t="shared" ref="AK66" si="66">IF(OR(AK51&lt;0,AJ51&lt;0),"NM",(AK51-AJ51)/(AK$11-AJ$11))</f>
        <v>0.26586655817738092</v>
      </c>
      <c r="AL66" s="1312">
        <f t="shared" ref="AL66" si="67">IF(OR(AL51&lt;0,AK51&lt;0),"NM",(AL51-AK51)/(AL$11-AK$11))</f>
        <v>-0.52233389420037102</v>
      </c>
      <c r="AM66" s="1312">
        <f t="shared" ref="AM66" si="68">IF(OR(AM51&lt;0,AL51&lt;0),"NM",(AM51-AL51)/(AM$11-AL$11))</f>
        <v>0.41473351281037846</v>
      </c>
    </row>
    <row r="67" spans="1:39" ht="17.25" customHeight="1" x14ac:dyDescent="0.35">
      <c r="C67" s="1291"/>
      <c r="D67" s="1291"/>
      <c r="E67" s="1291"/>
      <c r="F67" s="1292"/>
      <c r="G67" s="1291"/>
      <c r="H67" s="1291"/>
      <c r="I67" s="1291"/>
      <c r="J67" s="1292"/>
      <c r="K67" s="1291"/>
      <c r="L67" s="1291"/>
      <c r="M67" s="1291"/>
      <c r="N67" s="1292"/>
      <c r="O67" s="1291"/>
      <c r="P67" s="1291"/>
      <c r="Q67" s="1291"/>
      <c r="R67" s="1292"/>
      <c r="S67" s="1293"/>
      <c r="T67" s="1291"/>
      <c r="U67" s="1291"/>
      <c r="V67" s="1291"/>
      <c r="W67" s="1293"/>
      <c r="X67" s="1291"/>
      <c r="Y67" s="1294"/>
      <c r="Z67" s="1292"/>
      <c r="AA67" s="1291"/>
      <c r="AB67" s="1291"/>
      <c r="AC67" s="1291"/>
      <c r="AD67" s="1291"/>
      <c r="AE67" s="1280"/>
      <c r="AF67" s="1291"/>
      <c r="AG67" s="1291"/>
      <c r="AH67" s="1291"/>
      <c r="AI67" s="1291"/>
      <c r="AJ67" s="1291"/>
      <c r="AK67" s="1294"/>
      <c r="AL67" s="1291"/>
      <c r="AM67" s="1291"/>
    </row>
    <row r="68" spans="1:39" ht="17.25" customHeight="1" x14ac:dyDescent="0.35">
      <c r="A68" s="1317" t="s">
        <v>37</v>
      </c>
      <c r="C68" s="1291"/>
      <c r="D68" s="1291"/>
      <c r="E68" s="1291"/>
      <c r="F68" s="1292"/>
      <c r="G68" s="1291"/>
      <c r="H68" s="1291"/>
      <c r="I68" s="1291"/>
      <c r="J68" s="1292"/>
      <c r="K68" s="1291"/>
      <c r="L68" s="1291"/>
      <c r="M68" s="1291"/>
      <c r="N68" s="1292"/>
      <c r="O68" s="1291"/>
      <c r="P68" s="1291"/>
      <c r="Q68" s="1291"/>
      <c r="R68" s="1292"/>
      <c r="S68" s="1293"/>
      <c r="T68" s="1291"/>
      <c r="U68" s="1291"/>
      <c r="V68" s="1291"/>
      <c r="W68" s="1293"/>
      <c r="X68" s="1291"/>
      <c r="Y68" s="1294"/>
      <c r="Z68" s="1292"/>
      <c r="AA68" s="1291"/>
      <c r="AB68" s="1291"/>
      <c r="AC68" s="1291"/>
      <c r="AD68" s="1291"/>
      <c r="AE68" s="1280"/>
      <c r="AF68" s="1291"/>
      <c r="AG68" s="1291"/>
      <c r="AH68" s="1291"/>
      <c r="AI68" s="1291"/>
      <c r="AJ68" s="1291"/>
      <c r="AK68" s="1294"/>
    </row>
    <row r="69" spans="1:39" ht="17.25" customHeight="1" x14ac:dyDescent="0.35">
      <c r="A69" s="1272" t="str">
        <f>+A54</f>
        <v>FA</v>
      </c>
      <c r="C69" s="1291">
        <f>+'FA - Historical Financials'!C90</f>
        <v>0.35399999999999998</v>
      </c>
      <c r="D69" s="1291">
        <f>+'FA - Historical Financials'!D90</f>
        <v>0.32400000000000001</v>
      </c>
      <c r="E69" s="1291">
        <f>+'FA - Historical Financials'!E90</f>
        <v>0.27400000000000002</v>
      </c>
      <c r="F69" s="1292">
        <f>+'FA - Historical Financials'!F90</f>
        <v>0.26400000000000001</v>
      </c>
      <c r="G69" s="1291">
        <f>+'FA - Historical Financials'!G90</f>
        <v>4.2569999999999997</v>
      </c>
      <c r="H69" s="1291">
        <f>+'FA - Historical Financials'!H90</f>
        <v>0.52</v>
      </c>
      <c r="I69" s="1291">
        <f>+'FA - Historical Financials'!I90</f>
        <v>0.53</v>
      </c>
      <c r="J69" s="1292">
        <f>+'FA - Historical Financials'!J90</f>
        <v>0.54500000000000004</v>
      </c>
      <c r="K69" s="1291">
        <f>+'FA - Historical Financials'!K90</f>
        <v>0.56200000000000006</v>
      </c>
      <c r="L69" s="1291">
        <f>+'FA - Historical Financials'!L90</f>
        <v>2.6640000000000001</v>
      </c>
      <c r="M69" s="1291">
        <f>+'FA - Historical Financials'!M90</f>
        <v>1.343</v>
      </c>
      <c r="N69" s="1292">
        <f>+'FA - Historical Financials'!N90</f>
        <v>4.9610000000000003</v>
      </c>
      <c r="O69" s="1291">
        <f>+'FA - Historical Financials'!O90</f>
        <v>1.859</v>
      </c>
      <c r="P69" s="1291">
        <f>+'FA - Historical Financials'!P90</f>
        <v>1.9430000000000001</v>
      </c>
      <c r="Q69" s="1291">
        <f>+'FA - Historical Financials'!Q90</f>
        <v>2.0219999999999998</v>
      </c>
      <c r="R69" s="1292">
        <f>+'FA - Historical Financials'!R90</f>
        <v>2.032</v>
      </c>
      <c r="S69" s="1293">
        <f>+'FA - Historical Financials'!S90</f>
        <v>2.0579999999999998</v>
      </c>
      <c r="T69" s="1291">
        <f>+'FA - Historical Financials'!T90</f>
        <v>3.601</v>
      </c>
      <c r="U69" s="1291">
        <f>+'FA - Historical Financials'!U90</f>
        <v>4.79</v>
      </c>
      <c r="V69" s="1291">
        <f>+'FA - Historical Financials'!V90</f>
        <v>4.8159999999999998</v>
      </c>
      <c r="W69" s="1293">
        <f>+'FA - Historical Financials'!W90</f>
        <v>4.7510000000000003</v>
      </c>
      <c r="X69" s="1291">
        <f>+'FA - Historical Financials'!X90</f>
        <v>5.048</v>
      </c>
      <c r="Y69" s="1294">
        <f>+'FA - Historical Financials'!Y90</f>
        <v>5</v>
      </c>
      <c r="Z69" s="1292">
        <f>+'FA - Historical Financials'!Z90</f>
        <v>5</v>
      </c>
      <c r="AA69" s="1291">
        <f>+'FA - Historical Financials'!AA90</f>
        <v>5</v>
      </c>
      <c r="AB69" s="1291">
        <f>+'FA - Historical Financials'!AB90</f>
        <v>5.4949873582701301</v>
      </c>
      <c r="AC69" s="1291">
        <f>+'FA - Historical Financials'!AC90</f>
        <v>5.9985575350305025</v>
      </c>
      <c r="AD69" s="1291">
        <f>+'FA - Historical Financials'!AD90</f>
        <v>6.3173626958975415</v>
      </c>
      <c r="AE69" s="1280"/>
      <c r="AF69" s="1291"/>
      <c r="AG69" s="1291">
        <f>+'FA - Historical Financials'!AG90</f>
        <v>1.216</v>
      </c>
      <c r="AH69" s="1291">
        <f>+'FA - Historical Financials'!AH90</f>
        <v>5.8519999999999994</v>
      </c>
      <c r="AI69" s="1291">
        <f>+'FA - Historical Financials'!AI90</f>
        <v>9.5300000000000011</v>
      </c>
      <c r="AJ69" s="1291">
        <f>+'FA - Historical Financials'!AJ90</f>
        <v>7.8559999999999999</v>
      </c>
      <c r="AK69" s="1294">
        <f>+'FA - Historical Financials'!AK90</f>
        <v>15.265000000000001</v>
      </c>
      <c r="AL69" s="1291">
        <f>+SUM(W69:Z69)</f>
        <v>19.798999999999999</v>
      </c>
      <c r="AM69" s="1291">
        <f>+SUM(AA69:AD69)</f>
        <v>22.810907589198173</v>
      </c>
    </row>
    <row r="70" spans="1:39" s="1295" customFormat="1" ht="17.25" customHeight="1" x14ac:dyDescent="0.65">
      <c r="A70" s="1272" t="str">
        <f>+A55</f>
        <v>STER</v>
      </c>
      <c r="C70" s="1296">
        <f>+'Peer benchmarking'!C153</f>
        <v>0.5171</v>
      </c>
      <c r="D70" s="1296">
        <f>+'Peer benchmarking'!D153</f>
        <v>0.2326</v>
      </c>
      <c r="E70" s="1296">
        <f>+'Peer benchmarking'!E153</f>
        <v>0.24890000000000001</v>
      </c>
      <c r="F70" s="1297">
        <f>+'Peer benchmarking'!F153</f>
        <v>0.504</v>
      </c>
      <c r="G70" s="1296">
        <f>+'Peer benchmarking'!G153</f>
        <v>0.54510000000000003</v>
      </c>
      <c r="H70" s="1296">
        <f>+'Peer benchmarking'!H153</f>
        <v>0.64100000000000001</v>
      </c>
      <c r="I70" s="1296">
        <f>+'Peer benchmarking'!I153</f>
        <v>0.57020000000000004</v>
      </c>
      <c r="J70" s="1297">
        <f>+'Peer benchmarking'!J153</f>
        <v>1.7084000000000001</v>
      </c>
      <c r="K70" s="1296">
        <f>+'Peer benchmarking'!K153</f>
        <v>0.89949999999999997</v>
      </c>
      <c r="L70" s="1296">
        <f>+'Peer benchmarking'!L153</f>
        <v>0.75600000000000001</v>
      </c>
      <c r="M70" s="1296">
        <f>+'Peer benchmarking'!M153</f>
        <v>5.1079999999999997</v>
      </c>
      <c r="N70" s="1297">
        <f>+'Peer benchmarking'!N153</f>
        <v>5.3440000000000003</v>
      </c>
      <c r="O70" s="1296">
        <f>+'Peer benchmarking'!O153</f>
        <v>5.1079999999999997</v>
      </c>
      <c r="P70" s="1296">
        <f>+'Peer benchmarking'!P153</f>
        <v>6.0229999999999997</v>
      </c>
      <c r="Q70" s="1296">
        <f>+'Peer benchmarking'!Q153</f>
        <v>6.2930000000000001</v>
      </c>
      <c r="R70" s="1297">
        <f>+'Peer benchmarking'!R153</f>
        <v>6.3810000000000002</v>
      </c>
      <c r="S70" s="1298">
        <f>+'Peer benchmarking'!S153</f>
        <v>5.1079999999999997</v>
      </c>
      <c r="T70" s="1296">
        <f>+'Peer benchmarking'!T153</f>
        <v>9.3580000000000005</v>
      </c>
      <c r="U70" s="1296">
        <f>+'Peer benchmarking'!U153</f>
        <v>9.7829999999999995</v>
      </c>
      <c r="V70" s="1296">
        <f>+'Peer benchmarking'!V153</f>
        <v>10.400999999999996</v>
      </c>
      <c r="W70" s="1485">
        <v>5</v>
      </c>
      <c r="X70" s="1345">
        <v>5</v>
      </c>
      <c r="Y70" s="1487">
        <v>5</v>
      </c>
      <c r="Z70" s="2251">
        <f>+'STER - Historical Financials'!Z69</f>
        <v>5</v>
      </c>
      <c r="AA70" s="1345">
        <f>+'STER - Historical Financials'!AA69</f>
        <v>5</v>
      </c>
      <c r="AB70" s="1345">
        <f>+'STER - Historical Financials'!AB69</f>
        <v>5</v>
      </c>
      <c r="AC70" s="1345">
        <f>+'STER - Historical Financials'!AC69</f>
        <v>5</v>
      </c>
      <c r="AD70" s="1345">
        <f>+'STER - Historical Financials'!AD69</f>
        <v>5</v>
      </c>
      <c r="AE70" s="1300"/>
      <c r="AF70" s="1296"/>
      <c r="AG70" s="1296">
        <f>+'Peer benchmarking'!AB153</f>
        <v>1.5026000000000002</v>
      </c>
      <c r="AH70" s="1296">
        <f>+'Peer benchmarking'!AC153</f>
        <v>3.4647000000000006</v>
      </c>
      <c r="AI70" s="1296">
        <f>+'Peer benchmarking'!AD153</f>
        <v>12.1075</v>
      </c>
      <c r="AJ70" s="1296">
        <f>+'Peer benchmarking'!AE153</f>
        <v>23.805</v>
      </c>
      <c r="AK70" s="1299">
        <f>+'Peer benchmarking'!AF153</f>
        <v>34.65</v>
      </c>
      <c r="AL70" s="1296">
        <f>+SUM(W70:Z70)</f>
        <v>20</v>
      </c>
      <c r="AM70" s="1296">
        <f>+SUM(AA70:AD70)</f>
        <v>20</v>
      </c>
    </row>
    <row r="71" spans="1:39" s="1307" customFormat="1" ht="17.25" customHeight="1" x14ac:dyDescent="0.35">
      <c r="A71" s="1306" t="s">
        <v>179</v>
      </c>
      <c r="C71" s="1280">
        <f t="shared" ref="C71:AD71" si="69">+SUM(C69:C70)</f>
        <v>0.87109999999999999</v>
      </c>
      <c r="D71" s="1280">
        <f t="shared" si="69"/>
        <v>0.55659999999999998</v>
      </c>
      <c r="E71" s="1280">
        <f t="shared" si="69"/>
        <v>0.52290000000000003</v>
      </c>
      <c r="F71" s="1308">
        <f t="shared" si="69"/>
        <v>0.76800000000000002</v>
      </c>
      <c r="G71" s="1280">
        <f t="shared" si="69"/>
        <v>4.8020999999999994</v>
      </c>
      <c r="H71" s="1280">
        <f t="shared" si="69"/>
        <v>1.161</v>
      </c>
      <c r="I71" s="1280">
        <f t="shared" si="69"/>
        <v>1.1002000000000001</v>
      </c>
      <c r="J71" s="1308">
        <f t="shared" si="69"/>
        <v>2.2534000000000001</v>
      </c>
      <c r="K71" s="1280">
        <f t="shared" si="69"/>
        <v>1.4615</v>
      </c>
      <c r="L71" s="1280">
        <f t="shared" si="69"/>
        <v>3.42</v>
      </c>
      <c r="M71" s="1280">
        <f t="shared" si="69"/>
        <v>6.4509999999999996</v>
      </c>
      <c r="N71" s="1308">
        <f t="shared" si="69"/>
        <v>10.305</v>
      </c>
      <c r="O71" s="1280">
        <f t="shared" si="69"/>
        <v>6.9669999999999996</v>
      </c>
      <c r="P71" s="1280">
        <f t="shared" si="69"/>
        <v>7.9659999999999993</v>
      </c>
      <c r="Q71" s="1280">
        <f t="shared" si="69"/>
        <v>8.3149999999999995</v>
      </c>
      <c r="R71" s="1308">
        <f t="shared" si="69"/>
        <v>8.4130000000000003</v>
      </c>
      <c r="S71" s="1309">
        <f t="shared" si="69"/>
        <v>7.1659999999999995</v>
      </c>
      <c r="T71" s="1280">
        <f t="shared" si="69"/>
        <v>12.959</v>
      </c>
      <c r="U71" s="1280">
        <f t="shared" si="69"/>
        <v>14.573</v>
      </c>
      <c r="V71" s="1280">
        <f t="shared" si="69"/>
        <v>15.216999999999995</v>
      </c>
      <c r="W71" s="1309">
        <f t="shared" si="69"/>
        <v>9.7510000000000012</v>
      </c>
      <c r="X71" s="1280">
        <f t="shared" si="69"/>
        <v>10.048</v>
      </c>
      <c r="Y71" s="1310">
        <f t="shared" si="69"/>
        <v>10</v>
      </c>
      <c r="Z71" s="1308">
        <f t="shared" si="69"/>
        <v>10</v>
      </c>
      <c r="AA71" s="1280">
        <f t="shared" si="69"/>
        <v>10</v>
      </c>
      <c r="AB71" s="1280">
        <f t="shared" si="69"/>
        <v>10.49498735827013</v>
      </c>
      <c r="AC71" s="1280">
        <f t="shared" si="69"/>
        <v>10.998557535030503</v>
      </c>
      <c r="AD71" s="1280">
        <f t="shared" si="69"/>
        <v>11.317362695897542</v>
      </c>
      <c r="AE71" s="1280"/>
      <c r="AF71" s="1280"/>
      <c r="AG71" s="1280">
        <f>+SUM(AG69:AG70)</f>
        <v>2.7186000000000003</v>
      </c>
      <c r="AH71" s="1280">
        <f>+SUM(AH69:AH70)</f>
        <v>9.3167000000000009</v>
      </c>
      <c r="AI71" s="1280">
        <f>+SUM(AI69:AI70)</f>
        <v>21.637500000000003</v>
      </c>
      <c r="AJ71" s="1280">
        <f>+SUM(AJ69:AJ70)</f>
        <v>31.661000000000001</v>
      </c>
      <c r="AK71" s="1310">
        <f>+SUM(AK69:AK70)</f>
        <v>49.914999999999999</v>
      </c>
      <c r="AL71" s="1280">
        <f>+SUM(W71:Z71)</f>
        <v>39.798999999999999</v>
      </c>
      <c r="AM71" s="1280">
        <f>+SUM(AA71:AD71)</f>
        <v>42.810907589198173</v>
      </c>
    </row>
    <row r="72" spans="1:39" s="1307" customFormat="1" ht="17.25" customHeight="1" x14ac:dyDescent="0.35">
      <c r="A72" s="1306"/>
      <c r="C72" s="1280"/>
      <c r="D72" s="1280"/>
      <c r="E72" s="1280"/>
      <c r="F72" s="1308"/>
      <c r="G72" s="1280"/>
      <c r="H72" s="1280"/>
      <c r="I72" s="1280"/>
      <c r="J72" s="1308"/>
      <c r="K72" s="1280"/>
      <c r="L72" s="1280"/>
      <c r="M72" s="1280"/>
      <c r="N72" s="1308"/>
      <c r="O72" s="1280"/>
      <c r="P72" s="1280"/>
      <c r="Q72" s="1280"/>
      <c r="R72" s="1308"/>
      <c r="S72" s="1309"/>
      <c r="T72" s="1280"/>
      <c r="U72" s="1280"/>
      <c r="V72" s="1280"/>
      <c r="W72" s="1309"/>
      <c r="X72" s="1280"/>
      <c r="Y72" s="1310"/>
      <c r="Z72" s="1308"/>
      <c r="AA72" s="1280"/>
      <c r="AB72" s="1280"/>
      <c r="AC72" s="1280"/>
      <c r="AD72" s="1280"/>
      <c r="AE72" s="1280"/>
      <c r="AF72" s="1280"/>
      <c r="AG72" s="1280"/>
      <c r="AH72" s="1280"/>
      <c r="AI72" s="1280"/>
      <c r="AJ72" s="1280"/>
      <c r="AK72" s="1310"/>
      <c r="AL72" s="1280"/>
      <c r="AM72" s="1280"/>
    </row>
    <row r="73" spans="1:39" ht="17.25" customHeight="1" x14ac:dyDescent="0.35">
      <c r="A73" s="1311" t="s">
        <v>41</v>
      </c>
      <c r="C73" s="1291"/>
      <c r="D73" s="1291"/>
      <c r="E73" s="1291"/>
      <c r="F73" s="1292"/>
      <c r="G73" s="1312"/>
      <c r="H73" s="1312"/>
      <c r="I73" s="1312"/>
      <c r="J73" s="1313"/>
      <c r="K73" s="1312"/>
      <c r="L73" s="1312"/>
      <c r="M73" s="1312"/>
      <c r="N73" s="1313"/>
      <c r="O73" s="1312"/>
      <c r="P73" s="1312"/>
      <c r="Q73" s="1312"/>
      <c r="R73" s="1313"/>
      <c r="S73" s="1314"/>
      <c r="T73" s="1312"/>
      <c r="U73" s="1312"/>
      <c r="V73" s="1312"/>
      <c r="W73" s="1314"/>
      <c r="X73" s="1312"/>
      <c r="Y73" s="1315"/>
      <c r="Z73" s="1313"/>
      <c r="AA73" s="1312"/>
      <c r="AB73" s="1312"/>
      <c r="AC73" s="1312"/>
      <c r="AD73" s="1312"/>
      <c r="AE73" s="1291"/>
      <c r="AF73" s="1312"/>
      <c r="AG73" s="1312"/>
      <c r="AH73" s="1312"/>
      <c r="AI73" s="1312"/>
      <c r="AJ73" s="1312"/>
      <c r="AK73" s="1315"/>
      <c r="AL73" s="1312"/>
      <c r="AM73" s="1312"/>
    </row>
    <row r="74" spans="1:39" ht="17.25" customHeight="1" x14ac:dyDescent="0.35">
      <c r="A74" s="1316" t="str">
        <f>+A69</f>
        <v>FA</v>
      </c>
      <c r="C74" s="1312">
        <f t="shared" ref="C74:AD74" si="70">+C69/C9</f>
        <v>3.2273651389863886E-3</v>
      </c>
      <c r="D74" s="1312">
        <f t="shared" si="70"/>
        <v>2.6640136160695936E-3</v>
      </c>
      <c r="E74" s="1312">
        <f t="shared" si="70"/>
        <v>2.2138015173427919E-3</v>
      </c>
      <c r="F74" s="1313">
        <f t="shared" si="70"/>
        <v>2.0838266635093547E-3</v>
      </c>
      <c r="G74" s="1312">
        <f t="shared" si="70"/>
        <v>3.8407058887214789E-2</v>
      </c>
      <c r="H74" s="1312">
        <f t="shared" si="70"/>
        <v>4.9527111331231612E-3</v>
      </c>
      <c r="I74" s="1312">
        <f t="shared" si="70"/>
        <v>3.8748921610200476E-3</v>
      </c>
      <c r="J74" s="1313">
        <f t="shared" si="70"/>
        <v>3.4814493049877371E-3</v>
      </c>
      <c r="K74" s="1312">
        <f t="shared" si="70"/>
        <v>4.2553191489361712E-3</v>
      </c>
      <c r="L74" s="1312">
        <f t="shared" si="70"/>
        <v>1.523800807660188E-2</v>
      </c>
      <c r="M74" s="1312">
        <f t="shared" si="70"/>
        <v>6.9633477992606307E-3</v>
      </c>
      <c r="N74" s="1313">
        <f t="shared" si="70"/>
        <v>2.3342367267046828E-2</v>
      </c>
      <c r="O74" s="1312">
        <f t="shared" si="70"/>
        <v>9.7903423723279311E-3</v>
      </c>
      <c r="P74" s="1312">
        <f t="shared" si="70"/>
        <v>9.6397616602418128E-3</v>
      </c>
      <c r="Q74" s="1312">
        <f t="shared" si="70"/>
        <v>9.8162011010457014E-3</v>
      </c>
      <c r="R74" s="1313">
        <f t="shared" si="70"/>
        <v>9.5580799172134811E-3</v>
      </c>
      <c r="S74" s="1314">
        <f t="shared" si="70"/>
        <v>1.1725159525979944E-2</v>
      </c>
      <c r="T74" s="1312">
        <f t="shared" si="70"/>
        <v>1.94317783233953E-2</v>
      </c>
      <c r="U74" s="1312">
        <f t="shared" si="70"/>
        <v>2.39064901878581E-2</v>
      </c>
      <c r="V74" s="1312">
        <f t="shared" si="70"/>
        <v>2.3775436656431118E-2</v>
      </c>
      <c r="W74" s="1314">
        <f t="shared" si="70"/>
        <v>2.8043396137318793E-2</v>
      </c>
      <c r="X74" s="1312">
        <f t="shared" si="70"/>
        <v>2.7353613733161381E-2</v>
      </c>
      <c r="Y74" s="1315">
        <f t="shared" si="70"/>
        <v>2.5110612246947803E-2</v>
      </c>
      <c r="Z74" s="1313">
        <f t="shared" si="70"/>
        <v>2.4011836194451203E-2</v>
      </c>
      <c r="AA74" s="1312">
        <f t="shared" si="70"/>
        <v>2.8036797524998384E-2</v>
      </c>
      <c r="AB74" s="1312">
        <f t="shared" si="70"/>
        <v>2.8036797524998384E-2</v>
      </c>
      <c r="AC74" s="1312">
        <f t="shared" si="70"/>
        <v>2.8036797524998384E-2</v>
      </c>
      <c r="AD74" s="1312">
        <f t="shared" si="70"/>
        <v>2.8036797524998384E-2</v>
      </c>
      <c r="AE74" s="1291"/>
      <c r="AF74" s="1312"/>
      <c r="AG74" s="1312">
        <f t="shared" ref="AG74:AM76" si="71">+AG69/AG9</f>
        <v>2.5240417048075108E-3</v>
      </c>
      <c r="AH74" s="1312">
        <f t="shared" si="71"/>
        <v>1.1493575617593106E-2</v>
      </c>
      <c r="AI74" s="1312">
        <f t="shared" si="71"/>
        <v>1.3379288075867442E-2</v>
      </c>
      <c r="AJ74" s="1312">
        <f t="shared" si="71"/>
        <v>9.6984900428753254E-3</v>
      </c>
      <c r="AK74" s="1315">
        <f t="shared" si="71"/>
        <v>1.9986618850661397E-2</v>
      </c>
      <c r="AL74" s="1312">
        <f t="shared" si="71"/>
        <v>2.600643281885151E-2</v>
      </c>
      <c r="AM74" s="1312">
        <f t="shared" si="71"/>
        <v>2.8036797524998384E-2</v>
      </c>
    </row>
    <row r="75" spans="1:39" s="1317" customFormat="1" ht="17.25" customHeight="1" x14ac:dyDescent="0.35">
      <c r="A75" s="1316" t="str">
        <f>+A70</f>
        <v>STER</v>
      </c>
      <c r="C75" s="1320">
        <f t="shared" ref="C75:AD75" si="72">+C70/C10</f>
        <v>4.6787488350630195E-3</v>
      </c>
      <c r="D75" s="1320">
        <f t="shared" si="72"/>
        <v>1.7567936024314146E-3</v>
      </c>
      <c r="E75" s="1320">
        <f t="shared" si="72"/>
        <v>1.8747368476552233E-3</v>
      </c>
      <c r="F75" s="1321">
        <f t="shared" si="72"/>
        <v>4.1505735862108718E-3</v>
      </c>
      <c r="G75" s="1320">
        <f t="shared" si="72"/>
        <v>4.5662444712505027E-3</v>
      </c>
      <c r="H75" s="1320">
        <f t="shared" si="72"/>
        <v>7.2371317925731902E-3</v>
      </c>
      <c r="I75" s="1320">
        <f t="shared" si="72"/>
        <v>4.8485446288040286E-3</v>
      </c>
      <c r="J75" s="1321">
        <f t="shared" si="72"/>
        <v>1.3294600216492496E-2</v>
      </c>
      <c r="K75" s="1320">
        <f t="shared" si="72"/>
        <v>6.4540431943746852E-3</v>
      </c>
      <c r="L75" s="1320">
        <f t="shared" si="72"/>
        <v>4.7449287005422777E-3</v>
      </c>
      <c r="M75" s="1320">
        <f t="shared" si="72"/>
        <v>3.0125562495208102E-2</v>
      </c>
      <c r="N75" s="1321">
        <f t="shared" si="72"/>
        <v>3.0778268607202716E-2</v>
      </c>
      <c r="O75" s="1320">
        <f t="shared" si="72"/>
        <v>2.6608047006855165E-2</v>
      </c>
      <c r="P75" s="1320">
        <f t="shared" si="72"/>
        <v>2.9296029495454564E-2</v>
      </c>
      <c r="Q75" s="1320">
        <f t="shared" si="72"/>
        <v>3.1575672732928918E-2</v>
      </c>
      <c r="R75" s="1321">
        <f t="shared" si="72"/>
        <v>3.7552966101694917E-2</v>
      </c>
      <c r="S75" s="1322">
        <f t="shared" si="72"/>
        <v>2.8492698327699496E-2</v>
      </c>
      <c r="T75" s="1320">
        <f t="shared" si="72"/>
        <v>4.9153290192453153E-2</v>
      </c>
      <c r="U75" s="1320">
        <f t="shared" si="72"/>
        <v>5.4179635147259167E-2</v>
      </c>
      <c r="V75" s="1320">
        <f t="shared" si="72"/>
        <v>6.1393256835245782E-2</v>
      </c>
      <c r="W75" s="1322">
        <f t="shared" si="72"/>
        <v>2.6881864956263206E-2</v>
      </c>
      <c r="X75" s="1320">
        <f t="shared" si="72"/>
        <v>2.4934173781217588E-2</v>
      </c>
      <c r="Y75" s="1323">
        <f t="shared" si="72"/>
        <v>2.557544757033248E-2</v>
      </c>
      <c r="Z75" s="1321">
        <f t="shared" si="72"/>
        <v>2.8194288633236302E-2</v>
      </c>
      <c r="AA75" s="1320">
        <f t="shared" si="72"/>
        <v>2.6025464305383838E-2</v>
      </c>
      <c r="AB75" s="1320">
        <f t="shared" si="72"/>
        <v>2.3813384778952593E-2</v>
      </c>
      <c r="AC75" s="1320">
        <f t="shared" si="72"/>
        <v>2.402337983781036E-2</v>
      </c>
      <c r="AD75" s="1320">
        <f t="shared" si="72"/>
        <v>2.6039553784031791E-2</v>
      </c>
      <c r="AE75" s="1318"/>
      <c r="AF75" s="1320"/>
      <c r="AG75" s="1320">
        <f t="shared" si="71"/>
        <v>3.0226369882578622E-3</v>
      </c>
      <c r="AH75" s="1320">
        <f t="shared" si="71"/>
        <v>7.6306137218463254E-3</v>
      </c>
      <c r="AI75" s="1320">
        <f t="shared" si="71"/>
        <v>1.8862442435081728E-2</v>
      </c>
      <c r="AJ75" s="1320">
        <f t="shared" si="71"/>
        <v>3.1045329702575182E-2</v>
      </c>
      <c r="AK75" s="1323">
        <f t="shared" si="71"/>
        <v>4.8149074537268632E-2</v>
      </c>
      <c r="AL75" s="1320">
        <f t="shared" si="71"/>
        <v>2.6337695452711297E-2</v>
      </c>
      <c r="AM75" s="1320">
        <f t="shared" si="71"/>
        <v>2.4930455158448515E-2</v>
      </c>
    </row>
    <row r="76" spans="1:39" ht="17.25" customHeight="1" x14ac:dyDescent="0.35">
      <c r="A76" s="1331" t="str">
        <f>+A71</f>
        <v>PF SBC</v>
      </c>
      <c r="C76" s="1312">
        <f t="shared" ref="C76:AD76" si="73">+C71/C11</f>
        <v>3.9558054203298696E-3</v>
      </c>
      <c r="D76" s="1312">
        <f t="shared" si="73"/>
        <v>2.1911548362283004E-3</v>
      </c>
      <c r="E76" s="1312">
        <f t="shared" si="73"/>
        <v>2.0383239200372034E-3</v>
      </c>
      <c r="F76" s="1313">
        <f t="shared" si="73"/>
        <v>3.0952889540905781E-3</v>
      </c>
      <c r="G76" s="1312">
        <f t="shared" si="73"/>
        <v>2.0859196837738632E-2</v>
      </c>
      <c r="H76" s="1312">
        <f t="shared" si="73"/>
        <v>5.9980161600297578E-3</v>
      </c>
      <c r="I76" s="1312">
        <f t="shared" si="73"/>
        <v>4.3250204516623349E-3</v>
      </c>
      <c r="J76" s="1313">
        <f t="shared" si="73"/>
        <v>7.9053546551747737E-3</v>
      </c>
      <c r="K76" s="1312">
        <f t="shared" si="73"/>
        <v>5.384246979074565E-3</v>
      </c>
      <c r="L76" s="1312">
        <f t="shared" si="73"/>
        <v>1.0234801917678674E-2</v>
      </c>
      <c r="M76" s="1312">
        <f t="shared" si="73"/>
        <v>1.7799593845882172E-2</v>
      </c>
      <c r="N76" s="1313">
        <f t="shared" si="73"/>
        <v>2.6685760602443011E-2</v>
      </c>
      <c r="O76" s="1312">
        <f t="shared" si="73"/>
        <v>1.8245240969692524E-2</v>
      </c>
      <c r="P76" s="1312">
        <f t="shared" si="73"/>
        <v>1.9565174676779186E-2</v>
      </c>
      <c r="Q76" s="1312">
        <f t="shared" si="73"/>
        <v>2.0516426712066816E-2</v>
      </c>
      <c r="R76" s="1313">
        <f t="shared" si="73"/>
        <v>2.1993908735605142E-2</v>
      </c>
      <c r="S76" s="1314">
        <f t="shared" si="73"/>
        <v>2.0197635811203121E-2</v>
      </c>
      <c r="T76" s="1312">
        <f t="shared" si="73"/>
        <v>3.4493038309923639E-2</v>
      </c>
      <c r="U76" s="1312">
        <f t="shared" si="73"/>
        <v>3.8256372561888012E-2</v>
      </c>
      <c r="V76" s="1312">
        <f t="shared" si="73"/>
        <v>4.0908333288527811E-2</v>
      </c>
      <c r="W76" s="1314">
        <f t="shared" si="73"/>
        <v>2.7435533109182231E-2</v>
      </c>
      <c r="X76" s="1312">
        <f t="shared" si="73"/>
        <v>2.6093685888946023E-2</v>
      </c>
      <c r="Y76" s="1315">
        <f t="shared" si="73"/>
        <v>2.5340898436213156E-2</v>
      </c>
      <c r="Z76" s="1313">
        <f t="shared" si="73"/>
        <v>2.59355254777042E-2</v>
      </c>
      <c r="AA76" s="1312">
        <f t="shared" si="73"/>
        <v>2.69937160791913E-2</v>
      </c>
      <c r="AB76" s="1312">
        <f t="shared" si="73"/>
        <v>2.5852401518777636E-2</v>
      </c>
      <c r="AC76" s="1312">
        <f t="shared" si="73"/>
        <v>2.6057770264952772E-2</v>
      </c>
      <c r="AD76" s="1312">
        <f t="shared" si="73"/>
        <v>2.7117876927227724E-2</v>
      </c>
      <c r="AE76" s="1291"/>
      <c r="AF76" s="1312"/>
      <c r="AG76" s="1312">
        <f t="shared" si="71"/>
        <v>2.7772482624576233E-3</v>
      </c>
      <c r="AH76" s="1312">
        <f t="shared" si="71"/>
        <v>9.6725873763738764E-3</v>
      </c>
      <c r="AI76" s="1312">
        <f t="shared" si="71"/>
        <v>1.59783160128757E-2</v>
      </c>
      <c r="AJ76" s="1312">
        <f t="shared" si="71"/>
        <v>2.0079210809199617E-2</v>
      </c>
      <c r="AK76" s="1315">
        <f t="shared" si="71"/>
        <v>3.364902679720453E-2</v>
      </c>
      <c r="AL76" s="1312">
        <f t="shared" si="71"/>
        <v>2.6171852423092324E-2</v>
      </c>
      <c r="AM76" s="1312">
        <f t="shared" si="71"/>
        <v>2.6494559601865666E-2</v>
      </c>
    </row>
    <row r="77" spans="1:39" ht="17.25" customHeight="1" x14ac:dyDescent="0.35">
      <c r="A77" s="1344"/>
      <c r="C77" s="1291"/>
      <c r="D77" s="1291"/>
      <c r="E77" s="1291"/>
      <c r="F77" s="1292"/>
      <c r="G77" s="1312"/>
      <c r="H77" s="1312"/>
      <c r="I77" s="1312"/>
      <c r="J77" s="1313"/>
      <c r="K77" s="1312"/>
      <c r="L77" s="1312"/>
      <c r="M77" s="1312"/>
      <c r="N77" s="1313"/>
      <c r="O77" s="1312"/>
      <c r="P77" s="1312"/>
      <c r="Q77" s="1312"/>
      <c r="R77" s="1313"/>
      <c r="S77" s="1314"/>
      <c r="T77" s="1312"/>
      <c r="U77" s="1312"/>
      <c r="V77" s="1312"/>
      <c r="W77" s="1314"/>
      <c r="X77" s="1312"/>
      <c r="Y77" s="1315"/>
      <c r="Z77" s="1313"/>
      <c r="AA77" s="1312"/>
      <c r="AB77" s="1312"/>
      <c r="AC77" s="1312"/>
      <c r="AD77" s="1312"/>
      <c r="AE77" s="1291"/>
      <c r="AF77" s="1312"/>
      <c r="AG77" s="1312"/>
      <c r="AH77" s="1312"/>
      <c r="AI77" s="1312"/>
      <c r="AJ77" s="1312"/>
      <c r="AK77" s="1315"/>
      <c r="AL77" s="1312"/>
      <c r="AM77" s="1312"/>
    </row>
    <row r="78" spans="1:39" ht="17.25" customHeight="1" x14ac:dyDescent="0.35">
      <c r="A78" s="1317" t="s">
        <v>180</v>
      </c>
      <c r="C78" s="1291"/>
      <c r="D78" s="1291"/>
      <c r="E78" s="1291"/>
      <c r="F78" s="1292"/>
      <c r="G78" s="1291"/>
      <c r="H78" s="1291"/>
      <c r="I78" s="1291"/>
      <c r="J78" s="1292"/>
      <c r="K78" s="1291"/>
      <c r="L78" s="1291"/>
      <c r="M78" s="1291"/>
      <c r="N78" s="1292"/>
      <c r="O78" s="1291"/>
      <c r="P78" s="1291"/>
      <c r="Q78" s="1291"/>
      <c r="R78" s="1292"/>
      <c r="S78" s="1293"/>
      <c r="T78" s="1291"/>
      <c r="U78" s="1291"/>
      <c r="V78" s="1291"/>
      <c r="W78" s="1293"/>
      <c r="X78" s="1291"/>
      <c r="Y78" s="1294"/>
      <c r="Z78" s="1292"/>
      <c r="AA78" s="1291"/>
      <c r="AB78" s="1291"/>
      <c r="AC78" s="1291"/>
      <c r="AD78" s="1291"/>
      <c r="AE78" s="1280"/>
      <c r="AF78" s="1291"/>
      <c r="AG78" s="1291"/>
      <c r="AH78" s="1291"/>
      <c r="AI78" s="1291"/>
      <c r="AJ78" s="1291"/>
      <c r="AK78" s="1294"/>
    </row>
    <row r="79" spans="1:39" ht="17.25" customHeight="1" x14ac:dyDescent="0.35">
      <c r="A79" s="1272" t="str">
        <f>+A69</f>
        <v>FA</v>
      </c>
      <c r="C79" s="1291">
        <f t="shared" ref="C79:AD79" si="74">+C49-C69</f>
        <v>24.738000000000003</v>
      </c>
      <c r="D79" s="1291">
        <f t="shared" si="74"/>
        <v>33.037999999999997</v>
      </c>
      <c r="E79" s="1291">
        <f t="shared" si="74"/>
        <v>33.216999999999992</v>
      </c>
      <c r="F79" s="1292">
        <f t="shared" si="74"/>
        <v>31.564000000000004</v>
      </c>
      <c r="G79" s="1291">
        <f t="shared" si="74"/>
        <v>22.954000000000001</v>
      </c>
      <c r="H79" s="1291">
        <f t="shared" si="74"/>
        <v>31.135000000000005</v>
      </c>
      <c r="I79" s="1291">
        <f t="shared" si="74"/>
        <v>42.757000000000005</v>
      </c>
      <c r="J79" s="1292">
        <f t="shared" si="74"/>
        <v>44.099999999999994</v>
      </c>
      <c r="K79" s="1291">
        <f t="shared" si="74"/>
        <v>36.028000000000006</v>
      </c>
      <c r="L79" s="1291">
        <f t="shared" si="74"/>
        <v>53.658000000000001</v>
      </c>
      <c r="M79" s="1291">
        <f t="shared" si="74"/>
        <v>62.600999999999999</v>
      </c>
      <c r="N79" s="1292">
        <f t="shared" si="74"/>
        <v>64.477000000000004</v>
      </c>
      <c r="O79" s="1291">
        <f t="shared" si="74"/>
        <v>51.740999999999993</v>
      </c>
      <c r="P79" s="1291">
        <f t="shared" si="74"/>
        <v>58.890999999999998</v>
      </c>
      <c r="Q79" s="1291">
        <f t="shared" si="74"/>
        <v>62.166000000000004</v>
      </c>
      <c r="R79" s="1292">
        <f t="shared" si="74"/>
        <v>68.256</v>
      </c>
      <c r="S79" s="1293">
        <f t="shared" si="74"/>
        <v>46.501999999999995</v>
      </c>
      <c r="T79" s="1291">
        <f t="shared" si="74"/>
        <v>52.37</v>
      </c>
      <c r="U79" s="1291">
        <f t="shared" si="74"/>
        <v>60.000999999999998</v>
      </c>
      <c r="V79" s="1291">
        <f t="shared" si="74"/>
        <v>63.417999999999992</v>
      </c>
      <c r="W79" s="1293">
        <f t="shared" si="74"/>
        <v>41.807000000000002</v>
      </c>
      <c r="X79" s="1291">
        <f t="shared" si="74"/>
        <v>50.713000000000001</v>
      </c>
      <c r="Y79" s="1294">
        <f t="shared" si="74"/>
        <v>59.046000000000006</v>
      </c>
      <c r="Z79" s="1292">
        <f t="shared" si="74"/>
        <v>65.313319617985513</v>
      </c>
      <c r="AA79" s="1291">
        <f t="shared" si="74"/>
        <v>47.013589546092305</v>
      </c>
      <c r="AB79" s="1291">
        <f t="shared" si="74"/>
        <v>56.192396427097982</v>
      </c>
      <c r="AC79" s="1291">
        <f t="shared" si="74"/>
        <v>64.823733890449873</v>
      </c>
      <c r="AD79" s="1291">
        <f t="shared" si="74"/>
        <v>70.852525362203721</v>
      </c>
      <c r="AE79" s="1280"/>
      <c r="AF79" s="1291"/>
      <c r="AG79" s="1291">
        <f t="shared" ref="AG79:AM81" si="75">+AG49-AG69</f>
        <v>122.557</v>
      </c>
      <c r="AH79" s="1291">
        <f t="shared" si="75"/>
        <v>140.946</v>
      </c>
      <c r="AI79" s="1291">
        <f t="shared" si="75"/>
        <v>216.76399999999998</v>
      </c>
      <c r="AJ79" s="1291">
        <f t="shared" si="75"/>
        <v>241.05400000000003</v>
      </c>
      <c r="AK79" s="1294">
        <f t="shared" si="75"/>
        <v>222.291</v>
      </c>
      <c r="AL79" s="1291">
        <f t="shared" si="75"/>
        <v>216.87931961798552</v>
      </c>
      <c r="AM79" s="1291">
        <f t="shared" si="75"/>
        <v>238.88224522584386</v>
      </c>
    </row>
    <row r="80" spans="1:39" s="1295" customFormat="1" ht="17.25" customHeight="1" x14ac:dyDescent="0.65">
      <c r="A80" s="1272" t="str">
        <f>+A70</f>
        <v>STER</v>
      </c>
      <c r="C80" s="1296">
        <f t="shared" ref="C80:AD80" si="76">+C50-C70</f>
        <v>23.502700000000001</v>
      </c>
      <c r="D80" s="1296">
        <f t="shared" si="76"/>
        <v>35.110200000000006</v>
      </c>
      <c r="E80" s="1296">
        <f t="shared" si="76"/>
        <v>35.634699999999995</v>
      </c>
      <c r="F80" s="1297">
        <f t="shared" si="76"/>
        <v>23.233499999999996</v>
      </c>
      <c r="G80" s="1296">
        <f t="shared" si="76"/>
        <v>27.045200000000001</v>
      </c>
      <c r="H80" s="1296">
        <f t="shared" si="76"/>
        <v>13.297399999999998</v>
      </c>
      <c r="I80" s="1296">
        <f t="shared" si="76"/>
        <v>29.832799999999992</v>
      </c>
      <c r="J80" s="1297">
        <f t="shared" si="76"/>
        <v>26.193000000000008</v>
      </c>
      <c r="K80" s="1296">
        <f t="shared" si="76"/>
        <v>35.904899999999998</v>
      </c>
      <c r="L80" s="1296">
        <f t="shared" si="76"/>
        <v>46.277000000000001</v>
      </c>
      <c r="M80" s="1296">
        <f t="shared" si="76"/>
        <v>46.191500000000005</v>
      </c>
      <c r="N80" s="1297">
        <f t="shared" si="76"/>
        <v>38.704999999999998</v>
      </c>
      <c r="O80" s="1296">
        <f t="shared" si="76"/>
        <v>42.528000000000006</v>
      </c>
      <c r="P80" s="1296">
        <f t="shared" si="76"/>
        <v>50.448999999999998</v>
      </c>
      <c r="Q80" s="1296">
        <f t="shared" si="76"/>
        <v>46.805</v>
      </c>
      <c r="R80" s="1297">
        <f t="shared" si="76"/>
        <v>34.915999999999997</v>
      </c>
      <c r="S80" s="1298">
        <f t="shared" si="76"/>
        <v>40.447000000000003</v>
      </c>
      <c r="T80" s="1296">
        <f t="shared" si="76"/>
        <v>40.638999999999996</v>
      </c>
      <c r="U80" s="1296">
        <f t="shared" si="76"/>
        <v>37.772999999999996</v>
      </c>
      <c r="V80" s="1296">
        <f t="shared" si="76"/>
        <v>31.515000000000001</v>
      </c>
      <c r="W80" s="1298">
        <f t="shared" si="76"/>
        <v>33.51</v>
      </c>
      <c r="X80" s="1296">
        <f t="shared" si="76"/>
        <v>41.283999999999999</v>
      </c>
      <c r="Y80" s="1299">
        <f t="shared" si="76"/>
        <v>40.288999999999994</v>
      </c>
      <c r="Z80" s="1297">
        <f t="shared" si="76"/>
        <v>31.34684546639771</v>
      </c>
      <c r="AA80" s="1296">
        <f t="shared" si="76"/>
        <v>35.322891183382083</v>
      </c>
      <c r="AB80" s="1296">
        <f t="shared" si="76"/>
        <v>43.593388592996632</v>
      </c>
      <c r="AC80" s="1296">
        <f t="shared" si="76"/>
        <v>45.062806473017737</v>
      </c>
      <c r="AD80" s="1296">
        <f t="shared" si="76"/>
        <v>36.901201633667824</v>
      </c>
      <c r="AE80" s="1300"/>
      <c r="AF80" s="1296"/>
      <c r="AG80" s="1296">
        <f t="shared" si="75"/>
        <v>117.48109999999998</v>
      </c>
      <c r="AH80" s="1296">
        <f t="shared" si="75"/>
        <v>96.368400000000008</v>
      </c>
      <c r="AI80" s="1296">
        <f t="shared" si="75"/>
        <v>167.07840000000002</v>
      </c>
      <c r="AJ80" s="1296">
        <f t="shared" si="75"/>
        <v>174.69800000000001</v>
      </c>
      <c r="AK80" s="1299">
        <f t="shared" si="75"/>
        <v>150.374</v>
      </c>
      <c r="AL80" s="1296">
        <f t="shared" si="75"/>
        <v>146.42984546639769</v>
      </c>
      <c r="AM80" s="1296">
        <f t="shared" si="75"/>
        <v>160.88028788306428</v>
      </c>
    </row>
    <row r="81" spans="1:40" s="1307" customFormat="1" ht="17.25" customHeight="1" x14ac:dyDescent="0.35">
      <c r="A81" s="1306" t="s">
        <v>181</v>
      </c>
      <c r="C81" s="1280">
        <f t="shared" ref="C81:AD81" si="77">+C51-C71</f>
        <v>48.240700000000004</v>
      </c>
      <c r="D81" s="1280">
        <f t="shared" si="77"/>
        <v>68.148200000000003</v>
      </c>
      <c r="E81" s="1280">
        <f t="shared" si="77"/>
        <v>68.85169999999998</v>
      </c>
      <c r="F81" s="1308">
        <f t="shared" si="77"/>
        <v>54.797499999999999</v>
      </c>
      <c r="G81" s="1280">
        <f t="shared" si="77"/>
        <v>49.999200000000002</v>
      </c>
      <c r="H81" s="1280">
        <f t="shared" si="77"/>
        <v>44.432400000000001</v>
      </c>
      <c r="I81" s="1280">
        <f t="shared" si="77"/>
        <v>72.589799999999997</v>
      </c>
      <c r="J81" s="1308">
        <f t="shared" si="77"/>
        <v>70.293000000000006</v>
      </c>
      <c r="K81" s="1280">
        <f t="shared" si="77"/>
        <v>71.932900000000004</v>
      </c>
      <c r="L81" s="1280">
        <f t="shared" si="77"/>
        <v>99.935000000000002</v>
      </c>
      <c r="M81" s="1280">
        <f t="shared" si="77"/>
        <v>108.7925</v>
      </c>
      <c r="N81" s="1308">
        <f t="shared" si="77"/>
        <v>103.18199999999999</v>
      </c>
      <c r="O81" s="1280">
        <f t="shared" si="77"/>
        <v>94.268999999999991</v>
      </c>
      <c r="P81" s="1280">
        <f t="shared" si="77"/>
        <v>109.34</v>
      </c>
      <c r="Q81" s="1280">
        <f t="shared" si="77"/>
        <v>108.971</v>
      </c>
      <c r="R81" s="1308">
        <f t="shared" si="77"/>
        <v>103.172</v>
      </c>
      <c r="S81" s="1309">
        <f t="shared" si="77"/>
        <v>86.948999999999998</v>
      </c>
      <c r="T81" s="1280">
        <f t="shared" si="77"/>
        <v>93.008999999999986</v>
      </c>
      <c r="U81" s="1280">
        <f t="shared" si="77"/>
        <v>97.774000000000001</v>
      </c>
      <c r="V81" s="1280">
        <f t="shared" si="77"/>
        <v>94.932999999999993</v>
      </c>
      <c r="W81" s="1309">
        <f t="shared" si="77"/>
        <v>75.316999999999993</v>
      </c>
      <c r="X81" s="1280">
        <f t="shared" si="77"/>
        <v>91.997</v>
      </c>
      <c r="Y81" s="1310">
        <f t="shared" si="77"/>
        <v>99.335000000000008</v>
      </c>
      <c r="Z81" s="1308">
        <f t="shared" si="77"/>
        <v>96.660165084383223</v>
      </c>
      <c r="AA81" s="1280">
        <f t="shared" si="77"/>
        <v>82.336480729474388</v>
      </c>
      <c r="AB81" s="1280">
        <f t="shared" si="77"/>
        <v>99.785785020094607</v>
      </c>
      <c r="AC81" s="1280">
        <f t="shared" si="77"/>
        <v>109.88654036346762</v>
      </c>
      <c r="AD81" s="1280">
        <f t="shared" si="77"/>
        <v>107.75372699587155</v>
      </c>
      <c r="AE81" s="1280"/>
      <c r="AF81" s="1280"/>
      <c r="AG81" s="1280">
        <f t="shared" si="75"/>
        <v>240.03809999999996</v>
      </c>
      <c r="AH81" s="1280">
        <f t="shared" si="75"/>
        <v>237.31440000000001</v>
      </c>
      <c r="AI81" s="1280">
        <f t="shared" si="75"/>
        <v>383.8424</v>
      </c>
      <c r="AJ81" s="1280">
        <f t="shared" si="75"/>
        <v>415.75200000000001</v>
      </c>
      <c r="AK81" s="1310">
        <f t="shared" si="75"/>
        <v>372.66499999999996</v>
      </c>
      <c r="AL81" s="1280">
        <f t="shared" si="75"/>
        <v>363.30916508438321</v>
      </c>
      <c r="AM81" s="1280">
        <f t="shared" si="75"/>
        <v>399.76253310890814</v>
      </c>
    </row>
    <row r="82" spans="1:40" s="1307" customFormat="1" ht="17.25" customHeight="1" x14ac:dyDescent="0.35">
      <c r="A82" s="1306"/>
      <c r="C82" s="1280"/>
      <c r="D82" s="1280"/>
      <c r="E82" s="1280"/>
      <c r="F82" s="1308"/>
      <c r="G82" s="1280"/>
      <c r="H82" s="1280"/>
      <c r="I82" s="1280"/>
      <c r="J82" s="1308"/>
      <c r="K82" s="1280"/>
      <c r="L82" s="1280"/>
      <c r="M82" s="1280"/>
      <c r="N82" s="1308"/>
      <c r="O82" s="1280"/>
      <c r="P82" s="1280"/>
      <c r="Q82" s="1280"/>
      <c r="R82" s="1308"/>
      <c r="S82" s="1309"/>
      <c r="T82" s="1280"/>
      <c r="U82" s="1280"/>
      <c r="V82" s="1280"/>
      <c r="W82" s="1309"/>
      <c r="X82" s="1280"/>
      <c r="Y82" s="1310"/>
      <c r="Z82" s="1308"/>
      <c r="AA82" s="1280"/>
      <c r="AB82" s="1280"/>
      <c r="AC82" s="1280"/>
      <c r="AD82" s="1280"/>
      <c r="AE82" s="1280"/>
      <c r="AF82" s="1280"/>
      <c r="AG82" s="1280"/>
      <c r="AH82" s="1280"/>
      <c r="AI82" s="1280"/>
      <c r="AJ82" s="1280"/>
      <c r="AK82" s="1310"/>
      <c r="AL82" s="1280"/>
      <c r="AM82" s="1280"/>
    </row>
    <row r="83" spans="1:40" ht="17.25" customHeight="1" x14ac:dyDescent="0.35">
      <c r="A83" s="1311" t="s">
        <v>121</v>
      </c>
      <c r="C83" s="1291"/>
      <c r="D83" s="1291"/>
      <c r="E83" s="1291"/>
      <c r="F83" s="1292"/>
      <c r="G83" s="1312"/>
      <c r="H83" s="1312"/>
      <c r="I83" s="1312"/>
      <c r="J83" s="1313"/>
      <c r="K83" s="1312"/>
      <c r="L83" s="1312"/>
      <c r="M83" s="1312"/>
      <c r="N83" s="1313"/>
      <c r="O83" s="1312"/>
      <c r="P83" s="1312"/>
      <c r="Q83" s="1312"/>
      <c r="R83" s="1313"/>
      <c r="S83" s="1314"/>
      <c r="T83" s="1312"/>
      <c r="U83" s="1312"/>
      <c r="V83" s="1312"/>
      <c r="W83" s="1314"/>
      <c r="X83" s="1312"/>
      <c r="Y83" s="1315"/>
      <c r="Z83" s="1313"/>
      <c r="AA83" s="1312"/>
      <c r="AB83" s="1312"/>
      <c r="AC83" s="1312"/>
      <c r="AD83" s="1312"/>
      <c r="AE83" s="1291"/>
      <c r="AF83" s="1312"/>
      <c r="AG83" s="1312"/>
      <c r="AH83" s="1312"/>
      <c r="AI83" s="1312"/>
      <c r="AJ83" s="1312"/>
      <c r="AK83" s="1315"/>
      <c r="AL83" s="1312"/>
      <c r="AM83" s="1312"/>
    </row>
    <row r="84" spans="1:40" ht="17.25" customHeight="1" x14ac:dyDescent="0.35">
      <c r="A84" s="1316" t="str">
        <f>+A79</f>
        <v>FA</v>
      </c>
      <c r="C84" s="1291"/>
      <c r="D84" s="1291"/>
      <c r="E84" s="1291"/>
      <c r="F84" s="1292"/>
      <c r="G84" s="1312">
        <f t="shared" ref="G84:P86" si="78">+G79/C79-1</f>
        <v>-7.2115773304228359E-2</v>
      </c>
      <c r="H84" s="1312">
        <f t="shared" si="78"/>
        <v>-5.7600339003571421E-2</v>
      </c>
      <c r="I84" s="1312">
        <f t="shared" si="78"/>
        <v>0.28720233615317503</v>
      </c>
      <c r="J84" s="1313">
        <f t="shared" si="78"/>
        <v>0.39716132302623208</v>
      </c>
      <c r="K84" s="1312">
        <f t="shared" si="78"/>
        <v>0.56957393046963523</v>
      </c>
      <c r="L84" s="1312">
        <f t="shared" si="78"/>
        <v>0.72339810502649726</v>
      </c>
      <c r="M84" s="1312">
        <f t="shared" si="78"/>
        <v>0.4641111396964237</v>
      </c>
      <c r="N84" s="1313">
        <f t="shared" si="78"/>
        <v>0.46206349206349229</v>
      </c>
      <c r="O84" s="1312">
        <f t="shared" si="78"/>
        <v>0.43613300766070795</v>
      </c>
      <c r="P84" s="1312">
        <f t="shared" si="78"/>
        <v>9.7525066159752427E-2</v>
      </c>
      <c r="Q84" s="1312">
        <f t="shared" ref="Q84:Z86" si="79">+Q79/M79-1</f>
        <v>-6.9487707864090975E-3</v>
      </c>
      <c r="R84" s="1313">
        <f t="shared" si="79"/>
        <v>5.8610046993501586E-2</v>
      </c>
      <c r="S84" s="1314">
        <f t="shared" si="79"/>
        <v>-0.10125432442357118</v>
      </c>
      <c r="T84" s="1312">
        <f t="shared" si="79"/>
        <v>-0.11072999269837502</v>
      </c>
      <c r="U84" s="1312">
        <f t="shared" si="79"/>
        <v>-3.482611073577202E-2</v>
      </c>
      <c r="V84" s="1312">
        <f t="shared" si="79"/>
        <v>-7.0880215658696843E-2</v>
      </c>
      <c r="W84" s="1314">
        <f t="shared" si="79"/>
        <v>-0.1009633994236806</v>
      </c>
      <c r="X84" s="1312">
        <f t="shared" si="79"/>
        <v>-3.1640252052701823E-2</v>
      </c>
      <c r="Y84" s="1315">
        <f t="shared" si="79"/>
        <v>-1.5916401393309965E-2</v>
      </c>
      <c r="Z84" s="1313">
        <f t="shared" si="79"/>
        <v>2.9886146172782624E-2</v>
      </c>
      <c r="AA84" s="1312">
        <f t="shared" ref="AA84:AD86" si="80">+AA79/W79-1</f>
        <v>0.1245387027553353</v>
      </c>
      <c r="AB84" s="1312">
        <f t="shared" si="80"/>
        <v>0.10804717581484002</v>
      </c>
      <c r="AC84" s="1312">
        <f t="shared" si="80"/>
        <v>9.7851402134774057E-2</v>
      </c>
      <c r="AD84" s="1312">
        <f t="shared" si="80"/>
        <v>8.480974136082442E-2</v>
      </c>
      <c r="AE84" s="1291"/>
      <c r="AF84" s="1312"/>
      <c r="AG84" s="1312"/>
      <c r="AH84" s="1312">
        <f t="shared" ref="AH84:AM86" si="81">+AH79/AG79-1</f>
        <v>0.1500444691041718</v>
      </c>
      <c r="AI84" s="1312">
        <f t="shared" si="81"/>
        <v>0.53792232486200375</v>
      </c>
      <c r="AJ84" s="1312">
        <f t="shared" si="81"/>
        <v>0.11205735269694261</v>
      </c>
      <c r="AK84" s="1315">
        <f t="shared" si="81"/>
        <v>-7.7837331054452674E-2</v>
      </c>
      <c r="AL84" s="1312">
        <f t="shared" si="81"/>
        <v>-2.4345026933229374E-2</v>
      </c>
      <c r="AM84" s="1312">
        <f t="shared" si="81"/>
        <v>0.10145239134194362</v>
      </c>
    </row>
    <row r="85" spans="1:40" s="1317" customFormat="1" ht="17.25" customHeight="1" x14ac:dyDescent="0.35">
      <c r="A85" s="1316" t="str">
        <f>+A80</f>
        <v>STER</v>
      </c>
      <c r="C85" s="1318"/>
      <c r="D85" s="1318"/>
      <c r="E85" s="1318"/>
      <c r="F85" s="1319"/>
      <c r="G85" s="1320">
        <f t="shared" si="78"/>
        <v>0.15072736323911728</v>
      </c>
      <c r="H85" s="1320">
        <f t="shared" si="78"/>
        <v>-0.62126675439046219</v>
      </c>
      <c r="I85" s="1320">
        <f t="shared" si="78"/>
        <v>-0.16281601921722377</v>
      </c>
      <c r="J85" s="1321">
        <f t="shared" si="78"/>
        <v>0.12738072180257021</v>
      </c>
      <c r="K85" s="1320">
        <f t="shared" si="78"/>
        <v>0.32758862940558764</v>
      </c>
      <c r="L85" s="1320">
        <f t="shared" si="78"/>
        <v>2.4801540150706161</v>
      </c>
      <c r="M85" s="1320">
        <f t="shared" si="78"/>
        <v>0.54834611568475022</v>
      </c>
      <c r="N85" s="1321">
        <f t="shared" si="78"/>
        <v>0.47768487763906342</v>
      </c>
      <c r="O85" s="1320">
        <f t="shared" si="78"/>
        <v>0.18446228787714225</v>
      </c>
      <c r="P85" s="1320">
        <f t="shared" si="78"/>
        <v>9.0152775676902053E-2</v>
      </c>
      <c r="Q85" s="1320">
        <f t="shared" si="79"/>
        <v>1.3281664375480284E-2</v>
      </c>
      <c r="R85" s="1321">
        <f t="shared" si="79"/>
        <v>-9.7894328898075256E-2</v>
      </c>
      <c r="S85" s="1322">
        <f t="shared" si="79"/>
        <v>-4.8932468021068543E-2</v>
      </c>
      <c r="T85" s="1320">
        <f t="shared" si="79"/>
        <v>-0.19445380483260333</v>
      </c>
      <c r="U85" s="1320">
        <f t="shared" si="79"/>
        <v>-0.1929708364490974</v>
      </c>
      <c r="V85" s="1320">
        <f t="shared" si="79"/>
        <v>-9.7405201053958002E-2</v>
      </c>
      <c r="W85" s="1322">
        <f t="shared" si="79"/>
        <v>-0.17150839370039817</v>
      </c>
      <c r="X85" s="1320">
        <f t="shared" si="79"/>
        <v>1.5871453529860524E-2</v>
      </c>
      <c r="Y85" s="1323">
        <f t="shared" si="79"/>
        <v>6.6608424006565414E-2</v>
      </c>
      <c r="Z85" s="1321">
        <f t="shared" si="79"/>
        <v>-5.3356983532378832E-3</v>
      </c>
      <c r="AA85" s="1320">
        <f t="shared" si="80"/>
        <v>5.4100005472458523E-2</v>
      </c>
      <c r="AB85" s="1320">
        <f t="shared" si="80"/>
        <v>5.5939070656831458E-2</v>
      </c>
      <c r="AC85" s="1320">
        <f t="shared" si="80"/>
        <v>0.11848907823519439</v>
      </c>
      <c r="AD85" s="1320">
        <f t="shared" si="80"/>
        <v>0.17719027495841999</v>
      </c>
      <c r="AE85" s="1318"/>
      <c r="AF85" s="1320"/>
      <c r="AG85" s="1320"/>
      <c r="AH85" s="1320">
        <f t="shared" si="81"/>
        <v>-0.1797114599710079</v>
      </c>
      <c r="AI85" s="1320">
        <f t="shared" si="81"/>
        <v>0.73374674685892893</v>
      </c>
      <c r="AJ85" s="1320">
        <f t="shared" si="81"/>
        <v>4.5604937562246262E-2</v>
      </c>
      <c r="AK85" s="1323">
        <f t="shared" si="81"/>
        <v>-0.13923456479181218</v>
      </c>
      <c r="AL85" s="1320">
        <f t="shared" si="81"/>
        <v>-2.6228966002116771E-2</v>
      </c>
      <c r="AM85" s="1320">
        <f t="shared" si="81"/>
        <v>9.8685089577470242E-2</v>
      </c>
    </row>
    <row r="86" spans="1:40" ht="17.25" customHeight="1" x14ac:dyDescent="0.35">
      <c r="A86" s="1331" t="str">
        <f>+A81</f>
        <v>PF EBITDA pre-synergy</v>
      </c>
      <c r="C86" s="1291"/>
      <c r="D86" s="1291"/>
      <c r="E86" s="1291"/>
      <c r="F86" s="1292"/>
      <c r="G86" s="1312">
        <f t="shared" si="78"/>
        <v>3.6452621956148956E-2</v>
      </c>
      <c r="H86" s="1312">
        <f t="shared" si="78"/>
        <v>-0.3480033221713853</v>
      </c>
      <c r="I86" s="1312">
        <f t="shared" si="78"/>
        <v>5.4292050886180165E-2</v>
      </c>
      <c r="J86" s="1313">
        <f t="shared" si="78"/>
        <v>0.28277749897349347</v>
      </c>
      <c r="K86" s="1312">
        <f t="shared" si="78"/>
        <v>0.4386810188963024</v>
      </c>
      <c r="L86" s="1312">
        <f t="shared" si="78"/>
        <v>1.2491470188421063</v>
      </c>
      <c r="M86" s="1312">
        <f t="shared" si="78"/>
        <v>0.49872984909725626</v>
      </c>
      <c r="N86" s="1313">
        <f t="shared" si="78"/>
        <v>0.46788442661431406</v>
      </c>
      <c r="O86" s="1312">
        <f t="shared" si="78"/>
        <v>0.31051299196890425</v>
      </c>
      <c r="P86" s="1312">
        <f t="shared" si="78"/>
        <v>9.41111722619703E-2</v>
      </c>
      <c r="Q86" s="1312">
        <f t="shared" si="79"/>
        <v>1.6407381023508805E-3</v>
      </c>
      <c r="R86" s="1313">
        <f t="shared" si="79"/>
        <v>-9.6916128782043032E-5</v>
      </c>
      <c r="S86" s="1314">
        <f t="shared" si="79"/>
        <v>-7.7650128886484371E-2</v>
      </c>
      <c r="T86" s="1312">
        <f t="shared" si="79"/>
        <v>-0.1493597951344432</v>
      </c>
      <c r="U86" s="1312">
        <f t="shared" si="79"/>
        <v>-0.10275210835910475</v>
      </c>
      <c r="V86" s="1312">
        <f t="shared" si="79"/>
        <v>-7.9856937928895477E-2</v>
      </c>
      <c r="W86" s="1314">
        <f t="shared" si="79"/>
        <v>-0.1337795719329723</v>
      </c>
      <c r="X86" s="1312">
        <f t="shared" si="79"/>
        <v>-1.088066746228844E-2</v>
      </c>
      <c r="Y86" s="1315">
        <f t="shared" si="79"/>
        <v>1.5965389571869881E-2</v>
      </c>
      <c r="Z86" s="1313">
        <f t="shared" si="79"/>
        <v>1.819351631554067E-2</v>
      </c>
      <c r="AA86" s="1312">
        <f t="shared" si="80"/>
        <v>9.3199154632744197E-2</v>
      </c>
      <c r="AB86" s="1312">
        <f t="shared" si="80"/>
        <v>8.4663467505403434E-2</v>
      </c>
      <c r="AC86" s="1312">
        <f t="shared" si="80"/>
        <v>0.10622177846144476</v>
      </c>
      <c r="AD86" s="1312">
        <f t="shared" si="80"/>
        <v>0.11476870437582809</v>
      </c>
      <c r="AE86" s="1291"/>
      <c r="AF86" s="1312"/>
      <c r="AG86" s="1312"/>
      <c r="AH86" s="1312">
        <f t="shared" si="81"/>
        <v>-1.1346948671898116E-2</v>
      </c>
      <c r="AI86" s="1312">
        <f t="shared" si="81"/>
        <v>0.61744251507704551</v>
      </c>
      <c r="AJ86" s="1312">
        <f t="shared" si="81"/>
        <v>8.313203543954506E-2</v>
      </c>
      <c r="AK86" s="1315">
        <f t="shared" si="81"/>
        <v>-0.10363630241105282</v>
      </c>
      <c r="AL86" s="1312">
        <f t="shared" si="81"/>
        <v>-2.5105214913170637E-2</v>
      </c>
      <c r="AM86" s="1312">
        <f t="shared" si="81"/>
        <v>0.10033704494093398</v>
      </c>
    </row>
    <row r="87" spans="1:40" ht="17.25" customHeight="1" x14ac:dyDescent="0.35">
      <c r="A87" s="1316"/>
      <c r="C87" s="1332"/>
      <c r="D87" s="1332"/>
      <c r="E87" s="1332"/>
      <c r="F87" s="1333"/>
      <c r="G87" s="1332"/>
      <c r="H87" s="1332"/>
      <c r="I87" s="1332"/>
      <c r="J87" s="1333"/>
      <c r="K87" s="1332"/>
      <c r="L87" s="1332"/>
      <c r="M87" s="1332"/>
      <c r="N87" s="1333"/>
      <c r="O87" s="1332"/>
      <c r="P87" s="1332"/>
      <c r="Q87" s="1332"/>
      <c r="R87" s="1333"/>
      <c r="S87" s="1334"/>
      <c r="T87" s="1332"/>
      <c r="U87" s="1332"/>
      <c r="V87" s="1332"/>
      <c r="W87" s="1334"/>
      <c r="X87" s="1332"/>
      <c r="Y87" s="1335"/>
      <c r="Z87" s="1333"/>
      <c r="AA87" s="1332"/>
      <c r="AB87" s="1332"/>
      <c r="AC87" s="1332"/>
      <c r="AD87" s="1332"/>
      <c r="AE87" s="1291"/>
      <c r="AF87" s="1332"/>
      <c r="AG87" s="1332"/>
      <c r="AH87" s="1332"/>
      <c r="AI87" s="1332"/>
      <c r="AJ87" s="1332"/>
      <c r="AK87" s="1335"/>
      <c r="AL87" s="1332"/>
      <c r="AM87" s="1332"/>
    </row>
    <row r="88" spans="1:40" ht="17.25" customHeight="1" x14ac:dyDescent="0.35">
      <c r="A88" s="1311" t="s">
        <v>127</v>
      </c>
      <c r="C88" s="1291"/>
      <c r="D88" s="1291"/>
      <c r="E88" s="1291"/>
      <c r="F88" s="1292"/>
      <c r="G88" s="1312"/>
      <c r="H88" s="1312"/>
      <c r="I88" s="1312"/>
      <c r="J88" s="1313"/>
      <c r="K88" s="1312"/>
      <c r="L88" s="1312"/>
      <c r="M88" s="1312"/>
      <c r="N88" s="1313"/>
      <c r="O88" s="1312"/>
      <c r="P88" s="1312"/>
      <c r="Q88" s="1312"/>
      <c r="R88" s="1313"/>
      <c r="S88" s="1314"/>
      <c r="T88" s="1312"/>
      <c r="U88" s="1312"/>
      <c r="V88" s="1312"/>
      <c r="W88" s="1314"/>
      <c r="X88" s="1312"/>
      <c r="Y88" s="1315"/>
      <c r="Z88" s="1313"/>
      <c r="AA88" s="1312"/>
      <c r="AB88" s="1312"/>
      <c r="AC88" s="1312"/>
      <c r="AD88" s="1312"/>
      <c r="AE88" s="1291"/>
      <c r="AF88" s="1312"/>
      <c r="AG88" s="1312"/>
      <c r="AH88" s="1312"/>
      <c r="AI88" s="1312"/>
      <c r="AJ88" s="1312"/>
      <c r="AK88" s="1315"/>
      <c r="AL88" s="1312"/>
      <c r="AM88" s="1312"/>
    </row>
    <row r="89" spans="1:40" ht="17.25" customHeight="1" x14ac:dyDescent="0.35">
      <c r="A89" s="1316" t="str">
        <f>+A84</f>
        <v>FA</v>
      </c>
      <c r="C89" s="1312">
        <f t="shared" ref="C89:AD89" si="82">+C79/C9</f>
        <v>0.22553265200069292</v>
      </c>
      <c r="D89" s="1312">
        <f t="shared" si="82"/>
        <v>0.27164716619662721</v>
      </c>
      <c r="E89" s="1312">
        <f t="shared" si="82"/>
        <v>0.26837899635611495</v>
      </c>
      <c r="F89" s="1313">
        <f t="shared" si="82"/>
        <v>0.24914357881442906</v>
      </c>
      <c r="G89" s="1312">
        <f t="shared" si="82"/>
        <v>0.20709317117621054</v>
      </c>
      <c r="H89" s="1312">
        <f t="shared" si="82"/>
        <v>0.2965435790957493</v>
      </c>
      <c r="I89" s="1312">
        <f t="shared" si="82"/>
        <v>0.31260144175232862</v>
      </c>
      <c r="J89" s="1313">
        <f t="shared" si="82"/>
        <v>0.28170993458708105</v>
      </c>
      <c r="K89" s="1312">
        <f t="shared" si="82"/>
        <v>0.27279473006738858</v>
      </c>
      <c r="L89" s="1312">
        <f t="shared" si="82"/>
        <v>0.30692231132669057</v>
      </c>
      <c r="M89" s="1312">
        <f t="shared" si="82"/>
        <v>0.32458118807260966</v>
      </c>
      <c r="N89" s="1313">
        <f t="shared" si="82"/>
        <v>0.30337549169066286</v>
      </c>
      <c r="O89" s="1312">
        <f t="shared" si="82"/>
        <v>0.27249171849737464</v>
      </c>
      <c r="P89" s="1312">
        <f t="shared" si="82"/>
        <v>0.29217457742321179</v>
      </c>
      <c r="Q89" s="1312">
        <f t="shared" si="82"/>
        <v>0.30179720951909356</v>
      </c>
      <c r="R89" s="1313">
        <f t="shared" si="82"/>
        <v>0.32106117265222606</v>
      </c>
      <c r="S89" s="1314">
        <f t="shared" si="82"/>
        <v>0.2649384685505925</v>
      </c>
      <c r="T89" s="1312">
        <f t="shared" si="82"/>
        <v>0.2825998974718722</v>
      </c>
      <c r="U89" s="1312">
        <f t="shared" si="82"/>
        <v>0.29945998283124708</v>
      </c>
      <c r="V89" s="1312">
        <f t="shared" si="82"/>
        <v>0.31307945221709893</v>
      </c>
      <c r="W89" s="1314">
        <f t="shared" si="82"/>
        <v>0.24677126127402371</v>
      </c>
      <c r="X89" s="1312">
        <f t="shared" si="82"/>
        <v>0.27479869517627042</v>
      </c>
      <c r="Y89" s="1315">
        <f t="shared" si="82"/>
        <v>0.29653624214665603</v>
      </c>
      <c r="Z89" s="1313">
        <f t="shared" si="82"/>
        <v>0.31365854639658086</v>
      </c>
      <c r="AA89" s="1312">
        <f t="shared" si="82"/>
        <v>0.26362209820543414</v>
      </c>
      <c r="AB89" s="1312">
        <f t="shared" si="82"/>
        <v>0.28670763704303692</v>
      </c>
      <c r="AC89" s="1312">
        <f t="shared" si="82"/>
        <v>0.30298115693436906</v>
      </c>
      <c r="AD89" s="1312">
        <f t="shared" si="82"/>
        <v>0.31444734192718199</v>
      </c>
      <c r="AE89" s="1291"/>
      <c r="AF89" s="1312"/>
      <c r="AG89" s="1312">
        <f t="shared" ref="AG89:AM91" si="83">+AG79/AG9</f>
        <v>0.25439060790797213</v>
      </c>
      <c r="AH89" s="1312">
        <f t="shared" si="83"/>
        <v>0.27682390789427169</v>
      </c>
      <c r="AI89" s="1312">
        <f t="shared" si="83"/>
        <v>0.30431773352332947</v>
      </c>
      <c r="AJ89" s="1312">
        <f t="shared" si="83"/>
        <v>0.29758908080387841</v>
      </c>
      <c r="AK89" s="1315">
        <f t="shared" si="83"/>
        <v>0.29104785397526184</v>
      </c>
      <c r="AL89" s="1312">
        <f t="shared" si="83"/>
        <v>0.28487587531912545</v>
      </c>
      <c r="AM89" s="1312">
        <f t="shared" si="83"/>
        <v>0.2936092356485418</v>
      </c>
    </row>
    <row r="90" spans="1:40" s="1317" customFormat="1" ht="17.25" customHeight="1" x14ac:dyDescent="0.35">
      <c r="A90" s="1316" t="str">
        <f>+A85</f>
        <v>STER</v>
      </c>
      <c r="C90" s="1320">
        <f t="shared" ref="C90:AD90" si="84">+C80/C10</f>
        <v>0.2126537038209933</v>
      </c>
      <c r="D90" s="1320">
        <f t="shared" si="84"/>
        <v>0.26518217859022986</v>
      </c>
      <c r="E90" s="1320">
        <f t="shared" si="84"/>
        <v>0.26840371693507259</v>
      </c>
      <c r="F90" s="1321">
        <f t="shared" si="84"/>
        <v>0.19133403058577436</v>
      </c>
      <c r="G90" s="1320">
        <f t="shared" si="84"/>
        <v>0.22655475137381048</v>
      </c>
      <c r="H90" s="1320">
        <f t="shared" si="84"/>
        <v>0.15013266193223512</v>
      </c>
      <c r="I90" s="1320">
        <f t="shared" si="84"/>
        <v>0.25367531077198313</v>
      </c>
      <c r="J90" s="1321">
        <f t="shared" si="84"/>
        <v>0.20383134129629363</v>
      </c>
      <c r="K90" s="1320">
        <f t="shared" si="84"/>
        <v>0.25762287436320586</v>
      </c>
      <c r="L90" s="1320">
        <f t="shared" si="84"/>
        <v>0.29045114480819439</v>
      </c>
      <c r="M90" s="1320">
        <f t="shared" si="84"/>
        <v>0.27242461237224064</v>
      </c>
      <c r="N90" s="1321">
        <f t="shared" si="84"/>
        <v>0.22291783054674047</v>
      </c>
      <c r="O90" s="1320">
        <f t="shared" si="84"/>
        <v>0.22153230679474092</v>
      </c>
      <c r="P90" s="1320">
        <f t="shared" si="84"/>
        <v>0.24538525519113188</v>
      </c>
      <c r="Q90" s="1320">
        <f t="shared" si="84"/>
        <v>0.23484814274030477</v>
      </c>
      <c r="R90" s="1321">
        <f t="shared" si="84"/>
        <v>0.20548493408662899</v>
      </c>
      <c r="S90" s="1322">
        <f t="shared" si="84"/>
        <v>0.22561553822640207</v>
      </c>
      <c r="T90" s="1320">
        <f t="shared" si="84"/>
        <v>0.21345806370283216</v>
      </c>
      <c r="U90" s="1320">
        <f t="shared" si="84"/>
        <v>0.20919220672773389</v>
      </c>
      <c r="V90" s="1320">
        <f t="shared" si="84"/>
        <v>0.18602139113188843</v>
      </c>
      <c r="W90" s="1322">
        <f t="shared" si="84"/>
        <v>0.18016225893687599</v>
      </c>
      <c r="X90" s="1320">
        <f t="shared" si="84"/>
        <v>0.20587648607675738</v>
      </c>
      <c r="Y90" s="1323">
        <f t="shared" si="84"/>
        <v>0.20608184143222502</v>
      </c>
      <c r="Z90" s="1321">
        <f t="shared" si="84"/>
        <v>0.17676040176421437</v>
      </c>
      <c r="AA90" s="1320">
        <f t="shared" si="84"/>
        <v>0.18385892873121359</v>
      </c>
      <c r="AB90" s="1320">
        <f t="shared" si="84"/>
        <v>0.2076212272766863</v>
      </c>
      <c r="AC90" s="1320">
        <f t="shared" si="84"/>
        <v>0.21651218329180891</v>
      </c>
      <c r="AD90" s="1320">
        <f t="shared" si="84"/>
        <v>0.192178164927059</v>
      </c>
      <c r="AE90" s="1318"/>
      <c r="AF90" s="1320"/>
      <c r="AG90" s="1320">
        <f t="shared" si="83"/>
        <v>0.23632551462879053</v>
      </c>
      <c r="AH90" s="1320">
        <f t="shared" si="83"/>
        <v>0.21224060824670976</v>
      </c>
      <c r="AI90" s="1320">
        <f t="shared" si="83"/>
        <v>0.26029376024328388</v>
      </c>
      <c r="AJ90" s="1320">
        <f t="shared" si="83"/>
        <v>0.22783268256166683</v>
      </c>
      <c r="AK90" s="1323">
        <f t="shared" si="83"/>
        <v>0.20895725640598076</v>
      </c>
      <c r="AL90" s="1320">
        <f t="shared" si="83"/>
        <v>0.19283123375407804</v>
      </c>
      <c r="AM90" s="1320">
        <f t="shared" si="83"/>
        <v>0.2005409401473511</v>
      </c>
    </row>
    <row r="91" spans="1:40" ht="17.25" customHeight="1" x14ac:dyDescent="0.35">
      <c r="A91" s="1331" t="str">
        <f>+A86</f>
        <v>PF EBITDA pre-synergy</v>
      </c>
      <c r="C91" s="1312">
        <f t="shared" ref="C91:AD91" si="85">+C81/C11</f>
        <v>0.21906878950810146</v>
      </c>
      <c r="D91" s="1312">
        <f t="shared" si="85"/>
        <v>0.26827750271335515</v>
      </c>
      <c r="E91" s="1312">
        <f t="shared" si="85"/>
        <v>0.2683917901037014</v>
      </c>
      <c r="F91" s="1313">
        <f t="shared" si="85"/>
        <v>0.22085168810127404</v>
      </c>
      <c r="G91" s="1312">
        <f t="shared" si="85"/>
        <v>0.21718480550789479</v>
      </c>
      <c r="H91" s="1312">
        <f t="shared" si="85"/>
        <v>0.22954888305676677</v>
      </c>
      <c r="I91" s="1312">
        <f t="shared" si="85"/>
        <v>0.28535936155433422</v>
      </c>
      <c r="J91" s="1313">
        <f t="shared" si="85"/>
        <v>0.24660117812026291</v>
      </c>
      <c r="K91" s="1312">
        <f t="shared" si="85"/>
        <v>0.26500478927203069</v>
      </c>
      <c r="L91" s="1312">
        <f t="shared" si="85"/>
        <v>0.29906869287813403</v>
      </c>
      <c r="M91" s="1312">
        <f t="shared" si="85"/>
        <v>0.30018017570580319</v>
      </c>
      <c r="N91" s="1313">
        <f t="shared" si="85"/>
        <v>0.26719943236111349</v>
      </c>
      <c r="O91" s="1312">
        <f t="shared" si="85"/>
        <v>0.2468724875802992</v>
      </c>
      <c r="P91" s="1312">
        <f t="shared" si="85"/>
        <v>0.26854835540535227</v>
      </c>
      <c r="Q91" s="1312">
        <f t="shared" si="85"/>
        <v>0.26887498920512731</v>
      </c>
      <c r="R91" s="1313">
        <f t="shared" si="85"/>
        <v>0.26972014169378977</v>
      </c>
      <c r="S91" s="1314">
        <f t="shared" si="85"/>
        <v>0.24506896959926042</v>
      </c>
      <c r="T91" s="1312">
        <f t="shared" si="85"/>
        <v>0.24756254341906686</v>
      </c>
      <c r="U91" s="1312">
        <f t="shared" si="85"/>
        <v>0.25667182946998135</v>
      </c>
      <c r="V91" s="1312">
        <f t="shared" si="85"/>
        <v>0.25521132970229421</v>
      </c>
      <c r="W91" s="1314">
        <f t="shared" si="85"/>
        <v>0.21191283429230617</v>
      </c>
      <c r="X91" s="1312">
        <f t="shared" si="85"/>
        <v>0.23890732690340041</v>
      </c>
      <c r="Y91" s="1315">
        <f t="shared" si="85"/>
        <v>0.25172381461612342</v>
      </c>
      <c r="Z91" s="1313">
        <f t="shared" si="85"/>
        <v>0.25069321742251149</v>
      </c>
      <c r="AA91" s="1312">
        <f t="shared" si="85"/>
        <v>0.22225675837712375</v>
      </c>
      <c r="AB91" s="1312">
        <f t="shared" si="85"/>
        <v>0.24580326703996339</v>
      </c>
      <c r="AC91" s="1312">
        <f t="shared" si="85"/>
        <v>0.2603430690689893</v>
      </c>
      <c r="AD91" s="1312">
        <f t="shared" si="85"/>
        <v>0.25819198214645556</v>
      </c>
      <c r="AE91" s="1291"/>
      <c r="AF91" s="1312"/>
      <c r="AG91" s="1312">
        <f t="shared" si="83"/>
        <v>0.24521643351306885</v>
      </c>
      <c r="AH91" s="1312">
        <f t="shared" si="83"/>
        <v>0.24637954100397569</v>
      </c>
      <c r="AI91" s="1312">
        <f t="shared" si="83"/>
        <v>0.2834502676529469</v>
      </c>
      <c r="AJ91" s="1312">
        <f t="shared" si="83"/>
        <v>0.26366735265299135</v>
      </c>
      <c r="AK91" s="1315">
        <f t="shared" si="83"/>
        <v>0.25122337115857407</v>
      </c>
      <c r="AL91" s="1312">
        <f t="shared" si="83"/>
        <v>0.23891238102830131</v>
      </c>
      <c r="AM91" s="1312">
        <f t="shared" si="83"/>
        <v>0.24740265639028788</v>
      </c>
    </row>
    <row r="92" spans="1:40" ht="17.25" customHeight="1" x14ac:dyDescent="0.35">
      <c r="A92" s="1331"/>
      <c r="C92" s="1332"/>
      <c r="D92" s="1332"/>
      <c r="E92" s="1332"/>
      <c r="F92" s="1333"/>
      <c r="G92" s="1332"/>
      <c r="H92" s="1332"/>
      <c r="I92" s="1332"/>
      <c r="J92" s="1333"/>
      <c r="K92" s="1332"/>
      <c r="L92" s="1332"/>
      <c r="M92" s="1332"/>
      <c r="N92" s="1333"/>
      <c r="O92" s="1332"/>
      <c r="P92" s="1332"/>
      <c r="Q92" s="1332"/>
      <c r="R92" s="1333"/>
      <c r="S92" s="1334"/>
      <c r="T92" s="1332"/>
      <c r="U92" s="1332"/>
      <c r="V92" s="1332"/>
      <c r="W92" s="1334"/>
      <c r="X92" s="1332"/>
      <c r="Y92" s="1335"/>
      <c r="Z92" s="1333"/>
      <c r="AA92" s="1332"/>
      <c r="AB92" s="1332"/>
      <c r="AC92" s="1332"/>
      <c r="AD92" s="1332"/>
      <c r="AE92" s="1291"/>
      <c r="AF92" s="1332"/>
      <c r="AG92" s="1332"/>
      <c r="AH92" s="1332"/>
      <c r="AI92" s="1332"/>
      <c r="AJ92" s="1332"/>
      <c r="AK92" s="1335"/>
      <c r="AL92" s="1332"/>
      <c r="AM92" s="1332"/>
    </row>
    <row r="93" spans="1:40" ht="17.25" customHeight="1" x14ac:dyDescent="0.35">
      <c r="A93" s="1317" t="s">
        <v>40</v>
      </c>
      <c r="C93" s="1291"/>
      <c r="D93" s="1291"/>
      <c r="E93" s="1291"/>
      <c r="F93" s="1292"/>
      <c r="G93" s="1291"/>
      <c r="H93" s="1291"/>
      <c r="I93" s="1291"/>
      <c r="J93" s="1292"/>
      <c r="K93" s="1291"/>
      <c r="L93" s="1291"/>
      <c r="M93" s="1291"/>
      <c r="N93" s="1292"/>
      <c r="O93" s="1291"/>
      <c r="P93" s="1291"/>
      <c r="Q93" s="1291"/>
      <c r="R93" s="1292"/>
      <c r="S93" s="1293"/>
      <c r="T93" s="1291"/>
      <c r="U93" s="1291"/>
      <c r="V93" s="1291"/>
      <c r="W93" s="1293"/>
      <c r="X93" s="1291"/>
      <c r="Y93" s="1294"/>
      <c r="Z93" s="1292"/>
      <c r="AA93" s="1291"/>
      <c r="AB93" s="1291"/>
      <c r="AC93" s="1291"/>
      <c r="AD93" s="1291"/>
      <c r="AE93" s="1280"/>
      <c r="AF93" s="1291"/>
      <c r="AG93" s="1291"/>
      <c r="AH93" s="1291"/>
      <c r="AI93" s="1291"/>
      <c r="AJ93" s="1291"/>
      <c r="AK93" s="1294"/>
    </row>
    <row r="94" spans="1:40" ht="17.25" customHeight="1" x14ac:dyDescent="0.35">
      <c r="A94" s="1272" t="str">
        <f>+A84</f>
        <v>FA</v>
      </c>
      <c r="C94" s="1291"/>
      <c r="D94" s="1291"/>
      <c r="E94" s="1291"/>
      <c r="F94" s="1292"/>
      <c r="G94" s="1291">
        <f>+'FA - Historical Financials'!G96</f>
        <v>5.2080000000000002</v>
      </c>
      <c r="H94" s="1291">
        <f>+'FA - Historical Financials'!H96</f>
        <v>5.1120000000000001</v>
      </c>
      <c r="I94" s="1291">
        <f>+'FA - Historical Financials'!I96</f>
        <v>5.2480000000000002</v>
      </c>
      <c r="J94" s="1292">
        <f>+'FA - Historical Financials'!J96</f>
        <v>4.8500000000000005</v>
      </c>
      <c r="K94" s="1291">
        <f>+'FA - Historical Financials'!K96</f>
        <v>5.4379999999999997</v>
      </c>
      <c r="L94" s="1291">
        <f>+'FA - Historical Financials'!L96</f>
        <v>6.81</v>
      </c>
      <c r="M94" s="1291">
        <f>+'FA - Historical Financials'!M96</f>
        <v>6.7470000000000008</v>
      </c>
      <c r="N94" s="1292">
        <f>+'FA - Historical Financials'!N96</f>
        <v>6.4549999999999992</v>
      </c>
      <c r="O94" s="1291">
        <f>+'FA - Historical Financials'!O96</f>
        <v>7.7899999999999991</v>
      </c>
      <c r="P94" s="1291">
        <f>+'FA - Historical Financials'!P96</f>
        <v>8.07</v>
      </c>
      <c r="Q94" s="1291">
        <f>+'FA - Historical Financials'!Q96</f>
        <v>7.1650000000000009</v>
      </c>
      <c r="R94" s="1292">
        <f>+'FA - Historical Financials'!R96</f>
        <v>6.8719999999999999</v>
      </c>
      <c r="S94" s="1293">
        <f>+'FA - Historical Financials'!S96</f>
        <v>6.1349999999999998</v>
      </c>
      <c r="T94" s="1291">
        <f>+'FA - Historical Financials'!T96</f>
        <v>7.0609999999999991</v>
      </c>
      <c r="U94" s="1291">
        <f>+'FA - Historical Financials'!U96</f>
        <v>7.4799999999999986</v>
      </c>
      <c r="V94" s="1291">
        <f>+'FA - Historical Financials'!V96</f>
        <v>7.1270000000000016</v>
      </c>
      <c r="W94" s="1293">
        <f>+'FA - Historical Financials'!W96</f>
        <v>6.4559999999999995</v>
      </c>
      <c r="X94" s="1291">
        <f>+'FA - Historical Financials'!X96</f>
        <v>7.4080000000000004</v>
      </c>
      <c r="Y94" s="1294">
        <f>+'FA - Historical Financials'!Y96</f>
        <v>7.9059999999999997</v>
      </c>
      <c r="Z94" s="1292">
        <f>+'FA - Historical Financials'!Z96</f>
        <v>8.329225569438842</v>
      </c>
      <c r="AA94" s="1291">
        <f>+'FA - Historical Financials'!AA96</f>
        <v>6.2417970470402402</v>
      </c>
      <c r="AB94" s="1291">
        <f>+'FA - Historical Financials'!AB96</f>
        <v>6.8597191732747884</v>
      </c>
      <c r="AC94" s="1291">
        <f>+'FA - Historical Financials'!AC96</f>
        <v>7.4883557417308744</v>
      </c>
      <c r="AD94" s="1291">
        <f>+'FA - Historical Financials'!AD96</f>
        <v>7.8863391640670892</v>
      </c>
      <c r="AE94" s="1280"/>
      <c r="AF94" s="1291"/>
      <c r="AG94" s="1291">
        <f>+'FA - Historical Financials'!AG96</f>
        <v>19.844999999999999</v>
      </c>
      <c r="AH94" s="1291">
        <f>+'FA - Historical Financials'!AH96</f>
        <v>20.418000000000003</v>
      </c>
      <c r="AI94" s="1291">
        <f>+'FA - Historical Financials'!AI96</f>
        <v>25.45</v>
      </c>
      <c r="AJ94" s="1291">
        <f>+'FA - Historical Financials'!AJ96</f>
        <v>29.896999999999998</v>
      </c>
      <c r="AK94" s="1294">
        <f>+'FA - Historical Financials'!AK96</f>
        <v>27.802999999999997</v>
      </c>
      <c r="AL94" s="1291">
        <f>+SUM(W94:Z94)</f>
        <v>30.099225569438843</v>
      </c>
      <c r="AM94" s="1291">
        <f>+SUM(AA94:AD94)</f>
        <v>28.476211126112993</v>
      </c>
      <c r="AN94" s="1291"/>
    </row>
    <row r="95" spans="1:40" s="1295" customFormat="1" ht="17.25" customHeight="1" x14ac:dyDescent="0.65">
      <c r="A95" s="1272" t="str">
        <f>+A85</f>
        <v>STER</v>
      </c>
      <c r="C95" s="1296"/>
      <c r="D95" s="1296"/>
      <c r="E95" s="1296"/>
      <c r="F95" s="1297"/>
      <c r="G95" s="1296">
        <f>+'Peer benchmarking'!G183</f>
        <v>5.7</v>
      </c>
      <c r="H95" s="1296">
        <f>+'Peer benchmarking'!H183</f>
        <v>3.8459999999999992</v>
      </c>
      <c r="I95" s="1296">
        <f>+'Peer benchmarking'!I183</f>
        <v>3.5390000000000015</v>
      </c>
      <c r="J95" s="1297">
        <f>+'Peer benchmarking'!J183</f>
        <v>3.4170000000000016</v>
      </c>
      <c r="K95" s="1296">
        <f>+'Peer benchmarking'!K183</f>
        <v>4.1849999999999996</v>
      </c>
      <c r="L95" s="1296">
        <f>+'Peer benchmarking'!L183</f>
        <v>5.1101000000000001</v>
      </c>
      <c r="M95" s="1296">
        <f>+'Peer benchmarking'!M183</f>
        <v>5.3109000000000002</v>
      </c>
      <c r="N95" s="1297">
        <f>+'Peer benchmarking'!N183</f>
        <v>4.4880000000000013</v>
      </c>
      <c r="O95" s="1296">
        <f>+'Peer benchmarking'!O183</f>
        <v>5.2370000000000001</v>
      </c>
      <c r="P95" s="1296">
        <f>+'Peer benchmarking'!P183</f>
        <v>5.6449999999999996</v>
      </c>
      <c r="Q95" s="1296">
        <f>+'Peer benchmarking'!Q183</f>
        <v>3.7240000000000002</v>
      </c>
      <c r="R95" s="1297">
        <f>+'Peer benchmarking'!R183</f>
        <v>5.5810000000000013</v>
      </c>
      <c r="S95" s="1298">
        <f>+'Peer benchmarking'!S183</f>
        <v>5.2370000000000001</v>
      </c>
      <c r="T95" s="1296">
        <f>+'Peer benchmarking'!T183</f>
        <v>3.963000000000001</v>
      </c>
      <c r="U95" s="1296">
        <f>+'Peer benchmarking'!U183</f>
        <v>5.5410000000000004</v>
      </c>
      <c r="V95" s="1296">
        <f>+'Peer benchmarking'!V183</f>
        <v>5.6209999999999969</v>
      </c>
      <c r="W95" s="1298">
        <f>+'Peer benchmarking'!W183</f>
        <v>5.62</v>
      </c>
      <c r="X95" s="1296">
        <f>+'Peer benchmarking'!X183</f>
        <v>5.7280000000000006</v>
      </c>
      <c r="Y95" s="1487">
        <f>+'STER - Historical Financials'!Y75</f>
        <v>5.2</v>
      </c>
      <c r="Z95" s="1297">
        <f>+'STER - Historical Financials'!Z75</f>
        <v>5.1412226536206411</v>
      </c>
      <c r="AA95" s="1296">
        <f>+'STER - Historical Financials'!AA75</f>
        <v>5.8049331716608954</v>
      </c>
      <c r="AB95" s="1296">
        <f>+'STER - Historical Financials'!AB75</f>
        <v>5.9975912179039792</v>
      </c>
      <c r="AC95" s="1296">
        <f>+'STER - Historical Financials'!AC75</f>
        <v>5.5359540690611935</v>
      </c>
      <c r="AD95" s="1296">
        <f>+'STER - Historical Financials'!AD75</f>
        <v>5.566651280821981</v>
      </c>
      <c r="AE95" s="1300"/>
      <c r="AF95" s="1296"/>
      <c r="AG95" s="1296">
        <f>+'Peer benchmarking'!AB183</f>
        <v>31.888199999999998</v>
      </c>
      <c r="AH95" s="1296">
        <f>+'Peer benchmarking'!AC183</f>
        <v>16.502000000000002</v>
      </c>
      <c r="AI95" s="1296">
        <f>+'Peer benchmarking'!AD183</f>
        <v>19.094000000000001</v>
      </c>
      <c r="AJ95" s="1296">
        <f>+'Peer benchmarking'!AE183</f>
        <v>20.187000000000001</v>
      </c>
      <c r="AK95" s="1299">
        <f>+'Peer benchmarking'!AF183</f>
        <v>20.361999999999998</v>
      </c>
      <c r="AL95" s="1296">
        <f>+SUM(W95:Z95)</f>
        <v>21.689222653620643</v>
      </c>
      <c r="AM95" s="1296">
        <f>+SUM(AA95:AD95)</f>
        <v>22.90512973944805</v>
      </c>
    </row>
    <row r="96" spans="1:40" s="1307" customFormat="1" ht="17.25" customHeight="1" x14ac:dyDescent="0.35">
      <c r="A96" s="1306" t="s">
        <v>182</v>
      </c>
      <c r="C96" s="1280"/>
      <c r="D96" s="1280"/>
      <c r="E96" s="1280"/>
      <c r="F96" s="1308"/>
      <c r="G96" s="1280">
        <f t="shared" ref="G96:AD96" si="86">+SUM(G94:G95)</f>
        <v>10.908000000000001</v>
      </c>
      <c r="H96" s="1280">
        <f t="shared" si="86"/>
        <v>8.9579999999999984</v>
      </c>
      <c r="I96" s="1280">
        <f t="shared" si="86"/>
        <v>8.7870000000000026</v>
      </c>
      <c r="J96" s="1308">
        <f t="shared" si="86"/>
        <v>8.267000000000003</v>
      </c>
      <c r="K96" s="1280">
        <f t="shared" si="86"/>
        <v>9.6229999999999993</v>
      </c>
      <c r="L96" s="1280">
        <f t="shared" si="86"/>
        <v>11.9201</v>
      </c>
      <c r="M96" s="1280">
        <f t="shared" si="86"/>
        <v>12.0579</v>
      </c>
      <c r="N96" s="1308">
        <f t="shared" si="86"/>
        <v>10.943000000000001</v>
      </c>
      <c r="O96" s="1280">
        <f t="shared" si="86"/>
        <v>13.026999999999999</v>
      </c>
      <c r="P96" s="1280">
        <f t="shared" si="86"/>
        <v>13.715</v>
      </c>
      <c r="Q96" s="1280">
        <f t="shared" si="86"/>
        <v>10.889000000000001</v>
      </c>
      <c r="R96" s="1308">
        <f t="shared" si="86"/>
        <v>12.453000000000001</v>
      </c>
      <c r="S96" s="1309">
        <f t="shared" si="86"/>
        <v>11.372</v>
      </c>
      <c r="T96" s="1280">
        <f t="shared" si="86"/>
        <v>11.024000000000001</v>
      </c>
      <c r="U96" s="1280">
        <f t="shared" si="86"/>
        <v>13.020999999999999</v>
      </c>
      <c r="V96" s="1280">
        <f t="shared" si="86"/>
        <v>12.747999999999998</v>
      </c>
      <c r="W96" s="1309">
        <f t="shared" si="86"/>
        <v>12.076000000000001</v>
      </c>
      <c r="X96" s="1280">
        <f t="shared" si="86"/>
        <v>13.136000000000001</v>
      </c>
      <c r="Y96" s="1310">
        <f t="shared" si="86"/>
        <v>13.106</v>
      </c>
      <c r="Z96" s="1308">
        <f t="shared" si="86"/>
        <v>13.470448223059483</v>
      </c>
      <c r="AA96" s="1280">
        <f t="shared" si="86"/>
        <v>12.046730218701136</v>
      </c>
      <c r="AB96" s="1280">
        <f t="shared" si="86"/>
        <v>12.857310391178768</v>
      </c>
      <c r="AC96" s="1280">
        <f t="shared" si="86"/>
        <v>13.024309810792069</v>
      </c>
      <c r="AD96" s="1280">
        <f t="shared" si="86"/>
        <v>13.452990444889071</v>
      </c>
      <c r="AE96" s="1280"/>
      <c r="AF96" s="1280"/>
      <c r="AG96" s="1280">
        <f t="shared" ref="AG96:AL96" si="87">+SUM(AG94:AG95)</f>
        <v>51.733199999999997</v>
      </c>
      <c r="AH96" s="1280">
        <f t="shared" si="87"/>
        <v>36.92</v>
      </c>
      <c r="AI96" s="1280">
        <f t="shared" si="87"/>
        <v>44.543999999999997</v>
      </c>
      <c r="AJ96" s="1280">
        <f t="shared" si="87"/>
        <v>50.084000000000003</v>
      </c>
      <c r="AK96" s="1310">
        <f t="shared" si="87"/>
        <v>48.164999999999992</v>
      </c>
      <c r="AL96" s="1280">
        <f t="shared" si="87"/>
        <v>51.78844822305949</v>
      </c>
      <c r="AM96" s="1280">
        <f>+SUM(AA96:AD96)</f>
        <v>51.381340865561043</v>
      </c>
    </row>
    <row r="97" spans="1:39" s="1307" customFormat="1" ht="17.25" customHeight="1" x14ac:dyDescent="0.35">
      <c r="A97" s="1306"/>
      <c r="C97" s="1280"/>
      <c r="D97" s="1280"/>
      <c r="E97" s="1280"/>
      <c r="F97" s="1308"/>
      <c r="G97" s="1280"/>
      <c r="H97" s="1280"/>
      <c r="I97" s="1280"/>
      <c r="J97" s="1308"/>
      <c r="K97" s="1280"/>
      <c r="L97" s="1280"/>
      <c r="M97" s="1280"/>
      <c r="N97" s="1308"/>
      <c r="O97" s="1280"/>
      <c r="P97" s="1280"/>
      <c r="Q97" s="1280"/>
      <c r="R97" s="1308"/>
      <c r="S97" s="1309"/>
      <c r="T97" s="1280"/>
      <c r="U97" s="1280"/>
      <c r="V97" s="1280"/>
      <c r="W97" s="1309"/>
      <c r="X97" s="1280"/>
      <c r="Y97" s="1310"/>
      <c r="Z97" s="1308"/>
      <c r="AA97" s="1280"/>
      <c r="AB97" s="1280"/>
      <c r="AC97" s="1280"/>
      <c r="AD97" s="1280"/>
      <c r="AE97" s="1280"/>
      <c r="AF97" s="1280"/>
      <c r="AG97" s="1280"/>
      <c r="AH97" s="1280"/>
      <c r="AI97" s="1280"/>
      <c r="AJ97" s="1280"/>
      <c r="AK97" s="1310"/>
      <c r="AL97" s="1280"/>
      <c r="AM97" s="1280"/>
    </row>
    <row r="98" spans="1:39" ht="17.25" customHeight="1" x14ac:dyDescent="0.35">
      <c r="A98" s="1311" t="s">
        <v>33</v>
      </c>
      <c r="C98" s="1312"/>
      <c r="D98" s="1312"/>
      <c r="E98" s="1312"/>
      <c r="F98" s="1333"/>
      <c r="G98" s="1332"/>
      <c r="H98" s="1312"/>
      <c r="I98" s="1312"/>
      <c r="J98" s="1313"/>
      <c r="K98" s="1312"/>
      <c r="L98" s="1312"/>
      <c r="M98" s="1312"/>
      <c r="N98" s="1313"/>
      <c r="O98" s="1312"/>
      <c r="P98" s="1312"/>
      <c r="Q98" s="1312"/>
      <c r="R98" s="1313"/>
      <c r="S98" s="1314"/>
      <c r="T98" s="1312"/>
      <c r="U98" s="1312"/>
      <c r="V98" s="1312"/>
      <c r="W98" s="1314"/>
      <c r="X98" s="1312"/>
      <c r="Y98" s="1315"/>
      <c r="Z98" s="1313"/>
      <c r="AA98" s="1312"/>
      <c r="AB98" s="1312"/>
      <c r="AC98" s="1312"/>
      <c r="AD98" s="1312"/>
      <c r="AE98" s="1291"/>
      <c r="AF98" s="1312"/>
      <c r="AG98" s="1312"/>
      <c r="AH98" s="1312"/>
      <c r="AI98" s="1312"/>
      <c r="AJ98" s="1312"/>
      <c r="AK98" s="1315"/>
    </row>
    <row r="99" spans="1:39" ht="17.25" customHeight="1" x14ac:dyDescent="0.35">
      <c r="A99" s="1316" t="str">
        <f>+A94</f>
        <v>FA</v>
      </c>
      <c r="B99" s="1274"/>
      <c r="C99" s="1291"/>
      <c r="D99" s="1291"/>
      <c r="E99" s="1291"/>
      <c r="F99" s="1292"/>
      <c r="G99" s="1332">
        <f t="shared" ref="G99:AD99" si="88">+G94/G9</f>
        <v>4.6987071337706042E-2</v>
      </c>
      <c r="H99" s="1312">
        <f t="shared" si="88"/>
        <v>4.8688960216395384E-2</v>
      </c>
      <c r="I99" s="1312">
        <f t="shared" si="88"/>
        <v>3.8368743511383412E-2</v>
      </c>
      <c r="J99" s="1313">
        <f t="shared" si="88"/>
        <v>3.0981704824202799E-2</v>
      </c>
      <c r="K99" s="1312">
        <f t="shared" si="88"/>
        <v>4.117513439842508E-2</v>
      </c>
      <c r="L99" s="1312">
        <f t="shared" si="88"/>
        <v>3.8953016141763809E-2</v>
      </c>
      <c r="M99" s="1312">
        <f t="shared" si="88"/>
        <v>3.498265644200408E-2</v>
      </c>
      <c r="N99" s="1313">
        <f t="shared" si="88"/>
        <v>3.0371896937872858E-2</v>
      </c>
      <c r="O99" s="1312">
        <f t="shared" si="88"/>
        <v>4.1025695040578042E-2</v>
      </c>
      <c r="P99" s="1312">
        <f t="shared" si="88"/>
        <v>4.0037507255867952E-2</v>
      </c>
      <c r="Q99" s="1312">
        <f t="shared" si="88"/>
        <v>3.4783917353606565E-2</v>
      </c>
      <c r="R99" s="1313">
        <f t="shared" si="88"/>
        <v>3.2324372633410946E-2</v>
      </c>
      <c r="S99" s="1314">
        <f t="shared" si="88"/>
        <v>3.4953281677301731E-2</v>
      </c>
      <c r="T99" s="1312">
        <f t="shared" si="88"/>
        <v>3.8102690014299972E-2</v>
      </c>
      <c r="U99" s="1312">
        <f t="shared" si="88"/>
        <v>3.7332055658701159E-2</v>
      </c>
      <c r="V99" s="1312">
        <f t="shared" si="88"/>
        <v>3.518428925464797E-2</v>
      </c>
      <c r="W99" s="1314">
        <f t="shared" si="88"/>
        <v>3.8107380648817107E-2</v>
      </c>
      <c r="X99" s="1312">
        <f t="shared" si="88"/>
        <v>4.0141753275606089E-2</v>
      </c>
      <c r="Y99" s="1315">
        <f t="shared" si="88"/>
        <v>3.9704900084873866E-2</v>
      </c>
      <c r="Z99" s="1313">
        <f t="shared" si="88"/>
        <v>0.04</v>
      </c>
      <c r="AA99" s="1312">
        <f t="shared" si="88"/>
        <v>3.5000000000000003E-2</v>
      </c>
      <c r="AB99" s="1312">
        <f t="shared" si="88"/>
        <v>3.5000000000000003E-2</v>
      </c>
      <c r="AC99" s="1312">
        <f t="shared" si="88"/>
        <v>3.5000000000000003E-2</v>
      </c>
      <c r="AD99" s="1312">
        <f t="shared" si="88"/>
        <v>3.5000000000000003E-2</v>
      </c>
      <c r="AE99" s="1291"/>
      <c r="AF99" s="1312"/>
      <c r="AG99" s="1312">
        <f t="shared" ref="AG99:AM101" si="89">+AG94/AG9</f>
        <v>4.1192111539395601E-2</v>
      </c>
      <c r="AH99" s="1312">
        <f t="shared" si="89"/>
        <v>4.0101815953522912E-2</v>
      </c>
      <c r="AI99" s="1312">
        <f t="shared" si="89"/>
        <v>3.5729578334819136E-2</v>
      </c>
      <c r="AJ99" s="1312">
        <f t="shared" si="89"/>
        <v>3.6908828514745876E-2</v>
      </c>
      <c r="AK99" s="1315">
        <f t="shared" si="89"/>
        <v>3.6402749027509909E-2</v>
      </c>
      <c r="AL99" s="1312">
        <f t="shared" si="89"/>
        <v>3.9536011297089196E-2</v>
      </c>
      <c r="AM99" s="1312">
        <f t="shared" si="89"/>
        <v>3.500000000000001E-2</v>
      </c>
    </row>
    <row r="100" spans="1:39" s="1317" customFormat="1" ht="17.25" customHeight="1" x14ac:dyDescent="0.35">
      <c r="A100" s="1316" t="str">
        <f>+A95</f>
        <v>STER</v>
      </c>
      <c r="B100" s="1290"/>
      <c r="C100" s="1318"/>
      <c r="D100" s="1318"/>
      <c r="E100" s="1318"/>
      <c r="F100" s="1319"/>
      <c r="G100" s="1346">
        <f t="shared" ref="G100:AD100" si="90">+G95/G10</f>
        <v>4.7748291113791717E-2</v>
      </c>
      <c r="H100" s="1320">
        <f t="shared" si="90"/>
        <v>4.3422790755439131E-2</v>
      </c>
      <c r="I100" s="1320">
        <f t="shared" si="90"/>
        <v>3.0092948862394709E-2</v>
      </c>
      <c r="J100" s="1321">
        <f t="shared" si="90"/>
        <v>2.6590756813249166E-2</v>
      </c>
      <c r="K100" s="1320">
        <f t="shared" si="90"/>
        <v>3.0027983066657098E-2</v>
      </c>
      <c r="L100" s="1320">
        <f t="shared" si="90"/>
        <v>3.2072830889736892E-2</v>
      </c>
      <c r="M100" s="1320">
        <f t="shared" si="90"/>
        <v>3.132221023018808E-2</v>
      </c>
      <c r="N100" s="1321">
        <f t="shared" si="90"/>
        <v>2.5848216599761571E-2</v>
      </c>
      <c r="O100" s="1320">
        <f t="shared" si="90"/>
        <v>2.7280020002917092E-2</v>
      </c>
      <c r="P100" s="1320">
        <f t="shared" si="90"/>
        <v>2.7457427611130833E-2</v>
      </c>
      <c r="Q100" s="1320">
        <f t="shared" si="90"/>
        <v>1.8685492651744365E-2</v>
      </c>
      <c r="R100" s="1321">
        <f t="shared" si="90"/>
        <v>3.2844868173258011E-2</v>
      </c>
      <c r="S100" s="1322">
        <f t="shared" si="90"/>
        <v>2.9212267255709138E-2</v>
      </c>
      <c r="T100" s="1320">
        <f t="shared" si="90"/>
        <v>2.0815824859231873E-2</v>
      </c>
      <c r="U100" s="1320">
        <f t="shared" si="90"/>
        <v>3.0686840268932137E-2</v>
      </c>
      <c r="V100" s="1320">
        <f t="shared" si="90"/>
        <v>3.3178684421778334E-2</v>
      </c>
      <c r="W100" s="1322">
        <f t="shared" si="90"/>
        <v>3.0215216210839845E-2</v>
      </c>
      <c r="X100" s="1320">
        <f t="shared" si="90"/>
        <v>2.8564589483762871E-2</v>
      </c>
      <c r="Y100" s="1323">
        <f t="shared" si="90"/>
        <v>2.6598465473145781E-2</v>
      </c>
      <c r="Z100" s="1321">
        <f t="shared" si="90"/>
        <v>2.8990623084782684E-2</v>
      </c>
      <c r="AA100" s="1320">
        <f t="shared" si="90"/>
        <v>3.0215216210839845E-2</v>
      </c>
      <c r="AB100" s="1320">
        <f t="shared" si="90"/>
        <v>2.8564589483762871E-2</v>
      </c>
      <c r="AC100" s="1320">
        <f t="shared" si="90"/>
        <v>2.6598465473145781E-2</v>
      </c>
      <c r="AD100" s="1320">
        <f t="shared" si="90"/>
        <v>2.8990623084782684E-2</v>
      </c>
      <c r="AE100" s="1318"/>
      <c r="AF100" s="1320"/>
      <c r="AG100" s="1320">
        <f t="shared" si="89"/>
        <v>6.4146448029391956E-2</v>
      </c>
      <c r="AH100" s="1320">
        <f t="shared" si="89"/>
        <v>3.6343806862905316E-2</v>
      </c>
      <c r="AI100" s="1320">
        <f t="shared" si="89"/>
        <v>2.9746807834437377E-2</v>
      </c>
      <c r="AJ100" s="1320">
        <f t="shared" si="89"/>
        <v>2.632690908237283E-2</v>
      </c>
      <c r="AK100" s="1323">
        <f t="shared" si="89"/>
        <v>2.829470290700906E-2</v>
      </c>
      <c r="AL100" s="1320">
        <f t="shared" si="89"/>
        <v>2.8562207042855364E-2</v>
      </c>
      <c r="AM100" s="1320">
        <f t="shared" si="89"/>
        <v>2.8551765493387758E-2</v>
      </c>
    </row>
    <row r="101" spans="1:39" ht="17.25" customHeight="1" x14ac:dyDescent="0.35">
      <c r="A101" s="1331" t="str">
        <f>+A96</f>
        <v>PF Capex</v>
      </c>
      <c r="B101" s="1274"/>
      <c r="C101" s="1291"/>
      <c r="D101" s="1291"/>
      <c r="E101" s="1291"/>
      <c r="F101" s="1292"/>
      <c r="G101" s="1332">
        <f t="shared" ref="G101:AD101" si="91">+G96/G11</f>
        <v>4.738179527832679E-2</v>
      </c>
      <c r="H101" s="1312">
        <f t="shared" si="91"/>
        <v>4.6279266805810994E-2</v>
      </c>
      <c r="I101" s="1312">
        <f t="shared" si="91"/>
        <v>3.4542769231736901E-2</v>
      </c>
      <c r="J101" s="1313">
        <f t="shared" si="91"/>
        <v>2.9002204195584396E-2</v>
      </c>
      <c r="K101" s="1312">
        <f t="shared" si="91"/>
        <v>3.5451665193044504E-2</v>
      </c>
      <c r="L101" s="1312">
        <f t="shared" si="91"/>
        <v>3.5672474368105722E-2</v>
      </c>
      <c r="M101" s="1312">
        <f t="shared" si="91"/>
        <v>3.327014767233958E-2</v>
      </c>
      <c r="N101" s="1313">
        <f t="shared" si="91"/>
        <v>2.8337921229746134E-2</v>
      </c>
      <c r="O101" s="1312">
        <f t="shared" si="91"/>
        <v>3.4115222349961893E-2</v>
      </c>
      <c r="P101" s="1312">
        <f t="shared" si="91"/>
        <v>3.3685208472511489E-2</v>
      </c>
      <c r="Q101" s="1312">
        <f t="shared" si="91"/>
        <v>2.6867512984689791E-2</v>
      </c>
      <c r="R101" s="1313">
        <f t="shared" si="91"/>
        <v>3.255558605544881E-2</v>
      </c>
      <c r="S101" s="1314">
        <f t="shared" si="91"/>
        <v>3.2052402239045756E-2</v>
      </c>
      <c r="T101" s="1312">
        <f t="shared" si="91"/>
        <v>2.934263865488064E-2</v>
      </c>
      <c r="U101" s="1312">
        <f t="shared" si="91"/>
        <v>3.4182133200325517E-2</v>
      </c>
      <c r="V101" s="1312">
        <f t="shared" si="91"/>
        <v>3.427084397464366E-2</v>
      </c>
      <c r="W101" s="1314">
        <f t="shared" si="91"/>
        <v>3.3977181604603071E-2</v>
      </c>
      <c r="X101" s="1312">
        <f t="shared" si="91"/>
        <v>3.4112923749720837E-2</v>
      </c>
      <c r="Y101" s="1315">
        <f t="shared" si="91"/>
        <v>3.3211781490500962E-2</v>
      </c>
      <c r="Z101" s="1313">
        <f t="shared" si="91"/>
        <v>3.4936315308525451E-2</v>
      </c>
      <c r="AA101" s="1312">
        <f t="shared" si="91"/>
        <v>3.2518601520623261E-2</v>
      </c>
      <c r="AB101" s="1312">
        <f t="shared" si="91"/>
        <v>3.1671534165534539E-2</v>
      </c>
      <c r="AC101" s="1312">
        <f t="shared" si="91"/>
        <v>3.0857180300984711E-2</v>
      </c>
      <c r="AD101" s="1312">
        <f t="shared" si="91"/>
        <v>3.2235119523024179E-2</v>
      </c>
      <c r="AE101" s="1291"/>
      <c r="AF101" s="1312"/>
      <c r="AG101" s="1312">
        <f t="shared" si="89"/>
        <v>5.2849238509296216E-2</v>
      </c>
      <c r="AH101" s="1312">
        <f t="shared" si="89"/>
        <v>3.8330302138710429E-2</v>
      </c>
      <c r="AI101" s="1312">
        <f t="shared" si="89"/>
        <v>3.2893731183248294E-2</v>
      </c>
      <c r="AJ101" s="1312">
        <f t="shared" si="89"/>
        <v>3.17629637146001E-2</v>
      </c>
      <c r="AK101" s="1315">
        <f t="shared" si="89"/>
        <v>3.2469305332812899E-2</v>
      </c>
      <c r="AL101" s="1312">
        <f t="shared" si="89"/>
        <v>3.405612261903241E-2</v>
      </c>
      <c r="AM101" s="1312">
        <f t="shared" si="89"/>
        <v>3.1798578321424464E-2</v>
      </c>
    </row>
    <row r="102" spans="1:39" ht="17.25" customHeight="1" x14ac:dyDescent="0.35">
      <c r="A102" s="1301"/>
      <c r="B102" s="1274"/>
      <c r="C102" s="1291"/>
      <c r="D102" s="1291"/>
      <c r="E102" s="1291"/>
      <c r="F102" s="1292"/>
      <c r="G102" s="1291"/>
      <c r="H102" s="1291"/>
      <c r="I102" s="1291"/>
      <c r="J102" s="1292"/>
      <c r="K102" s="1291"/>
      <c r="L102" s="1291"/>
      <c r="M102" s="1291"/>
      <c r="N102" s="1292"/>
      <c r="O102" s="1291"/>
      <c r="P102" s="1291"/>
      <c r="Q102" s="1291"/>
      <c r="R102" s="1292"/>
      <c r="S102" s="1293"/>
      <c r="T102" s="1291"/>
      <c r="U102" s="1291"/>
      <c r="V102" s="1291"/>
      <c r="W102" s="1293"/>
      <c r="X102" s="1291"/>
      <c r="Y102" s="1294"/>
      <c r="Z102" s="1292"/>
      <c r="AA102" s="1291"/>
      <c r="AB102" s="1291"/>
      <c r="AC102" s="1291"/>
      <c r="AD102" s="1291"/>
      <c r="AE102" s="1291"/>
      <c r="AF102" s="1291"/>
      <c r="AG102" s="1291"/>
      <c r="AH102" s="1291"/>
      <c r="AI102" s="1291"/>
      <c r="AJ102" s="1291"/>
      <c r="AK102" s="1294"/>
    </row>
    <row r="103" spans="1:39" ht="17.25" customHeight="1" x14ac:dyDescent="0.35">
      <c r="A103" s="1317" t="s">
        <v>183</v>
      </c>
      <c r="C103" s="1291"/>
      <c r="D103" s="1291"/>
      <c r="E103" s="1291"/>
      <c r="F103" s="1292"/>
      <c r="G103" s="1291"/>
      <c r="H103" s="1291"/>
      <c r="I103" s="1291"/>
      <c r="J103" s="1292"/>
      <c r="K103" s="1291"/>
      <c r="L103" s="1291"/>
      <c r="M103" s="1291"/>
      <c r="N103" s="1292"/>
      <c r="O103" s="1291"/>
      <c r="P103" s="1291"/>
      <c r="Q103" s="1291"/>
      <c r="R103" s="1292"/>
      <c r="S103" s="1293"/>
      <c r="T103" s="1291"/>
      <c r="U103" s="1291"/>
      <c r="V103" s="1291"/>
      <c r="W103" s="1293"/>
      <c r="X103" s="1291"/>
      <c r="Y103" s="1294"/>
      <c r="Z103" s="1292"/>
      <c r="AA103" s="1291"/>
      <c r="AB103" s="1291"/>
      <c r="AC103" s="1291"/>
      <c r="AD103" s="1291"/>
      <c r="AE103" s="1280"/>
      <c r="AF103" s="1291"/>
      <c r="AG103" s="1291"/>
      <c r="AH103" s="1291"/>
      <c r="AI103" s="1291"/>
      <c r="AJ103" s="1291"/>
      <c r="AK103" s="1294"/>
    </row>
    <row r="104" spans="1:39" ht="17.25" customHeight="1" x14ac:dyDescent="0.35">
      <c r="A104" s="1272" t="str">
        <f>+A94</f>
        <v>FA</v>
      </c>
      <c r="C104" s="1291"/>
      <c r="D104" s="1291"/>
      <c r="E104" s="1291"/>
      <c r="F104" s="1292"/>
      <c r="G104" s="1291">
        <f t="shared" ref="G104:AD104" si="92">+G79-G94</f>
        <v>17.746000000000002</v>
      </c>
      <c r="H104" s="1291">
        <f t="shared" si="92"/>
        <v>26.023000000000003</v>
      </c>
      <c r="I104" s="1291">
        <f t="shared" si="92"/>
        <v>37.509000000000007</v>
      </c>
      <c r="J104" s="1292">
        <f t="shared" si="92"/>
        <v>39.249999999999993</v>
      </c>
      <c r="K104" s="1291">
        <f t="shared" si="92"/>
        <v>30.590000000000007</v>
      </c>
      <c r="L104" s="1291">
        <f t="shared" si="92"/>
        <v>46.847999999999999</v>
      </c>
      <c r="M104" s="1291">
        <f t="shared" si="92"/>
        <v>55.853999999999999</v>
      </c>
      <c r="N104" s="1292">
        <f t="shared" si="92"/>
        <v>58.022000000000006</v>
      </c>
      <c r="O104" s="1291">
        <f t="shared" si="92"/>
        <v>43.950999999999993</v>
      </c>
      <c r="P104" s="1291">
        <f t="shared" si="92"/>
        <v>50.820999999999998</v>
      </c>
      <c r="Q104" s="1291">
        <f t="shared" si="92"/>
        <v>55.001000000000005</v>
      </c>
      <c r="R104" s="1292">
        <f t="shared" si="92"/>
        <v>61.384</v>
      </c>
      <c r="S104" s="1293">
        <f t="shared" si="92"/>
        <v>40.366999999999997</v>
      </c>
      <c r="T104" s="1291">
        <f t="shared" si="92"/>
        <v>45.308999999999997</v>
      </c>
      <c r="U104" s="1291">
        <f t="shared" si="92"/>
        <v>52.521000000000001</v>
      </c>
      <c r="V104" s="1291">
        <f t="shared" si="92"/>
        <v>56.29099999999999</v>
      </c>
      <c r="W104" s="1293">
        <f t="shared" si="92"/>
        <v>35.350999999999999</v>
      </c>
      <c r="X104" s="1291">
        <f t="shared" si="92"/>
        <v>43.305</v>
      </c>
      <c r="Y104" s="1294">
        <f t="shared" si="92"/>
        <v>51.140000000000008</v>
      </c>
      <c r="Z104" s="1292">
        <f t="shared" si="92"/>
        <v>56.984094048546673</v>
      </c>
      <c r="AA104" s="1291">
        <f t="shared" si="92"/>
        <v>40.771792499052069</v>
      </c>
      <c r="AB104" s="1291">
        <f t="shared" si="92"/>
        <v>49.332677253823192</v>
      </c>
      <c r="AC104" s="1291">
        <f t="shared" si="92"/>
        <v>57.335378148719002</v>
      </c>
      <c r="AD104" s="1291">
        <f t="shared" si="92"/>
        <v>62.966186198136633</v>
      </c>
      <c r="AE104" s="1280"/>
      <c r="AF104" s="1291"/>
      <c r="AG104" s="1291">
        <f t="shared" ref="AG104:AM106" si="93">+AG79-AG94</f>
        <v>102.712</v>
      </c>
      <c r="AH104" s="1291">
        <f t="shared" si="93"/>
        <v>120.52799999999999</v>
      </c>
      <c r="AI104" s="1291">
        <f t="shared" si="93"/>
        <v>191.31399999999999</v>
      </c>
      <c r="AJ104" s="1291">
        <f t="shared" si="93"/>
        <v>211.15700000000004</v>
      </c>
      <c r="AK104" s="1294">
        <f t="shared" si="93"/>
        <v>194.488</v>
      </c>
      <c r="AL104" s="1291">
        <f t="shared" si="93"/>
        <v>186.78009404854669</v>
      </c>
      <c r="AM104" s="1291">
        <f t="shared" si="93"/>
        <v>210.40603409973087</v>
      </c>
    </row>
    <row r="105" spans="1:39" s="1295" customFormat="1" ht="17.25" customHeight="1" x14ac:dyDescent="0.65">
      <c r="A105" s="1272" t="str">
        <f>+A95</f>
        <v>STER</v>
      </c>
      <c r="C105" s="1296"/>
      <c r="D105" s="1296"/>
      <c r="E105" s="1296"/>
      <c r="F105" s="1297"/>
      <c r="G105" s="1296">
        <f t="shared" ref="G105:AD105" si="94">+G80-G95</f>
        <v>21.345200000000002</v>
      </c>
      <c r="H105" s="1296">
        <f t="shared" si="94"/>
        <v>9.4513999999999996</v>
      </c>
      <c r="I105" s="1296">
        <f t="shared" si="94"/>
        <v>26.29379999999999</v>
      </c>
      <c r="J105" s="1297">
        <f t="shared" si="94"/>
        <v>22.776000000000007</v>
      </c>
      <c r="K105" s="1296">
        <f t="shared" si="94"/>
        <v>31.719899999999999</v>
      </c>
      <c r="L105" s="1296">
        <f t="shared" si="94"/>
        <v>41.166899999999998</v>
      </c>
      <c r="M105" s="1296">
        <f t="shared" si="94"/>
        <v>40.880600000000001</v>
      </c>
      <c r="N105" s="1297">
        <f t="shared" si="94"/>
        <v>34.216999999999999</v>
      </c>
      <c r="O105" s="1296">
        <f t="shared" si="94"/>
        <v>37.291000000000004</v>
      </c>
      <c r="P105" s="1296">
        <f t="shared" si="94"/>
        <v>44.804000000000002</v>
      </c>
      <c r="Q105" s="1296">
        <f t="shared" si="94"/>
        <v>43.081000000000003</v>
      </c>
      <c r="R105" s="1297">
        <f t="shared" si="94"/>
        <v>29.334999999999994</v>
      </c>
      <c r="S105" s="1298">
        <f t="shared" si="94"/>
        <v>35.21</v>
      </c>
      <c r="T105" s="1296">
        <f t="shared" si="94"/>
        <v>36.675999999999995</v>
      </c>
      <c r="U105" s="1296">
        <f t="shared" si="94"/>
        <v>32.231999999999999</v>
      </c>
      <c r="V105" s="1296">
        <f t="shared" si="94"/>
        <v>25.894000000000005</v>
      </c>
      <c r="W105" s="1298">
        <f t="shared" si="94"/>
        <v>27.889999999999997</v>
      </c>
      <c r="X105" s="1296">
        <f t="shared" si="94"/>
        <v>35.555999999999997</v>
      </c>
      <c r="Y105" s="1487">
        <f t="shared" si="94"/>
        <v>35.088999999999992</v>
      </c>
      <c r="Z105" s="1297">
        <f t="shared" si="94"/>
        <v>26.205622812777069</v>
      </c>
      <c r="AA105" s="1296">
        <f t="shared" si="94"/>
        <v>29.517958011721188</v>
      </c>
      <c r="AB105" s="1296">
        <f t="shared" si="94"/>
        <v>37.595797375092651</v>
      </c>
      <c r="AC105" s="1296">
        <f t="shared" si="94"/>
        <v>39.526852403956546</v>
      </c>
      <c r="AD105" s="1296">
        <f t="shared" si="94"/>
        <v>31.334550352845845</v>
      </c>
      <c r="AE105" s="1300"/>
      <c r="AF105" s="1296"/>
      <c r="AG105" s="1296">
        <f t="shared" si="93"/>
        <v>85.592899999999986</v>
      </c>
      <c r="AH105" s="1296">
        <f t="shared" si="93"/>
        <v>79.866399999999999</v>
      </c>
      <c r="AI105" s="1296">
        <f t="shared" si="93"/>
        <v>147.98440000000002</v>
      </c>
      <c r="AJ105" s="1296">
        <f t="shared" si="93"/>
        <v>154.511</v>
      </c>
      <c r="AK105" s="1299">
        <f t="shared" si="93"/>
        <v>130.012</v>
      </c>
      <c r="AL105" s="1296">
        <f t="shared" si="93"/>
        <v>124.74062281277705</v>
      </c>
      <c r="AM105" s="1296">
        <f t="shared" si="93"/>
        <v>137.97515814361623</v>
      </c>
    </row>
    <row r="106" spans="1:39" s="1307" customFormat="1" ht="17.25" customHeight="1" x14ac:dyDescent="0.35">
      <c r="A106" s="1306" t="s">
        <v>184</v>
      </c>
      <c r="C106" s="1280"/>
      <c r="D106" s="1280"/>
      <c r="E106" s="1280"/>
      <c r="F106" s="1308"/>
      <c r="G106" s="1280">
        <f t="shared" ref="G106:AD106" si="95">+G81-G96</f>
        <v>39.091200000000001</v>
      </c>
      <c r="H106" s="1280">
        <f t="shared" si="95"/>
        <v>35.474400000000003</v>
      </c>
      <c r="I106" s="1280">
        <f t="shared" si="95"/>
        <v>63.802799999999991</v>
      </c>
      <c r="J106" s="1308">
        <f t="shared" si="95"/>
        <v>62.026000000000003</v>
      </c>
      <c r="K106" s="1280">
        <f t="shared" si="95"/>
        <v>62.309900000000006</v>
      </c>
      <c r="L106" s="1280">
        <f t="shared" si="95"/>
        <v>88.014899999999997</v>
      </c>
      <c r="M106" s="1280">
        <f t="shared" si="95"/>
        <v>96.7346</v>
      </c>
      <c r="N106" s="1308">
        <f t="shared" si="95"/>
        <v>92.23899999999999</v>
      </c>
      <c r="O106" s="1280">
        <f t="shared" si="95"/>
        <v>81.24199999999999</v>
      </c>
      <c r="P106" s="1280">
        <f t="shared" si="95"/>
        <v>95.625</v>
      </c>
      <c r="Q106" s="1280">
        <f t="shared" si="95"/>
        <v>98.082000000000008</v>
      </c>
      <c r="R106" s="1308">
        <f t="shared" si="95"/>
        <v>90.718999999999994</v>
      </c>
      <c r="S106" s="1309">
        <f t="shared" si="95"/>
        <v>75.576999999999998</v>
      </c>
      <c r="T106" s="1280">
        <f t="shared" si="95"/>
        <v>81.984999999999985</v>
      </c>
      <c r="U106" s="1280">
        <f t="shared" si="95"/>
        <v>84.753</v>
      </c>
      <c r="V106" s="1280">
        <f t="shared" si="95"/>
        <v>82.185000000000002</v>
      </c>
      <c r="W106" s="1309">
        <f t="shared" si="95"/>
        <v>63.240999999999993</v>
      </c>
      <c r="X106" s="1280">
        <f t="shared" si="95"/>
        <v>78.861000000000004</v>
      </c>
      <c r="Y106" s="1310">
        <f t="shared" si="95"/>
        <v>86.229000000000013</v>
      </c>
      <c r="Z106" s="1308">
        <f t="shared" si="95"/>
        <v>83.189716861323745</v>
      </c>
      <c r="AA106" s="1280">
        <f t="shared" si="95"/>
        <v>70.289750510773246</v>
      </c>
      <c r="AB106" s="1280">
        <f t="shared" si="95"/>
        <v>86.928474628915836</v>
      </c>
      <c r="AC106" s="1280">
        <f t="shared" si="95"/>
        <v>96.862230552675555</v>
      </c>
      <c r="AD106" s="1280">
        <f t="shared" si="95"/>
        <v>94.300736550982478</v>
      </c>
      <c r="AE106" s="1280"/>
      <c r="AF106" s="1280"/>
      <c r="AG106" s="1280">
        <f t="shared" si="93"/>
        <v>188.30489999999998</v>
      </c>
      <c r="AH106" s="1280">
        <f t="shared" si="93"/>
        <v>200.39440000000002</v>
      </c>
      <c r="AI106" s="1280">
        <f t="shared" si="93"/>
        <v>339.29840000000002</v>
      </c>
      <c r="AJ106" s="1280">
        <f t="shared" si="93"/>
        <v>365.66800000000001</v>
      </c>
      <c r="AK106" s="1310">
        <f t="shared" si="93"/>
        <v>324.5</v>
      </c>
      <c r="AL106" s="1280">
        <f t="shared" si="93"/>
        <v>311.52071686132371</v>
      </c>
      <c r="AM106" s="1280">
        <f t="shared" si="93"/>
        <v>348.38119224334707</v>
      </c>
    </row>
    <row r="107" spans="1:39" s="1307" customFormat="1" ht="17.25" customHeight="1" x14ac:dyDescent="0.35">
      <c r="A107" s="1306"/>
      <c r="C107" s="1280"/>
      <c r="D107" s="1280"/>
      <c r="E107" s="1280"/>
      <c r="F107" s="1308"/>
      <c r="G107" s="1280"/>
      <c r="H107" s="1280"/>
      <c r="I107" s="1280"/>
      <c r="J107" s="1308"/>
      <c r="K107" s="1280"/>
      <c r="L107" s="1280"/>
      <c r="M107" s="1280"/>
      <c r="N107" s="1308"/>
      <c r="O107" s="1280"/>
      <c r="P107" s="1280"/>
      <c r="Q107" s="1280"/>
      <c r="R107" s="1308"/>
      <c r="S107" s="1309"/>
      <c r="T107" s="1280"/>
      <c r="U107" s="1280"/>
      <c r="V107" s="1280"/>
      <c r="W107" s="1309"/>
      <c r="X107" s="1280"/>
      <c r="Y107" s="1310"/>
      <c r="Z107" s="1308"/>
      <c r="AA107" s="1280"/>
      <c r="AB107" s="1280"/>
      <c r="AC107" s="1280"/>
      <c r="AD107" s="1280"/>
      <c r="AE107" s="1280"/>
      <c r="AF107" s="1280"/>
      <c r="AG107" s="1280"/>
      <c r="AH107" s="1280"/>
      <c r="AI107" s="1280"/>
      <c r="AJ107" s="1280"/>
      <c r="AK107" s="1310"/>
      <c r="AL107" s="1280"/>
      <c r="AM107" s="1280"/>
    </row>
    <row r="108" spans="1:39" ht="17.25" customHeight="1" x14ac:dyDescent="0.35">
      <c r="A108" s="1311" t="s">
        <v>121</v>
      </c>
      <c r="C108" s="1291"/>
      <c r="D108" s="1291"/>
      <c r="E108" s="1291"/>
      <c r="F108" s="1292"/>
      <c r="G108" s="1312"/>
      <c r="H108" s="1312"/>
      <c r="I108" s="1312"/>
      <c r="J108" s="1313"/>
      <c r="K108" s="1312"/>
      <c r="L108" s="1312"/>
      <c r="M108" s="1312"/>
      <c r="N108" s="1313"/>
      <c r="O108" s="1312"/>
      <c r="P108" s="1312"/>
      <c r="Q108" s="1312"/>
      <c r="R108" s="1313"/>
      <c r="S108" s="1314"/>
      <c r="T108" s="1312"/>
      <c r="U108" s="1312"/>
      <c r="V108" s="1312"/>
      <c r="W108" s="1314"/>
      <c r="X108" s="1312"/>
      <c r="Y108" s="1315"/>
      <c r="Z108" s="1313"/>
      <c r="AA108" s="1312"/>
      <c r="AB108" s="1312"/>
      <c r="AC108" s="1312"/>
      <c r="AD108" s="1312"/>
      <c r="AE108" s="1291"/>
      <c r="AF108" s="1312"/>
      <c r="AG108" s="1312"/>
      <c r="AH108" s="1312"/>
      <c r="AI108" s="1312"/>
      <c r="AJ108" s="1312"/>
      <c r="AK108" s="1315"/>
      <c r="AL108" s="1312"/>
      <c r="AM108" s="1312"/>
    </row>
    <row r="109" spans="1:39" ht="17.25" customHeight="1" x14ac:dyDescent="0.35">
      <c r="A109" s="1316" t="str">
        <f>+A104</f>
        <v>FA</v>
      </c>
      <c r="C109" s="1291"/>
      <c r="D109" s="1291"/>
      <c r="E109" s="1291"/>
      <c r="F109" s="1292"/>
      <c r="G109" s="1312"/>
      <c r="H109" s="1312"/>
      <c r="I109" s="1312"/>
      <c r="J109" s="1313"/>
      <c r="K109" s="1312">
        <f t="shared" ref="K109:T111" si="96">+K104/G104-1</f>
        <v>0.72376873661670249</v>
      </c>
      <c r="L109" s="1312">
        <f t="shared" si="96"/>
        <v>0.80025362179610315</v>
      </c>
      <c r="M109" s="1312">
        <f t="shared" si="96"/>
        <v>0.48908262017115867</v>
      </c>
      <c r="N109" s="1313">
        <f t="shared" si="96"/>
        <v>0.4782675159235672</v>
      </c>
      <c r="O109" s="1312">
        <f t="shared" si="96"/>
        <v>0.43677672441974447</v>
      </c>
      <c r="P109" s="1312">
        <f t="shared" si="96"/>
        <v>8.4806181693989124E-2</v>
      </c>
      <c r="Q109" s="1312">
        <f t="shared" si="96"/>
        <v>-1.5271959036058158E-2</v>
      </c>
      <c r="R109" s="1313">
        <f t="shared" si="96"/>
        <v>5.7943538657750482E-2</v>
      </c>
      <c r="S109" s="1314">
        <f t="shared" si="96"/>
        <v>-8.1545357329753543E-2</v>
      </c>
      <c r="T109" s="1312">
        <f t="shared" si="96"/>
        <v>-0.10845910155250782</v>
      </c>
      <c r="U109" s="1312">
        <f t="shared" ref="U109:AD111" si="97">+U104/Q104-1</f>
        <v>-4.509008927110425E-2</v>
      </c>
      <c r="V109" s="1312">
        <f t="shared" si="97"/>
        <v>-8.2969503453668936E-2</v>
      </c>
      <c r="W109" s="1314">
        <f t="shared" si="97"/>
        <v>-0.12425991527733049</v>
      </c>
      <c r="X109" s="1312">
        <f t="shared" si="97"/>
        <v>-4.4229623253658201E-2</v>
      </c>
      <c r="Y109" s="1315">
        <f t="shared" si="97"/>
        <v>-2.6294244207078932E-2</v>
      </c>
      <c r="Z109" s="1313">
        <f t="shared" si="97"/>
        <v>1.2312697385846505E-2</v>
      </c>
      <c r="AA109" s="1312">
        <f t="shared" si="97"/>
        <v>0.1533419846412285</v>
      </c>
      <c r="AB109" s="1312">
        <f t="shared" si="97"/>
        <v>0.13919125398506393</v>
      </c>
      <c r="AC109" s="1312">
        <f t="shared" si="97"/>
        <v>0.12114544678762207</v>
      </c>
      <c r="AD109" s="1312">
        <f t="shared" si="97"/>
        <v>0.10497827945625682</v>
      </c>
      <c r="AE109" s="1291"/>
      <c r="AF109" s="1312"/>
      <c r="AG109" s="1312"/>
      <c r="AH109" s="1312">
        <f t="shared" ref="AH109:AM111" si="98">+AH104/AG104-1</f>
        <v>0.17345587662590534</v>
      </c>
      <c r="AI109" s="1312">
        <f t="shared" si="98"/>
        <v>0.58729921677950347</v>
      </c>
      <c r="AJ109" s="1312">
        <f t="shared" si="98"/>
        <v>0.10371953960504743</v>
      </c>
      <c r="AK109" s="1315">
        <f t="shared" si="98"/>
        <v>-7.8941261715216759E-2</v>
      </c>
      <c r="AL109" s="1312">
        <f t="shared" si="98"/>
        <v>-3.9631781659810961E-2</v>
      </c>
      <c r="AM109" s="1312">
        <f t="shared" si="98"/>
        <v>0.12649067434907435</v>
      </c>
    </row>
    <row r="110" spans="1:39" s="1317" customFormat="1" ht="17.25" customHeight="1" x14ac:dyDescent="0.35">
      <c r="A110" s="1316" t="str">
        <f>+A105</f>
        <v>STER</v>
      </c>
      <c r="C110" s="1318"/>
      <c r="D110" s="1318"/>
      <c r="E110" s="1318"/>
      <c r="F110" s="1319"/>
      <c r="G110" s="1320"/>
      <c r="H110" s="1320"/>
      <c r="I110" s="1320"/>
      <c r="J110" s="1321"/>
      <c r="K110" s="1320">
        <f t="shared" si="96"/>
        <v>0.48604370069149017</v>
      </c>
      <c r="L110" s="1320">
        <f t="shared" si="96"/>
        <v>3.3556404342213852</v>
      </c>
      <c r="M110" s="1320">
        <f t="shared" si="96"/>
        <v>0.55476195909301884</v>
      </c>
      <c r="N110" s="1321">
        <f t="shared" si="96"/>
        <v>0.50232701088865417</v>
      </c>
      <c r="O110" s="1320">
        <f t="shared" si="96"/>
        <v>0.17563422331091849</v>
      </c>
      <c r="P110" s="1320">
        <f t="shared" si="96"/>
        <v>8.8350106517614879E-2</v>
      </c>
      <c r="Q110" s="1320">
        <f t="shared" si="96"/>
        <v>5.3825041706824228E-2</v>
      </c>
      <c r="R110" s="1321">
        <f t="shared" si="96"/>
        <v>-0.14267761638951415</v>
      </c>
      <c r="S110" s="1322">
        <f t="shared" si="96"/>
        <v>-5.5804349574964496E-2</v>
      </c>
      <c r="T110" s="1320">
        <f t="shared" si="96"/>
        <v>-0.18141237389518805</v>
      </c>
      <c r="U110" s="1320">
        <f t="shared" si="97"/>
        <v>-0.25182795199740027</v>
      </c>
      <c r="V110" s="1320">
        <f t="shared" si="97"/>
        <v>-0.11730015340037458</v>
      </c>
      <c r="W110" s="1322">
        <f t="shared" si="97"/>
        <v>-0.20789548423743265</v>
      </c>
      <c r="X110" s="1320">
        <f t="shared" si="97"/>
        <v>-3.0537681317482801E-2</v>
      </c>
      <c r="Y110" s="1323">
        <f t="shared" si="97"/>
        <v>8.8638620004963808E-2</v>
      </c>
      <c r="Z110" s="1321">
        <f t="shared" si="97"/>
        <v>1.2034556761298498E-2</v>
      </c>
      <c r="AA110" s="1320">
        <f t="shared" si="97"/>
        <v>5.8370670911480405E-2</v>
      </c>
      <c r="AB110" s="1320">
        <f t="shared" si="97"/>
        <v>5.736858406718004E-2</v>
      </c>
      <c r="AC110" s="1320">
        <f t="shared" si="97"/>
        <v>0.12647417720529375</v>
      </c>
      <c r="AD110" s="1320">
        <f t="shared" si="97"/>
        <v>0.19571858973594281</v>
      </c>
      <c r="AE110" s="1318"/>
      <c r="AF110" s="1320"/>
      <c r="AG110" s="1320"/>
      <c r="AH110" s="1320">
        <f t="shared" si="98"/>
        <v>-6.6903913759201905E-2</v>
      </c>
      <c r="AI110" s="1320">
        <f t="shared" si="98"/>
        <v>0.85289934190097494</v>
      </c>
      <c r="AJ110" s="1320">
        <f t="shared" si="98"/>
        <v>4.4103297374587846E-2</v>
      </c>
      <c r="AK110" s="1323">
        <f t="shared" si="98"/>
        <v>-0.15855829034825997</v>
      </c>
      <c r="AL110" s="1320">
        <f t="shared" si="98"/>
        <v>-4.0545312642086495E-2</v>
      </c>
      <c r="AM110" s="1320">
        <f t="shared" si="98"/>
        <v>0.10609643460497131</v>
      </c>
    </row>
    <row r="111" spans="1:39" ht="17.25" customHeight="1" x14ac:dyDescent="0.35">
      <c r="A111" s="1331" t="str">
        <f>+A106</f>
        <v>PF EBITDA - Capex pre-synergy</v>
      </c>
      <c r="C111" s="1291"/>
      <c r="D111" s="1291"/>
      <c r="E111" s="1291"/>
      <c r="F111" s="1292"/>
      <c r="G111" s="1312"/>
      <c r="H111" s="1312"/>
      <c r="I111" s="1312"/>
      <c r="J111" s="1313"/>
      <c r="K111" s="1312">
        <f t="shared" si="96"/>
        <v>0.59396232400130988</v>
      </c>
      <c r="L111" s="1312">
        <f t="shared" si="96"/>
        <v>1.4810821324673564</v>
      </c>
      <c r="M111" s="1312">
        <f t="shared" si="96"/>
        <v>0.51614976145247571</v>
      </c>
      <c r="N111" s="1313">
        <f t="shared" si="96"/>
        <v>0.48710218295553465</v>
      </c>
      <c r="O111" s="1312">
        <f t="shared" si="96"/>
        <v>0.30383775290924842</v>
      </c>
      <c r="P111" s="1312">
        <f t="shared" si="96"/>
        <v>8.6463769202714591E-2</v>
      </c>
      <c r="Q111" s="1312">
        <f t="shared" si="96"/>
        <v>1.3928832082832798E-2</v>
      </c>
      <c r="R111" s="1313">
        <f t="shared" si="96"/>
        <v>-1.6478929736879144E-2</v>
      </c>
      <c r="S111" s="1314">
        <f t="shared" si="96"/>
        <v>-6.9729942640506026E-2</v>
      </c>
      <c r="T111" s="1312">
        <f t="shared" si="96"/>
        <v>-0.14264052287581719</v>
      </c>
      <c r="U111" s="1312">
        <f t="shared" si="97"/>
        <v>-0.13589649476968257</v>
      </c>
      <c r="V111" s="1312">
        <f t="shared" si="97"/>
        <v>-9.4070701837542181E-2</v>
      </c>
      <c r="W111" s="1314">
        <f t="shared" si="97"/>
        <v>-0.16322426134935242</v>
      </c>
      <c r="X111" s="1312">
        <f t="shared" si="97"/>
        <v>-3.8104531316704104E-2</v>
      </c>
      <c r="Y111" s="1315">
        <f t="shared" si="97"/>
        <v>1.7415312732292909E-2</v>
      </c>
      <c r="Z111" s="1313">
        <f t="shared" si="97"/>
        <v>1.2225063713861894E-2</v>
      </c>
      <c r="AA111" s="1312">
        <f t="shared" si="97"/>
        <v>0.11145855553791462</v>
      </c>
      <c r="AB111" s="1312">
        <f t="shared" si="97"/>
        <v>0.10229992808759514</v>
      </c>
      <c r="AC111" s="1312">
        <f t="shared" si="97"/>
        <v>0.12331385673816864</v>
      </c>
      <c r="AD111" s="1312">
        <f t="shared" si="97"/>
        <v>0.13356241743412434</v>
      </c>
      <c r="AE111" s="1291"/>
      <c r="AF111" s="1312"/>
      <c r="AG111" s="1312"/>
      <c r="AH111" s="1312">
        <f t="shared" si="98"/>
        <v>6.4201728154710924E-2</v>
      </c>
      <c r="AI111" s="1312">
        <f t="shared" si="98"/>
        <v>0.69315310208269287</v>
      </c>
      <c r="AJ111" s="1312">
        <f t="shared" si="98"/>
        <v>7.7718020479907945E-2</v>
      </c>
      <c r="AK111" s="1315">
        <f t="shared" si="98"/>
        <v>-0.11258299878578382</v>
      </c>
      <c r="AL111" s="1312">
        <f t="shared" si="98"/>
        <v>-3.9997790874195083E-2</v>
      </c>
      <c r="AM111" s="1312">
        <f t="shared" si="98"/>
        <v>0.11832431484302264</v>
      </c>
    </row>
    <row r="112" spans="1:39" ht="17.25" customHeight="1" x14ac:dyDescent="0.35">
      <c r="A112" s="1316"/>
      <c r="C112" s="1332"/>
      <c r="D112" s="1332"/>
      <c r="E112" s="1332"/>
      <c r="F112" s="1333"/>
      <c r="G112" s="1332"/>
      <c r="H112" s="1332"/>
      <c r="I112" s="1332"/>
      <c r="J112" s="1333"/>
      <c r="K112" s="1332"/>
      <c r="L112" s="1332"/>
      <c r="M112" s="1332"/>
      <c r="N112" s="1333"/>
      <c r="O112" s="1332"/>
      <c r="P112" s="1332"/>
      <c r="Q112" s="1332"/>
      <c r="R112" s="1333"/>
      <c r="S112" s="1334"/>
      <c r="T112" s="1332"/>
      <c r="U112" s="1332"/>
      <c r="V112" s="1332"/>
      <c r="W112" s="1334"/>
      <c r="X112" s="1332"/>
      <c r="Y112" s="1335"/>
      <c r="Z112" s="1333"/>
      <c r="AA112" s="1332"/>
      <c r="AB112" s="1332"/>
      <c r="AC112" s="1332"/>
      <c r="AD112" s="1332"/>
      <c r="AE112" s="1291"/>
      <c r="AF112" s="1332"/>
      <c r="AG112" s="1332"/>
      <c r="AH112" s="1332"/>
      <c r="AI112" s="1332"/>
      <c r="AJ112" s="1332"/>
      <c r="AK112" s="1335"/>
      <c r="AL112" s="1332"/>
      <c r="AM112" s="1332"/>
    </row>
    <row r="113" spans="1:40" ht="17.25" customHeight="1" x14ac:dyDescent="0.35">
      <c r="A113" s="1311" t="s">
        <v>127</v>
      </c>
      <c r="C113" s="1291"/>
      <c r="D113" s="1291"/>
      <c r="E113" s="1291"/>
      <c r="F113" s="1292"/>
      <c r="G113" s="1312"/>
      <c r="H113" s="1312"/>
      <c r="I113" s="1312"/>
      <c r="J113" s="1313"/>
      <c r="K113" s="1312"/>
      <c r="L113" s="1312"/>
      <c r="M113" s="1312"/>
      <c r="N113" s="1313"/>
      <c r="O113" s="1312"/>
      <c r="P113" s="1312"/>
      <c r="Q113" s="1312"/>
      <c r="R113" s="1313"/>
      <c r="S113" s="1314"/>
      <c r="T113" s="1312"/>
      <c r="U113" s="1312"/>
      <c r="V113" s="1312"/>
      <c r="W113" s="1314"/>
      <c r="X113" s="1312"/>
      <c r="Y113" s="1315"/>
      <c r="Z113" s="1313"/>
      <c r="AA113" s="1312"/>
      <c r="AB113" s="1312"/>
      <c r="AC113" s="1312"/>
      <c r="AD113" s="1312"/>
      <c r="AE113" s="1291"/>
      <c r="AF113" s="1312"/>
      <c r="AG113" s="1312"/>
      <c r="AH113" s="1312"/>
      <c r="AI113" s="1312"/>
      <c r="AJ113" s="1312"/>
      <c r="AK113" s="1315"/>
      <c r="AL113" s="1312"/>
      <c r="AM113" s="1312"/>
    </row>
    <row r="114" spans="1:40" ht="17.25" customHeight="1" x14ac:dyDescent="0.35">
      <c r="A114" s="1316" t="str">
        <f>+A109</f>
        <v>FA</v>
      </c>
      <c r="C114" s="1312"/>
      <c r="D114" s="1312"/>
      <c r="E114" s="1312"/>
      <c r="F114" s="1313"/>
      <c r="G114" s="1312">
        <f t="shared" ref="G114:AD114" si="99">+G104/G9</f>
        <v>0.16010609983850452</v>
      </c>
      <c r="H114" s="1312">
        <f t="shared" si="99"/>
        <v>0.24785461887935389</v>
      </c>
      <c r="I114" s="1312">
        <f t="shared" si="99"/>
        <v>0.27423269824094526</v>
      </c>
      <c r="J114" s="1313">
        <f t="shared" si="99"/>
        <v>0.25072822976287823</v>
      </c>
      <c r="K114" s="1312">
        <f t="shared" si="99"/>
        <v>0.23161959566896348</v>
      </c>
      <c r="L114" s="1312">
        <f t="shared" si="99"/>
        <v>0.26796929518492674</v>
      </c>
      <c r="M114" s="1312">
        <f t="shared" si="99"/>
        <v>0.28959853163060556</v>
      </c>
      <c r="N114" s="1313">
        <f t="shared" si="99"/>
        <v>0.27300359475279001</v>
      </c>
      <c r="O114" s="1312">
        <f t="shared" si="99"/>
        <v>0.23146602345679659</v>
      </c>
      <c r="P114" s="1312">
        <f t="shared" si="99"/>
        <v>0.25213707016734388</v>
      </c>
      <c r="Q114" s="1312">
        <f t="shared" si="99"/>
        <v>0.26701329216548703</v>
      </c>
      <c r="R114" s="1313">
        <f t="shared" si="99"/>
        <v>0.28873680001881513</v>
      </c>
      <c r="S114" s="1314">
        <f t="shared" si="99"/>
        <v>0.22998518687329075</v>
      </c>
      <c r="T114" s="1312">
        <f t="shared" si="99"/>
        <v>0.24449720745757222</v>
      </c>
      <c r="U114" s="1312">
        <f t="shared" si="99"/>
        <v>0.26212792717254596</v>
      </c>
      <c r="V114" s="1312">
        <f t="shared" si="99"/>
        <v>0.27789516296245098</v>
      </c>
      <c r="W114" s="1314">
        <f t="shared" si="99"/>
        <v>0.20866388062520658</v>
      </c>
      <c r="X114" s="1312">
        <f t="shared" si="99"/>
        <v>0.23465694190066433</v>
      </c>
      <c r="Y114" s="1315">
        <f t="shared" si="99"/>
        <v>0.25683134206178221</v>
      </c>
      <c r="Z114" s="1313">
        <f t="shared" si="99"/>
        <v>0.27365854639658088</v>
      </c>
      <c r="AA114" s="1312">
        <f t="shared" si="99"/>
        <v>0.22862209820543414</v>
      </c>
      <c r="AB114" s="1312">
        <f t="shared" si="99"/>
        <v>0.25170763704303695</v>
      </c>
      <c r="AC114" s="1312">
        <f t="shared" si="99"/>
        <v>0.26798115693436908</v>
      </c>
      <c r="AD114" s="1312">
        <f t="shared" si="99"/>
        <v>0.27944734192718201</v>
      </c>
      <c r="AE114" s="1291"/>
      <c r="AF114" s="1312"/>
      <c r="AG114" s="1312">
        <f t="shared" ref="AG114:AM116" si="100">+AG104/AG9</f>
        <v>0.21319849636857655</v>
      </c>
      <c r="AH114" s="1312">
        <f t="shared" si="100"/>
        <v>0.23672209194074878</v>
      </c>
      <c r="AI114" s="1312">
        <f t="shared" si="100"/>
        <v>0.26858815518851031</v>
      </c>
      <c r="AJ114" s="1312">
        <f t="shared" si="100"/>
        <v>0.26068025228913255</v>
      </c>
      <c r="AK114" s="1315">
        <f t="shared" si="100"/>
        <v>0.25464510494775194</v>
      </c>
      <c r="AL114" s="1312">
        <f t="shared" si="100"/>
        <v>0.24533986402203631</v>
      </c>
      <c r="AM114" s="1312">
        <f t="shared" si="100"/>
        <v>0.25860923564854177</v>
      </c>
    </row>
    <row r="115" spans="1:40" s="1317" customFormat="1" ht="17.25" customHeight="1" x14ac:dyDescent="0.35">
      <c r="A115" s="1316" t="str">
        <f>+A110</f>
        <v>STER</v>
      </c>
      <c r="C115" s="1320"/>
      <c r="D115" s="1320"/>
      <c r="E115" s="1320"/>
      <c r="F115" s="1321"/>
      <c r="G115" s="1320">
        <f t="shared" ref="G115:AD115" si="101">+G105/G10</f>
        <v>0.17880646026001878</v>
      </c>
      <c r="H115" s="1320">
        <f t="shared" si="101"/>
        <v>0.10670987117679602</v>
      </c>
      <c r="I115" s="1320">
        <f t="shared" si="101"/>
        <v>0.22358236190958841</v>
      </c>
      <c r="J115" s="1321">
        <f t="shared" si="101"/>
        <v>0.17724058448304447</v>
      </c>
      <c r="K115" s="1320">
        <f t="shared" si="101"/>
        <v>0.22759489129654875</v>
      </c>
      <c r="L115" s="1320">
        <f t="shared" si="101"/>
        <v>0.2583783139184575</v>
      </c>
      <c r="M115" s="1320">
        <f t="shared" si="101"/>
        <v>0.24110240214205256</v>
      </c>
      <c r="N115" s="1321">
        <f t="shared" si="101"/>
        <v>0.19706961394697892</v>
      </c>
      <c r="O115" s="1320">
        <f t="shared" si="101"/>
        <v>0.19425228679182382</v>
      </c>
      <c r="P115" s="1320">
        <f t="shared" si="101"/>
        <v>0.21792782758000107</v>
      </c>
      <c r="Q115" s="1320">
        <f t="shared" si="101"/>
        <v>0.21616265008856042</v>
      </c>
      <c r="R115" s="1321">
        <f t="shared" si="101"/>
        <v>0.17264006591337097</v>
      </c>
      <c r="S115" s="1322">
        <f t="shared" si="101"/>
        <v>0.19640327097069291</v>
      </c>
      <c r="T115" s="1320">
        <f t="shared" si="101"/>
        <v>0.19264223884360029</v>
      </c>
      <c r="U115" s="1320">
        <f t="shared" si="101"/>
        <v>0.17850536645880177</v>
      </c>
      <c r="V115" s="1320">
        <f t="shared" si="101"/>
        <v>0.1528427067101101</v>
      </c>
      <c r="W115" s="1322">
        <f t="shared" si="101"/>
        <v>0.14994704272603615</v>
      </c>
      <c r="X115" s="1320">
        <f t="shared" si="101"/>
        <v>0.17731189659299448</v>
      </c>
      <c r="Y115" s="1323">
        <f t="shared" si="101"/>
        <v>0.17948337595907923</v>
      </c>
      <c r="Z115" s="1321">
        <f t="shared" si="101"/>
        <v>0.1477697786794317</v>
      </c>
      <c r="AA115" s="1320">
        <f t="shared" si="101"/>
        <v>0.15364371252037373</v>
      </c>
      <c r="AB115" s="1320">
        <f t="shared" si="101"/>
        <v>0.17905663779292344</v>
      </c>
      <c r="AC115" s="1320">
        <f t="shared" si="101"/>
        <v>0.18991371781866315</v>
      </c>
      <c r="AD115" s="1320">
        <f t="shared" si="101"/>
        <v>0.16318754184227632</v>
      </c>
      <c r="AE115" s="1318"/>
      <c r="AF115" s="1320"/>
      <c r="AG115" s="1320">
        <f t="shared" si="100"/>
        <v>0.17217906659939861</v>
      </c>
      <c r="AH115" s="1320">
        <f t="shared" si="100"/>
        <v>0.17589680138380442</v>
      </c>
      <c r="AI115" s="1320">
        <f t="shared" si="100"/>
        <v>0.23054695240884648</v>
      </c>
      <c r="AJ115" s="1320">
        <f t="shared" si="100"/>
        <v>0.20150577347929399</v>
      </c>
      <c r="AK115" s="1323">
        <f t="shared" si="100"/>
        <v>0.1806625534989717</v>
      </c>
      <c r="AL115" s="1320">
        <f t="shared" si="100"/>
        <v>0.16426902671122265</v>
      </c>
      <c r="AM115" s="1320">
        <f t="shared" si="100"/>
        <v>0.17198917465396335</v>
      </c>
    </row>
    <row r="116" spans="1:40" ht="17.25" customHeight="1" x14ac:dyDescent="0.35">
      <c r="A116" s="1331" t="str">
        <f>+A111</f>
        <v>PF EBITDA - Capex pre-synergy</v>
      </c>
      <c r="C116" s="1312"/>
      <c r="D116" s="1312"/>
      <c r="E116" s="1312"/>
      <c r="F116" s="1313"/>
      <c r="G116" s="1312">
        <f t="shared" ref="G116:AD116" si="102">+G106/G11</f>
        <v>0.16980301022956801</v>
      </c>
      <c r="H116" s="1312">
        <f t="shared" si="102"/>
        <v>0.18326961625095578</v>
      </c>
      <c r="I116" s="1312">
        <f t="shared" si="102"/>
        <v>0.25081659232259729</v>
      </c>
      <c r="J116" s="1313">
        <f t="shared" si="102"/>
        <v>0.21759897392467853</v>
      </c>
      <c r="K116" s="1312">
        <f t="shared" si="102"/>
        <v>0.22955312407898618</v>
      </c>
      <c r="L116" s="1312">
        <f t="shared" si="102"/>
        <v>0.26339621851002831</v>
      </c>
      <c r="M116" s="1312">
        <f t="shared" si="102"/>
        <v>0.26691002803346359</v>
      </c>
      <c r="N116" s="1313">
        <f t="shared" si="102"/>
        <v>0.23886151113136736</v>
      </c>
      <c r="O116" s="1312">
        <f t="shared" si="102"/>
        <v>0.21275726523033731</v>
      </c>
      <c r="P116" s="1312">
        <f t="shared" si="102"/>
        <v>0.23486314693284077</v>
      </c>
      <c r="Q116" s="1312">
        <f t="shared" si="102"/>
        <v>0.2420074762204375</v>
      </c>
      <c r="R116" s="1313">
        <f t="shared" si="102"/>
        <v>0.23716455563834096</v>
      </c>
      <c r="S116" s="1314">
        <f t="shared" si="102"/>
        <v>0.21301656736021465</v>
      </c>
      <c r="T116" s="1312">
        <f t="shared" si="102"/>
        <v>0.21821990476418621</v>
      </c>
      <c r="U116" s="1312">
        <f t="shared" si="102"/>
        <v>0.22248969626965584</v>
      </c>
      <c r="V116" s="1312">
        <f t="shared" si="102"/>
        <v>0.2209404857276506</v>
      </c>
      <c r="W116" s="1314">
        <f t="shared" si="102"/>
        <v>0.17793565268770312</v>
      </c>
      <c r="X116" s="1312">
        <f t="shared" si="102"/>
        <v>0.20479440315367958</v>
      </c>
      <c r="Y116" s="1315">
        <f t="shared" si="102"/>
        <v>0.21851203312562245</v>
      </c>
      <c r="Z116" s="1313">
        <f t="shared" si="102"/>
        <v>0.21575690211398607</v>
      </c>
      <c r="AA116" s="1312">
        <f t="shared" si="102"/>
        <v>0.18973815685650047</v>
      </c>
      <c r="AB116" s="1312">
        <f t="shared" si="102"/>
        <v>0.21413173287442883</v>
      </c>
      <c r="AC116" s="1312">
        <f t="shared" si="102"/>
        <v>0.2294858887680046</v>
      </c>
      <c r="AD116" s="1312">
        <f t="shared" si="102"/>
        <v>0.22595686262343137</v>
      </c>
      <c r="AE116" s="1291"/>
      <c r="AF116" s="1312"/>
      <c r="AG116" s="1312">
        <f t="shared" si="100"/>
        <v>0.19236719500377267</v>
      </c>
      <c r="AH116" s="1312">
        <f t="shared" si="100"/>
        <v>0.20804923886526527</v>
      </c>
      <c r="AI116" s="1312">
        <f t="shared" si="100"/>
        <v>0.25055653646969861</v>
      </c>
      <c r="AJ116" s="1312">
        <f t="shared" si="100"/>
        <v>0.23190438893839127</v>
      </c>
      <c r="AK116" s="1315">
        <f t="shared" si="100"/>
        <v>0.21875406582576121</v>
      </c>
      <c r="AL116" s="1312">
        <f t="shared" si="100"/>
        <v>0.20485625840926891</v>
      </c>
      <c r="AM116" s="1312">
        <f t="shared" si="100"/>
        <v>0.21560407806886339</v>
      </c>
    </row>
    <row r="117" spans="1:40" s="1349" customFormat="1" ht="17.25" customHeight="1" x14ac:dyDescent="0.35">
      <c r="A117" s="1331"/>
      <c r="B117" s="1347"/>
      <c r="C117" s="1325"/>
      <c r="D117" s="1312"/>
      <c r="E117" s="1348"/>
      <c r="F117" s="1292"/>
      <c r="G117" s="1312"/>
      <c r="H117" s="1312"/>
      <c r="I117" s="1312"/>
      <c r="J117" s="1313"/>
      <c r="K117" s="1312"/>
      <c r="L117" s="1312"/>
      <c r="M117" s="1280"/>
      <c r="N117" s="1313"/>
      <c r="O117" s="1325"/>
      <c r="P117" s="1312"/>
      <c r="Q117" s="1312"/>
      <c r="R117" s="1308"/>
      <c r="S117" s="1309"/>
      <c r="T117" s="1312"/>
      <c r="U117" s="1312"/>
      <c r="V117" s="1312"/>
      <c r="W117" s="1314"/>
      <c r="X117" s="1312"/>
      <c r="Y117" s="1315"/>
      <c r="Z117" s="1313"/>
      <c r="AA117" s="1312"/>
      <c r="AB117" s="1312"/>
      <c r="AC117" s="1312"/>
      <c r="AD117" s="1312"/>
      <c r="AE117" s="1312"/>
      <c r="AF117" s="1312"/>
      <c r="AG117" s="1312"/>
      <c r="AH117" s="1312"/>
      <c r="AI117" s="1312"/>
      <c r="AJ117" s="1312"/>
      <c r="AK117" s="1315"/>
    </row>
    <row r="118" spans="1:40" s="1349" customFormat="1" ht="17.25" customHeight="1" x14ac:dyDescent="0.35">
      <c r="A118" s="1350" t="s">
        <v>139</v>
      </c>
      <c r="B118" s="1347"/>
      <c r="C118" s="1325"/>
      <c r="D118" s="1312"/>
      <c r="E118" s="1348"/>
      <c r="F118" s="1292"/>
      <c r="G118" s="1312"/>
      <c r="H118" s="1312"/>
      <c r="I118" s="1312"/>
      <c r="J118" s="1313"/>
      <c r="K118" s="1312"/>
      <c r="L118" s="1312"/>
      <c r="M118" s="1280"/>
      <c r="N118" s="1313"/>
      <c r="O118" s="1325"/>
      <c r="P118" s="1312"/>
      <c r="Q118" s="1312"/>
      <c r="R118" s="1308"/>
      <c r="S118" s="1309"/>
      <c r="T118" s="1312"/>
      <c r="U118" s="1312"/>
      <c r="V118" s="1312"/>
      <c r="W118" s="1314"/>
      <c r="X118" s="1312"/>
      <c r="Y118" s="1315"/>
      <c r="Z118" s="1313"/>
      <c r="AA118" s="1312"/>
      <c r="AB118" s="1312"/>
      <c r="AC118" s="1312"/>
      <c r="AD118" s="1312"/>
      <c r="AE118" s="1312"/>
      <c r="AF118" s="1312"/>
      <c r="AG118" s="1312"/>
      <c r="AH118" s="1312"/>
      <c r="AI118" s="1312"/>
      <c r="AJ118" s="1312"/>
      <c r="AK118" s="1315"/>
    </row>
    <row r="119" spans="1:40" s="1349" customFormat="1" ht="17.25" customHeight="1" x14ac:dyDescent="0.35">
      <c r="A119" s="1306" t="str">
        <f>+A104</f>
        <v>FA</v>
      </c>
      <c r="B119" s="1347"/>
      <c r="C119" s="1280">
        <f>+'FA - Historical Financials'!C103</f>
        <v>3.51</v>
      </c>
      <c r="D119" s="1280">
        <f>+'FA - Historical Financials'!D103</f>
        <v>3.7450000000000001</v>
      </c>
      <c r="E119" s="1280">
        <f>+'FA - Historical Financials'!E103</f>
        <v>3.7939999999999996</v>
      </c>
      <c r="F119" s="1308">
        <f>+'FA - Historical Financials'!F103</f>
        <v>3.83</v>
      </c>
      <c r="G119" s="1280">
        <f>+'FA - Historical Financials'!G103</f>
        <v>2.9529999999999994</v>
      </c>
      <c r="H119" s="1280">
        <f>+'FA - Historical Financials'!H103</f>
        <v>2.4370000000000047</v>
      </c>
      <c r="I119" s="1280">
        <f>+'FA - Historical Financials'!I103</f>
        <v>2.5330000000000013</v>
      </c>
      <c r="J119" s="1308">
        <f>+'FA - Historical Financials'!J103</f>
        <v>2.9719999999999942</v>
      </c>
      <c r="K119" s="1280">
        <f>+'FA - Historical Financials'!K103</f>
        <v>3.2509999999999977</v>
      </c>
      <c r="L119" s="1280">
        <f>+'FA - Historical Financials'!L103</f>
        <v>4.1319999999999979</v>
      </c>
      <c r="M119" s="1280">
        <f>+'FA - Historical Financials'!M103</f>
        <v>4.0629999999999988</v>
      </c>
      <c r="N119" s="1308">
        <f>+'FA - Historical Financials'!N103</f>
        <v>4.5040000000000013</v>
      </c>
      <c r="O119" s="1280">
        <f>+'FA - Historical Financials'!O103</f>
        <v>4.9190000000000005</v>
      </c>
      <c r="P119" s="1280">
        <f>+'FA - Historical Financials'!P103</f>
        <v>5.3779999999999966</v>
      </c>
      <c r="Q119" s="1280">
        <f>+'FA - Historical Financials'!Q103</f>
        <v>5.8170000000000002</v>
      </c>
      <c r="R119" s="1308">
        <f>+'FA - Historical Financials'!R103</f>
        <v>6.1879999999999988</v>
      </c>
      <c r="S119" s="1309">
        <f>+'FA - Historical Financials'!S103</f>
        <v>6.3810000000000002</v>
      </c>
      <c r="T119" s="1280">
        <f>+'FA - Historical Financials'!T103</f>
        <v>6.5859999999999985</v>
      </c>
      <c r="U119" s="1280">
        <f>+'FA - Historical Financials'!U103</f>
        <v>6.7589999999999968</v>
      </c>
      <c r="V119" s="1280">
        <f>+'FA - Historical Financials'!V103</f>
        <v>7.0879999999999974</v>
      </c>
      <c r="W119" s="1309">
        <f>+'FA - Historical Financials'!W103</f>
        <v>7.1969999999999992</v>
      </c>
      <c r="X119" s="1280">
        <f>+'FA - Historical Financials'!X103</f>
        <v>7.3620000000000019</v>
      </c>
      <c r="Y119" s="1310">
        <f>+'FA - Historical Financials'!Y103</f>
        <v>7.5219999999999985</v>
      </c>
      <c r="Z119" s="1308">
        <f>+'FA - Historical Financials'!Z103</f>
        <v>7.6819999999999951</v>
      </c>
      <c r="AA119" s="1280">
        <f>+'FA - Historical Financials'!AA103</f>
        <v>7.8419999999999916</v>
      </c>
      <c r="AB119" s="1280">
        <f>+'FA - Historical Financials'!AB103</f>
        <v>8.0019999999999882</v>
      </c>
      <c r="AC119" s="1280">
        <f>+'FA - Historical Financials'!AC103</f>
        <v>8.1619999999999848</v>
      </c>
      <c r="AD119" s="1280">
        <f>+'FA - Historical Financials'!AD103</f>
        <v>8.3219999999999814</v>
      </c>
      <c r="AE119" s="1351"/>
      <c r="AF119" s="1280"/>
      <c r="AG119" s="1280">
        <f>+SUM(C119:F119)</f>
        <v>14.879</v>
      </c>
      <c r="AH119" s="1280">
        <f>+SUM(G119:J119)</f>
        <v>10.895</v>
      </c>
      <c r="AI119" s="1280">
        <f>+SUM(K119:N119)</f>
        <v>15.949999999999996</v>
      </c>
      <c r="AJ119" s="1280">
        <f>+SUM(O119:R119)</f>
        <v>22.301999999999996</v>
      </c>
      <c r="AK119" s="1310">
        <f>+SUM(S119:V119)</f>
        <v>26.813999999999993</v>
      </c>
      <c r="AL119" s="1291">
        <f>+SUM(W119:Z119)</f>
        <v>29.762999999999995</v>
      </c>
      <c r="AM119" s="1291">
        <f>+SUM(AA119:AD119)</f>
        <v>32.327999999999946</v>
      </c>
    </row>
    <row r="120" spans="1:40" s="1357" customFormat="1" ht="17.25" customHeight="1" x14ac:dyDescent="0.65">
      <c r="A120" s="1306" t="str">
        <f>+A105</f>
        <v>STER</v>
      </c>
      <c r="B120" s="1352"/>
      <c r="C120" s="1300">
        <v>6.8020999999999985</v>
      </c>
      <c r="D120" s="1300">
        <v>6.8725999999999985</v>
      </c>
      <c r="E120" s="1300">
        <v>7.1050000000000004</v>
      </c>
      <c r="F120" s="1353">
        <v>7.4928999999999997</v>
      </c>
      <c r="G120" s="1300">
        <v>7.8458999999999994</v>
      </c>
      <c r="H120" s="1300">
        <v>7.5613999999999999</v>
      </c>
      <c r="I120" s="1300">
        <v>7.7442000000000011</v>
      </c>
      <c r="J120" s="1353">
        <v>7.7016</v>
      </c>
      <c r="K120" s="1300">
        <v>7.2856000000000005</v>
      </c>
      <c r="L120" s="1300">
        <v>7.2930000000000001</v>
      </c>
      <c r="M120" s="1300">
        <v>7.3841000000000001</v>
      </c>
      <c r="N120" s="1353">
        <v>7.3259999999999996</v>
      </c>
      <c r="O120" s="1300">
        <v>6.3920000000000003</v>
      </c>
      <c r="P120" s="1300">
        <v>6.5090000000000003</v>
      </c>
      <c r="Q120" s="1300">
        <v>6.48</v>
      </c>
      <c r="R120" s="1353">
        <v>6.9789999999999983</v>
      </c>
      <c r="S120" s="1354">
        <v>6.3919999999999995</v>
      </c>
      <c r="T120" s="1300">
        <v>5.495000000000001</v>
      </c>
      <c r="U120" s="1300">
        <v>3.9229999999999983</v>
      </c>
      <c r="V120" s="1300">
        <v>5.2850000000000001</v>
      </c>
      <c r="W120" s="1354">
        <v>5.1389999999999993</v>
      </c>
      <c r="X120" s="1300">
        <f>15.82-10.687</f>
        <v>5.1330000000000009</v>
      </c>
      <c r="Y120" s="1355">
        <f>+'STER - Historical Financials'!Y82</f>
        <v>5.1790000000000003</v>
      </c>
      <c r="Z120" s="1353">
        <f>+V120/Y10*Z10</f>
        <v>4.794100045137121</v>
      </c>
      <c r="AA120" s="1300">
        <f>+W120/Z10*AA10</f>
        <v>5.5672570366488374</v>
      </c>
      <c r="AB120" s="1300">
        <f>+X120/AA10*AB10</f>
        <v>5.6098160559521704</v>
      </c>
      <c r="AC120" s="1300">
        <f>+Y120/AB10*AC10</f>
        <v>5.1337289175308856</v>
      </c>
      <c r="AD120" s="1300">
        <f>+Z120/AC10*AD10</f>
        <v>4.4229055274909799</v>
      </c>
      <c r="AE120" s="1356"/>
      <c r="AF120" s="1300"/>
      <c r="AG120" s="1300">
        <f>+SUM(C120:F120)</f>
        <v>28.272599999999997</v>
      </c>
      <c r="AH120" s="1300">
        <f>+SUM(G120:J120)</f>
        <v>30.853099999999998</v>
      </c>
      <c r="AI120" s="1300">
        <f>+SUM(K120:N120)</f>
        <v>29.288700000000002</v>
      </c>
      <c r="AJ120" s="1300">
        <f>+SUM(O120:R120)</f>
        <v>26.36</v>
      </c>
      <c r="AK120" s="1355">
        <f>+SUM(S120:V120)</f>
        <v>21.094999999999999</v>
      </c>
      <c r="AL120" s="1296">
        <f>+SUM(W120:Z120)</f>
        <v>20.245100045137121</v>
      </c>
      <c r="AM120" s="1296">
        <f>+SUM(AA120:AD120)</f>
        <v>20.733707537622873</v>
      </c>
    </row>
    <row r="121" spans="1:40" s="2246" customFormat="1" ht="17.25" customHeight="1" x14ac:dyDescent="0.65">
      <c r="A121" s="1307" t="s">
        <v>185</v>
      </c>
      <c r="B121" s="2243"/>
      <c r="C121" s="1300">
        <f t="shared" ref="C121:AD121" si="103">+SUM(C119:C120)</f>
        <v>10.312099999999997</v>
      </c>
      <c r="D121" s="1300">
        <f t="shared" si="103"/>
        <v>10.617599999999999</v>
      </c>
      <c r="E121" s="1300">
        <f t="shared" si="103"/>
        <v>10.899000000000001</v>
      </c>
      <c r="F121" s="1353">
        <f t="shared" si="103"/>
        <v>11.322900000000001</v>
      </c>
      <c r="G121" s="1300">
        <f t="shared" si="103"/>
        <v>10.7989</v>
      </c>
      <c r="H121" s="1300">
        <f t="shared" si="103"/>
        <v>9.9984000000000037</v>
      </c>
      <c r="I121" s="1300">
        <f t="shared" si="103"/>
        <v>10.277200000000002</v>
      </c>
      <c r="J121" s="1353">
        <f t="shared" si="103"/>
        <v>10.673599999999993</v>
      </c>
      <c r="K121" s="1300">
        <f t="shared" si="103"/>
        <v>10.536599999999998</v>
      </c>
      <c r="L121" s="1300">
        <f t="shared" si="103"/>
        <v>11.424999999999997</v>
      </c>
      <c r="M121" s="1300">
        <f t="shared" si="103"/>
        <v>11.447099999999999</v>
      </c>
      <c r="N121" s="1353">
        <f t="shared" si="103"/>
        <v>11.830000000000002</v>
      </c>
      <c r="O121" s="1300">
        <f t="shared" si="103"/>
        <v>11.311</v>
      </c>
      <c r="P121" s="1300">
        <f t="shared" si="103"/>
        <v>11.886999999999997</v>
      </c>
      <c r="Q121" s="1300">
        <f t="shared" si="103"/>
        <v>12.297000000000001</v>
      </c>
      <c r="R121" s="1353">
        <f t="shared" si="103"/>
        <v>13.166999999999998</v>
      </c>
      <c r="S121" s="1354">
        <f t="shared" si="103"/>
        <v>12.773</v>
      </c>
      <c r="T121" s="1300">
        <f t="shared" si="103"/>
        <v>12.081</v>
      </c>
      <c r="U121" s="1300">
        <f t="shared" si="103"/>
        <v>10.681999999999995</v>
      </c>
      <c r="V121" s="1300">
        <f t="shared" si="103"/>
        <v>12.372999999999998</v>
      </c>
      <c r="W121" s="1354">
        <f t="shared" si="103"/>
        <v>12.335999999999999</v>
      </c>
      <c r="X121" s="1300">
        <f t="shared" si="103"/>
        <v>12.495000000000003</v>
      </c>
      <c r="Y121" s="1355">
        <f t="shared" si="103"/>
        <v>12.700999999999999</v>
      </c>
      <c r="Z121" s="1353">
        <f t="shared" si="103"/>
        <v>12.476100045137116</v>
      </c>
      <c r="AA121" s="1300">
        <f t="shared" si="103"/>
        <v>13.409257036648828</v>
      </c>
      <c r="AB121" s="1300">
        <f t="shared" si="103"/>
        <v>13.611816055952158</v>
      </c>
      <c r="AC121" s="1300">
        <f t="shared" si="103"/>
        <v>13.295728917530869</v>
      </c>
      <c r="AD121" s="1300">
        <f t="shared" si="103"/>
        <v>12.74490552749096</v>
      </c>
      <c r="AE121" s="2244"/>
      <c r="AF121" s="1300"/>
      <c r="AG121" s="1300">
        <f>+SUM(C121:F121)</f>
        <v>43.151600000000002</v>
      </c>
      <c r="AH121" s="1300">
        <f>+SUM(G121:J121)</f>
        <v>41.748100000000001</v>
      </c>
      <c r="AI121" s="1300">
        <f>+SUM(K121:N121)</f>
        <v>45.238699999999994</v>
      </c>
      <c r="AJ121" s="1300">
        <f>+SUM(O121:R121)</f>
        <v>48.661999999999992</v>
      </c>
      <c r="AK121" s="1355">
        <f>+SUM(S121:V121)</f>
        <v>47.908999999999992</v>
      </c>
      <c r="AL121" s="1300">
        <f>+AL120+AL119</f>
        <v>50.008100045137112</v>
      </c>
      <c r="AM121" s="1300">
        <f>+SUM(AA121:AD121)</f>
        <v>53.061707537622809</v>
      </c>
      <c r="AN121" s="2245"/>
    </row>
    <row r="122" spans="1:40" s="1360" customFormat="1" ht="17.25" customHeight="1" x14ac:dyDescent="0.35">
      <c r="A122" s="1361" t="s">
        <v>186</v>
      </c>
      <c r="B122" s="1358"/>
      <c r="C122" s="1280">
        <f t="shared" ref="C122:AD122" si="104">+C81-C121</f>
        <v>37.928600000000003</v>
      </c>
      <c r="D122" s="1280">
        <f t="shared" si="104"/>
        <v>57.530600000000007</v>
      </c>
      <c r="E122" s="1280">
        <f t="shared" si="104"/>
        <v>57.952699999999979</v>
      </c>
      <c r="F122" s="1308">
        <f t="shared" si="104"/>
        <v>43.474599999999995</v>
      </c>
      <c r="G122" s="1280">
        <f t="shared" si="104"/>
        <v>39.200299999999999</v>
      </c>
      <c r="H122" s="1280">
        <f t="shared" si="104"/>
        <v>34.433999999999997</v>
      </c>
      <c r="I122" s="1280">
        <f t="shared" si="104"/>
        <v>62.312599999999996</v>
      </c>
      <c r="J122" s="1308">
        <f t="shared" si="104"/>
        <v>59.619400000000013</v>
      </c>
      <c r="K122" s="1280">
        <f t="shared" si="104"/>
        <v>61.396300000000004</v>
      </c>
      <c r="L122" s="1280">
        <f t="shared" si="104"/>
        <v>88.51</v>
      </c>
      <c r="M122" s="1280">
        <f t="shared" si="104"/>
        <v>97.345400000000012</v>
      </c>
      <c r="N122" s="1308">
        <f t="shared" si="104"/>
        <v>91.35199999999999</v>
      </c>
      <c r="O122" s="1280">
        <f t="shared" si="104"/>
        <v>82.957999999999998</v>
      </c>
      <c r="P122" s="1280">
        <f t="shared" si="104"/>
        <v>97.453000000000003</v>
      </c>
      <c r="Q122" s="1280">
        <f t="shared" si="104"/>
        <v>96.674000000000007</v>
      </c>
      <c r="R122" s="1308">
        <f t="shared" si="104"/>
        <v>90.004999999999995</v>
      </c>
      <c r="S122" s="1309">
        <f t="shared" si="104"/>
        <v>74.176000000000002</v>
      </c>
      <c r="T122" s="1280">
        <f t="shared" si="104"/>
        <v>80.927999999999983</v>
      </c>
      <c r="U122" s="1280">
        <f t="shared" si="104"/>
        <v>87.092000000000013</v>
      </c>
      <c r="V122" s="1280">
        <f t="shared" si="104"/>
        <v>82.56</v>
      </c>
      <c r="W122" s="1309">
        <f t="shared" si="104"/>
        <v>62.980999999999995</v>
      </c>
      <c r="X122" s="1280">
        <f t="shared" si="104"/>
        <v>79.501999999999995</v>
      </c>
      <c r="Y122" s="1310">
        <f t="shared" si="104"/>
        <v>86.634000000000015</v>
      </c>
      <c r="Z122" s="1308">
        <f t="shared" si="104"/>
        <v>84.184065039246107</v>
      </c>
      <c r="AA122" s="1280">
        <f t="shared" si="104"/>
        <v>68.927223692825564</v>
      </c>
      <c r="AB122" s="1280">
        <f t="shared" si="104"/>
        <v>86.173968964142446</v>
      </c>
      <c r="AC122" s="1280">
        <f t="shared" si="104"/>
        <v>96.590811445936751</v>
      </c>
      <c r="AD122" s="1280">
        <f t="shared" si="104"/>
        <v>95.008821468380589</v>
      </c>
      <c r="AE122" s="1351"/>
      <c r="AF122" s="1280"/>
      <c r="AG122" s="1280">
        <f t="shared" ref="AG122:AM122" si="105">+AG81-AG121</f>
        <v>196.88649999999996</v>
      </c>
      <c r="AH122" s="1280">
        <f t="shared" si="105"/>
        <v>195.56630000000001</v>
      </c>
      <c r="AI122" s="1280">
        <f t="shared" si="105"/>
        <v>338.6037</v>
      </c>
      <c r="AJ122" s="1280">
        <f t="shared" si="105"/>
        <v>367.09000000000003</v>
      </c>
      <c r="AK122" s="1310">
        <f t="shared" si="105"/>
        <v>324.75599999999997</v>
      </c>
      <c r="AL122" s="1280">
        <f t="shared" si="105"/>
        <v>313.30106503924611</v>
      </c>
      <c r="AM122" s="1280">
        <f t="shared" si="105"/>
        <v>346.70082557128535</v>
      </c>
      <c r="AN122" s="1362"/>
    </row>
    <row r="123" spans="1:40" ht="17.25" customHeight="1" x14ac:dyDescent="0.35">
      <c r="A123" s="1331" t="s">
        <v>141</v>
      </c>
      <c r="B123" s="1274"/>
      <c r="C123" s="1291"/>
      <c r="D123" s="1291"/>
      <c r="E123" s="1291"/>
      <c r="F123" s="1292"/>
      <c r="G123" s="1332">
        <f t="shared" ref="G123:AD123" si="106">+G122/C122-1</f>
        <v>3.3528788302230828E-2</v>
      </c>
      <c r="H123" s="1312">
        <f t="shared" si="106"/>
        <v>-0.40146635008152198</v>
      </c>
      <c r="I123" s="1312">
        <f t="shared" si="106"/>
        <v>7.5232042683085032E-2</v>
      </c>
      <c r="J123" s="1313">
        <f t="shared" si="106"/>
        <v>0.37136166865250098</v>
      </c>
      <c r="K123" s="1312">
        <f t="shared" si="106"/>
        <v>0.56622015647839441</v>
      </c>
      <c r="L123" s="1312">
        <f t="shared" si="106"/>
        <v>1.5704245803566246</v>
      </c>
      <c r="M123" s="1312">
        <f t="shared" si="106"/>
        <v>0.56221053205932692</v>
      </c>
      <c r="N123" s="1313">
        <f t="shared" si="106"/>
        <v>0.53225292438367333</v>
      </c>
      <c r="O123" s="1312">
        <f t="shared" si="106"/>
        <v>0.35118891529294105</v>
      </c>
      <c r="P123" s="1312">
        <f t="shared" si="106"/>
        <v>0.10103943057281661</v>
      </c>
      <c r="Q123" s="1312">
        <f t="shared" si="106"/>
        <v>-6.8970901552616315E-3</v>
      </c>
      <c r="R123" s="1313">
        <f t="shared" si="106"/>
        <v>-1.4745161572817134E-2</v>
      </c>
      <c r="S123" s="1314">
        <f t="shared" si="106"/>
        <v>-0.10586079702982232</v>
      </c>
      <c r="T123" s="1312">
        <f t="shared" si="106"/>
        <v>-0.16956892040265581</v>
      </c>
      <c r="U123" s="1312">
        <f t="shared" si="106"/>
        <v>-9.9116618739268025E-2</v>
      </c>
      <c r="V123" s="1312">
        <f t="shared" si="106"/>
        <v>-8.2717626798511135E-2</v>
      </c>
      <c r="W123" s="1314">
        <f t="shared" si="106"/>
        <v>-0.15092482743744617</v>
      </c>
      <c r="X123" s="1312">
        <f t="shared" si="106"/>
        <v>-1.7620601028074168E-2</v>
      </c>
      <c r="Y123" s="1315">
        <f t="shared" si="106"/>
        <v>-5.2588067790382276E-3</v>
      </c>
      <c r="Z123" s="1313">
        <f t="shared" si="106"/>
        <v>1.967133041722513E-2</v>
      </c>
      <c r="AA123" s="1312">
        <f t="shared" si="106"/>
        <v>9.4412976815635874E-2</v>
      </c>
      <c r="AB123" s="1312">
        <f t="shared" si="106"/>
        <v>8.3922026667787586E-2</v>
      </c>
      <c r="AC123" s="1312">
        <f t="shared" si="106"/>
        <v>0.11492960553520248</v>
      </c>
      <c r="AD123" s="1312">
        <f t="shared" si="106"/>
        <v>0.12858438736699207</v>
      </c>
      <c r="AE123" s="1291"/>
      <c r="AF123" s="1312"/>
      <c r="AG123" s="1312"/>
      <c r="AH123" s="1312">
        <f t="shared" ref="AH123:AM123" si="107">+AH122/AG122-1</f>
        <v>-6.7053860980815783E-3</v>
      </c>
      <c r="AI123" s="1312">
        <f t="shared" si="107"/>
        <v>0.73140106449833109</v>
      </c>
      <c r="AJ123" s="1312">
        <f t="shared" si="107"/>
        <v>8.4128732202276568E-2</v>
      </c>
      <c r="AK123" s="1315">
        <f t="shared" si="107"/>
        <v>-0.11532321773951903</v>
      </c>
      <c r="AL123" s="1312">
        <f t="shared" si="107"/>
        <v>-3.5272435184427242E-2</v>
      </c>
      <c r="AM123" s="1312">
        <f t="shared" si="107"/>
        <v>0.10660595912067961</v>
      </c>
    </row>
    <row r="124" spans="1:40" ht="17.25" customHeight="1" x14ac:dyDescent="0.35">
      <c r="A124" s="1331" t="s">
        <v>33</v>
      </c>
      <c r="B124" s="1274"/>
      <c r="C124" s="1291"/>
      <c r="D124" s="1291"/>
      <c r="E124" s="1291"/>
      <c r="F124" s="1292"/>
      <c r="G124" s="1332">
        <f t="shared" ref="G124:AD124" si="108">+G122/G11</f>
        <v>0.17027691505766349</v>
      </c>
      <c r="H124" s="1312">
        <f t="shared" si="108"/>
        <v>0.17789464983158024</v>
      </c>
      <c r="I124" s="1312">
        <f t="shared" si="108"/>
        <v>0.24495843428127101</v>
      </c>
      <c r="J124" s="1313">
        <f t="shared" si="108"/>
        <v>0.20915616460847034</v>
      </c>
      <c r="K124" s="1312">
        <f t="shared" si="108"/>
        <v>0.22618737105806072</v>
      </c>
      <c r="L124" s="1312">
        <f t="shared" si="108"/>
        <v>0.26487787068238</v>
      </c>
      <c r="M124" s="1312">
        <f t="shared" si="108"/>
        <v>0.2685953468865197</v>
      </c>
      <c r="N124" s="1313">
        <f t="shared" si="108"/>
        <v>0.23656454173259328</v>
      </c>
      <c r="O124" s="1312">
        <f t="shared" si="108"/>
        <v>0.21725114114593835</v>
      </c>
      <c r="P124" s="1312">
        <f t="shared" si="108"/>
        <v>0.23935287067237787</v>
      </c>
      <c r="Q124" s="1312">
        <f t="shared" si="108"/>
        <v>0.23853337774652408</v>
      </c>
      <c r="R124" s="1313">
        <f t="shared" si="108"/>
        <v>0.2352979621714181</v>
      </c>
      <c r="S124" s="1314">
        <f t="shared" si="108"/>
        <v>0.20906779708788764</v>
      </c>
      <c r="T124" s="1312">
        <f t="shared" si="108"/>
        <v>0.21540648231696116</v>
      </c>
      <c r="U124" s="1312">
        <f t="shared" si="108"/>
        <v>0.22862993200850554</v>
      </c>
      <c r="V124" s="1312">
        <f t="shared" si="108"/>
        <v>0.22194860986402426</v>
      </c>
      <c r="W124" s="1314">
        <f t="shared" si="108"/>
        <v>0.17720411350111842</v>
      </c>
      <c r="X124" s="1312">
        <f t="shared" si="108"/>
        <v>0.20645901826661889</v>
      </c>
      <c r="Y124" s="1315">
        <f t="shared" si="108"/>
        <v>0.2195383395122891</v>
      </c>
      <c r="Z124" s="1313">
        <f t="shared" si="108"/>
        <v>0.2183357963642075</v>
      </c>
      <c r="AA124" s="1312">
        <f t="shared" si="108"/>
        <v>0.18606019064910412</v>
      </c>
      <c r="AB124" s="1312">
        <f t="shared" si="108"/>
        <v>0.21227315194164256</v>
      </c>
      <c r="AC124" s="1312">
        <f t="shared" si="108"/>
        <v>0.22884284292254783</v>
      </c>
      <c r="AD124" s="1312">
        <f t="shared" si="108"/>
        <v>0.22765352642753378</v>
      </c>
      <c r="AE124" s="1291"/>
      <c r="AF124" s="1312"/>
      <c r="AG124" s="1312">
        <f t="shared" ref="AG124:AM124" si="109">+AG122/AG11</f>
        <v>0.20113392555961254</v>
      </c>
      <c r="AH124" s="1312">
        <f t="shared" si="109"/>
        <v>0.20303671091954728</v>
      </c>
      <c r="AI124" s="1312">
        <f t="shared" si="109"/>
        <v>0.25004353191121703</v>
      </c>
      <c r="AJ124" s="1312">
        <f t="shared" si="109"/>
        <v>0.23280621256274558</v>
      </c>
      <c r="AK124" s="1315">
        <f t="shared" si="109"/>
        <v>0.21892664222283789</v>
      </c>
      <c r="AL124" s="1312">
        <f t="shared" si="109"/>
        <v>0.20602701671410839</v>
      </c>
      <c r="AM124" s="1312">
        <f t="shared" si="109"/>
        <v>0.21456414274739963</v>
      </c>
    </row>
    <row r="125" spans="1:40" s="1360" customFormat="1" ht="17.25" customHeight="1" x14ac:dyDescent="0.35">
      <c r="A125" s="1361"/>
      <c r="B125" s="1358"/>
      <c r="C125" s="1280"/>
      <c r="D125" s="1280"/>
      <c r="E125" s="1280"/>
      <c r="F125" s="1308"/>
      <c r="G125" s="1280"/>
      <c r="H125" s="1280"/>
      <c r="I125" s="1280"/>
      <c r="J125" s="1308"/>
      <c r="K125" s="1280"/>
      <c r="L125" s="1280"/>
      <c r="M125" s="1280"/>
      <c r="N125" s="1308"/>
      <c r="O125" s="1280"/>
      <c r="P125" s="1280"/>
      <c r="Q125" s="1280"/>
      <c r="R125" s="1308"/>
      <c r="S125" s="1309"/>
      <c r="T125" s="1280"/>
      <c r="U125" s="1280"/>
      <c r="V125" s="1280"/>
      <c r="W125" s="1309"/>
      <c r="X125" s="1280"/>
      <c r="Y125" s="1310"/>
      <c r="Z125" s="1308"/>
      <c r="AA125" s="1280"/>
      <c r="AB125" s="1280"/>
      <c r="AC125" s="1280"/>
      <c r="AD125" s="1280"/>
      <c r="AE125" s="1351"/>
      <c r="AF125" s="1280"/>
      <c r="AG125" s="1280"/>
      <c r="AH125" s="1280"/>
      <c r="AI125" s="1280"/>
      <c r="AJ125" s="1280"/>
      <c r="AK125" s="1310"/>
      <c r="AL125" s="1280"/>
      <c r="AM125" s="1280"/>
      <c r="AN125" s="1362"/>
    </row>
    <row r="126" spans="1:40" s="1349" customFormat="1" ht="17.25" customHeight="1" x14ac:dyDescent="0.35">
      <c r="A126" s="1350" t="s">
        <v>44</v>
      </c>
      <c r="B126" s="1347"/>
      <c r="C126" s="1325"/>
      <c r="D126" s="1312"/>
      <c r="E126" s="1348"/>
      <c r="F126" s="1292"/>
      <c r="G126" s="1312"/>
      <c r="H126" s="1312"/>
      <c r="I126" s="1312"/>
      <c r="J126" s="1313"/>
      <c r="K126" s="1312"/>
      <c r="L126" s="1312"/>
      <c r="M126" s="1280"/>
      <c r="N126" s="1313"/>
      <c r="O126" s="1325"/>
      <c r="P126" s="1312"/>
      <c r="Q126" s="1312"/>
      <c r="R126" s="1308"/>
      <c r="S126" s="1309"/>
      <c r="T126" s="1312"/>
      <c r="U126" s="1312"/>
      <c r="V126" s="1312"/>
      <c r="W126" s="1314"/>
      <c r="X126" s="1312"/>
      <c r="Y126" s="1315"/>
      <c r="Z126" s="1313"/>
      <c r="AA126" s="1312"/>
      <c r="AB126" s="1312"/>
      <c r="AC126" s="1312"/>
      <c r="AD126" s="1312"/>
      <c r="AE126" s="1312"/>
      <c r="AF126" s="1312"/>
      <c r="AG126" s="1312"/>
      <c r="AH126" s="1312"/>
      <c r="AI126" s="1312"/>
      <c r="AJ126" s="1312"/>
      <c r="AK126" s="1315"/>
    </row>
    <row r="127" spans="1:40" s="1349" customFormat="1" ht="17.25" customHeight="1" x14ac:dyDescent="0.35">
      <c r="A127" s="1306" t="str">
        <f>+A104</f>
        <v>FA</v>
      </c>
      <c r="B127" s="1347"/>
      <c r="C127" s="1280"/>
      <c r="D127" s="1280"/>
      <c r="E127" s="1280"/>
      <c r="F127" s="1308"/>
      <c r="G127" s="1280">
        <f>+'FA - Historical Financials'!G105</f>
        <v>17.319000000000003</v>
      </c>
      <c r="H127" s="1280">
        <f>+'FA - Historical Financials'!H105</f>
        <v>13.663</v>
      </c>
      <c r="I127" s="1280">
        <f>+'FA - Historical Financials'!I105</f>
        <v>11.629999999999999</v>
      </c>
      <c r="J127" s="1308">
        <f>+'FA - Historical Financials'!J105</f>
        <v>9.261000000000001</v>
      </c>
      <c r="K127" s="1280">
        <f>+'FA - Historical Financials'!K105</f>
        <v>6.7169999999999996</v>
      </c>
      <c r="L127" s="1280">
        <f>+'FA - Historical Financials'!L105</f>
        <v>10.452</v>
      </c>
      <c r="M127" s="1280">
        <f>+'FA - Historical Financials'!M105</f>
        <v>4.7060000000000004</v>
      </c>
      <c r="N127" s="1308">
        <f>+'FA - Historical Financials'!N105</f>
        <v>3.0970000000000013</v>
      </c>
      <c r="O127" s="1280">
        <f>+'FA - Historical Financials'!O105</f>
        <v>-0.85</v>
      </c>
      <c r="P127" s="1280">
        <f>+'FA - Historical Financials'!P105</f>
        <v>3.1120000000000001</v>
      </c>
      <c r="Q127" s="1280">
        <f>+'FA - Historical Financials'!Q105</f>
        <v>1.74</v>
      </c>
      <c r="R127" s="1308">
        <f>+'FA - Historical Financials'!R105</f>
        <v>5.1970000000000001</v>
      </c>
      <c r="S127" s="1309">
        <f>+'FA - Historical Financials'!S105</f>
        <v>8.6809999999999992</v>
      </c>
      <c r="T127" s="1280">
        <f>+'FA - Historical Financials'!T105</f>
        <v>3.887</v>
      </c>
      <c r="U127" s="1280">
        <f>+'FA - Historical Financials'!U105</f>
        <v>7.5570000000000004</v>
      </c>
      <c r="V127" s="1280">
        <f>+'FA - Historical Financials'!V105</f>
        <v>12.914999999999999</v>
      </c>
      <c r="W127" s="1309">
        <f>+'FA - Historical Financials'!W105</f>
        <v>3.57</v>
      </c>
      <c r="X127" s="1280">
        <f>+'FA - Historical Financials'!X105</f>
        <v>7.3529999999999998</v>
      </c>
      <c r="Y127" s="1310">
        <f>+'FA - Historical Financials'!Y105</f>
        <v>17.190999999999999</v>
      </c>
      <c r="Z127" s="1308"/>
      <c r="AA127" s="1280"/>
      <c r="AB127" s="1280"/>
      <c r="AC127" s="1280"/>
      <c r="AD127" s="1280"/>
      <c r="AE127" s="1351"/>
      <c r="AF127" s="1280"/>
      <c r="AG127" s="1280">
        <f>+'FA - Historical Financials'!AG105</f>
        <v>51.018999999999998</v>
      </c>
      <c r="AH127" s="1280">
        <f>+SUM(G127:J127)</f>
        <v>51.873000000000005</v>
      </c>
      <c r="AI127" s="1280">
        <f>+SUM(K127:N127)</f>
        <v>24.972000000000001</v>
      </c>
      <c r="AJ127" s="1280">
        <f>+SUM(O127:R127)</f>
        <v>9.1989999999999998</v>
      </c>
      <c r="AK127" s="1310">
        <f>+SUM(S127:V127)</f>
        <v>33.04</v>
      </c>
      <c r="AL127" s="1291">
        <f>+SUM(W127:Z127)</f>
        <v>28.113999999999997</v>
      </c>
      <c r="AM127" s="1291"/>
    </row>
    <row r="128" spans="1:40" s="1357" customFormat="1" ht="17.25" customHeight="1" x14ac:dyDescent="0.65">
      <c r="A128" s="1306" t="str">
        <f>+A105</f>
        <v>STER</v>
      </c>
      <c r="B128" s="1352"/>
      <c r="C128" s="1300"/>
      <c r="D128" s="1300"/>
      <c r="E128" s="1300"/>
      <c r="F128" s="1353"/>
      <c r="G128" s="1300">
        <v>8.814899999999998</v>
      </c>
      <c r="H128" s="1300">
        <v>7.8163</v>
      </c>
      <c r="I128" s="1300">
        <v>7.4806999999999997</v>
      </c>
      <c r="J128" s="1353">
        <v>7.1885000000000003</v>
      </c>
      <c r="K128" s="1300">
        <v>7.2991999999999999</v>
      </c>
      <c r="L128" s="1300">
        <v>7.2409999999999997</v>
      </c>
      <c r="M128" s="1300">
        <v>7.2679999999999998</v>
      </c>
      <c r="N128" s="1353">
        <v>7.5179999999999998</v>
      </c>
      <c r="O128" s="1300">
        <v>5.9820000000000002</v>
      </c>
      <c r="P128" s="1300">
        <v>6.1109999999999998</v>
      </c>
      <c r="Q128" s="1300">
        <v>7.1559999999999997</v>
      </c>
      <c r="R128" s="1353">
        <v>8.8279999999999994</v>
      </c>
      <c r="S128" s="1354">
        <v>8.1959999999999997</v>
      </c>
      <c r="T128" s="1300">
        <v>9</v>
      </c>
      <c r="U128" s="1300">
        <v>9.3000000000000007</v>
      </c>
      <c r="V128" s="1300">
        <v>9.3000000000000007</v>
      </c>
      <c r="W128" s="1354">
        <v>10.311999999999999</v>
      </c>
      <c r="X128" s="1300">
        <v>10.143000000000001</v>
      </c>
      <c r="Y128" s="1355">
        <f>+'STER - Historical Financials'!Y84</f>
        <v>9.7449999999999992</v>
      </c>
      <c r="Z128" s="1353"/>
      <c r="AA128" s="1300"/>
      <c r="AB128" s="1300"/>
      <c r="AC128" s="1300"/>
      <c r="AD128" s="1300"/>
      <c r="AE128" s="1356"/>
      <c r="AF128" s="1300"/>
      <c r="AG128" s="1300">
        <v>51.018999999999998</v>
      </c>
      <c r="AH128" s="1300">
        <f>+SUM(G128:J128)</f>
        <v>31.3004</v>
      </c>
      <c r="AI128" s="1300">
        <f>+SUM(K128:N128)</f>
        <v>29.3262</v>
      </c>
      <c r="AJ128" s="1300">
        <f>+SUM(O128:R128)</f>
        <v>28.076999999999998</v>
      </c>
      <c r="AK128" s="1355">
        <f>+SUM(S128:V128)</f>
        <v>35.795999999999999</v>
      </c>
      <c r="AL128" s="1296">
        <f>+SUM(W128:Z128)</f>
        <v>30.199999999999996</v>
      </c>
      <c r="AM128" s="1296"/>
    </row>
    <row r="129" spans="1:40" s="1360" customFormat="1" ht="17.25" customHeight="1" x14ac:dyDescent="0.35">
      <c r="A129" s="1307" t="s">
        <v>187</v>
      </c>
      <c r="B129" s="1358"/>
      <c r="C129" s="1280"/>
      <c r="D129" s="1280"/>
      <c r="E129" s="1280"/>
      <c r="F129" s="1308"/>
      <c r="G129" s="1280">
        <f t="shared" ref="G129:Y129" si="110">+SUM(G127:G128)</f>
        <v>26.133900000000001</v>
      </c>
      <c r="H129" s="1280">
        <f t="shared" si="110"/>
        <v>21.479300000000002</v>
      </c>
      <c r="I129" s="1280">
        <f t="shared" si="110"/>
        <v>19.110699999999998</v>
      </c>
      <c r="J129" s="1308">
        <f t="shared" si="110"/>
        <v>16.4495</v>
      </c>
      <c r="K129" s="1280">
        <f t="shared" si="110"/>
        <v>14.0162</v>
      </c>
      <c r="L129" s="1280">
        <f t="shared" si="110"/>
        <v>17.692999999999998</v>
      </c>
      <c r="M129" s="1280">
        <f t="shared" si="110"/>
        <v>11.974</v>
      </c>
      <c r="N129" s="1308">
        <f t="shared" si="110"/>
        <v>10.615000000000002</v>
      </c>
      <c r="O129" s="1280">
        <f t="shared" si="110"/>
        <v>5.1320000000000006</v>
      </c>
      <c r="P129" s="1280">
        <f t="shared" si="110"/>
        <v>9.222999999999999</v>
      </c>
      <c r="Q129" s="1280">
        <f t="shared" si="110"/>
        <v>8.895999999999999</v>
      </c>
      <c r="R129" s="1308">
        <f t="shared" si="110"/>
        <v>14.024999999999999</v>
      </c>
      <c r="S129" s="1309">
        <f t="shared" si="110"/>
        <v>16.876999999999999</v>
      </c>
      <c r="T129" s="1280">
        <f t="shared" si="110"/>
        <v>12.887</v>
      </c>
      <c r="U129" s="1280">
        <f t="shared" si="110"/>
        <v>16.856999999999999</v>
      </c>
      <c r="V129" s="1280">
        <f t="shared" si="110"/>
        <v>22.215</v>
      </c>
      <c r="W129" s="1309">
        <f t="shared" si="110"/>
        <v>13.882</v>
      </c>
      <c r="X129" s="1280">
        <f t="shared" si="110"/>
        <v>17.496000000000002</v>
      </c>
      <c r="Y129" s="1310">
        <f t="shared" si="110"/>
        <v>26.936</v>
      </c>
      <c r="Z129" s="2252">
        <f>+AM129/4</f>
        <v>39.855659722222214</v>
      </c>
      <c r="AA129" s="2247">
        <f>+AM129/4</f>
        <v>39.855659722222214</v>
      </c>
      <c r="AB129" s="2247">
        <f>+AA129</f>
        <v>39.855659722222214</v>
      </c>
      <c r="AC129" s="2247">
        <f>+AB129</f>
        <v>39.855659722222214</v>
      </c>
      <c r="AD129" s="2247">
        <f>+AC129</f>
        <v>39.855659722222214</v>
      </c>
      <c r="AE129" s="1312"/>
      <c r="AF129" s="1280"/>
      <c r="AG129" s="1280">
        <f>+SUM(AG127:AG128)</f>
        <v>102.038</v>
      </c>
      <c r="AH129" s="1280">
        <f>+SUM(AH127:AH128)</f>
        <v>83.173400000000001</v>
      </c>
      <c r="AI129" s="1280">
        <f>+SUM(AI127:AI128)</f>
        <v>54.298200000000001</v>
      </c>
      <c r="AJ129" s="1280">
        <f>+SUM(AJ127:AJ128)</f>
        <v>37.275999999999996</v>
      </c>
      <c r="AK129" s="1310">
        <f>+SUM(AK127:AK128)</f>
        <v>68.835999999999999</v>
      </c>
      <c r="AL129" s="1280">
        <f>+AL128+AL127</f>
        <v>58.313999999999993</v>
      </c>
      <c r="AM129" s="2248">
        <f>+'PF FA STER Simple'!I39</f>
        <v>159.42263888888886</v>
      </c>
      <c r="AN129" s="1359"/>
    </row>
    <row r="130" spans="1:40" s="1349" customFormat="1" ht="17.25" customHeight="1" x14ac:dyDescent="0.35">
      <c r="A130" s="1306" t="s">
        <v>142</v>
      </c>
      <c r="B130" s="1347"/>
      <c r="C130" s="1280"/>
      <c r="D130" s="1280"/>
      <c r="E130" s="1280"/>
      <c r="F130" s="1308"/>
      <c r="G130" s="1280">
        <f t="shared" ref="G130:AD130" si="111">+G122-G129</f>
        <v>13.066399999999998</v>
      </c>
      <c r="H130" s="1280">
        <f t="shared" si="111"/>
        <v>12.954699999999995</v>
      </c>
      <c r="I130" s="1280">
        <f t="shared" si="111"/>
        <v>43.201899999999995</v>
      </c>
      <c r="J130" s="1308">
        <f t="shared" si="111"/>
        <v>43.169900000000013</v>
      </c>
      <c r="K130" s="1280">
        <f t="shared" si="111"/>
        <v>47.380100000000006</v>
      </c>
      <c r="L130" s="1280">
        <f t="shared" si="111"/>
        <v>70.817000000000007</v>
      </c>
      <c r="M130" s="1280">
        <f t="shared" si="111"/>
        <v>85.371400000000008</v>
      </c>
      <c r="N130" s="1308">
        <f t="shared" si="111"/>
        <v>80.736999999999995</v>
      </c>
      <c r="O130" s="1280">
        <f t="shared" si="111"/>
        <v>77.825999999999993</v>
      </c>
      <c r="P130" s="1280">
        <f t="shared" si="111"/>
        <v>88.23</v>
      </c>
      <c r="Q130" s="1280">
        <f t="shared" si="111"/>
        <v>87.778000000000006</v>
      </c>
      <c r="R130" s="1308">
        <f t="shared" si="111"/>
        <v>75.97999999999999</v>
      </c>
      <c r="S130" s="1309">
        <f t="shared" si="111"/>
        <v>57.299000000000007</v>
      </c>
      <c r="T130" s="1280">
        <f t="shared" si="111"/>
        <v>68.040999999999983</v>
      </c>
      <c r="U130" s="1280">
        <f t="shared" si="111"/>
        <v>70.235000000000014</v>
      </c>
      <c r="V130" s="1280">
        <f t="shared" si="111"/>
        <v>60.344999999999999</v>
      </c>
      <c r="W130" s="1309">
        <f t="shared" si="111"/>
        <v>49.098999999999997</v>
      </c>
      <c r="X130" s="1280">
        <f t="shared" si="111"/>
        <v>62.005999999999993</v>
      </c>
      <c r="Y130" s="1310">
        <f t="shared" si="111"/>
        <v>59.698000000000015</v>
      </c>
      <c r="Z130" s="1308">
        <f t="shared" si="111"/>
        <v>44.328405317023893</v>
      </c>
      <c r="AA130" s="1280">
        <f t="shared" si="111"/>
        <v>29.07156397060335</v>
      </c>
      <c r="AB130" s="1280">
        <f t="shared" si="111"/>
        <v>46.318309241920232</v>
      </c>
      <c r="AC130" s="1280">
        <f t="shared" si="111"/>
        <v>56.735151723714537</v>
      </c>
      <c r="AD130" s="1280">
        <f t="shared" si="111"/>
        <v>55.153161746158375</v>
      </c>
      <c r="AE130" s="1312"/>
      <c r="AF130" s="1280"/>
      <c r="AG130" s="1280">
        <f t="shared" ref="AG130:AM130" si="112">+AG122-AG129</f>
        <v>94.848499999999959</v>
      </c>
      <c r="AH130" s="1280">
        <f t="shared" si="112"/>
        <v>112.39290000000001</v>
      </c>
      <c r="AI130" s="1280">
        <f t="shared" si="112"/>
        <v>284.30549999999999</v>
      </c>
      <c r="AJ130" s="1280">
        <f t="shared" si="112"/>
        <v>329.81400000000002</v>
      </c>
      <c r="AK130" s="1310">
        <f t="shared" si="112"/>
        <v>255.91999999999996</v>
      </c>
      <c r="AL130" s="1280">
        <f t="shared" si="112"/>
        <v>254.98706503924612</v>
      </c>
      <c r="AM130" s="1280">
        <f t="shared" si="112"/>
        <v>187.27818668239649</v>
      </c>
      <c r="AN130" s="1359"/>
    </row>
    <row r="131" spans="1:40" s="1349" customFormat="1" ht="17.25" customHeight="1" x14ac:dyDescent="0.65">
      <c r="A131" s="1272" t="s">
        <v>143</v>
      </c>
      <c r="B131" s="1347"/>
      <c r="C131" s="1296"/>
      <c r="D131" s="1296"/>
      <c r="E131" s="1296"/>
      <c r="F131" s="1297"/>
      <c r="G131" s="1296">
        <f t="shared" ref="G131:AD131" si="113">MAX(G130*25%,0)</f>
        <v>3.2665999999999995</v>
      </c>
      <c r="H131" s="1296">
        <f t="shared" si="113"/>
        <v>3.2386749999999989</v>
      </c>
      <c r="I131" s="1296">
        <f t="shared" si="113"/>
        <v>10.800474999999999</v>
      </c>
      <c r="J131" s="1297">
        <f t="shared" si="113"/>
        <v>10.792475000000003</v>
      </c>
      <c r="K131" s="1296">
        <f t="shared" si="113"/>
        <v>11.845025000000001</v>
      </c>
      <c r="L131" s="1296">
        <f t="shared" si="113"/>
        <v>17.704250000000002</v>
      </c>
      <c r="M131" s="1296">
        <f t="shared" si="113"/>
        <v>21.342850000000002</v>
      </c>
      <c r="N131" s="1297">
        <f t="shared" si="113"/>
        <v>20.184249999999999</v>
      </c>
      <c r="O131" s="1296">
        <f t="shared" si="113"/>
        <v>19.456499999999998</v>
      </c>
      <c r="P131" s="1296">
        <f t="shared" si="113"/>
        <v>22.057500000000001</v>
      </c>
      <c r="Q131" s="1296">
        <f t="shared" si="113"/>
        <v>21.944500000000001</v>
      </c>
      <c r="R131" s="1297">
        <f t="shared" si="113"/>
        <v>18.994999999999997</v>
      </c>
      <c r="S131" s="1298">
        <f t="shared" si="113"/>
        <v>14.324750000000002</v>
      </c>
      <c r="T131" s="1296">
        <f t="shared" si="113"/>
        <v>17.010249999999996</v>
      </c>
      <c r="U131" s="1296">
        <f t="shared" si="113"/>
        <v>17.558750000000003</v>
      </c>
      <c r="V131" s="1296">
        <f t="shared" si="113"/>
        <v>15.08625</v>
      </c>
      <c r="W131" s="1298">
        <f t="shared" si="113"/>
        <v>12.274749999999999</v>
      </c>
      <c r="X131" s="1296">
        <f t="shared" si="113"/>
        <v>15.501499999999998</v>
      </c>
      <c r="Y131" s="1299">
        <f t="shared" si="113"/>
        <v>14.924500000000004</v>
      </c>
      <c r="Z131" s="1297">
        <f t="shared" si="113"/>
        <v>11.082101329255973</v>
      </c>
      <c r="AA131" s="1296">
        <f t="shared" si="113"/>
        <v>7.2678909926508375</v>
      </c>
      <c r="AB131" s="1296">
        <f t="shared" si="113"/>
        <v>11.579577310480058</v>
      </c>
      <c r="AC131" s="1296">
        <f t="shared" si="113"/>
        <v>14.183787930928634</v>
      </c>
      <c r="AD131" s="1296">
        <f t="shared" si="113"/>
        <v>13.788290436539594</v>
      </c>
      <c r="AE131" s="1312"/>
      <c r="AF131" s="1296"/>
      <c r="AG131" s="1296">
        <f t="shared" ref="AG131:AM131" si="114">MAX(AG130*25%,0)</f>
        <v>23.71212499999999</v>
      </c>
      <c r="AH131" s="1296">
        <f t="shared" si="114"/>
        <v>28.098225000000003</v>
      </c>
      <c r="AI131" s="1296">
        <f t="shared" si="114"/>
        <v>71.076374999999999</v>
      </c>
      <c r="AJ131" s="1296">
        <f t="shared" si="114"/>
        <v>82.453500000000005</v>
      </c>
      <c r="AK131" s="1299">
        <f t="shared" si="114"/>
        <v>63.97999999999999</v>
      </c>
      <c r="AL131" s="1296">
        <f t="shared" si="114"/>
        <v>63.74676625981153</v>
      </c>
      <c r="AM131" s="1296">
        <f t="shared" si="114"/>
        <v>46.819546670599124</v>
      </c>
      <c r="AN131" s="1359"/>
    </row>
    <row r="132" spans="1:40" s="1349" customFormat="1" ht="17.25" customHeight="1" x14ac:dyDescent="0.35">
      <c r="A132" s="1306" t="s">
        <v>144</v>
      </c>
      <c r="B132" s="1347"/>
      <c r="C132" s="1280"/>
      <c r="D132" s="1280"/>
      <c r="E132" s="1280"/>
      <c r="F132" s="1308"/>
      <c r="G132" s="1280">
        <f t="shared" ref="G132:AD132" si="115">+G130-G131</f>
        <v>9.7997999999999976</v>
      </c>
      <c r="H132" s="1280">
        <f t="shared" si="115"/>
        <v>9.7160249999999966</v>
      </c>
      <c r="I132" s="1280">
        <f t="shared" si="115"/>
        <v>32.401424999999996</v>
      </c>
      <c r="J132" s="1308">
        <f t="shared" si="115"/>
        <v>32.377425000000009</v>
      </c>
      <c r="K132" s="1280">
        <f t="shared" si="115"/>
        <v>35.535075000000006</v>
      </c>
      <c r="L132" s="1280">
        <f t="shared" si="115"/>
        <v>53.112750000000005</v>
      </c>
      <c r="M132" s="1280">
        <f t="shared" si="115"/>
        <v>64.02855000000001</v>
      </c>
      <c r="N132" s="1308">
        <f t="shared" si="115"/>
        <v>60.552749999999996</v>
      </c>
      <c r="O132" s="1280">
        <f t="shared" si="115"/>
        <v>58.369499999999995</v>
      </c>
      <c r="P132" s="1280">
        <f t="shared" si="115"/>
        <v>66.172499999999999</v>
      </c>
      <c r="Q132" s="1280">
        <f t="shared" si="115"/>
        <v>65.833500000000001</v>
      </c>
      <c r="R132" s="1308">
        <f t="shared" si="115"/>
        <v>56.984999999999992</v>
      </c>
      <c r="S132" s="1309">
        <f t="shared" si="115"/>
        <v>42.974250000000005</v>
      </c>
      <c r="T132" s="1280">
        <f t="shared" si="115"/>
        <v>51.030749999999983</v>
      </c>
      <c r="U132" s="1280">
        <f t="shared" si="115"/>
        <v>52.67625000000001</v>
      </c>
      <c r="V132" s="1280">
        <f t="shared" si="115"/>
        <v>45.258749999999999</v>
      </c>
      <c r="W132" s="1309">
        <f t="shared" si="115"/>
        <v>36.824249999999999</v>
      </c>
      <c r="X132" s="1280">
        <f t="shared" si="115"/>
        <v>46.504499999999993</v>
      </c>
      <c r="Y132" s="1310">
        <f t="shared" si="115"/>
        <v>44.773500000000013</v>
      </c>
      <c r="Z132" s="1308">
        <f t="shared" si="115"/>
        <v>33.246303987767917</v>
      </c>
      <c r="AA132" s="1280">
        <f t="shared" si="115"/>
        <v>21.803672977952512</v>
      </c>
      <c r="AB132" s="1280">
        <f t="shared" si="115"/>
        <v>34.738731931440171</v>
      </c>
      <c r="AC132" s="1280">
        <f t="shared" si="115"/>
        <v>42.551363792785907</v>
      </c>
      <c r="AD132" s="1280">
        <f t="shared" si="115"/>
        <v>41.364871309618778</v>
      </c>
      <c r="AE132" s="1312"/>
      <c r="AF132" s="1280"/>
      <c r="AG132" s="1280">
        <f t="shared" ref="AG132:AM132" si="116">+AG130-AG131</f>
        <v>71.136374999999973</v>
      </c>
      <c r="AH132" s="1280">
        <f t="shared" si="116"/>
        <v>84.294675000000012</v>
      </c>
      <c r="AI132" s="1280">
        <f t="shared" si="116"/>
        <v>213.22912500000001</v>
      </c>
      <c r="AJ132" s="1280">
        <f t="shared" si="116"/>
        <v>247.3605</v>
      </c>
      <c r="AK132" s="1310">
        <f t="shared" si="116"/>
        <v>191.93999999999997</v>
      </c>
      <c r="AL132" s="1280">
        <f t="shared" si="116"/>
        <v>191.2402987794346</v>
      </c>
      <c r="AM132" s="1280">
        <f t="shared" si="116"/>
        <v>140.45864001179737</v>
      </c>
    </row>
    <row r="133" spans="1:40" ht="17.25" customHeight="1" x14ac:dyDescent="0.35">
      <c r="A133" s="1331" t="s">
        <v>141</v>
      </c>
      <c r="B133" s="1274"/>
      <c r="C133" s="1291"/>
      <c r="D133" s="1291"/>
      <c r="E133" s="1291"/>
      <c r="F133" s="1292"/>
      <c r="G133" s="1332"/>
      <c r="H133" s="1312"/>
      <c r="I133" s="1312"/>
      <c r="J133" s="1313"/>
      <c r="K133" s="1312">
        <f t="shared" ref="K133:AD133" si="117">+K132/G132-1</f>
        <v>2.6261020633074161</v>
      </c>
      <c r="L133" s="1312">
        <f t="shared" si="117"/>
        <v>4.466510224088557</v>
      </c>
      <c r="M133" s="1312">
        <f t="shared" si="117"/>
        <v>0.97610290288158685</v>
      </c>
      <c r="N133" s="1313">
        <f t="shared" si="117"/>
        <v>0.87021512674340151</v>
      </c>
      <c r="O133" s="1312">
        <f t="shared" si="117"/>
        <v>0.64258834405161624</v>
      </c>
      <c r="P133" s="1312">
        <f t="shared" si="117"/>
        <v>0.24588728695087325</v>
      </c>
      <c r="Q133" s="1312">
        <f t="shared" si="117"/>
        <v>2.8189768470471277E-2</v>
      </c>
      <c r="R133" s="1313">
        <f t="shared" si="117"/>
        <v>-5.8919702243085625E-2</v>
      </c>
      <c r="S133" s="1314">
        <f t="shared" si="117"/>
        <v>-0.26375504330172417</v>
      </c>
      <c r="T133" s="1312">
        <f t="shared" si="117"/>
        <v>-0.22882239601042753</v>
      </c>
      <c r="U133" s="1312">
        <f t="shared" si="117"/>
        <v>-0.19985645605960478</v>
      </c>
      <c r="V133" s="1312">
        <f t="shared" si="117"/>
        <v>-0.2057778362727033</v>
      </c>
      <c r="W133" s="1314">
        <f t="shared" si="117"/>
        <v>-0.14310895478106089</v>
      </c>
      <c r="X133" s="1312">
        <f t="shared" si="117"/>
        <v>-8.8696521215149482E-2</v>
      </c>
      <c r="Y133" s="1315">
        <f t="shared" si="117"/>
        <v>-0.15002491635224591</v>
      </c>
      <c r="Z133" s="1313">
        <f t="shared" si="117"/>
        <v>-0.26541709641190003</v>
      </c>
      <c r="AA133" s="1312">
        <f t="shared" si="117"/>
        <v>-0.40789906167939571</v>
      </c>
      <c r="AB133" s="1312">
        <f t="shared" si="117"/>
        <v>-0.2530027861510139</v>
      </c>
      <c r="AC133" s="1312">
        <f t="shared" si="117"/>
        <v>-4.9630612018584763E-2</v>
      </c>
      <c r="AD133" s="1312">
        <f t="shared" si="117"/>
        <v>0.24419458249668513</v>
      </c>
      <c r="AE133" s="1291"/>
      <c r="AF133" s="1312"/>
      <c r="AG133" s="1312"/>
      <c r="AH133" s="1312">
        <f t="shared" ref="AH133:AM133" si="118">+AH132/AG132-1</f>
        <v>0.18497287779986049</v>
      </c>
      <c r="AI133" s="1312">
        <f t="shared" si="118"/>
        <v>1.5295681488777313</v>
      </c>
      <c r="AJ133" s="1312">
        <f t="shared" si="118"/>
        <v>0.1600690102724005</v>
      </c>
      <c r="AK133" s="1315">
        <f t="shared" si="118"/>
        <v>-0.22404749343569419</v>
      </c>
      <c r="AL133" s="1312">
        <f t="shared" si="118"/>
        <v>-3.6454163830643704E-3</v>
      </c>
      <c r="AM133" s="1312">
        <f t="shared" si="118"/>
        <v>-0.26553848269294866</v>
      </c>
    </row>
    <row r="134" spans="1:40" s="1349" customFormat="1" ht="17.25" customHeight="1" x14ac:dyDescent="0.35">
      <c r="A134" s="1331"/>
      <c r="B134" s="1347"/>
      <c r="C134" s="1312"/>
      <c r="D134" s="1312"/>
      <c r="E134" s="1312"/>
      <c r="F134" s="1313"/>
      <c r="G134" s="1312"/>
      <c r="H134" s="1312"/>
      <c r="I134" s="1312"/>
      <c r="J134" s="1313"/>
      <c r="K134" s="1312"/>
      <c r="L134" s="1312"/>
      <c r="M134" s="1280"/>
      <c r="N134" s="1313"/>
      <c r="O134" s="1312"/>
      <c r="P134" s="1312"/>
      <c r="Q134" s="1312"/>
      <c r="R134" s="1308"/>
      <c r="S134" s="1309"/>
      <c r="T134" s="1312"/>
      <c r="U134" s="1312"/>
      <c r="V134" s="1312"/>
      <c r="W134" s="1314"/>
      <c r="X134" s="1312"/>
      <c r="Y134" s="1315"/>
      <c r="Z134" s="1313"/>
      <c r="AA134" s="1312"/>
      <c r="AB134" s="1312"/>
      <c r="AC134" s="1312"/>
      <c r="AD134" s="1312"/>
      <c r="AE134" s="1312"/>
      <c r="AF134" s="1312"/>
      <c r="AG134" s="1312"/>
      <c r="AH134" s="1312"/>
      <c r="AI134" s="1312"/>
      <c r="AJ134" s="1312"/>
      <c r="AK134" s="1315"/>
      <c r="AN134" s="1359"/>
    </row>
    <row r="135" spans="1:40" s="1349" customFormat="1" ht="17.25" customHeight="1" x14ac:dyDescent="0.35">
      <c r="A135" s="1290" t="s">
        <v>48</v>
      </c>
      <c r="B135" s="1347"/>
      <c r="C135" s="1312"/>
      <c r="D135" s="1312"/>
      <c r="E135" s="1312"/>
      <c r="F135" s="1313"/>
      <c r="G135" s="1312"/>
      <c r="H135" s="1312"/>
      <c r="I135" s="1312"/>
      <c r="J135" s="1313"/>
      <c r="K135" s="1312"/>
      <c r="L135" s="1312"/>
      <c r="M135" s="1280"/>
      <c r="N135" s="1313"/>
      <c r="O135" s="1312"/>
      <c r="P135" s="1312"/>
      <c r="Q135" s="1312"/>
      <c r="R135" s="1308"/>
      <c r="S135" s="1309"/>
      <c r="T135" s="1312"/>
      <c r="U135" s="1312"/>
      <c r="V135" s="1312"/>
      <c r="W135" s="1314"/>
      <c r="X135" s="1312"/>
      <c r="Y135" s="1315"/>
      <c r="Z135" s="1313"/>
      <c r="AA135" s="1312"/>
      <c r="AB135" s="1312"/>
      <c r="AC135" s="1312"/>
      <c r="AD135" s="1312"/>
      <c r="AE135" s="1312"/>
      <c r="AF135" s="1312"/>
      <c r="AG135" s="1312"/>
      <c r="AH135" s="1312"/>
      <c r="AI135" s="1312"/>
      <c r="AJ135" s="1312"/>
      <c r="AK135" s="1315"/>
    </row>
    <row r="136" spans="1:40" s="1349" customFormat="1" ht="17.25" customHeight="1" x14ac:dyDescent="0.35">
      <c r="A136" s="1272" t="s">
        <v>188</v>
      </c>
      <c r="B136" s="1347"/>
      <c r="C136" s="1280"/>
      <c r="D136" s="1280"/>
      <c r="E136" s="1280"/>
      <c r="F136" s="1308"/>
      <c r="G136" s="1280">
        <f t="shared" ref="G136:AD136" si="119">+G81</f>
        <v>49.999200000000002</v>
      </c>
      <c r="H136" s="1280">
        <f t="shared" si="119"/>
        <v>44.432400000000001</v>
      </c>
      <c r="I136" s="1280">
        <f t="shared" si="119"/>
        <v>72.589799999999997</v>
      </c>
      <c r="J136" s="1308">
        <f t="shared" si="119"/>
        <v>70.293000000000006</v>
      </c>
      <c r="K136" s="1280">
        <f t="shared" si="119"/>
        <v>71.932900000000004</v>
      </c>
      <c r="L136" s="1280">
        <f t="shared" si="119"/>
        <v>99.935000000000002</v>
      </c>
      <c r="M136" s="1280">
        <f t="shared" si="119"/>
        <v>108.7925</v>
      </c>
      <c r="N136" s="1308">
        <f t="shared" si="119"/>
        <v>103.18199999999999</v>
      </c>
      <c r="O136" s="1280">
        <f t="shared" si="119"/>
        <v>94.268999999999991</v>
      </c>
      <c r="P136" s="1280">
        <f t="shared" si="119"/>
        <v>109.34</v>
      </c>
      <c r="Q136" s="1280">
        <f t="shared" si="119"/>
        <v>108.971</v>
      </c>
      <c r="R136" s="1308">
        <f t="shared" si="119"/>
        <v>103.172</v>
      </c>
      <c r="S136" s="1309">
        <f t="shared" si="119"/>
        <v>86.948999999999998</v>
      </c>
      <c r="T136" s="1280">
        <f t="shared" si="119"/>
        <v>93.008999999999986</v>
      </c>
      <c r="U136" s="1280">
        <f t="shared" si="119"/>
        <v>97.774000000000001</v>
      </c>
      <c r="V136" s="1280">
        <f t="shared" si="119"/>
        <v>94.932999999999993</v>
      </c>
      <c r="W136" s="1309">
        <f t="shared" si="119"/>
        <v>75.316999999999993</v>
      </c>
      <c r="X136" s="1280">
        <f t="shared" si="119"/>
        <v>91.997</v>
      </c>
      <c r="Y136" s="1310">
        <f t="shared" si="119"/>
        <v>99.335000000000008</v>
      </c>
      <c r="Z136" s="1308">
        <f t="shared" si="119"/>
        <v>96.660165084383223</v>
      </c>
      <c r="AA136" s="1280">
        <f t="shared" si="119"/>
        <v>82.336480729474388</v>
      </c>
      <c r="AB136" s="1280">
        <f t="shared" si="119"/>
        <v>99.785785020094607</v>
      </c>
      <c r="AC136" s="1280">
        <f t="shared" si="119"/>
        <v>109.88654036346762</v>
      </c>
      <c r="AD136" s="1280">
        <f t="shared" si="119"/>
        <v>107.75372699587155</v>
      </c>
      <c r="AE136" s="1312"/>
      <c r="AF136" s="1280"/>
      <c r="AG136" s="1280">
        <f t="shared" ref="AG136:AM136" si="120">+AG81</f>
        <v>240.03809999999996</v>
      </c>
      <c r="AH136" s="1280">
        <f t="shared" si="120"/>
        <v>237.31440000000001</v>
      </c>
      <c r="AI136" s="1280">
        <f t="shared" si="120"/>
        <v>383.8424</v>
      </c>
      <c r="AJ136" s="1280">
        <f t="shared" si="120"/>
        <v>415.75200000000001</v>
      </c>
      <c r="AK136" s="1310">
        <f t="shared" si="120"/>
        <v>372.66499999999996</v>
      </c>
      <c r="AL136" s="1280">
        <f t="shared" si="120"/>
        <v>363.30916508438321</v>
      </c>
      <c r="AM136" s="1280">
        <f t="shared" si="120"/>
        <v>399.76253310890814</v>
      </c>
    </row>
    <row r="137" spans="1:40" s="1349" customFormat="1" ht="17.25" customHeight="1" x14ac:dyDescent="0.35">
      <c r="A137" s="1363" t="s">
        <v>146</v>
      </c>
      <c r="B137" s="1347"/>
      <c r="C137" s="1280"/>
      <c r="D137" s="1280"/>
      <c r="E137" s="1280"/>
      <c r="F137" s="1308"/>
      <c r="G137" s="1280">
        <f t="shared" ref="G137:AD137" si="121">-G96</f>
        <v>-10.908000000000001</v>
      </c>
      <c r="H137" s="1280">
        <f t="shared" si="121"/>
        <v>-8.9579999999999984</v>
      </c>
      <c r="I137" s="1280">
        <f t="shared" si="121"/>
        <v>-8.7870000000000026</v>
      </c>
      <c r="J137" s="1308">
        <f t="shared" si="121"/>
        <v>-8.267000000000003</v>
      </c>
      <c r="K137" s="1280">
        <f t="shared" si="121"/>
        <v>-9.6229999999999993</v>
      </c>
      <c r="L137" s="1280">
        <f t="shared" si="121"/>
        <v>-11.9201</v>
      </c>
      <c r="M137" s="1280">
        <f t="shared" si="121"/>
        <v>-12.0579</v>
      </c>
      <c r="N137" s="1308">
        <f t="shared" si="121"/>
        <v>-10.943000000000001</v>
      </c>
      <c r="O137" s="1280">
        <f t="shared" si="121"/>
        <v>-13.026999999999999</v>
      </c>
      <c r="P137" s="1280">
        <f t="shared" si="121"/>
        <v>-13.715</v>
      </c>
      <c r="Q137" s="1280">
        <f t="shared" si="121"/>
        <v>-10.889000000000001</v>
      </c>
      <c r="R137" s="1308">
        <f t="shared" si="121"/>
        <v>-12.453000000000001</v>
      </c>
      <c r="S137" s="1309">
        <f t="shared" si="121"/>
        <v>-11.372</v>
      </c>
      <c r="T137" s="1280">
        <f t="shared" si="121"/>
        <v>-11.024000000000001</v>
      </c>
      <c r="U137" s="1280">
        <f t="shared" si="121"/>
        <v>-13.020999999999999</v>
      </c>
      <c r="V137" s="1280">
        <f t="shared" si="121"/>
        <v>-12.747999999999998</v>
      </c>
      <c r="W137" s="1309">
        <f t="shared" si="121"/>
        <v>-12.076000000000001</v>
      </c>
      <c r="X137" s="1280">
        <f t="shared" si="121"/>
        <v>-13.136000000000001</v>
      </c>
      <c r="Y137" s="1310">
        <f t="shared" si="121"/>
        <v>-13.106</v>
      </c>
      <c r="Z137" s="1308">
        <f t="shared" si="121"/>
        <v>-13.470448223059483</v>
      </c>
      <c r="AA137" s="1280">
        <f t="shared" si="121"/>
        <v>-12.046730218701136</v>
      </c>
      <c r="AB137" s="1280">
        <f t="shared" si="121"/>
        <v>-12.857310391178768</v>
      </c>
      <c r="AC137" s="1280">
        <f t="shared" si="121"/>
        <v>-13.024309810792069</v>
      </c>
      <c r="AD137" s="1280">
        <f t="shared" si="121"/>
        <v>-13.452990444889071</v>
      </c>
      <c r="AE137" s="1312"/>
      <c r="AF137" s="1280"/>
      <c r="AG137" s="1280">
        <f t="shared" ref="AG137:AM137" si="122">-AG96</f>
        <v>-51.733199999999997</v>
      </c>
      <c r="AH137" s="1280">
        <f t="shared" si="122"/>
        <v>-36.92</v>
      </c>
      <c r="AI137" s="1280">
        <f t="shared" si="122"/>
        <v>-44.543999999999997</v>
      </c>
      <c r="AJ137" s="1280">
        <f t="shared" si="122"/>
        <v>-50.084000000000003</v>
      </c>
      <c r="AK137" s="1310">
        <f t="shared" si="122"/>
        <v>-48.164999999999992</v>
      </c>
      <c r="AL137" s="1280">
        <f t="shared" si="122"/>
        <v>-51.78844822305949</v>
      </c>
      <c r="AM137" s="1280">
        <f t="shared" si="122"/>
        <v>-51.381340865561043</v>
      </c>
    </row>
    <row r="138" spans="1:40" s="1349" customFormat="1" ht="17.25" customHeight="1" x14ac:dyDescent="0.35">
      <c r="A138" s="1272" t="s">
        <v>147</v>
      </c>
      <c r="B138" s="1347"/>
      <c r="C138" s="1280"/>
      <c r="D138" s="1280"/>
      <c r="E138" s="1280"/>
      <c r="F138" s="1308"/>
      <c r="G138" s="1280">
        <f t="shared" ref="G138:AD138" si="123">-G129</f>
        <v>-26.133900000000001</v>
      </c>
      <c r="H138" s="1280">
        <f t="shared" si="123"/>
        <v>-21.479300000000002</v>
      </c>
      <c r="I138" s="1280">
        <f t="shared" si="123"/>
        <v>-19.110699999999998</v>
      </c>
      <c r="J138" s="1308">
        <f t="shared" si="123"/>
        <v>-16.4495</v>
      </c>
      <c r="K138" s="1280">
        <f t="shared" si="123"/>
        <v>-14.0162</v>
      </c>
      <c r="L138" s="1280">
        <f t="shared" si="123"/>
        <v>-17.692999999999998</v>
      </c>
      <c r="M138" s="1280">
        <f t="shared" si="123"/>
        <v>-11.974</v>
      </c>
      <c r="N138" s="1308">
        <f t="shared" si="123"/>
        <v>-10.615000000000002</v>
      </c>
      <c r="O138" s="1280">
        <f t="shared" si="123"/>
        <v>-5.1320000000000006</v>
      </c>
      <c r="P138" s="1280">
        <f t="shared" si="123"/>
        <v>-9.222999999999999</v>
      </c>
      <c r="Q138" s="1280">
        <f t="shared" si="123"/>
        <v>-8.895999999999999</v>
      </c>
      <c r="R138" s="1308">
        <f t="shared" si="123"/>
        <v>-14.024999999999999</v>
      </c>
      <c r="S138" s="1309">
        <f t="shared" si="123"/>
        <v>-16.876999999999999</v>
      </c>
      <c r="T138" s="1280">
        <f t="shared" si="123"/>
        <v>-12.887</v>
      </c>
      <c r="U138" s="1280">
        <f t="shared" si="123"/>
        <v>-16.856999999999999</v>
      </c>
      <c r="V138" s="1280">
        <f t="shared" si="123"/>
        <v>-22.215</v>
      </c>
      <c r="W138" s="1309">
        <f t="shared" si="123"/>
        <v>-13.882</v>
      </c>
      <c r="X138" s="1280">
        <f t="shared" si="123"/>
        <v>-17.496000000000002</v>
      </c>
      <c r="Y138" s="1310">
        <f t="shared" si="123"/>
        <v>-26.936</v>
      </c>
      <c r="Z138" s="1308">
        <f t="shared" si="123"/>
        <v>-39.855659722222214</v>
      </c>
      <c r="AA138" s="1280">
        <f t="shared" si="123"/>
        <v>-39.855659722222214</v>
      </c>
      <c r="AB138" s="1280">
        <f t="shared" si="123"/>
        <v>-39.855659722222214</v>
      </c>
      <c r="AC138" s="1280">
        <f t="shared" si="123"/>
        <v>-39.855659722222214</v>
      </c>
      <c r="AD138" s="1280">
        <f t="shared" si="123"/>
        <v>-39.855659722222214</v>
      </c>
      <c r="AE138" s="1312"/>
      <c r="AF138" s="1280"/>
      <c r="AG138" s="1280">
        <f t="shared" ref="AG138:AM138" si="124">-AG129</f>
        <v>-102.038</v>
      </c>
      <c r="AH138" s="1280">
        <f t="shared" si="124"/>
        <v>-83.173400000000001</v>
      </c>
      <c r="AI138" s="1280">
        <f t="shared" si="124"/>
        <v>-54.298200000000001</v>
      </c>
      <c r="AJ138" s="1280">
        <f t="shared" si="124"/>
        <v>-37.275999999999996</v>
      </c>
      <c r="AK138" s="1310">
        <f t="shared" si="124"/>
        <v>-68.835999999999999</v>
      </c>
      <c r="AL138" s="1280">
        <f t="shared" si="124"/>
        <v>-58.313999999999993</v>
      </c>
      <c r="AM138" s="1280">
        <f t="shared" si="124"/>
        <v>-159.42263888888886</v>
      </c>
    </row>
    <row r="139" spans="1:40" s="1349" customFormat="1" ht="17.25" customHeight="1" x14ac:dyDescent="0.65">
      <c r="A139" s="1272" t="s">
        <v>148</v>
      </c>
      <c r="B139" s="1347"/>
      <c r="C139" s="1300"/>
      <c r="D139" s="1300"/>
      <c r="E139" s="1300"/>
      <c r="F139" s="1353"/>
      <c r="G139" s="1300">
        <f t="shared" ref="G139:AD139" si="125">-G131</f>
        <v>-3.2665999999999995</v>
      </c>
      <c r="H139" s="1300">
        <f t="shared" si="125"/>
        <v>-3.2386749999999989</v>
      </c>
      <c r="I139" s="1300">
        <f t="shared" si="125"/>
        <v>-10.800474999999999</v>
      </c>
      <c r="J139" s="1353">
        <f t="shared" si="125"/>
        <v>-10.792475000000003</v>
      </c>
      <c r="K139" s="1300">
        <f t="shared" si="125"/>
        <v>-11.845025000000001</v>
      </c>
      <c r="L139" s="1300">
        <f t="shared" si="125"/>
        <v>-17.704250000000002</v>
      </c>
      <c r="M139" s="1300">
        <f t="shared" si="125"/>
        <v>-21.342850000000002</v>
      </c>
      <c r="N139" s="1353">
        <f t="shared" si="125"/>
        <v>-20.184249999999999</v>
      </c>
      <c r="O139" s="1300">
        <f t="shared" si="125"/>
        <v>-19.456499999999998</v>
      </c>
      <c r="P139" s="1300">
        <f t="shared" si="125"/>
        <v>-22.057500000000001</v>
      </c>
      <c r="Q139" s="1300">
        <f t="shared" si="125"/>
        <v>-21.944500000000001</v>
      </c>
      <c r="R139" s="1353">
        <f t="shared" si="125"/>
        <v>-18.994999999999997</v>
      </c>
      <c r="S139" s="1354">
        <f t="shared" si="125"/>
        <v>-14.324750000000002</v>
      </c>
      <c r="T139" s="1300">
        <f t="shared" si="125"/>
        <v>-17.010249999999996</v>
      </c>
      <c r="U139" s="1300">
        <f t="shared" si="125"/>
        <v>-17.558750000000003</v>
      </c>
      <c r="V139" s="1300">
        <f t="shared" si="125"/>
        <v>-15.08625</v>
      </c>
      <c r="W139" s="1354">
        <f t="shared" si="125"/>
        <v>-12.274749999999999</v>
      </c>
      <c r="X139" s="1300">
        <f t="shared" si="125"/>
        <v>-15.501499999999998</v>
      </c>
      <c r="Y139" s="1355">
        <f t="shared" si="125"/>
        <v>-14.924500000000004</v>
      </c>
      <c r="Z139" s="1353">
        <f t="shared" si="125"/>
        <v>-11.082101329255973</v>
      </c>
      <c r="AA139" s="1300">
        <f t="shared" si="125"/>
        <v>-7.2678909926508375</v>
      </c>
      <c r="AB139" s="1300">
        <f t="shared" si="125"/>
        <v>-11.579577310480058</v>
      </c>
      <c r="AC139" s="1300">
        <f t="shared" si="125"/>
        <v>-14.183787930928634</v>
      </c>
      <c r="AD139" s="1300">
        <f t="shared" si="125"/>
        <v>-13.788290436539594</v>
      </c>
      <c r="AE139" s="1312"/>
      <c r="AF139" s="1300"/>
      <c r="AG139" s="1300">
        <f t="shared" ref="AG139:AM139" si="126">-AG131</f>
        <v>-23.71212499999999</v>
      </c>
      <c r="AH139" s="1300">
        <f t="shared" si="126"/>
        <v>-28.098225000000003</v>
      </c>
      <c r="AI139" s="1300">
        <f t="shared" si="126"/>
        <v>-71.076374999999999</v>
      </c>
      <c r="AJ139" s="1300">
        <f t="shared" si="126"/>
        <v>-82.453500000000005</v>
      </c>
      <c r="AK139" s="1355">
        <f t="shared" si="126"/>
        <v>-63.97999999999999</v>
      </c>
      <c r="AL139" s="1300">
        <f t="shared" si="126"/>
        <v>-63.74676625981153</v>
      </c>
      <c r="AM139" s="1300">
        <f t="shared" si="126"/>
        <v>-46.819546670599124</v>
      </c>
    </row>
    <row r="140" spans="1:40" s="1349" customFormat="1" ht="17.25" customHeight="1" x14ac:dyDescent="0.35">
      <c r="A140" s="1301" t="s">
        <v>48</v>
      </c>
      <c r="B140" s="1347"/>
      <c r="C140" s="1302"/>
      <c r="D140" s="1302"/>
      <c r="E140" s="1302"/>
      <c r="F140" s="1303"/>
      <c r="G140" s="1302">
        <f t="shared" ref="G140:AD140" si="127">SUM(G136:G139)</f>
        <v>9.6906999999999996</v>
      </c>
      <c r="H140" s="1302">
        <f t="shared" si="127"/>
        <v>10.756425000000002</v>
      </c>
      <c r="I140" s="1302">
        <f t="shared" si="127"/>
        <v>33.891624999999998</v>
      </c>
      <c r="J140" s="1303">
        <f t="shared" si="127"/>
        <v>34.784025</v>
      </c>
      <c r="K140" s="1302">
        <f t="shared" si="127"/>
        <v>36.448675000000009</v>
      </c>
      <c r="L140" s="1302">
        <f t="shared" si="127"/>
        <v>52.617649999999998</v>
      </c>
      <c r="M140" s="1302">
        <f t="shared" si="127"/>
        <v>63.417749999999998</v>
      </c>
      <c r="N140" s="1303">
        <f t="shared" si="127"/>
        <v>61.439749999999997</v>
      </c>
      <c r="O140" s="1302">
        <f t="shared" si="127"/>
        <v>56.653499999999987</v>
      </c>
      <c r="P140" s="1302">
        <f t="shared" si="127"/>
        <v>64.344499999999996</v>
      </c>
      <c r="Q140" s="1302">
        <f t="shared" si="127"/>
        <v>67.241500000000002</v>
      </c>
      <c r="R140" s="1303">
        <f t="shared" si="127"/>
        <v>57.698999999999991</v>
      </c>
      <c r="S140" s="1304">
        <f t="shared" si="127"/>
        <v>44.375250000000001</v>
      </c>
      <c r="T140" s="1302">
        <f t="shared" si="127"/>
        <v>52.087749999999986</v>
      </c>
      <c r="U140" s="1302">
        <f t="shared" si="127"/>
        <v>50.337249999999997</v>
      </c>
      <c r="V140" s="1302">
        <f t="shared" si="127"/>
        <v>44.883749999999999</v>
      </c>
      <c r="W140" s="1304">
        <f t="shared" si="127"/>
        <v>37.084249999999997</v>
      </c>
      <c r="X140" s="1302">
        <f t="shared" si="127"/>
        <v>45.863500000000002</v>
      </c>
      <c r="Y140" s="1305">
        <f t="shared" si="127"/>
        <v>44.368500000000012</v>
      </c>
      <c r="Z140" s="1303">
        <f t="shared" si="127"/>
        <v>32.251955809845555</v>
      </c>
      <c r="AA140" s="1302">
        <f t="shared" si="127"/>
        <v>23.166199795900194</v>
      </c>
      <c r="AB140" s="1302">
        <f t="shared" si="127"/>
        <v>35.493237596213561</v>
      </c>
      <c r="AC140" s="1302">
        <f t="shared" si="127"/>
        <v>42.822782899524711</v>
      </c>
      <c r="AD140" s="1302">
        <f t="shared" si="127"/>
        <v>40.656786392220667</v>
      </c>
      <c r="AE140" s="1312"/>
      <c r="AF140" s="1302"/>
      <c r="AG140" s="1302">
        <f t="shared" ref="AG140:AM140" si="128">SUM(AG136:AG139)</f>
        <v>62.554774999999992</v>
      </c>
      <c r="AH140" s="1302">
        <f t="shared" si="128"/>
        <v>89.122775000000019</v>
      </c>
      <c r="AI140" s="1302">
        <f t="shared" si="128"/>
        <v>213.92382500000002</v>
      </c>
      <c r="AJ140" s="1302">
        <f t="shared" si="128"/>
        <v>245.93849999999998</v>
      </c>
      <c r="AK140" s="1305">
        <f t="shared" si="128"/>
        <v>191.684</v>
      </c>
      <c r="AL140" s="1302">
        <f t="shared" si="128"/>
        <v>189.45995060151219</v>
      </c>
      <c r="AM140" s="1302">
        <f t="shared" si="128"/>
        <v>142.13900668385909</v>
      </c>
    </row>
    <row r="141" spans="1:40" s="1274" customFormat="1" ht="17.25" customHeight="1" x14ac:dyDescent="0.35">
      <c r="A141" s="1324" t="s">
        <v>141</v>
      </c>
      <c r="C141" s="1325"/>
      <c r="D141" s="1325"/>
      <c r="E141" s="1325"/>
      <c r="F141" s="1326"/>
      <c r="G141" s="1364"/>
      <c r="H141" s="1327"/>
      <c r="I141" s="1327"/>
      <c r="J141" s="1328"/>
      <c r="K141" s="1327">
        <f t="shared" ref="K141:AD141" si="129">+K140/G140-1</f>
        <v>2.7612014611947546</v>
      </c>
      <c r="L141" s="1327">
        <f t="shared" si="129"/>
        <v>3.8917414475534375</v>
      </c>
      <c r="M141" s="1327">
        <f t="shared" si="129"/>
        <v>0.87119236684579171</v>
      </c>
      <c r="N141" s="1328">
        <f t="shared" si="129"/>
        <v>0.76632089012125526</v>
      </c>
      <c r="O141" s="1327">
        <f t="shared" si="129"/>
        <v>0.5543363373291339</v>
      </c>
      <c r="P141" s="1327">
        <f t="shared" si="129"/>
        <v>0.22286913231586736</v>
      </c>
      <c r="Q141" s="1327">
        <f t="shared" si="129"/>
        <v>6.0294633600214587E-2</v>
      </c>
      <c r="R141" s="1328">
        <f t="shared" si="129"/>
        <v>-6.0884850605674723E-2</v>
      </c>
      <c r="S141" s="1329">
        <f t="shared" si="129"/>
        <v>-0.21672535677407379</v>
      </c>
      <c r="T141" s="1327">
        <f t="shared" si="129"/>
        <v>-0.19048636635609895</v>
      </c>
      <c r="U141" s="1327">
        <f t="shared" si="129"/>
        <v>-0.25139608723779217</v>
      </c>
      <c r="V141" s="1327">
        <f t="shared" si="129"/>
        <v>-0.22210523579264796</v>
      </c>
      <c r="W141" s="1329">
        <f t="shared" si="129"/>
        <v>-0.16430329969972013</v>
      </c>
      <c r="X141" s="1327">
        <f t="shared" si="129"/>
        <v>-0.11949546678441636</v>
      </c>
      <c r="Y141" s="1330">
        <f t="shared" si="129"/>
        <v>-0.11857521020715245</v>
      </c>
      <c r="Z141" s="1328">
        <f t="shared" si="129"/>
        <v>-0.28143357429257676</v>
      </c>
      <c r="AA141" s="1327">
        <f t="shared" si="129"/>
        <v>-0.37530893045160152</v>
      </c>
      <c r="AB141" s="1327">
        <f t="shared" si="129"/>
        <v>-0.22611144818399032</v>
      </c>
      <c r="AC141" s="1327">
        <f t="shared" si="129"/>
        <v>-3.4838164474239597E-2</v>
      </c>
      <c r="AD141" s="1327">
        <f t="shared" si="129"/>
        <v>0.26059909767733735</v>
      </c>
      <c r="AE141" s="1325"/>
      <c r="AF141" s="1327"/>
      <c r="AG141" s="1327"/>
      <c r="AH141" s="1327">
        <f t="shared" ref="AH141:AM141" si="130">+AH140/AG140-1</f>
        <v>0.42471577909120484</v>
      </c>
      <c r="AI141" s="1327">
        <f t="shared" si="130"/>
        <v>1.4003272451963036</v>
      </c>
      <c r="AJ141" s="1327">
        <f t="shared" si="130"/>
        <v>0.14965455577470133</v>
      </c>
      <c r="AK141" s="1330">
        <f t="shared" si="130"/>
        <v>-0.22060189844209011</v>
      </c>
      <c r="AL141" s="1312">
        <f t="shared" si="130"/>
        <v>-1.1602686705660448E-2</v>
      </c>
      <c r="AM141" s="1312">
        <f t="shared" si="130"/>
        <v>-0.249767530116074</v>
      </c>
    </row>
    <row r="142" spans="1:40" s="1349" customFormat="1" ht="17.25" customHeight="1" x14ac:dyDescent="0.35">
      <c r="A142" s="1306"/>
      <c r="B142" s="1347"/>
      <c r="C142" s="1312"/>
      <c r="D142" s="1312"/>
      <c r="E142" s="1312"/>
      <c r="F142" s="1313"/>
      <c r="G142" s="1312"/>
      <c r="H142" s="1312"/>
      <c r="I142" s="1312"/>
      <c r="J142" s="1313"/>
      <c r="K142" s="1312"/>
      <c r="L142" s="1312"/>
      <c r="M142" s="1280"/>
      <c r="N142" s="1313"/>
      <c r="O142" s="1312"/>
      <c r="P142" s="1312"/>
      <c r="Q142" s="1312"/>
      <c r="R142" s="1308"/>
      <c r="S142" s="1309"/>
      <c r="T142" s="1312"/>
      <c r="U142" s="1312"/>
      <c r="V142" s="1312"/>
      <c r="W142" s="1314"/>
      <c r="X142" s="1312"/>
      <c r="Y142" s="1315"/>
      <c r="Z142" s="1313"/>
      <c r="AA142" s="1312"/>
      <c r="AB142" s="1312"/>
      <c r="AC142" s="1312"/>
      <c r="AD142" s="1312"/>
      <c r="AE142" s="1312"/>
      <c r="AF142" s="1312"/>
      <c r="AG142" s="1312"/>
      <c r="AH142" s="1312"/>
      <c r="AI142" s="1312"/>
      <c r="AJ142" s="1312"/>
      <c r="AK142" s="1315"/>
    </row>
    <row r="143" spans="1:40" s="1349" customFormat="1" ht="17.25" customHeight="1" x14ac:dyDescent="0.35">
      <c r="A143" s="1363" t="s">
        <v>37</v>
      </c>
      <c r="B143" s="1347"/>
      <c r="C143" s="1312"/>
      <c r="D143" s="1312"/>
      <c r="E143" s="1312"/>
      <c r="F143" s="1313"/>
      <c r="G143" s="1280">
        <f t="shared" ref="G143:Z143" si="131">+G71</f>
        <v>4.8020999999999994</v>
      </c>
      <c r="H143" s="1280">
        <f t="shared" si="131"/>
        <v>1.161</v>
      </c>
      <c r="I143" s="1280">
        <f t="shared" si="131"/>
        <v>1.1002000000000001</v>
      </c>
      <c r="J143" s="1308">
        <f t="shared" si="131"/>
        <v>2.2534000000000001</v>
      </c>
      <c r="K143" s="1280">
        <f t="shared" si="131"/>
        <v>1.4615</v>
      </c>
      <c r="L143" s="1280">
        <f t="shared" si="131"/>
        <v>3.42</v>
      </c>
      <c r="M143" s="1280">
        <f t="shared" si="131"/>
        <v>6.4509999999999996</v>
      </c>
      <c r="N143" s="1308">
        <f t="shared" si="131"/>
        <v>10.305</v>
      </c>
      <c r="O143" s="1280">
        <f t="shared" si="131"/>
        <v>6.9669999999999996</v>
      </c>
      <c r="P143" s="1280">
        <f t="shared" si="131"/>
        <v>7.9659999999999993</v>
      </c>
      <c r="Q143" s="1280">
        <f t="shared" si="131"/>
        <v>8.3149999999999995</v>
      </c>
      <c r="R143" s="1308">
        <f t="shared" si="131"/>
        <v>8.4130000000000003</v>
      </c>
      <c r="S143" s="1309">
        <f t="shared" si="131"/>
        <v>7.1659999999999995</v>
      </c>
      <c r="T143" s="1280">
        <f t="shared" si="131"/>
        <v>12.959</v>
      </c>
      <c r="U143" s="1280">
        <f t="shared" si="131"/>
        <v>14.573</v>
      </c>
      <c r="V143" s="1280">
        <f t="shared" si="131"/>
        <v>15.216999999999995</v>
      </c>
      <c r="W143" s="1309">
        <f t="shared" si="131"/>
        <v>9.7510000000000012</v>
      </c>
      <c r="X143" s="1280">
        <f t="shared" si="131"/>
        <v>10.048</v>
      </c>
      <c r="Y143" s="1310">
        <f t="shared" si="131"/>
        <v>10</v>
      </c>
      <c r="Z143" s="1308">
        <f t="shared" si="131"/>
        <v>10</v>
      </c>
      <c r="AA143" s="1280"/>
      <c r="AB143" s="1280"/>
      <c r="AC143" s="1280"/>
      <c r="AD143" s="1280"/>
      <c r="AE143" s="1312"/>
      <c r="AF143" s="1280"/>
      <c r="AG143" s="1280">
        <f>+AG71</f>
        <v>2.7186000000000003</v>
      </c>
      <c r="AH143" s="1280">
        <f>+AH71</f>
        <v>9.3167000000000009</v>
      </c>
      <c r="AI143" s="1280">
        <f>+AI71</f>
        <v>21.637500000000003</v>
      </c>
      <c r="AJ143" s="1280">
        <f>+AJ71</f>
        <v>31.661000000000001</v>
      </c>
      <c r="AK143" s="1310">
        <f>+AK71</f>
        <v>49.914999999999999</v>
      </c>
      <c r="AL143" s="1291">
        <f>+SUM(W143:Z143)</f>
        <v>39.798999999999999</v>
      </c>
      <c r="AM143" s="1291"/>
    </row>
    <row r="144" spans="1:40" s="1349" customFormat="1" ht="17.25" customHeight="1" x14ac:dyDescent="0.65">
      <c r="A144" s="1363" t="s">
        <v>50</v>
      </c>
      <c r="B144" s="1347"/>
      <c r="C144" s="1300"/>
      <c r="D144" s="1300"/>
      <c r="E144" s="1300"/>
      <c r="F144" s="1353"/>
      <c r="G144" s="1300">
        <f t="shared" ref="G144:Z144" si="132">+G145-G140-G143</f>
        <v>-49.70750000000001</v>
      </c>
      <c r="H144" s="1300">
        <f t="shared" si="132"/>
        <v>27.850274999999996</v>
      </c>
      <c r="I144" s="1300">
        <f t="shared" si="132"/>
        <v>-23.934625</v>
      </c>
      <c r="J144" s="1353">
        <f t="shared" si="132"/>
        <v>0.25257500000001354</v>
      </c>
      <c r="K144" s="1300">
        <f t="shared" si="132"/>
        <v>-1.8366750000000129</v>
      </c>
      <c r="L144" s="1300">
        <f t="shared" si="132"/>
        <v>-12.265949999999995</v>
      </c>
      <c r="M144" s="1300">
        <f t="shared" si="132"/>
        <v>-60.528649999999992</v>
      </c>
      <c r="N144" s="1353">
        <f t="shared" si="132"/>
        <v>11.808250000000015</v>
      </c>
      <c r="O144" s="1300">
        <f t="shared" si="132"/>
        <v>-31.619499999999995</v>
      </c>
      <c r="P144" s="1300">
        <f t="shared" si="132"/>
        <v>-1.3624999999999883</v>
      </c>
      <c r="Q144" s="1300">
        <f t="shared" si="132"/>
        <v>0.30350000000001209</v>
      </c>
      <c r="R144" s="1353">
        <f t="shared" si="132"/>
        <v>22.926000000000005</v>
      </c>
      <c r="S144" s="1354">
        <f t="shared" si="132"/>
        <v>-13.032250000000001</v>
      </c>
      <c r="T144" s="1300">
        <f t="shared" si="132"/>
        <v>-21.331749999999982</v>
      </c>
      <c r="U144" s="1300">
        <f t="shared" si="132"/>
        <v>-10.795250000000003</v>
      </c>
      <c r="V144" s="1300">
        <f t="shared" si="132"/>
        <v>16.454250000000041</v>
      </c>
      <c r="W144" s="1354">
        <f t="shared" si="132"/>
        <v>-16.908249999999999</v>
      </c>
      <c r="X144" s="1300">
        <f t="shared" si="132"/>
        <v>-20.511500000000005</v>
      </c>
      <c r="Y144" s="1355">
        <f t="shared" si="132"/>
        <v>5.115499999999976</v>
      </c>
      <c r="Z144" s="1353">
        <f t="shared" si="132"/>
        <v>12.761719780382407</v>
      </c>
      <c r="AA144" s="1300"/>
      <c r="AB144" s="1300"/>
      <c r="AC144" s="1300"/>
      <c r="AD144" s="1300"/>
      <c r="AE144" s="1312"/>
      <c r="AF144" s="1300"/>
      <c r="AG144" s="1300">
        <f>+AG145-AG140-AG143</f>
        <v>-9.2438749999999938</v>
      </c>
      <c r="AH144" s="1300">
        <f>+AH145-AH140-AH143</f>
        <v>-45.539275000000018</v>
      </c>
      <c r="AI144" s="1300">
        <f>+AI145-AI140-AI143</f>
        <v>-62.823024999999987</v>
      </c>
      <c r="AJ144" s="1300">
        <f>SUM(O144:R144)</f>
        <v>-9.7524999999999658</v>
      </c>
      <c r="AK144" s="1355">
        <f>SUM(S144:V144)</f>
        <v>-28.704999999999945</v>
      </c>
      <c r="AL144" s="1296">
        <f>+SUM(W144:Z144)</f>
        <v>-19.542530219617625</v>
      </c>
      <c r="AM144" s="1296"/>
    </row>
    <row r="145" spans="1:45" s="1349" customFormat="1" ht="17.25" customHeight="1" x14ac:dyDescent="0.35">
      <c r="A145" s="1306" t="s">
        <v>51</v>
      </c>
      <c r="B145" s="1347"/>
      <c r="C145" s="1280"/>
      <c r="D145" s="1280"/>
      <c r="E145" s="1280"/>
      <c r="F145" s="1308"/>
      <c r="G145" s="1280">
        <f t="shared" ref="G145:Y145" si="133">+G150+G137</f>
        <v>-35.214700000000008</v>
      </c>
      <c r="H145" s="1280">
        <f t="shared" si="133"/>
        <v>39.767699999999998</v>
      </c>
      <c r="I145" s="1280">
        <f t="shared" si="133"/>
        <v>11.057199999999998</v>
      </c>
      <c r="J145" s="1308">
        <f t="shared" si="133"/>
        <v>37.290000000000013</v>
      </c>
      <c r="K145" s="1280">
        <f t="shared" si="133"/>
        <v>36.073499999999996</v>
      </c>
      <c r="L145" s="1280">
        <f t="shared" si="133"/>
        <v>43.771700000000003</v>
      </c>
      <c r="M145" s="1280">
        <f t="shared" si="133"/>
        <v>9.3401000000000103</v>
      </c>
      <c r="N145" s="1308">
        <f t="shared" si="133"/>
        <v>83.553000000000011</v>
      </c>
      <c r="O145" s="1280">
        <f t="shared" si="133"/>
        <v>32.000999999999991</v>
      </c>
      <c r="P145" s="1280">
        <f t="shared" si="133"/>
        <v>70.948000000000008</v>
      </c>
      <c r="Q145" s="1280">
        <f t="shared" si="133"/>
        <v>75.860000000000014</v>
      </c>
      <c r="R145" s="1308">
        <f t="shared" si="133"/>
        <v>89.037999999999997</v>
      </c>
      <c r="S145" s="1309">
        <f t="shared" si="133"/>
        <v>38.509</v>
      </c>
      <c r="T145" s="1280">
        <f t="shared" si="133"/>
        <v>43.715000000000003</v>
      </c>
      <c r="U145" s="1280">
        <f t="shared" si="133"/>
        <v>54.114999999999995</v>
      </c>
      <c r="V145" s="1280">
        <f t="shared" si="133"/>
        <v>76.555000000000035</v>
      </c>
      <c r="W145" s="1309">
        <f t="shared" si="133"/>
        <v>29.927</v>
      </c>
      <c r="X145" s="1280">
        <f t="shared" si="133"/>
        <v>35.4</v>
      </c>
      <c r="Y145" s="1310">
        <f t="shared" si="133"/>
        <v>59.483999999999988</v>
      </c>
      <c r="Z145" s="1308">
        <f>+'FA - Historical Financials'!Z124+'STER - Historical Financials'!Z103</f>
        <v>55.013675590227962</v>
      </c>
      <c r="AA145" s="1280"/>
      <c r="AB145" s="1280"/>
      <c r="AC145" s="1280"/>
      <c r="AD145" s="1280"/>
      <c r="AE145" s="1312"/>
      <c r="AF145" s="1280"/>
      <c r="AG145" s="1280">
        <f>+AG150+AG137</f>
        <v>56.029499999999999</v>
      </c>
      <c r="AH145" s="1280">
        <f>+AH150+AH137</f>
        <v>52.900199999999998</v>
      </c>
      <c r="AI145" s="1280">
        <f>+AI150+AI137</f>
        <v>172.73830000000004</v>
      </c>
      <c r="AJ145" s="1280">
        <f>+AJ150+AJ137</f>
        <v>267.84700000000004</v>
      </c>
      <c r="AK145" s="1310">
        <f>+AK150+AK137</f>
        <v>212.89400000000003</v>
      </c>
      <c r="AL145" s="1291">
        <f>+SUM(W145:Z145)</f>
        <v>179.82467559022794</v>
      </c>
      <c r="AM145" s="1291"/>
    </row>
    <row r="146" spans="1:45" s="1349" customFormat="1" ht="17.25" customHeight="1" x14ac:dyDescent="0.35">
      <c r="A146" s="1331"/>
      <c r="B146" s="1347"/>
      <c r="C146" s="1348"/>
      <c r="D146" s="1312"/>
      <c r="E146" s="1302"/>
      <c r="F146" s="1303"/>
      <c r="G146" s="1302"/>
      <c r="H146" s="1302"/>
      <c r="I146" s="1302"/>
      <c r="J146" s="1313"/>
      <c r="K146" s="1312"/>
      <c r="L146" s="1312"/>
      <c r="M146" s="1280"/>
      <c r="N146" s="1313"/>
      <c r="O146" s="1302"/>
      <c r="P146" s="1312"/>
      <c r="Q146" s="1312"/>
      <c r="R146" s="1308"/>
      <c r="S146" s="1309"/>
      <c r="T146" s="1312"/>
      <c r="U146" s="1312"/>
      <c r="V146" s="1312"/>
      <c r="W146" s="1314"/>
      <c r="X146" s="1312"/>
      <c r="Y146" s="1315"/>
      <c r="Z146" s="1313"/>
      <c r="AA146" s="1312"/>
      <c r="AB146" s="1312"/>
      <c r="AC146" s="1312"/>
      <c r="AD146" s="1312"/>
      <c r="AE146" s="1312"/>
      <c r="AF146" s="1312"/>
      <c r="AG146" s="1312"/>
      <c r="AH146" s="1312"/>
      <c r="AI146" s="1312"/>
      <c r="AJ146" s="1312"/>
      <c r="AK146" s="1315"/>
    </row>
    <row r="147" spans="1:45" s="1349" customFormat="1" ht="17.25" customHeight="1" x14ac:dyDescent="0.35">
      <c r="A147" s="1365" t="s">
        <v>149</v>
      </c>
      <c r="B147" s="1347"/>
      <c r="C147" s="1312"/>
      <c r="D147" s="1348"/>
      <c r="E147" s="1348"/>
      <c r="F147" s="1366"/>
      <c r="G147" s="1348"/>
      <c r="H147" s="1312"/>
      <c r="I147" s="1312"/>
      <c r="J147" s="1313"/>
      <c r="K147" s="1312"/>
      <c r="L147" s="1312"/>
      <c r="M147" s="1280"/>
      <c r="N147" s="1313"/>
      <c r="O147" s="1312"/>
      <c r="P147" s="1348"/>
      <c r="Q147" s="1312"/>
      <c r="R147" s="1308"/>
      <c r="S147" s="1309"/>
      <c r="T147" s="1348"/>
      <c r="U147" s="1348"/>
      <c r="V147" s="1348"/>
      <c r="W147" s="1486"/>
      <c r="X147" s="1348"/>
      <c r="Y147" s="1367"/>
      <c r="Z147" s="1366"/>
      <c r="AA147" s="1348"/>
      <c r="AB147" s="1348"/>
      <c r="AC147" s="1348"/>
      <c r="AD147" s="1348"/>
      <c r="AE147" s="1312"/>
      <c r="AF147" s="1348"/>
      <c r="AG147" s="1348"/>
      <c r="AH147" s="1348"/>
      <c r="AI147" s="1348"/>
      <c r="AJ147" s="1348"/>
      <c r="AK147" s="1367"/>
    </row>
    <row r="148" spans="1:45" ht="17.25" customHeight="1" x14ac:dyDescent="0.35">
      <c r="A148" s="1272" t="s">
        <v>189</v>
      </c>
      <c r="C148" s="1291"/>
      <c r="D148" s="1291"/>
      <c r="E148" s="1291"/>
      <c r="F148" s="1292"/>
      <c r="G148" s="1291">
        <f>+'FA - Historical Financials'!G133</f>
        <v>-17.518000000000008</v>
      </c>
      <c r="H148" s="1291">
        <f>+'FA - Historical Financials'!H133</f>
        <v>21.711000000000006</v>
      </c>
      <c r="I148" s="1291">
        <f>+'FA - Historical Financials'!I133</f>
        <v>14.217000000000008</v>
      </c>
      <c r="J148" s="1292">
        <f>+'FA - Historical Financials'!J133</f>
        <v>35.225000000000001</v>
      </c>
      <c r="K148" s="1291">
        <f>+'FA - Historical Financials'!K133</f>
        <v>23.71299999999999</v>
      </c>
      <c r="L148" s="1291">
        <f>+'FA - Historical Financials'!L133</f>
        <v>32.385000000000005</v>
      </c>
      <c r="M148" s="1291">
        <f>+'FA - Historical Financials'!M133</f>
        <v>27.761999999999993</v>
      </c>
      <c r="N148" s="1292">
        <f>+'FA - Historical Financials'!N133</f>
        <v>64.817000000000007</v>
      </c>
      <c r="O148" s="1291">
        <f>+'FA - Historical Financials'!O133</f>
        <v>41.582999999999991</v>
      </c>
      <c r="P148" s="1291">
        <f>+'FA - Historical Financials'!P133</f>
        <v>54.829000000000001</v>
      </c>
      <c r="Q148" s="1291">
        <f>+'FA - Historical Financials'!Q133</f>
        <v>46.430000000000014</v>
      </c>
      <c r="R148" s="1292">
        <f>+'FA - Historical Financials'!R133</f>
        <v>70.825999999999993</v>
      </c>
      <c r="S148" s="1293">
        <f>+'FA - Historical Financials'!S133</f>
        <v>38.598999999999997</v>
      </c>
      <c r="T148" s="1291">
        <f>+'FA - Historical Financials'!T133</f>
        <v>33.122999999999998</v>
      </c>
      <c r="U148" s="1291">
        <f>+'FA - Historical Financials'!U133</f>
        <v>34.357999999999997</v>
      </c>
      <c r="V148" s="1291">
        <f>+'FA - Historical Financials'!V133</f>
        <v>58.118000000000023</v>
      </c>
      <c r="W148" s="1293">
        <f>+'FA - Historical Financials'!W133</f>
        <v>38.329000000000001</v>
      </c>
      <c r="X148" s="1291">
        <f>+'FA - Historical Financials'!X133</f>
        <v>32.042999999999999</v>
      </c>
      <c r="Y148" s="1294">
        <f>+'FA - Historical Financials'!Y133</f>
        <v>43.489999999999988</v>
      </c>
      <c r="Z148" s="1292">
        <f>+'FA - Historical Financials'!Z133</f>
        <v>57.976489713489165</v>
      </c>
      <c r="AA148" s="1291"/>
      <c r="AB148" s="1291"/>
      <c r="AC148" s="1291"/>
      <c r="AD148" s="1291"/>
      <c r="AE148" s="1280"/>
      <c r="AF148" s="1291"/>
      <c r="AG148" s="1291">
        <f>+'FA - Historical Financials'!AG133</f>
        <v>71.582999999999998</v>
      </c>
      <c r="AH148" s="1291">
        <f>+'FA - Historical Financials'!AH133</f>
        <v>53.635000000000005</v>
      </c>
      <c r="AI148" s="1291">
        <f>+'FA - Historical Financials'!AI133</f>
        <v>148.67699999999999</v>
      </c>
      <c r="AJ148" s="1291">
        <f>+'FA - Historical Financials'!AJ133</f>
        <v>213.66800000000001</v>
      </c>
      <c r="AK148" s="1294">
        <f>+'FA - Historical Financials'!AK133</f>
        <v>164.19800000000001</v>
      </c>
      <c r="AL148" s="1291">
        <f>+SUM(W148:Z148)</f>
        <v>171.83848971348917</v>
      </c>
      <c r="AM148" s="1291"/>
    </row>
    <row r="149" spans="1:45" s="1295" customFormat="1" ht="17.25" customHeight="1" x14ac:dyDescent="0.65">
      <c r="A149" s="1272" t="s">
        <v>190</v>
      </c>
      <c r="C149" s="1296"/>
      <c r="D149" s="1296"/>
      <c r="E149" s="1296"/>
      <c r="F149" s="1297"/>
      <c r="G149" s="1296">
        <v>-6.7886999999999968</v>
      </c>
      <c r="H149" s="1296">
        <v>27.014699999999991</v>
      </c>
      <c r="I149" s="1296">
        <v>5.6271999999999913</v>
      </c>
      <c r="J149" s="1297">
        <v>10.332000000000015</v>
      </c>
      <c r="K149" s="1296">
        <v>21.983500000000003</v>
      </c>
      <c r="L149" s="1296">
        <v>23.306799999999999</v>
      </c>
      <c r="M149" s="1296">
        <v>-6.363999999999983</v>
      </c>
      <c r="N149" s="1297">
        <v>29.678999999999995</v>
      </c>
      <c r="O149" s="1296">
        <v>3.4449999999999998</v>
      </c>
      <c r="P149" s="1296">
        <v>29.834000000000003</v>
      </c>
      <c r="Q149" s="1296">
        <v>40.318999999999996</v>
      </c>
      <c r="R149" s="1297">
        <v>30.665000000000006</v>
      </c>
      <c r="S149" s="1298">
        <v>11.282</v>
      </c>
      <c r="T149" s="1296">
        <v>21.616000000000003</v>
      </c>
      <c r="U149" s="1296">
        <v>32.777999999999999</v>
      </c>
      <c r="V149" s="1296">
        <v>31.184999999999999</v>
      </c>
      <c r="W149" s="1298">
        <v>3.6739999999999999</v>
      </c>
      <c r="X149" s="1296">
        <f>+'STER - Historical Financials'!X111</f>
        <v>16.492999999999999</v>
      </c>
      <c r="Y149" s="1299">
        <f>+'STER - Historical Financials'!Y111</f>
        <v>29.1</v>
      </c>
      <c r="Z149" s="1297">
        <f>+'STER - Historical Financials'!Z111</f>
        <v>10.507634099798281</v>
      </c>
      <c r="AA149" s="1296"/>
      <c r="AB149" s="1296"/>
      <c r="AC149" s="1296"/>
      <c r="AD149" s="1296"/>
      <c r="AE149" s="1300"/>
      <c r="AF149" s="1296"/>
      <c r="AG149" s="1296">
        <v>36.179699999999997</v>
      </c>
      <c r="AH149" s="1296">
        <v>36.185199999999995</v>
      </c>
      <c r="AI149" s="1296">
        <v>68.605300000000014</v>
      </c>
      <c r="AJ149" s="1296">
        <v>104.26300000000001</v>
      </c>
      <c r="AK149" s="1299">
        <v>96.861000000000004</v>
      </c>
      <c r="AL149" s="1296">
        <f>+SUM(W149:Z149)</f>
        <v>59.774634099798277</v>
      </c>
      <c r="AM149" s="1296"/>
    </row>
    <row r="150" spans="1:45" s="1307" customFormat="1" ht="17.25" customHeight="1" x14ac:dyDescent="0.35">
      <c r="A150" s="1306" t="s">
        <v>191</v>
      </c>
      <c r="C150" s="1280"/>
      <c r="D150" s="1280"/>
      <c r="E150" s="1280"/>
      <c r="F150" s="1308"/>
      <c r="G150" s="1280">
        <f t="shared" ref="G150:Z150" si="134">+SUM(G148:G149)</f>
        <v>-24.306700000000006</v>
      </c>
      <c r="H150" s="1280">
        <f t="shared" si="134"/>
        <v>48.725699999999996</v>
      </c>
      <c r="I150" s="1280">
        <f t="shared" si="134"/>
        <v>19.844200000000001</v>
      </c>
      <c r="J150" s="1308">
        <f t="shared" si="134"/>
        <v>45.557000000000016</v>
      </c>
      <c r="K150" s="1280">
        <f t="shared" si="134"/>
        <v>45.696499999999993</v>
      </c>
      <c r="L150" s="1280">
        <f t="shared" si="134"/>
        <v>55.691800000000001</v>
      </c>
      <c r="M150" s="1280">
        <f t="shared" si="134"/>
        <v>21.39800000000001</v>
      </c>
      <c r="N150" s="1308">
        <f t="shared" si="134"/>
        <v>94.496000000000009</v>
      </c>
      <c r="O150" s="1280">
        <f t="shared" si="134"/>
        <v>45.027999999999992</v>
      </c>
      <c r="P150" s="1280">
        <f t="shared" si="134"/>
        <v>84.663000000000011</v>
      </c>
      <c r="Q150" s="1280">
        <f t="shared" si="134"/>
        <v>86.749000000000009</v>
      </c>
      <c r="R150" s="1308">
        <f t="shared" si="134"/>
        <v>101.491</v>
      </c>
      <c r="S150" s="1309">
        <f t="shared" si="134"/>
        <v>49.881</v>
      </c>
      <c r="T150" s="1280">
        <f t="shared" si="134"/>
        <v>54.739000000000004</v>
      </c>
      <c r="U150" s="1280">
        <f t="shared" si="134"/>
        <v>67.135999999999996</v>
      </c>
      <c r="V150" s="1280">
        <f t="shared" si="134"/>
        <v>89.303000000000026</v>
      </c>
      <c r="W150" s="1309">
        <f t="shared" si="134"/>
        <v>42.003</v>
      </c>
      <c r="X150" s="1280">
        <f t="shared" si="134"/>
        <v>48.536000000000001</v>
      </c>
      <c r="Y150" s="1310">
        <f t="shared" si="134"/>
        <v>72.589999999999989</v>
      </c>
      <c r="Z150" s="1308">
        <f t="shared" si="134"/>
        <v>68.484123813287454</v>
      </c>
      <c r="AA150" s="1280"/>
      <c r="AB150" s="1280"/>
      <c r="AC150" s="1280"/>
      <c r="AD150" s="1280"/>
      <c r="AE150" s="1280"/>
      <c r="AF150" s="1280"/>
      <c r="AG150" s="1280">
        <f>+SUM(AG148:AG149)</f>
        <v>107.7627</v>
      </c>
      <c r="AH150" s="1280">
        <f>+SUM(AH148:AH149)</f>
        <v>89.8202</v>
      </c>
      <c r="AI150" s="1280">
        <f>+SUM(AI148:AI149)</f>
        <v>217.28230000000002</v>
      </c>
      <c r="AJ150" s="1280">
        <f>+SUM(AJ148:AJ149)</f>
        <v>317.93100000000004</v>
      </c>
      <c r="AK150" s="1310">
        <f>+SUM(AK148:AK149)</f>
        <v>261.05900000000003</v>
      </c>
      <c r="AL150" s="1291">
        <f>+SUM(W150:Z150)</f>
        <v>231.61312381328744</v>
      </c>
      <c r="AM150" s="1291"/>
    </row>
    <row r="151" spans="1:45" s="1360" customFormat="1" ht="17.25" customHeight="1" x14ac:dyDescent="0.65">
      <c r="A151" s="1368"/>
      <c r="B151" s="1358"/>
      <c r="C151" s="1280"/>
      <c r="D151" s="1280"/>
      <c r="E151" s="1280"/>
      <c r="F151" s="1308"/>
      <c r="G151" s="1280"/>
      <c r="H151" s="1280"/>
      <c r="I151" s="1280"/>
      <c r="J151" s="1308"/>
      <c r="K151" s="1280"/>
      <c r="L151" s="1280"/>
      <c r="M151" s="1280"/>
      <c r="N151" s="1308"/>
      <c r="O151" s="1280"/>
      <c r="P151" s="1280"/>
      <c r="Q151" s="1280"/>
      <c r="R151" s="1308"/>
      <c r="S151" s="1309"/>
      <c r="T151" s="1280"/>
      <c r="U151" s="1280"/>
      <c r="V151" s="1280"/>
      <c r="W151" s="1309"/>
      <c r="X151" s="1280"/>
      <c r="Y151" s="1310"/>
      <c r="Z151" s="1308"/>
      <c r="AA151" s="1280"/>
      <c r="AB151" s="1280"/>
      <c r="AC151" s="1280"/>
      <c r="AD151" s="1280"/>
      <c r="AE151" s="1356"/>
      <c r="AF151" s="1280"/>
      <c r="AG151" s="1280"/>
      <c r="AH151" s="1280"/>
      <c r="AI151" s="1280"/>
      <c r="AJ151" s="1280"/>
      <c r="AK151" s="1310"/>
    </row>
    <row r="152" spans="1:45" ht="17.25" customHeight="1" x14ac:dyDescent="0.35">
      <c r="A152" s="1272" t="s">
        <v>192</v>
      </c>
      <c r="C152" s="1291"/>
      <c r="D152" s="1291"/>
      <c r="E152" s="1291"/>
      <c r="F152" s="1292"/>
      <c r="G152" s="1291">
        <f>+'FA - Historical Financials'!G138</f>
        <v>0</v>
      </c>
      <c r="H152" s="1291">
        <f>+'FA - Historical Financials'!H138</f>
        <v>0</v>
      </c>
      <c r="I152" s="1291">
        <f>+'FA - Historical Financials'!I138</f>
        <v>0</v>
      </c>
      <c r="J152" s="1292">
        <f>+'FA - Historical Financials'!J138</f>
        <v>0</v>
      </c>
      <c r="K152" s="1291">
        <f>+'FA - Historical Financials'!K138</f>
        <v>-7.5880000000000001</v>
      </c>
      <c r="L152" s="1291">
        <f>+'FA - Historical Financials'!L138</f>
        <v>0</v>
      </c>
      <c r="M152" s="1291">
        <f>+'FA - Historical Financials'!M138</f>
        <v>0</v>
      </c>
      <c r="N152" s="1292">
        <f>+'FA - Historical Financials'!N138</f>
        <v>-41.345999999999997</v>
      </c>
      <c r="O152" s="1291">
        <f>+'FA - Historical Financials'!O138</f>
        <v>-18.920000000000002</v>
      </c>
      <c r="P152" s="1291">
        <f>+'FA - Historical Financials'!P138</f>
        <v>-0.12399999999999878</v>
      </c>
      <c r="Q152" s="1291">
        <f>+'FA - Historical Financials'!Q138</f>
        <v>0</v>
      </c>
      <c r="R152" s="1292">
        <f>+'FA - Historical Financials'!R138</f>
        <v>-7.9999999999991189E-3</v>
      </c>
      <c r="S152" s="1293">
        <f>+'FA - Historical Financials'!S138</f>
        <v>0</v>
      </c>
      <c r="T152" s="1291">
        <f>+'FA - Historical Financials'!T138</f>
        <v>0</v>
      </c>
      <c r="U152" s="1291">
        <f>+'FA - Historical Financials'!U138</f>
        <v>-41.122</v>
      </c>
      <c r="V152" s="1291">
        <f>+'FA - Historical Financials'!V138</f>
        <v>0</v>
      </c>
      <c r="W152" s="1293">
        <f>+'FA - Historical Financials'!W138</f>
        <v>0</v>
      </c>
      <c r="X152" s="1291">
        <f>+'FA - Historical Financials'!X138</f>
        <v>0</v>
      </c>
      <c r="Y152" s="1294">
        <f>+'FA - Historical Financials'!Y138</f>
        <v>2.5000000000000001E-2</v>
      </c>
      <c r="Z152" s="1292">
        <f>+'FA - Historical Financials'!Z138</f>
        <v>0</v>
      </c>
      <c r="AA152" s="1291"/>
      <c r="AB152" s="1291"/>
      <c r="AC152" s="1291"/>
      <c r="AD152" s="1291"/>
      <c r="AE152" s="1280"/>
      <c r="AF152" s="1291"/>
      <c r="AG152" s="1291">
        <f>+'FA - Historical Financials'!AG138</f>
        <v>0</v>
      </c>
      <c r="AH152" s="1291">
        <f>+'FA - Historical Financials'!AH138</f>
        <v>0</v>
      </c>
      <c r="AI152" s="1291">
        <f>+'FA - Historical Financials'!AI138</f>
        <v>-48.933999999999997</v>
      </c>
      <c r="AJ152" s="1291">
        <f>+'FA - Historical Financials'!AJ138</f>
        <v>-19.052</v>
      </c>
      <c r="AK152" s="1294">
        <f>+'FA - Historical Financials'!AK138</f>
        <v>-41.122</v>
      </c>
      <c r="AL152" s="1291">
        <f>+SUM(W152:Z152)</f>
        <v>2.5000000000000001E-2</v>
      </c>
      <c r="AM152" s="1291"/>
    </row>
    <row r="153" spans="1:45" s="1295" customFormat="1" ht="17.25" customHeight="1" x14ac:dyDescent="0.65">
      <c r="A153" s="1272" t="s">
        <v>193</v>
      </c>
      <c r="C153" s="1296"/>
      <c r="D153" s="1296"/>
      <c r="E153" s="1296"/>
      <c r="F153" s="1297"/>
      <c r="G153" s="1296">
        <v>0</v>
      </c>
      <c r="H153" s="1296">
        <v>0</v>
      </c>
      <c r="I153" s="1296">
        <v>0</v>
      </c>
      <c r="J153" s="1297">
        <v>0</v>
      </c>
      <c r="K153" s="1296">
        <v>-0.73799999999999999</v>
      </c>
      <c r="L153" s="1296">
        <v>-0.73799999999999999</v>
      </c>
      <c r="M153" s="1296">
        <v>-0.73799999999999999</v>
      </c>
      <c r="N153" s="1297">
        <v>-67.060999999999993</v>
      </c>
      <c r="O153" s="1296">
        <v>0</v>
      </c>
      <c r="P153" s="1296">
        <v>0</v>
      </c>
      <c r="Q153" s="1296">
        <v>0</v>
      </c>
      <c r="R153" s="1297">
        <v>0</v>
      </c>
      <c r="S153" s="1298">
        <v>-48.802</v>
      </c>
      <c r="T153" s="1296">
        <v>0</v>
      </c>
      <c r="U153" s="1296">
        <v>0</v>
      </c>
      <c r="V153" s="1296">
        <v>0</v>
      </c>
      <c r="W153" s="1298">
        <v>-70.478999999999999</v>
      </c>
      <c r="X153" s="1296">
        <v>0</v>
      </c>
      <c r="Y153" s="1299">
        <v>0</v>
      </c>
      <c r="Z153" s="1297">
        <v>0</v>
      </c>
      <c r="AA153" s="1296"/>
      <c r="AB153" s="1296"/>
      <c r="AC153" s="1296"/>
      <c r="AD153" s="1296"/>
      <c r="AE153" s="1300"/>
      <c r="AF153" s="1296"/>
      <c r="AG153" s="1296">
        <v>0</v>
      </c>
      <c r="AH153" s="1296">
        <v>0</v>
      </c>
      <c r="AI153" s="1296">
        <v>-69.274999999999991</v>
      </c>
      <c r="AJ153" s="1296">
        <v>0</v>
      </c>
      <c r="AK153" s="1299">
        <v>-48.802</v>
      </c>
      <c r="AL153" s="1296">
        <f>+SUM(W153:Z153)</f>
        <v>-70.478999999999999</v>
      </c>
      <c r="AM153" s="1296"/>
    </row>
    <row r="154" spans="1:45" s="1307" customFormat="1" ht="17.25" customHeight="1" x14ac:dyDescent="0.35">
      <c r="A154" s="1306" t="s">
        <v>194</v>
      </c>
      <c r="C154" s="1280"/>
      <c r="D154" s="1280"/>
      <c r="E154" s="1280"/>
      <c r="F154" s="1308"/>
      <c r="G154" s="1280">
        <f t="shared" ref="G154:Z154" si="135">+SUM(G152:G153)</f>
        <v>0</v>
      </c>
      <c r="H154" s="1280">
        <f t="shared" si="135"/>
        <v>0</v>
      </c>
      <c r="I154" s="1280">
        <f t="shared" si="135"/>
        <v>0</v>
      </c>
      <c r="J154" s="1308">
        <f t="shared" si="135"/>
        <v>0</v>
      </c>
      <c r="K154" s="1280">
        <f t="shared" si="135"/>
        <v>-8.3260000000000005</v>
      </c>
      <c r="L154" s="1280">
        <f t="shared" si="135"/>
        <v>-0.73799999999999999</v>
      </c>
      <c r="M154" s="1280">
        <f t="shared" si="135"/>
        <v>-0.73799999999999999</v>
      </c>
      <c r="N154" s="1308">
        <f t="shared" si="135"/>
        <v>-108.40699999999998</v>
      </c>
      <c r="O154" s="1280">
        <f t="shared" si="135"/>
        <v>-18.920000000000002</v>
      </c>
      <c r="P154" s="1280">
        <f t="shared" si="135"/>
        <v>-0.12399999999999878</v>
      </c>
      <c r="Q154" s="1280">
        <f t="shared" si="135"/>
        <v>0</v>
      </c>
      <c r="R154" s="1308">
        <f t="shared" si="135"/>
        <v>-7.9999999999991189E-3</v>
      </c>
      <c r="S154" s="1309">
        <f t="shared" si="135"/>
        <v>-48.802</v>
      </c>
      <c r="T154" s="1280">
        <f t="shared" si="135"/>
        <v>0</v>
      </c>
      <c r="U154" s="1280">
        <f t="shared" si="135"/>
        <v>-41.122</v>
      </c>
      <c r="V154" s="1280">
        <f t="shared" si="135"/>
        <v>0</v>
      </c>
      <c r="W154" s="1309">
        <f t="shared" si="135"/>
        <v>-70.478999999999999</v>
      </c>
      <c r="X154" s="1280">
        <f t="shared" si="135"/>
        <v>0</v>
      </c>
      <c r="Y154" s="1310">
        <f t="shared" si="135"/>
        <v>2.5000000000000001E-2</v>
      </c>
      <c r="Z154" s="1308">
        <f t="shared" si="135"/>
        <v>0</v>
      </c>
      <c r="AA154" s="1280"/>
      <c r="AB154" s="1280"/>
      <c r="AC154" s="1280"/>
      <c r="AD154" s="1280"/>
      <c r="AE154" s="1280"/>
      <c r="AF154" s="1280"/>
      <c r="AG154" s="1280">
        <f>+SUM(AG152:AG153)</f>
        <v>0</v>
      </c>
      <c r="AH154" s="1280">
        <f>+SUM(AH152:AH153)</f>
        <v>0</v>
      </c>
      <c r="AI154" s="1280">
        <f>+SUM(AI152:AI153)</f>
        <v>-118.20899999999999</v>
      </c>
      <c r="AJ154" s="1280">
        <f>+SUM(AJ152:AJ153)</f>
        <v>-19.052</v>
      </c>
      <c r="AK154" s="1310">
        <f>+SUM(AK152:AK153)</f>
        <v>-89.924000000000007</v>
      </c>
      <c r="AL154" s="1291">
        <f>+SUM(W154:Z154)</f>
        <v>-70.453999999999994</v>
      </c>
      <c r="AM154" s="1291"/>
    </row>
    <row r="155" spans="1:45" s="1349" customFormat="1" ht="17.25" customHeight="1" x14ac:dyDescent="0.35">
      <c r="A155" s="1331"/>
      <c r="B155" s="1347"/>
      <c r="C155" s="1312"/>
      <c r="D155" s="1312"/>
      <c r="E155" s="1348"/>
      <c r="F155" s="1308"/>
      <c r="G155" s="1280"/>
      <c r="H155" s="1280"/>
      <c r="I155" s="1280"/>
      <c r="J155" s="1308"/>
      <c r="K155" s="1280"/>
      <c r="L155" s="1280"/>
      <c r="M155" s="1280"/>
      <c r="N155" s="1308"/>
      <c r="O155" s="1280"/>
      <c r="P155" s="1280"/>
      <c r="Q155" s="1280"/>
      <c r="R155" s="1308"/>
      <c r="S155" s="1309"/>
      <c r="T155" s="1280"/>
      <c r="U155" s="1280"/>
      <c r="V155" s="1280"/>
      <c r="W155" s="1309"/>
      <c r="X155" s="1280"/>
      <c r="Y155" s="1310"/>
      <c r="Z155" s="1308"/>
      <c r="AA155" s="1280"/>
      <c r="AB155" s="1280"/>
      <c r="AC155" s="1280"/>
      <c r="AD155" s="1280"/>
      <c r="AE155" s="1280"/>
      <c r="AF155" s="1280"/>
      <c r="AG155" s="1280"/>
      <c r="AH155" s="1280"/>
      <c r="AI155" s="1280"/>
      <c r="AJ155" s="1280"/>
      <c r="AK155" s="1310"/>
      <c r="AL155" s="1280"/>
      <c r="AM155" s="1280"/>
      <c r="AN155" s="1307"/>
      <c r="AO155" s="1307"/>
      <c r="AP155" s="1307"/>
      <c r="AQ155" s="1307"/>
      <c r="AR155" s="1307"/>
      <c r="AS155" s="1307"/>
    </row>
    <row r="156" spans="1:45" s="1349" customFormat="1" ht="17.25" customHeight="1" x14ac:dyDescent="0.35">
      <c r="A156" s="1369" t="s">
        <v>52</v>
      </c>
      <c r="B156" s="1347"/>
      <c r="C156" s="1312"/>
      <c r="D156" s="1312"/>
      <c r="E156" s="1348"/>
      <c r="F156" s="1308"/>
      <c r="G156" s="1280"/>
      <c r="H156" s="1280"/>
      <c r="I156" s="1280"/>
      <c r="J156" s="1308"/>
      <c r="K156" s="1280"/>
      <c r="L156" s="1280"/>
      <c r="M156" s="1280"/>
      <c r="N156" s="1308"/>
      <c r="O156" s="1280"/>
      <c r="P156" s="1280"/>
      <c r="Q156" s="1280"/>
      <c r="R156" s="1308"/>
      <c r="S156" s="1309"/>
      <c r="T156" s="1280"/>
      <c r="U156" s="1280"/>
      <c r="V156" s="1280"/>
      <c r="W156" s="1309"/>
      <c r="X156" s="1280"/>
      <c r="Y156" s="1310"/>
      <c r="Z156" s="1308"/>
      <c r="AA156" s="1280"/>
      <c r="AB156" s="1280"/>
      <c r="AC156" s="1280"/>
      <c r="AD156" s="1280"/>
      <c r="AE156" s="1280"/>
      <c r="AF156" s="1280"/>
      <c r="AG156" s="1280"/>
      <c r="AH156" s="1280"/>
      <c r="AI156" s="1280"/>
      <c r="AJ156" s="1280"/>
      <c r="AK156" s="1310"/>
      <c r="AL156" s="1280"/>
      <c r="AM156" s="1280"/>
      <c r="AN156" s="1307"/>
      <c r="AO156" s="1307"/>
      <c r="AP156" s="1307"/>
      <c r="AQ156" s="1307"/>
      <c r="AR156" s="1307"/>
      <c r="AS156" s="1307"/>
    </row>
    <row r="157" spans="1:45" ht="17.25" customHeight="1" x14ac:dyDescent="0.35">
      <c r="A157" s="1272" t="s">
        <v>174</v>
      </c>
      <c r="C157" s="1291"/>
      <c r="D157" s="1291"/>
      <c r="E157" s="1291"/>
      <c r="F157" s="1292">
        <f>+'FA - Historical Financials'!F128</f>
        <v>458.89300000000003</v>
      </c>
      <c r="G157" s="1291">
        <f>+'FA - Historical Financials'!G128</f>
        <v>682.27800000000002</v>
      </c>
      <c r="H157" s="1291">
        <f>+'FA - Historical Financials'!H128</f>
        <v>669.26</v>
      </c>
      <c r="I157" s="1291">
        <f>+'FA - Historical Financials'!I128</f>
        <v>661.70499999999993</v>
      </c>
      <c r="J157" s="1292">
        <f>+'FA - Historical Financials'!J128</f>
        <v>631.22</v>
      </c>
      <c r="K157" s="1291">
        <f>+'FA - Historical Financials'!K128</f>
        <v>635.44100000000003</v>
      </c>
      <c r="L157" s="1291">
        <f>+'FA - Historical Financials'!L128</f>
        <v>295.49399999999997</v>
      </c>
      <c r="M157" s="1291">
        <f>+'FA - Historical Financials'!M128</f>
        <v>277.90899999999993</v>
      </c>
      <c r="N157" s="1292">
        <f>+'FA - Historical Financials'!N128</f>
        <v>261.26200000000006</v>
      </c>
      <c r="O157" s="1291">
        <f>+'FA - Historical Financials'!O128</f>
        <v>246.69199999999995</v>
      </c>
      <c r="P157" s="1291">
        <f>+'FA - Historical Financials'!P128</f>
        <v>202.58400000000006</v>
      </c>
      <c r="Q157" s="1291">
        <f>+'FA - Historical Financials'!Q128</f>
        <v>165.93</v>
      </c>
      <c r="R157" s="1292">
        <f>+'FA - Historical Financials'!R128</f>
        <v>163.03800000000001</v>
      </c>
      <c r="S157" s="1293">
        <f>+'FA - Historical Financials'!S128</f>
        <v>155.00099999999998</v>
      </c>
      <c r="T157" s="1291">
        <f>+'FA - Historical Financials'!T128</f>
        <v>156.37299999999999</v>
      </c>
      <c r="U157" s="1291">
        <f>+'FA - Historical Financials'!U128</f>
        <v>390.97099999999995</v>
      </c>
      <c r="V157" s="1291">
        <f>+'FA - Historical Financials'!V128</f>
        <v>344.68200000000002</v>
      </c>
      <c r="W157" s="1293">
        <f>+'FA - Historical Financials'!W128</f>
        <v>313.47299999999996</v>
      </c>
      <c r="X157" s="1291">
        <f>+'FA - Historical Financials'!X128</f>
        <v>289.80899999999997</v>
      </c>
      <c r="Y157" s="1294">
        <f>+'FA - Historical Financials'!Y128</f>
        <v>252.45200000000006</v>
      </c>
      <c r="Z157" s="1292"/>
      <c r="AA157" s="1291"/>
      <c r="AB157" s="1291"/>
      <c r="AC157" s="1291"/>
      <c r="AD157" s="1291"/>
      <c r="AE157" s="1280"/>
      <c r="AF157" s="1291"/>
      <c r="AG157" s="1291">
        <f>+'FA - Historical Financials'!AG128</f>
        <v>458.89300000000003</v>
      </c>
      <c r="AH157" s="1291">
        <f>+'FA - Historical Financials'!AH128</f>
        <v>631.22</v>
      </c>
      <c r="AI157" s="1291">
        <f>+'FA - Historical Financials'!AI128</f>
        <v>261.26200000000006</v>
      </c>
      <c r="AJ157" s="1291">
        <f>+'FA - Historical Financials'!AJ128</f>
        <v>163.03800000000001</v>
      </c>
      <c r="AK157" s="1294">
        <f>+'FA - Historical Financials'!AK128</f>
        <v>344.68200000000002</v>
      </c>
    </row>
    <row r="158" spans="1:45" s="1295" customFormat="1" ht="17.25" customHeight="1" x14ac:dyDescent="0.65">
      <c r="A158" s="1272" t="s">
        <v>175</v>
      </c>
      <c r="C158" s="1296"/>
      <c r="D158" s="1296"/>
      <c r="E158" s="1296"/>
      <c r="F158" s="1297">
        <v>569.25720000000001</v>
      </c>
      <c r="G158" s="1296">
        <v>582.07459999999992</v>
      </c>
      <c r="H158" s="1296">
        <v>560.83870000000002</v>
      </c>
      <c r="I158" s="1296">
        <v>559.01940000000013</v>
      </c>
      <c r="J158" s="1297">
        <v>548.81989999999996</v>
      </c>
      <c r="K158" s="1296">
        <v>529.9584000000001</v>
      </c>
      <c r="L158" s="1296">
        <v>512.40170000000001</v>
      </c>
      <c r="M158" s="1296">
        <v>413.26600000000002</v>
      </c>
      <c r="N158" s="1297">
        <v>457.57</v>
      </c>
      <c r="O158" s="1296">
        <v>460.08299999999997</v>
      </c>
      <c r="P158" s="1296">
        <v>437.48499999999996</v>
      </c>
      <c r="Q158" s="1296">
        <v>457.58800000000002</v>
      </c>
      <c r="R158" s="1297">
        <v>398.39499999999998</v>
      </c>
      <c r="S158" s="1298">
        <v>448.84500000000003</v>
      </c>
      <c r="T158" s="1296">
        <v>449.315</v>
      </c>
      <c r="U158" s="1296">
        <v>446.58199999999999</v>
      </c>
      <c r="V158" s="1296">
        <f>+'STER - Historical Financials'!V107</f>
        <v>440.56400000000002</v>
      </c>
      <c r="W158" s="1298">
        <f>+'STER - Historical Financials'!W107</f>
        <v>489.26299999999998</v>
      </c>
      <c r="X158" s="1296">
        <f>+'STER - Historical Financials'!X107</f>
        <v>478.51400000000001</v>
      </c>
      <c r="Y158" s="1299">
        <f>+'STER - Historical Financials'!Y107</f>
        <v>477.596</v>
      </c>
      <c r="Z158" s="1297"/>
      <c r="AA158" s="1296"/>
      <c r="AB158" s="1296"/>
      <c r="AC158" s="1296"/>
      <c r="AD158" s="1296"/>
      <c r="AE158" s="1300"/>
      <c r="AF158" s="1296"/>
      <c r="AG158" s="1296">
        <v>569.25720000000001</v>
      </c>
      <c r="AH158" s="1296">
        <v>548.81989999999996</v>
      </c>
      <c r="AI158" s="1296">
        <v>457.57</v>
      </c>
      <c r="AJ158" s="1296">
        <v>398.39499999999998</v>
      </c>
      <c r="AK158" s="1299">
        <v>440.56400000000002</v>
      </c>
    </row>
    <row r="159" spans="1:45" s="1307" customFormat="1" ht="17.25" customHeight="1" x14ac:dyDescent="0.35">
      <c r="A159" s="1306" t="s">
        <v>75</v>
      </c>
      <c r="C159" s="1280"/>
      <c r="D159" s="1280"/>
      <c r="E159" s="1280"/>
      <c r="F159" s="1308">
        <f t="shared" ref="F159:Y159" si="136">+SUM(F157:F158)</f>
        <v>1028.1502</v>
      </c>
      <c r="G159" s="1280">
        <f t="shared" si="136"/>
        <v>1264.3525999999999</v>
      </c>
      <c r="H159" s="1280">
        <f t="shared" si="136"/>
        <v>1230.0987</v>
      </c>
      <c r="I159" s="1280">
        <f t="shared" si="136"/>
        <v>1220.7244000000001</v>
      </c>
      <c r="J159" s="1308">
        <f t="shared" si="136"/>
        <v>1180.0399</v>
      </c>
      <c r="K159" s="1280">
        <f t="shared" si="136"/>
        <v>1165.3994000000002</v>
      </c>
      <c r="L159" s="1280">
        <f t="shared" si="136"/>
        <v>807.89570000000003</v>
      </c>
      <c r="M159" s="1280">
        <f t="shared" si="136"/>
        <v>691.17499999999995</v>
      </c>
      <c r="N159" s="1308">
        <f t="shared" si="136"/>
        <v>718.83200000000011</v>
      </c>
      <c r="O159" s="1280">
        <f t="shared" si="136"/>
        <v>706.77499999999986</v>
      </c>
      <c r="P159" s="1280">
        <f t="shared" si="136"/>
        <v>640.06899999999996</v>
      </c>
      <c r="Q159" s="1280">
        <f t="shared" si="136"/>
        <v>623.51800000000003</v>
      </c>
      <c r="R159" s="1308">
        <f t="shared" si="136"/>
        <v>561.43299999999999</v>
      </c>
      <c r="S159" s="1309">
        <f t="shared" si="136"/>
        <v>603.846</v>
      </c>
      <c r="T159" s="1280">
        <f t="shared" si="136"/>
        <v>605.68799999999999</v>
      </c>
      <c r="U159" s="1280">
        <f t="shared" si="136"/>
        <v>837.55299999999988</v>
      </c>
      <c r="V159" s="1280">
        <f t="shared" si="136"/>
        <v>785.24600000000009</v>
      </c>
      <c r="W159" s="1309">
        <f t="shared" si="136"/>
        <v>802.73599999999988</v>
      </c>
      <c r="X159" s="1280">
        <f t="shared" si="136"/>
        <v>768.32299999999998</v>
      </c>
      <c r="Y159" s="1310">
        <f t="shared" si="136"/>
        <v>730.048</v>
      </c>
      <c r="Z159" s="1308">
        <f>+'PF FA STER Simple'!D83-'PF Basic Historical Fin'!Z145</f>
        <v>2004.9863244097721</v>
      </c>
      <c r="AA159" s="1280"/>
      <c r="AB159" s="1280"/>
      <c r="AC159" s="1280"/>
      <c r="AD159" s="1280"/>
      <c r="AE159" s="1280"/>
      <c r="AF159" s="1280"/>
      <c r="AG159" s="1280">
        <f>+SUM(AG157:AG158)</f>
        <v>1028.1502</v>
      </c>
      <c r="AH159" s="1280">
        <f>+SUM(AH157:AH158)</f>
        <v>1180.0399</v>
      </c>
      <c r="AI159" s="1280">
        <f>+SUM(AI157:AI158)</f>
        <v>718.83200000000011</v>
      </c>
      <c r="AJ159" s="1280">
        <f>+SUM(AJ157:AJ158)</f>
        <v>561.43299999999999</v>
      </c>
      <c r="AK159" s="1310">
        <f>+SUM(AK157:AK158)</f>
        <v>785.24600000000009</v>
      </c>
      <c r="AL159" s="1280">
        <f>+Z159</f>
        <v>2004.9863244097721</v>
      </c>
      <c r="AM159" s="1280"/>
    </row>
    <row r="160" spans="1:45" s="1349" customFormat="1" ht="17.25" customHeight="1" x14ac:dyDescent="0.35">
      <c r="A160" s="1316" t="s">
        <v>168</v>
      </c>
      <c r="B160" s="1347"/>
      <c r="C160" s="1370"/>
      <c r="D160" s="1370"/>
      <c r="E160" s="1370"/>
      <c r="F160" s="1371">
        <f>IF(OR(F159&lt;0,AG81&lt;0),"NM",F159/AG81)</f>
        <v>4.2832791960942878</v>
      </c>
      <c r="G160" s="1370">
        <f t="shared" ref="G160:Z160" si="137">+IF(OR(G159&lt;0,SUM(D81:G81)&lt;0),"NM",G159/SUM(D81:G81))</f>
        <v>5.2289924672224508</v>
      </c>
      <c r="H160" s="1370">
        <f t="shared" si="137"/>
        <v>5.6405639561116798</v>
      </c>
      <c r="I160" s="1370">
        <f t="shared" si="137"/>
        <v>5.503247919812063</v>
      </c>
      <c r="J160" s="1371">
        <f t="shared" si="137"/>
        <v>4.9724749109198596</v>
      </c>
      <c r="K160" s="1370">
        <f t="shared" si="137"/>
        <v>4.4953054622193962</v>
      </c>
      <c r="L160" s="1370">
        <f t="shared" si="137"/>
        <v>2.5667796767409889</v>
      </c>
      <c r="M160" s="1370">
        <f t="shared" si="137"/>
        <v>1.9694210114505226</v>
      </c>
      <c r="N160" s="1371">
        <f t="shared" si="137"/>
        <v>1.8727269316782098</v>
      </c>
      <c r="O160" s="1370">
        <f t="shared" si="137"/>
        <v>1.7400600967308706</v>
      </c>
      <c r="P160" s="1370">
        <f t="shared" si="137"/>
        <v>1.5401694244357633</v>
      </c>
      <c r="Q160" s="1370">
        <f t="shared" si="137"/>
        <v>1.4996993472226903</v>
      </c>
      <c r="R160" s="1371">
        <f t="shared" si="137"/>
        <v>1.3504036059958824</v>
      </c>
      <c r="S160" s="1372">
        <f t="shared" si="137"/>
        <v>1.4784492889881302</v>
      </c>
      <c r="T160" s="1370">
        <f t="shared" si="137"/>
        <v>1.5447244459973324</v>
      </c>
      <c r="U160" s="1370">
        <f t="shared" si="137"/>
        <v>2.1988558796967212</v>
      </c>
      <c r="V160" s="1370">
        <f t="shared" si="137"/>
        <v>2.1071096024579723</v>
      </c>
      <c r="W160" s="1372">
        <f t="shared" si="137"/>
        <v>2.2234421784158229</v>
      </c>
      <c r="X160" s="1370">
        <f t="shared" si="137"/>
        <v>2.1341060660350366</v>
      </c>
      <c r="Y160" s="1373">
        <f t="shared" si="137"/>
        <v>2.0190385583353154</v>
      </c>
      <c r="Z160" s="1371">
        <f t="shared" si="137"/>
        <v>5.5186780766846013</v>
      </c>
      <c r="AA160" s="1370"/>
      <c r="AB160" s="1370"/>
      <c r="AC160" s="1370"/>
      <c r="AD160" s="1370"/>
      <c r="AE160" s="1312"/>
      <c r="AF160" s="1370"/>
      <c r="AG160" s="1370">
        <f t="shared" ref="AG160:AL160" si="138">IF(OR(AG159&lt;0,AG81&lt;0),"NM",AG159/AG81)</f>
        <v>4.2832791960942878</v>
      </c>
      <c r="AH160" s="1370">
        <f t="shared" si="138"/>
        <v>4.9724749109198596</v>
      </c>
      <c r="AI160" s="1370">
        <f t="shared" si="138"/>
        <v>1.8727269316782098</v>
      </c>
      <c r="AJ160" s="1370">
        <f t="shared" si="138"/>
        <v>1.3504036059958822</v>
      </c>
      <c r="AK160" s="1373">
        <f t="shared" si="138"/>
        <v>2.1071096024579723</v>
      </c>
      <c r="AL160" s="1370">
        <f t="shared" si="138"/>
        <v>5.5186780766846013</v>
      </c>
    </row>
    <row r="161" spans="1:40" s="1349" customFormat="1" ht="17.25" customHeight="1" x14ac:dyDescent="0.35">
      <c r="A161" s="1301"/>
      <c r="B161" s="1347"/>
      <c r="C161" s="1312"/>
      <c r="D161" s="1312"/>
      <c r="E161" s="1312"/>
      <c r="F161" s="1313"/>
      <c r="G161" s="1312"/>
      <c r="H161" s="1312"/>
      <c r="I161" s="1312"/>
      <c r="J161" s="1313"/>
      <c r="K161" s="1312"/>
      <c r="L161" s="1312"/>
      <c r="M161" s="1280"/>
      <c r="N161" s="1313"/>
      <c r="O161" s="1312"/>
      <c r="P161" s="1312"/>
      <c r="Q161" s="1312"/>
      <c r="R161" s="1308"/>
      <c r="S161" s="1309"/>
      <c r="T161" s="1312"/>
      <c r="U161" s="1312"/>
      <c r="V161" s="1312"/>
      <c r="W161" s="1314"/>
      <c r="X161" s="1312"/>
      <c r="Y161" s="1315"/>
      <c r="Z161" s="1313"/>
      <c r="AA161" s="1312"/>
      <c r="AB161" s="1312"/>
      <c r="AC161" s="1312"/>
      <c r="AD161" s="1312"/>
      <c r="AE161" s="1312"/>
      <c r="AF161" s="1312"/>
      <c r="AG161" s="1312"/>
      <c r="AH161" s="1312"/>
      <c r="AI161" s="1312"/>
      <c r="AJ161" s="1312"/>
      <c r="AK161" s="1312"/>
    </row>
    <row r="162" spans="1:40" s="1349" customFormat="1" ht="17.25" customHeight="1" x14ac:dyDescent="0.35">
      <c r="A162" s="1374" t="s">
        <v>71</v>
      </c>
      <c r="B162" s="1375"/>
      <c r="C162" s="1376"/>
      <c r="D162" s="1376"/>
      <c r="E162" s="1376"/>
      <c r="F162" s="1376"/>
      <c r="G162" s="1376"/>
      <c r="H162" s="1377"/>
      <c r="I162" s="1272"/>
      <c r="J162" s="1312"/>
      <c r="K162" s="1312"/>
      <c r="L162" s="1312"/>
      <c r="M162" s="1280"/>
      <c r="N162" s="1312"/>
      <c r="O162" s="1312"/>
      <c r="P162" s="1312"/>
      <c r="Q162" s="1312"/>
      <c r="R162" s="1280"/>
      <c r="S162" s="1280"/>
      <c r="T162" s="1312"/>
      <c r="U162" s="1312"/>
      <c r="V162" s="1312"/>
      <c r="W162" s="1312"/>
      <c r="X162" s="1312"/>
      <c r="Y162" s="1312"/>
      <c r="Z162" s="1312"/>
      <c r="AA162" s="1312"/>
      <c r="AB162" s="1312"/>
      <c r="AC162" s="1312"/>
      <c r="AD162" s="1312"/>
      <c r="AE162" s="1312"/>
      <c r="AF162" s="1312"/>
    </row>
    <row r="163" spans="1:40" s="1349" customFormat="1" ht="17.25" customHeight="1" x14ac:dyDescent="0.35">
      <c r="A163" s="1272"/>
      <c r="B163" s="1272"/>
      <c r="G163" s="1378" t="s">
        <v>72</v>
      </c>
      <c r="H163" s="1378" t="s">
        <v>73</v>
      </c>
      <c r="I163" s="1272"/>
      <c r="J163" s="1312"/>
      <c r="K163" s="1312"/>
      <c r="L163" s="1312"/>
      <c r="M163" s="1280"/>
      <c r="N163" s="1312"/>
      <c r="O163" s="1312"/>
      <c r="P163" s="1312"/>
      <c r="Q163" s="1312"/>
      <c r="R163" s="1280"/>
      <c r="S163" s="1280"/>
      <c r="T163" s="1312"/>
      <c r="U163" s="1312"/>
      <c r="V163" s="1312"/>
      <c r="W163" s="1312"/>
      <c r="X163" s="1312"/>
      <c r="Y163" s="1312"/>
      <c r="Z163" s="1312"/>
      <c r="AA163" s="1312"/>
      <c r="AB163" s="1312"/>
      <c r="AC163" s="1312"/>
      <c r="AD163" s="1312"/>
      <c r="AE163" s="1312"/>
      <c r="AF163" s="1312"/>
    </row>
    <row r="164" spans="1:40" s="1349" customFormat="1" ht="17.25" customHeight="1" x14ac:dyDescent="0.35">
      <c r="A164" s="1272" t="s">
        <v>74</v>
      </c>
      <c r="B164" s="1272"/>
      <c r="G164" s="1379">
        <f>+H164*H167</f>
        <v>3207.4434237600003</v>
      </c>
      <c r="H164" s="1380">
        <f>+'PF FA STER Simple'!E82</f>
        <v>18.73</v>
      </c>
      <c r="I164" s="1272"/>
      <c r="J164" s="1312"/>
      <c r="K164" s="1312"/>
      <c r="L164" s="1312"/>
      <c r="M164" s="1280"/>
      <c r="N164" s="1312"/>
      <c r="O164" s="1312"/>
      <c r="P164" s="1312"/>
      <c r="Q164" s="1312"/>
      <c r="R164" s="1280"/>
      <c r="S164" s="1280"/>
      <c r="T164" s="1312"/>
      <c r="U164" s="1312"/>
      <c r="V164" s="1312"/>
      <c r="W164" s="1312"/>
      <c r="X164" s="1312"/>
      <c r="Y164" s="1312"/>
      <c r="Z164" s="1312"/>
      <c r="AA164" s="1312"/>
      <c r="AB164" s="1312"/>
      <c r="AC164" s="1312"/>
      <c r="AD164" s="1312"/>
      <c r="AE164" s="1312"/>
      <c r="AF164" s="1312"/>
    </row>
    <row r="165" spans="1:40" s="1349" customFormat="1" ht="17.25" customHeight="1" x14ac:dyDescent="0.65">
      <c r="A165" s="1272" t="s">
        <v>52</v>
      </c>
      <c r="B165" s="1272"/>
      <c r="G165" s="1300">
        <f>+'PF FA STER Simple'!D83</f>
        <v>2060</v>
      </c>
      <c r="H165" s="1381">
        <f>+G165/H167</f>
        <v>12.029456143849684</v>
      </c>
      <c r="I165" s="1272"/>
      <c r="J165" s="1312"/>
      <c r="K165" s="1312"/>
      <c r="L165" s="1312"/>
      <c r="M165" s="1280"/>
      <c r="N165" s="1312"/>
      <c r="O165" s="1312"/>
      <c r="P165" s="1312"/>
      <c r="Q165" s="1312"/>
      <c r="R165" s="1280"/>
      <c r="S165" s="1280"/>
      <c r="T165" s="1312"/>
      <c r="U165" s="1312"/>
      <c r="V165" s="1312"/>
      <c r="W165" s="1312"/>
      <c r="X165" s="1312"/>
      <c r="Y165" s="1312"/>
      <c r="Z165" s="1312"/>
      <c r="AA165" s="1312"/>
      <c r="AB165" s="1312"/>
      <c r="AC165" s="1312"/>
      <c r="AD165" s="1312"/>
      <c r="AE165" s="1312"/>
      <c r="AF165" s="1312"/>
    </row>
    <row r="166" spans="1:40" s="1349" customFormat="1" ht="17.25" customHeight="1" x14ac:dyDescent="0.35">
      <c r="A166" s="1301" t="s">
        <v>76</v>
      </c>
      <c r="B166" s="1301"/>
      <c r="G166" s="1382">
        <f>+G165+G164</f>
        <v>5267.4434237599999</v>
      </c>
      <c r="H166" s="1383">
        <f>++H165+H164</f>
        <v>30.759456143849683</v>
      </c>
      <c r="I166" s="1272"/>
      <c r="J166" s="1312"/>
      <c r="K166" s="1312"/>
      <c r="L166" s="1312"/>
      <c r="M166" s="1280"/>
      <c r="N166" s="1312"/>
      <c r="O166" s="1312"/>
      <c r="P166" s="1312"/>
      <c r="Q166" s="1312"/>
      <c r="R166" s="1280"/>
      <c r="S166" s="1280"/>
      <c r="T166" s="1312"/>
      <c r="U166" s="1312"/>
      <c r="V166" s="1312"/>
      <c r="W166" s="1312"/>
      <c r="X166" s="1312"/>
      <c r="Y166" s="1312"/>
      <c r="Z166" s="1312"/>
      <c r="AA166" s="1312"/>
      <c r="AB166" s="1312"/>
      <c r="AC166" s="1312"/>
      <c r="AD166" s="1312"/>
      <c r="AE166" s="1312"/>
      <c r="AF166" s="1312"/>
    </row>
    <row r="167" spans="1:40" s="1349" customFormat="1" ht="17.25" customHeight="1" x14ac:dyDescent="0.35">
      <c r="A167" s="1316" t="s">
        <v>77</v>
      </c>
      <c r="B167" s="1316"/>
      <c r="G167" s="1280"/>
      <c r="H167" s="1384">
        <f>+'PF FA STER Simple'!E85</f>
        <v>171.24631200000002</v>
      </c>
      <c r="I167" s="1272"/>
      <c r="J167" s="1312"/>
      <c r="K167" s="1312"/>
      <c r="L167" s="1312"/>
      <c r="M167" s="1280"/>
      <c r="N167" s="1312"/>
      <c r="O167" s="1312"/>
      <c r="P167" s="1312"/>
      <c r="Q167" s="1312"/>
      <c r="R167" s="1280"/>
      <c r="S167" s="1280"/>
      <c r="T167" s="1312"/>
      <c r="U167" s="1312"/>
      <c r="V167" s="1312"/>
      <c r="W167" s="1312"/>
      <c r="X167" s="1312"/>
      <c r="Y167" s="1312"/>
      <c r="Z167" s="1312"/>
      <c r="AA167" s="1312"/>
      <c r="AB167" s="1312"/>
      <c r="AC167" s="1312"/>
      <c r="AD167" s="1312"/>
      <c r="AE167" s="1312"/>
      <c r="AF167" s="1312"/>
    </row>
    <row r="168" spans="1:40" s="1349" customFormat="1" ht="17.25" customHeight="1" x14ac:dyDescent="0.35">
      <c r="A168" s="1331"/>
      <c r="B168" s="1347"/>
      <c r="C168" s="1312"/>
      <c r="D168" s="1312"/>
      <c r="E168" s="1348"/>
      <c r="F168" s="1312"/>
      <c r="G168" s="1312"/>
      <c r="H168" s="1384"/>
      <c r="I168" s="1312"/>
      <c r="J168" s="1312"/>
      <c r="K168" s="1312"/>
      <c r="L168" s="1312"/>
      <c r="M168" s="1280"/>
      <c r="N168" s="1312"/>
      <c r="O168" s="1312"/>
      <c r="P168" s="1312"/>
      <c r="Q168" s="1312"/>
      <c r="R168" s="1280"/>
      <c r="S168" s="1280"/>
      <c r="T168" s="1312"/>
      <c r="U168" s="1312"/>
      <c r="V168" s="1312"/>
      <c r="W168" s="1312"/>
      <c r="X168" s="1312"/>
      <c r="Y168" s="1312"/>
      <c r="Z168" s="1312"/>
      <c r="AA168" s="1312"/>
      <c r="AB168" s="1312"/>
      <c r="AC168" s="1312"/>
      <c r="AD168" s="1312"/>
      <c r="AE168" s="1312"/>
      <c r="AF168" s="1312"/>
    </row>
    <row r="169" spans="1:40" ht="17.25" customHeight="1" x14ac:dyDescent="0.35">
      <c r="C169" s="1291"/>
      <c r="D169" s="1291"/>
      <c r="E169" s="1291"/>
      <c r="F169" s="1291"/>
      <c r="G169" s="1291"/>
      <c r="H169" s="1291"/>
      <c r="I169" s="1291"/>
      <c r="J169" s="1291"/>
      <c r="K169" s="1291"/>
      <c r="L169" s="1291"/>
      <c r="M169" s="1291"/>
      <c r="N169" s="1291"/>
      <c r="O169" s="1291"/>
      <c r="P169" s="1291"/>
      <c r="Q169" s="1291"/>
      <c r="R169" s="1291"/>
      <c r="S169" s="1291"/>
      <c r="T169" s="1291"/>
      <c r="U169" s="1291"/>
      <c r="V169" s="1291"/>
      <c r="W169" s="1291"/>
      <c r="X169" s="1291"/>
      <c r="Y169" s="1291"/>
      <c r="Z169" s="1291"/>
      <c r="AA169" s="1291"/>
      <c r="AB169" s="1291"/>
      <c r="AC169" s="1291"/>
      <c r="AD169" s="1291"/>
      <c r="AE169" s="1291"/>
      <c r="AF169" s="1291"/>
      <c r="AG169" s="1291"/>
      <c r="AH169" s="1291"/>
      <c r="AI169" s="1385" t="s">
        <v>169</v>
      </c>
      <c r="AJ169" s="1386"/>
      <c r="AK169" s="1386"/>
      <c r="AL169" s="1387"/>
      <c r="AM169" s="2172"/>
      <c r="AN169" s="1349"/>
    </row>
    <row r="170" spans="1:40" ht="17.25" customHeight="1" x14ac:dyDescent="0.8">
      <c r="C170" s="1291"/>
      <c r="D170" s="1291"/>
      <c r="E170" s="1291"/>
      <c r="F170" s="1291"/>
      <c r="G170" s="1291"/>
      <c r="H170" s="1291"/>
      <c r="I170" s="1291"/>
      <c r="J170" s="1291"/>
      <c r="K170" s="1291"/>
      <c r="L170" s="1291"/>
      <c r="M170" s="1291"/>
      <c r="N170" s="1291"/>
      <c r="O170" s="1291"/>
      <c r="P170" s="1291"/>
      <c r="Q170" s="1291"/>
      <c r="R170" s="1291"/>
      <c r="S170" s="1291"/>
      <c r="T170" s="1291"/>
      <c r="U170" s="1291"/>
      <c r="V170" s="1291"/>
      <c r="W170" s="1291"/>
      <c r="X170" s="1291"/>
      <c r="Y170" s="1291"/>
      <c r="Z170" s="1291"/>
      <c r="AA170" s="1291"/>
      <c r="AB170" s="1291"/>
      <c r="AC170" s="1291"/>
      <c r="AD170" s="1291"/>
      <c r="AE170" s="1291"/>
      <c r="AF170" s="1291"/>
      <c r="AG170" s="1291"/>
      <c r="AH170" s="1291"/>
      <c r="AI170" s="1307"/>
      <c r="AJ170" s="1349"/>
      <c r="AK170" s="1388">
        <v>2023</v>
      </c>
      <c r="AL170" s="1388" t="s">
        <v>170</v>
      </c>
      <c r="AM170" s="1388"/>
      <c r="AN170" s="1349"/>
    </row>
    <row r="171" spans="1:40" ht="17.25" customHeight="1" x14ac:dyDescent="0.35">
      <c r="C171" s="1291"/>
      <c r="D171" s="1291"/>
      <c r="E171" s="1291"/>
      <c r="F171" s="1291"/>
      <c r="G171" s="1291"/>
      <c r="H171" s="1291"/>
      <c r="I171" s="1291"/>
      <c r="J171" s="1291"/>
      <c r="K171" s="1291"/>
      <c r="L171" s="1291"/>
      <c r="M171" s="1291"/>
      <c r="N171" s="1291"/>
      <c r="O171" s="1291"/>
      <c r="P171" s="1291"/>
      <c r="Q171" s="1291"/>
      <c r="R171" s="1291"/>
      <c r="S171" s="1291"/>
      <c r="T171" s="1291"/>
      <c r="U171" s="1291"/>
      <c r="V171" s="1291"/>
      <c r="W171" s="1291"/>
      <c r="X171" s="1291"/>
      <c r="Y171" s="1291"/>
      <c r="Z171" s="1291"/>
      <c r="AA171" s="1291"/>
      <c r="AB171" s="1291"/>
      <c r="AC171" s="1291"/>
      <c r="AD171" s="1291"/>
      <c r="AE171" s="1291"/>
      <c r="AF171" s="1291"/>
      <c r="AG171" s="1291"/>
      <c r="AH171" s="1291"/>
      <c r="AI171" s="1307" t="s">
        <v>171</v>
      </c>
      <c r="AJ171" s="1349"/>
      <c r="AK171" s="1389">
        <f>+[3]Sheet2!G52</f>
        <v>2.0437060210660887</v>
      </c>
      <c r="AL171" s="1389">
        <f>+[3]Sheet2!H52</f>
        <v>1.8590498180084365</v>
      </c>
      <c r="AM171" s="1389"/>
      <c r="AN171" s="1349"/>
    </row>
    <row r="172" spans="1:40" ht="17.25" customHeight="1" x14ac:dyDescent="0.35">
      <c r="C172" s="1291"/>
      <c r="D172" s="1291"/>
      <c r="E172" s="1291"/>
      <c r="F172" s="1291"/>
      <c r="G172" s="1291"/>
      <c r="H172" s="1291"/>
      <c r="I172" s="1291"/>
      <c r="J172" s="1291"/>
      <c r="K172" s="1291"/>
      <c r="L172" s="1291"/>
      <c r="M172" s="1291"/>
      <c r="N172" s="1291"/>
      <c r="O172" s="1291"/>
      <c r="P172" s="1291"/>
      <c r="Q172" s="1291"/>
      <c r="R172" s="1291"/>
      <c r="S172" s="1291"/>
      <c r="T172" s="1291"/>
      <c r="U172" s="1291"/>
      <c r="V172" s="1291"/>
      <c r="W172" s="1291"/>
      <c r="X172" s="1291"/>
      <c r="Y172" s="1291"/>
      <c r="Z172" s="1291"/>
      <c r="AA172" s="1291"/>
      <c r="AB172" s="1291"/>
      <c r="AC172" s="1291"/>
      <c r="AD172" s="1291"/>
      <c r="AE172" s="1291"/>
      <c r="AF172" s="1291"/>
      <c r="AG172" s="1291"/>
      <c r="AH172" s="1291"/>
      <c r="AI172" s="1307" t="s">
        <v>60</v>
      </c>
      <c r="AJ172" s="1349"/>
      <c r="AK172" s="1389">
        <f>+$G$166/AK106</f>
        <v>16.232491290477657</v>
      </c>
      <c r="AL172" s="1389">
        <f>+$G$166/AL106</f>
        <v>16.908806184164153</v>
      </c>
      <c r="AM172" s="1389"/>
      <c r="AN172" s="1349"/>
    </row>
    <row r="173" spans="1:40" ht="17.25" customHeight="1" x14ac:dyDescent="0.35">
      <c r="C173" s="1291"/>
      <c r="D173" s="1291"/>
      <c r="E173" s="1291"/>
      <c r="F173" s="1291"/>
      <c r="G173" s="1291"/>
      <c r="H173" s="1291"/>
      <c r="I173" s="1291"/>
      <c r="J173" s="1291"/>
      <c r="K173" s="1291"/>
      <c r="L173" s="1291"/>
      <c r="M173" s="1291"/>
      <c r="N173" s="1291"/>
      <c r="O173" s="1291"/>
      <c r="P173" s="1291"/>
      <c r="Q173" s="1291"/>
      <c r="R173" s="1291"/>
      <c r="S173" s="1291"/>
      <c r="T173" s="1291"/>
      <c r="U173" s="1291"/>
      <c r="V173" s="1291"/>
      <c r="W173" s="1291"/>
      <c r="X173" s="1291"/>
      <c r="Y173" s="1291"/>
      <c r="Z173" s="1291"/>
      <c r="AA173" s="1291"/>
      <c r="AB173" s="1291"/>
      <c r="AC173" s="1291"/>
      <c r="AD173" s="1291"/>
      <c r="AE173" s="1291"/>
      <c r="AF173" s="1291"/>
      <c r="AG173" s="1291"/>
      <c r="AH173" s="1291"/>
      <c r="AI173" s="1349" t="str">
        <f>+[3]Sheet2!A55</f>
        <v>P/E</v>
      </c>
      <c r="AJ173" s="1349"/>
      <c r="AK173" s="1389">
        <f>+[3]Sheet2!G55</f>
        <v>14.245868350999467</v>
      </c>
      <c r="AL173" s="1389">
        <f>+[3]Sheet2!H55</f>
        <v>10.80447818273845</v>
      </c>
      <c r="AM173" s="1389"/>
      <c r="AN173" s="1349"/>
    </row>
    <row r="174" spans="1:40" ht="17.25" customHeight="1" x14ac:dyDescent="0.35">
      <c r="C174" s="1291"/>
      <c r="D174" s="1291"/>
      <c r="E174" s="1291"/>
      <c r="F174" s="1291"/>
      <c r="G174" s="1291"/>
      <c r="H174" s="1291"/>
      <c r="I174" s="1291"/>
      <c r="J174" s="1291"/>
      <c r="K174" s="1291"/>
      <c r="L174" s="1291"/>
      <c r="M174" s="1291"/>
      <c r="N174" s="1291"/>
      <c r="O174" s="1291"/>
      <c r="P174" s="1291"/>
      <c r="Q174" s="1291"/>
      <c r="R174" s="1291"/>
      <c r="S174" s="1291"/>
      <c r="T174" s="1291"/>
      <c r="U174" s="1291"/>
      <c r="V174" s="1291"/>
      <c r="W174" s="1291"/>
      <c r="X174" s="1291"/>
      <c r="Y174" s="1291"/>
      <c r="Z174" s="1291"/>
      <c r="AA174" s="1291"/>
      <c r="AB174" s="1291"/>
      <c r="AC174" s="1291"/>
      <c r="AD174" s="1291"/>
      <c r="AE174" s="1291"/>
      <c r="AF174" s="1291"/>
      <c r="AG174" s="1291"/>
      <c r="AH174" s="1291"/>
      <c r="AI174" s="1349" t="s">
        <v>172</v>
      </c>
      <c r="AJ174" s="1389"/>
      <c r="AK174" s="1389">
        <f>+[3]Sheet2!G56</f>
        <v>14.10291527999288</v>
      </c>
      <c r="AL174" s="1389">
        <f>+[3]Sheet2!H56</f>
        <v>10.713291025182851</v>
      </c>
      <c r="AM174" s="1389"/>
      <c r="AN174" s="1349"/>
    </row>
    <row r="175" spans="1:40" ht="17.25" customHeight="1" x14ac:dyDescent="0.35">
      <c r="C175" s="1291"/>
      <c r="D175" s="1291"/>
      <c r="E175" s="1291"/>
      <c r="F175" s="1291"/>
      <c r="G175" s="1291"/>
      <c r="H175" s="1291"/>
      <c r="I175" s="1291"/>
      <c r="J175" s="1291"/>
      <c r="K175" s="1291"/>
      <c r="L175" s="1291"/>
      <c r="M175" s="1291"/>
      <c r="N175" s="1291"/>
      <c r="O175" s="1291"/>
      <c r="P175" s="1291"/>
      <c r="Q175" s="1291"/>
      <c r="R175" s="1291"/>
      <c r="S175" s="1291"/>
      <c r="T175" s="1291"/>
      <c r="U175" s="1291"/>
      <c r="V175" s="1291"/>
      <c r="W175" s="1291"/>
      <c r="X175" s="1291"/>
      <c r="Y175" s="1291"/>
      <c r="Z175" s="1291"/>
      <c r="AA175" s="1291"/>
      <c r="AB175" s="1291"/>
      <c r="AC175" s="1291"/>
      <c r="AD175" s="1291"/>
      <c r="AE175" s="1291"/>
      <c r="AF175" s="1291"/>
      <c r="AG175" s="1291"/>
      <c r="AH175" s="1291"/>
      <c r="AI175" s="1291"/>
      <c r="AJ175" s="1291"/>
      <c r="AK175" s="1291"/>
    </row>
    <row r="176" spans="1:40" ht="17.25" customHeight="1" x14ac:dyDescent="0.35">
      <c r="C176" s="1291"/>
      <c r="D176" s="1291"/>
      <c r="E176" s="1291"/>
      <c r="F176" s="1291"/>
      <c r="G176" s="1291"/>
      <c r="H176" s="1291"/>
      <c r="I176" s="1291"/>
      <c r="J176" s="1291"/>
      <c r="K176" s="1291"/>
      <c r="L176" s="1291"/>
      <c r="M176" s="1291"/>
      <c r="N176" s="1291"/>
      <c r="O176" s="1291"/>
      <c r="P176" s="1291"/>
      <c r="Q176" s="1291"/>
      <c r="R176" s="1291"/>
      <c r="S176" s="1291"/>
      <c r="T176" s="1291"/>
      <c r="U176" s="1291"/>
      <c r="V176" s="1291"/>
      <c r="W176" s="1291"/>
      <c r="X176" s="1291"/>
      <c r="Y176" s="1291"/>
      <c r="Z176" s="1291"/>
      <c r="AA176" s="1291"/>
      <c r="AB176" s="1291"/>
      <c r="AC176" s="1291"/>
      <c r="AD176" s="1291"/>
      <c r="AE176" s="1291"/>
      <c r="AF176" s="1291"/>
      <c r="AG176" s="1291"/>
      <c r="AH176" s="1291"/>
      <c r="AI176" s="1291"/>
      <c r="AJ176" s="1291"/>
      <c r="AK176" s="1291"/>
    </row>
    <row r="177" spans="3:37" ht="17.25" customHeight="1" x14ac:dyDescent="0.35">
      <c r="C177" s="1291"/>
      <c r="D177" s="1291"/>
      <c r="E177" s="1291"/>
      <c r="F177" s="1291"/>
      <c r="G177" s="1291"/>
      <c r="H177" s="1291"/>
      <c r="I177" s="1291"/>
      <c r="J177" s="1291"/>
      <c r="K177" s="1291"/>
      <c r="L177" s="1291"/>
      <c r="M177" s="1291"/>
      <c r="N177" s="1291"/>
      <c r="O177" s="1291"/>
      <c r="P177" s="1291"/>
      <c r="Q177" s="1291"/>
      <c r="R177" s="1291"/>
      <c r="S177" s="1291"/>
      <c r="T177" s="1291"/>
      <c r="U177" s="1291"/>
      <c r="V177" s="1291"/>
      <c r="W177" s="1291"/>
      <c r="X177" s="1291"/>
      <c r="Y177" s="1291"/>
      <c r="Z177" s="1291"/>
      <c r="AA177" s="1291"/>
      <c r="AB177" s="1291"/>
      <c r="AC177" s="1291"/>
      <c r="AD177" s="1291"/>
      <c r="AE177" s="1291"/>
      <c r="AF177" s="1291"/>
      <c r="AG177" s="1291"/>
      <c r="AH177" s="1291"/>
      <c r="AI177" s="1291"/>
      <c r="AJ177" s="1291"/>
      <c r="AK177" s="1291"/>
    </row>
    <row r="178" spans="3:37" ht="17.25" customHeight="1" x14ac:dyDescent="0.35">
      <c r="C178" s="1291"/>
      <c r="D178" s="1291"/>
      <c r="E178" s="1291"/>
      <c r="F178" s="1291"/>
      <c r="G178" s="1291"/>
      <c r="H178" s="1291"/>
      <c r="I178" s="1291"/>
      <c r="J178" s="1291"/>
      <c r="K178" s="1291"/>
      <c r="L178" s="1291"/>
      <c r="M178" s="1291"/>
      <c r="N178" s="1291"/>
      <c r="O178" s="1291"/>
      <c r="P178" s="1291"/>
      <c r="Q178" s="1291"/>
      <c r="R178" s="1291"/>
      <c r="S178" s="1291"/>
      <c r="T178" s="1291"/>
      <c r="U178" s="1291"/>
      <c r="V178" s="1291"/>
      <c r="W178" s="1291"/>
      <c r="X178" s="1291"/>
      <c r="Y178" s="1291"/>
      <c r="Z178" s="1291"/>
      <c r="AA178" s="1291"/>
      <c r="AB178" s="1291"/>
      <c r="AC178" s="1291"/>
      <c r="AD178" s="1291"/>
      <c r="AE178" s="1291"/>
      <c r="AF178" s="1291"/>
      <c r="AG178" s="1291"/>
      <c r="AH178" s="1291"/>
      <c r="AI178" s="1291"/>
      <c r="AJ178" s="1291"/>
      <c r="AK178" s="1291"/>
    </row>
    <row r="179" spans="3:37" ht="17.25" customHeight="1" x14ac:dyDescent="0.35">
      <c r="C179" s="1291"/>
      <c r="D179" s="1291"/>
      <c r="E179" s="1291"/>
      <c r="F179" s="1291"/>
      <c r="G179" s="1291"/>
      <c r="H179" s="1291"/>
      <c r="I179" s="1291"/>
      <c r="J179" s="1291"/>
      <c r="K179" s="1291"/>
      <c r="L179" s="1291"/>
      <c r="M179" s="1291"/>
      <c r="N179" s="1291"/>
      <c r="O179" s="1291"/>
      <c r="P179" s="1291"/>
      <c r="Q179" s="1291"/>
      <c r="R179" s="1291"/>
      <c r="S179" s="1291"/>
      <c r="T179" s="1291"/>
      <c r="U179" s="1291"/>
      <c r="V179" s="1291"/>
      <c r="W179" s="1291"/>
      <c r="X179" s="1291"/>
      <c r="Y179" s="1291"/>
      <c r="Z179" s="1291"/>
      <c r="AA179" s="1291"/>
      <c r="AB179" s="1291"/>
      <c r="AC179" s="1291"/>
      <c r="AD179" s="1291"/>
      <c r="AE179" s="1291"/>
      <c r="AF179" s="1291"/>
      <c r="AG179" s="1291"/>
      <c r="AH179" s="1291"/>
      <c r="AI179" s="1291"/>
      <c r="AJ179" s="1291"/>
      <c r="AK179" s="1291"/>
    </row>
    <row r="180" spans="3:37" ht="17.25" customHeight="1" x14ac:dyDescent="0.35">
      <c r="C180" s="1291"/>
      <c r="D180" s="1291"/>
      <c r="E180" s="1291"/>
      <c r="F180" s="1291"/>
      <c r="G180" s="1291"/>
      <c r="H180" s="1291"/>
      <c r="I180" s="1291"/>
      <c r="J180" s="1291"/>
      <c r="K180" s="1291"/>
      <c r="L180" s="1291"/>
      <c r="M180" s="1291"/>
      <c r="N180" s="1291"/>
      <c r="O180" s="1291"/>
      <c r="P180" s="1291"/>
      <c r="Q180" s="1291"/>
      <c r="R180" s="1291"/>
      <c r="S180" s="1291"/>
      <c r="T180" s="1291"/>
      <c r="U180" s="1291"/>
      <c r="V180" s="1291"/>
      <c r="W180" s="1291"/>
      <c r="X180" s="1291"/>
      <c r="Y180" s="1291"/>
      <c r="Z180" s="1291"/>
      <c r="AA180" s="1291"/>
      <c r="AB180" s="1291"/>
      <c r="AC180" s="1291"/>
      <c r="AD180" s="1291"/>
      <c r="AE180" s="1291"/>
      <c r="AF180" s="1291"/>
      <c r="AG180" s="1291"/>
      <c r="AH180" s="1291"/>
      <c r="AI180" s="1291"/>
      <c r="AJ180" s="1291"/>
      <c r="AK180" s="1291"/>
    </row>
    <row r="181" spans="3:37" ht="17.25" customHeight="1" x14ac:dyDescent="0.35">
      <c r="C181" s="1291"/>
      <c r="D181" s="1291"/>
      <c r="E181" s="1291"/>
      <c r="F181" s="1291"/>
      <c r="G181" s="1291"/>
      <c r="H181" s="1291"/>
      <c r="I181" s="1291"/>
      <c r="J181" s="1291"/>
      <c r="K181" s="1291"/>
      <c r="L181" s="1291"/>
      <c r="M181" s="1291"/>
      <c r="N181" s="1291"/>
      <c r="O181" s="1291"/>
      <c r="P181" s="1291"/>
      <c r="Q181" s="1291"/>
      <c r="R181" s="1291"/>
      <c r="S181" s="1291"/>
      <c r="T181" s="1291"/>
      <c r="U181" s="1291"/>
      <c r="V181" s="1291"/>
      <c r="W181" s="1291"/>
      <c r="X181" s="1291"/>
      <c r="Y181" s="1291"/>
      <c r="Z181" s="1291"/>
      <c r="AA181" s="1291"/>
      <c r="AB181" s="1291"/>
      <c r="AC181" s="1291"/>
      <c r="AD181" s="1291"/>
      <c r="AE181" s="1291"/>
      <c r="AF181" s="1291"/>
      <c r="AG181" s="1291"/>
      <c r="AH181" s="1291"/>
      <c r="AI181" s="1291"/>
      <c r="AJ181" s="1291"/>
      <c r="AK181" s="1291"/>
    </row>
    <row r="182" spans="3:37" ht="17.25" customHeight="1" x14ac:dyDescent="0.35">
      <c r="C182" s="1291"/>
      <c r="D182" s="1291"/>
      <c r="E182" s="1291"/>
      <c r="F182" s="1291"/>
      <c r="G182" s="1291"/>
      <c r="H182" s="1291"/>
      <c r="I182" s="1291"/>
      <c r="J182" s="1291"/>
      <c r="K182" s="1291"/>
      <c r="L182" s="1291"/>
      <c r="M182" s="1291"/>
      <c r="N182" s="1291"/>
      <c r="O182" s="1291"/>
      <c r="P182" s="1291"/>
      <c r="Q182" s="1291"/>
      <c r="R182" s="1291"/>
      <c r="S182" s="1291"/>
      <c r="T182" s="1291"/>
      <c r="U182" s="1291"/>
      <c r="V182" s="1291"/>
      <c r="W182" s="1291"/>
      <c r="X182" s="1291"/>
      <c r="Y182" s="1291"/>
      <c r="Z182" s="1291"/>
      <c r="AA182" s="1291"/>
      <c r="AB182" s="1291"/>
      <c r="AC182" s="1291"/>
      <c r="AD182" s="1291"/>
      <c r="AE182" s="1291"/>
      <c r="AF182" s="1291"/>
      <c r="AG182" s="1291"/>
      <c r="AH182" s="1291"/>
      <c r="AI182" s="1291"/>
      <c r="AJ182" s="1291"/>
      <c r="AK182" s="1291"/>
    </row>
    <row r="183" spans="3:37" ht="17.25" customHeight="1" x14ac:dyDescent="0.35">
      <c r="C183" s="1291"/>
      <c r="D183" s="1291"/>
      <c r="E183" s="1291"/>
      <c r="F183" s="1291"/>
      <c r="G183" s="1291"/>
      <c r="H183" s="1291"/>
      <c r="I183" s="1291"/>
      <c r="J183" s="1291"/>
      <c r="K183" s="1291"/>
      <c r="L183" s="1291"/>
      <c r="M183" s="1291"/>
      <c r="N183" s="1291"/>
      <c r="O183" s="1291"/>
      <c r="P183" s="1291"/>
      <c r="Q183" s="1291"/>
      <c r="R183" s="1291"/>
      <c r="S183" s="1291"/>
      <c r="T183" s="1291"/>
      <c r="U183" s="1291"/>
      <c r="V183" s="1291"/>
      <c r="W183" s="1291"/>
      <c r="X183" s="1291"/>
      <c r="Y183" s="1291"/>
      <c r="Z183" s="1291"/>
      <c r="AA183" s="1291"/>
      <c r="AB183" s="1291"/>
      <c r="AC183" s="1291"/>
      <c r="AD183" s="1291"/>
      <c r="AE183" s="1291"/>
      <c r="AF183" s="1291"/>
      <c r="AG183" s="1291"/>
      <c r="AH183" s="1291"/>
      <c r="AI183" s="1291"/>
      <c r="AJ183" s="1291"/>
      <c r="AK183" s="1291"/>
    </row>
    <row r="184" spans="3:37" ht="17.25" customHeight="1" x14ac:dyDescent="0.35">
      <c r="C184" s="1291"/>
      <c r="D184" s="1291"/>
      <c r="E184" s="1291"/>
      <c r="F184" s="1291"/>
      <c r="G184" s="1291"/>
      <c r="H184" s="1291"/>
      <c r="I184" s="1291"/>
      <c r="J184" s="1291"/>
      <c r="K184" s="1291"/>
      <c r="L184" s="1291"/>
      <c r="M184" s="1291"/>
      <c r="N184" s="1291"/>
      <c r="O184" s="1291"/>
      <c r="P184" s="1291"/>
      <c r="Q184" s="1291"/>
      <c r="R184" s="1291"/>
      <c r="S184" s="1291"/>
      <c r="T184" s="1291"/>
      <c r="U184" s="1291"/>
      <c r="V184" s="1291"/>
      <c r="W184" s="1291"/>
      <c r="X184" s="1291"/>
      <c r="Y184" s="1291"/>
      <c r="Z184" s="1291"/>
      <c r="AA184" s="1291"/>
      <c r="AB184" s="1291"/>
      <c r="AC184" s="1291"/>
      <c r="AD184" s="1291"/>
      <c r="AE184" s="1291"/>
      <c r="AF184" s="1291"/>
      <c r="AG184" s="1291"/>
      <c r="AH184" s="1291"/>
      <c r="AI184" s="1291"/>
      <c r="AJ184" s="1291"/>
      <c r="AK184" s="1291"/>
    </row>
    <row r="185" spans="3:37" ht="17.25" customHeight="1" x14ac:dyDescent="0.35">
      <c r="C185" s="1291"/>
      <c r="D185" s="1291"/>
      <c r="E185" s="1291"/>
      <c r="F185" s="1291"/>
      <c r="G185" s="1291"/>
      <c r="H185" s="1291"/>
      <c r="I185" s="1291"/>
      <c r="J185" s="1291"/>
      <c r="K185" s="1291"/>
      <c r="L185" s="1291"/>
      <c r="M185" s="1291"/>
      <c r="N185" s="1291"/>
      <c r="O185" s="1291"/>
      <c r="P185" s="1291"/>
      <c r="Q185" s="1291"/>
      <c r="R185" s="1291"/>
      <c r="S185" s="1291"/>
      <c r="T185" s="1291"/>
      <c r="U185" s="1291"/>
      <c r="V185" s="1291"/>
      <c r="W185" s="1291"/>
      <c r="X185" s="1291"/>
      <c r="Y185" s="1291"/>
      <c r="Z185" s="1291"/>
      <c r="AA185" s="1291"/>
      <c r="AB185" s="1291"/>
      <c r="AC185" s="1291"/>
      <c r="AD185" s="1291"/>
      <c r="AE185" s="1291"/>
      <c r="AF185" s="1291"/>
      <c r="AG185" s="1291"/>
      <c r="AH185" s="1291"/>
      <c r="AI185" s="1291"/>
      <c r="AJ185" s="1291"/>
      <c r="AK185" s="1291"/>
    </row>
    <row r="186" spans="3:37" ht="17.25" customHeight="1" x14ac:dyDescent="0.35">
      <c r="C186" s="1291"/>
      <c r="D186" s="1291"/>
      <c r="E186" s="1291"/>
      <c r="F186" s="1291"/>
      <c r="G186" s="1291"/>
      <c r="H186" s="1291"/>
      <c r="I186" s="1291"/>
      <c r="J186" s="1291"/>
      <c r="K186" s="1291"/>
      <c r="L186" s="1291"/>
      <c r="M186" s="1291"/>
      <c r="N186" s="1291"/>
      <c r="O186" s="1291"/>
      <c r="P186" s="1291"/>
      <c r="Q186" s="1291"/>
      <c r="R186" s="1291"/>
      <c r="S186" s="1291"/>
      <c r="T186" s="1291"/>
      <c r="U186" s="1291"/>
      <c r="V186" s="1291"/>
      <c r="W186" s="1291"/>
      <c r="X186" s="1291"/>
      <c r="Y186" s="1291"/>
      <c r="Z186" s="1291"/>
      <c r="AA186" s="1291"/>
      <c r="AB186" s="1291"/>
      <c r="AC186" s="1291"/>
      <c r="AD186" s="1291"/>
      <c r="AE186" s="1291"/>
      <c r="AF186" s="1291"/>
      <c r="AG186" s="1291"/>
      <c r="AH186" s="1291"/>
      <c r="AI186" s="1291"/>
      <c r="AJ186" s="1291"/>
      <c r="AK186" s="1291"/>
    </row>
    <row r="187" spans="3:37" ht="17.25" customHeight="1" x14ac:dyDescent="0.35">
      <c r="C187" s="1291"/>
      <c r="D187" s="1291"/>
      <c r="E187" s="1291"/>
      <c r="F187" s="1291"/>
      <c r="G187" s="1291"/>
      <c r="H187" s="1291"/>
      <c r="I187" s="1291"/>
      <c r="J187" s="1291"/>
      <c r="K187" s="1291"/>
      <c r="L187" s="1291"/>
      <c r="M187" s="1291"/>
      <c r="N187" s="1291"/>
      <c r="O187" s="1291"/>
      <c r="P187" s="1291"/>
      <c r="Q187" s="1291"/>
      <c r="R187" s="1291"/>
      <c r="S187" s="1291"/>
      <c r="T187" s="1291"/>
      <c r="U187" s="1291"/>
      <c r="V187" s="1291"/>
      <c r="W187" s="1291"/>
      <c r="X187" s="1291"/>
      <c r="Y187" s="1291"/>
      <c r="Z187" s="1291"/>
      <c r="AA187" s="1291"/>
      <c r="AB187" s="1291"/>
      <c r="AC187" s="1291"/>
      <c r="AD187" s="1291"/>
      <c r="AE187" s="1291"/>
      <c r="AF187" s="1291"/>
      <c r="AG187" s="1291"/>
      <c r="AH187" s="1291"/>
      <c r="AI187" s="1291"/>
      <c r="AJ187" s="1291"/>
      <c r="AK187" s="1291"/>
    </row>
    <row r="188" spans="3:37" ht="17.25" customHeight="1" x14ac:dyDescent="0.35">
      <c r="C188" s="1291"/>
      <c r="D188" s="1291"/>
      <c r="E188" s="1291"/>
      <c r="F188" s="1291"/>
      <c r="G188" s="1291"/>
      <c r="H188" s="1291"/>
      <c r="I188" s="1291"/>
      <c r="J188" s="1291"/>
      <c r="K188" s="1291"/>
      <c r="L188" s="1291"/>
      <c r="M188" s="1291"/>
      <c r="N188" s="1291"/>
      <c r="O188" s="1291"/>
      <c r="P188" s="1291"/>
      <c r="Q188" s="1291"/>
      <c r="R188" s="1291"/>
      <c r="S188" s="1291"/>
      <c r="T188" s="1291"/>
      <c r="U188" s="1291"/>
      <c r="V188" s="1291"/>
      <c r="W188" s="1291"/>
      <c r="X188" s="1291"/>
      <c r="Y188" s="1291"/>
      <c r="Z188" s="1291"/>
      <c r="AA188" s="1291"/>
      <c r="AB188" s="1291"/>
      <c r="AC188" s="1291"/>
      <c r="AD188" s="1291"/>
      <c r="AE188" s="1291"/>
      <c r="AF188" s="1291"/>
      <c r="AG188" s="1291"/>
      <c r="AH188" s="1291"/>
      <c r="AI188" s="1291"/>
      <c r="AJ188" s="1291"/>
      <c r="AK188" s="1291"/>
    </row>
    <row r="189" spans="3:37" ht="17.25" customHeight="1" x14ac:dyDescent="0.35">
      <c r="C189" s="1291"/>
      <c r="D189" s="1291"/>
      <c r="E189" s="1291"/>
      <c r="F189" s="1291"/>
      <c r="G189" s="1291"/>
      <c r="H189" s="1291"/>
      <c r="I189" s="1291"/>
      <c r="J189" s="1291"/>
      <c r="K189" s="1291"/>
      <c r="L189" s="1291"/>
      <c r="M189" s="1291"/>
      <c r="N189" s="1291"/>
      <c r="O189" s="1291"/>
      <c r="P189" s="1291"/>
      <c r="Q189" s="1291"/>
      <c r="R189" s="1291"/>
      <c r="S189" s="1291"/>
      <c r="T189" s="1291"/>
      <c r="U189" s="1291"/>
      <c r="V189" s="1291"/>
      <c r="W189" s="1291"/>
      <c r="X189" s="1291"/>
      <c r="Y189" s="1291"/>
      <c r="Z189" s="1291"/>
      <c r="AA189" s="1291"/>
      <c r="AB189" s="1291"/>
      <c r="AC189" s="1291"/>
      <c r="AD189" s="1291"/>
      <c r="AE189" s="1291"/>
      <c r="AF189" s="1291"/>
      <c r="AG189" s="1291"/>
      <c r="AH189" s="1291"/>
      <c r="AI189" s="1291"/>
      <c r="AJ189" s="1291"/>
      <c r="AK189" s="1291"/>
    </row>
    <row r="190" spans="3:37" ht="17.25" customHeight="1" x14ac:dyDescent="0.35">
      <c r="C190" s="1291"/>
      <c r="D190" s="1291"/>
      <c r="E190" s="1291"/>
      <c r="F190" s="1291"/>
      <c r="G190" s="1291"/>
      <c r="H190" s="1291"/>
      <c r="I190" s="1291"/>
      <c r="J190" s="1291"/>
      <c r="K190" s="1291"/>
      <c r="L190" s="1291"/>
      <c r="M190" s="1291"/>
      <c r="N190" s="1291"/>
      <c r="O190" s="1291"/>
      <c r="P190" s="1291"/>
      <c r="Q190" s="1291"/>
      <c r="R190" s="1291"/>
      <c r="S190" s="1291"/>
      <c r="T190" s="1291"/>
      <c r="U190" s="1291"/>
      <c r="V190" s="1291"/>
      <c r="W190" s="1291"/>
      <c r="X190" s="1291"/>
      <c r="Y190" s="1291"/>
      <c r="Z190" s="1291"/>
      <c r="AA190" s="1291"/>
      <c r="AB190" s="1291"/>
      <c r="AC190" s="1291"/>
      <c r="AD190" s="1291"/>
      <c r="AE190" s="1291"/>
      <c r="AF190" s="1291"/>
      <c r="AG190" s="1291"/>
      <c r="AH190" s="1291"/>
      <c r="AI190" s="1291"/>
      <c r="AJ190" s="1291"/>
      <c r="AK190" s="1291"/>
    </row>
    <row r="191" spans="3:37" ht="17.25" customHeight="1" x14ac:dyDescent="0.35">
      <c r="C191" s="1291"/>
      <c r="D191" s="1291"/>
      <c r="E191" s="1291"/>
      <c r="F191" s="1291"/>
      <c r="G191" s="1291"/>
      <c r="H191" s="1291"/>
      <c r="I191" s="1291"/>
      <c r="J191" s="1291"/>
      <c r="K191" s="1291"/>
      <c r="L191" s="1291"/>
      <c r="M191" s="1291"/>
      <c r="N191" s="1291"/>
      <c r="O191" s="1291"/>
      <c r="P191" s="1291"/>
      <c r="Q191" s="1291"/>
      <c r="R191" s="1291"/>
      <c r="S191" s="1291"/>
      <c r="T191" s="1291"/>
      <c r="U191" s="1291"/>
      <c r="V191" s="1291"/>
      <c r="W191" s="1291"/>
      <c r="X191" s="1291"/>
      <c r="Y191" s="1291"/>
      <c r="Z191" s="1291"/>
      <c r="AA191" s="1291"/>
      <c r="AB191" s="1291"/>
      <c r="AC191" s="1291"/>
      <c r="AD191" s="1291"/>
      <c r="AE191" s="1291"/>
      <c r="AF191" s="1291"/>
      <c r="AG191" s="1291"/>
      <c r="AH191" s="1291"/>
      <c r="AI191" s="1291"/>
      <c r="AJ191" s="1291"/>
      <c r="AK191" s="1291"/>
    </row>
    <row r="192" spans="3:37" ht="17.25" customHeight="1" x14ac:dyDescent="0.35">
      <c r="C192" s="1291"/>
      <c r="D192" s="1291"/>
      <c r="E192" s="1291"/>
      <c r="F192" s="1291"/>
      <c r="G192" s="1291"/>
      <c r="H192" s="1291"/>
      <c r="I192" s="1291"/>
      <c r="J192" s="1291"/>
      <c r="K192" s="1291"/>
      <c r="L192" s="1291"/>
      <c r="M192" s="1291"/>
      <c r="N192" s="1291"/>
      <c r="O192" s="1291"/>
      <c r="P192" s="1291"/>
      <c r="Q192" s="1291"/>
      <c r="R192" s="1291"/>
      <c r="S192" s="1291"/>
      <c r="T192" s="1291"/>
      <c r="U192" s="1291"/>
      <c r="V192" s="1291"/>
      <c r="W192" s="1291"/>
      <c r="X192" s="1291"/>
      <c r="Y192" s="1291"/>
      <c r="Z192" s="1291"/>
      <c r="AA192" s="1291"/>
      <c r="AB192" s="1291"/>
      <c r="AC192" s="1291"/>
      <c r="AD192" s="1291"/>
      <c r="AE192" s="1291"/>
      <c r="AF192" s="1291"/>
      <c r="AG192" s="1291"/>
      <c r="AH192" s="1291"/>
      <c r="AI192" s="1291"/>
      <c r="AJ192" s="1291"/>
      <c r="AK192" s="1291"/>
    </row>
    <row r="193" spans="3:37" ht="17.25" customHeight="1" x14ac:dyDescent="0.35">
      <c r="C193" s="1291"/>
      <c r="D193" s="1291"/>
      <c r="E193" s="1291"/>
      <c r="F193" s="1291"/>
      <c r="G193" s="1291"/>
      <c r="H193" s="1291"/>
      <c r="I193" s="1291"/>
      <c r="J193" s="1291"/>
      <c r="K193" s="1291"/>
      <c r="L193" s="1291"/>
      <c r="M193" s="1291"/>
      <c r="N193" s="1291"/>
      <c r="O193" s="1291"/>
      <c r="P193" s="1291"/>
      <c r="Q193" s="1291"/>
      <c r="R193" s="1291"/>
      <c r="S193" s="1291"/>
      <c r="T193" s="1291"/>
      <c r="U193" s="1291"/>
      <c r="V193" s="1291"/>
      <c r="W193" s="1291"/>
      <c r="X193" s="1291"/>
      <c r="Y193" s="1291"/>
      <c r="Z193" s="1291"/>
      <c r="AA193" s="1291"/>
      <c r="AB193" s="1291"/>
      <c r="AC193" s="1291"/>
      <c r="AD193" s="1291"/>
      <c r="AE193" s="1291"/>
      <c r="AF193" s="1291"/>
      <c r="AG193" s="1291"/>
      <c r="AH193" s="1291"/>
      <c r="AI193" s="1291"/>
      <c r="AJ193" s="1291"/>
      <c r="AK193" s="1291"/>
    </row>
    <row r="194" spans="3:37" ht="17.25" customHeight="1" x14ac:dyDescent="0.35">
      <c r="C194" s="1291"/>
      <c r="D194" s="1291"/>
      <c r="E194" s="1291"/>
      <c r="F194" s="1291"/>
      <c r="G194" s="1291"/>
      <c r="H194" s="1291"/>
      <c r="I194" s="1291"/>
      <c r="J194" s="1291"/>
      <c r="K194" s="1291"/>
      <c r="L194" s="1291"/>
      <c r="M194" s="1291"/>
      <c r="N194" s="1291"/>
      <c r="O194" s="1291"/>
      <c r="P194" s="1291"/>
      <c r="Q194" s="1291"/>
      <c r="R194" s="1291"/>
      <c r="S194" s="1291"/>
      <c r="T194" s="1291"/>
      <c r="U194" s="1291"/>
      <c r="V194" s="1291"/>
      <c r="W194" s="1291"/>
      <c r="X194" s="1291"/>
      <c r="Y194" s="1291"/>
      <c r="Z194" s="1291"/>
      <c r="AA194" s="1291"/>
      <c r="AB194" s="1291"/>
      <c r="AC194" s="1291"/>
      <c r="AD194" s="1291"/>
      <c r="AE194" s="1291"/>
      <c r="AF194" s="1291"/>
      <c r="AG194" s="1291"/>
      <c r="AH194" s="1291"/>
      <c r="AI194" s="1291"/>
      <c r="AJ194" s="1291"/>
      <c r="AK194" s="1291"/>
    </row>
    <row r="195" spans="3:37" ht="17.25" customHeight="1" x14ac:dyDescent="0.35">
      <c r="C195" s="1291"/>
      <c r="D195" s="1291"/>
      <c r="E195" s="1291"/>
      <c r="F195" s="1291"/>
      <c r="G195" s="1291"/>
      <c r="H195" s="1291"/>
      <c r="I195" s="1291"/>
      <c r="J195" s="1291"/>
      <c r="K195" s="1291"/>
      <c r="L195" s="1291"/>
      <c r="M195" s="1291"/>
      <c r="N195" s="1291"/>
      <c r="O195" s="1291"/>
      <c r="P195" s="1291"/>
      <c r="Q195" s="1291"/>
      <c r="R195" s="1291"/>
      <c r="S195" s="1291"/>
      <c r="T195" s="1291"/>
      <c r="U195" s="1291"/>
      <c r="V195" s="1291"/>
      <c r="W195" s="1291"/>
      <c r="X195" s="1291"/>
      <c r="Y195" s="1291"/>
      <c r="Z195" s="1291"/>
      <c r="AA195" s="1291"/>
      <c r="AB195" s="1291"/>
      <c r="AC195" s="1291"/>
      <c r="AD195" s="1291"/>
      <c r="AE195" s="1291"/>
      <c r="AF195" s="1291"/>
      <c r="AG195" s="1291"/>
      <c r="AH195" s="1291"/>
      <c r="AI195" s="1291"/>
      <c r="AJ195" s="1291"/>
      <c r="AK195" s="1291"/>
    </row>
    <row r="196" spans="3:37" ht="17.25" customHeight="1" x14ac:dyDescent="0.35">
      <c r="C196" s="1291"/>
      <c r="D196" s="1291"/>
      <c r="E196" s="1291"/>
      <c r="F196" s="1291"/>
      <c r="G196" s="1291"/>
      <c r="H196" s="1291"/>
      <c r="I196" s="1291"/>
      <c r="J196" s="1291"/>
      <c r="K196" s="1291"/>
      <c r="L196" s="1291"/>
      <c r="M196" s="1291"/>
      <c r="N196" s="1291"/>
      <c r="O196" s="1291"/>
      <c r="P196" s="1291"/>
      <c r="Q196" s="1291"/>
      <c r="R196" s="1291"/>
      <c r="S196" s="1291"/>
      <c r="T196" s="1291"/>
      <c r="U196" s="1291"/>
      <c r="V196" s="1291"/>
      <c r="W196" s="1291"/>
      <c r="X196" s="1291"/>
      <c r="Y196" s="1291"/>
      <c r="Z196" s="1291"/>
      <c r="AA196" s="1291"/>
      <c r="AB196" s="1291"/>
      <c r="AC196" s="1291"/>
      <c r="AD196" s="1291"/>
      <c r="AE196" s="1291"/>
      <c r="AF196" s="1291"/>
      <c r="AG196" s="1291"/>
      <c r="AH196" s="1291"/>
      <c r="AI196" s="1291"/>
      <c r="AJ196" s="1291"/>
      <c r="AK196" s="1291"/>
    </row>
    <row r="197" spans="3:37" ht="17.25" customHeight="1" x14ac:dyDescent="0.35">
      <c r="C197" s="1291"/>
      <c r="D197" s="1291"/>
      <c r="E197" s="1291"/>
      <c r="F197" s="1291"/>
      <c r="G197" s="1291"/>
      <c r="H197" s="1291"/>
      <c r="I197" s="1291"/>
      <c r="J197" s="1291"/>
      <c r="K197" s="1291"/>
      <c r="L197" s="1291"/>
      <c r="M197" s="1291"/>
      <c r="N197" s="1291"/>
      <c r="O197" s="1291"/>
      <c r="P197" s="1291"/>
      <c r="Q197" s="1291"/>
      <c r="R197" s="1291"/>
      <c r="S197" s="1291"/>
      <c r="T197" s="1291"/>
      <c r="U197" s="1291"/>
      <c r="V197" s="1291"/>
      <c r="W197" s="1291"/>
      <c r="X197" s="1291"/>
      <c r="Y197" s="1291"/>
      <c r="Z197" s="1291"/>
      <c r="AA197" s="1291"/>
      <c r="AB197" s="1291"/>
      <c r="AC197" s="1291"/>
      <c r="AD197" s="1291"/>
      <c r="AE197" s="1291"/>
      <c r="AF197" s="1291"/>
      <c r="AG197" s="1291"/>
      <c r="AH197" s="1291"/>
      <c r="AI197" s="1291"/>
      <c r="AJ197" s="1291"/>
      <c r="AK197" s="1291"/>
    </row>
    <row r="198" spans="3:37" ht="17.25" customHeight="1" x14ac:dyDescent="0.35">
      <c r="C198" s="1291"/>
      <c r="D198" s="1291"/>
      <c r="E198" s="1291"/>
      <c r="F198" s="1291"/>
      <c r="G198" s="1291"/>
      <c r="H198" s="1291"/>
      <c r="I198" s="1291"/>
      <c r="J198" s="1291"/>
      <c r="K198" s="1291"/>
      <c r="L198" s="1291"/>
      <c r="M198" s="1291"/>
      <c r="N198" s="1291"/>
      <c r="O198" s="1291"/>
      <c r="P198" s="1291"/>
      <c r="Q198" s="1291"/>
      <c r="R198" s="1291"/>
      <c r="S198" s="1291"/>
      <c r="T198" s="1291"/>
      <c r="U198" s="1291"/>
      <c r="V198" s="1291"/>
      <c r="W198" s="1291"/>
      <c r="X198" s="1291"/>
      <c r="Y198" s="1291"/>
      <c r="Z198" s="1291"/>
      <c r="AA198" s="1291"/>
      <c r="AB198" s="1291"/>
      <c r="AC198" s="1291"/>
      <c r="AD198" s="1291"/>
      <c r="AE198" s="1291"/>
      <c r="AF198" s="1291"/>
      <c r="AG198" s="1291"/>
      <c r="AH198" s="1291"/>
      <c r="AI198" s="1291"/>
      <c r="AJ198" s="1291"/>
      <c r="AK198" s="1291"/>
    </row>
    <row r="199" spans="3:37" ht="17.25" customHeight="1" x14ac:dyDescent="0.35">
      <c r="C199" s="1291"/>
      <c r="D199" s="1291"/>
      <c r="E199" s="1291"/>
      <c r="F199" s="1291"/>
      <c r="G199" s="1291"/>
      <c r="H199" s="1291"/>
      <c r="I199" s="1291"/>
      <c r="J199" s="1291"/>
      <c r="K199" s="1291"/>
      <c r="L199" s="1291"/>
      <c r="M199" s="1291"/>
      <c r="N199" s="1291"/>
      <c r="O199" s="1291"/>
      <c r="P199" s="1291"/>
      <c r="Q199" s="1291"/>
      <c r="R199" s="1291"/>
      <c r="S199" s="1291"/>
      <c r="T199" s="1291"/>
      <c r="U199" s="1291"/>
      <c r="V199" s="1291"/>
      <c r="W199" s="1291"/>
      <c r="X199" s="1291"/>
      <c r="Y199" s="1291"/>
      <c r="Z199" s="1291"/>
      <c r="AA199" s="1291"/>
      <c r="AB199" s="1291"/>
      <c r="AC199" s="1291"/>
      <c r="AD199" s="1291"/>
      <c r="AE199" s="1291"/>
      <c r="AF199" s="1291"/>
      <c r="AG199" s="1291"/>
      <c r="AH199" s="1291"/>
      <c r="AI199" s="1291"/>
      <c r="AJ199" s="1291"/>
      <c r="AK199" s="1291"/>
    </row>
    <row r="200" spans="3:37" ht="17.25" customHeight="1" x14ac:dyDescent="0.35">
      <c r="C200" s="1291"/>
      <c r="D200" s="1291"/>
      <c r="E200" s="1291"/>
      <c r="F200" s="1291"/>
      <c r="G200" s="1291"/>
      <c r="H200" s="1291"/>
      <c r="I200" s="1291"/>
      <c r="J200" s="1291"/>
      <c r="K200" s="1291"/>
      <c r="L200" s="1291"/>
      <c r="M200" s="1291"/>
      <c r="N200" s="1291"/>
      <c r="O200" s="1291"/>
      <c r="P200" s="1291"/>
      <c r="Q200" s="1291"/>
      <c r="R200" s="1291"/>
      <c r="S200" s="1291"/>
      <c r="T200" s="1291"/>
      <c r="U200" s="1291"/>
      <c r="V200" s="1291"/>
      <c r="W200" s="1291"/>
      <c r="X200" s="1291"/>
      <c r="Y200" s="1291"/>
      <c r="Z200" s="1291"/>
      <c r="AA200" s="1291"/>
      <c r="AB200" s="1291"/>
      <c r="AC200" s="1291"/>
      <c r="AD200" s="1291"/>
      <c r="AE200" s="1291"/>
      <c r="AF200" s="1291"/>
      <c r="AG200" s="1291"/>
      <c r="AH200" s="1291"/>
      <c r="AI200" s="1291"/>
      <c r="AJ200" s="1291"/>
      <c r="AK200" s="1291"/>
    </row>
    <row r="201" spans="3:37" ht="17.25" customHeight="1" x14ac:dyDescent="0.35">
      <c r="C201" s="1291"/>
      <c r="D201" s="1291"/>
      <c r="E201" s="1291"/>
      <c r="F201" s="1291"/>
      <c r="G201" s="1291"/>
      <c r="H201" s="1291"/>
      <c r="I201" s="1291"/>
      <c r="J201" s="1291"/>
      <c r="K201" s="1291"/>
      <c r="L201" s="1291"/>
      <c r="M201" s="1291"/>
      <c r="N201" s="1291"/>
      <c r="O201" s="1291"/>
      <c r="P201" s="1291"/>
      <c r="Q201" s="1291"/>
      <c r="R201" s="1291"/>
      <c r="S201" s="1291"/>
      <c r="T201" s="1291"/>
      <c r="U201" s="1291"/>
      <c r="V201" s="1291"/>
      <c r="W201" s="1291"/>
      <c r="X201" s="1291"/>
      <c r="Y201" s="1291"/>
      <c r="Z201" s="1291"/>
      <c r="AA201" s="1291"/>
      <c r="AB201" s="1291"/>
      <c r="AC201" s="1291"/>
      <c r="AD201" s="1291"/>
      <c r="AE201" s="1291"/>
      <c r="AF201" s="1291"/>
      <c r="AG201" s="1291"/>
      <c r="AH201" s="1291"/>
      <c r="AI201" s="1291"/>
      <c r="AJ201" s="1291"/>
      <c r="AK201" s="1291"/>
    </row>
    <row r="202" spans="3:37" ht="17.25" customHeight="1" x14ac:dyDescent="0.35">
      <c r="C202" s="1291"/>
      <c r="D202" s="1291"/>
      <c r="E202" s="1291"/>
      <c r="F202" s="1291"/>
      <c r="G202" s="1291"/>
      <c r="H202" s="1291"/>
      <c r="I202" s="1291"/>
      <c r="J202" s="1291"/>
      <c r="K202" s="1291"/>
      <c r="L202" s="1291"/>
      <c r="M202" s="1291"/>
      <c r="N202" s="1291"/>
      <c r="O202" s="1291"/>
      <c r="P202" s="1291"/>
      <c r="Q202" s="1291"/>
      <c r="R202" s="1291"/>
      <c r="S202" s="1291"/>
      <c r="T202" s="1291"/>
      <c r="U202" s="1291"/>
      <c r="V202" s="1291"/>
      <c r="W202" s="1291"/>
      <c r="X202" s="1291"/>
      <c r="Y202" s="1291"/>
      <c r="Z202" s="1291"/>
      <c r="AA202" s="1291"/>
      <c r="AB202" s="1291"/>
      <c r="AC202" s="1291"/>
      <c r="AD202" s="1291"/>
      <c r="AE202" s="1291"/>
      <c r="AF202" s="1291"/>
      <c r="AG202" s="1291"/>
      <c r="AH202" s="1291"/>
      <c r="AI202" s="1291"/>
      <c r="AJ202" s="1291"/>
      <c r="AK202" s="1291"/>
    </row>
    <row r="203" spans="3:37" ht="17.25" customHeight="1" x14ac:dyDescent="0.35">
      <c r="C203" s="1291"/>
      <c r="D203" s="1291"/>
      <c r="E203" s="1291"/>
      <c r="F203" s="1291"/>
      <c r="G203" s="1291"/>
      <c r="H203" s="1291"/>
      <c r="I203" s="1291"/>
      <c r="J203" s="1291"/>
      <c r="K203" s="1291"/>
      <c r="L203" s="1291"/>
      <c r="M203" s="1291"/>
      <c r="N203" s="1291"/>
      <c r="O203" s="1291"/>
      <c r="P203" s="1291"/>
      <c r="Q203" s="1291"/>
      <c r="R203" s="1291"/>
      <c r="S203" s="1291"/>
      <c r="T203" s="1291"/>
      <c r="U203" s="1291"/>
      <c r="V203" s="1291"/>
      <c r="W203" s="1291"/>
      <c r="X203" s="1291"/>
      <c r="Y203" s="1291"/>
      <c r="Z203" s="1291"/>
      <c r="AA203" s="1291"/>
      <c r="AB203" s="1291"/>
      <c r="AC203" s="1291"/>
      <c r="AD203" s="1291"/>
      <c r="AE203" s="1291"/>
      <c r="AF203" s="1291"/>
      <c r="AG203" s="1291"/>
      <c r="AH203" s="1291"/>
      <c r="AI203" s="1291"/>
      <c r="AJ203" s="1291"/>
      <c r="AK203" s="1291"/>
    </row>
    <row r="204" spans="3:37" ht="17.25" customHeight="1" x14ac:dyDescent="0.35">
      <c r="C204" s="1291"/>
      <c r="D204" s="1291"/>
      <c r="E204" s="1291"/>
      <c r="F204" s="1291"/>
      <c r="G204" s="1291"/>
      <c r="H204" s="1291"/>
      <c r="I204" s="1291"/>
      <c r="J204" s="1291"/>
      <c r="K204" s="1291"/>
      <c r="L204" s="1291"/>
      <c r="M204" s="1291"/>
      <c r="N204" s="1291"/>
      <c r="O204" s="1291"/>
      <c r="P204" s="1291"/>
      <c r="Q204" s="1291"/>
      <c r="R204" s="1291"/>
      <c r="S204" s="1291"/>
      <c r="T204" s="1291"/>
      <c r="U204" s="1291"/>
      <c r="V204" s="1291"/>
      <c r="W204" s="1291"/>
      <c r="X204" s="1291"/>
      <c r="Y204" s="1291"/>
      <c r="Z204" s="1291"/>
      <c r="AA204" s="1291"/>
      <c r="AB204" s="1291"/>
      <c r="AC204" s="1291"/>
      <c r="AD204" s="1291"/>
      <c r="AE204" s="1291"/>
      <c r="AF204" s="1291"/>
      <c r="AG204" s="1291"/>
      <c r="AH204" s="1291"/>
      <c r="AI204" s="1291"/>
      <c r="AJ204" s="1291"/>
      <c r="AK204" s="1291"/>
    </row>
    <row r="205" spans="3:37" ht="17.25" customHeight="1" x14ac:dyDescent="0.35">
      <c r="C205" s="1291"/>
      <c r="D205" s="1291"/>
      <c r="E205" s="1291"/>
      <c r="F205" s="1291"/>
      <c r="G205" s="1291"/>
      <c r="H205" s="1291"/>
      <c r="I205" s="1291"/>
      <c r="J205" s="1291"/>
      <c r="K205" s="1291"/>
      <c r="L205" s="1291"/>
      <c r="M205" s="1291"/>
      <c r="N205" s="1291"/>
      <c r="O205" s="1291"/>
      <c r="P205" s="1291"/>
      <c r="Q205" s="1291"/>
      <c r="R205" s="1291"/>
      <c r="S205" s="1291"/>
      <c r="T205" s="1291"/>
      <c r="U205" s="1291"/>
      <c r="V205" s="1291"/>
      <c r="W205" s="1291"/>
      <c r="X205" s="1291"/>
      <c r="Y205" s="1291"/>
      <c r="Z205" s="1291"/>
      <c r="AA205" s="1291"/>
      <c r="AB205" s="1291"/>
      <c r="AC205" s="1291"/>
      <c r="AD205" s="1291"/>
      <c r="AE205" s="1291"/>
      <c r="AF205" s="1291"/>
      <c r="AG205" s="1291"/>
      <c r="AH205" s="1291"/>
      <c r="AI205" s="1291"/>
      <c r="AJ205" s="1291"/>
      <c r="AK205" s="1291"/>
    </row>
    <row r="206" spans="3:37" ht="17.25" customHeight="1" x14ac:dyDescent="0.35">
      <c r="C206" s="1291"/>
      <c r="D206" s="1291"/>
      <c r="E206" s="1291"/>
      <c r="F206" s="1291"/>
      <c r="G206" s="1291"/>
      <c r="H206" s="1291"/>
      <c r="I206" s="1291"/>
      <c r="J206" s="1291"/>
      <c r="K206" s="1291"/>
      <c r="L206" s="1291"/>
      <c r="M206" s="1291"/>
      <c r="N206" s="1291"/>
      <c r="O206" s="1291"/>
      <c r="P206" s="1291"/>
      <c r="Q206" s="1291"/>
      <c r="R206" s="1291"/>
      <c r="S206" s="1291"/>
      <c r="T206" s="1291"/>
      <c r="U206" s="1291"/>
      <c r="V206" s="1291"/>
      <c r="W206" s="1291"/>
      <c r="X206" s="1291"/>
      <c r="Y206" s="1291"/>
      <c r="Z206" s="1291"/>
      <c r="AA206" s="1291"/>
      <c r="AB206" s="1291"/>
      <c r="AC206" s="1291"/>
      <c r="AD206" s="1291"/>
      <c r="AE206" s="1291"/>
      <c r="AF206" s="1291"/>
      <c r="AG206" s="1291"/>
      <c r="AH206" s="1291"/>
      <c r="AI206" s="1291"/>
      <c r="AJ206" s="1291"/>
      <c r="AK206" s="1291"/>
    </row>
    <row r="207" spans="3:37" ht="17.25" customHeight="1" x14ac:dyDescent="0.35">
      <c r="C207" s="1291"/>
      <c r="D207" s="1291"/>
      <c r="E207" s="1291"/>
      <c r="F207" s="1291"/>
      <c r="G207" s="1291"/>
      <c r="H207" s="1291"/>
      <c r="I207" s="1291"/>
      <c r="J207" s="1291"/>
      <c r="K207" s="1291"/>
      <c r="L207" s="1291"/>
      <c r="M207" s="1291"/>
      <c r="N207" s="1291"/>
      <c r="O207" s="1291"/>
      <c r="P207" s="1291"/>
      <c r="Q207" s="1291"/>
      <c r="R207" s="1291"/>
      <c r="S207" s="1291"/>
      <c r="T207" s="1291"/>
      <c r="U207" s="1291"/>
      <c r="V207" s="1291"/>
      <c r="W207" s="1291"/>
      <c r="X207" s="1291"/>
      <c r="Y207" s="1291"/>
      <c r="Z207" s="1291"/>
      <c r="AA207" s="1291"/>
      <c r="AB207" s="1291"/>
      <c r="AC207" s="1291"/>
      <c r="AD207" s="1291"/>
      <c r="AE207" s="1291"/>
      <c r="AF207" s="1291"/>
      <c r="AG207" s="1291"/>
      <c r="AH207" s="1291"/>
      <c r="AI207" s="1291"/>
      <c r="AJ207" s="1291"/>
      <c r="AK207" s="1291"/>
    </row>
    <row r="208" spans="3:37" ht="17.25" customHeight="1" x14ac:dyDescent="0.35">
      <c r="C208" s="1291"/>
      <c r="D208" s="1291"/>
      <c r="E208" s="1291"/>
      <c r="F208" s="1291"/>
      <c r="G208" s="1291"/>
      <c r="H208" s="1291"/>
      <c r="I208" s="1291"/>
      <c r="J208" s="1291"/>
      <c r="K208" s="1291"/>
      <c r="L208" s="1291"/>
      <c r="M208" s="1291"/>
      <c r="N208" s="1291"/>
      <c r="O208" s="1291"/>
      <c r="P208" s="1291"/>
      <c r="Q208" s="1291"/>
      <c r="R208" s="1291"/>
      <c r="S208" s="1291"/>
      <c r="T208" s="1291"/>
      <c r="U208" s="1291"/>
      <c r="V208" s="1291"/>
      <c r="W208" s="1291"/>
      <c r="X208" s="1291"/>
      <c r="Y208" s="1291"/>
      <c r="Z208" s="1291"/>
      <c r="AA208" s="1291"/>
      <c r="AB208" s="1291"/>
      <c r="AC208" s="1291"/>
      <c r="AD208" s="1291"/>
      <c r="AE208" s="1291"/>
      <c r="AF208" s="1291"/>
      <c r="AG208" s="1291"/>
      <c r="AH208" s="1291"/>
      <c r="AI208" s="1291"/>
      <c r="AJ208" s="1291"/>
      <c r="AK208" s="1291"/>
    </row>
    <row r="209" spans="3:37" ht="17.25" customHeight="1" x14ac:dyDescent="0.35">
      <c r="C209" s="1291"/>
      <c r="D209" s="1291"/>
      <c r="E209" s="1291"/>
      <c r="F209" s="1291"/>
      <c r="G209" s="1291"/>
      <c r="H209" s="1291"/>
      <c r="I209" s="1291"/>
      <c r="J209" s="1291"/>
      <c r="K209" s="1291"/>
      <c r="L209" s="1291"/>
      <c r="M209" s="1291"/>
      <c r="N209" s="1291"/>
      <c r="O209" s="1291"/>
      <c r="P209" s="1291"/>
      <c r="Q209" s="1291"/>
      <c r="R209" s="1291"/>
      <c r="S209" s="1291"/>
      <c r="T209" s="1291"/>
      <c r="U209" s="1291"/>
      <c r="V209" s="1291"/>
      <c r="W209" s="1291"/>
      <c r="X209" s="1291"/>
      <c r="Y209" s="1291"/>
      <c r="Z209" s="1291"/>
      <c r="AA209" s="1291"/>
      <c r="AB209" s="1291"/>
      <c r="AC209" s="1291"/>
      <c r="AD209" s="1291"/>
      <c r="AE209" s="1291"/>
      <c r="AF209" s="1291"/>
      <c r="AG209" s="1291"/>
      <c r="AH209" s="1291"/>
      <c r="AI209" s="1291"/>
      <c r="AJ209" s="1291"/>
      <c r="AK209" s="1291"/>
    </row>
    <row r="210" spans="3:37" ht="17.25" customHeight="1" x14ac:dyDescent="0.35">
      <c r="C210" s="1291"/>
      <c r="D210" s="1291"/>
      <c r="E210" s="1291"/>
      <c r="F210" s="1291"/>
      <c r="G210" s="1291"/>
      <c r="H210" s="1291"/>
      <c r="I210" s="1291"/>
      <c r="J210" s="1291"/>
      <c r="K210" s="1291"/>
      <c r="L210" s="1291"/>
      <c r="M210" s="1291"/>
      <c r="N210" s="1291"/>
      <c r="O210" s="1291"/>
      <c r="P210" s="1291"/>
      <c r="Q210" s="1291"/>
      <c r="R210" s="1291"/>
      <c r="S210" s="1291"/>
      <c r="T210" s="1291"/>
      <c r="U210" s="1291"/>
      <c r="V210" s="1291"/>
      <c r="W210" s="1291"/>
      <c r="X210" s="1291"/>
      <c r="Y210" s="1291"/>
      <c r="Z210" s="1291"/>
      <c r="AA210" s="1291"/>
      <c r="AB210" s="1291"/>
      <c r="AC210" s="1291"/>
      <c r="AD210" s="1291"/>
      <c r="AE210" s="1291"/>
      <c r="AF210" s="1291"/>
      <c r="AG210" s="1291"/>
      <c r="AH210" s="1291"/>
      <c r="AI210" s="1291"/>
      <c r="AJ210" s="1291"/>
      <c r="AK210" s="1291"/>
    </row>
    <row r="211" spans="3:37" ht="17.25" customHeight="1" x14ac:dyDescent="0.35">
      <c r="C211" s="1291"/>
      <c r="D211" s="1291"/>
      <c r="E211" s="1291"/>
      <c r="F211" s="1291"/>
      <c r="G211" s="1291"/>
      <c r="H211" s="1291"/>
      <c r="I211" s="1291"/>
      <c r="J211" s="1291"/>
      <c r="K211" s="1291"/>
      <c r="L211" s="1291"/>
      <c r="M211" s="1291"/>
      <c r="N211" s="1291"/>
      <c r="O211" s="1291"/>
      <c r="P211" s="1291"/>
      <c r="Q211" s="1291"/>
      <c r="R211" s="1291"/>
      <c r="S211" s="1291"/>
      <c r="T211" s="1291"/>
      <c r="U211" s="1291"/>
      <c r="V211" s="1291"/>
      <c r="W211" s="1291"/>
      <c r="X211" s="1291"/>
      <c r="Y211" s="1291"/>
      <c r="Z211" s="1291"/>
      <c r="AA211" s="1291"/>
      <c r="AB211" s="1291"/>
      <c r="AC211" s="1291"/>
      <c r="AD211" s="1291"/>
      <c r="AE211" s="1291"/>
      <c r="AF211" s="1291"/>
      <c r="AG211" s="1291"/>
      <c r="AH211" s="1291"/>
      <c r="AI211" s="1291"/>
      <c r="AJ211" s="1291"/>
      <c r="AK211" s="1291"/>
    </row>
    <row r="212" spans="3:37" ht="17.25" customHeight="1" x14ac:dyDescent="0.35">
      <c r="C212" s="1291"/>
      <c r="D212" s="1291"/>
      <c r="E212" s="1291"/>
      <c r="F212" s="1291"/>
      <c r="G212" s="1291"/>
      <c r="H212" s="1291"/>
      <c r="I212" s="1291"/>
      <c r="J212" s="1291"/>
      <c r="K212" s="1291"/>
      <c r="L212" s="1291"/>
      <c r="M212" s="1291"/>
      <c r="N212" s="1291"/>
      <c r="O212" s="1291"/>
      <c r="P212" s="1291"/>
      <c r="Q212" s="1291"/>
      <c r="R212" s="1291"/>
      <c r="S212" s="1291"/>
      <c r="T212" s="1291"/>
      <c r="U212" s="1291"/>
      <c r="V212" s="1291"/>
      <c r="W212" s="1291"/>
      <c r="X212" s="1291"/>
      <c r="Y212" s="1291"/>
      <c r="Z212" s="1291"/>
      <c r="AA212" s="1291"/>
      <c r="AB212" s="1291"/>
      <c r="AC212" s="1291"/>
      <c r="AD212" s="1291"/>
      <c r="AE212" s="1291"/>
      <c r="AF212" s="1291"/>
      <c r="AG212" s="1291"/>
      <c r="AH212" s="1291"/>
      <c r="AI212" s="1291"/>
      <c r="AJ212" s="1291"/>
      <c r="AK212" s="1291"/>
    </row>
    <row r="213" spans="3:37" ht="17.25" customHeight="1" x14ac:dyDescent="0.35">
      <c r="C213" s="1291"/>
      <c r="D213" s="1291"/>
      <c r="E213" s="1291"/>
      <c r="F213" s="1291"/>
      <c r="G213" s="1291"/>
      <c r="H213" s="1291"/>
      <c r="I213" s="1291"/>
      <c r="J213" s="1291"/>
      <c r="K213" s="1291"/>
      <c r="L213" s="1291"/>
      <c r="M213" s="1291"/>
      <c r="N213" s="1291"/>
      <c r="O213" s="1291"/>
      <c r="P213" s="1291"/>
      <c r="Q213" s="1291"/>
      <c r="R213" s="1291"/>
      <c r="S213" s="1291"/>
      <c r="T213" s="1291"/>
      <c r="U213" s="1291"/>
      <c r="V213" s="1291"/>
      <c r="W213" s="1291"/>
      <c r="X213" s="1291"/>
      <c r="Y213" s="1291"/>
      <c r="Z213" s="1291"/>
      <c r="AA213" s="1291"/>
      <c r="AB213" s="1291"/>
      <c r="AC213" s="1291"/>
      <c r="AD213" s="1291"/>
      <c r="AE213" s="1291"/>
      <c r="AF213" s="1291"/>
      <c r="AG213" s="1291"/>
      <c r="AH213" s="1291"/>
      <c r="AI213" s="1291"/>
      <c r="AJ213" s="1291"/>
      <c r="AK213" s="1291"/>
    </row>
    <row r="214" spans="3:37" ht="17.25" customHeight="1" x14ac:dyDescent="0.35">
      <c r="C214" s="1291"/>
      <c r="D214" s="1291"/>
      <c r="E214" s="1291"/>
      <c r="F214" s="1291"/>
      <c r="G214" s="1291"/>
      <c r="H214" s="1291"/>
      <c r="I214" s="1291"/>
      <c r="J214" s="1291"/>
      <c r="K214" s="1291"/>
      <c r="L214" s="1291"/>
      <c r="M214" s="1291"/>
      <c r="N214" s="1291"/>
      <c r="O214" s="1291"/>
      <c r="P214" s="1291"/>
      <c r="Q214" s="1291"/>
      <c r="R214" s="1291"/>
      <c r="S214" s="1291"/>
      <c r="T214" s="1291"/>
      <c r="U214" s="1291"/>
      <c r="V214" s="1291"/>
      <c r="W214" s="1291"/>
      <c r="X214" s="1291"/>
      <c r="Y214" s="1291"/>
      <c r="Z214" s="1291"/>
      <c r="AA214" s="1291"/>
      <c r="AB214" s="1291"/>
      <c r="AC214" s="1291"/>
      <c r="AD214" s="1291"/>
      <c r="AE214" s="1291"/>
      <c r="AF214" s="1291"/>
      <c r="AG214" s="1291"/>
      <c r="AH214" s="1291"/>
      <c r="AI214" s="1291"/>
      <c r="AJ214" s="1291"/>
      <c r="AK214" s="1291"/>
    </row>
    <row r="215" spans="3:37" ht="17.25" customHeight="1" x14ac:dyDescent="0.35">
      <c r="C215" s="1291"/>
      <c r="D215" s="1291"/>
      <c r="E215" s="1291"/>
      <c r="F215" s="1291"/>
      <c r="G215" s="1291"/>
      <c r="H215" s="1291"/>
      <c r="I215" s="1291"/>
      <c r="J215" s="1291"/>
      <c r="K215" s="1291"/>
      <c r="L215" s="1291"/>
      <c r="M215" s="1291"/>
      <c r="N215" s="1291"/>
      <c r="O215" s="1291"/>
      <c r="P215" s="1291"/>
      <c r="Q215" s="1291"/>
      <c r="R215" s="1291"/>
      <c r="S215" s="1291"/>
      <c r="T215" s="1291"/>
      <c r="U215" s="1291"/>
      <c r="V215" s="1291"/>
      <c r="W215" s="1291"/>
      <c r="X215" s="1291"/>
      <c r="Y215" s="1291"/>
      <c r="Z215" s="1291"/>
      <c r="AA215" s="1291"/>
      <c r="AB215" s="1291"/>
      <c r="AC215" s="1291"/>
      <c r="AD215" s="1291"/>
      <c r="AE215" s="1291"/>
      <c r="AF215" s="1291"/>
      <c r="AG215" s="1291"/>
      <c r="AH215" s="1291"/>
      <c r="AI215" s="1291"/>
      <c r="AJ215" s="1291"/>
      <c r="AK215" s="1291"/>
    </row>
    <row r="216" spans="3:37" ht="17.25" customHeight="1" x14ac:dyDescent="0.35">
      <c r="C216" s="1291"/>
      <c r="D216" s="1291"/>
      <c r="E216" s="1291"/>
      <c r="F216" s="1291"/>
      <c r="G216" s="1291"/>
      <c r="H216" s="1291"/>
      <c r="I216" s="1291"/>
      <c r="J216" s="1291"/>
      <c r="K216" s="1291"/>
      <c r="L216" s="1291"/>
      <c r="M216" s="1291"/>
      <c r="N216" s="1291"/>
      <c r="O216" s="1291"/>
      <c r="P216" s="1291"/>
      <c r="Q216" s="1291"/>
      <c r="R216" s="1291"/>
      <c r="S216" s="1291"/>
      <c r="T216" s="1291"/>
      <c r="U216" s="1291"/>
      <c r="V216" s="1291"/>
      <c r="W216" s="1291"/>
      <c r="X216" s="1291"/>
      <c r="Y216" s="1291"/>
      <c r="Z216" s="1291"/>
      <c r="AA216" s="1291"/>
      <c r="AB216" s="1291"/>
      <c r="AC216" s="1291"/>
      <c r="AD216" s="1291"/>
      <c r="AE216" s="1291"/>
      <c r="AF216" s="1291"/>
      <c r="AG216" s="1291"/>
      <c r="AH216" s="1291"/>
      <c r="AI216" s="1291"/>
      <c r="AJ216" s="1291"/>
      <c r="AK216" s="1291"/>
    </row>
    <row r="217" spans="3:37" ht="17.25" customHeight="1" x14ac:dyDescent="0.35">
      <c r="C217" s="1291"/>
      <c r="D217" s="1291"/>
      <c r="E217" s="1291"/>
      <c r="F217" s="1291"/>
      <c r="G217" s="1291"/>
      <c r="H217" s="1291"/>
      <c r="I217" s="1291"/>
      <c r="J217" s="1291"/>
      <c r="K217" s="1291"/>
      <c r="L217" s="1291"/>
      <c r="M217" s="1291"/>
      <c r="N217" s="1291"/>
      <c r="O217" s="1291"/>
      <c r="P217" s="1291"/>
      <c r="Q217" s="1291"/>
      <c r="R217" s="1291"/>
      <c r="S217" s="1291"/>
      <c r="T217" s="1291"/>
      <c r="U217" s="1291"/>
      <c r="V217" s="1291"/>
      <c r="W217" s="1291"/>
      <c r="X217" s="1291"/>
      <c r="Y217" s="1291"/>
      <c r="Z217" s="1291"/>
      <c r="AA217" s="1291"/>
      <c r="AB217" s="1291"/>
      <c r="AC217" s="1291"/>
      <c r="AD217" s="1291"/>
      <c r="AE217" s="1291"/>
      <c r="AF217" s="1291"/>
      <c r="AG217" s="1291"/>
      <c r="AH217" s="1291"/>
      <c r="AI217" s="1291"/>
      <c r="AJ217" s="1291"/>
      <c r="AK217" s="1291"/>
    </row>
    <row r="218" spans="3:37" ht="17.25" customHeight="1" x14ac:dyDescent="0.35">
      <c r="C218" s="1291"/>
      <c r="D218" s="1291"/>
      <c r="E218" s="1291"/>
      <c r="F218" s="1291"/>
      <c r="G218" s="1291"/>
      <c r="H218" s="1291"/>
      <c r="I218" s="1291"/>
      <c r="J218" s="1291"/>
      <c r="K218" s="1291"/>
      <c r="L218" s="1291"/>
      <c r="M218" s="1291"/>
      <c r="N218" s="1291"/>
      <c r="O218" s="1291"/>
      <c r="P218" s="1291"/>
      <c r="Q218" s="1291"/>
      <c r="R218" s="1291"/>
      <c r="S218" s="1291"/>
      <c r="T218" s="1291"/>
      <c r="U218" s="1291"/>
      <c r="V218" s="1291"/>
      <c r="W218" s="1291"/>
      <c r="X218" s="1291"/>
      <c r="Y218" s="1291"/>
      <c r="Z218" s="1291"/>
      <c r="AA218" s="1291"/>
      <c r="AB218" s="1291"/>
      <c r="AC218" s="1291"/>
      <c r="AD218" s="1291"/>
      <c r="AE218" s="1291"/>
      <c r="AF218" s="1291"/>
      <c r="AG218" s="1291"/>
      <c r="AH218" s="1291"/>
      <c r="AI218" s="1291"/>
      <c r="AJ218" s="1291"/>
      <c r="AK218" s="1291"/>
    </row>
    <row r="219" spans="3:37" ht="17.25" customHeight="1" x14ac:dyDescent="0.35">
      <c r="C219" s="1291"/>
      <c r="D219" s="1291"/>
      <c r="E219" s="1291"/>
      <c r="F219" s="1291"/>
      <c r="G219" s="1291"/>
      <c r="H219" s="1291"/>
      <c r="I219" s="1291"/>
      <c r="J219" s="1291"/>
      <c r="K219" s="1291"/>
      <c r="L219" s="1291"/>
      <c r="M219" s="1291"/>
      <c r="N219" s="1291"/>
      <c r="O219" s="1291"/>
      <c r="P219" s="1291"/>
      <c r="Q219" s="1291"/>
      <c r="R219" s="1291"/>
      <c r="S219" s="1291"/>
      <c r="T219" s="1291"/>
      <c r="U219" s="1291"/>
      <c r="V219" s="1291"/>
      <c r="W219" s="1291"/>
      <c r="X219" s="1291"/>
      <c r="Y219" s="1291"/>
      <c r="Z219" s="1291"/>
      <c r="AA219" s="1291"/>
      <c r="AB219" s="1291"/>
      <c r="AC219" s="1291"/>
      <c r="AD219" s="1291"/>
      <c r="AE219" s="1291"/>
      <c r="AF219" s="1291"/>
      <c r="AG219" s="1291"/>
      <c r="AH219" s="1291"/>
      <c r="AI219" s="1291"/>
      <c r="AJ219" s="1291"/>
      <c r="AK219" s="1291"/>
    </row>
    <row r="220" spans="3:37" ht="17.25" customHeight="1" x14ac:dyDescent="0.35">
      <c r="C220" s="1291"/>
      <c r="D220" s="1291"/>
      <c r="E220" s="1291"/>
      <c r="F220" s="1291"/>
      <c r="G220" s="1291"/>
      <c r="H220" s="1291"/>
      <c r="I220" s="1291"/>
      <c r="J220" s="1291"/>
      <c r="K220" s="1291"/>
      <c r="L220" s="1291"/>
      <c r="M220" s="1291"/>
      <c r="N220" s="1291"/>
      <c r="O220" s="1291"/>
      <c r="P220" s="1291"/>
      <c r="Q220" s="1291"/>
      <c r="R220" s="1291"/>
      <c r="S220" s="1291"/>
      <c r="T220" s="1291"/>
      <c r="U220" s="1291"/>
      <c r="V220" s="1291"/>
      <c r="W220" s="1291"/>
      <c r="X220" s="1291"/>
      <c r="Y220" s="1291"/>
      <c r="Z220" s="1291"/>
      <c r="AA220" s="1291"/>
      <c r="AB220" s="1291"/>
      <c r="AC220" s="1291"/>
      <c r="AD220" s="1291"/>
      <c r="AE220" s="1291"/>
      <c r="AF220" s="1291"/>
      <c r="AG220" s="1291"/>
      <c r="AH220" s="1291"/>
      <c r="AI220" s="1291"/>
      <c r="AJ220" s="1291"/>
      <c r="AK220" s="1291"/>
    </row>
    <row r="221" spans="3:37" ht="17.25" customHeight="1" x14ac:dyDescent="0.35">
      <c r="C221" s="1291"/>
      <c r="D221" s="1291"/>
      <c r="E221" s="1291"/>
      <c r="F221" s="1291"/>
      <c r="G221" s="1291"/>
      <c r="H221" s="1291"/>
      <c r="I221" s="1291"/>
      <c r="J221" s="1291"/>
      <c r="K221" s="1291"/>
      <c r="L221" s="1291"/>
      <c r="M221" s="1291"/>
      <c r="N221" s="1291"/>
      <c r="O221" s="1291"/>
      <c r="P221" s="1291"/>
      <c r="Q221" s="1291"/>
      <c r="R221" s="1291"/>
      <c r="S221" s="1291"/>
      <c r="T221" s="1291"/>
      <c r="U221" s="1291"/>
      <c r="V221" s="1291"/>
      <c r="W221" s="1291"/>
      <c r="X221" s="1291"/>
      <c r="Y221" s="1291"/>
      <c r="Z221" s="1291"/>
      <c r="AA221" s="1291"/>
      <c r="AB221" s="1291"/>
      <c r="AC221" s="1291"/>
      <c r="AD221" s="1291"/>
      <c r="AE221" s="1291"/>
      <c r="AF221" s="1291"/>
      <c r="AG221" s="1291"/>
      <c r="AH221" s="1291"/>
      <c r="AI221" s="1291"/>
      <c r="AJ221" s="1291"/>
      <c r="AK221" s="1291"/>
    </row>
    <row r="222" spans="3:37" ht="17.25" customHeight="1" x14ac:dyDescent="0.35">
      <c r="C222" s="1291"/>
      <c r="D222" s="1291"/>
      <c r="E222" s="1291"/>
      <c r="F222" s="1291"/>
      <c r="G222" s="1291"/>
      <c r="H222" s="1291"/>
      <c r="I222" s="1291"/>
      <c r="J222" s="1291"/>
      <c r="K222" s="1291"/>
      <c r="L222" s="1291"/>
      <c r="M222" s="1291"/>
      <c r="N222" s="1291"/>
      <c r="O222" s="1291"/>
      <c r="P222" s="1291"/>
      <c r="Q222" s="1291"/>
      <c r="R222" s="1291"/>
      <c r="S222" s="1291"/>
      <c r="T222" s="1291"/>
      <c r="U222" s="1291"/>
      <c r="V222" s="1291"/>
      <c r="W222" s="1291"/>
      <c r="X222" s="1291"/>
      <c r="Y222" s="1291"/>
      <c r="Z222" s="1291"/>
      <c r="AA222" s="1291"/>
      <c r="AB222" s="1291"/>
      <c r="AC222" s="1291"/>
      <c r="AD222" s="1291"/>
      <c r="AE222" s="1291"/>
      <c r="AF222" s="1291"/>
      <c r="AG222" s="1291"/>
      <c r="AH222" s="1291"/>
      <c r="AI222" s="1291"/>
      <c r="AJ222" s="1291"/>
      <c r="AK222" s="1291"/>
    </row>
    <row r="223" spans="3:37" ht="17.25" customHeight="1" x14ac:dyDescent="0.35">
      <c r="C223" s="1291"/>
      <c r="D223" s="1291"/>
      <c r="E223" s="1291"/>
      <c r="F223" s="1291"/>
      <c r="G223" s="1291"/>
      <c r="H223" s="1291"/>
      <c r="I223" s="1291"/>
      <c r="J223" s="1291"/>
      <c r="K223" s="1291"/>
      <c r="L223" s="1291"/>
      <c r="M223" s="1291"/>
      <c r="N223" s="1291"/>
      <c r="O223" s="1291"/>
      <c r="P223" s="1291"/>
      <c r="Q223" s="1291"/>
      <c r="R223" s="1291"/>
      <c r="S223" s="1291"/>
      <c r="T223" s="1291"/>
      <c r="U223" s="1291"/>
      <c r="V223" s="1291"/>
      <c r="W223" s="1291"/>
      <c r="X223" s="1291"/>
      <c r="Y223" s="1291"/>
      <c r="Z223" s="1291"/>
      <c r="AA223" s="1291"/>
      <c r="AB223" s="1291"/>
      <c r="AC223" s="1291"/>
      <c r="AD223" s="1291"/>
      <c r="AE223" s="1291"/>
      <c r="AF223" s="1291"/>
      <c r="AG223" s="1291"/>
      <c r="AH223" s="1291"/>
      <c r="AI223" s="1291"/>
      <c r="AJ223" s="1291"/>
      <c r="AK223" s="1291"/>
    </row>
    <row r="224" spans="3:37" ht="17.25" customHeight="1" x14ac:dyDescent="0.35">
      <c r="C224" s="1291"/>
      <c r="D224" s="1291"/>
      <c r="E224" s="1291"/>
      <c r="F224" s="1291"/>
      <c r="G224" s="1291"/>
      <c r="H224" s="1291"/>
      <c r="I224" s="1291"/>
      <c r="J224" s="1291"/>
      <c r="K224" s="1291"/>
      <c r="L224" s="1291"/>
      <c r="M224" s="1291"/>
      <c r="N224" s="1291"/>
      <c r="O224" s="1291"/>
      <c r="P224" s="1291"/>
      <c r="Q224" s="1291"/>
      <c r="R224" s="1291"/>
      <c r="S224" s="1291"/>
      <c r="T224" s="1291"/>
      <c r="U224" s="1291"/>
      <c r="V224" s="1291"/>
      <c r="W224" s="1291"/>
      <c r="X224" s="1291"/>
      <c r="Y224" s="1291"/>
      <c r="Z224" s="1291"/>
      <c r="AA224" s="1291"/>
      <c r="AB224" s="1291"/>
      <c r="AC224" s="1291"/>
      <c r="AD224" s="1291"/>
      <c r="AE224" s="1291"/>
      <c r="AF224" s="1291"/>
      <c r="AG224" s="1291"/>
      <c r="AH224" s="1291"/>
      <c r="AI224" s="1291"/>
      <c r="AJ224" s="1291"/>
      <c r="AK224" s="1291"/>
    </row>
    <row r="225" spans="3:37" ht="17.25" customHeight="1" x14ac:dyDescent="0.35">
      <c r="C225" s="1291"/>
      <c r="D225" s="1291"/>
      <c r="E225" s="1291"/>
      <c r="F225" s="1291"/>
      <c r="G225" s="1291"/>
      <c r="H225" s="1291"/>
      <c r="I225" s="1291"/>
      <c r="J225" s="1291"/>
      <c r="K225" s="1291"/>
      <c r="L225" s="1291"/>
      <c r="M225" s="1291"/>
      <c r="N225" s="1291"/>
      <c r="O225" s="1291"/>
      <c r="P225" s="1291"/>
      <c r="Q225" s="1291"/>
      <c r="R225" s="1291"/>
      <c r="S225" s="1291"/>
      <c r="T225" s="1291"/>
      <c r="U225" s="1291"/>
      <c r="V225" s="1291"/>
      <c r="W225" s="1291"/>
      <c r="X225" s="1291"/>
      <c r="Y225" s="1291"/>
      <c r="Z225" s="1291"/>
      <c r="AA225" s="1291"/>
      <c r="AB225" s="1291"/>
      <c r="AC225" s="1291"/>
      <c r="AD225" s="1291"/>
      <c r="AE225" s="1291"/>
      <c r="AF225" s="1291"/>
      <c r="AG225" s="1291"/>
      <c r="AH225" s="1291"/>
      <c r="AI225" s="1291"/>
      <c r="AJ225" s="1291"/>
      <c r="AK225" s="1291"/>
    </row>
    <row r="226" spans="3:37" ht="17.25" customHeight="1" x14ac:dyDescent="0.35">
      <c r="C226" s="1291"/>
      <c r="D226" s="1291"/>
      <c r="E226" s="1291"/>
      <c r="F226" s="1291"/>
      <c r="G226" s="1291"/>
      <c r="H226" s="1291"/>
      <c r="I226" s="1291"/>
      <c r="J226" s="1291"/>
      <c r="K226" s="1291"/>
      <c r="L226" s="1291"/>
      <c r="M226" s="1291"/>
      <c r="N226" s="1291"/>
      <c r="O226" s="1291"/>
      <c r="P226" s="1291"/>
      <c r="Q226" s="1291"/>
      <c r="R226" s="1291"/>
      <c r="S226" s="1291"/>
      <c r="T226" s="1291"/>
      <c r="U226" s="1291"/>
      <c r="V226" s="1291"/>
      <c r="W226" s="1291"/>
      <c r="X226" s="1291"/>
      <c r="Y226" s="1291"/>
      <c r="Z226" s="1291"/>
      <c r="AA226" s="1291"/>
      <c r="AB226" s="1291"/>
      <c r="AC226" s="1291"/>
      <c r="AD226" s="1291"/>
      <c r="AE226" s="1291"/>
      <c r="AF226" s="1291"/>
      <c r="AG226" s="1291"/>
      <c r="AH226" s="1291"/>
      <c r="AI226" s="1291"/>
      <c r="AJ226" s="1291"/>
      <c r="AK226" s="1291"/>
    </row>
    <row r="227" spans="3:37" ht="17.25" customHeight="1" x14ac:dyDescent="0.35">
      <c r="C227" s="1291"/>
      <c r="D227" s="1291"/>
      <c r="E227" s="1291"/>
      <c r="F227" s="1291"/>
      <c r="G227" s="1291"/>
      <c r="H227" s="1291"/>
      <c r="I227" s="1291"/>
      <c r="J227" s="1291"/>
      <c r="K227" s="1291"/>
      <c r="L227" s="1291"/>
      <c r="M227" s="1291"/>
      <c r="N227" s="1291"/>
      <c r="O227" s="1291"/>
      <c r="P227" s="1291"/>
      <c r="Q227" s="1291"/>
      <c r="R227" s="1291"/>
      <c r="S227" s="1291"/>
      <c r="T227" s="1291"/>
      <c r="U227" s="1291"/>
      <c r="V227" s="1291"/>
      <c r="W227" s="1291"/>
      <c r="X227" s="1291"/>
      <c r="Y227" s="1291"/>
      <c r="Z227" s="1291"/>
      <c r="AA227" s="1291"/>
      <c r="AB227" s="1291"/>
      <c r="AC227" s="1291"/>
      <c r="AD227" s="1291"/>
      <c r="AE227" s="1291"/>
      <c r="AF227" s="1291"/>
      <c r="AG227" s="1291"/>
      <c r="AH227" s="1291"/>
      <c r="AI227" s="1291"/>
      <c r="AJ227" s="1291"/>
      <c r="AK227" s="1291"/>
    </row>
    <row r="228" spans="3:37" ht="17.25" customHeight="1" x14ac:dyDescent="0.35">
      <c r="C228" s="1291"/>
      <c r="D228" s="1291"/>
      <c r="E228" s="1291"/>
      <c r="F228" s="1291"/>
      <c r="G228" s="1291"/>
      <c r="H228" s="1291"/>
      <c r="I228" s="1291"/>
      <c r="J228" s="1291"/>
      <c r="K228" s="1291"/>
      <c r="L228" s="1291"/>
      <c r="M228" s="1291"/>
      <c r="N228" s="1291"/>
      <c r="O228" s="1291"/>
      <c r="P228" s="1291"/>
      <c r="Q228" s="1291"/>
      <c r="R228" s="1291"/>
      <c r="S228" s="1291"/>
      <c r="T228" s="1291"/>
      <c r="U228" s="1291"/>
      <c r="V228" s="1291"/>
      <c r="W228" s="1291"/>
      <c r="X228" s="1291"/>
      <c r="Y228" s="1291"/>
      <c r="Z228" s="1291"/>
      <c r="AA228" s="1291"/>
      <c r="AB228" s="1291"/>
      <c r="AC228" s="1291"/>
      <c r="AD228" s="1291"/>
      <c r="AE228" s="1291"/>
      <c r="AF228" s="1291"/>
      <c r="AG228" s="1291"/>
      <c r="AH228" s="1291"/>
      <c r="AI228" s="1291"/>
      <c r="AJ228" s="1291"/>
      <c r="AK228" s="1291"/>
    </row>
    <row r="229" spans="3:37" ht="17.25" customHeight="1" x14ac:dyDescent="0.35">
      <c r="C229" s="1291"/>
      <c r="D229" s="1291"/>
      <c r="E229" s="1291"/>
      <c r="F229" s="1291"/>
      <c r="G229" s="1291"/>
      <c r="H229" s="1291"/>
      <c r="I229" s="1291"/>
      <c r="J229" s="1291"/>
      <c r="K229" s="1291"/>
      <c r="L229" s="1291"/>
      <c r="M229" s="1291"/>
      <c r="N229" s="1291"/>
      <c r="O229" s="1291"/>
      <c r="P229" s="1291"/>
      <c r="Q229" s="1291"/>
      <c r="R229" s="1291"/>
      <c r="S229" s="1291"/>
      <c r="T229" s="1291"/>
      <c r="U229" s="1291"/>
      <c r="V229" s="1291"/>
      <c r="W229" s="1291"/>
      <c r="X229" s="1291"/>
      <c r="Y229" s="1291"/>
      <c r="Z229" s="1291"/>
      <c r="AA229" s="1291"/>
      <c r="AB229" s="1291"/>
      <c r="AC229" s="1291"/>
      <c r="AD229" s="1291"/>
      <c r="AE229" s="1291"/>
      <c r="AF229" s="1291"/>
      <c r="AG229" s="1291"/>
      <c r="AH229" s="1291"/>
      <c r="AI229" s="1291"/>
      <c r="AJ229" s="1291"/>
      <c r="AK229" s="1291"/>
    </row>
    <row r="230" spans="3:37" ht="17.25" customHeight="1" x14ac:dyDescent="0.35">
      <c r="C230" s="1291"/>
      <c r="D230" s="1291"/>
      <c r="E230" s="1291"/>
      <c r="F230" s="1291"/>
      <c r="G230" s="1291"/>
      <c r="H230" s="1291"/>
      <c r="I230" s="1291"/>
      <c r="J230" s="1291"/>
      <c r="K230" s="1291"/>
      <c r="L230" s="1291"/>
      <c r="M230" s="1291"/>
      <c r="N230" s="1291"/>
      <c r="O230" s="1291"/>
      <c r="P230" s="1291"/>
      <c r="Q230" s="1291"/>
      <c r="R230" s="1291"/>
      <c r="S230" s="1291"/>
      <c r="T230" s="1291"/>
      <c r="U230" s="1291"/>
      <c r="V230" s="1291"/>
      <c r="W230" s="1291"/>
      <c r="X230" s="1291"/>
      <c r="Y230" s="1291"/>
      <c r="Z230" s="1291"/>
      <c r="AA230" s="1291"/>
      <c r="AB230" s="1291"/>
      <c r="AC230" s="1291"/>
      <c r="AD230" s="1291"/>
      <c r="AE230" s="1291"/>
      <c r="AF230" s="1291"/>
      <c r="AG230" s="1291"/>
      <c r="AH230" s="1291"/>
      <c r="AI230" s="1291"/>
      <c r="AJ230" s="1291"/>
      <c r="AK230" s="1291"/>
    </row>
    <row r="231" spans="3:37" ht="17.25" customHeight="1" x14ac:dyDescent="0.35">
      <c r="C231" s="1291"/>
      <c r="D231" s="1291"/>
      <c r="E231" s="1291"/>
      <c r="F231" s="1291"/>
      <c r="G231" s="1291"/>
      <c r="H231" s="1291"/>
      <c r="I231" s="1291"/>
      <c r="J231" s="1291"/>
      <c r="K231" s="1291"/>
      <c r="L231" s="1291"/>
      <c r="M231" s="1291"/>
      <c r="N231" s="1291"/>
      <c r="O231" s="1291"/>
      <c r="P231" s="1291"/>
      <c r="Q231" s="1291"/>
      <c r="R231" s="1291"/>
      <c r="S231" s="1291"/>
      <c r="T231" s="1291"/>
      <c r="U231" s="1291"/>
      <c r="V231" s="1291"/>
      <c r="W231" s="1291"/>
      <c r="X231" s="1291"/>
      <c r="Y231" s="1291"/>
      <c r="Z231" s="1291"/>
      <c r="AA231" s="1291"/>
      <c r="AB231" s="1291"/>
      <c r="AC231" s="1291"/>
      <c r="AD231" s="1291"/>
      <c r="AE231" s="1291"/>
      <c r="AF231" s="1291"/>
      <c r="AG231" s="1291"/>
      <c r="AH231" s="1291"/>
      <c r="AI231" s="1291"/>
      <c r="AJ231" s="1291"/>
      <c r="AK231" s="1291"/>
    </row>
    <row r="232" spans="3:37" ht="17.25" customHeight="1" x14ac:dyDescent="0.35">
      <c r="C232" s="1291"/>
      <c r="D232" s="1291"/>
      <c r="E232" s="1291"/>
      <c r="F232" s="1291"/>
      <c r="G232" s="1291"/>
      <c r="H232" s="1291"/>
      <c r="I232" s="1291"/>
      <c r="J232" s="1291"/>
      <c r="K232" s="1291"/>
      <c r="L232" s="1291"/>
      <c r="M232" s="1291"/>
      <c r="N232" s="1291"/>
      <c r="O232" s="1291"/>
      <c r="P232" s="1291"/>
      <c r="Q232" s="1291"/>
      <c r="R232" s="1291"/>
      <c r="S232" s="1291"/>
      <c r="T232" s="1291"/>
      <c r="U232" s="1291"/>
      <c r="V232" s="1291"/>
      <c r="W232" s="1291"/>
      <c r="X232" s="1291"/>
      <c r="Y232" s="1291"/>
      <c r="Z232" s="1291"/>
      <c r="AA232" s="1291"/>
      <c r="AB232" s="1291"/>
      <c r="AC232" s="1291"/>
      <c r="AD232" s="1291"/>
      <c r="AE232" s="1291"/>
      <c r="AF232" s="1291"/>
      <c r="AG232" s="1291"/>
      <c r="AH232" s="1291"/>
      <c r="AI232" s="1291"/>
      <c r="AJ232" s="1291"/>
      <c r="AK232" s="1291"/>
    </row>
    <row r="233" spans="3:37" ht="17.25" customHeight="1" x14ac:dyDescent="0.35">
      <c r="C233" s="1291"/>
      <c r="D233" s="1291"/>
      <c r="E233" s="1291"/>
      <c r="F233" s="1291"/>
      <c r="G233" s="1291"/>
      <c r="H233" s="1291"/>
      <c r="I233" s="1291"/>
      <c r="J233" s="1291"/>
      <c r="K233" s="1291"/>
      <c r="L233" s="1291"/>
      <c r="M233" s="1291"/>
      <c r="N233" s="1291"/>
      <c r="O233" s="1291"/>
      <c r="P233" s="1291"/>
      <c r="Q233" s="1291"/>
      <c r="R233" s="1291"/>
      <c r="S233" s="1291"/>
      <c r="T233" s="1291"/>
      <c r="U233" s="1291"/>
      <c r="V233" s="1291"/>
      <c r="W233" s="1291"/>
      <c r="X233" s="1291"/>
      <c r="Y233" s="1291"/>
      <c r="Z233" s="1291"/>
      <c r="AA233" s="1291"/>
      <c r="AB233" s="1291"/>
      <c r="AC233" s="1291"/>
      <c r="AD233" s="1291"/>
      <c r="AE233" s="1291"/>
      <c r="AF233" s="1291"/>
      <c r="AG233" s="1291"/>
      <c r="AH233" s="1291"/>
      <c r="AI233" s="1291"/>
      <c r="AJ233" s="1291"/>
      <c r="AK233" s="1291"/>
    </row>
    <row r="234" spans="3:37" ht="17.25" customHeight="1" x14ac:dyDescent="0.35">
      <c r="C234" s="1291"/>
      <c r="D234" s="1291"/>
      <c r="E234" s="1291"/>
      <c r="F234" s="1291"/>
      <c r="G234" s="1291"/>
      <c r="H234" s="1291"/>
      <c r="I234" s="1291"/>
      <c r="J234" s="1291"/>
      <c r="K234" s="1291"/>
      <c r="L234" s="1291"/>
      <c r="M234" s="1291"/>
      <c r="N234" s="1291"/>
      <c r="O234" s="1291"/>
      <c r="P234" s="1291"/>
      <c r="Q234" s="1291"/>
      <c r="R234" s="1291"/>
      <c r="S234" s="1291"/>
      <c r="T234" s="1291"/>
      <c r="U234" s="1291"/>
      <c r="V234" s="1291"/>
      <c r="W234" s="1291"/>
      <c r="X234" s="1291"/>
      <c r="Y234" s="1291"/>
      <c r="Z234" s="1291"/>
      <c r="AA234" s="1291"/>
      <c r="AB234" s="1291"/>
      <c r="AC234" s="1291"/>
      <c r="AD234" s="1291"/>
      <c r="AE234" s="1291"/>
      <c r="AF234" s="1291"/>
      <c r="AG234" s="1291"/>
      <c r="AH234" s="1291"/>
      <c r="AI234" s="1291"/>
      <c r="AJ234" s="1291"/>
      <c r="AK234" s="1291"/>
    </row>
    <row r="235" spans="3:37" ht="17.25" customHeight="1" x14ac:dyDescent="0.35">
      <c r="C235" s="1291"/>
      <c r="D235" s="1291"/>
      <c r="E235" s="1291"/>
      <c r="F235" s="1291"/>
      <c r="G235" s="1291"/>
      <c r="H235" s="1291"/>
      <c r="I235" s="1291"/>
      <c r="J235" s="1291"/>
      <c r="K235" s="1291"/>
      <c r="L235" s="1291"/>
      <c r="M235" s="1291"/>
      <c r="N235" s="1291"/>
      <c r="O235" s="1291"/>
      <c r="P235" s="1291"/>
      <c r="Q235" s="1291"/>
      <c r="R235" s="1291"/>
      <c r="S235" s="1291"/>
      <c r="T235" s="1291"/>
      <c r="U235" s="1291"/>
      <c r="V235" s="1291"/>
      <c r="W235" s="1291"/>
      <c r="X235" s="1291"/>
      <c r="Y235" s="1291"/>
      <c r="Z235" s="1291"/>
      <c r="AA235" s="1291"/>
      <c r="AB235" s="1291"/>
      <c r="AC235" s="1291"/>
      <c r="AD235" s="1291"/>
      <c r="AE235" s="1291"/>
      <c r="AF235" s="1291"/>
      <c r="AG235" s="1291"/>
      <c r="AH235" s="1291"/>
      <c r="AI235" s="1291"/>
      <c r="AJ235" s="1291"/>
      <c r="AK235" s="1291"/>
    </row>
    <row r="236" spans="3:37" ht="17.25" customHeight="1" x14ac:dyDescent="0.35">
      <c r="C236" s="1291"/>
      <c r="D236" s="1291"/>
      <c r="E236" s="1291"/>
      <c r="F236" s="1291"/>
      <c r="G236" s="1291"/>
      <c r="H236" s="1291"/>
      <c r="I236" s="1291"/>
      <c r="J236" s="1291"/>
      <c r="K236" s="1291"/>
      <c r="L236" s="1291"/>
      <c r="M236" s="1291"/>
      <c r="N236" s="1291"/>
      <c r="O236" s="1291"/>
      <c r="P236" s="1291"/>
      <c r="Q236" s="1291"/>
      <c r="R236" s="1291"/>
      <c r="S236" s="1291"/>
      <c r="T236" s="1291"/>
      <c r="U236" s="1291"/>
      <c r="V236" s="1291"/>
      <c r="W236" s="1291"/>
      <c r="X236" s="1291"/>
      <c r="Y236" s="1291"/>
      <c r="Z236" s="1291"/>
      <c r="AA236" s="1291"/>
      <c r="AB236" s="1291"/>
      <c r="AC236" s="1291"/>
      <c r="AD236" s="1291"/>
      <c r="AE236" s="1291"/>
      <c r="AF236" s="1291"/>
      <c r="AG236" s="1291"/>
      <c r="AH236" s="1291"/>
      <c r="AI236" s="1291"/>
      <c r="AJ236" s="1291"/>
      <c r="AK236" s="1291"/>
    </row>
    <row r="237" spans="3:37" ht="17.25" customHeight="1" x14ac:dyDescent="0.35">
      <c r="C237" s="1291"/>
      <c r="D237" s="1291"/>
      <c r="E237" s="1291"/>
      <c r="F237" s="1291"/>
      <c r="G237" s="1291"/>
      <c r="H237" s="1291"/>
      <c r="I237" s="1291"/>
      <c r="J237" s="1291"/>
      <c r="K237" s="1291"/>
      <c r="L237" s="1291"/>
      <c r="M237" s="1291"/>
      <c r="N237" s="1291"/>
      <c r="O237" s="1291"/>
      <c r="P237" s="1291"/>
      <c r="Q237" s="1291"/>
      <c r="R237" s="1291"/>
      <c r="S237" s="1291"/>
      <c r="T237" s="1291"/>
      <c r="U237" s="1291"/>
      <c r="V237" s="1291"/>
      <c r="W237" s="1291"/>
      <c r="X237" s="1291"/>
      <c r="Y237" s="1291"/>
      <c r="Z237" s="1291"/>
      <c r="AA237" s="1291"/>
      <c r="AB237" s="1291"/>
      <c r="AC237" s="1291"/>
      <c r="AD237" s="1291"/>
      <c r="AE237" s="1291"/>
      <c r="AF237" s="1291"/>
      <c r="AG237" s="1291"/>
      <c r="AH237" s="1291"/>
      <c r="AI237" s="1291"/>
      <c r="AJ237" s="1291"/>
      <c r="AK237" s="1291"/>
    </row>
    <row r="238" spans="3:37" ht="17.25" customHeight="1" x14ac:dyDescent="0.35">
      <c r="C238" s="1291"/>
      <c r="D238" s="1291"/>
      <c r="E238" s="1291"/>
      <c r="F238" s="1291"/>
      <c r="G238" s="1291"/>
      <c r="H238" s="1291"/>
      <c r="I238" s="1291"/>
      <c r="J238" s="1291"/>
      <c r="K238" s="1291"/>
      <c r="L238" s="1291"/>
      <c r="M238" s="1291"/>
      <c r="N238" s="1291"/>
      <c r="O238" s="1291"/>
      <c r="P238" s="1291"/>
      <c r="Q238" s="1291"/>
      <c r="R238" s="1291"/>
      <c r="S238" s="1291"/>
      <c r="T238" s="1291"/>
      <c r="U238" s="1291"/>
      <c r="V238" s="1291"/>
      <c r="W238" s="1291"/>
      <c r="X238" s="1291"/>
      <c r="Y238" s="1291"/>
      <c r="Z238" s="1291"/>
      <c r="AA238" s="1291"/>
      <c r="AB238" s="1291"/>
      <c r="AC238" s="1291"/>
      <c r="AD238" s="1291"/>
      <c r="AE238" s="1291"/>
      <c r="AF238" s="1291"/>
      <c r="AG238" s="1291"/>
      <c r="AH238" s="1291"/>
      <c r="AI238" s="1291"/>
      <c r="AJ238" s="1291"/>
      <c r="AK238" s="1291"/>
    </row>
    <row r="239" spans="3:37" ht="17.25" customHeight="1" x14ac:dyDescent="0.35">
      <c r="C239" s="1291"/>
      <c r="D239" s="1291"/>
      <c r="E239" s="1291"/>
      <c r="F239" s="1291"/>
      <c r="G239" s="1291"/>
      <c r="H239" s="1291"/>
      <c r="I239" s="1291"/>
      <c r="J239" s="1291"/>
      <c r="K239" s="1291"/>
      <c r="L239" s="1291"/>
      <c r="M239" s="1291"/>
      <c r="N239" s="1291"/>
      <c r="O239" s="1291"/>
      <c r="P239" s="1291"/>
      <c r="Q239" s="1291"/>
      <c r="R239" s="1291"/>
      <c r="S239" s="1291"/>
      <c r="T239" s="1291"/>
      <c r="U239" s="1291"/>
      <c r="V239" s="1291"/>
      <c r="W239" s="1291"/>
      <c r="X239" s="1291"/>
      <c r="Y239" s="1291"/>
      <c r="Z239" s="1291"/>
      <c r="AA239" s="1291"/>
      <c r="AB239" s="1291"/>
      <c r="AC239" s="1291"/>
      <c r="AD239" s="1291"/>
      <c r="AE239" s="1291"/>
      <c r="AF239" s="1291"/>
      <c r="AG239" s="1291"/>
      <c r="AH239" s="1291"/>
      <c r="AI239" s="1291"/>
      <c r="AJ239" s="1291"/>
      <c r="AK239" s="1291"/>
    </row>
    <row r="240" spans="3:37" ht="17.25" customHeight="1" x14ac:dyDescent="0.35">
      <c r="C240" s="1291"/>
      <c r="D240" s="1291"/>
      <c r="E240" s="1291"/>
      <c r="F240" s="1291"/>
      <c r="G240" s="1291"/>
      <c r="H240" s="1291"/>
      <c r="I240" s="1291"/>
      <c r="J240" s="1291"/>
      <c r="K240" s="1291"/>
      <c r="L240" s="1291"/>
      <c r="M240" s="1291"/>
      <c r="N240" s="1291"/>
      <c r="O240" s="1291"/>
      <c r="P240" s="1291"/>
      <c r="Q240" s="1291"/>
      <c r="R240" s="1291"/>
      <c r="S240" s="1291"/>
      <c r="T240" s="1291"/>
      <c r="U240" s="1291"/>
      <c r="V240" s="1291"/>
      <c r="W240" s="1291"/>
      <c r="X240" s="1291"/>
      <c r="Y240" s="1291"/>
      <c r="Z240" s="1291"/>
      <c r="AA240" s="1291"/>
      <c r="AB240" s="1291"/>
      <c r="AC240" s="1291"/>
      <c r="AD240" s="1291"/>
      <c r="AE240" s="1291"/>
      <c r="AF240" s="1291"/>
      <c r="AG240" s="1291"/>
      <c r="AH240" s="1291"/>
      <c r="AI240" s="1291"/>
      <c r="AJ240" s="1291"/>
      <c r="AK240" s="1291"/>
    </row>
    <row r="241" spans="3:37" ht="17.25" customHeight="1" x14ac:dyDescent="0.35">
      <c r="C241" s="1291"/>
      <c r="D241" s="1291"/>
      <c r="E241" s="1291"/>
      <c r="F241" s="1291"/>
      <c r="G241" s="1291"/>
      <c r="H241" s="1291"/>
      <c r="I241" s="1291"/>
      <c r="J241" s="1291"/>
      <c r="K241" s="1291"/>
      <c r="L241" s="1291"/>
      <c r="M241" s="1291"/>
      <c r="N241" s="1291"/>
      <c r="O241" s="1291"/>
      <c r="P241" s="1291"/>
      <c r="Q241" s="1291"/>
      <c r="R241" s="1291"/>
      <c r="S241" s="1291"/>
      <c r="T241" s="1291"/>
      <c r="U241" s="1291"/>
      <c r="V241" s="1291"/>
      <c r="W241" s="1291"/>
      <c r="X241" s="1291"/>
      <c r="Y241" s="1291"/>
      <c r="Z241" s="1291"/>
      <c r="AA241" s="1291"/>
      <c r="AB241" s="1291"/>
      <c r="AC241" s="1291"/>
      <c r="AD241" s="1291"/>
      <c r="AE241" s="1291"/>
      <c r="AF241" s="1291"/>
      <c r="AG241" s="1291"/>
      <c r="AH241" s="1291"/>
      <c r="AI241" s="1291"/>
      <c r="AJ241" s="1291"/>
      <c r="AK241" s="1291"/>
    </row>
    <row r="242" spans="3:37" ht="17.25" customHeight="1" x14ac:dyDescent="0.35">
      <c r="C242" s="1291"/>
      <c r="D242" s="1291"/>
      <c r="E242" s="1291"/>
      <c r="F242" s="1291"/>
      <c r="G242" s="1291"/>
      <c r="H242" s="1291"/>
      <c r="I242" s="1291"/>
      <c r="J242" s="1291"/>
      <c r="K242" s="1291"/>
      <c r="L242" s="1291"/>
      <c r="M242" s="1291"/>
      <c r="N242" s="1291"/>
      <c r="O242" s="1291"/>
      <c r="P242" s="1291"/>
      <c r="Q242" s="1291"/>
      <c r="R242" s="1291"/>
      <c r="S242" s="1291"/>
      <c r="T242" s="1291"/>
      <c r="U242" s="1291"/>
      <c r="V242" s="1291"/>
      <c r="W242" s="1291"/>
      <c r="X242" s="1291"/>
      <c r="Y242" s="1291"/>
      <c r="Z242" s="1291"/>
      <c r="AA242" s="1291"/>
      <c r="AB242" s="1291"/>
      <c r="AC242" s="1291"/>
      <c r="AD242" s="1291"/>
      <c r="AE242" s="1291"/>
      <c r="AF242" s="1291"/>
      <c r="AG242" s="1291"/>
      <c r="AH242" s="1291"/>
      <c r="AI242" s="1291"/>
      <c r="AJ242" s="1291"/>
      <c r="AK242" s="1291"/>
    </row>
    <row r="243" spans="3:37" ht="17.25" customHeight="1" x14ac:dyDescent="0.35">
      <c r="C243" s="1291"/>
      <c r="D243" s="1291"/>
      <c r="E243" s="1291"/>
      <c r="F243" s="1291"/>
      <c r="G243" s="1291"/>
      <c r="H243" s="1291"/>
      <c r="I243" s="1291"/>
      <c r="J243" s="1291"/>
      <c r="K243" s="1291"/>
      <c r="L243" s="1291"/>
      <c r="M243" s="1291"/>
      <c r="N243" s="1291"/>
      <c r="O243" s="1291"/>
      <c r="P243" s="1291"/>
      <c r="Q243" s="1291"/>
      <c r="R243" s="1291"/>
      <c r="S243" s="1291"/>
      <c r="T243" s="1291"/>
      <c r="U243" s="1291"/>
      <c r="V243" s="1291"/>
      <c r="W243" s="1291"/>
      <c r="X243" s="1291"/>
      <c r="Y243" s="1291"/>
      <c r="Z243" s="1291"/>
      <c r="AA243" s="1291"/>
      <c r="AB243" s="1291"/>
      <c r="AC243" s="1291"/>
      <c r="AD243" s="1291"/>
      <c r="AE243" s="1291"/>
      <c r="AF243" s="1291"/>
      <c r="AG243" s="1291"/>
      <c r="AH243" s="1291"/>
      <c r="AI243" s="1291"/>
      <c r="AJ243" s="1291"/>
      <c r="AK243" s="1291"/>
    </row>
    <row r="244" spans="3:37" ht="17.25" customHeight="1" x14ac:dyDescent="0.35">
      <c r="C244" s="1291"/>
      <c r="D244" s="1291"/>
      <c r="E244" s="1291"/>
      <c r="F244" s="1291"/>
      <c r="G244" s="1291"/>
      <c r="H244" s="1291"/>
      <c r="I244" s="1291"/>
      <c r="J244" s="1291"/>
      <c r="K244" s="1291"/>
      <c r="L244" s="1291"/>
      <c r="M244" s="1291"/>
      <c r="N244" s="1291"/>
      <c r="O244" s="1291"/>
      <c r="P244" s="1291"/>
      <c r="Q244" s="1291"/>
      <c r="R244" s="1291"/>
      <c r="S244" s="1291"/>
      <c r="T244" s="1291"/>
      <c r="U244" s="1291"/>
      <c r="V244" s="1291"/>
      <c r="W244" s="1291"/>
      <c r="X244" s="1291"/>
      <c r="Y244" s="1291"/>
      <c r="Z244" s="1291"/>
      <c r="AA244" s="1291"/>
      <c r="AB244" s="1291"/>
      <c r="AC244" s="1291"/>
      <c r="AD244" s="1291"/>
      <c r="AE244" s="1291"/>
      <c r="AF244" s="1291"/>
      <c r="AG244" s="1291"/>
      <c r="AH244" s="1291"/>
      <c r="AI244" s="1291"/>
      <c r="AJ244" s="1291"/>
      <c r="AK244" s="1291"/>
    </row>
    <row r="245" spans="3:37" ht="17.25" customHeight="1" x14ac:dyDescent="0.35">
      <c r="C245" s="1291"/>
      <c r="D245" s="1291"/>
      <c r="E245" s="1291"/>
      <c r="F245" s="1291"/>
      <c r="G245" s="1291"/>
      <c r="H245" s="1291"/>
      <c r="I245" s="1291"/>
      <c r="J245" s="1291"/>
      <c r="K245" s="1291"/>
      <c r="L245" s="1291"/>
      <c r="M245" s="1291"/>
      <c r="N245" s="1291"/>
      <c r="O245" s="1291"/>
      <c r="P245" s="1291"/>
      <c r="Q245" s="1291"/>
      <c r="R245" s="1291"/>
      <c r="S245" s="1291"/>
      <c r="T245" s="1291"/>
      <c r="U245" s="1291"/>
      <c r="V245" s="1291"/>
      <c r="W245" s="1291"/>
      <c r="X245" s="1291"/>
      <c r="Y245" s="1291"/>
      <c r="Z245" s="1291"/>
      <c r="AA245" s="1291"/>
      <c r="AB245" s="1291"/>
      <c r="AC245" s="1291"/>
      <c r="AD245" s="1291"/>
      <c r="AE245" s="1291"/>
      <c r="AF245" s="1291"/>
      <c r="AG245" s="1291"/>
      <c r="AH245" s="1291"/>
      <c r="AI245" s="1291"/>
      <c r="AJ245" s="1291"/>
      <c r="AK245" s="1291"/>
    </row>
    <row r="246" spans="3:37" ht="17.25" customHeight="1" x14ac:dyDescent="0.35">
      <c r="C246" s="1291"/>
      <c r="D246" s="1291"/>
      <c r="E246" s="1291"/>
      <c r="F246" s="1291"/>
      <c r="G246" s="1291"/>
      <c r="H246" s="1291"/>
      <c r="I246" s="1291"/>
      <c r="J246" s="1291"/>
      <c r="K246" s="1291"/>
      <c r="L246" s="1291"/>
      <c r="M246" s="1291"/>
      <c r="N246" s="1291"/>
      <c r="O246" s="1291"/>
      <c r="P246" s="1291"/>
      <c r="Q246" s="1291"/>
      <c r="R246" s="1291"/>
      <c r="S246" s="1291"/>
      <c r="T246" s="1291"/>
      <c r="U246" s="1291"/>
      <c r="V246" s="1291"/>
      <c r="W246" s="1291"/>
      <c r="X246" s="1291"/>
      <c r="Y246" s="1291"/>
      <c r="Z246" s="1291"/>
      <c r="AA246" s="1291"/>
      <c r="AB246" s="1291"/>
      <c r="AC246" s="1291"/>
      <c r="AD246" s="1291"/>
      <c r="AE246" s="1291"/>
      <c r="AF246" s="1291"/>
      <c r="AG246" s="1291"/>
      <c r="AH246" s="1291"/>
      <c r="AI246" s="1291"/>
      <c r="AJ246" s="1291"/>
      <c r="AK246" s="1291"/>
    </row>
    <row r="247" spans="3:37" ht="17.25" customHeight="1" x14ac:dyDescent="0.35">
      <c r="C247" s="1291"/>
      <c r="D247" s="1291"/>
      <c r="E247" s="1291"/>
      <c r="F247" s="1291"/>
      <c r="G247" s="1291"/>
      <c r="H247" s="1291"/>
      <c r="I247" s="1291"/>
      <c r="J247" s="1291"/>
      <c r="K247" s="1291"/>
      <c r="L247" s="1291"/>
      <c r="M247" s="1291"/>
      <c r="N247" s="1291"/>
      <c r="O247" s="1291"/>
      <c r="P247" s="1291"/>
      <c r="Q247" s="1291"/>
      <c r="R247" s="1291"/>
      <c r="S247" s="1291"/>
      <c r="T247" s="1291"/>
      <c r="U247" s="1291"/>
      <c r="V247" s="1291"/>
      <c r="W247" s="1291"/>
      <c r="X247" s="1291"/>
      <c r="Y247" s="1291"/>
      <c r="Z247" s="1291"/>
      <c r="AA247" s="1291"/>
      <c r="AB247" s="1291"/>
      <c r="AC247" s="1291"/>
      <c r="AD247" s="1291"/>
      <c r="AE247" s="1291"/>
      <c r="AF247" s="1291"/>
      <c r="AG247" s="1291"/>
      <c r="AH247" s="1291"/>
      <c r="AI247" s="1291"/>
      <c r="AJ247" s="1291"/>
      <c r="AK247" s="1291"/>
    </row>
    <row r="248" spans="3:37" ht="17.25" customHeight="1" x14ac:dyDescent="0.35">
      <c r="C248" s="1291"/>
      <c r="D248" s="1291"/>
      <c r="E248" s="1291"/>
      <c r="F248" s="1291"/>
      <c r="G248" s="1291"/>
      <c r="H248" s="1291"/>
      <c r="I248" s="1291"/>
      <c r="J248" s="1291"/>
      <c r="K248" s="1291"/>
      <c r="L248" s="1291"/>
      <c r="M248" s="1291"/>
      <c r="N248" s="1291"/>
      <c r="O248" s="1291"/>
      <c r="P248" s="1291"/>
      <c r="Q248" s="1291"/>
      <c r="R248" s="1291"/>
      <c r="S248" s="1291"/>
      <c r="T248" s="1291"/>
      <c r="U248" s="1291"/>
      <c r="V248" s="1291"/>
      <c r="W248" s="1291"/>
      <c r="X248" s="1291"/>
      <c r="Y248" s="1291"/>
      <c r="Z248" s="1291"/>
      <c r="AA248" s="1291"/>
      <c r="AB248" s="1291"/>
      <c r="AC248" s="1291"/>
      <c r="AD248" s="1291"/>
      <c r="AE248" s="1291"/>
      <c r="AF248" s="1291"/>
      <c r="AG248" s="1291"/>
      <c r="AH248" s="1291"/>
      <c r="AI248" s="1291"/>
      <c r="AJ248" s="1291"/>
      <c r="AK248" s="1291"/>
    </row>
    <row r="249" spans="3:37" ht="17.25" customHeight="1" x14ac:dyDescent="0.35">
      <c r="C249" s="1291"/>
      <c r="D249" s="1291"/>
      <c r="E249" s="1291"/>
      <c r="F249" s="1291"/>
      <c r="G249" s="1291"/>
      <c r="H249" s="1291"/>
      <c r="I249" s="1291"/>
      <c r="J249" s="1291"/>
      <c r="K249" s="1291"/>
      <c r="L249" s="1291"/>
      <c r="M249" s="1291"/>
      <c r="N249" s="1291"/>
      <c r="O249" s="1291"/>
      <c r="P249" s="1291"/>
      <c r="Q249" s="1291"/>
      <c r="R249" s="1291"/>
      <c r="S249" s="1291"/>
      <c r="T249" s="1291"/>
      <c r="U249" s="1291"/>
      <c r="V249" s="1291"/>
      <c r="W249" s="1291"/>
      <c r="X249" s="1291"/>
      <c r="Y249" s="1291"/>
      <c r="Z249" s="1291"/>
      <c r="AA249" s="1291"/>
      <c r="AB249" s="1291"/>
      <c r="AC249" s="1291"/>
      <c r="AD249" s="1291"/>
      <c r="AE249" s="1291"/>
      <c r="AF249" s="1291"/>
      <c r="AG249" s="1291"/>
      <c r="AH249" s="1291"/>
      <c r="AI249" s="1291"/>
      <c r="AJ249" s="1291"/>
      <c r="AK249" s="1291"/>
    </row>
    <row r="250" spans="3:37" ht="17.25" customHeight="1" x14ac:dyDescent="0.35">
      <c r="C250" s="1291"/>
      <c r="D250" s="1291"/>
      <c r="E250" s="1291"/>
      <c r="F250" s="1291"/>
      <c r="G250" s="1291"/>
      <c r="H250" s="1291"/>
      <c r="I250" s="1291"/>
      <c r="J250" s="1291"/>
      <c r="K250" s="1291"/>
      <c r="L250" s="1291"/>
      <c r="M250" s="1291"/>
      <c r="N250" s="1291"/>
      <c r="O250" s="1291"/>
      <c r="P250" s="1291"/>
      <c r="Q250" s="1291"/>
      <c r="R250" s="1291"/>
      <c r="S250" s="1291"/>
      <c r="T250" s="1291"/>
      <c r="U250" s="1291"/>
      <c r="V250" s="1291"/>
      <c r="W250" s="1291"/>
      <c r="X250" s="1291"/>
      <c r="Y250" s="1291"/>
      <c r="Z250" s="1291"/>
      <c r="AA250" s="1291"/>
      <c r="AB250" s="1291"/>
      <c r="AC250" s="1291"/>
      <c r="AD250" s="1291"/>
      <c r="AE250" s="1291"/>
      <c r="AF250" s="1291"/>
      <c r="AG250" s="1291"/>
      <c r="AH250" s="1291"/>
      <c r="AI250" s="1291"/>
      <c r="AJ250" s="1291"/>
      <c r="AK250" s="1291"/>
    </row>
    <row r="251" spans="3:37" ht="17.25" customHeight="1" x14ac:dyDescent="0.35">
      <c r="C251" s="1291"/>
      <c r="D251" s="1291"/>
      <c r="E251" s="1291"/>
      <c r="F251" s="1291"/>
      <c r="G251" s="1291"/>
      <c r="H251" s="1291"/>
      <c r="I251" s="1291"/>
      <c r="J251" s="1291"/>
      <c r="K251" s="1291"/>
      <c r="L251" s="1291"/>
      <c r="M251" s="1291"/>
      <c r="N251" s="1291"/>
      <c r="O251" s="1291"/>
      <c r="P251" s="1291"/>
      <c r="Q251" s="1291"/>
      <c r="R251" s="1291"/>
      <c r="S251" s="1291"/>
      <c r="T251" s="1291"/>
      <c r="U251" s="1291"/>
      <c r="V251" s="1291"/>
      <c r="W251" s="1291"/>
      <c r="X251" s="1291"/>
      <c r="Y251" s="1291"/>
      <c r="Z251" s="1291"/>
      <c r="AA251" s="1291"/>
      <c r="AB251" s="1291"/>
      <c r="AC251" s="1291"/>
      <c r="AD251" s="1291"/>
      <c r="AE251" s="1291"/>
      <c r="AF251" s="1291"/>
      <c r="AG251" s="1291"/>
      <c r="AH251" s="1291"/>
      <c r="AI251" s="1291"/>
      <c r="AJ251" s="1291"/>
      <c r="AK251" s="1291"/>
    </row>
    <row r="252" spans="3:37" ht="17.25" customHeight="1" x14ac:dyDescent="0.35">
      <c r="C252" s="1291"/>
      <c r="D252" s="1291"/>
      <c r="E252" s="1291"/>
      <c r="F252" s="1291"/>
      <c r="G252" s="1291"/>
      <c r="H252" s="1291"/>
      <c r="I252" s="1291"/>
      <c r="J252" s="1291"/>
      <c r="K252" s="1291"/>
      <c r="L252" s="1291"/>
      <c r="M252" s="1291"/>
      <c r="N252" s="1291"/>
      <c r="O252" s="1291"/>
      <c r="P252" s="1291"/>
      <c r="Q252" s="1291"/>
      <c r="R252" s="1291"/>
      <c r="S252" s="1291"/>
      <c r="T252" s="1291"/>
      <c r="U252" s="1291"/>
      <c r="V252" s="1291"/>
      <c r="W252" s="1291"/>
      <c r="X252" s="1291"/>
      <c r="Y252" s="1291"/>
      <c r="Z252" s="1291"/>
      <c r="AA252" s="1291"/>
      <c r="AB252" s="1291"/>
      <c r="AC252" s="1291"/>
      <c r="AD252" s="1291"/>
      <c r="AE252" s="1291"/>
      <c r="AF252" s="1291"/>
      <c r="AG252" s="1291"/>
      <c r="AH252" s="1291"/>
      <c r="AI252" s="1291"/>
      <c r="AJ252" s="1291"/>
      <c r="AK252" s="1291"/>
    </row>
    <row r="253" spans="3:37" ht="17.25" customHeight="1" x14ac:dyDescent="0.35">
      <c r="C253" s="1291"/>
      <c r="D253" s="1291"/>
      <c r="E253" s="1291"/>
      <c r="F253" s="1291"/>
      <c r="G253" s="1291"/>
      <c r="H253" s="1291"/>
      <c r="I253" s="1291"/>
      <c r="J253" s="1291"/>
      <c r="K253" s="1291"/>
      <c r="L253" s="1291"/>
      <c r="M253" s="1291"/>
      <c r="N253" s="1291"/>
      <c r="O253" s="1291"/>
      <c r="P253" s="1291"/>
      <c r="Q253" s="1291"/>
      <c r="R253" s="1291"/>
      <c r="S253" s="1291"/>
      <c r="T253" s="1291"/>
      <c r="U253" s="1291"/>
      <c r="V253" s="1291"/>
      <c r="W253" s="1291"/>
      <c r="X253" s="1291"/>
      <c r="Y253" s="1291"/>
      <c r="Z253" s="1291"/>
      <c r="AA253" s="1291"/>
      <c r="AB253" s="1291"/>
      <c r="AC253" s="1291"/>
      <c r="AD253" s="1291"/>
      <c r="AE253" s="1291"/>
      <c r="AF253" s="1291"/>
      <c r="AG253" s="1291"/>
      <c r="AH253" s="1291"/>
      <c r="AI253" s="1291"/>
      <c r="AJ253" s="1291"/>
      <c r="AK253" s="1291"/>
    </row>
    <row r="254" spans="3:37" ht="17.25" customHeight="1" x14ac:dyDescent="0.35">
      <c r="C254" s="1291"/>
      <c r="D254" s="1291"/>
      <c r="E254" s="1291"/>
      <c r="F254" s="1291"/>
      <c r="G254" s="1291"/>
      <c r="H254" s="1291"/>
      <c r="I254" s="1291"/>
      <c r="J254" s="1291"/>
      <c r="K254" s="1291"/>
      <c r="L254" s="1291"/>
      <c r="M254" s="1291"/>
      <c r="N254" s="1291"/>
      <c r="O254" s="1291"/>
      <c r="P254" s="1291"/>
      <c r="Q254" s="1291"/>
      <c r="R254" s="1291"/>
      <c r="S254" s="1291"/>
      <c r="T254" s="1291"/>
      <c r="U254" s="1291"/>
      <c r="V254" s="1291"/>
      <c r="W254" s="1291"/>
      <c r="X254" s="1291"/>
      <c r="Y254" s="1291"/>
      <c r="Z254" s="1291"/>
      <c r="AA254" s="1291"/>
      <c r="AB254" s="1291"/>
      <c r="AC254" s="1291"/>
      <c r="AD254" s="1291"/>
      <c r="AE254" s="1291"/>
      <c r="AF254" s="1291"/>
      <c r="AG254" s="1291"/>
      <c r="AH254" s="1291"/>
      <c r="AI254" s="1291"/>
      <c r="AJ254" s="1291"/>
      <c r="AK254" s="1291"/>
    </row>
    <row r="255" spans="3:37" ht="17.25" customHeight="1" x14ac:dyDescent="0.35">
      <c r="C255" s="1291"/>
      <c r="D255" s="1291"/>
      <c r="E255" s="1291"/>
      <c r="F255" s="1291"/>
      <c r="G255" s="1291"/>
      <c r="H255" s="1291"/>
      <c r="I255" s="1291"/>
      <c r="J255" s="1291"/>
      <c r="K255" s="1291"/>
      <c r="L255" s="1291"/>
      <c r="M255" s="1291"/>
      <c r="N255" s="1291"/>
      <c r="O255" s="1291"/>
      <c r="P255" s="1291"/>
      <c r="Q255" s="1291"/>
      <c r="R255" s="1291"/>
      <c r="S255" s="1291"/>
      <c r="T255" s="1291"/>
      <c r="U255" s="1291"/>
      <c r="V255" s="1291"/>
      <c r="W255" s="1291"/>
      <c r="X255" s="1291"/>
      <c r="Y255" s="1291"/>
      <c r="Z255" s="1291"/>
      <c r="AA255" s="1291"/>
      <c r="AB255" s="1291"/>
      <c r="AC255" s="1291"/>
      <c r="AD255" s="1291"/>
      <c r="AE255" s="1291"/>
      <c r="AF255" s="1291"/>
      <c r="AG255" s="1291"/>
      <c r="AH255" s="1291"/>
      <c r="AI255" s="1291"/>
      <c r="AJ255" s="1291"/>
      <c r="AK255" s="1291"/>
    </row>
    <row r="256" spans="3:37" ht="17.25" customHeight="1" x14ac:dyDescent="0.35">
      <c r="C256" s="1291"/>
      <c r="D256" s="1291"/>
      <c r="E256" s="1291"/>
      <c r="F256" s="1291"/>
      <c r="G256" s="1291"/>
      <c r="H256" s="1291"/>
      <c r="I256" s="1291"/>
      <c r="J256" s="1291"/>
      <c r="K256" s="1291"/>
      <c r="L256" s="1291"/>
      <c r="M256" s="1291"/>
      <c r="N256" s="1291"/>
      <c r="O256" s="1291"/>
      <c r="P256" s="1291"/>
      <c r="Q256" s="1291"/>
      <c r="R256" s="1291"/>
      <c r="S256" s="1291"/>
      <c r="T256" s="1291"/>
      <c r="U256" s="1291"/>
      <c r="V256" s="1291"/>
      <c r="W256" s="1291"/>
      <c r="X256" s="1291"/>
      <c r="Y256" s="1291"/>
      <c r="Z256" s="1291"/>
      <c r="AA256" s="1291"/>
      <c r="AB256" s="1291"/>
      <c r="AC256" s="1291"/>
      <c r="AD256" s="1291"/>
      <c r="AE256" s="1291"/>
      <c r="AF256" s="1291"/>
      <c r="AG256" s="1291"/>
      <c r="AH256" s="1291"/>
      <c r="AI256" s="1291"/>
      <c r="AJ256" s="1291"/>
      <c r="AK256" s="1291"/>
    </row>
    <row r="257" spans="3:37" ht="17.25" customHeight="1" x14ac:dyDescent="0.35">
      <c r="C257" s="1291"/>
      <c r="D257" s="1291"/>
      <c r="E257" s="1291"/>
      <c r="F257" s="1291"/>
      <c r="G257" s="1291"/>
      <c r="H257" s="1291"/>
      <c r="I257" s="1291"/>
      <c r="J257" s="1291"/>
      <c r="K257" s="1291"/>
      <c r="L257" s="1291"/>
      <c r="M257" s="1291"/>
      <c r="N257" s="1291"/>
      <c r="O257" s="1291"/>
      <c r="P257" s="1291"/>
      <c r="Q257" s="1291"/>
      <c r="R257" s="1291"/>
      <c r="S257" s="1291"/>
      <c r="T257" s="1291"/>
      <c r="U257" s="1291"/>
      <c r="V257" s="1291"/>
      <c r="W257" s="1291"/>
      <c r="X257" s="1291"/>
      <c r="Y257" s="1291"/>
      <c r="Z257" s="1291"/>
      <c r="AA257" s="1291"/>
      <c r="AB257" s="1291"/>
      <c r="AC257" s="1291"/>
      <c r="AD257" s="1291"/>
      <c r="AE257" s="1291"/>
      <c r="AF257" s="1291"/>
      <c r="AG257" s="1291"/>
      <c r="AH257" s="1291"/>
      <c r="AI257" s="1291"/>
      <c r="AJ257" s="1291"/>
      <c r="AK257" s="1291"/>
    </row>
    <row r="258" spans="3:37" ht="17.25" customHeight="1" x14ac:dyDescent="0.35">
      <c r="C258" s="1291"/>
      <c r="D258" s="1291"/>
      <c r="E258" s="1291"/>
      <c r="F258" s="1291"/>
      <c r="G258" s="1291"/>
      <c r="H258" s="1291"/>
      <c r="I258" s="1291"/>
      <c r="J258" s="1291"/>
      <c r="K258" s="1291"/>
      <c r="L258" s="1291"/>
      <c r="M258" s="1291"/>
      <c r="N258" s="1291"/>
      <c r="O258" s="1291"/>
      <c r="P258" s="1291"/>
      <c r="Q258" s="1291"/>
      <c r="R258" s="1291"/>
      <c r="S258" s="1291"/>
      <c r="T258" s="1291"/>
      <c r="U258" s="1291"/>
      <c r="V258" s="1291"/>
      <c r="W258" s="1291"/>
      <c r="X258" s="1291"/>
      <c r="Y258" s="1291"/>
      <c r="Z258" s="1291"/>
      <c r="AA258" s="1291"/>
      <c r="AB258" s="1291"/>
      <c r="AC258" s="1291"/>
      <c r="AD258" s="1291"/>
      <c r="AE258" s="1291"/>
      <c r="AF258" s="1291"/>
      <c r="AG258" s="1291"/>
      <c r="AH258" s="1291"/>
      <c r="AI258" s="1291"/>
      <c r="AJ258" s="1291"/>
      <c r="AK258" s="1291"/>
    </row>
    <row r="259" spans="3:37" ht="17.25" customHeight="1" x14ac:dyDescent="0.35">
      <c r="C259" s="1291"/>
      <c r="D259" s="1291"/>
      <c r="E259" s="1291"/>
      <c r="F259" s="1291"/>
      <c r="G259" s="1291"/>
      <c r="H259" s="1291"/>
      <c r="I259" s="1291"/>
      <c r="J259" s="1291"/>
      <c r="K259" s="1291"/>
      <c r="L259" s="1291"/>
      <c r="M259" s="1291"/>
      <c r="N259" s="1291"/>
      <c r="O259" s="1291"/>
      <c r="P259" s="1291"/>
      <c r="Q259" s="1291"/>
      <c r="R259" s="1291"/>
      <c r="S259" s="1291"/>
      <c r="T259" s="1291"/>
      <c r="U259" s="1291"/>
      <c r="V259" s="1291"/>
      <c r="W259" s="1291"/>
      <c r="X259" s="1291"/>
      <c r="Y259" s="1291"/>
      <c r="Z259" s="1291"/>
      <c r="AA259" s="1291"/>
      <c r="AB259" s="1291"/>
      <c r="AC259" s="1291"/>
      <c r="AD259" s="1291"/>
      <c r="AE259" s="1291"/>
      <c r="AF259" s="1291"/>
      <c r="AG259" s="1291"/>
      <c r="AH259" s="1291"/>
      <c r="AI259" s="1291"/>
      <c r="AJ259" s="1291"/>
      <c r="AK259" s="1291"/>
    </row>
    <row r="260" spans="3:37" ht="17.25" customHeight="1" x14ac:dyDescent="0.35">
      <c r="C260" s="1291"/>
      <c r="D260" s="1291"/>
      <c r="E260" s="1291"/>
      <c r="F260" s="1291"/>
      <c r="G260" s="1291"/>
      <c r="H260" s="1291"/>
      <c r="I260" s="1291"/>
      <c r="J260" s="1291"/>
      <c r="K260" s="1291"/>
      <c r="L260" s="1291"/>
      <c r="M260" s="1291"/>
      <c r="N260" s="1291"/>
      <c r="O260" s="1291"/>
      <c r="P260" s="1291"/>
      <c r="Q260" s="1291"/>
      <c r="R260" s="1291"/>
      <c r="S260" s="1291"/>
      <c r="T260" s="1291"/>
      <c r="U260" s="1291"/>
      <c r="V260" s="1291"/>
      <c r="W260" s="1291"/>
      <c r="X260" s="1291"/>
      <c r="Y260" s="1291"/>
      <c r="Z260" s="1291"/>
      <c r="AA260" s="1291"/>
      <c r="AB260" s="1291"/>
      <c r="AC260" s="1291"/>
      <c r="AD260" s="1291"/>
      <c r="AE260" s="1291"/>
      <c r="AF260" s="1291"/>
      <c r="AG260" s="1291"/>
      <c r="AH260" s="1291"/>
      <c r="AI260" s="1291"/>
      <c r="AJ260" s="1291"/>
      <c r="AK260" s="1291"/>
    </row>
    <row r="261" spans="3:37" ht="17.25" customHeight="1" x14ac:dyDescent="0.35">
      <c r="C261" s="1291"/>
      <c r="D261" s="1291"/>
      <c r="E261" s="1291"/>
      <c r="F261" s="1291"/>
      <c r="G261" s="1291"/>
      <c r="H261" s="1291"/>
      <c r="I261" s="1291"/>
      <c r="J261" s="1291"/>
      <c r="K261" s="1291"/>
      <c r="L261" s="1291"/>
      <c r="M261" s="1291"/>
      <c r="N261" s="1291"/>
      <c r="O261" s="1291"/>
      <c r="P261" s="1291"/>
      <c r="Q261" s="1291"/>
      <c r="R261" s="1291"/>
      <c r="S261" s="1291"/>
      <c r="T261" s="1291"/>
      <c r="U261" s="1291"/>
      <c r="V261" s="1291"/>
      <c r="W261" s="1291"/>
      <c r="X261" s="1291"/>
      <c r="Y261" s="1291"/>
      <c r="Z261" s="1291"/>
      <c r="AA261" s="1291"/>
      <c r="AB261" s="1291"/>
      <c r="AC261" s="1291"/>
      <c r="AD261" s="1291"/>
      <c r="AE261" s="1291"/>
      <c r="AF261" s="1291"/>
      <c r="AG261" s="1291"/>
      <c r="AH261" s="1291"/>
      <c r="AI261" s="1291"/>
      <c r="AJ261" s="1291"/>
      <c r="AK261" s="1291"/>
    </row>
    <row r="262" spans="3:37" ht="17.25" customHeight="1" x14ac:dyDescent="0.35">
      <c r="C262" s="1291"/>
      <c r="D262" s="1291"/>
      <c r="E262" s="1291"/>
      <c r="F262" s="1291"/>
      <c r="G262" s="1291"/>
      <c r="H262" s="1291"/>
      <c r="I262" s="1291"/>
      <c r="J262" s="1291"/>
      <c r="K262" s="1291"/>
      <c r="L262" s="1291"/>
      <c r="M262" s="1291"/>
      <c r="N262" s="1291"/>
      <c r="O262" s="1291"/>
      <c r="P262" s="1291"/>
      <c r="Q262" s="1291"/>
      <c r="R262" s="1291"/>
      <c r="S262" s="1291"/>
      <c r="T262" s="1291"/>
      <c r="U262" s="1291"/>
      <c r="V262" s="1291"/>
      <c r="W262" s="1291"/>
      <c r="X262" s="1291"/>
      <c r="Y262" s="1291"/>
      <c r="Z262" s="1291"/>
      <c r="AA262" s="1291"/>
      <c r="AB262" s="1291"/>
      <c r="AC262" s="1291"/>
      <c r="AD262" s="1291"/>
      <c r="AE262" s="1291"/>
      <c r="AF262" s="1291"/>
      <c r="AG262" s="1291"/>
      <c r="AH262" s="1291"/>
      <c r="AI262" s="1291"/>
      <c r="AJ262" s="1291"/>
      <c r="AK262" s="1291"/>
    </row>
    <row r="263" spans="3:37" ht="17.25" customHeight="1" x14ac:dyDescent="0.35">
      <c r="C263" s="1291"/>
      <c r="D263" s="1291"/>
      <c r="E263" s="1291"/>
      <c r="F263" s="1291"/>
      <c r="G263" s="1291"/>
      <c r="H263" s="1291"/>
      <c r="I263" s="1291"/>
      <c r="J263" s="1291"/>
      <c r="K263" s="1291"/>
      <c r="L263" s="1291"/>
      <c r="M263" s="1291"/>
      <c r="N263" s="1291"/>
      <c r="O263" s="1291"/>
      <c r="P263" s="1291"/>
      <c r="Q263" s="1291"/>
      <c r="R263" s="1291"/>
      <c r="S263" s="1291"/>
      <c r="T263" s="1291"/>
      <c r="U263" s="1291"/>
      <c r="V263" s="1291"/>
      <c r="W263" s="1291"/>
      <c r="X263" s="1291"/>
      <c r="Y263" s="1291"/>
      <c r="Z263" s="1291"/>
      <c r="AA263" s="1291"/>
      <c r="AB263" s="1291"/>
      <c r="AC263" s="1291"/>
      <c r="AD263" s="1291"/>
      <c r="AE263" s="1291"/>
      <c r="AF263" s="1291"/>
      <c r="AG263" s="1291"/>
      <c r="AH263" s="1291"/>
      <c r="AI263" s="1291"/>
      <c r="AJ263" s="1291"/>
      <c r="AK263" s="1291"/>
    </row>
    <row r="264" spans="3:37" ht="17.25" customHeight="1" x14ac:dyDescent="0.35">
      <c r="C264" s="1291"/>
      <c r="D264" s="1291"/>
      <c r="E264" s="1291"/>
      <c r="F264" s="1291"/>
      <c r="G264" s="1291"/>
      <c r="H264" s="1291"/>
      <c r="I264" s="1291"/>
      <c r="J264" s="1291"/>
      <c r="K264" s="1291"/>
      <c r="L264" s="1291"/>
      <c r="M264" s="1291"/>
      <c r="N264" s="1291"/>
      <c r="O264" s="1291"/>
      <c r="P264" s="1291"/>
      <c r="Q264" s="1291"/>
      <c r="R264" s="1291"/>
      <c r="S264" s="1291"/>
      <c r="T264" s="1291"/>
      <c r="U264" s="1291"/>
      <c r="V264" s="1291"/>
      <c r="W264" s="1291"/>
      <c r="X264" s="1291"/>
      <c r="Y264" s="1291"/>
      <c r="Z264" s="1291"/>
      <c r="AA264" s="1291"/>
      <c r="AB264" s="1291"/>
      <c r="AC264" s="1291"/>
      <c r="AD264" s="1291"/>
      <c r="AE264" s="1291"/>
      <c r="AF264" s="1291"/>
      <c r="AG264" s="1291"/>
      <c r="AH264" s="1291"/>
      <c r="AI264" s="1291"/>
      <c r="AJ264" s="1291"/>
      <c r="AK264" s="1291"/>
    </row>
    <row r="265" spans="3:37" ht="17.25" customHeight="1" x14ac:dyDescent="0.35">
      <c r="C265" s="1291"/>
      <c r="D265" s="1291"/>
      <c r="E265" s="1291"/>
      <c r="F265" s="1291"/>
      <c r="G265" s="1291"/>
      <c r="H265" s="1291"/>
      <c r="I265" s="1291"/>
      <c r="J265" s="1291"/>
      <c r="K265" s="1291"/>
      <c r="L265" s="1291"/>
      <c r="M265" s="1291"/>
      <c r="N265" s="1291"/>
      <c r="O265" s="1291"/>
      <c r="P265" s="1291"/>
      <c r="Q265" s="1291"/>
      <c r="R265" s="1291"/>
      <c r="S265" s="1291"/>
      <c r="T265" s="1291"/>
      <c r="U265" s="1291"/>
      <c r="V265" s="1291"/>
      <c r="W265" s="1291"/>
      <c r="X265" s="1291"/>
      <c r="Y265" s="1291"/>
      <c r="Z265" s="1291"/>
      <c r="AA265" s="1291"/>
      <c r="AB265" s="1291"/>
      <c r="AC265" s="1291"/>
      <c r="AD265" s="1291"/>
      <c r="AE265" s="1291"/>
      <c r="AF265" s="1291"/>
      <c r="AG265" s="1291"/>
      <c r="AH265" s="1291"/>
      <c r="AI265" s="1291"/>
      <c r="AJ265" s="1291"/>
      <c r="AK265" s="1291"/>
    </row>
    <row r="266" spans="3:37" ht="17.25" customHeight="1" x14ac:dyDescent="0.35">
      <c r="C266" s="1291"/>
      <c r="D266" s="1291"/>
      <c r="E266" s="1291"/>
      <c r="F266" s="1291"/>
      <c r="G266" s="1291"/>
      <c r="H266" s="1291"/>
      <c r="I266" s="1291"/>
      <c r="J266" s="1291"/>
      <c r="K266" s="1291"/>
      <c r="L266" s="1291"/>
      <c r="M266" s="1291"/>
      <c r="N266" s="1291"/>
      <c r="O266" s="1291"/>
      <c r="P266" s="1291"/>
      <c r="Q266" s="1291"/>
      <c r="R266" s="1291"/>
      <c r="S266" s="1291"/>
      <c r="T266" s="1291"/>
      <c r="U266" s="1291"/>
      <c r="V266" s="1291"/>
      <c r="W266" s="1291"/>
      <c r="X266" s="1291"/>
      <c r="Y266" s="1291"/>
      <c r="Z266" s="1291"/>
      <c r="AA266" s="1291"/>
      <c r="AB266" s="1291"/>
      <c r="AC266" s="1291"/>
      <c r="AD266" s="1291"/>
      <c r="AE266" s="1291"/>
      <c r="AF266" s="1291"/>
      <c r="AG266" s="1291"/>
      <c r="AH266" s="1291"/>
      <c r="AI266" s="1291"/>
      <c r="AJ266" s="1291"/>
      <c r="AK266" s="1291"/>
    </row>
    <row r="267" spans="3:37" ht="17.25" customHeight="1" x14ac:dyDescent="0.35">
      <c r="C267" s="1291"/>
      <c r="D267" s="1291"/>
      <c r="E267" s="1291"/>
      <c r="F267" s="1291"/>
      <c r="G267" s="1291"/>
      <c r="H267" s="1291"/>
      <c r="I267" s="1291"/>
      <c r="J267" s="1291"/>
      <c r="K267" s="1291"/>
      <c r="L267" s="1291"/>
      <c r="M267" s="1291"/>
      <c r="N267" s="1291"/>
      <c r="O267" s="1291"/>
      <c r="P267" s="1291"/>
      <c r="Q267" s="1291"/>
      <c r="R267" s="1291"/>
      <c r="S267" s="1291"/>
      <c r="T267" s="1291"/>
      <c r="U267" s="1291"/>
      <c r="V267" s="1291"/>
      <c r="W267" s="1291"/>
      <c r="X267" s="1291"/>
      <c r="Y267" s="1291"/>
      <c r="Z267" s="1291"/>
      <c r="AA267" s="1291"/>
      <c r="AB267" s="1291"/>
      <c r="AC267" s="1291"/>
      <c r="AD267" s="1291"/>
      <c r="AE267" s="1291"/>
      <c r="AF267" s="1291"/>
      <c r="AG267" s="1291"/>
      <c r="AH267" s="1291"/>
      <c r="AI267" s="1291"/>
      <c r="AJ267" s="1291"/>
      <c r="AK267" s="1291"/>
    </row>
    <row r="268" spans="3:37" ht="17.25" customHeight="1" x14ac:dyDescent="0.35">
      <c r="C268" s="1291"/>
      <c r="D268" s="1291"/>
      <c r="E268" s="1291"/>
      <c r="F268" s="1291"/>
      <c r="G268" s="1291"/>
      <c r="H268" s="1291"/>
      <c r="I268" s="1291"/>
      <c r="J268" s="1291"/>
      <c r="K268" s="1291"/>
      <c r="L268" s="1291"/>
      <c r="M268" s="1291"/>
      <c r="N268" s="1291"/>
      <c r="O268" s="1291"/>
      <c r="P268" s="1291"/>
      <c r="Q268" s="1291"/>
      <c r="R268" s="1291"/>
      <c r="S268" s="1291"/>
      <c r="T268" s="1291"/>
      <c r="U268" s="1291"/>
      <c r="V268" s="1291"/>
      <c r="W268" s="1291"/>
      <c r="X268" s="1291"/>
      <c r="Y268" s="1291"/>
      <c r="Z268" s="1291"/>
      <c r="AA268" s="1291"/>
      <c r="AB268" s="1291"/>
      <c r="AC268" s="1291"/>
      <c r="AD268" s="1291"/>
      <c r="AE268" s="1291"/>
      <c r="AF268" s="1291"/>
      <c r="AG268" s="1291"/>
      <c r="AH268" s="1291"/>
      <c r="AI268" s="1291"/>
      <c r="AJ268" s="1291"/>
      <c r="AK268" s="1291"/>
    </row>
    <row r="269" spans="3:37" ht="17.25" customHeight="1" x14ac:dyDescent="0.35">
      <c r="C269" s="1291"/>
      <c r="D269" s="1291"/>
      <c r="E269" s="1291"/>
      <c r="F269" s="1291"/>
      <c r="G269" s="1291"/>
      <c r="H269" s="1291"/>
      <c r="I269" s="1291"/>
      <c r="J269" s="1291"/>
      <c r="K269" s="1291"/>
      <c r="L269" s="1291"/>
      <c r="M269" s="1291"/>
      <c r="N269" s="1291"/>
      <c r="O269" s="1291"/>
      <c r="P269" s="1291"/>
      <c r="Q269" s="1291"/>
      <c r="R269" s="1291"/>
      <c r="S269" s="1291"/>
      <c r="T269" s="1291"/>
      <c r="U269" s="1291"/>
      <c r="V269" s="1291"/>
      <c r="W269" s="1291"/>
      <c r="X269" s="1291"/>
      <c r="Y269" s="1291"/>
      <c r="Z269" s="1291"/>
      <c r="AA269" s="1291"/>
      <c r="AB269" s="1291"/>
      <c r="AC269" s="1291"/>
      <c r="AD269" s="1291"/>
      <c r="AE269" s="1291"/>
      <c r="AF269" s="1291"/>
      <c r="AG269" s="1291"/>
      <c r="AH269" s="1291"/>
      <c r="AI269" s="1291"/>
      <c r="AJ269" s="1291"/>
      <c r="AK269" s="1291"/>
    </row>
    <row r="270" spans="3:37" ht="17.25" customHeight="1" x14ac:dyDescent="0.35">
      <c r="C270" s="1291"/>
      <c r="D270" s="1291"/>
      <c r="E270" s="1291"/>
      <c r="F270" s="1291"/>
      <c r="G270" s="1291"/>
      <c r="H270" s="1291"/>
      <c r="I270" s="1291"/>
      <c r="J270" s="1291"/>
      <c r="K270" s="1291"/>
      <c r="L270" s="1291"/>
      <c r="M270" s="1291"/>
      <c r="N270" s="1291"/>
      <c r="O270" s="1291"/>
      <c r="P270" s="1291"/>
      <c r="Q270" s="1291"/>
      <c r="R270" s="1291"/>
      <c r="S270" s="1291"/>
      <c r="T270" s="1291"/>
      <c r="U270" s="1291"/>
      <c r="V270" s="1291"/>
      <c r="W270" s="1291"/>
      <c r="X270" s="1291"/>
      <c r="Y270" s="1291"/>
      <c r="Z270" s="1291"/>
      <c r="AA270" s="1291"/>
      <c r="AB270" s="1291"/>
      <c r="AC270" s="1291"/>
      <c r="AD270" s="1291"/>
      <c r="AE270" s="1291"/>
      <c r="AF270" s="1291"/>
      <c r="AG270" s="1291"/>
      <c r="AH270" s="1291"/>
      <c r="AI270" s="1291"/>
      <c r="AJ270" s="1291"/>
      <c r="AK270" s="1291"/>
    </row>
    <row r="271" spans="3:37" ht="17.25" customHeight="1" x14ac:dyDescent="0.35">
      <c r="C271" s="1291"/>
      <c r="D271" s="1291"/>
      <c r="E271" s="1291"/>
      <c r="F271" s="1291"/>
      <c r="G271" s="1291"/>
      <c r="H271" s="1291"/>
      <c r="I271" s="1291"/>
      <c r="J271" s="1291"/>
      <c r="K271" s="1291"/>
      <c r="L271" s="1291"/>
      <c r="M271" s="1291"/>
      <c r="N271" s="1291"/>
      <c r="O271" s="1291"/>
      <c r="P271" s="1291"/>
      <c r="Q271" s="1291"/>
      <c r="R271" s="1291"/>
      <c r="S271" s="1291"/>
      <c r="T271" s="1291"/>
      <c r="U271" s="1291"/>
      <c r="V271" s="1291"/>
      <c r="W271" s="1291"/>
      <c r="X271" s="1291"/>
      <c r="Y271" s="1291"/>
      <c r="Z271" s="1291"/>
      <c r="AA271" s="1291"/>
      <c r="AB271" s="1291"/>
      <c r="AC271" s="1291"/>
      <c r="AD271" s="1291"/>
      <c r="AE271" s="1291"/>
      <c r="AF271" s="1291"/>
      <c r="AG271" s="1291"/>
      <c r="AH271" s="1291"/>
      <c r="AI271" s="1291"/>
      <c r="AJ271" s="1291"/>
      <c r="AK271" s="1291"/>
    </row>
    <row r="272" spans="3:37" ht="17.25" customHeight="1" x14ac:dyDescent="0.35">
      <c r="C272" s="1291"/>
      <c r="D272" s="1291"/>
      <c r="E272" s="1291"/>
      <c r="F272" s="1291"/>
      <c r="G272" s="1291"/>
      <c r="H272" s="1291"/>
      <c r="I272" s="1291"/>
      <c r="J272" s="1291"/>
      <c r="K272" s="1291"/>
      <c r="L272" s="1291"/>
      <c r="M272" s="1291"/>
      <c r="N272" s="1291"/>
      <c r="O272" s="1291"/>
      <c r="P272" s="1291"/>
      <c r="Q272" s="1291"/>
      <c r="R272" s="1291"/>
      <c r="S272" s="1291"/>
      <c r="T272" s="1291"/>
      <c r="U272" s="1291"/>
      <c r="V272" s="1291"/>
      <c r="W272" s="1291"/>
      <c r="X272" s="1291"/>
      <c r="Y272" s="1291"/>
      <c r="Z272" s="1291"/>
      <c r="AA272" s="1291"/>
      <c r="AB272" s="1291"/>
      <c r="AC272" s="1291"/>
      <c r="AD272" s="1291"/>
      <c r="AE272" s="1291"/>
      <c r="AF272" s="1291"/>
      <c r="AG272" s="1291"/>
      <c r="AH272" s="1291"/>
      <c r="AI272" s="1291"/>
      <c r="AJ272" s="1291"/>
      <c r="AK272" s="1291"/>
    </row>
    <row r="273" spans="3:37" ht="17.25" customHeight="1" x14ac:dyDescent="0.35">
      <c r="C273" s="1291"/>
      <c r="D273" s="1291"/>
      <c r="E273" s="1291"/>
      <c r="F273" s="1291"/>
      <c r="G273" s="1291"/>
      <c r="H273" s="1291"/>
      <c r="I273" s="1291"/>
      <c r="J273" s="1291"/>
      <c r="K273" s="1291"/>
      <c r="L273" s="1291"/>
      <c r="M273" s="1291"/>
      <c r="N273" s="1291"/>
      <c r="O273" s="1291"/>
      <c r="P273" s="1291"/>
      <c r="Q273" s="1291"/>
      <c r="R273" s="1291"/>
      <c r="S273" s="1291"/>
      <c r="T273" s="1291"/>
      <c r="U273" s="1291"/>
      <c r="V273" s="1291"/>
      <c r="W273" s="1291"/>
      <c r="X273" s="1291"/>
      <c r="Y273" s="1291"/>
      <c r="Z273" s="1291"/>
      <c r="AA273" s="1291"/>
      <c r="AB273" s="1291"/>
      <c r="AC273" s="1291"/>
      <c r="AD273" s="1291"/>
      <c r="AE273" s="1291"/>
      <c r="AF273" s="1291"/>
      <c r="AG273" s="1291"/>
      <c r="AH273" s="1291"/>
      <c r="AI273" s="1291"/>
      <c r="AJ273" s="1291"/>
      <c r="AK273" s="1291"/>
    </row>
    <row r="274" spans="3:37" ht="17.25" customHeight="1" x14ac:dyDescent="0.35">
      <c r="C274" s="1291"/>
      <c r="D274" s="1291"/>
      <c r="E274" s="1291"/>
      <c r="F274" s="1291"/>
      <c r="G274" s="1291"/>
      <c r="H274" s="1291"/>
      <c r="I274" s="1291"/>
      <c r="J274" s="1291"/>
      <c r="K274" s="1291"/>
      <c r="L274" s="1291"/>
      <c r="M274" s="1291"/>
      <c r="N274" s="1291"/>
      <c r="O274" s="1291"/>
      <c r="P274" s="1291"/>
      <c r="Q274" s="1291"/>
      <c r="R274" s="1291"/>
      <c r="S274" s="1291"/>
      <c r="T274" s="1291"/>
      <c r="U274" s="1291"/>
      <c r="V274" s="1291"/>
      <c r="W274" s="1291"/>
      <c r="X274" s="1291"/>
      <c r="Y274" s="1291"/>
      <c r="Z274" s="1291"/>
      <c r="AA274" s="1291"/>
      <c r="AB274" s="1291"/>
      <c r="AC274" s="1291"/>
      <c r="AD274" s="1291"/>
      <c r="AE274" s="1291"/>
      <c r="AF274" s="1291"/>
      <c r="AG274" s="1291"/>
      <c r="AH274" s="1291"/>
      <c r="AI274" s="1291"/>
      <c r="AJ274" s="1291"/>
      <c r="AK274" s="1291"/>
    </row>
    <row r="275" spans="3:37" ht="17.25" customHeight="1" x14ac:dyDescent="0.35">
      <c r="C275" s="1291"/>
      <c r="D275" s="1291"/>
      <c r="E275" s="1291"/>
      <c r="F275" s="1291"/>
      <c r="G275" s="1291"/>
      <c r="H275" s="1291"/>
      <c r="I275" s="1291"/>
      <c r="J275" s="1291"/>
      <c r="K275" s="1291"/>
      <c r="L275" s="1291"/>
      <c r="M275" s="1291"/>
      <c r="N275" s="1291"/>
      <c r="O275" s="1291"/>
      <c r="P275" s="1291"/>
      <c r="Q275" s="1291"/>
      <c r="R275" s="1291"/>
      <c r="S275" s="1291"/>
      <c r="T275" s="1291"/>
      <c r="U275" s="1291"/>
      <c r="V275" s="1291"/>
      <c r="W275" s="1291"/>
      <c r="X275" s="1291"/>
      <c r="Y275" s="1291"/>
      <c r="Z275" s="1291"/>
      <c r="AA275" s="1291"/>
      <c r="AB275" s="1291"/>
      <c r="AC275" s="1291"/>
      <c r="AD275" s="1291"/>
      <c r="AE275" s="1291"/>
      <c r="AF275" s="1291"/>
      <c r="AG275" s="1291"/>
      <c r="AH275" s="1291"/>
      <c r="AI275" s="1291"/>
      <c r="AJ275" s="1291"/>
      <c r="AK275" s="1291"/>
    </row>
    <row r="276" spans="3:37" ht="17.25" customHeight="1" x14ac:dyDescent="0.35">
      <c r="C276" s="1291"/>
      <c r="D276" s="1291"/>
      <c r="E276" s="1291"/>
      <c r="F276" s="1291"/>
      <c r="G276" s="1291"/>
      <c r="H276" s="1291"/>
      <c r="I276" s="1291"/>
      <c r="J276" s="1291"/>
      <c r="K276" s="1291"/>
      <c r="L276" s="1291"/>
      <c r="M276" s="1291"/>
      <c r="N276" s="1291"/>
      <c r="O276" s="1291"/>
      <c r="P276" s="1291"/>
      <c r="Q276" s="1291"/>
      <c r="R276" s="1291"/>
      <c r="S276" s="1291"/>
      <c r="T276" s="1291"/>
      <c r="U276" s="1291"/>
      <c r="V276" s="1291"/>
      <c r="W276" s="1291"/>
      <c r="X276" s="1291"/>
      <c r="Y276" s="1291"/>
      <c r="Z276" s="1291"/>
      <c r="AA276" s="1291"/>
      <c r="AB276" s="1291"/>
      <c r="AC276" s="1291"/>
      <c r="AD276" s="1291"/>
      <c r="AE276" s="1291"/>
      <c r="AF276" s="1291"/>
      <c r="AG276" s="1291"/>
      <c r="AH276" s="1291"/>
      <c r="AI276" s="1291"/>
      <c r="AJ276" s="1291"/>
      <c r="AK276" s="1291"/>
    </row>
    <row r="277" spans="3:37" ht="17.25" customHeight="1" x14ac:dyDescent="0.35">
      <c r="C277" s="1291"/>
      <c r="D277" s="1291"/>
      <c r="E277" s="1291"/>
      <c r="F277" s="1291"/>
      <c r="G277" s="1291"/>
      <c r="H277" s="1291"/>
      <c r="I277" s="1291"/>
      <c r="J277" s="1291"/>
      <c r="K277" s="1291"/>
      <c r="L277" s="1291"/>
      <c r="M277" s="1291"/>
      <c r="N277" s="1291"/>
      <c r="O277" s="1291"/>
      <c r="P277" s="1291"/>
      <c r="Q277" s="1291"/>
      <c r="R277" s="1291"/>
      <c r="S277" s="1291"/>
      <c r="T277" s="1291"/>
      <c r="U277" s="1291"/>
      <c r="V277" s="1291"/>
      <c r="W277" s="1291"/>
      <c r="X277" s="1291"/>
      <c r="Y277" s="1291"/>
      <c r="Z277" s="1291"/>
      <c r="AA277" s="1291"/>
      <c r="AB277" s="1291"/>
      <c r="AC277" s="1291"/>
      <c r="AD277" s="1291"/>
      <c r="AE277" s="1291"/>
      <c r="AF277" s="1291"/>
      <c r="AG277" s="1291"/>
      <c r="AH277" s="1291"/>
      <c r="AI277" s="1291"/>
      <c r="AJ277" s="1291"/>
      <c r="AK277" s="1291"/>
    </row>
    <row r="278" spans="3:37" ht="17.25" customHeight="1" x14ac:dyDescent="0.35">
      <c r="C278" s="1291"/>
      <c r="D278" s="1291"/>
      <c r="E278" s="1291"/>
      <c r="F278" s="1291"/>
      <c r="G278" s="1291"/>
      <c r="H278" s="1291"/>
      <c r="I278" s="1291"/>
      <c r="J278" s="1291"/>
      <c r="K278" s="1291"/>
      <c r="L278" s="1291"/>
      <c r="M278" s="1291"/>
      <c r="N278" s="1291"/>
      <c r="O278" s="1291"/>
      <c r="P278" s="1291"/>
      <c r="Q278" s="1291"/>
      <c r="R278" s="1291"/>
      <c r="S278" s="1291"/>
      <c r="T278" s="1291"/>
      <c r="U278" s="1291"/>
      <c r="V278" s="1291"/>
      <c r="W278" s="1291"/>
      <c r="X278" s="1291"/>
      <c r="Y278" s="1291"/>
      <c r="Z278" s="1291"/>
      <c r="AA278" s="1291"/>
      <c r="AB278" s="1291"/>
      <c r="AC278" s="1291"/>
      <c r="AD278" s="1291"/>
      <c r="AE278" s="1291"/>
      <c r="AF278" s="1291"/>
      <c r="AG278" s="1291"/>
      <c r="AH278" s="1291"/>
      <c r="AI278" s="1291"/>
      <c r="AJ278" s="1291"/>
      <c r="AK278" s="1291"/>
    </row>
    <row r="279" spans="3:37" ht="17.25" customHeight="1" x14ac:dyDescent="0.35">
      <c r="C279" s="1291"/>
      <c r="D279" s="1291"/>
      <c r="E279" s="1291"/>
      <c r="F279" s="1291"/>
      <c r="G279" s="1291"/>
      <c r="H279" s="1291"/>
      <c r="I279" s="1291"/>
      <c r="J279" s="1291"/>
      <c r="K279" s="1291"/>
      <c r="L279" s="1291"/>
      <c r="M279" s="1291"/>
      <c r="N279" s="1291"/>
      <c r="O279" s="1291"/>
      <c r="P279" s="1291"/>
      <c r="Q279" s="1291"/>
      <c r="R279" s="1291"/>
      <c r="S279" s="1291"/>
      <c r="T279" s="1291"/>
      <c r="U279" s="1291"/>
      <c r="V279" s="1291"/>
      <c r="W279" s="1291"/>
      <c r="X279" s="1291"/>
      <c r="Y279" s="1291"/>
      <c r="Z279" s="1291"/>
      <c r="AA279" s="1291"/>
      <c r="AB279" s="1291"/>
      <c r="AC279" s="1291"/>
      <c r="AD279" s="1291"/>
      <c r="AE279" s="1291"/>
      <c r="AF279" s="1291"/>
      <c r="AG279" s="1291"/>
      <c r="AH279" s="1291"/>
      <c r="AI279" s="1291"/>
      <c r="AJ279" s="1291"/>
      <c r="AK279" s="1291"/>
    </row>
    <row r="280" spans="3:37" ht="17.25" customHeight="1" x14ac:dyDescent="0.35">
      <c r="C280" s="1291"/>
      <c r="D280" s="1291"/>
      <c r="E280" s="1291"/>
      <c r="F280" s="1291"/>
      <c r="G280" s="1291"/>
      <c r="H280" s="1291"/>
      <c r="I280" s="1291"/>
      <c r="J280" s="1291"/>
      <c r="K280" s="1291"/>
      <c r="L280" s="1291"/>
      <c r="M280" s="1291"/>
      <c r="N280" s="1291"/>
      <c r="O280" s="1291"/>
      <c r="P280" s="1291"/>
      <c r="Q280" s="1291"/>
      <c r="R280" s="1291"/>
      <c r="S280" s="1291"/>
      <c r="T280" s="1291"/>
      <c r="U280" s="1291"/>
      <c r="V280" s="1291"/>
      <c r="W280" s="1291"/>
      <c r="X280" s="1291"/>
      <c r="Y280" s="1291"/>
      <c r="Z280" s="1291"/>
      <c r="AA280" s="1291"/>
      <c r="AB280" s="1291"/>
      <c r="AC280" s="1291"/>
      <c r="AD280" s="1291"/>
      <c r="AE280" s="1291"/>
      <c r="AF280" s="1291"/>
      <c r="AG280" s="1291"/>
      <c r="AH280" s="1291"/>
      <c r="AI280" s="1291"/>
      <c r="AJ280" s="1291"/>
      <c r="AK280" s="1291"/>
    </row>
    <row r="281" spans="3:37" ht="17.25" customHeight="1" x14ac:dyDescent="0.35">
      <c r="C281" s="1291"/>
      <c r="D281" s="1291"/>
      <c r="E281" s="1291"/>
      <c r="F281" s="1291"/>
      <c r="G281" s="1291"/>
      <c r="H281" s="1291"/>
      <c r="I281" s="1291"/>
      <c r="J281" s="1291"/>
      <c r="K281" s="1291"/>
      <c r="L281" s="1291"/>
      <c r="M281" s="1291"/>
      <c r="N281" s="1291"/>
      <c r="O281" s="1291"/>
      <c r="P281" s="1291"/>
      <c r="Q281" s="1291"/>
      <c r="R281" s="1291"/>
      <c r="S281" s="1291"/>
      <c r="T281" s="1291"/>
      <c r="U281" s="1291"/>
      <c r="V281" s="1291"/>
      <c r="W281" s="1291"/>
      <c r="X281" s="1291"/>
      <c r="Y281" s="1291"/>
      <c r="Z281" s="1291"/>
      <c r="AA281" s="1291"/>
      <c r="AB281" s="1291"/>
      <c r="AC281" s="1291"/>
      <c r="AD281" s="1291"/>
      <c r="AE281" s="1291"/>
      <c r="AF281" s="1291"/>
      <c r="AG281" s="1291"/>
      <c r="AH281" s="1291"/>
      <c r="AI281" s="1291"/>
      <c r="AJ281" s="1291"/>
      <c r="AK281" s="1291"/>
    </row>
    <row r="282" spans="3:37" ht="17.25" customHeight="1" x14ac:dyDescent="0.35">
      <c r="C282" s="1291"/>
      <c r="D282" s="1291"/>
      <c r="E282" s="1291"/>
      <c r="F282" s="1291"/>
      <c r="G282" s="1291"/>
      <c r="H282" s="1291"/>
      <c r="I282" s="1291"/>
      <c r="J282" s="1291"/>
      <c r="K282" s="1291"/>
      <c r="L282" s="1291"/>
      <c r="M282" s="1291"/>
      <c r="N282" s="1291"/>
      <c r="O282" s="1291"/>
      <c r="P282" s="1291"/>
      <c r="Q282" s="1291"/>
      <c r="R282" s="1291"/>
      <c r="S282" s="1291"/>
      <c r="T282" s="1291"/>
      <c r="U282" s="1291"/>
      <c r="V282" s="1291"/>
      <c r="W282" s="1291"/>
      <c r="X282" s="1291"/>
      <c r="Y282" s="1291"/>
      <c r="Z282" s="1291"/>
      <c r="AA282" s="1291"/>
      <c r="AB282" s="1291"/>
      <c r="AC282" s="1291"/>
      <c r="AD282" s="1291"/>
      <c r="AE282" s="1291"/>
      <c r="AF282" s="1291"/>
      <c r="AG282" s="1291"/>
      <c r="AH282" s="1291"/>
      <c r="AI282" s="1291"/>
      <c r="AJ282" s="1291"/>
      <c r="AK282" s="1291"/>
    </row>
    <row r="283" spans="3:37" ht="17.25" customHeight="1" x14ac:dyDescent="0.35">
      <c r="C283" s="1291"/>
      <c r="D283" s="1291"/>
      <c r="E283" s="1291"/>
      <c r="F283" s="1291"/>
      <c r="G283" s="1291"/>
      <c r="H283" s="1291"/>
      <c r="I283" s="1291"/>
      <c r="J283" s="1291"/>
      <c r="K283" s="1291"/>
      <c r="L283" s="1291"/>
      <c r="M283" s="1291"/>
      <c r="N283" s="1291"/>
      <c r="O283" s="1291"/>
      <c r="P283" s="1291"/>
      <c r="Q283" s="1291"/>
      <c r="R283" s="1291"/>
      <c r="S283" s="1291"/>
      <c r="T283" s="1291"/>
      <c r="U283" s="1291"/>
      <c r="V283" s="1291"/>
      <c r="W283" s="1291"/>
      <c r="X283" s="1291"/>
      <c r="Y283" s="1291"/>
      <c r="Z283" s="1291"/>
      <c r="AA283" s="1291"/>
      <c r="AB283" s="1291"/>
      <c r="AC283" s="1291"/>
      <c r="AD283" s="1291"/>
      <c r="AE283" s="1291"/>
      <c r="AF283" s="1291"/>
      <c r="AG283" s="1291"/>
      <c r="AH283" s="1291"/>
      <c r="AI283" s="1291"/>
      <c r="AJ283" s="1291"/>
      <c r="AK283" s="1291"/>
    </row>
    <row r="284" spans="3:37" ht="17.25" customHeight="1" x14ac:dyDescent="0.35">
      <c r="C284" s="1291"/>
      <c r="D284" s="1291"/>
      <c r="E284" s="1291"/>
      <c r="F284" s="1291"/>
      <c r="G284" s="1291"/>
      <c r="H284" s="1291"/>
      <c r="I284" s="1291"/>
      <c r="J284" s="1291"/>
      <c r="K284" s="1291"/>
      <c r="L284" s="1291"/>
      <c r="M284" s="1291"/>
      <c r="N284" s="1291"/>
      <c r="O284" s="1291"/>
      <c r="P284" s="1291"/>
      <c r="Q284" s="1291"/>
      <c r="R284" s="1291"/>
      <c r="S284" s="1291"/>
      <c r="T284" s="1291"/>
      <c r="U284" s="1291"/>
      <c r="V284" s="1291"/>
      <c r="W284" s="1291"/>
      <c r="X284" s="1291"/>
      <c r="Y284" s="1291"/>
      <c r="Z284" s="1291"/>
      <c r="AA284" s="1291"/>
      <c r="AB284" s="1291"/>
      <c r="AC284" s="1291"/>
      <c r="AD284" s="1291"/>
      <c r="AE284" s="1291"/>
      <c r="AF284" s="1291"/>
      <c r="AG284" s="1291"/>
      <c r="AH284" s="1291"/>
      <c r="AI284" s="1291"/>
      <c r="AJ284" s="1291"/>
      <c r="AK284" s="1291"/>
    </row>
    <row r="285" spans="3:37" ht="17.25" customHeight="1" x14ac:dyDescent="0.35">
      <c r="C285" s="1291"/>
      <c r="D285" s="1291"/>
      <c r="E285" s="1291"/>
      <c r="F285" s="1291"/>
      <c r="G285" s="1291"/>
      <c r="H285" s="1291"/>
      <c r="I285" s="1291"/>
      <c r="J285" s="1291"/>
      <c r="K285" s="1291"/>
      <c r="L285" s="1291"/>
      <c r="M285" s="1291"/>
      <c r="N285" s="1291"/>
      <c r="O285" s="1291"/>
      <c r="P285" s="1291"/>
      <c r="Q285" s="1291"/>
      <c r="R285" s="1291"/>
      <c r="S285" s="1291"/>
      <c r="T285" s="1291"/>
      <c r="U285" s="1291"/>
      <c r="V285" s="1291"/>
      <c r="W285" s="1291"/>
      <c r="X285" s="1291"/>
      <c r="Y285" s="1291"/>
      <c r="Z285" s="1291"/>
      <c r="AA285" s="1291"/>
      <c r="AB285" s="1291"/>
      <c r="AC285" s="1291"/>
      <c r="AD285" s="1291"/>
      <c r="AE285" s="1291"/>
      <c r="AF285" s="1291"/>
      <c r="AG285" s="1291"/>
      <c r="AH285" s="1291"/>
      <c r="AI285" s="1291"/>
      <c r="AJ285" s="1291"/>
      <c r="AK285" s="1291"/>
    </row>
    <row r="286" spans="3:37" ht="17.25" customHeight="1" x14ac:dyDescent="0.35">
      <c r="C286" s="1291"/>
      <c r="D286" s="1291"/>
      <c r="E286" s="1291"/>
      <c r="F286" s="1291"/>
      <c r="G286" s="1291"/>
      <c r="H286" s="1291"/>
      <c r="I286" s="1291"/>
      <c r="J286" s="1291"/>
      <c r="K286" s="1291"/>
      <c r="L286" s="1291"/>
      <c r="M286" s="1291"/>
      <c r="N286" s="1291"/>
      <c r="O286" s="1291"/>
      <c r="P286" s="1291"/>
      <c r="Q286" s="1291"/>
      <c r="R286" s="1291"/>
      <c r="S286" s="1291"/>
      <c r="T286" s="1291"/>
      <c r="U286" s="1291"/>
      <c r="V286" s="1291"/>
      <c r="W286" s="1291"/>
      <c r="X286" s="1291"/>
      <c r="Y286" s="1291"/>
      <c r="Z286" s="1291"/>
      <c r="AA286" s="1291"/>
      <c r="AB286" s="1291"/>
      <c r="AC286" s="1291"/>
      <c r="AD286" s="1291"/>
      <c r="AE286" s="1291"/>
      <c r="AF286" s="1291"/>
      <c r="AG286" s="1291"/>
      <c r="AH286" s="1291"/>
      <c r="AI286" s="1291"/>
      <c r="AJ286" s="1291"/>
      <c r="AK286" s="1291"/>
    </row>
    <row r="287" spans="3:37" ht="17.25" customHeight="1" x14ac:dyDescent="0.35">
      <c r="C287" s="1291"/>
      <c r="D287" s="1291"/>
      <c r="E287" s="1291"/>
      <c r="F287" s="1291"/>
      <c r="G287" s="1291"/>
      <c r="H287" s="1291"/>
      <c r="I287" s="1291"/>
      <c r="J287" s="1291"/>
      <c r="K287" s="1291"/>
      <c r="L287" s="1291"/>
      <c r="M287" s="1291"/>
      <c r="N287" s="1291"/>
      <c r="O287" s="1291"/>
      <c r="P287" s="1291"/>
      <c r="Q287" s="1291"/>
      <c r="R287" s="1291"/>
      <c r="S287" s="1291"/>
      <c r="T287" s="1291"/>
      <c r="U287" s="1291"/>
      <c r="V287" s="1291"/>
      <c r="W287" s="1291"/>
      <c r="X287" s="1291"/>
      <c r="Y287" s="1291"/>
      <c r="Z287" s="1291"/>
      <c r="AA287" s="1291"/>
      <c r="AB287" s="1291"/>
      <c r="AC287" s="1291"/>
      <c r="AD287" s="1291"/>
      <c r="AE287" s="1291"/>
      <c r="AF287" s="1291"/>
      <c r="AG287" s="1291"/>
      <c r="AH287" s="1291"/>
      <c r="AI287" s="1291"/>
      <c r="AJ287" s="1291"/>
      <c r="AK287" s="1291"/>
    </row>
    <row r="288" spans="3:37" ht="17.25" customHeight="1" x14ac:dyDescent="0.35">
      <c r="C288" s="1291"/>
      <c r="D288" s="1291"/>
      <c r="E288" s="1291"/>
      <c r="F288" s="1291"/>
      <c r="G288" s="1291"/>
      <c r="H288" s="1291"/>
      <c r="I288" s="1291"/>
      <c r="J288" s="1291"/>
      <c r="K288" s="1291"/>
      <c r="L288" s="1291"/>
      <c r="M288" s="1291"/>
      <c r="N288" s="1291"/>
      <c r="O288" s="1291"/>
      <c r="P288" s="1291"/>
      <c r="Q288" s="1291"/>
      <c r="R288" s="1291"/>
      <c r="S288" s="1291"/>
      <c r="T288" s="1291"/>
      <c r="U288" s="1291"/>
      <c r="V288" s="1291"/>
      <c r="W288" s="1291"/>
      <c r="X288" s="1291"/>
      <c r="Y288" s="1291"/>
      <c r="Z288" s="1291"/>
      <c r="AA288" s="1291"/>
      <c r="AB288" s="1291"/>
      <c r="AC288" s="1291"/>
      <c r="AD288" s="1291"/>
      <c r="AE288" s="1291"/>
      <c r="AF288" s="1291"/>
      <c r="AG288" s="1291"/>
      <c r="AH288" s="1291"/>
      <c r="AI288" s="1291"/>
      <c r="AJ288" s="1291"/>
      <c r="AK288" s="1291"/>
    </row>
    <row r="289" spans="3:37" ht="17.25" customHeight="1" x14ac:dyDescent="0.35">
      <c r="C289" s="1291"/>
      <c r="D289" s="1291"/>
      <c r="E289" s="1291"/>
      <c r="F289" s="1291"/>
      <c r="G289" s="1291"/>
      <c r="H289" s="1291"/>
      <c r="I289" s="1291"/>
      <c r="J289" s="1291"/>
      <c r="K289" s="1291"/>
      <c r="L289" s="1291"/>
      <c r="M289" s="1291"/>
      <c r="N289" s="1291"/>
      <c r="O289" s="1291"/>
      <c r="P289" s="1291"/>
      <c r="Q289" s="1291"/>
      <c r="R289" s="1291"/>
      <c r="S289" s="1291"/>
      <c r="T289" s="1291"/>
      <c r="U289" s="1291"/>
      <c r="V289" s="1291"/>
      <c r="W289" s="1291"/>
      <c r="X289" s="1291"/>
      <c r="Y289" s="1291"/>
      <c r="Z289" s="1291"/>
      <c r="AA289" s="1291"/>
      <c r="AB289" s="1291"/>
      <c r="AC289" s="1291"/>
      <c r="AD289" s="1291"/>
      <c r="AE289" s="1291"/>
      <c r="AF289" s="1291"/>
      <c r="AG289" s="1291"/>
      <c r="AH289" s="1291"/>
      <c r="AI289" s="1291"/>
      <c r="AJ289" s="1291"/>
      <c r="AK289" s="1291"/>
    </row>
    <row r="290" spans="3:37" ht="17.25" customHeight="1" x14ac:dyDescent="0.35">
      <c r="C290" s="1291"/>
      <c r="D290" s="1291"/>
      <c r="E290" s="1291"/>
      <c r="F290" s="1291"/>
      <c r="G290" s="1291"/>
      <c r="H290" s="1291"/>
      <c r="I290" s="1291"/>
      <c r="J290" s="1291"/>
      <c r="K290" s="1291"/>
      <c r="L290" s="1291"/>
      <c r="M290" s="1291"/>
      <c r="N290" s="1291"/>
      <c r="O290" s="1291"/>
      <c r="P290" s="1291"/>
      <c r="Q290" s="1291"/>
      <c r="R290" s="1291"/>
      <c r="S290" s="1291"/>
      <c r="T290" s="1291"/>
      <c r="U290" s="1291"/>
      <c r="V290" s="1291"/>
      <c r="W290" s="1291"/>
      <c r="X290" s="1291"/>
      <c r="Y290" s="1291"/>
      <c r="Z290" s="1291"/>
      <c r="AA290" s="1291"/>
      <c r="AB290" s="1291"/>
      <c r="AC290" s="1291"/>
      <c r="AD290" s="1291"/>
      <c r="AE290" s="1291"/>
      <c r="AF290" s="1291"/>
      <c r="AG290" s="1291"/>
      <c r="AH290" s="1291"/>
      <c r="AI290" s="1291"/>
      <c r="AJ290" s="1291"/>
      <c r="AK290" s="1291"/>
    </row>
    <row r="291" spans="3:37" ht="17.25" customHeight="1" x14ac:dyDescent="0.35">
      <c r="C291" s="1291"/>
      <c r="D291" s="1291"/>
      <c r="E291" s="1291"/>
      <c r="F291" s="1291"/>
      <c r="G291" s="1291"/>
      <c r="H291" s="1291"/>
      <c r="I291" s="1291"/>
      <c r="J291" s="1291"/>
      <c r="K291" s="1291"/>
      <c r="L291" s="1291"/>
      <c r="M291" s="1291"/>
      <c r="N291" s="1291"/>
      <c r="O291" s="1291"/>
      <c r="P291" s="1291"/>
      <c r="Q291" s="1291"/>
      <c r="R291" s="1291"/>
      <c r="S291" s="1291"/>
      <c r="T291" s="1291"/>
      <c r="U291" s="1291"/>
      <c r="V291" s="1291"/>
      <c r="W291" s="1291"/>
      <c r="X291" s="1291"/>
      <c r="Y291" s="1291"/>
      <c r="Z291" s="1291"/>
      <c r="AA291" s="1291"/>
      <c r="AB291" s="1291"/>
      <c r="AC291" s="1291"/>
      <c r="AD291" s="1291"/>
      <c r="AE291" s="1291"/>
      <c r="AF291" s="1291"/>
      <c r="AG291" s="1291"/>
      <c r="AH291" s="1291"/>
      <c r="AI291" s="1291"/>
      <c r="AJ291" s="1291"/>
      <c r="AK291" s="1291"/>
    </row>
    <row r="292" spans="3:37" ht="17.25" customHeight="1" x14ac:dyDescent="0.35">
      <c r="C292" s="1291"/>
      <c r="D292" s="1291"/>
      <c r="E292" s="1291"/>
      <c r="F292" s="1291"/>
      <c r="G292" s="1291"/>
      <c r="H292" s="1291"/>
      <c r="I292" s="1291"/>
      <c r="J292" s="1291"/>
      <c r="K292" s="1291"/>
      <c r="L292" s="1291"/>
      <c r="M292" s="1291"/>
      <c r="N292" s="1291"/>
      <c r="O292" s="1291"/>
      <c r="P292" s="1291"/>
      <c r="Q292" s="1291"/>
      <c r="R292" s="1291"/>
      <c r="S292" s="1291"/>
      <c r="T292" s="1291"/>
      <c r="U292" s="1291"/>
      <c r="V292" s="1291"/>
      <c r="W292" s="1291"/>
      <c r="X292" s="1291"/>
      <c r="Y292" s="1291"/>
      <c r="Z292" s="1291"/>
      <c r="AA292" s="1291"/>
      <c r="AB292" s="1291"/>
      <c r="AC292" s="1291"/>
      <c r="AD292" s="1291"/>
      <c r="AE292" s="1291"/>
      <c r="AF292" s="1291"/>
      <c r="AG292" s="1291"/>
      <c r="AH292" s="1291"/>
      <c r="AI292" s="1291"/>
      <c r="AJ292" s="1291"/>
      <c r="AK292" s="1291"/>
    </row>
    <row r="293" spans="3:37" ht="17.25" customHeight="1" x14ac:dyDescent="0.35">
      <c r="C293" s="1291"/>
      <c r="D293" s="1291"/>
      <c r="E293" s="1291"/>
      <c r="F293" s="1291"/>
      <c r="G293" s="1291"/>
      <c r="H293" s="1291"/>
      <c r="I293" s="1291"/>
      <c r="J293" s="1291"/>
      <c r="K293" s="1291"/>
      <c r="L293" s="1291"/>
      <c r="M293" s="1291"/>
      <c r="N293" s="1291"/>
      <c r="O293" s="1291"/>
      <c r="P293" s="1291"/>
      <c r="Q293" s="1291"/>
      <c r="R293" s="1291"/>
      <c r="S293" s="1291"/>
      <c r="T293" s="1291"/>
      <c r="U293" s="1291"/>
      <c r="V293" s="1291"/>
      <c r="W293" s="1291"/>
      <c r="X293" s="1291"/>
      <c r="Y293" s="1291"/>
      <c r="Z293" s="1291"/>
      <c r="AA293" s="1291"/>
      <c r="AB293" s="1291"/>
      <c r="AC293" s="1291"/>
      <c r="AD293" s="1291"/>
      <c r="AE293" s="1291"/>
      <c r="AF293" s="1291"/>
      <c r="AG293" s="1291"/>
      <c r="AH293" s="1291"/>
      <c r="AI293" s="1291"/>
      <c r="AJ293" s="1291"/>
      <c r="AK293" s="1291"/>
    </row>
    <row r="294" spans="3:37" ht="17.25" customHeight="1" x14ac:dyDescent="0.35">
      <c r="C294" s="1291"/>
      <c r="D294" s="1291"/>
      <c r="E294" s="1291"/>
      <c r="F294" s="1291"/>
      <c r="G294" s="1291"/>
      <c r="H294" s="1291"/>
      <c r="I294" s="1291"/>
      <c r="J294" s="1291"/>
      <c r="K294" s="1291"/>
      <c r="L294" s="1291"/>
      <c r="M294" s="1291"/>
      <c r="N294" s="1291"/>
      <c r="O294" s="1291"/>
      <c r="P294" s="1291"/>
      <c r="Q294" s="1291"/>
      <c r="R294" s="1291"/>
      <c r="S294" s="1291"/>
      <c r="T294" s="1291"/>
      <c r="U294" s="1291"/>
      <c r="V294" s="1291"/>
      <c r="W294" s="1291"/>
      <c r="X294" s="1291"/>
      <c r="Y294" s="1291"/>
      <c r="Z294" s="1291"/>
      <c r="AA294" s="1291"/>
      <c r="AB294" s="1291"/>
      <c r="AC294" s="1291"/>
      <c r="AD294" s="1291"/>
      <c r="AE294" s="1291"/>
      <c r="AF294" s="1291"/>
      <c r="AG294" s="1291"/>
      <c r="AH294" s="1291"/>
      <c r="AI294" s="1291"/>
      <c r="AJ294" s="1291"/>
      <c r="AK294" s="1291"/>
    </row>
    <row r="295" spans="3:37" ht="17.25" customHeight="1" x14ac:dyDescent="0.35">
      <c r="C295" s="1291"/>
      <c r="D295" s="1291"/>
      <c r="E295" s="1291"/>
      <c r="F295" s="1291"/>
      <c r="G295" s="1291"/>
      <c r="H295" s="1291"/>
      <c r="I295" s="1291"/>
      <c r="J295" s="1291"/>
      <c r="K295" s="1291"/>
      <c r="L295" s="1291"/>
      <c r="M295" s="1291"/>
      <c r="N295" s="1291"/>
      <c r="O295" s="1291"/>
      <c r="P295" s="1291"/>
      <c r="Q295" s="1291"/>
      <c r="R295" s="1291"/>
      <c r="S295" s="1291"/>
      <c r="T295" s="1291"/>
      <c r="U295" s="1291"/>
      <c r="V295" s="1291"/>
      <c r="W295" s="1291"/>
      <c r="X295" s="1291"/>
      <c r="Y295" s="1291"/>
      <c r="Z295" s="1291"/>
      <c r="AA295" s="1291"/>
      <c r="AB295" s="1291"/>
      <c r="AC295" s="1291"/>
      <c r="AD295" s="1291"/>
      <c r="AE295" s="1291"/>
      <c r="AF295" s="1291"/>
      <c r="AG295" s="1291"/>
      <c r="AH295" s="1291"/>
      <c r="AI295" s="1291"/>
      <c r="AJ295" s="1291"/>
      <c r="AK295" s="1291"/>
    </row>
    <row r="296" spans="3:37" ht="17.25" customHeight="1" x14ac:dyDescent="0.35">
      <c r="C296" s="1291"/>
      <c r="D296" s="1291"/>
      <c r="E296" s="1291"/>
      <c r="F296" s="1291"/>
      <c r="G296" s="1291"/>
      <c r="H296" s="1291"/>
      <c r="I296" s="1291"/>
      <c r="J296" s="1291"/>
      <c r="K296" s="1291"/>
      <c r="L296" s="1291"/>
      <c r="M296" s="1291"/>
      <c r="N296" s="1291"/>
      <c r="O296" s="1291"/>
      <c r="P296" s="1291"/>
      <c r="Q296" s="1291"/>
      <c r="R296" s="1291"/>
      <c r="S296" s="1291"/>
      <c r="T296" s="1291"/>
      <c r="U296" s="1291"/>
      <c r="V296" s="1291"/>
      <c r="W296" s="1291"/>
      <c r="X296" s="1291"/>
      <c r="Y296" s="1291"/>
      <c r="Z296" s="1291"/>
      <c r="AA296" s="1291"/>
      <c r="AB296" s="1291"/>
      <c r="AC296" s="1291"/>
      <c r="AD296" s="1291"/>
      <c r="AE296" s="1291"/>
      <c r="AF296" s="1291"/>
      <c r="AG296" s="1291"/>
      <c r="AH296" s="1291"/>
      <c r="AI296" s="1291"/>
      <c r="AJ296" s="1291"/>
      <c r="AK296" s="1291"/>
    </row>
    <row r="297" spans="3:37" ht="17.25" customHeight="1" x14ac:dyDescent="0.35">
      <c r="C297" s="1291"/>
      <c r="D297" s="1291"/>
      <c r="E297" s="1291"/>
      <c r="F297" s="1291"/>
      <c r="G297" s="1291"/>
      <c r="H297" s="1291"/>
      <c r="I297" s="1291"/>
      <c r="J297" s="1291"/>
      <c r="K297" s="1291"/>
      <c r="L297" s="1291"/>
      <c r="M297" s="1291"/>
      <c r="N297" s="1291"/>
      <c r="O297" s="1291"/>
      <c r="P297" s="1291"/>
      <c r="Q297" s="1291"/>
      <c r="R297" s="1291"/>
      <c r="S297" s="1291"/>
      <c r="T297" s="1291"/>
      <c r="U297" s="1291"/>
      <c r="V297" s="1291"/>
      <c r="W297" s="1291"/>
      <c r="X297" s="1291"/>
      <c r="Y297" s="1291"/>
      <c r="Z297" s="1291"/>
      <c r="AA297" s="1291"/>
      <c r="AB297" s="1291"/>
      <c r="AC297" s="1291"/>
      <c r="AD297" s="1291"/>
      <c r="AE297" s="1291"/>
      <c r="AF297" s="1291"/>
      <c r="AG297" s="1291"/>
      <c r="AH297" s="1291"/>
      <c r="AI297" s="1291"/>
      <c r="AJ297" s="1291"/>
      <c r="AK297" s="1291"/>
    </row>
    <row r="298" spans="3:37" ht="17.25" customHeight="1" x14ac:dyDescent="0.35">
      <c r="C298" s="1291"/>
      <c r="D298" s="1291"/>
      <c r="E298" s="1291"/>
      <c r="F298" s="1291"/>
      <c r="G298" s="1291"/>
      <c r="H298" s="1291"/>
      <c r="I298" s="1291"/>
      <c r="J298" s="1291"/>
      <c r="K298" s="1291"/>
      <c r="L298" s="1291"/>
      <c r="M298" s="1291"/>
      <c r="N298" s="1291"/>
      <c r="O298" s="1291"/>
      <c r="P298" s="1291"/>
      <c r="Q298" s="1291"/>
      <c r="R298" s="1291"/>
      <c r="S298" s="1291"/>
      <c r="T298" s="1291"/>
      <c r="U298" s="1291"/>
      <c r="V298" s="1291"/>
      <c r="W298" s="1291"/>
      <c r="X298" s="1291"/>
      <c r="Y298" s="1291"/>
      <c r="Z298" s="1291"/>
      <c r="AA298" s="1291"/>
      <c r="AB298" s="1291"/>
      <c r="AC298" s="1291"/>
      <c r="AD298" s="1291"/>
      <c r="AE298" s="1291"/>
      <c r="AF298" s="1291"/>
      <c r="AG298" s="1291"/>
      <c r="AH298" s="1291"/>
      <c r="AI298" s="1291"/>
      <c r="AJ298" s="1291"/>
      <c r="AK298" s="1291"/>
    </row>
    <row r="299" spans="3:37" ht="17.25" customHeight="1" x14ac:dyDescent="0.35">
      <c r="C299" s="1291"/>
      <c r="D299" s="1291"/>
      <c r="E299" s="1291"/>
      <c r="F299" s="1291"/>
      <c r="G299" s="1291"/>
      <c r="H299" s="1291"/>
      <c r="I299" s="1291"/>
      <c r="J299" s="1291"/>
      <c r="K299" s="1291"/>
      <c r="L299" s="1291"/>
      <c r="M299" s="1291"/>
      <c r="N299" s="1291"/>
      <c r="O299" s="1291"/>
      <c r="P299" s="1291"/>
      <c r="Q299" s="1291"/>
      <c r="R299" s="1291"/>
      <c r="S299" s="1291"/>
      <c r="T299" s="1291"/>
      <c r="U299" s="1291"/>
      <c r="V299" s="1291"/>
      <c r="W299" s="1291"/>
      <c r="X299" s="1291"/>
      <c r="Y299" s="1291"/>
      <c r="Z299" s="1291"/>
      <c r="AA299" s="1291"/>
      <c r="AB299" s="1291"/>
      <c r="AC299" s="1291"/>
      <c r="AD299" s="1291"/>
      <c r="AE299" s="1291"/>
      <c r="AF299" s="1291"/>
      <c r="AG299" s="1291"/>
      <c r="AH299" s="1291"/>
      <c r="AI299" s="1291"/>
      <c r="AJ299" s="1291"/>
      <c r="AK299" s="1291"/>
    </row>
    <row r="300" spans="3:37" ht="17.25" customHeight="1" x14ac:dyDescent="0.35">
      <c r="C300" s="1291"/>
      <c r="D300" s="1291"/>
      <c r="E300" s="1291"/>
      <c r="F300" s="1291"/>
      <c r="G300" s="1291"/>
      <c r="H300" s="1291"/>
      <c r="I300" s="1291"/>
      <c r="J300" s="1291"/>
      <c r="K300" s="1291"/>
      <c r="L300" s="1291"/>
      <c r="M300" s="1291"/>
      <c r="N300" s="1291"/>
      <c r="O300" s="1291"/>
      <c r="P300" s="1291"/>
      <c r="Q300" s="1291"/>
      <c r="R300" s="1291"/>
      <c r="S300" s="1291"/>
      <c r="T300" s="1291"/>
      <c r="U300" s="1291"/>
      <c r="V300" s="1291"/>
      <c r="W300" s="1291"/>
      <c r="X300" s="1291"/>
      <c r="Y300" s="1291"/>
      <c r="Z300" s="1291"/>
      <c r="AA300" s="1291"/>
      <c r="AB300" s="1291"/>
      <c r="AC300" s="1291"/>
      <c r="AD300" s="1291"/>
      <c r="AE300" s="1291"/>
      <c r="AF300" s="1291"/>
      <c r="AG300" s="1291"/>
      <c r="AH300" s="1291"/>
      <c r="AI300" s="1291"/>
      <c r="AJ300" s="1291"/>
      <c r="AK300" s="1291"/>
    </row>
    <row r="301" spans="3:37" ht="17.25" customHeight="1" x14ac:dyDescent="0.35">
      <c r="C301" s="1291"/>
      <c r="D301" s="1291"/>
      <c r="E301" s="1291"/>
      <c r="F301" s="1291"/>
      <c r="G301" s="1291"/>
      <c r="H301" s="1291"/>
      <c r="I301" s="1291"/>
      <c r="J301" s="1291"/>
      <c r="K301" s="1291"/>
      <c r="L301" s="1291"/>
      <c r="M301" s="1291"/>
      <c r="N301" s="1291"/>
      <c r="O301" s="1291"/>
      <c r="P301" s="1291"/>
      <c r="Q301" s="1291"/>
      <c r="R301" s="1291"/>
      <c r="S301" s="1291"/>
      <c r="T301" s="1291"/>
      <c r="U301" s="1291"/>
      <c r="V301" s="1291"/>
      <c r="W301" s="1291"/>
      <c r="X301" s="1291"/>
      <c r="Y301" s="1291"/>
      <c r="Z301" s="1291"/>
      <c r="AA301" s="1291"/>
      <c r="AB301" s="1291"/>
      <c r="AC301" s="1291"/>
      <c r="AD301" s="1291"/>
      <c r="AE301" s="1291"/>
      <c r="AF301" s="1291"/>
      <c r="AG301" s="1291"/>
      <c r="AH301" s="1291"/>
      <c r="AI301" s="1291"/>
      <c r="AJ301" s="1291"/>
      <c r="AK301" s="1291"/>
    </row>
    <row r="302" spans="3:37" ht="17.25" customHeight="1" x14ac:dyDescent="0.35">
      <c r="C302" s="1291"/>
      <c r="D302" s="1291"/>
      <c r="E302" s="1291"/>
      <c r="F302" s="1291"/>
      <c r="G302" s="1291"/>
      <c r="H302" s="1291"/>
      <c r="I302" s="1291"/>
      <c r="J302" s="1291"/>
      <c r="K302" s="1291"/>
      <c r="L302" s="1291"/>
      <c r="M302" s="1291"/>
      <c r="N302" s="1291"/>
      <c r="O302" s="1291"/>
      <c r="P302" s="1291"/>
      <c r="Q302" s="1291"/>
      <c r="R302" s="1291"/>
      <c r="S302" s="1291"/>
      <c r="T302" s="1291"/>
      <c r="U302" s="1291"/>
      <c r="V302" s="1291"/>
      <c r="W302" s="1291"/>
      <c r="X302" s="1291"/>
      <c r="Y302" s="1291"/>
      <c r="Z302" s="1291"/>
      <c r="AA302" s="1291"/>
      <c r="AB302" s="1291"/>
      <c r="AC302" s="1291"/>
      <c r="AD302" s="1291"/>
      <c r="AE302" s="1291"/>
      <c r="AF302" s="1291"/>
      <c r="AG302" s="1291"/>
      <c r="AH302" s="1291"/>
      <c r="AI302" s="1291"/>
      <c r="AJ302" s="1291"/>
      <c r="AK302" s="1291"/>
    </row>
    <row r="303" spans="3:37" ht="17.25" customHeight="1" x14ac:dyDescent="0.35">
      <c r="C303" s="1291"/>
      <c r="D303" s="1291"/>
      <c r="E303" s="1291"/>
      <c r="F303" s="1291"/>
      <c r="G303" s="1291"/>
      <c r="H303" s="1291"/>
      <c r="I303" s="1291"/>
      <c r="J303" s="1291"/>
      <c r="K303" s="1291"/>
      <c r="L303" s="1291"/>
      <c r="M303" s="1291"/>
      <c r="N303" s="1291"/>
      <c r="O303" s="1291"/>
      <c r="P303" s="1291"/>
      <c r="Q303" s="1291"/>
      <c r="R303" s="1291"/>
      <c r="S303" s="1291"/>
      <c r="T303" s="1291"/>
      <c r="U303" s="1291"/>
      <c r="V303" s="1291"/>
      <c r="W303" s="1291"/>
      <c r="X303" s="1291"/>
      <c r="Y303" s="1291"/>
      <c r="Z303" s="1291"/>
      <c r="AA303" s="1291"/>
      <c r="AB303" s="1291"/>
      <c r="AC303" s="1291"/>
      <c r="AD303" s="1291"/>
      <c r="AE303" s="1291"/>
      <c r="AF303" s="1291"/>
      <c r="AG303" s="1291"/>
      <c r="AH303" s="1291"/>
      <c r="AI303" s="1291"/>
      <c r="AJ303" s="1291"/>
      <c r="AK303" s="1291"/>
    </row>
    <row r="304" spans="3:37" ht="17.25" customHeight="1" x14ac:dyDescent="0.35">
      <c r="C304" s="1291"/>
      <c r="D304" s="1291"/>
      <c r="E304" s="1291"/>
      <c r="F304" s="1291"/>
      <c r="G304" s="1291"/>
      <c r="H304" s="1291"/>
      <c r="I304" s="1291"/>
      <c r="J304" s="1291"/>
      <c r="K304" s="1291"/>
      <c r="L304" s="1291"/>
      <c r="M304" s="1291"/>
      <c r="N304" s="1291"/>
      <c r="O304" s="1291"/>
      <c r="P304" s="1291"/>
      <c r="Q304" s="1291"/>
      <c r="R304" s="1291"/>
      <c r="S304" s="1291"/>
      <c r="T304" s="1291"/>
      <c r="U304" s="1291"/>
      <c r="V304" s="1291"/>
      <c r="W304" s="1291"/>
      <c r="X304" s="1291"/>
      <c r="Y304" s="1291"/>
      <c r="Z304" s="1291"/>
      <c r="AA304" s="1291"/>
      <c r="AB304" s="1291"/>
      <c r="AC304" s="1291"/>
      <c r="AD304" s="1291"/>
      <c r="AE304" s="1291"/>
      <c r="AF304" s="1291"/>
      <c r="AG304" s="1291"/>
      <c r="AH304" s="1291"/>
      <c r="AI304" s="1291"/>
      <c r="AJ304" s="1291"/>
      <c r="AK304" s="1291"/>
    </row>
    <row r="305" spans="3:37" ht="17.25" customHeight="1" x14ac:dyDescent="0.35">
      <c r="C305" s="1291"/>
      <c r="D305" s="1291"/>
      <c r="E305" s="1291"/>
      <c r="F305" s="1291"/>
      <c r="G305" s="1291"/>
      <c r="H305" s="1291"/>
      <c r="I305" s="1291"/>
      <c r="J305" s="1291"/>
      <c r="K305" s="1291"/>
      <c r="L305" s="1291"/>
      <c r="M305" s="1291"/>
      <c r="N305" s="1291"/>
      <c r="O305" s="1291"/>
      <c r="P305" s="1291"/>
      <c r="Q305" s="1291"/>
      <c r="R305" s="1291"/>
      <c r="S305" s="1291"/>
      <c r="T305" s="1291"/>
      <c r="U305" s="1291"/>
      <c r="V305" s="1291"/>
      <c r="W305" s="1291"/>
      <c r="X305" s="1291"/>
      <c r="Y305" s="1291"/>
      <c r="Z305" s="1291"/>
      <c r="AA305" s="1291"/>
      <c r="AB305" s="1291"/>
      <c r="AC305" s="1291"/>
      <c r="AD305" s="1291"/>
      <c r="AE305" s="1291"/>
      <c r="AF305" s="1291"/>
      <c r="AG305" s="1291"/>
      <c r="AH305" s="1291"/>
      <c r="AI305" s="1291"/>
      <c r="AJ305" s="1291"/>
      <c r="AK305" s="1291"/>
    </row>
    <row r="306" spans="3:37" ht="17.25" customHeight="1" x14ac:dyDescent="0.35">
      <c r="C306" s="1291"/>
      <c r="D306" s="1291"/>
      <c r="E306" s="1291"/>
      <c r="F306" s="1291"/>
      <c r="G306" s="1291"/>
      <c r="H306" s="1291"/>
      <c r="I306" s="1291"/>
      <c r="J306" s="1291"/>
      <c r="K306" s="1291"/>
      <c r="L306" s="1291"/>
      <c r="M306" s="1291"/>
      <c r="N306" s="1291"/>
      <c r="O306" s="1291"/>
      <c r="P306" s="1291"/>
      <c r="Q306" s="1291"/>
      <c r="R306" s="1291"/>
      <c r="S306" s="1291"/>
      <c r="T306" s="1291"/>
      <c r="U306" s="1291"/>
      <c r="V306" s="1291"/>
      <c r="W306" s="1291"/>
      <c r="X306" s="1291"/>
      <c r="Y306" s="1291"/>
      <c r="Z306" s="1291"/>
      <c r="AA306" s="1291"/>
      <c r="AB306" s="1291"/>
      <c r="AC306" s="1291"/>
      <c r="AD306" s="1291"/>
      <c r="AE306" s="1291"/>
      <c r="AF306" s="1291"/>
      <c r="AG306" s="1291"/>
      <c r="AH306" s="1291"/>
      <c r="AI306" s="1291"/>
      <c r="AJ306" s="1291"/>
      <c r="AK306" s="1291"/>
    </row>
    <row r="307" spans="3:37" ht="17.25" customHeight="1" x14ac:dyDescent="0.35">
      <c r="C307" s="1291"/>
      <c r="D307" s="1291"/>
      <c r="E307" s="1291"/>
      <c r="F307" s="1291"/>
      <c r="G307" s="1291"/>
      <c r="H307" s="1291"/>
      <c r="I307" s="1291"/>
      <c r="J307" s="1291"/>
      <c r="K307" s="1291"/>
      <c r="L307" s="1291"/>
      <c r="M307" s="1291"/>
      <c r="N307" s="1291"/>
      <c r="O307" s="1291"/>
      <c r="P307" s="1291"/>
      <c r="Q307" s="1291"/>
      <c r="R307" s="1291"/>
      <c r="S307" s="1291"/>
      <c r="T307" s="1291"/>
      <c r="U307" s="1291"/>
      <c r="V307" s="1291"/>
      <c r="W307" s="1291"/>
      <c r="X307" s="1291"/>
      <c r="Y307" s="1291"/>
      <c r="Z307" s="1291"/>
      <c r="AA307" s="1291"/>
      <c r="AB307" s="1291"/>
      <c r="AC307" s="1291"/>
      <c r="AD307" s="1291"/>
      <c r="AE307" s="1291"/>
      <c r="AF307" s="1291"/>
      <c r="AG307" s="1291"/>
      <c r="AH307" s="1291"/>
      <c r="AI307" s="1291"/>
      <c r="AJ307" s="1291"/>
      <c r="AK307" s="1291"/>
    </row>
    <row r="308" spans="3:37" ht="17.25" customHeight="1" x14ac:dyDescent="0.35">
      <c r="C308" s="1291"/>
      <c r="D308" s="1291"/>
      <c r="E308" s="1291"/>
      <c r="F308" s="1291"/>
      <c r="G308" s="1291"/>
      <c r="H308" s="1291"/>
      <c r="I308" s="1291"/>
      <c r="J308" s="1291"/>
      <c r="K308" s="1291"/>
      <c r="L308" s="1291"/>
      <c r="M308" s="1291"/>
      <c r="N308" s="1291"/>
      <c r="O308" s="1291"/>
      <c r="P308" s="1291"/>
      <c r="Q308" s="1291"/>
      <c r="R308" s="1291"/>
      <c r="S308" s="1291"/>
      <c r="T308" s="1291"/>
      <c r="U308" s="1291"/>
      <c r="V308" s="1291"/>
      <c r="W308" s="1291"/>
      <c r="X308" s="1291"/>
      <c r="Y308" s="1291"/>
      <c r="Z308" s="1291"/>
      <c r="AA308" s="1291"/>
      <c r="AB308" s="1291"/>
      <c r="AC308" s="1291"/>
      <c r="AD308" s="1291"/>
      <c r="AE308" s="1291"/>
      <c r="AF308" s="1291"/>
      <c r="AG308" s="1291"/>
      <c r="AH308" s="1291"/>
      <c r="AI308" s="1291"/>
      <c r="AJ308" s="1291"/>
      <c r="AK308" s="1291"/>
    </row>
    <row r="309" spans="3:37" ht="17.25" customHeight="1" x14ac:dyDescent="0.35">
      <c r="C309" s="1291"/>
      <c r="D309" s="1291"/>
      <c r="E309" s="1291"/>
      <c r="F309" s="1291"/>
      <c r="G309" s="1291"/>
      <c r="H309" s="1291"/>
      <c r="I309" s="1291"/>
      <c r="J309" s="1291"/>
      <c r="K309" s="1291"/>
      <c r="L309" s="1291"/>
      <c r="M309" s="1291"/>
      <c r="N309" s="1291"/>
      <c r="O309" s="1291"/>
      <c r="P309" s="1291"/>
      <c r="Q309" s="1291"/>
      <c r="R309" s="1291"/>
      <c r="S309" s="1291"/>
      <c r="T309" s="1291"/>
      <c r="U309" s="1291"/>
      <c r="V309" s="1291"/>
      <c r="W309" s="1291"/>
      <c r="X309" s="1291"/>
      <c r="Y309" s="1291"/>
      <c r="Z309" s="1291"/>
      <c r="AA309" s="1291"/>
      <c r="AB309" s="1291"/>
      <c r="AC309" s="1291"/>
      <c r="AD309" s="1291"/>
      <c r="AE309" s="1291"/>
      <c r="AF309" s="1291"/>
      <c r="AG309" s="1291"/>
      <c r="AH309" s="1291"/>
      <c r="AI309" s="1291"/>
      <c r="AJ309" s="1291"/>
      <c r="AK309" s="1291"/>
    </row>
    <row r="310" spans="3:37" ht="17.25" customHeight="1" x14ac:dyDescent="0.35">
      <c r="C310" s="1291"/>
      <c r="D310" s="1291"/>
      <c r="E310" s="1291"/>
      <c r="F310" s="1291"/>
      <c r="G310" s="1291"/>
      <c r="H310" s="1291"/>
      <c r="I310" s="1291"/>
      <c r="J310" s="1291"/>
      <c r="K310" s="1291"/>
      <c r="L310" s="1291"/>
      <c r="M310" s="1291"/>
      <c r="N310" s="1291"/>
      <c r="O310" s="1291"/>
      <c r="P310" s="1291"/>
      <c r="Q310" s="1291"/>
      <c r="R310" s="1291"/>
      <c r="S310" s="1291"/>
      <c r="T310" s="1291"/>
      <c r="U310" s="1291"/>
      <c r="V310" s="1291"/>
      <c r="W310" s="1291"/>
      <c r="X310" s="1291"/>
      <c r="Y310" s="1291"/>
      <c r="Z310" s="1291"/>
      <c r="AA310" s="1291"/>
      <c r="AB310" s="1291"/>
      <c r="AC310" s="1291"/>
      <c r="AD310" s="1291"/>
      <c r="AE310" s="1291"/>
      <c r="AF310" s="1291"/>
      <c r="AG310" s="1291"/>
      <c r="AH310" s="1291"/>
      <c r="AI310" s="1291"/>
      <c r="AJ310" s="1291"/>
      <c r="AK310" s="1291"/>
    </row>
    <row r="311" spans="3:37" ht="17.25" customHeight="1" x14ac:dyDescent="0.35">
      <c r="C311" s="1291"/>
      <c r="D311" s="1291"/>
      <c r="E311" s="1291"/>
      <c r="F311" s="1291"/>
      <c r="G311" s="1291"/>
      <c r="H311" s="1291"/>
      <c r="I311" s="1291"/>
      <c r="J311" s="1291"/>
      <c r="K311" s="1291"/>
      <c r="L311" s="1291"/>
      <c r="M311" s="1291"/>
      <c r="N311" s="1291"/>
      <c r="O311" s="1291"/>
      <c r="P311" s="1291"/>
      <c r="Q311" s="1291"/>
      <c r="R311" s="1291"/>
      <c r="S311" s="1291"/>
      <c r="T311" s="1291"/>
      <c r="U311" s="1291"/>
      <c r="V311" s="1291"/>
      <c r="W311" s="1291"/>
      <c r="X311" s="1291"/>
      <c r="Y311" s="1291"/>
      <c r="Z311" s="1291"/>
      <c r="AA311" s="1291"/>
      <c r="AB311" s="1291"/>
      <c r="AC311" s="1291"/>
      <c r="AD311" s="1291"/>
      <c r="AE311" s="1291"/>
      <c r="AF311" s="1291"/>
      <c r="AG311" s="1291"/>
      <c r="AH311" s="1291"/>
      <c r="AI311" s="1291"/>
      <c r="AJ311" s="1291"/>
      <c r="AK311" s="1291"/>
    </row>
    <row r="312" spans="3:37" ht="17.25" customHeight="1" x14ac:dyDescent="0.35">
      <c r="C312" s="1291"/>
      <c r="D312" s="1291"/>
      <c r="E312" s="1291"/>
      <c r="F312" s="1291"/>
      <c r="G312" s="1291"/>
      <c r="H312" s="1291"/>
      <c r="I312" s="1291"/>
      <c r="J312" s="1291"/>
      <c r="K312" s="1291"/>
      <c r="L312" s="1291"/>
      <c r="M312" s="1291"/>
      <c r="N312" s="1291"/>
      <c r="O312" s="1291"/>
      <c r="P312" s="1291"/>
      <c r="Q312" s="1291"/>
      <c r="R312" s="1291"/>
      <c r="S312" s="1291"/>
      <c r="T312" s="1291"/>
      <c r="U312" s="1291"/>
      <c r="V312" s="1291"/>
      <c r="W312" s="1291"/>
      <c r="X312" s="1291"/>
      <c r="Y312" s="1291"/>
      <c r="Z312" s="1291"/>
      <c r="AA312" s="1291"/>
      <c r="AB312" s="1291"/>
      <c r="AC312" s="1291"/>
      <c r="AD312" s="1291"/>
      <c r="AE312" s="1291"/>
      <c r="AF312" s="1291"/>
      <c r="AG312" s="1291"/>
      <c r="AH312" s="1291"/>
      <c r="AI312" s="1291"/>
      <c r="AJ312" s="1291"/>
      <c r="AK312" s="1291"/>
    </row>
    <row r="313" spans="3:37" ht="17.25" customHeight="1" x14ac:dyDescent="0.35">
      <c r="C313" s="1291"/>
      <c r="D313" s="1291"/>
      <c r="E313" s="1291"/>
      <c r="F313" s="1291"/>
      <c r="G313" s="1291"/>
      <c r="H313" s="1291"/>
      <c r="I313" s="1291"/>
      <c r="J313" s="1291"/>
      <c r="K313" s="1291"/>
      <c r="L313" s="1291"/>
      <c r="M313" s="1291"/>
      <c r="N313" s="1291"/>
      <c r="O313" s="1291"/>
      <c r="P313" s="1291"/>
      <c r="Q313" s="1291"/>
      <c r="R313" s="1291"/>
      <c r="S313" s="1291"/>
      <c r="T313" s="1291"/>
      <c r="U313" s="1291"/>
      <c r="V313" s="1291"/>
      <c r="W313" s="1291"/>
      <c r="X313" s="1291"/>
      <c r="Y313" s="1291"/>
      <c r="Z313" s="1291"/>
      <c r="AA313" s="1291"/>
      <c r="AB313" s="1291"/>
      <c r="AC313" s="1291"/>
      <c r="AD313" s="1291"/>
      <c r="AE313" s="1291"/>
      <c r="AF313" s="1291"/>
      <c r="AG313" s="1291"/>
      <c r="AH313" s="1291"/>
      <c r="AI313" s="1291"/>
      <c r="AJ313" s="1291"/>
      <c r="AK313" s="1291"/>
    </row>
    <row r="314" spans="3:37" ht="17.25" customHeight="1" x14ac:dyDescent="0.35">
      <c r="C314" s="1291"/>
      <c r="D314" s="1291"/>
      <c r="E314" s="1291"/>
      <c r="F314" s="1291"/>
      <c r="G314" s="1291"/>
      <c r="H314" s="1291"/>
      <c r="I314" s="1291"/>
      <c r="J314" s="1291"/>
      <c r="K314" s="1291"/>
      <c r="L314" s="1291"/>
      <c r="M314" s="1291"/>
      <c r="N314" s="1291"/>
      <c r="O314" s="1291"/>
      <c r="P314" s="1291"/>
      <c r="Q314" s="1291"/>
      <c r="R314" s="1291"/>
      <c r="S314" s="1291"/>
      <c r="T314" s="1291"/>
      <c r="U314" s="1291"/>
      <c r="V314" s="1291"/>
      <c r="W314" s="1291"/>
      <c r="X314" s="1291"/>
      <c r="Y314" s="1291"/>
      <c r="Z314" s="1291"/>
      <c r="AA314" s="1291"/>
      <c r="AB314" s="1291"/>
      <c r="AC314" s="1291"/>
      <c r="AD314" s="1291"/>
      <c r="AE314" s="1291"/>
      <c r="AF314" s="1291"/>
      <c r="AG314" s="1291"/>
      <c r="AH314" s="1291"/>
      <c r="AI314" s="1291"/>
      <c r="AJ314" s="1291"/>
      <c r="AK314" s="1291"/>
    </row>
    <row r="315" spans="3:37" ht="17.25" customHeight="1" x14ac:dyDescent="0.35">
      <c r="C315" s="1291"/>
      <c r="D315" s="1291"/>
      <c r="E315" s="1291"/>
      <c r="F315" s="1291"/>
      <c r="G315" s="1291"/>
      <c r="H315" s="1291"/>
      <c r="I315" s="1291"/>
      <c r="J315" s="1291"/>
      <c r="K315" s="1291"/>
      <c r="L315" s="1291"/>
      <c r="M315" s="1291"/>
      <c r="N315" s="1291"/>
      <c r="O315" s="1291"/>
      <c r="P315" s="1291"/>
      <c r="Q315" s="1291"/>
      <c r="R315" s="1291"/>
      <c r="S315" s="1291"/>
      <c r="T315" s="1291"/>
      <c r="U315" s="1291"/>
      <c r="V315" s="1291"/>
      <c r="W315" s="1291"/>
      <c r="X315" s="1291"/>
      <c r="Y315" s="1291"/>
      <c r="Z315" s="1291"/>
      <c r="AA315" s="1291"/>
      <c r="AB315" s="1291"/>
      <c r="AC315" s="1291"/>
      <c r="AD315" s="1291"/>
      <c r="AE315" s="1291"/>
      <c r="AF315" s="1291"/>
      <c r="AG315" s="1291"/>
      <c r="AH315" s="1291"/>
      <c r="AI315" s="1291"/>
      <c r="AJ315" s="1291"/>
      <c r="AK315" s="1291"/>
    </row>
    <row r="316" spans="3:37" ht="17.25" customHeight="1" x14ac:dyDescent="0.35">
      <c r="C316" s="1291"/>
      <c r="D316" s="1291"/>
      <c r="E316" s="1291"/>
      <c r="F316" s="1291"/>
      <c r="G316" s="1291"/>
      <c r="H316" s="1291"/>
      <c r="I316" s="1291"/>
      <c r="J316" s="1291"/>
      <c r="K316" s="1291"/>
      <c r="L316" s="1291"/>
      <c r="M316" s="1291"/>
      <c r="N316" s="1291"/>
      <c r="O316" s="1291"/>
      <c r="P316" s="1291"/>
      <c r="Q316" s="1291"/>
      <c r="R316" s="1291"/>
      <c r="S316" s="1291"/>
      <c r="T316" s="1291"/>
      <c r="U316" s="1291"/>
      <c r="V316" s="1291"/>
      <c r="W316" s="1291"/>
      <c r="X316" s="1291"/>
      <c r="Y316" s="1291"/>
      <c r="Z316" s="1291"/>
      <c r="AA316" s="1291"/>
      <c r="AB316" s="1291"/>
      <c r="AC316" s="1291"/>
      <c r="AD316" s="1291"/>
      <c r="AE316" s="1291"/>
      <c r="AF316" s="1291"/>
      <c r="AG316" s="1291"/>
      <c r="AH316" s="1291"/>
      <c r="AI316" s="1291"/>
      <c r="AJ316" s="1291"/>
      <c r="AK316" s="1291"/>
    </row>
    <row r="317" spans="3:37" ht="17.25" customHeight="1" x14ac:dyDescent="0.35">
      <c r="C317" s="1291"/>
      <c r="D317" s="1291"/>
      <c r="E317" s="1291"/>
      <c r="F317" s="1291"/>
      <c r="G317" s="1291"/>
      <c r="H317" s="1291"/>
      <c r="I317" s="1291"/>
      <c r="J317" s="1291"/>
      <c r="K317" s="1291"/>
      <c r="L317" s="1291"/>
      <c r="M317" s="1291"/>
      <c r="N317" s="1291"/>
      <c r="O317" s="1291"/>
      <c r="P317" s="1291"/>
      <c r="Q317" s="1291"/>
      <c r="R317" s="1291"/>
      <c r="S317" s="1291"/>
      <c r="T317" s="1291"/>
      <c r="U317" s="1291"/>
      <c r="V317" s="1291"/>
      <c r="W317" s="1291"/>
      <c r="X317" s="1291"/>
      <c r="Y317" s="1291"/>
      <c r="Z317" s="1291"/>
      <c r="AA317" s="1291"/>
      <c r="AB317" s="1291"/>
      <c r="AC317" s="1291"/>
      <c r="AD317" s="1291"/>
      <c r="AE317" s="1291"/>
      <c r="AF317" s="1291"/>
      <c r="AG317" s="1291"/>
      <c r="AH317" s="1291"/>
      <c r="AI317" s="1291"/>
      <c r="AJ317" s="1291"/>
      <c r="AK317" s="1291"/>
    </row>
    <row r="318" spans="3:37" ht="17.25" customHeight="1" x14ac:dyDescent="0.35">
      <c r="C318" s="1291"/>
      <c r="D318" s="1291"/>
      <c r="E318" s="1291"/>
      <c r="F318" s="1291"/>
      <c r="G318" s="1291"/>
      <c r="H318" s="1291"/>
      <c r="I318" s="1291"/>
      <c r="J318" s="1291"/>
      <c r="K318" s="1291"/>
      <c r="L318" s="1291"/>
      <c r="M318" s="1291"/>
      <c r="N318" s="1291"/>
      <c r="O318" s="1291"/>
      <c r="P318" s="1291"/>
      <c r="Q318" s="1291"/>
      <c r="R318" s="1291"/>
      <c r="S318" s="1291"/>
      <c r="T318" s="1291"/>
      <c r="U318" s="1291"/>
      <c r="V318" s="1291"/>
      <c r="W318" s="1291"/>
      <c r="X318" s="1291"/>
      <c r="Y318" s="1291"/>
      <c r="Z318" s="1291"/>
      <c r="AA318" s="1291"/>
      <c r="AB318" s="1291"/>
      <c r="AC318" s="1291"/>
      <c r="AD318" s="1291"/>
      <c r="AE318" s="1291"/>
      <c r="AF318" s="1291"/>
      <c r="AG318" s="1291"/>
      <c r="AH318" s="1291"/>
      <c r="AI318" s="1291"/>
      <c r="AJ318" s="1291"/>
      <c r="AK318" s="1291"/>
    </row>
    <row r="319" spans="3:37" ht="17.25" customHeight="1" x14ac:dyDescent="0.35">
      <c r="C319" s="1291"/>
      <c r="D319" s="1291"/>
      <c r="E319" s="1291"/>
      <c r="F319" s="1291"/>
      <c r="G319" s="1291"/>
      <c r="H319" s="1291"/>
      <c r="I319" s="1291"/>
      <c r="J319" s="1291"/>
      <c r="K319" s="1291"/>
      <c r="L319" s="1291"/>
      <c r="M319" s="1291"/>
      <c r="N319" s="1291"/>
      <c r="O319" s="1291"/>
      <c r="P319" s="1291"/>
      <c r="Q319" s="1291"/>
      <c r="R319" s="1291"/>
      <c r="S319" s="1291"/>
      <c r="T319" s="1291"/>
      <c r="U319" s="1291"/>
      <c r="V319" s="1291"/>
      <c r="W319" s="1291"/>
      <c r="X319" s="1291"/>
      <c r="Y319" s="1291"/>
      <c r="Z319" s="1291"/>
      <c r="AA319" s="1291"/>
      <c r="AB319" s="1291"/>
      <c r="AC319" s="1291"/>
      <c r="AD319" s="1291"/>
      <c r="AE319" s="1291"/>
      <c r="AF319" s="1291"/>
      <c r="AG319" s="1291"/>
      <c r="AH319" s="1291"/>
      <c r="AI319" s="1291"/>
      <c r="AJ319" s="1291"/>
      <c r="AK319" s="1291"/>
    </row>
    <row r="320" spans="3:37" ht="17.25" customHeight="1" x14ac:dyDescent="0.35">
      <c r="C320" s="1291"/>
      <c r="D320" s="1291"/>
      <c r="E320" s="1291"/>
      <c r="F320" s="1291"/>
      <c r="G320" s="1291"/>
      <c r="H320" s="1291"/>
      <c r="I320" s="1291"/>
      <c r="J320" s="1291"/>
      <c r="K320" s="1291"/>
      <c r="L320" s="1291"/>
      <c r="M320" s="1291"/>
      <c r="N320" s="1291"/>
      <c r="O320" s="1291"/>
      <c r="P320" s="1291"/>
      <c r="Q320" s="1291"/>
      <c r="R320" s="1291"/>
      <c r="S320" s="1291"/>
      <c r="T320" s="1291"/>
      <c r="U320" s="1291"/>
      <c r="V320" s="1291"/>
      <c r="W320" s="1291"/>
      <c r="X320" s="1291"/>
      <c r="Y320" s="1291"/>
      <c r="Z320" s="1291"/>
      <c r="AA320" s="1291"/>
      <c r="AB320" s="1291"/>
      <c r="AC320" s="1291"/>
      <c r="AD320" s="1291"/>
      <c r="AE320" s="1291"/>
      <c r="AF320" s="1291"/>
      <c r="AG320" s="1291"/>
      <c r="AH320" s="1291"/>
      <c r="AI320" s="1291"/>
      <c r="AJ320" s="1291"/>
      <c r="AK320" s="1291"/>
    </row>
    <row r="321" spans="3:37" ht="17.25" customHeight="1" x14ac:dyDescent="0.35">
      <c r="C321" s="1291"/>
      <c r="D321" s="1291"/>
      <c r="E321" s="1291"/>
      <c r="F321" s="1291"/>
      <c r="G321" s="1291"/>
      <c r="H321" s="1291"/>
      <c r="I321" s="1291"/>
      <c r="J321" s="1291"/>
      <c r="K321" s="1291"/>
      <c r="L321" s="1291"/>
      <c r="M321" s="1291"/>
      <c r="N321" s="1291"/>
      <c r="O321" s="1291"/>
      <c r="P321" s="1291"/>
      <c r="Q321" s="1291"/>
      <c r="R321" s="1291"/>
      <c r="S321" s="1291"/>
      <c r="T321" s="1291"/>
      <c r="U321" s="1291"/>
      <c r="V321" s="1291"/>
      <c r="W321" s="1291"/>
      <c r="X321" s="1291"/>
      <c r="Y321" s="1291"/>
      <c r="Z321" s="1291"/>
      <c r="AA321" s="1291"/>
      <c r="AB321" s="1291"/>
      <c r="AC321" s="1291"/>
      <c r="AD321" s="1291"/>
      <c r="AE321" s="1291"/>
      <c r="AF321" s="1291"/>
      <c r="AG321" s="1291"/>
      <c r="AH321" s="1291"/>
      <c r="AI321" s="1291"/>
      <c r="AJ321" s="1291"/>
      <c r="AK321" s="1291"/>
    </row>
    <row r="322" spans="3:37" ht="17.25" customHeight="1" x14ac:dyDescent="0.35">
      <c r="C322" s="1291"/>
      <c r="D322" s="1291"/>
      <c r="E322" s="1291"/>
      <c r="F322" s="1291"/>
      <c r="G322" s="1291"/>
      <c r="H322" s="1291"/>
      <c r="I322" s="1291"/>
      <c r="J322" s="1291"/>
      <c r="K322" s="1291"/>
      <c r="L322" s="1291"/>
      <c r="M322" s="1291"/>
      <c r="N322" s="1291"/>
      <c r="O322" s="1291"/>
      <c r="P322" s="1291"/>
      <c r="Q322" s="1291"/>
      <c r="R322" s="1291"/>
      <c r="S322" s="1291"/>
      <c r="T322" s="1291"/>
      <c r="U322" s="1291"/>
      <c r="V322" s="1291"/>
      <c r="W322" s="1291"/>
      <c r="X322" s="1291"/>
      <c r="Y322" s="1291"/>
      <c r="Z322" s="1291"/>
      <c r="AA322" s="1291"/>
      <c r="AB322" s="1291"/>
      <c r="AC322" s="1291"/>
      <c r="AD322" s="1291"/>
      <c r="AE322" s="1291"/>
      <c r="AF322" s="1291"/>
      <c r="AG322" s="1291"/>
      <c r="AH322" s="1291"/>
      <c r="AI322" s="1291"/>
      <c r="AJ322" s="1291"/>
      <c r="AK322" s="1291"/>
    </row>
    <row r="323" spans="3:37" ht="17.25" customHeight="1" x14ac:dyDescent="0.35">
      <c r="C323" s="1291"/>
      <c r="D323" s="1291"/>
      <c r="E323" s="1291"/>
      <c r="F323" s="1291"/>
      <c r="G323" s="1291"/>
      <c r="H323" s="1291"/>
      <c r="I323" s="1291"/>
      <c r="J323" s="1291"/>
      <c r="K323" s="1291"/>
      <c r="L323" s="1291"/>
      <c r="M323" s="1291"/>
      <c r="N323" s="1291"/>
      <c r="O323" s="1291"/>
      <c r="P323" s="1291"/>
      <c r="Q323" s="1291"/>
      <c r="R323" s="1291"/>
      <c r="S323" s="1291"/>
      <c r="T323" s="1291"/>
      <c r="U323" s="1291"/>
      <c r="V323" s="1291"/>
      <c r="W323" s="1291"/>
      <c r="X323" s="1291"/>
      <c r="Y323" s="1291"/>
      <c r="Z323" s="1291"/>
      <c r="AA323" s="1291"/>
      <c r="AB323" s="1291"/>
      <c r="AC323" s="1291"/>
      <c r="AD323" s="1291"/>
      <c r="AE323" s="1291"/>
      <c r="AF323" s="1291"/>
      <c r="AG323" s="1291"/>
      <c r="AH323" s="1291"/>
      <c r="AI323" s="1291"/>
      <c r="AJ323" s="1291"/>
      <c r="AK323" s="1291"/>
    </row>
    <row r="324" spans="3:37" ht="17.25" customHeight="1" x14ac:dyDescent="0.35">
      <c r="C324" s="1291"/>
      <c r="D324" s="1291"/>
      <c r="E324" s="1291"/>
      <c r="F324" s="1291"/>
      <c r="G324" s="1291"/>
      <c r="H324" s="1291"/>
      <c r="I324" s="1291"/>
      <c r="J324" s="1291"/>
      <c r="K324" s="1291"/>
      <c r="L324" s="1291"/>
      <c r="M324" s="1291"/>
      <c r="N324" s="1291"/>
      <c r="O324" s="1291"/>
      <c r="P324" s="1291"/>
      <c r="Q324" s="1291"/>
      <c r="R324" s="1291"/>
      <c r="S324" s="1291"/>
      <c r="T324" s="1291"/>
      <c r="U324" s="1291"/>
      <c r="V324" s="1291"/>
      <c r="W324" s="1291"/>
      <c r="X324" s="1291"/>
      <c r="Y324" s="1291"/>
      <c r="Z324" s="1291"/>
      <c r="AA324" s="1291"/>
      <c r="AB324" s="1291"/>
      <c r="AC324" s="1291"/>
      <c r="AD324" s="1291"/>
      <c r="AE324" s="1291"/>
      <c r="AF324" s="1291"/>
      <c r="AG324" s="1291"/>
      <c r="AH324" s="1291"/>
      <c r="AI324" s="1291"/>
      <c r="AJ324" s="1291"/>
      <c r="AK324" s="1291"/>
    </row>
    <row r="325" spans="3:37" ht="17.25" customHeight="1" x14ac:dyDescent="0.35">
      <c r="C325" s="1291"/>
      <c r="D325" s="1291"/>
      <c r="E325" s="1291"/>
      <c r="F325" s="1291"/>
      <c r="G325" s="1291"/>
      <c r="H325" s="1291"/>
      <c r="I325" s="1291"/>
      <c r="J325" s="1291"/>
      <c r="K325" s="1291"/>
      <c r="L325" s="1291"/>
      <c r="M325" s="1291"/>
      <c r="N325" s="1291"/>
      <c r="O325" s="1291"/>
      <c r="P325" s="1291"/>
      <c r="Q325" s="1291"/>
      <c r="R325" s="1291"/>
      <c r="S325" s="1291"/>
      <c r="T325" s="1291"/>
      <c r="U325" s="1291"/>
      <c r="V325" s="1291"/>
      <c r="W325" s="1291"/>
      <c r="X325" s="1291"/>
      <c r="Y325" s="1291"/>
      <c r="Z325" s="1291"/>
      <c r="AA325" s="1291"/>
      <c r="AB325" s="1291"/>
      <c r="AC325" s="1291"/>
      <c r="AD325" s="1291"/>
      <c r="AE325" s="1291"/>
      <c r="AF325" s="1291"/>
      <c r="AG325" s="1291"/>
      <c r="AH325" s="1291"/>
      <c r="AI325" s="1291"/>
      <c r="AJ325" s="1291"/>
      <c r="AK325" s="1291"/>
    </row>
    <row r="326" spans="3:37" ht="17.25" customHeight="1" x14ac:dyDescent="0.35">
      <c r="C326" s="1291"/>
      <c r="D326" s="1291"/>
      <c r="E326" s="1291"/>
      <c r="F326" s="1291"/>
      <c r="G326" s="1291"/>
      <c r="H326" s="1291"/>
      <c r="I326" s="1291"/>
      <c r="J326" s="1291"/>
      <c r="K326" s="1291"/>
      <c r="L326" s="1291"/>
      <c r="M326" s="1291"/>
      <c r="N326" s="1291"/>
      <c r="O326" s="1291"/>
      <c r="P326" s="1291"/>
      <c r="Q326" s="1291"/>
      <c r="R326" s="1291"/>
      <c r="S326" s="1291"/>
      <c r="T326" s="1291"/>
      <c r="U326" s="1291"/>
      <c r="V326" s="1291"/>
      <c r="W326" s="1291"/>
      <c r="X326" s="1291"/>
      <c r="Y326" s="1291"/>
      <c r="Z326" s="1291"/>
      <c r="AA326" s="1291"/>
      <c r="AB326" s="1291"/>
      <c r="AC326" s="1291"/>
      <c r="AD326" s="1291"/>
      <c r="AE326" s="1291"/>
      <c r="AF326" s="1291"/>
      <c r="AG326" s="1291"/>
      <c r="AH326" s="1291"/>
      <c r="AI326" s="1291"/>
      <c r="AJ326" s="1291"/>
      <c r="AK326" s="1291"/>
    </row>
    <row r="327" spans="3:37" ht="17.25" customHeight="1" x14ac:dyDescent="0.35">
      <c r="C327" s="1291"/>
      <c r="D327" s="1291"/>
      <c r="E327" s="1291"/>
      <c r="F327" s="1291"/>
      <c r="G327" s="1291"/>
      <c r="H327" s="1291"/>
      <c r="I327" s="1291"/>
      <c r="J327" s="1291"/>
      <c r="K327" s="1291"/>
      <c r="L327" s="1291"/>
      <c r="M327" s="1291"/>
      <c r="N327" s="1291"/>
      <c r="O327" s="1291"/>
      <c r="P327" s="1291"/>
      <c r="Q327" s="1291"/>
      <c r="R327" s="1291"/>
      <c r="S327" s="1291"/>
      <c r="T327" s="1291"/>
      <c r="U327" s="1291"/>
      <c r="V327" s="1291"/>
      <c r="W327" s="1291"/>
      <c r="X327" s="1291"/>
      <c r="Y327" s="1291"/>
      <c r="Z327" s="1291"/>
      <c r="AA327" s="1291"/>
      <c r="AB327" s="1291"/>
      <c r="AC327" s="1291"/>
      <c r="AD327" s="1291"/>
      <c r="AE327" s="1291"/>
      <c r="AF327" s="1291"/>
      <c r="AG327" s="1291"/>
      <c r="AH327" s="1291"/>
      <c r="AI327" s="1291"/>
      <c r="AJ327" s="1291"/>
      <c r="AK327" s="1291"/>
    </row>
    <row r="328" spans="3:37" ht="17.25" customHeight="1" x14ac:dyDescent="0.35">
      <c r="C328" s="1291"/>
      <c r="D328" s="1291"/>
      <c r="E328" s="1291"/>
      <c r="F328" s="1291"/>
      <c r="G328" s="1291"/>
      <c r="H328" s="1291"/>
      <c r="I328" s="1291"/>
      <c r="J328" s="1291"/>
      <c r="K328" s="1291"/>
      <c r="L328" s="1291"/>
      <c r="M328" s="1291"/>
      <c r="N328" s="1291"/>
      <c r="O328" s="1291"/>
      <c r="P328" s="1291"/>
      <c r="Q328" s="1291"/>
      <c r="R328" s="1291"/>
      <c r="S328" s="1291"/>
      <c r="T328" s="1291"/>
      <c r="U328" s="1291"/>
      <c r="V328" s="1291"/>
      <c r="W328" s="1291"/>
      <c r="X328" s="1291"/>
      <c r="Y328" s="1291"/>
      <c r="Z328" s="1291"/>
      <c r="AA328" s="1291"/>
      <c r="AB328" s="1291"/>
      <c r="AC328" s="1291"/>
      <c r="AD328" s="1291"/>
      <c r="AE328" s="1291"/>
      <c r="AF328" s="1291"/>
      <c r="AG328" s="1291"/>
      <c r="AH328" s="1291"/>
      <c r="AI328" s="1291"/>
      <c r="AJ328" s="1291"/>
      <c r="AK328" s="1291"/>
    </row>
    <row r="329" spans="3:37" ht="17.25" customHeight="1" x14ac:dyDescent="0.35">
      <c r="C329" s="1291"/>
      <c r="D329" s="1291"/>
      <c r="E329" s="1291"/>
      <c r="F329" s="1291"/>
      <c r="G329" s="1291"/>
      <c r="H329" s="1291"/>
      <c r="I329" s="1291"/>
      <c r="J329" s="1291"/>
      <c r="K329" s="1291"/>
      <c r="L329" s="1291"/>
      <c r="M329" s="1291"/>
      <c r="N329" s="1291"/>
      <c r="O329" s="1291"/>
      <c r="P329" s="1291"/>
      <c r="Q329" s="1291"/>
      <c r="R329" s="1291"/>
      <c r="S329" s="1291"/>
      <c r="T329" s="1291"/>
      <c r="U329" s="1291"/>
      <c r="V329" s="1291"/>
      <c r="W329" s="1291"/>
      <c r="X329" s="1291"/>
      <c r="Y329" s="1291"/>
      <c r="Z329" s="1291"/>
      <c r="AA329" s="1291"/>
      <c r="AB329" s="1291"/>
      <c r="AC329" s="1291"/>
      <c r="AD329" s="1291"/>
      <c r="AE329" s="1291"/>
      <c r="AF329" s="1291"/>
      <c r="AG329" s="1291"/>
      <c r="AH329" s="1291"/>
      <c r="AI329" s="1291"/>
      <c r="AJ329" s="1291"/>
      <c r="AK329" s="1291"/>
    </row>
    <row r="330" spans="3:37" ht="17.25" customHeight="1" x14ac:dyDescent="0.35">
      <c r="C330" s="1291"/>
      <c r="D330" s="1291"/>
      <c r="E330" s="1291"/>
      <c r="F330" s="1291"/>
      <c r="G330" s="1291"/>
      <c r="H330" s="1291"/>
      <c r="I330" s="1291"/>
      <c r="J330" s="1291"/>
      <c r="K330" s="1291"/>
      <c r="L330" s="1291"/>
      <c r="M330" s="1291"/>
      <c r="N330" s="1291"/>
      <c r="O330" s="1291"/>
      <c r="P330" s="1291"/>
      <c r="Q330" s="1291"/>
      <c r="R330" s="1291"/>
      <c r="S330" s="1291"/>
      <c r="T330" s="1291"/>
      <c r="U330" s="1291"/>
      <c r="V330" s="1291"/>
      <c r="W330" s="1291"/>
      <c r="X330" s="1291"/>
      <c r="Y330" s="1291"/>
      <c r="Z330" s="1291"/>
      <c r="AA330" s="1291"/>
      <c r="AB330" s="1291"/>
      <c r="AC330" s="1291"/>
      <c r="AD330" s="1291"/>
      <c r="AE330" s="1291"/>
      <c r="AF330" s="1291"/>
      <c r="AG330" s="1291"/>
      <c r="AH330" s="1291"/>
      <c r="AI330" s="1291"/>
      <c r="AJ330" s="1291"/>
      <c r="AK330" s="1291"/>
    </row>
    <row r="331" spans="3:37" ht="17.25" customHeight="1" x14ac:dyDescent="0.35">
      <c r="C331" s="1291"/>
      <c r="D331" s="1291"/>
      <c r="E331" s="1291"/>
      <c r="F331" s="1291"/>
      <c r="G331" s="1291"/>
      <c r="H331" s="1291"/>
      <c r="I331" s="1291"/>
      <c r="J331" s="1291"/>
      <c r="K331" s="1291"/>
      <c r="L331" s="1291"/>
      <c r="M331" s="1291"/>
      <c r="N331" s="1291"/>
      <c r="O331" s="1291"/>
      <c r="P331" s="1291"/>
      <c r="Q331" s="1291"/>
      <c r="R331" s="1291"/>
      <c r="S331" s="1291"/>
      <c r="T331" s="1291"/>
      <c r="U331" s="1291"/>
      <c r="V331" s="1291"/>
      <c r="W331" s="1291"/>
      <c r="X331" s="1291"/>
      <c r="Y331" s="1291"/>
      <c r="Z331" s="1291"/>
      <c r="AA331" s="1291"/>
      <c r="AB331" s="1291"/>
      <c r="AC331" s="1291"/>
      <c r="AD331" s="1291"/>
      <c r="AE331" s="1291"/>
      <c r="AF331" s="1291"/>
      <c r="AG331" s="1291"/>
      <c r="AH331" s="1291"/>
      <c r="AI331" s="1291"/>
      <c r="AJ331" s="1291"/>
      <c r="AK331" s="1291"/>
    </row>
    <row r="332" spans="3:37" ht="17.25" customHeight="1" x14ac:dyDescent="0.35">
      <c r="C332" s="1291"/>
      <c r="D332" s="1291"/>
      <c r="E332" s="1291"/>
      <c r="F332" s="1291"/>
      <c r="G332" s="1291"/>
      <c r="H332" s="1291"/>
      <c r="I332" s="1291"/>
      <c r="J332" s="1291"/>
      <c r="K332" s="1291"/>
      <c r="L332" s="1291"/>
      <c r="M332" s="1291"/>
      <c r="N332" s="1291"/>
      <c r="O332" s="1291"/>
      <c r="P332" s="1291"/>
      <c r="Q332" s="1291"/>
      <c r="R332" s="1291"/>
      <c r="S332" s="1291"/>
      <c r="T332" s="1291"/>
      <c r="U332" s="1291"/>
      <c r="V332" s="1291"/>
      <c r="W332" s="1291"/>
      <c r="X332" s="1291"/>
      <c r="Y332" s="1291"/>
      <c r="Z332" s="1291"/>
      <c r="AA332" s="1291"/>
      <c r="AB332" s="1291"/>
      <c r="AC332" s="1291"/>
      <c r="AD332" s="1291"/>
      <c r="AE332" s="1291"/>
      <c r="AF332" s="1291"/>
      <c r="AG332" s="1291"/>
      <c r="AH332" s="1291"/>
      <c r="AI332" s="1291"/>
      <c r="AJ332" s="1291"/>
      <c r="AK332" s="1291"/>
    </row>
    <row r="333" spans="3:37" ht="17.25" customHeight="1" x14ac:dyDescent="0.35">
      <c r="C333" s="1291"/>
      <c r="D333" s="1291"/>
      <c r="E333" s="1291"/>
      <c r="F333" s="1291"/>
      <c r="G333" s="1291"/>
      <c r="H333" s="1291"/>
      <c r="I333" s="1291"/>
      <c r="J333" s="1291"/>
      <c r="K333" s="1291"/>
      <c r="L333" s="1291"/>
      <c r="M333" s="1291"/>
      <c r="N333" s="1291"/>
      <c r="O333" s="1291"/>
      <c r="P333" s="1291"/>
      <c r="Q333" s="1291"/>
      <c r="R333" s="1291"/>
      <c r="S333" s="1291"/>
      <c r="T333" s="1291"/>
      <c r="U333" s="1291"/>
      <c r="V333" s="1291"/>
      <c r="W333" s="1291"/>
      <c r="X333" s="1291"/>
      <c r="Y333" s="1291"/>
      <c r="Z333" s="1291"/>
      <c r="AA333" s="1291"/>
      <c r="AB333" s="1291"/>
      <c r="AC333" s="1291"/>
      <c r="AD333" s="1291"/>
      <c r="AE333" s="1291"/>
      <c r="AF333" s="1291"/>
      <c r="AG333" s="1291"/>
      <c r="AH333" s="1291"/>
      <c r="AI333" s="1291"/>
      <c r="AJ333" s="1291"/>
      <c r="AK333" s="1291"/>
    </row>
    <row r="334" spans="3:37" ht="17.25" customHeight="1" x14ac:dyDescent="0.35">
      <c r="C334" s="1291"/>
      <c r="D334" s="1291"/>
      <c r="E334" s="1291"/>
      <c r="F334" s="1291"/>
      <c r="G334" s="1291"/>
      <c r="H334" s="1291"/>
      <c r="I334" s="1291"/>
      <c r="J334" s="1291"/>
      <c r="K334" s="1291"/>
      <c r="L334" s="1291"/>
      <c r="M334" s="1291"/>
      <c r="N334" s="1291"/>
      <c r="O334" s="1291"/>
      <c r="P334" s="1291"/>
      <c r="Q334" s="1291"/>
      <c r="R334" s="1291"/>
      <c r="S334" s="1291"/>
      <c r="T334" s="1291"/>
      <c r="U334" s="1291"/>
      <c r="V334" s="1291"/>
      <c r="W334" s="1291"/>
      <c r="X334" s="1291"/>
      <c r="Y334" s="1291"/>
      <c r="Z334" s="1291"/>
      <c r="AA334" s="1291"/>
      <c r="AB334" s="1291"/>
      <c r="AC334" s="1291"/>
      <c r="AD334" s="1291"/>
      <c r="AE334" s="1291"/>
      <c r="AF334" s="1291"/>
      <c r="AG334" s="1291"/>
      <c r="AH334" s="1291"/>
      <c r="AI334" s="1291"/>
      <c r="AJ334" s="1291"/>
      <c r="AK334" s="1291"/>
    </row>
    <row r="335" spans="3:37" ht="17.25" customHeight="1" x14ac:dyDescent="0.35">
      <c r="C335" s="1291"/>
      <c r="D335" s="1291"/>
      <c r="E335" s="1291"/>
      <c r="F335" s="1291"/>
      <c r="G335" s="1291"/>
      <c r="H335" s="1291"/>
      <c r="I335" s="1291"/>
      <c r="J335" s="1291"/>
      <c r="K335" s="1291"/>
      <c r="L335" s="1291"/>
      <c r="M335" s="1291"/>
      <c r="N335" s="1291"/>
      <c r="O335" s="1291"/>
      <c r="P335" s="1291"/>
      <c r="Q335" s="1291"/>
      <c r="R335" s="1291"/>
      <c r="S335" s="1291"/>
      <c r="T335" s="1291"/>
      <c r="U335" s="1291"/>
      <c r="V335" s="1291"/>
      <c r="W335" s="1291"/>
      <c r="X335" s="1291"/>
      <c r="Y335" s="1291"/>
      <c r="Z335" s="1291"/>
      <c r="AA335" s="1291"/>
      <c r="AB335" s="1291"/>
      <c r="AC335" s="1291"/>
      <c r="AD335" s="1291"/>
      <c r="AE335" s="1291"/>
      <c r="AF335" s="1291"/>
      <c r="AG335" s="1291"/>
      <c r="AH335" s="1291"/>
      <c r="AI335" s="1291"/>
      <c r="AJ335" s="1291"/>
      <c r="AK335" s="1291"/>
    </row>
    <row r="336" spans="3:37" ht="17.25" customHeight="1" x14ac:dyDescent="0.35">
      <c r="C336" s="1291"/>
      <c r="D336" s="1291"/>
      <c r="E336" s="1291"/>
      <c r="F336" s="1291"/>
      <c r="G336" s="1291"/>
      <c r="H336" s="1291"/>
      <c r="I336" s="1291"/>
      <c r="J336" s="1291"/>
      <c r="K336" s="1291"/>
      <c r="L336" s="1291"/>
      <c r="M336" s="1291"/>
      <c r="N336" s="1291"/>
      <c r="O336" s="1291"/>
      <c r="P336" s="1291"/>
      <c r="Q336" s="1291"/>
      <c r="R336" s="1291"/>
      <c r="S336" s="1291"/>
      <c r="T336" s="1291"/>
      <c r="U336" s="1291"/>
      <c r="V336" s="1291"/>
      <c r="W336" s="1291"/>
      <c r="X336" s="1291"/>
      <c r="Y336" s="1291"/>
      <c r="Z336" s="1291"/>
      <c r="AA336" s="1291"/>
      <c r="AB336" s="1291"/>
      <c r="AC336" s="1291"/>
      <c r="AD336" s="1291"/>
      <c r="AE336" s="1291"/>
      <c r="AF336" s="1291"/>
      <c r="AG336" s="1291"/>
      <c r="AH336" s="1291"/>
      <c r="AI336" s="1291"/>
      <c r="AJ336" s="1291"/>
      <c r="AK336" s="1291"/>
    </row>
    <row r="337" spans="3:37" ht="17.25" customHeight="1" x14ac:dyDescent="0.35">
      <c r="C337" s="1291"/>
      <c r="D337" s="1291"/>
      <c r="E337" s="1291"/>
      <c r="F337" s="1291"/>
      <c r="G337" s="1291"/>
      <c r="H337" s="1291"/>
      <c r="I337" s="1291"/>
      <c r="J337" s="1291"/>
      <c r="K337" s="1291"/>
      <c r="L337" s="1291"/>
      <c r="M337" s="1291"/>
      <c r="N337" s="1291"/>
      <c r="O337" s="1291"/>
      <c r="P337" s="1291"/>
      <c r="Q337" s="1291"/>
      <c r="R337" s="1291"/>
      <c r="S337" s="1291"/>
      <c r="T337" s="1291"/>
      <c r="U337" s="1291"/>
      <c r="V337" s="1291"/>
      <c r="W337" s="1291"/>
      <c r="X337" s="1291"/>
      <c r="Y337" s="1291"/>
      <c r="Z337" s="1291"/>
      <c r="AA337" s="1291"/>
      <c r="AB337" s="1291"/>
      <c r="AC337" s="1291"/>
      <c r="AD337" s="1291"/>
      <c r="AE337" s="1291"/>
      <c r="AF337" s="1291"/>
      <c r="AG337" s="1291"/>
      <c r="AH337" s="1291"/>
      <c r="AI337" s="1291"/>
      <c r="AJ337" s="1291"/>
      <c r="AK337" s="1291"/>
    </row>
    <row r="338" spans="3:37" ht="17.25" customHeight="1" x14ac:dyDescent="0.35">
      <c r="C338" s="1291"/>
      <c r="D338" s="1291"/>
      <c r="E338" s="1291"/>
      <c r="F338" s="1291"/>
      <c r="G338" s="1291"/>
      <c r="H338" s="1291"/>
      <c r="I338" s="1291"/>
      <c r="J338" s="1291"/>
      <c r="K338" s="1291"/>
      <c r="L338" s="1291"/>
      <c r="M338" s="1291"/>
      <c r="N338" s="1291"/>
      <c r="O338" s="1291"/>
      <c r="P338" s="1291"/>
      <c r="Q338" s="1291"/>
      <c r="R338" s="1291"/>
      <c r="S338" s="1291"/>
      <c r="T338" s="1291"/>
      <c r="U338" s="1291"/>
      <c r="V338" s="1291"/>
      <c r="W338" s="1291"/>
      <c r="X338" s="1291"/>
      <c r="Y338" s="1291"/>
      <c r="Z338" s="1291"/>
      <c r="AA338" s="1291"/>
      <c r="AB338" s="1291"/>
      <c r="AC338" s="1291"/>
      <c r="AD338" s="1291"/>
      <c r="AE338" s="1291"/>
      <c r="AF338" s="1291"/>
      <c r="AG338" s="1291"/>
      <c r="AH338" s="1291"/>
      <c r="AI338" s="1291"/>
      <c r="AJ338" s="1291"/>
      <c r="AK338" s="1291"/>
    </row>
    <row r="339" spans="3:37" ht="17.25" customHeight="1" x14ac:dyDescent="0.35">
      <c r="C339" s="1291"/>
      <c r="D339" s="1291"/>
      <c r="E339" s="1291"/>
      <c r="F339" s="1291"/>
      <c r="G339" s="1291"/>
      <c r="H339" s="1291"/>
      <c r="I339" s="1291"/>
      <c r="J339" s="1291"/>
      <c r="K339" s="1291"/>
      <c r="L339" s="1291"/>
      <c r="M339" s="1291"/>
      <c r="N339" s="1291"/>
      <c r="O339" s="1291"/>
      <c r="P339" s="1291"/>
      <c r="Q339" s="1291"/>
      <c r="R339" s="1291"/>
      <c r="S339" s="1291"/>
      <c r="T339" s="1291"/>
      <c r="U339" s="1291"/>
      <c r="V339" s="1291"/>
      <c r="W339" s="1291"/>
      <c r="X339" s="1291"/>
      <c r="Y339" s="1291"/>
      <c r="Z339" s="1291"/>
      <c r="AA339" s="1291"/>
      <c r="AB339" s="1291"/>
      <c r="AC339" s="1291"/>
      <c r="AD339" s="1291"/>
      <c r="AE339" s="1291"/>
      <c r="AF339" s="1291"/>
      <c r="AG339" s="1291"/>
      <c r="AH339" s="1291"/>
      <c r="AI339" s="1291"/>
      <c r="AJ339" s="1291"/>
      <c r="AK339" s="1291"/>
    </row>
    <row r="340" spans="3:37" ht="17.25" customHeight="1" x14ac:dyDescent="0.35">
      <c r="C340" s="1291"/>
      <c r="D340" s="1291"/>
      <c r="E340" s="1291"/>
      <c r="F340" s="1291"/>
      <c r="G340" s="1291"/>
      <c r="H340" s="1291"/>
      <c r="I340" s="1291"/>
      <c r="J340" s="1291"/>
      <c r="K340" s="1291"/>
      <c r="L340" s="1291"/>
      <c r="M340" s="1291"/>
      <c r="N340" s="1291"/>
      <c r="O340" s="1291"/>
      <c r="P340" s="1291"/>
      <c r="Q340" s="1291"/>
      <c r="R340" s="1291"/>
      <c r="S340" s="1291"/>
      <c r="T340" s="1291"/>
      <c r="U340" s="1291"/>
      <c r="V340" s="1291"/>
      <c r="W340" s="1291"/>
      <c r="X340" s="1291"/>
      <c r="Y340" s="1291"/>
      <c r="Z340" s="1291"/>
      <c r="AA340" s="1291"/>
      <c r="AB340" s="1291"/>
      <c r="AC340" s="1291"/>
      <c r="AD340" s="1291"/>
      <c r="AE340" s="1291"/>
      <c r="AF340" s="1291"/>
      <c r="AG340" s="1291"/>
      <c r="AH340" s="1291"/>
      <c r="AI340" s="1291"/>
      <c r="AJ340" s="1291"/>
      <c r="AK340" s="1291"/>
    </row>
    <row r="341" spans="3:37" ht="17.25" customHeight="1" x14ac:dyDescent="0.35">
      <c r="C341" s="1291"/>
      <c r="D341" s="1291"/>
      <c r="E341" s="1291"/>
      <c r="F341" s="1291"/>
      <c r="G341" s="1291"/>
      <c r="H341" s="1291"/>
      <c r="I341" s="1291"/>
      <c r="J341" s="1291"/>
      <c r="K341" s="1291"/>
      <c r="L341" s="1291"/>
      <c r="M341" s="1291"/>
      <c r="N341" s="1291"/>
      <c r="O341" s="1291"/>
      <c r="P341" s="1291"/>
      <c r="Q341" s="1291"/>
      <c r="R341" s="1291"/>
      <c r="S341" s="1291"/>
      <c r="T341" s="1291"/>
      <c r="U341" s="1291"/>
      <c r="V341" s="1291"/>
      <c r="W341" s="1291"/>
      <c r="X341" s="1291"/>
      <c r="Y341" s="1291"/>
      <c r="Z341" s="1291"/>
      <c r="AA341" s="1291"/>
      <c r="AB341" s="1291"/>
      <c r="AC341" s="1291"/>
      <c r="AD341" s="1291"/>
      <c r="AE341" s="1291"/>
      <c r="AF341" s="1291"/>
      <c r="AG341" s="1291"/>
      <c r="AH341" s="1291"/>
      <c r="AI341" s="1291"/>
      <c r="AJ341" s="1291"/>
      <c r="AK341" s="1291"/>
    </row>
    <row r="342" spans="3:37" ht="17.25" customHeight="1" x14ac:dyDescent="0.35">
      <c r="C342" s="1291"/>
      <c r="D342" s="1291"/>
      <c r="E342" s="1291"/>
      <c r="F342" s="1291"/>
      <c r="G342" s="1291"/>
      <c r="H342" s="1291"/>
      <c r="I342" s="1291"/>
      <c r="J342" s="1291"/>
      <c r="K342" s="1291"/>
      <c r="L342" s="1291"/>
      <c r="M342" s="1291"/>
      <c r="N342" s="1291"/>
      <c r="O342" s="1291"/>
      <c r="P342" s="1291"/>
      <c r="Q342" s="1291"/>
      <c r="R342" s="1291"/>
      <c r="S342" s="1291"/>
      <c r="T342" s="1291"/>
      <c r="U342" s="1291"/>
      <c r="V342" s="1291"/>
      <c r="W342" s="1291"/>
      <c r="X342" s="1291"/>
      <c r="Y342" s="1291"/>
      <c r="Z342" s="1291"/>
      <c r="AA342" s="1291"/>
      <c r="AB342" s="1291"/>
      <c r="AC342" s="1291"/>
      <c r="AD342" s="1291"/>
      <c r="AE342" s="1291"/>
      <c r="AF342" s="1291"/>
      <c r="AG342" s="1291"/>
      <c r="AH342" s="1291"/>
      <c r="AI342" s="1291"/>
      <c r="AJ342" s="1291"/>
      <c r="AK342" s="1291"/>
    </row>
    <row r="343" spans="3:37" ht="17.25" customHeight="1" x14ac:dyDescent="0.35">
      <c r="C343" s="1291"/>
      <c r="D343" s="1291"/>
      <c r="E343" s="1291"/>
      <c r="F343" s="1291"/>
      <c r="G343" s="1291"/>
      <c r="H343" s="1291"/>
      <c r="I343" s="1291"/>
      <c r="J343" s="1291"/>
      <c r="K343" s="1291"/>
      <c r="L343" s="1291"/>
      <c r="M343" s="1291"/>
      <c r="N343" s="1291"/>
      <c r="O343" s="1291"/>
      <c r="P343" s="1291"/>
      <c r="Q343" s="1291"/>
      <c r="R343" s="1291"/>
      <c r="S343" s="1291"/>
      <c r="T343" s="1291"/>
      <c r="U343" s="1291"/>
      <c r="V343" s="1291"/>
      <c r="W343" s="1291"/>
      <c r="X343" s="1291"/>
      <c r="Y343" s="1291"/>
      <c r="Z343" s="1291"/>
      <c r="AA343" s="1291"/>
      <c r="AB343" s="1291"/>
      <c r="AC343" s="1291"/>
      <c r="AD343" s="1291"/>
      <c r="AE343" s="1291"/>
      <c r="AF343" s="1291"/>
      <c r="AG343" s="1291"/>
      <c r="AH343" s="1291"/>
      <c r="AI343" s="1291"/>
      <c r="AJ343" s="1291"/>
      <c r="AK343" s="1291"/>
    </row>
    <row r="344" spans="3:37" ht="17.25" customHeight="1" x14ac:dyDescent="0.35">
      <c r="C344" s="1291"/>
      <c r="D344" s="1291"/>
      <c r="E344" s="1291"/>
      <c r="F344" s="1291"/>
      <c r="G344" s="1291"/>
      <c r="H344" s="1291"/>
      <c r="I344" s="1291"/>
      <c r="J344" s="1291"/>
      <c r="K344" s="1291"/>
      <c r="L344" s="1291"/>
      <c r="M344" s="1291"/>
      <c r="N344" s="1291"/>
      <c r="O344" s="1291"/>
      <c r="P344" s="1291"/>
      <c r="Q344" s="1291"/>
      <c r="R344" s="1291"/>
      <c r="S344" s="1291"/>
      <c r="T344" s="1291"/>
      <c r="U344" s="1291"/>
      <c r="V344" s="1291"/>
      <c r="W344" s="1291"/>
      <c r="X344" s="1291"/>
      <c r="Y344" s="1291"/>
      <c r="Z344" s="1291"/>
      <c r="AA344" s="1291"/>
      <c r="AB344" s="1291"/>
      <c r="AC344" s="1291"/>
      <c r="AD344" s="1291"/>
      <c r="AE344" s="1291"/>
      <c r="AF344" s="1291"/>
      <c r="AG344" s="1291"/>
      <c r="AH344" s="1291"/>
      <c r="AI344" s="1291"/>
      <c r="AJ344" s="1291"/>
      <c r="AK344" s="1291"/>
    </row>
    <row r="345" spans="3:37" ht="17.25" customHeight="1" x14ac:dyDescent="0.35">
      <c r="C345" s="1291"/>
      <c r="D345" s="1291"/>
      <c r="E345" s="1291"/>
      <c r="F345" s="1291"/>
      <c r="G345" s="1291"/>
      <c r="H345" s="1291"/>
      <c r="I345" s="1291"/>
      <c r="J345" s="1291"/>
      <c r="K345" s="1291"/>
      <c r="L345" s="1291"/>
      <c r="M345" s="1291"/>
      <c r="N345" s="1291"/>
      <c r="O345" s="1291"/>
      <c r="P345" s="1291"/>
      <c r="Q345" s="1291"/>
      <c r="R345" s="1291"/>
      <c r="S345" s="1291"/>
      <c r="T345" s="1291"/>
      <c r="U345" s="1291"/>
      <c r="V345" s="1291"/>
      <c r="W345" s="1291"/>
      <c r="X345" s="1291"/>
      <c r="Y345" s="1291"/>
      <c r="Z345" s="1291"/>
      <c r="AA345" s="1291"/>
      <c r="AB345" s="1291"/>
      <c r="AC345" s="1291"/>
      <c r="AD345" s="1291"/>
      <c r="AE345" s="1291"/>
      <c r="AF345" s="1291"/>
      <c r="AG345" s="1291"/>
      <c r="AH345" s="1291"/>
      <c r="AI345" s="1291"/>
      <c r="AJ345" s="1291"/>
      <c r="AK345" s="1291"/>
    </row>
    <row r="346" spans="3:37" ht="17.25" customHeight="1" x14ac:dyDescent="0.35">
      <c r="C346" s="1291"/>
      <c r="D346" s="1291"/>
      <c r="E346" s="1291"/>
      <c r="F346" s="1291"/>
      <c r="G346" s="1291"/>
      <c r="H346" s="1291"/>
      <c r="I346" s="1291"/>
      <c r="J346" s="1291"/>
      <c r="K346" s="1291"/>
      <c r="L346" s="1291"/>
      <c r="M346" s="1291"/>
      <c r="N346" s="1291"/>
      <c r="O346" s="1291"/>
      <c r="P346" s="1291"/>
      <c r="Q346" s="1291"/>
      <c r="R346" s="1291"/>
      <c r="S346" s="1291"/>
      <c r="T346" s="1291"/>
      <c r="U346" s="1291"/>
      <c r="V346" s="1291"/>
      <c r="W346" s="1291"/>
      <c r="X346" s="1291"/>
      <c r="Y346" s="1291"/>
      <c r="Z346" s="1291"/>
      <c r="AA346" s="1291"/>
      <c r="AB346" s="1291"/>
      <c r="AC346" s="1291"/>
      <c r="AD346" s="1291"/>
      <c r="AE346" s="1291"/>
      <c r="AF346" s="1291"/>
      <c r="AG346" s="1291"/>
      <c r="AH346" s="1291"/>
      <c r="AI346" s="1291"/>
      <c r="AJ346" s="1291"/>
      <c r="AK346" s="1291"/>
    </row>
    <row r="347" spans="3:37" ht="17.25" customHeight="1" x14ac:dyDescent="0.35">
      <c r="C347" s="1291"/>
      <c r="D347" s="1291"/>
      <c r="E347" s="1291"/>
      <c r="F347" s="1291"/>
      <c r="G347" s="1291"/>
      <c r="H347" s="1291"/>
      <c r="I347" s="1291"/>
      <c r="J347" s="1291"/>
      <c r="K347" s="1291"/>
      <c r="L347" s="1291"/>
      <c r="M347" s="1291"/>
      <c r="N347" s="1291"/>
      <c r="O347" s="1291"/>
      <c r="P347" s="1291"/>
      <c r="Q347" s="1291"/>
      <c r="R347" s="1291"/>
      <c r="S347" s="1291"/>
      <c r="T347" s="1291"/>
      <c r="U347" s="1291"/>
      <c r="V347" s="1291"/>
      <c r="W347" s="1291"/>
      <c r="X347" s="1291"/>
      <c r="Y347" s="1291"/>
      <c r="Z347" s="1291"/>
      <c r="AA347" s="1291"/>
      <c r="AB347" s="1291"/>
      <c r="AC347" s="1291"/>
      <c r="AD347" s="1291"/>
      <c r="AE347" s="1291"/>
      <c r="AF347" s="1291"/>
      <c r="AG347" s="1291"/>
      <c r="AH347" s="1291"/>
      <c r="AI347" s="1291"/>
      <c r="AJ347" s="1291"/>
      <c r="AK347" s="1291"/>
    </row>
    <row r="348" spans="3:37" ht="17.25" customHeight="1" x14ac:dyDescent="0.35">
      <c r="C348" s="1291"/>
      <c r="D348" s="1291"/>
      <c r="E348" s="1291"/>
      <c r="F348" s="1291"/>
      <c r="G348" s="1291"/>
      <c r="H348" s="1291"/>
      <c r="I348" s="1291"/>
      <c r="J348" s="1291"/>
      <c r="K348" s="1291"/>
      <c r="L348" s="1291"/>
      <c r="M348" s="1291"/>
      <c r="N348" s="1291"/>
      <c r="O348" s="1291"/>
      <c r="P348" s="1291"/>
      <c r="Q348" s="1291"/>
      <c r="R348" s="1291"/>
      <c r="S348" s="1291"/>
      <c r="T348" s="1291"/>
      <c r="U348" s="1291"/>
      <c r="V348" s="1291"/>
      <c r="W348" s="1291"/>
      <c r="X348" s="1291"/>
      <c r="Y348" s="1291"/>
      <c r="Z348" s="1291"/>
      <c r="AA348" s="1291"/>
      <c r="AB348" s="1291"/>
      <c r="AC348" s="1291"/>
      <c r="AD348" s="1291"/>
      <c r="AE348" s="1291"/>
      <c r="AF348" s="1291"/>
      <c r="AG348" s="1291"/>
      <c r="AH348" s="1291"/>
      <c r="AI348" s="1291"/>
      <c r="AJ348" s="1291"/>
      <c r="AK348" s="1291"/>
    </row>
    <row r="349" spans="3:37" ht="17.25" customHeight="1" x14ac:dyDescent="0.35">
      <c r="C349" s="1390"/>
      <c r="D349" s="1390"/>
      <c r="E349" s="1390"/>
      <c r="F349" s="1390"/>
      <c r="G349" s="1390"/>
      <c r="H349" s="1390"/>
      <c r="I349" s="1390"/>
      <c r="J349" s="1390"/>
      <c r="K349" s="1390"/>
      <c r="L349" s="1390"/>
      <c r="M349" s="1390"/>
      <c r="N349" s="1390"/>
      <c r="O349" s="1390"/>
      <c r="P349" s="1390"/>
      <c r="Q349" s="1390"/>
      <c r="R349" s="1390"/>
      <c r="S349" s="1390"/>
      <c r="T349" s="1390"/>
      <c r="U349" s="1390"/>
      <c r="V349" s="1390"/>
      <c r="W349" s="1390"/>
      <c r="X349" s="1390"/>
      <c r="Y349" s="1390"/>
      <c r="Z349" s="1390"/>
      <c r="AA349" s="1390"/>
      <c r="AB349" s="1390"/>
      <c r="AC349" s="1390"/>
      <c r="AD349" s="1390"/>
      <c r="AE349" s="1390"/>
      <c r="AF349" s="1390"/>
      <c r="AG349" s="1390"/>
      <c r="AH349" s="1390"/>
      <c r="AI349" s="1390"/>
      <c r="AJ349" s="1390"/>
      <c r="AK349" s="1390"/>
    </row>
    <row r="350" spans="3:37" ht="17.25" customHeight="1" x14ac:dyDescent="0.35">
      <c r="C350" s="1390"/>
      <c r="D350" s="1390"/>
      <c r="E350" s="1390"/>
      <c r="F350" s="1390"/>
      <c r="G350" s="1390"/>
      <c r="H350" s="1390"/>
      <c r="I350" s="1390"/>
      <c r="J350" s="1390"/>
      <c r="K350" s="1390"/>
      <c r="L350" s="1390"/>
      <c r="M350" s="1390"/>
      <c r="N350" s="1390"/>
      <c r="O350" s="1390"/>
      <c r="P350" s="1390"/>
      <c r="Q350" s="1390"/>
      <c r="R350" s="1390"/>
      <c r="S350" s="1390"/>
      <c r="T350" s="1390"/>
      <c r="U350" s="1390"/>
      <c r="V350" s="1390"/>
      <c r="W350" s="1390"/>
      <c r="X350" s="1390"/>
      <c r="Y350" s="1390"/>
      <c r="Z350" s="1390"/>
      <c r="AA350" s="1390"/>
      <c r="AB350" s="1390"/>
      <c r="AC350" s="1390"/>
      <c r="AD350" s="1390"/>
      <c r="AE350" s="1390"/>
      <c r="AF350" s="1390"/>
      <c r="AG350" s="1390"/>
      <c r="AH350" s="1390"/>
      <c r="AI350" s="1390"/>
      <c r="AJ350" s="1390"/>
      <c r="AK350" s="1390"/>
    </row>
    <row r="351" spans="3:37" ht="17.25" customHeight="1" x14ac:dyDescent="0.35">
      <c r="C351" s="1390"/>
      <c r="D351" s="1390"/>
      <c r="E351" s="1390"/>
      <c r="F351" s="1390"/>
      <c r="G351" s="1390"/>
      <c r="H351" s="1390"/>
      <c r="I351" s="1390"/>
      <c r="J351" s="1390"/>
      <c r="K351" s="1390"/>
      <c r="L351" s="1390"/>
      <c r="M351" s="1390"/>
      <c r="N351" s="1390"/>
      <c r="O351" s="1390"/>
      <c r="P351" s="1390"/>
      <c r="Q351" s="1390"/>
      <c r="R351" s="1390"/>
      <c r="S351" s="1390"/>
      <c r="T351" s="1390"/>
      <c r="U351" s="1390"/>
      <c r="V351" s="1390"/>
      <c r="W351" s="1390"/>
      <c r="X351" s="1390"/>
      <c r="Y351" s="1390"/>
      <c r="Z351" s="1390"/>
      <c r="AA351" s="1390"/>
      <c r="AB351" s="1390"/>
      <c r="AC351" s="1390"/>
      <c r="AD351" s="1390"/>
      <c r="AE351" s="1390"/>
      <c r="AF351" s="1390"/>
      <c r="AG351" s="1390"/>
      <c r="AH351" s="1390"/>
      <c r="AI351" s="1390"/>
      <c r="AJ351" s="1390"/>
      <c r="AK351" s="1390"/>
    </row>
    <row r="352" spans="3:37" ht="17.25" customHeight="1" x14ac:dyDescent="0.35">
      <c r="C352" s="1390"/>
      <c r="D352" s="1390"/>
      <c r="E352" s="1390"/>
      <c r="F352" s="1390"/>
      <c r="G352" s="1390"/>
      <c r="H352" s="1390"/>
      <c r="I352" s="1390"/>
      <c r="J352" s="1390"/>
      <c r="K352" s="1390"/>
      <c r="L352" s="1390"/>
      <c r="M352" s="1390"/>
      <c r="N352" s="1390"/>
      <c r="O352" s="1390"/>
      <c r="P352" s="1390"/>
      <c r="Q352" s="1390"/>
      <c r="R352" s="1390"/>
      <c r="S352" s="1390"/>
      <c r="T352" s="1390"/>
      <c r="U352" s="1390"/>
      <c r="V352" s="1390"/>
      <c r="W352" s="1390"/>
      <c r="X352" s="1390"/>
      <c r="Y352" s="1390"/>
      <c r="Z352" s="1390"/>
      <c r="AA352" s="1390"/>
      <c r="AB352" s="1390"/>
      <c r="AC352" s="1390"/>
      <c r="AD352" s="1390"/>
      <c r="AE352" s="1390"/>
      <c r="AF352" s="1390"/>
      <c r="AG352" s="1390"/>
      <c r="AH352" s="1390"/>
      <c r="AI352" s="1390"/>
      <c r="AJ352" s="1390"/>
      <c r="AK352" s="1390"/>
    </row>
    <row r="353" spans="3:37" ht="17.25" customHeight="1" x14ac:dyDescent="0.35">
      <c r="C353" s="1390"/>
      <c r="D353" s="1390"/>
      <c r="E353" s="1390"/>
      <c r="F353" s="1390"/>
      <c r="G353" s="1390"/>
      <c r="H353" s="1390"/>
      <c r="I353" s="1390"/>
      <c r="J353" s="1390"/>
      <c r="K353" s="1390"/>
      <c r="L353" s="1390"/>
      <c r="M353" s="1390"/>
      <c r="N353" s="1390"/>
      <c r="O353" s="1390"/>
      <c r="P353" s="1390"/>
      <c r="Q353" s="1390"/>
      <c r="R353" s="1390"/>
      <c r="S353" s="1390"/>
      <c r="T353" s="1390"/>
      <c r="U353" s="1390"/>
      <c r="V353" s="1390"/>
      <c r="W353" s="1390"/>
      <c r="X353" s="1390"/>
      <c r="Y353" s="1390"/>
      <c r="Z353" s="1390"/>
      <c r="AA353" s="1390"/>
      <c r="AB353" s="1390"/>
      <c r="AC353" s="1390"/>
      <c r="AD353" s="1390"/>
      <c r="AE353" s="1390"/>
      <c r="AF353" s="1390"/>
      <c r="AG353" s="1390"/>
      <c r="AH353" s="1390"/>
      <c r="AI353" s="1390"/>
      <c r="AJ353" s="1390"/>
      <c r="AK353" s="1390"/>
    </row>
    <row r="354" spans="3:37" ht="17.25" customHeight="1" x14ac:dyDescent="0.35">
      <c r="C354" s="1390"/>
      <c r="D354" s="1390"/>
      <c r="E354" s="1390"/>
      <c r="F354" s="1390"/>
      <c r="G354" s="1390"/>
      <c r="H354" s="1390"/>
      <c r="I354" s="1390"/>
      <c r="J354" s="1390"/>
      <c r="K354" s="1390"/>
      <c r="L354" s="1390"/>
      <c r="M354" s="1390"/>
      <c r="N354" s="1390"/>
      <c r="O354" s="1390"/>
      <c r="P354" s="1390"/>
      <c r="Q354" s="1390"/>
      <c r="R354" s="1390"/>
      <c r="S354" s="1390"/>
      <c r="T354" s="1390"/>
      <c r="U354" s="1390"/>
      <c r="V354" s="1390"/>
      <c r="W354" s="1390"/>
      <c r="X354" s="1390"/>
      <c r="Y354" s="1390"/>
      <c r="Z354" s="1390"/>
      <c r="AA354" s="1390"/>
      <c r="AB354" s="1390"/>
      <c r="AC354" s="1390"/>
      <c r="AD354" s="1390"/>
      <c r="AE354" s="1390"/>
      <c r="AF354" s="1390"/>
      <c r="AG354" s="1390"/>
      <c r="AH354" s="1390"/>
      <c r="AI354" s="1390"/>
      <c r="AJ354" s="1390"/>
      <c r="AK354" s="1390"/>
    </row>
    <row r="355" spans="3:37" ht="17.25" customHeight="1" x14ac:dyDescent="0.35">
      <c r="C355" s="1390"/>
      <c r="D355" s="1390"/>
      <c r="E355" s="1390"/>
      <c r="F355" s="1390"/>
      <c r="G355" s="1390"/>
      <c r="H355" s="1390"/>
      <c r="I355" s="1390"/>
      <c r="J355" s="1390"/>
      <c r="K355" s="1390"/>
      <c r="L355" s="1390"/>
      <c r="M355" s="1390"/>
      <c r="N355" s="1390"/>
      <c r="O355" s="1390"/>
      <c r="P355" s="1390"/>
      <c r="Q355" s="1390"/>
      <c r="R355" s="1390"/>
      <c r="S355" s="1390"/>
      <c r="T355" s="1390"/>
      <c r="U355" s="1390"/>
      <c r="V355" s="1390"/>
      <c r="W355" s="1390"/>
      <c r="X355" s="1390"/>
      <c r="Y355" s="1390"/>
      <c r="Z355" s="1390"/>
      <c r="AA355" s="1390"/>
      <c r="AB355" s="1390"/>
      <c r="AC355" s="1390"/>
      <c r="AD355" s="1390"/>
      <c r="AE355" s="1390"/>
      <c r="AF355" s="1390"/>
      <c r="AG355" s="1390"/>
      <c r="AH355" s="1390"/>
      <c r="AI355" s="1390"/>
      <c r="AJ355" s="1390"/>
      <c r="AK355" s="1390"/>
    </row>
    <row r="356" spans="3:37" ht="17.25" customHeight="1" x14ac:dyDescent="0.35">
      <c r="C356" s="1390"/>
      <c r="D356" s="1390"/>
      <c r="E356" s="1390"/>
      <c r="F356" s="1390"/>
      <c r="G356" s="1390"/>
      <c r="H356" s="1390"/>
      <c r="I356" s="1390"/>
      <c r="J356" s="1390"/>
      <c r="K356" s="1390"/>
      <c r="L356" s="1390"/>
      <c r="M356" s="1390"/>
      <c r="N356" s="1390"/>
      <c r="O356" s="1390"/>
      <c r="P356" s="1390"/>
      <c r="Q356" s="1390"/>
      <c r="R356" s="1390"/>
      <c r="S356" s="1390"/>
      <c r="T356" s="1390"/>
      <c r="U356" s="1390"/>
      <c r="V356" s="1390"/>
      <c r="W356" s="1390"/>
      <c r="X356" s="1390"/>
      <c r="Y356" s="1390"/>
      <c r="Z356" s="1390"/>
      <c r="AA356" s="1390"/>
      <c r="AB356" s="1390"/>
      <c r="AC356" s="1390"/>
      <c r="AD356" s="1390"/>
      <c r="AE356" s="1390"/>
      <c r="AF356" s="1390"/>
      <c r="AG356" s="1390"/>
      <c r="AH356" s="1390"/>
      <c r="AI356" s="1390"/>
      <c r="AJ356" s="1390"/>
      <c r="AK356" s="1390"/>
    </row>
    <row r="357" spans="3:37" ht="17.25" customHeight="1" x14ac:dyDescent="0.35">
      <c r="C357" s="1390"/>
      <c r="D357" s="1390"/>
      <c r="E357" s="1390"/>
      <c r="F357" s="1390"/>
      <c r="G357" s="1390"/>
      <c r="H357" s="1390"/>
      <c r="I357" s="1390"/>
      <c r="J357" s="1390"/>
      <c r="K357" s="1390"/>
      <c r="L357" s="1390"/>
      <c r="M357" s="1390"/>
      <c r="N357" s="1390"/>
      <c r="O357" s="1390"/>
      <c r="P357" s="1390"/>
      <c r="Q357" s="1390"/>
      <c r="R357" s="1390"/>
      <c r="S357" s="1390"/>
      <c r="T357" s="1390"/>
      <c r="U357" s="1390"/>
      <c r="V357" s="1390"/>
      <c r="W357" s="1390"/>
      <c r="X357" s="1390"/>
      <c r="Y357" s="1390"/>
      <c r="Z357" s="1390"/>
      <c r="AA357" s="1390"/>
      <c r="AB357" s="1390"/>
      <c r="AC357" s="1390"/>
      <c r="AD357" s="1390"/>
      <c r="AE357" s="1390"/>
      <c r="AF357" s="1390"/>
      <c r="AG357" s="1390"/>
      <c r="AH357" s="1390"/>
      <c r="AI357" s="1390"/>
      <c r="AJ357" s="1390"/>
      <c r="AK357" s="1390"/>
    </row>
    <row r="358" spans="3:37" ht="17.25" customHeight="1" x14ac:dyDescent="0.35">
      <c r="C358" s="1390"/>
      <c r="D358" s="1390"/>
      <c r="E358" s="1390"/>
      <c r="F358" s="1390"/>
      <c r="G358" s="1390"/>
      <c r="H358" s="1390"/>
      <c r="I358" s="1390"/>
      <c r="J358" s="1390"/>
      <c r="K358" s="1390"/>
      <c r="L358" s="1390"/>
      <c r="M358" s="1390"/>
      <c r="N358" s="1390"/>
      <c r="O358" s="1390"/>
      <c r="P358" s="1390"/>
      <c r="Q358" s="1390"/>
      <c r="R358" s="1390"/>
      <c r="S358" s="1390"/>
      <c r="T358" s="1390"/>
      <c r="U358" s="1390"/>
      <c r="V358" s="1390"/>
      <c r="W358" s="1390"/>
      <c r="X358" s="1390"/>
      <c r="Y358" s="1390"/>
      <c r="Z358" s="1390"/>
      <c r="AA358" s="1390"/>
      <c r="AB358" s="1390"/>
      <c r="AC358" s="1390"/>
      <c r="AD358" s="1390"/>
      <c r="AE358" s="1390"/>
      <c r="AF358" s="1390"/>
      <c r="AG358" s="1390"/>
      <c r="AH358" s="1390"/>
      <c r="AI358" s="1390"/>
      <c r="AJ358" s="1390"/>
      <c r="AK358" s="1390"/>
    </row>
    <row r="359" spans="3:37" ht="17.25" customHeight="1" x14ac:dyDescent="0.35">
      <c r="C359" s="1390"/>
      <c r="D359" s="1390"/>
      <c r="E359" s="1390"/>
      <c r="F359" s="1390"/>
      <c r="G359" s="1390"/>
      <c r="H359" s="1390"/>
      <c r="I359" s="1390"/>
      <c r="J359" s="1390"/>
      <c r="K359" s="1390"/>
      <c r="L359" s="1390"/>
      <c r="M359" s="1390"/>
      <c r="N359" s="1390"/>
      <c r="O359" s="1390"/>
      <c r="P359" s="1390"/>
      <c r="Q359" s="1390"/>
      <c r="R359" s="1390"/>
      <c r="S359" s="1390"/>
      <c r="T359" s="1390"/>
      <c r="U359" s="1390"/>
      <c r="V359" s="1390"/>
      <c r="W359" s="1390"/>
      <c r="X359" s="1390"/>
      <c r="Y359" s="1390"/>
      <c r="Z359" s="1390"/>
      <c r="AA359" s="1390"/>
      <c r="AB359" s="1390"/>
      <c r="AC359" s="1390"/>
      <c r="AD359" s="1390"/>
      <c r="AE359" s="1390"/>
      <c r="AF359" s="1390"/>
      <c r="AG359" s="1390"/>
      <c r="AH359" s="1390"/>
      <c r="AI359" s="1390"/>
      <c r="AJ359" s="1390"/>
      <c r="AK359" s="1390"/>
    </row>
    <row r="360" spans="3:37" ht="17.25" customHeight="1" x14ac:dyDescent="0.35">
      <c r="C360" s="1390"/>
      <c r="D360" s="1390"/>
      <c r="E360" s="1390"/>
      <c r="F360" s="1390"/>
      <c r="G360" s="1390"/>
      <c r="H360" s="1390"/>
      <c r="I360" s="1390"/>
      <c r="J360" s="1390"/>
      <c r="K360" s="1390"/>
      <c r="L360" s="1390"/>
      <c r="M360" s="1390"/>
      <c r="N360" s="1390"/>
      <c r="O360" s="1390"/>
      <c r="P360" s="1390"/>
      <c r="Q360" s="1390"/>
      <c r="R360" s="1390"/>
      <c r="S360" s="1390"/>
      <c r="T360" s="1390"/>
      <c r="U360" s="1390"/>
      <c r="V360" s="1390"/>
      <c r="W360" s="1390"/>
      <c r="X360" s="1390"/>
      <c r="Y360" s="1390"/>
      <c r="Z360" s="1390"/>
      <c r="AA360" s="1390"/>
      <c r="AB360" s="1390"/>
      <c r="AC360" s="1390"/>
      <c r="AD360" s="1390"/>
      <c r="AE360" s="1390"/>
      <c r="AF360" s="1390"/>
      <c r="AG360" s="1390"/>
      <c r="AH360" s="1390"/>
      <c r="AI360" s="1390"/>
      <c r="AJ360" s="1390"/>
      <c r="AK360" s="1390"/>
    </row>
    <row r="361" spans="3:37" ht="17.25" customHeight="1" x14ac:dyDescent="0.35">
      <c r="C361" s="1390"/>
      <c r="D361" s="1390"/>
      <c r="E361" s="1390"/>
      <c r="F361" s="1390"/>
      <c r="G361" s="1390"/>
      <c r="H361" s="1390"/>
      <c r="I361" s="1390"/>
      <c r="J361" s="1390"/>
      <c r="K361" s="1390"/>
      <c r="L361" s="1390"/>
      <c r="M361" s="1390"/>
      <c r="N361" s="1390"/>
      <c r="O361" s="1390"/>
      <c r="P361" s="1390"/>
      <c r="Q361" s="1390"/>
      <c r="R361" s="1390"/>
      <c r="S361" s="1390"/>
      <c r="T361" s="1390"/>
      <c r="U361" s="1390"/>
      <c r="V361" s="1390"/>
      <c r="W361" s="1390"/>
      <c r="X361" s="1390"/>
      <c r="Y361" s="1390"/>
      <c r="Z361" s="1390"/>
      <c r="AA361" s="1390"/>
      <c r="AB361" s="1390"/>
      <c r="AC361" s="1390"/>
      <c r="AD361" s="1390"/>
      <c r="AE361" s="1390"/>
      <c r="AF361" s="1390"/>
      <c r="AG361" s="1390"/>
      <c r="AH361" s="1390"/>
      <c r="AI361" s="1390"/>
      <c r="AJ361" s="1390"/>
      <c r="AK361" s="1390"/>
    </row>
    <row r="362" spans="3:37" ht="17.25" customHeight="1" x14ac:dyDescent="0.35">
      <c r="C362" s="1390"/>
      <c r="D362" s="1390"/>
      <c r="E362" s="1390"/>
      <c r="F362" s="1390"/>
      <c r="G362" s="1390"/>
      <c r="H362" s="1390"/>
      <c r="I362" s="1390"/>
      <c r="J362" s="1390"/>
      <c r="K362" s="1390"/>
      <c r="L362" s="1390"/>
      <c r="M362" s="1390"/>
      <c r="N362" s="1390"/>
      <c r="O362" s="1390"/>
      <c r="P362" s="1390"/>
      <c r="Q362" s="1390"/>
      <c r="R362" s="1390"/>
      <c r="S362" s="1390"/>
      <c r="T362" s="1390"/>
      <c r="U362" s="1390"/>
      <c r="V362" s="1390"/>
      <c r="W362" s="1390"/>
      <c r="X362" s="1390"/>
      <c r="Y362" s="1390"/>
      <c r="Z362" s="1390"/>
      <c r="AA362" s="1390"/>
      <c r="AB362" s="1390"/>
      <c r="AC362" s="1390"/>
      <c r="AD362" s="1390"/>
      <c r="AE362" s="1390"/>
      <c r="AF362" s="1390"/>
      <c r="AG362" s="1390"/>
      <c r="AH362" s="1390"/>
      <c r="AI362" s="1390"/>
      <c r="AJ362" s="1390"/>
      <c r="AK362" s="1390"/>
    </row>
    <row r="363" spans="3:37" ht="17.25" customHeight="1" x14ac:dyDescent="0.35">
      <c r="C363" s="1390"/>
      <c r="D363" s="1390"/>
      <c r="E363" s="1390"/>
      <c r="F363" s="1390"/>
      <c r="G363" s="1390"/>
      <c r="H363" s="1390"/>
      <c r="I363" s="1390"/>
      <c r="J363" s="1390"/>
      <c r="K363" s="1390"/>
      <c r="L363" s="1390"/>
      <c r="M363" s="1390"/>
      <c r="N363" s="1390"/>
      <c r="O363" s="1390"/>
      <c r="P363" s="1390"/>
      <c r="Q363" s="1390"/>
      <c r="R363" s="1390"/>
      <c r="S363" s="1390"/>
      <c r="T363" s="1390"/>
      <c r="U363" s="1390"/>
      <c r="V363" s="1390"/>
      <c r="W363" s="1390"/>
      <c r="X363" s="1390"/>
      <c r="Y363" s="1390"/>
      <c r="Z363" s="1390"/>
      <c r="AA363" s="1390"/>
      <c r="AB363" s="1390"/>
      <c r="AC363" s="1390"/>
      <c r="AD363" s="1390"/>
      <c r="AE363" s="1390"/>
      <c r="AF363" s="1390"/>
      <c r="AG363" s="1390"/>
      <c r="AH363" s="1390"/>
      <c r="AI363" s="1390"/>
      <c r="AJ363" s="1390"/>
      <c r="AK363" s="1390"/>
    </row>
    <row r="364" spans="3:37" ht="17.25" customHeight="1" x14ac:dyDescent="0.35">
      <c r="C364" s="1390"/>
      <c r="D364" s="1390"/>
      <c r="E364" s="1390"/>
      <c r="F364" s="1390"/>
      <c r="G364" s="1390"/>
      <c r="H364" s="1390"/>
      <c r="I364" s="1390"/>
      <c r="J364" s="1390"/>
      <c r="K364" s="1390"/>
      <c r="L364" s="1390"/>
      <c r="M364" s="1390"/>
      <c r="N364" s="1390"/>
      <c r="O364" s="1390"/>
      <c r="P364" s="1390"/>
      <c r="Q364" s="1390"/>
      <c r="R364" s="1390"/>
      <c r="S364" s="1390"/>
      <c r="T364" s="1390"/>
      <c r="U364" s="1390"/>
      <c r="V364" s="1390"/>
      <c r="W364" s="1390"/>
      <c r="X364" s="1390"/>
      <c r="Y364" s="1390"/>
      <c r="Z364" s="1390"/>
      <c r="AA364" s="1390"/>
      <c r="AB364" s="1390"/>
      <c r="AC364" s="1390"/>
      <c r="AD364" s="1390"/>
      <c r="AE364" s="1390"/>
      <c r="AF364" s="1390"/>
      <c r="AG364" s="1390"/>
      <c r="AH364" s="1390"/>
      <c r="AI364" s="1390"/>
      <c r="AJ364" s="1390"/>
      <c r="AK364" s="1390"/>
    </row>
    <row r="365" spans="3:37" ht="17.25" customHeight="1" x14ac:dyDescent="0.35">
      <c r="C365" s="1390"/>
      <c r="D365" s="1390"/>
      <c r="E365" s="1390"/>
      <c r="F365" s="1390"/>
      <c r="G365" s="1390"/>
      <c r="H365" s="1390"/>
      <c r="I365" s="1390"/>
      <c r="J365" s="1390"/>
      <c r="K365" s="1390"/>
      <c r="L365" s="1390"/>
      <c r="M365" s="1390"/>
      <c r="N365" s="1390"/>
      <c r="O365" s="1390"/>
      <c r="P365" s="1390"/>
      <c r="Q365" s="1390"/>
      <c r="R365" s="1390"/>
      <c r="S365" s="1390"/>
      <c r="T365" s="1390"/>
      <c r="U365" s="1390"/>
      <c r="V365" s="1390"/>
      <c r="W365" s="1390"/>
      <c r="X365" s="1390"/>
      <c r="Y365" s="1390"/>
      <c r="Z365" s="1390"/>
      <c r="AA365" s="1390"/>
      <c r="AB365" s="1390"/>
      <c r="AC365" s="1390"/>
      <c r="AD365" s="1390"/>
      <c r="AE365" s="1390"/>
      <c r="AF365" s="1390"/>
      <c r="AG365" s="1390"/>
      <c r="AH365" s="1390"/>
      <c r="AI365" s="1390"/>
      <c r="AJ365" s="1390"/>
      <c r="AK365" s="1390"/>
    </row>
    <row r="366" spans="3:37" ht="17.25" customHeight="1" x14ac:dyDescent="0.35">
      <c r="C366" s="1390"/>
      <c r="D366" s="1390"/>
      <c r="E366" s="1390"/>
      <c r="F366" s="1390"/>
      <c r="G366" s="1390"/>
      <c r="H366" s="1390"/>
      <c r="I366" s="1390"/>
      <c r="J366" s="1390"/>
      <c r="K366" s="1390"/>
      <c r="L366" s="1390"/>
      <c r="M366" s="1390"/>
      <c r="N366" s="1390"/>
      <c r="O366" s="1390"/>
      <c r="P366" s="1390"/>
      <c r="Q366" s="1390"/>
      <c r="R366" s="1390"/>
      <c r="S366" s="1390"/>
      <c r="T366" s="1390"/>
      <c r="U366" s="1390"/>
      <c r="V366" s="1390"/>
      <c r="W366" s="1390"/>
      <c r="X366" s="1390"/>
      <c r="Y366" s="1390"/>
      <c r="Z366" s="1390"/>
      <c r="AA366" s="1390"/>
      <c r="AB366" s="1390"/>
      <c r="AC366" s="1390"/>
      <c r="AD366" s="1390"/>
      <c r="AE366" s="1390"/>
      <c r="AF366" s="1390"/>
      <c r="AG366" s="1390"/>
      <c r="AH366" s="1390"/>
      <c r="AI366" s="1390"/>
      <c r="AJ366" s="1390"/>
      <c r="AK366" s="1390"/>
    </row>
    <row r="367" spans="3:37" ht="17.25" customHeight="1" x14ac:dyDescent="0.35">
      <c r="C367" s="1390"/>
      <c r="D367" s="1390"/>
      <c r="E367" s="1390"/>
      <c r="F367" s="1390"/>
      <c r="G367" s="1390"/>
      <c r="H367" s="1390"/>
      <c r="I367" s="1390"/>
      <c r="J367" s="1390"/>
      <c r="K367" s="1390"/>
      <c r="L367" s="1390"/>
      <c r="M367" s="1390"/>
      <c r="N367" s="1390"/>
      <c r="O367" s="1390"/>
      <c r="P367" s="1390"/>
      <c r="Q367" s="1390"/>
      <c r="R367" s="1390"/>
      <c r="S367" s="1390"/>
      <c r="T367" s="1390"/>
      <c r="U367" s="1390"/>
      <c r="V367" s="1390"/>
      <c r="W367" s="1390"/>
      <c r="X367" s="1390"/>
      <c r="Y367" s="1390"/>
      <c r="Z367" s="1390"/>
      <c r="AA367" s="1390"/>
      <c r="AB367" s="1390"/>
      <c r="AC367" s="1390"/>
      <c r="AD367" s="1390"/>
      <c r="AE367" s="1390"/>
      <c r="AF367" s="1390"/>
      <c r="AG367" s="1390"/>
      <c r="AH367" s="1390"/>
      <c r="AI367" s="1390"/>
      <c r="AJ367" s="1390"/>
      <c r="AK367" s="1390"/>
    </row>
    <row r="368" spans="3:37" ht="17.25" customHeight="1" x14ac:dyDescent="0.35">
      <c r="C368" s="1390"/>
      <c r="D368" s="1390"/>
      <c r="E368" s="1390"/>
      <c r="F368" s="1390"/>
      <c r="G368" s="1390"/>
      <c r="H368" s="1390"/>
      <c r="I368" s="1390"/>
      <c r="J368" s="1390"/>
      <c r="K368" s="1390"/>
      <c r="L368" s="1390"/>
      <c r="M368" s="1390"/>
      <c r="N368" s="1390"/>
      <c r="O368" s="1390"/>
      <c r="P368" s="1390"/>
      <c r="Q368" s="1390"/>
      <c r="R368" s="1390"/>
      <c r="S368" s="1390"/>
      <c r="T368" s="1390"/>
      <c r="U368" s="1390"/>
      <c r="V368" s="1390"/>
      <c r="W368" s="1390"/>
      <c r="X368" s="1390"/>
      <c r="Y368" s="1390"/>
      <c r="Z368" s="1390"/>
      <c r="AA368" s="1390"/>
      <c r="AB368" s="1390"/>
      <c r="AC368" s="1390"/>
      <c r="AD368" s="1390"/>
      <c r="AE368" s="1390"/>
      <c r="AF368" s="1390"/>
      <c r="AG368" s="1390"/>
      <c r="AH368" s="1390"/>
      <c r="AI368" s="1390"/>
      <c r="AJ368" s="1390"/>
      <c r="AK368" s="1390"/>
    </row>
    <row r="369" spans="3:37" ht="17.25" customHeight="1" x14ac:dyDescent="0.35">
      <c r="C369" s="1390"/>
      <c r="D369" s="1390"/>
      <c r="E369" s="1390"/>
      <c r="F369" s="1390"/>
      <c r="G369" s="1390"/>
      <c r="H369" s="1390"/>
      <c r="I369" s="1390"/>
      <c r="J369" s="1390"/>
      <c r="K369" s="1390"/>
      <c r="L369" s="1390"/>
      <c r="M369" s="1390"/>
      <c r="N369" s="1390"/>
      <c r="O369" s="1390"/>
      <c r="P369" s="1390"/>
      <c r="Q369" s="1390"/>
      <c r="R369" s="1390"/>
      <c r="S369" s="1390"/>
      <c r="T369" s="1390"/>
      <c r="U369" s="1390"/>
      <c r="V369" s="1390"/>
      <c r="W369" s="1390"/>
      <c r="X369" s="1390"/>
      <c r="Y369" s="1390"/>
      <c r="Z369" s="1390"/>
      <c r="AA369" s="1390"/>
      <c r="AB369" s="1390"/>
      <c r="AC369" s="1390"/>
      <c r="AD369" s="1390"/>
      <c r="AE369" s="1390"/>
      <c r="AF369" s="1390"/>
      <c r="AG369" s="1390"/>
      <c r="AH369" s="1390"/>
      <c r="AI369" s="1390"/>
      <c r="AJ369" s="1390"/>
      <c r="AK369" s="1390"/>
    </row>
    <row r="370" spans="3:37" ht="17.25" customHeight="1" x14ac:dyDescent="0.35">
      <c r="C370" s="1390"/>
      <c r="D370" s="1390"/>
      <c r="E370" s="1390"/>
      <c r="F370" s="1390"/>
      <c r="G370" s="1390"/>
      <c r="H370" s="1390"/>
      <c r="I370" s="1390"/>
      <c r="J370" s="1390"/>
      <c r="K370" s="1390"/>
      <c r="L370" s="1390"/>
      <c r="M370" s="1390"/>
      <c r="N370" s="1390"/>
      <c r="O370" s="1390"/>
      <c r="P370" s="1390"/>
      <c r="Q370" s="1390"/>
      <c r="R370" s="1390"/>
      <c r="S370" s="1390"/>
      <c r="T370" s="1390"/>
      <c r="U370" s="1390"/>
      <c r="V370" s="1390"/>
      <c r="W370" s="1390"/>
      <c r="X370" s="1390"/>
      <c r="Y370" s="1390"/>
      <c r="Z370" s="1390"/>
      <c r="AA370" s="1390"/>
      <c r="AB370" s="1390"/>
      <c r="AC370" s="1390"/>
      <c r="AD370" s="1390"/>
      <c r="AE370" s="1390"/>
      <c r="AF370" s="1390"/>
      <c r="AG370" s="1390"/>
      <c r="AH370" s="1390"/>
      <c r="AI370" s="1390"/>
      <c r="AJ370" s="1390"/>
      <c r="AK370" s="1390"/>
    </row>
    <row r="371" spans="3:37" ht="17.25" customHeight="1" x14ac:dyDescent="0.35">
      <c r="C371" s="1390"/>
      <c r="D371" s="1390"/>
      <c r="E371" s="1390"/>
      <c r="F371" s="1390"/>
      <c r="G371" s="1390"/>
      <c r="H371" s="1390"/>
      <c r="I371" s="1390"/>
      <c r="J371" s="1390"/>
      <c r="K371" s="1390"/>
      <c r="L371" s="1390"/>
      <c r="M371" s="1390"/>
      <c r="N371" s="1390"/>
      <c r="O371" s="1390"/>
      <c r="P371" s="1390"/>
      <c r="Q371" s="1390"/>
      <c r="R371" s="1390"/>
      <c r="S371" s="1390"/>
      <c r="T371" s="1390"/>
      <c r="U371" s="1390"/>
      <c r="V371" s="1390"/>
      <c r="W371" s="1390"/>
      <c r="X371" s="1390"/>
      <c r="Y371" s="1390"/>
      <c r="Z371" s="1390"/>
      <c r="AA371" s="1390"/>
      <c r="AB371" s="1390"/>
      <c r="AC371" s="1390"/>
      <c r="AD371" s="1390"/>
      <c r="AE371" s="1390"/>
      <c r="AF371" s="1390"/>
      <c r="AG371" s="1390"/>
      <c r="AH371" s="1390"/>
      <c r="AI371" s="1390"/>
      <c r="AJ371" s="1390"/>
      <c r="AK371" s="1390"/>
    </row>
    <row r="372" spans="3:37" ht="17.25" customHeight="1" x14ac:dyDescent="0.35">
      <c r="C372" s="1390"/>
      <c r="D372" s="1390"/>
      <c r="E372" s="1390"/>
      <c r="F372" s="1390"/>
      <c r="G372" s="1390"/>
      <c r="H372" s="1390"/>
      <c r="I372" s="1390"/>
      <c r="J372" s="1390"/>
      <c r="K372" s="1390"/>
      <c r="L372" s="1390"/>
      <c r="M372" s="1390"/>
      <c r="N372" s="1390"/>
      <c r="O372" s="1390"/>
      <c r="P372" s="1390"/>
      <c r="Q372" s="1390"/>
      <c r="R372" s="1390"/>
      <c r="S372" s="1390"/>
      <c r="T372" s="1390"/>
      <c r="U372" s="1390"/>
      <c r="V372" s="1390"/>
      <c r="W372" s="1390"/>
      <c r="X372" s="1390"/>
      <c r="Y372" s="1390"/>
      <c r="Z372" s="1390"/>
      <c r="AA372" s="1390"/>
      <c r="AB372" s="1390"/>
      <c r="AC372" s="1390"/>
      <c r="AD372" s="1390"/>
      <c r="AE372" s="1390"/>
      <c r="AF372" s="1390"/>
      <c r="AG372" s="1390"/>
      <c r="AH372" s="1390"/>
      <c r="AI372" s="1390"/>
      <c r="AJ372" s="1390"/>
      <c r="AK372" s="1390"/>
    </row>
    <row r="373" spans="3:37" ht="17.25" customHeight="1" x14ac:dyDescent="0.35">
      <c r="C373" s="1390"/>
      <c r="D373" s="1390"/>
      <c r="E373" s="1390"/>
      <c r="F373" s="1390"/>
      <c r="G373" s="1390"/>
      <c r="H373" s="1390"/>
      <c r="I373" s="1390"/>
      <c r="J373" s="1390"/>
      <c r="K373" s="1390"/>
      <c r="L373" s="1390"/>
      <c r="M373" s="1390"/>
      <c r="N373" s="1390"/>
      <c r="O373" s="1390"/>
      <c r="P373" s="1390"/>
      <c r="Q373" s="1390"/>
      <c r="R373" s="1390"/>
      <c r="S373" s="1390"/>
      <c r="T373" s="1390"/>
      <c r="U373" s="1390"/>
      <c r="V373" s="1390"/>
      <c r="W373" s="1390"/>
      <c r="X373" s="1390"/>
      <c r="Y373" s="1390"/>
      <c r="Z373" s="1390"/>
      <c r="AA373" s="1390"/>
      <c r="AB373" s="1390"/>
      <c r="AC373" s="1390"/>
      <c r="AD373" s="1390"/>
      <c r="AE373" s="1390"/>
      <c r="AF373" s="1390"/>
      <c r="AG373" s="1390"/>
      <c r="AH373" s="1390"/>
      <c r="AI373" s="1390"/>
      <c r="AJ373" s="1390"/>
      <c r="AK373" s="1390"/>
    </row>
    <row r="374" spans="3:37" ht="17.25" customHeight="1" x14ac:dyDescent="0.35">
      <c r="C374" s="1390"/>
      <c r="D374" s="1390"/>
      <c r="E374" s="1390"/>
      <c r="F374" s="1390"/>
      <c r="G374" s="1390"/>
      <c r="H374" s="1390"/>
      <c r="I374" s="1390"/>
      <c r="J374" s="1390"/>
      <c r="K374" s="1390"/>
      <c r="L374" s="1390"/>
      <c r="M374" s="1390"/>
      <c r="N374" s="1390"/>
      <c r="O374" s="1390"/>
      <c r="P374" s="1390"/>
      <c r="Q374" s="1390"/>
      <c r="R374" s="1390"/>
      <c r="S374" s="1390"/>
      <c r="T374" s="1390"/>
      <c r="U374" s="1390"/>
      <c r="V374" s="1390"/>
      <c r="W374" s="1390"/>
      <c r="X374" s="1390"/>
      <c r="Y374" s="1390"/>
      <c r="Z374" s="1390"/>
      <c r="AA374" s="1390"/>
      <c r="AB374" s="1390"/>
      <c r="AC374" s="1390"/>
      <c r="AD374" s="1390"/>
      <c r="AE374" s="1390"/>
      <c r="AF374" s="1390"/>
      <c r="AG374" s="1390"/>
      <c r="AH374" s="1390"/>
      <c r="AI374" s="1390"/>
      <c r="AJ374" s="1390"/>
      <c r="AK374" s="1390"/>
    </row>
    <row r="375" spans="3:37" ht="17.25" customHeight="1" x14ac:dyDescent="0.35">
      <c r="C375" s="1390"/>
      <c r="D375" s="1390"/>
      <c r="E375" s="1390"/>
      <c r="F375" s="1390"/>
      <c r="G375" s="1390"/>
      <c r="H375" s="1390"/>
      <c r="I375" s="1390"/>
      <c r="J375" s="1390"/>
      <c r="K375" s="1390"/>
      <c r="L375" s="1390"/>
      <c r="M375" s="1390"/>
      <c r="N375" s="1390"/>
      <c r="O375" s="1390"/>
      <c r="P375" s="1390"/>
      <c r="Q375" s="1390"/>
      <c r="R375" s="1390"/>
      <c r="S375" s="1390"/>
      <c r="T375" s="1390"/>
      <c r="U375" s="1390"/>
      <c r="V375" s="1390"/>
      <c r="W375" s="1390"/>
      <c r="X375" s="1390"/>
      <c r="Y375" s="1390"/>
      <c r="Z375" s="1390"/>
      <c r="AA375" s="1390"/>
      <c r="AB375" s="1390"/>
      <c r="AC375" s="1390"/>
      <c r="AD375" s="1390"/>
      <c r="AE375" s="1390"/>
      <c r="AF375" s="1390"/>
      <c r="AG375" s="1390"/>
      <c r="AH375" s="1390"/>
      <c r="AI375" s="1390"/>
      <c r="AJ375" s="1390"/>
      <c r="AK375" s="1390"/>
    </row>
    <row r="376" spans="3:37" ht="17.25" customHeight="1" x14ac:dyDescent="0.35">
      <c r="C376" s="1390"/>
      <c r="D376" s="1390"/>
      <c r="E376" s="1390"/>
      <c r="F376" s="1390"/>
      <c r="G376" s="1390"/>
      <c r="H376" s="1390"/>
      <c r="I376" s="1390"/>
      <c r="J376" s="1390"/>
      <c r="K376" s="1390"/>
      <c r="L376" s="1390"/>
      <c r="M376" s="1390"/>
      <c r="N376" s="1390"/>
      <c r="O376" s="1390"/>
      <c r="P376" s="1390"/>
      <c r="Q376" s="1390"/>
      <c r="R376" s="1390"/>
      <c r="S376" s="1390"/>
      <c r="T376" s="1390"/>
      <c r="U376" s="1390"/>
      <c r="V376" s="1390"/>
      <c r="W376" s="1390"/>
      <c r="X376" s="1390"/>
      <c r="Y376" s="1390"/>
      <c r="Z376" s="1390"/>
      <c r="AA376" s="1390"/>
      <c r="AB376" s="1390"/>
      <c r="AC376" s="1390"/>
      <c r="AD376" s="1390"/>
      <c r="AE376" s="1390"/>
      <c r="AF376" s="1390"/>
      <c r="AG376" s="1390"/>
      <c r="AH376" s="1390"/>
      <c r="AI376" s="1390"/>
      <c r="AJ376" s="1390"/>
      <c r="AK376" s="1390"/>
    </row>
    <row r="377" spans="3:37" ht="17.25" customHeight="1" x14ac:dyDescent="0.35">
      <c r="C377" s="1390"/>
      <c r="D377" s="1390"/>
      <c r="E377" s="1390"/>
      <c r="F377" s="1390"/>
      <c r="G377" s="1390"/>
      <c r="H377" s="1390"/>
      <c r="I377" s="1390"/>
      <c r="J377" s="1390"/>
      <c r="K377" s="1390"/>
      <c r="L377" s="1390"/>
      <c r="M377" s="1390"/>
      <c r="N377" s="1390"/>
      <c r="O377" s="1390"/>
      <c r="P377" s="1390"/>
      <c r="Q377" s="1390"/>
      <c r="R377" s="1390"/>
      <c r="S377" s="1390"/>
      <c r="T377" s="1390"/>
      <c r="U377" s="1390"/>
      <c r="V377" s="1390"/>
      <c r="W377" s="1390"/>
      <c r="X377" s="1390"/>
      <c r="Y377" s="1390"/>
      <c r="Z377" s="1390"/>
      <c r="AA377" s="1390"/>
      <c r="AB377" s="1390"/>
      <c r="AC377" s="1390"/>
      <c r="AD377" s="1390"/>
      <c r="AE377" s="1390"/>
      <c r="AF377" s="1390"/>
      <c r="AG377" s="1390"/>
      <c r="AH377" s="1390"/>
      <c r="AI377" s="1390"/>
      <c r="AJ377" s="1390"/>
      <c r="AK377" s="1390"/>
    </row>
    <row r="378" spans="3:37" ht="17.25" customHeight="1" x14ac:dyDescent="0.35">
      <c r="C378" s="1390"/>
      <c r="D378" s="1390"/>
      <c r="E378" s="1390"/>
      <c r="F378" s="1390"/>
      <c r="G378" s="1390"/>
      <c r="H378" s="1390"/>
      <c r="I378" s="1390"/>
      <c r="J378" s="1390"/>
      <c r="K378" s="1390"/>
      <c r="L378" s="1390"/>
      <c r="M378" s="1390"/>
      <c r="N378" s="1390"/>
      <c r="O378" s="1390"/>
      <c r="P378" s="1390"/>
      <c r="Q378" s="1390"/>
      <c r="R378" s="1390"/>
      <c r="S378" s="1390"/>
      <c r="T378" s="1390"/>
      <c r="U378" s="1390"/>
      <c r="V378" s="1390"/>
      <c r="W378" s="1390"/>
      <c r="X378" s="1390"/>
      <c r="Y378" s="1390"/>
      <c r="Z378" s="1390"/>
      <c r="AA378" s="1390"/>
      <c r="AB378" s="1390"/>
      <c r="AC378" s="1390"/>
      <c r="AD378" s="1390"/>
      <c r="AE378" s="1390"/>
      <c r="AF378" s="1390"/>
      <c r="AG378" s="1390"/>
      <c r="AH378" s="1390"/>
      <c r="AI378" s="1390"/>
      <c r="AJ378" s="1390"/>
      <c r="AK378" s="1390"/>
    </row>
    <row r="379" spans="3:37" ht="17.25" customHeight="1" x14ac:dyDescent="0.35">
      <c r="C379" s="1390"/>
      <c r="D379" s="1390"/>
      <c r="E379" s="1390"/>
      <c r="F379" s="1390"/>
      <c r="G379" s="1390"/>
      <c r="H379" s="1390"/>
      <c r="I379" s="1390"/>
      <c r="J379" s="1390"/>
      <c r="K379" s="1390"/>
      <c r="L379" s="1390"/>
      <c r="M379" s="1390"/>
      <c r="N379" s="1390"/>
      <c r="O379" s="1390"/>
      <c r="P379" s="1390"/>
      <c r="Q379" s="1390"/>
      <c r="R379" s="1390"/>
      <c r="S379" s="1390"/>
      <c r="T379" s="1390"/>
      <c r="U379" s="1390"/>
      <c r="V379" s="1390"/>
      <c r="W379" s="1390"/>
      <c r="X379" s="1390"/>
      <c r="Y379" s="1390"/>
      <c r="Z379" s="1390"/>
      <c r="AA379" s="1390"/>
      <c r="AB379" s="1390"/>
      <c r="AC379" s="1390"/>
      <c r="AD379" s="1390"/>
      <c r="AE379" s="1390"/>
      <c r="AF379" s="1390"/>
      <c r="AG379" s="1390"/>
      <c r="AH379" s="1390"/>
      <c r="AI379" s="1390"/>
      <c r="AJ379" s="1390"/>
      <c r="AK379" s="1390"/>
    </row>
    <row r="380" spans="3:37" ht="17.25" customHeight="1" x14ac:dyDescent="0.35">
      <c r="C380" s="1390"/>
      <c r="D380" s="1390"/>
      <c r="E380" s="1390"/>
      <c r="F380" s="1390"/>
      <c r="G380" s="1390"/>
      <c r="H380" s="1390"/>
      <c r="I380" s="1390"/>
      <c r="J380" s="1390"/>
      <c r="K380" s="1390"/>
      <c r="L380" s="1390"/>
      <c r="M380" s="1390"/>
      <c r="N380" s="1390"/>
      <c r="O380" s="1390"/>
      <c r="P380" s="1390"/>
      <c r="Q380" s="1390"/>
      <c r="R380" s="1390"/>
      <c r="S380" s="1390"/>
      <c r="T380" s="1390"/>
      <c r="U380" s="1390"/>
      <c r="V380" s="1390"/>
      <c r="W380" s="1390"/>
      <c r="X380" s="1390"/>
      <c r="Y380" s="1390"/>
      <c r="Z380" s="1390"/>
      <c r="AA380" s="1390"/>
      <c r="AB380" s="1390"/>
      <c r="AC380" s="1390"/>
      <c r="AD380" s="1390"/>
      <c r="AE380" s="1390"/>
      <c r="AF380" s="1390"/>
      <c r="AG380" s="1390"/>
      <c r="AH380" s="1390"/>
      <c r="AI380" s="1390"/>
      <c r="AJ380" s="1390"/>
      <c r="AK380" s="1390"/>
    </row>
    <row r="381" spans="3:37" ht="17.25" customHeight="1" x14ac:dyDescent="0.35">
      <c r="C381" s="1390"/>
      <c r="D381" s="1390"/>
      <c r="E381" s="1390"/>
      <c r="F381" s="1390"/>
      <c r="G381" s="1390"/>
      <c r="H381" s="1390"/>
      <c r="I381" s="1390"/>
      <c r="J381" s="1390"/>
      <c r="K381" s="1390"/>
      <c r="L381" s="1390"/>
      <c r="M381" s="1390"/>
      <c r="N381" s="1390"/>
      <c r="O381" s="1390"/>
      <c r="P381" s="1390"/>
      <c r="Q381" s="1390"/>
      <c r="R381" s="1390"/>
      <c r="S381" s="1390"/>
      <c r="T381" s="1390"/>
      <c r="U381" s="1390"/>
      <c r="V381" s="1390"/>
      <c r="W381" s="1390"/>
      <c r="X381" s="1390"/>
      <c r="Y381" s="1390"/>
      <c r="Z381" s="1390"/>
      <c r="AA381" s="1390"/>
      <c r="AB381" s="1390"/>
      <c r="AC381" s="1390"/>
      <c r="AD381" s="1390"/>
      <c r="AE381" s="1390"/>
      <c r="AF381" s="1390"/>
      <c r="AG381" s="1390"/>
      <c r="AH381" s="1390"/>
      <c r="AI381" s="1390"/>
      <c r="AJ381" s="1390"/>
      <c r="AK381" s="1390"/>
    </row>
    <row r="382" spans="3:37" ht="17.25" customHeight="1" x14ac:dyDescent="0.35">
      <c r="C382" s="1390"/>
      <c r="D382" s="1390"/>
      <c r="E382" s="1390"/>
      <c r="F382" s="1390"/>
      <c r="G382" s="1390"/>
      <c r="H382" s="1390"/>
      <c r="I382" s="1390"/>
      <c r="J382" s="1390"/>
      <c r="K382" s="1390"/>
      <c r="L382" s="1390"/>
      <c r="M382" s="1390"/>
      <c r="N382" s="1390"/>
      <c r="O382" s="1390"/>
      <c r="P382" s="1390"/>
      <c r="Q382" s="1390"/>
      <c r="R382" s="1390"/>
      <c r="S382" s="1390"/>
      <c r="T382" s="1390"/>
      <c r="U382" s="1390"/>
      <c r="V382" s="1390"/>
      <c r="W382" s="1390"/>
      <c r="X382" s="1390"/>
      <c r="Y382" s="1390"/>
      <c r="Z382" s="1390"/>
      <c r="AA382" s="1390"/>
      <c r="AB382" s="1390"/>
      <c r="AC382" s="1390"/>
      <c r="AD382" s="1390"/>
      <c r="AE382" s="1390"/>
      <c r="AF382" s="1390"/>
      <c r="AG382" s="1390"/>
      <c r="AH382" s="1390"/>
      <c r="AI382" s="1390"/>
      <c r="AJ382" s="1390"/>
      <c r="AK382" s="1390"/>
    </row>
    <row r="383" spans="3:37" ht="17.25" customHeight="1" x14ac:dyDescent="0.35">
      <c r="C383" s="1390"/>
      <c r="D383" s="1390"/>
      <c r="E383" s="1390"/>
      <c r="F383" s="1390"/>
      <c r="G383" s="1390"/>
      <c r="H383" s="1390"/>
      <c r="I383" s="1390"/>
      <c r="J383" s="1390"/>
      <c r="K383" s="1390"/>
      <c r="L383" s="1390"/>
      <c r="M383" s="1390"/>
      <c r="N383" s="1390"/>
      <c r="O383" s="1390"/>
      <c r="P383" s="1390"/>
      <c r="Q383" s="1390"/>
      <c r="R383" s="1390"/>
      <c r="S383" s="1390"/>
      <c r="T383" s="1390"/>
      <c r="U383" s="1390"/>
      <c r="V383" s="1390"/>
      <c r="W383" s="1390"/>
      <c r="X383" s="1390"/>
      <c r="Y383" s="1390"/>
      <c r="Z383" s="1390"/>
      <c r="AA383" s="1390"/>
      <c r="AB383" s="1390"/>
      <c r="AC383" s="1390"/>
      <c r="AD383" s="1390"/>
      <c r="AE383" s="1390"/>
      <c r="AF383" s="1390"/>
      <c r="AG383" s="1390"/>
      <c r="AH383" s="1390"/>
      <c r="AI383" s="1390"/>
      <c r="AJ383" s="1390"/>
      <c r="AK383" s="1390"/>
    </row>
    <row r="384" spans="3:37" ht="17.25" customHeight="1" x14ac:dyDescent="0.35">
      <c r="C384" s="1390"/>
      <c r="D384" s="1390"/>
      <c r="E384" s="1390"/>
      <c r="F384" s="1390"/>
      <c r="G384" s="1390"/>
      <c r="H384" s="1390"/>
      <c r="I384" s="1390"/>
      <c r="J384" s="1390"/>
      <c r="K384" s="1390"/>
      <c r="L384" s="1390"/>
      <c r="M384" s="1390"/>
      <c r="N384" s="1390"/>
      <c r="O384" s="1390"/>
      <c r="P384" s="1390"/>
      <c r="Q384" s="1390"/>
      <c r="R384" s="1390"/>
      <c r="S384" s="1390"/>
      <c r="T384" s="1390"/>
      <c r="U384" s="1390"/>
      <c r="V384" s="1390"/>
      <c r="W384" s="1390"/>
      <c r="X384" s="1390"/>
      <c r="Y384" s="1390"/>
      <c r="Z384" s="1390"/>
      <c r="AA384" s="1390"/>
      <c r="AB384" s="1390"/>
      <c r="AC384" s="1390"/>
      <c r="AD384" s="1390"/>
      <c r="AE384" s="1390"/>
      <c r="AF384" s="1390"/>
      <c r="AG384" s="1390"/>
      <c r="AH384" s="1390"/>
      <c r="AI384" s="1390"/>
      <c r="AJ384" s="1390"/>
      <c r="AK384" s="1390"/>
    </row>
    <row r="385" spans="3:37" ht="17.25" customHeight="1" x14ac:dyDescent="0.35">
      <c r="C385" s="1390"/>
      <c r="D385" s="1390"/>
      <c r="E385" s="1390"/>
      <c r="F385" s="1390"/>
      <c r="G385" s="1390"/>
      <c r="H385" s="1390"/>
      <c r="I385" s="1390"/>
      <c r="J385" s="1390"/>
      <c r="K385" s="1390"/>
      <c r="L385" s="1390"/>
      <c r="M385" s="1390"/>
      <c r="N385" s="1390"/>
      <c r="O385" s="1390"/>
      <c r="P385" s="1390"/>
      <c r="Q385" s="1390"/>
      <c r="R385" s="1390"/>
      <c r="S385" s="1390"/>
      <c r="T385" s="1390"/>
      <c r="U385" s="1390"/>
      <c r="V385" s="1390"/>
      <c r="W385" s="1390"/>
      <c r="X385" s="1390"/>
      <c r="Y385" s="1390"/>
      <c r="Z385" s="1390"/>
      <c r="AA385" s="1390"/>
      <c r="AB385" s="1390"/>
      <c r="AC385" s="1390"/>
      <c r="AD385" s="1390"/>
      <c r="AE385" s="1390"/>
      <c r="AF385" s="1390"/>
      <c r="AG385" s="1390"/>
      <c r="AH385" s="1390"/>
      <c r="AI385" s="1390"/>
      <c r="AJ385" s="1390"/>
      <c r="AK385" s="1390"/>
    </row>
    <row r="386" spans="3:37" ht="17.25" customHeight="1" x14ac:dyDescent="0.35">
      <c r="C386" s="1390"/>
      <c r="D386" s="1390"/>
      <c r="E386" s="1390"/>
      <c r="F386" s="1390"/>
      <c r="G386" s="1390"/>
      <c r="H386" s="1390"/>
      <c r="I386" s="1390"/>
      <c r="J386" s="1390"/>
      <c r="K386" s="1390"/>
      <c r="L386" s="1390"/>
      <c r="M386" s="1390"/>
      <c r="N386" s="1390"/>
      <c r="O386" s="1390"/>
      <c r="P386" s="1390"/>
      <c r="Q386" s="1390"/>
      <c r="R386" s="1390"/>
      <c r="S386" s="1390"/>
      <c r="T386" s="1390"/>
      <c r="U386" s="1390"/>
      <c r="V386" s="1390"/>
      <c r="W386" s="1390"/>
      <c r="X386" s="1390"/>
      <c r="Y386" s="1390"/>
      <c r="Z386" s="1390"/>
      <c r="AA386" s="1390"/>
      <c r="AB386" s="1390"/>
      <c r="AC386" s="1390"/>
      <c r="AD386" s="1390"/>
      <c r="AE386" s="1390"/>
      <c r="AF386" s="1390"/>
      <c r="AG386" s="1390"/>
      <c r="AH386" s="1390"/>
      <c r="AI386" s="1390"/>
      <c r="AJ386" s="1390"/>
      <c r="AK386" s="1390"/>
    </row>
    <row r="387" spans="3:37" ht="17.25" customHeight="1" x14ac:dyDescent="0.35">
      <c r="C387" s="1390"/>
      <c r="D387" s="1390"/>
      <c r="E387" s="1390"/>
      <c r="F387" s="1390"/>
      <c r="G387" s="1390"/>
      <c r="H387" s="1390"/>
      <c r="I387" s="1390"/>
      <c r="J387" s="1390"/>
      <c r="K387" s="1390"/>
      <c r="L387" s="1390"/>
      <c r="M387" s="1390"/>
      <c r="N387" s="1390"/>
      <c r="O387" s="1390"/>
      <c r="P387" s="1390"/>
      <c r="Q387" s="1390"/>
      <c r="R387" s="1390"/>
      <c r="S387" s="1390"/>
      <c r="T387" s="1390"/>
      <c r="U387" s="1390"/>
      <c r="V387" s="1390"/>
      <c r="W387" s="1390"/>
      <c r="X387" s="1390"/>
      <c r="Y387" s="1390"/>
      <c r="Z387" s="1390"/>
      <c r="AA387" s="1390"/>
      <c r="AB387" s="1390"/>
      <c r="AC387" s="1390"/>
      <c r="AD387" s="1390"/>
      <c r="AE387" s="1390"/>
      <c r="AF387" s="1390"/>
      <c r="AG387" s="1390"/>
      <c r="AH387" s="1390"/>
      <c r="AI387" s="1390"/>
      <c r="AJ387" s="1390"/>
      <c r="AK387" s="1390"/>
    </row>
    <row r="388" spans="3:37" ht="17.25" customHeight="1" x14ac:dyDescent="0.35">
      <c r="C388" s="1390"/>
      <c r="D388" s="1390"/>
      <c r="E388" s="1390"/>
      <c r="F388" s="1390"/>
      <c r="G388" s="1390"/>
      <c r="H388" s="1390"/>
      <c r="I388" s="1390"/>
      <c r="J388" s="1390"/>
      <c r="K388" s="1390"/>
      <c r="L388" s="1390"/>
      <c r="M388" s="1390"/>
      <c r="N388" s="1390"/>
      <c r="O388" s="1390"/>
      <c r="P388" s="1390"/>
      <c r="Q388" s="1390"/>
      <c r="R388" s="1390"/>
      <c r="S388" s="1390"/>
      <c r="T388" s="1390"/>
      <c r="U388" s="1390"/>
      <c r="V388" s="1390"/>
      <c r="W388" s="1390"/>
      <c r="X388" s="1390"/>
      <c r="Y388" s="1390"/>
      <c r="Z388" s="1390"/>
      <c r="AA388" s="1390"/>
      <c r="AB388" s="1390"/>
      <c r="AC388" s="1390"/>
      <c r="AD388" s="1390"/>
      <c r="AE388" s="1390"/>
      <c r="AF388" s="1390"/>
      <c r="AG388" s="1390"/>
      <c r="AH388" s="1390"/>
      <c r="AI388" s="1390"/>
      <c r="AJ388" s="1390"/>
      <c r="AK388" s="1390"/>
    </row>
    <row r="389" spans="3:37" ht="17.25" customHeight="1" x14ac:dyDescent="0.35">
      <c r="C389" s="1390"/>
      <c r="D389" s="1390"/>
      <c r="E389" s="1390"/>
      <c r="F389" s="1390"/>
      <c r="G389" s="1390"/>
      <c r="H389" s="1390"/>
      <c r="I389" s="1390"/>
      <c r="J389" s="1390"/>
      <c r="K389" s="1390"/>
      <c r="L389" s="1390"/>
      <c r="M389" s="1390"/>
      <c r="N389" s="1390"/>
      <c r="O389" s="1390"/>
      <c r="P389" s="1390"/>
      <c r="Q389" s="1390"/>
      <c r="R389" s="1390"/>
      <c r="S389" s="1390"/>
      <c r="T389" s="1390"/>
      <c r="U389" s="1390"/>
      <c r="V389" s="1390"/>
      <c r="W389" s="1390"/>
      <c r="X389" s="1390"/>
      <c r="Y389" s="1390"/>
      <c r="Z389" s="1390"/>
      <c r="AA389" s="1390"/>
      <c r="AB389" s="1390"/>
      <c r="AC389" s="1390"/>
      <c r="AD389" s="1390"/>
      <c r="AE389" s="1390"/>
      <c r="AF389" s="1390"/>
      <c r="AG389" s="1390"/>
      <c r="AH389" s="1390"/>
      <c r="AI389" s="1390"/>
      <c r="AJ389" s="1390"/>
      <c r="AK389" s="1390"/>
    </row>
    <row r="390" spans="3:37" ht="17.25" customHeight="1" x14ac:dyDescent="0.35">
      <c r="C390" s="1390"/>
      <c r="D390" s="1390"/>
      <c r="E390" s="1390"/>
      <c r="F390" s="1390"/>
      <c r="G390" s="1390"/>
      <c r="H390" s="1390"/>
      <c r="I390" s="1390"/>
      <c r="J390" s="1390"/>
      <c r="K390" s="1390"/>
      <c r="L390" s="1390"/>
      <c r="M390" s="1390"/>
      <c r="N390" s="1390"/>
      <c r="O390" s="1390"/>
      <c r="P390" s="1390"/>
      <c r="Q390" s="1390"/>
      <c r="R390" s="1390"/>
      <c r="S390" s="1390"/>
      <c r="T390" s="1390"/>
      <c r="U390" s="1390"/>
      <c r="V390" s="1390"/>
      <c r="W390" s="1390"/>
      <c r="X390" s="1390"/>
      <c r="Y390" s="1390"/>
      <c r="Z390" s="1390"/>
      <c r="AA390" s="1390"/>
      <c r="AB390" s="1390"/>
      <c r="AC390" s="1390"/>
      <c r="AD390" s="1390"/>
      <c r="AE390" s="1390"/>
      <c r="AF390" s="1390"/>
      <c r="AG390" s="1390"/>
      <c r="AH390" s="1390"/>
      <c r="AI390" s="1390"/>
      <c r="AJ390" s="1390"/>
      <c r="AK390" s="1390"/>
    </row>
    <row r="391" spans="3:37" ht="17.25" customHeight="1" x14ac:dyDescent="0.35">
      <c r="C391" s="1390"/>
      <c r="D391" s="1390"/>
      <c r="E391" s="1390"/>
      <c r="F391" s="1390"/>
      <c r="G391" s="1390"/>
      <c r="H391" s="1390"/>
      <c r="I391" s="1390"/>
      <c r="J391" s="1390"/>
      <c r="K391" s="1390"/>
      <c r="L391" s="1390"/>
      <c r="M391" s="1390"/>
      <c r="N391" s="1390"/>
      <c r="O391" s="1390"/>
      <c r="P391" s="1390"/>
      <c r="Q391" s="1390"/>
      <c r="R391" s="1390"/>
      <c r="S391" s="1390"/>
      <c r="T391" s="1390"/>
      <c r="U391" s="1390"/>
      <c r="V391" s="1390"/>
      <c r="W391" s="1390"/>
      <c r="X391" s="1390"/>
      <c r="Y391" s="1390"/>
      <c r="Z391" s="1390"/>
      <c r="AA391" s="1390"/>
      <c r="AB391" s="1390"/>
      <c r="AC391" s="1390"/>
      <c r="AD391" s="1390"/>
      <c r="AE391" s="1390"/>
      <c r="AF391" s="1390"/>
      <c r="AG391" s="1390"/>
      <c r="AH391" s="1390"/>
      <c r="AI391" s="1390"/>
      <c r="AJ391" s="1390"/>
      <c r="AK391" s="1390"/>
    </row>
    <row r="392" spans="3:37" ht="17.25" customHeight="1" x14ac:dyDescent="0.35">
      <c r="C392" s="1390"/>
      <c r="D392" s="1390"/>
      <c r="E392" s="1390"/>
      <c r="F392" s="1390"/>
      <c r="G392" s="1390"/>
      <c r="H392" s="1390"/>
      <c r="I392" s="1390"/>
      <c r="J392" s="1390"/>
      <c r="K392" s="1390"/>
      <c r="L392" s="1390"/>
      <c r="M392" s="1390"/>
      <c r="N392" s="1390"/>
      <c r="O392" s="1390"/>
      <c r="P392" s="1390"/>
      <c r="Q392" s="1390"/>
      <c r="R392" s="1390"/>
      <c r="S392" s="1390"/>
      <c r="T392" s="1390"/>
      <c r="U392" s="1390"/>
      <c r="V392" s="1390"/>
      <c r="W392" s="1390"/>
      <c r="X392" s="1390"/>
      <c r="Y392" s="1390"/>
      <c r="Z392" s="1390"/>
      <c r="AA392" s="1390"/>
      <c r="AB392" s="1390"/>
      <c r="AC392" s="1390"/>
      <c r="AD392" s="1390"/>
      <c r="AE392" s="1390"/>
      <c r="AF392" s="1390"/>
      <c r="AG392" s="1390"/>
      <c r="AH392" s="1390"/>
      <c r="AI392" s="1390"/>
      <c r="AJ392" s="1390"/>
      <c r="AK392" s="1390"/>
    </row>
    <row r="393" spans="3:37" ht="17.25" customHeight="1" x14ac:dyDescent="0.35">
      <c r="C393" s="1390"/>
      <c r="D393" s="1390"/>
      <c r="E393" s="1390"/>
      <c r="F393" s="1390"/>
      <c r="G393" s="1390"/>
      <c r="H393" s="1390"/>
      <c r="I393" s="1390"/>
      <c r="J393" s="1390"/>
      <c r="K393" s="1390"/>
      <c r="L393" s="1390"/>
      <c r="M393" s="1390"/>
      <c r="N393" s="1390"/>
      <c r="O393" s="1390"/>
      <c r="P393" s="1390"/>
      <c r="Q393" s="1390"/>
      <c r="R393" s="1390"/>
      <c r="S393" s="1390"/>
      <c r="T393" s="1390"/>
      <c r="U393" s="1390"/>
      <c r="V393" s="1390"/>
      <c r="W393" s="1390"/>
      <c r="X393" s="1390"/>
      <c r="Y393" s="1390"/>
      <c r="Z393" s="1390"/>
      <c r="AA393" s="1390"/>
      <c r="AB393" s="1390"/>
      <c r="AC393" s="1390"/>
      <c r="AD393" s="1390"/>
      <c r="AE393" s="1390"/>
      <c r="AF393" s="1390"/>
      <c r="AG393" s="1390"/>
      <c r="AH393" s="1390"/>
      <c r="AI393" s="1390"/>
      <c r="AJ393" s="1390"/>
      <c r="AK393" s="1390"/>
    </row>
    <row r="394" spans="3:37" ht="17.25" customHeight="1" x14ac:dyDescent="0.35">
      <c r="C394" s="1390"/>
      <c r="D394" s="1390"/>
      <c r="E394" s="1390"/>
      <c r="F394" s="1390"/>
      <c r="G394" s="1390"/>
      <c r="H394" s="1390"/>
      <c r="I394" s="1390"/>
      <c r="J394" s="1390"/>
      <c r="K394" s="1390"/>
      <c r="L394" s="1390"/>
      <c r="M394" s="1390"/>
      <c r="N394" s="1390"/>
      <c r="O394" s="1390"/>
      <c r="P394" s="1390"/>
      <c r="Q394" s="1390"/>
      <c r="R394" s="1390"/>
      <c r="S394" s="1390"/>
      <c r="T394" s="1390"/>
      <c r="U394" s="1390"/>
      <c r="V394" s="1390"/>
      <c r="W394" s="1390"/>
      <c r="X394" s="1390"/>
      <c r="Y394" s="1390"/>
      <c r="Z394" s="1390"/>
      <c r="AA394" s="1390"/>
      <c r="AB394" s="1390"/>
      <c r="AC394" s="1390"/>
      <c r="AD394" s="1390"/>
      <c r="AE394" s="1390"/>
      <c r="AF394" s="1390"/>
      <c r="AG394" s="1390"/>
      <c r="AH394" s="1390"/>
      <c r="AI394" s="1390"/>
      <c r="AJ394" s="1390"/>
      <c r="AK394" s="1390"/>
    </row>
    <row r="395" spans="3:37" ht="17.25" customHeight="1" x14ac:dyDescent="0.35">
      <c r="C395" s="1390"/>
      <c r="D395" s="1390"/>
      <c r="E395" s="1390"/>
      <c r="F395" s="1390"/>
      <c r="G395" s="1390"/>
      <c r="H395" s="1390"/>
      <c r="I395" s="1390"/>
      <c r="J395" s="1390"/>
      <c r="K395" s="1390"/>
      <c r="L395" s="1390"/>
      <c r="M395" s="1390"/>
      <c r="N395" s="1390"/>
      <c r="O395" s="1390"/>
      <c r="P395" s="1390"/>
      <c r="Q395" s="1390"/>
      <c r="R395" s="1390"/>
      <c r="S395" s="1390"/>
      <c r="T395" s="1390"/>
      <c r="U395" s="1390"/>
      <c r="V395" s="1390"/>
      <c r="W395" s="1390"/>
      <c r="X395" s="1390"/>
      <c r="Y395" s="1390"/>
      <c r="Z395" s="1390"/>
      <c r="AA395" s="1390"/>
      <c r="AB395" s="1390"/>
      <c r="AC395" s="1390"/>
      <c r="AD395" s="1390"/>
      <c r="AE395" s="1390"/>
      <c r="AF395" s="1390"/>
      <c r="AG395" s="1390"/>
      <c r="AH395" s="1390"/>
      <c r="AI395" s="1390"/>
      <c r="AJ395" s="1390"/>
      <c r="AK395" s="1390"/>
    </row>
    <row r="396" spans="3:37" ht="17.25" customHeight="1" x14ac:dyDescent="0.35">
      <c r="C396" s="1390"/>
      <c r="D396" s="1390"/>
      <c r="E396" s="1390"/>
      <c r="F396" s="1390"/>
      <c r="G396" s="1390"/>
      <c r="H396" s="1390"/>
      <c r="I396" s="1390"/>
      <c r="J396" s="1390"/>
      <c r="K396" s="1390"/>
      <c r="L396" s="1390"/>
      <c r="M396" s="1390"/>
      <c r="N396" s="1390"/>
      <c r="O396" s="1390"/>
      <c r="P396" s="1390"/>
      <c r="Q396" s="1390"/>
      <c r="R396" s="1390"/>
      <c r="S396" s="1390"/>
      <c r="T396" s="1390"/>
      <c r="U396" s="1390"/>
      <c r="V396" s="1390"/>
      <c r="W396" s="1390"/>
      <c r="X396" s="1390"/>
      <c r="Y396" s="1390"/>
      <c r="Z396" s="1390"/>
      <c r="AA396" s="1390"/>
      <c r="AB396" s="1390"/>
      <c r="AC396" s="1390"/>
      <c r="AD396" s="1390"/>
      <c r="AE396" s="1390"/>
      <c r="AF396" s="1390"/>
      <c r="AG396" s="1390"/>
      <c r="AH396" s="1390"/>
      <c r="AI396" s="1390"/>
      <c r="AJ396" s="1390"/>
      <c r="AK396" s="1390"/>
    </row>
    <row r="397" spans="3:37" ht="17.25" customHeight="1" x14ac:dyDescent="0.35">
      <c r="C397" s="1390"/>
      <c r="D397" s="1390"/>
      <c r="E397" s="1390"/>
      <c r="F397" s="1390"/>
      <c r="G397" s="1390"/>
      <c r="H397" s="1390"/>
      <c r="I397" s="1390"/>
      <c r="J397" s="1390"/>
      <c r="K397" s="1390"/>
      <c r="L397" s="1390"/>
      <c r="M397" s="1390"/>
      <c r="N397" s="1390"/>
      <c r="O397" s="1390"/>
      <c r="P397" s="1390"/>
      <c r="Q397" s="1390"/>
      <c r="R397" s="1390"/>
      <c r="S397" s="1390"/>
      <c r="T397" s="1390"/>
      <c r="U397" s="1390"/>
      <c r="V397" s="1390"/>
      <c r="W397" s="1390"/>
      <c r="X397" s="1390"/>
      <c r="Y397" s="1390"/>
      <c r="Z397" s="1390"/>
      <c r="AA397" s="1390"/>
      <c r="AB397" s="1390"/>
      <c r="AC397" s="1390"/>
      <c r="AD397" s="1390"/>
      <c r="AE397" s="1390"/>
      <c r="AF397" s="1390"/>
      <c r="AG397" s="1390"/>
      <c r="AH397" s="1390"/>
      <c r="AI397" s="1390"/>
      <c r="AJ397" s="1390"/>
      <c r="AK397" s="1390"/>
    </row>
    <row r="398" spans="3:37" ht="17.25" customHeight="1" x14ac:dyDescent="0.35">
      <c r="C398" s="1390"/>
      <c r="D398" s="1390"/>
      <c r="E398" s="1390"/>
      <c r="F398" s="1390"/>
      <c r="G398" s="1390"/>
      <c r="H398" s="1390"/>
      <c r="I398" s="1390"/>
      <c r="J398" s="1390"/>
      <c r="K398" s="1390"/>
      <c r="L398" s="1390"/>
      <c r="M398" s="1390"/>
      <c r="N398" s="1390"/>
      <c r="O398" s="1390"/>
      <c r="P398" s="1390"/>
      <c r="Q398" s="1390"/>
      <c r="R398" s="1390"/>
      <c r="S398" s="1390"/>
      <c r="T398" s="1390"/>
      <c r="U398" s="1390"/>
      <c r="V398" s="1390"/>
      <c r="W398" s="1390"/>
      <c r="X398" s="1390"/>
      <c r="Y398" s="1390"/>
      <c r="Z398" s="1390"/>
      <c r="AA398" s="1390"/>
      <c r="AB398" s="1390"/>
      <c r="AC398" s="1390"/>
      <c r="AD398" s="1390"/>
      <c r="AE398" s="1390"/>
      <c r="AF398" s="1390"/>
      <c r="AG398" s="1390"/>
      <c r="AH398" s="1390"/>
      <c r="AI398" s="1390"/>
      <c r="AJ398" s="1390"/>
      <c r="AK398" s="1390"/>
    </row>
    <row r="399" spans="3:37" ht="17.25" customHeight="1" x14ac:dyDescent="0.35">
      <c r="C399" s="1390"/>
      <c r="D399" s="1390"/>
      <c r="E399" s="1390"/>
      <c r="F399" s="1390"/>
      <c r="G399" s="1390"/>
      <c r="H399" s="1390"/>
      <c r="I399" s="1390"/>
      <c r="J399" s="1390"/>
      <c r="K399" s="1390"/>
      <c r="L399" s="1390"/>
      <c r="M399" s="1390"/>
      <c r="N399" s="1390"/>
      <c r="O399" s="1390"/>
      <c r="P399" s="1390"/>
      <c r="Q399" s="1390"/>
      <c r="R399" s="1390"/>
      <c r="S399" s="1390"/>
      <c r="T399" s="1390"/>
      <c r="U399" s="1390"/>
      <c r="V399" s="1390"/>
      <c r="W399" s="1390"/>
      <c r="X399" s="1390"/>
      <c r="Y399" s="1390"/>
      <c r="Z399" s="1390"/>
      <c r="AA399" s="1390"/>
      <c r="AB399" s="1390"/>
      <c r="AC399" s="1390"/>
      <c r="AD399" s="1390"/>
      <c r="AE399" s="1390"/>
      <c r="AF399" s="1390"/>
      <c r="AG399" s="1390"/>
      <c r="AH399" s="1390"/>
      <c r="AI399" s="1390"/>
      <c r="AJ399" s="1390"/>
      <c r="AK399" s="1390"/>
    </row>
    <row r="400" spans="3:37" ht="17.25" customHeight="1" x14ac:dyDescent="0.35">
      <c r="C400" s="1390"/>
      <c r="D400" s="1390"/>
      <c r="E400" s="1390"/>
      <c r="F400" s="1390"/>
      <c r="G400" s="1390"/>
      <c r="H400" s="1390"/>
      <c r="I400" s="1390"/>
      <c r="J400" s="1390"/>
      <c r="K400" s="1390"/>
      <c r="L400" s="1390"/>
      <c r="M400" s="1390"/>
      <c r="N400" s="1390"/>
      <c r="O400" s="1390"/>
      <c r="P400" s="1390"/>
      <c r="Q400" s="1390"/>
      <c r="R400" s="1390"/>
      <c r="S400" s="1390"/>
      <c r="T400" s="1390"/>
      <c r="U400" s="1390"/>
      <c r="V400" s="1390"/>
      <c r="W400" s="1390"/>
      <c r="X400" s="1390"/>
      <c r="Y400" s="1390"/>
      <c r="Z400" s="1390"/>
      <c r="AA400" s="1390"/>
      <c r="AB400" s="1390"/>
      <c r="AC400" s="1390"/>
      <c r="AD400" s="1390"/>
      <c r="AE400" s="1390"/>
      <c r="AF400" s="1390"/>
      <c r="AG400" s="1390"/>
      <c r="AH400" s="1390"/>
      <c r="AI400" s="1390"/>
      <c r="AJ400" s="1390"/>
      <c r="AK400" s="1390"/>
    </row>
    <row r="401" spans="3:37" ht="17.25" customHeight="1" x14ac:dyDescent="0.35">
      <c r="C401" s="1390"/>
      <c r="D401" s="1390"/>
      <c r="E401" s="1390"/>
      <c r="F401" s="1390"/>
      <c r="G401" s="1390"/>
      <c r="H401" s="1390"/>
      <c r="I401" s="1390"/>
      <c r="J401" s="1390"/>
      <c r="K401" s="1390"/>
      <c r="L401" s="1390"/>
      <c r="M401" s="1390"/>
      <c r="N401" s="1390"/>
      <c r="O401" s="1390"/>
      <c r="P401" s="1390"/>
      <c r="Q401" s="1390"/>
      <c r="R401" s="1390"/>
      <c r="S401" s="1390"/>
      <c r="T401" s="1390"/>
      <c r="U401" s="1390"/>
      <c r="V401" s="1390"/>
      <c r="W401" s="1390"/>
      <c r="X401" s="1390"/>
      <c r="Y401" s="1390"/>
      <c r="Z401" s="1390"/>
      <c r="AA401" s="1390"/>
      <c r="AB401" s="1390"/>
      <c r="AC401" s="1390"/>
      <c r="AD401" s="1390"/>
      <c r="AE401" s="1390"/>
      <c r="AF401" s="1390"/>
      <c r="AG401" s="1390"/>
      <c r="AH401" s="1390"/>
      <c r="AI401" s="1390"/>
      <c r="AJ401" s="1390"/>
      <c r="AK401" s="1390"/>
    </row>
    <row r="402" spans="3:37" ht="17.25" customHeight="1" x14ac:dyDescent="0.35">
      <c r="C402" s="1390"/>
      <c r="D402" s="1390"/>
      <c r="E402" s="1390"/>
      <c r="F402" s="1390"/>
      <c r="G402" s="1390"/>
      <c r="H402" s="1390"/>
      <c r="I402" s="1390"/>
      <c r="J402" s="1390"/>
      <c r="K402" s="1390"/>
      <c r="L402" s="1390"/>
      <c r="M402" s="1390"/>
      <c r="N402" s="1390"/>
      <c r="O402" s="1390"/>
      <c r="P402" s="1390"/>
      <c r="Q402" s="1390"/>
      <c r="R402" s="1390"/>
      <c r="S402" s="1390"/>
      <c r="T402" s="1390"/>
      <c r="U402" s="1390"/>
      <c r="V402" s="1390"/>
      <c r="W402" s="1390"/>
      <c r="X402" s="1390"/>
      <c r="Y402" s="1390"/>
      <c r="Z402" s="1390"/>
      <c r="AA402" s="1390"/>
      <c r="AB402" s="1390"/>
      <c r="AC402" s="1390"/>
      <c r="AD402" s="1390"/>
      <c r="AE402" s="1390"/>
      <c r="AF402" s="1390"/>
      <c r="AG402" s="1390"/>
      <c r="AH402" s="1390"/>
      <c r="AI402" s="1390"/>
      <c r="AJ402" s="1390"/>
      <c r="AK402" s="1390"/>
    </row>
    <row r="403" spans="3:37" ht="17.25" customHeight="1" x14ac:dyDescent="0.35">
      <c r="C403" s="1390"/>
      <c r="D403" s="1390"/>
      <c r="E403" s="1390"/>
      <c r="F403" s="1390"/>
      <c r="G403" s="1390"/>
      <c r="H403" s="1390"/>
      <c r="I403" s="1390"/>
      <c r="J403" s="1390"/>
      <c r="K403" s="1390"/>
      <c r="L403" s="1390"/>
      <c r="M403" s="1390"/>
      <c r="N403" s="1390"/>
      <c r="O403" s="1390"/>
      <c r="P403" s="1390"/>
      <c r="Q403" s="1390"/>
      <c r="R403" s="1390"/>
      <c r="S403" s="1390"/>
      <c r="T403" s="1390"/>
      <c r="U403" s="1390"/>
      <c r="V403" s="1390"/>
      <c r="W403" s="1390"/>
      <c r="X403" s="1390"/>
      <c r="Y403" s="1390"/>
      <c r="Z403" s="1390"/>
      <c r="AA403" s="1390"/>
      <c r="AB403" s="1390"/>
      <c r="AC403" s="1390"/>
      <c r="AD403" s="1390"/>
      <c r="AE403" s="1390"/>
      <c r="AF403" s="1390"/>
      <c r="AG403" s="1390"/>
      <c r="AH403" s="1390"/>
      <c r="AI403" s="1390"/>
      <c r="AJ403" s="1390"/>
      <c r="AK403" s="1390"/>
    </row>
    <row r="404" spans="3:37" ht="17.25" customHeight="1" x14ac:dyDescent="0.35">
      <c r="C404" s="1390"/>
      <c r="D404" s="1390"/>
      <c r="E404" s="1390"/>
      <c r="F404" s="1390"/>
      <c r="G404" s="1390"/>
      <c r="H404" s="1390"/>
      <c r="I404" s="1390"/>
      <c r="J404" s="1390"/>
      <c r="K404" s="1390"/>
      <c r="L404" s="1390"/>
      <c r="M404" s="1390"/>
      <c r="N404" s="1390"/>
      <c r="O404" s="1390"/>
      <c r="P404" s="1390"/>
      <c r="Q404" s="1390"/>
      <c r="R404" s="1390"/>
      <c r="S404" s="1390"/>
      <c r="T404" s="1390"/>
      <c r="U404" s="1390"/>
      <c r="V404" s="1390"/>
      <c r="W404" s="1390"/>
      <c r="X404" s="1390"/>
      <c r="Y404" s="1390"/>
      <c r="Z404" s="1390"/>
      <c r="AA404" s="1390"/>
      <c r="AB404" s="1390"/>
      <c r="AC404" s="1390"/>
      <c r="AD404" s="1390"/>
      <c r="AE404" s="1390"/>
      <c r="AF404" s="1390"/>
      <c r="AG404" s="1390"/>
      <c r="AH404" s="1390"/>
      <c r="AI404" s="1390"/>
      <c r="AJ404" s="1390"/>
      <c r="AK404" s="1390"/>
    </row>
    <row r="405" spans="3:37" ht="17.25" customHeight="1" x14ac:dyDescent="0.35">
      <c r="C405" s="1390"/>
      <c r="D405" s="1390"/>
      <c r="E405" s="1390"/>
      <c r="F405" s="1390"/>
      <c r="G405" s="1390"/>
      <c r="H405" s="1390"/>
      <c r="I405" s="1390"/>
      <c r="J405" s="1390"/>
      <c r="K405" s="1390"/>
      <c r="L405" s="1390"/>
      <c r="M405" s="1390"/>
      <c r="N405" s="1390"/>
      <c r="O405" s="1390"/>
      <c r="P405" s="1390"/>
      <c r="Q405" s="1390"/>
      <c r="R405" s="1390"/>
      <c r="S405" s="1390"/>
      <c r="T405" s="1390"/>
      <c r="U405" s="1390"/>
      <c r="V405" s="1390"/>
      <c r="W405" s="1390"/>
      <c r="X405" s="1390"/>
      <c r="Y405" s="1390"/>
      <c r="Z405" s="1390"/>
      <c r="AA405" s="1390"/>
      <c r="AB405" s="1390"/>
      <c r="AC405" s="1390"/>
      <c r="AD405" s="1390"/>
      <c r="AE405" s="1390"/>
      <c r="AF405" s="1390"/>
      <c r="AG405" s="1390"/>
      <c r="AH405" s="1390"/>
      <c r="AI405" s="1390"/>
      <c r="AJ405" s="1390"/>
      <c r="AK405" s="1390"/>
    </row>
    <row r="406" spans="3:37" ht="17.25" customHeight="1" x14ac:dyDescent="0.35">
      <c r="C406" s="1390"/>
      <c r="D406" s="1390"/>
      <c r="E406" s="1390"/>
      <c r="F406" s="1390"/>
      <c r="G406" s="1390"/>
      <c r="H406" s="1390"/>
      <c r="I406" s="1390"/>
      <c r="J406" s="1390"/>
      <c r="K406" s="1390"/>
      <c r="L406" s="1390"/>
      <c r="M406" s="1390"/>
      <c r="N406" s="1390"/>
      <c r="O406" s="1390"/>
      <c r="P406" s="1390"/>
      <c r="Q406" s="1390"/>
      <c r="R406" s="1390"/>
      <c r="S406" s="1390"/>
      <c r="T406" s="1390"/>
      <c r="U406" s="1390"/>
      <c r="V406" s="1390"/>
      <c r="W406" s="1390"/>
      <c r="X406" s="1390"/>
      <c r="Y406" s="1390"/>
      <c r="Z406" s="1390"/>
      <c r="AA406" s="1390"/>
      <c r="AB406" s="1390"/>
      <c r="AC406" s="1390"/>
      <c r="AD406" s="1390"/>
      <c r="AE406" s="1390"/>
      <c r="AF406" s="1390"/>
      <c r="AG406" s="1390"/>
      <c r="AH406" s="1390"/>
      <c r="AI406" s="1390"/>
      <c r="AJ406" s="1390"/>
      <c r="AK406" s="1390"/>
    </row>
    <row r="407" spans="3:37" ht="17.25" customHeight="1" x14ac:dyDescent="0.35">
      <c r="C407" s="1390"/>
      <c r="D407" s="1390"/>
      <c r="E407" s="1390"/>
      <c r="F407" s="1390"/>
      <c r="G407" s="1390"/>
      <c r="H407" s="1390"/>
      <c r="I407" s="1390"/>
      <c r="J407" s="1390"/>
      <c r="K407" s="1390"/>
      <c r="L407" s="1390"/>
      <c r="M407" s="1390"/>
      <c r="N407" s="1390"/>
      <c r="O407" s="1390"/>
      <c r="P407" s="1390"/>
      <c r="Q407" s="1390"/>
      <c r="R407" s="1390"/>
      <c r="S407" s="1390"/>
      <c r="T407" s="1390"/>
      <c r="U407" s="1390"/>
      <c r="V407" s="1390"/>
      <c r="W407" s="1390"/>
      <c r="X407" s="1390"/>
      <c r="Y407" s="1390"/>
      <c r="Z407" s="1390"/>
      <c r="AA407" s="1390"/>
      <c r="AB407" s="1390"/>
      <c r="AC407" s="1390"/>
      <c r="AD407" s="1390"/>
      <c r="AE407" s="1390"/>
      <c r="AF407" s="1390"/>
      <c r="AG407" s="1390"/>
      <c r="AH407" s="1390"/>
      <c r="AI407" s="1390"/>
      <c r="AJ407" s="1390"/>
      <c r="AK407" s="1390"/>
    </row>
    <row r="408" spans="3:37" ht="17.25" customHeight="1" x14ac:dyDescent="0.35">
      <c r="C408" s="1390"/>
      <c r="D408" s="1390"/>
      <c r="E408" s="1390"/>
      <c r="F408" s="1390"/>
      <c r="G408" s="1390"/>
      <c r="H408" s="1390"/>
      <c r="I408" s="1390"/>
      <c r="J408" s="1390"/>
      <c r="K408" s="1390"/>
      <c r="L408" s="1390"/>
      <c r="M408" s="1390"/>
      <c r="N408" s="1390"/>
      <c r="O408" s="1390"/>
      <c r="P408" s="1390"/>
      <c r="Q408" s="1390"/>
      <c r="R408" s="1390"/>
      <c r="S408" s="1390"/>
      <c r="T408" s="1390"/>
      <c r="U408" s="1390"/>
      <c r="V408" s="1390"/>
      <c r="W408" s="1390"/>
      <c r="X408" s="1390"/>
      <c r="Y408" s="1390"/>
      <c r="Z408" s="1390"/>
      <c r="AA408" s="1390"/>
      <c r="AB408" s="1390"/>
      <c r="AC408" s="1390"/>
      <c r="AD408" s="1390"/>
      <c r="AE408" s="1390"/>
      <c r="AF408" s="1390"/>
      <c r="AG408" s="1390"/>
      <c r="AH408" s="1390"/>
      <c r="AI408" s="1390"/>
      <c r="AJ408" s="1390"/>
      <c r="AK408" s="1390"/>
    </row>
    <row r="409" spans="3:37" ht="17.25" customHeight="1" x14ac:dyDescent="0.35">
      <c r="C409" s="1390"/>
      <c r="D409" s="1390"/>
      <c r="E409" s="1390"/>
      <c r="F409" s="1390"/>
      <c r="G409" s="1390"/>
      <c r="H409" s="1390"/>
      <c r="I409" s="1390"/>
      <c r="J409" s="1390"/>
      <c r="K409" s="1390"/>
      <c r="L409" s="1390"/>
      <c r="M409" s="1390"/>
      <c r="N409" s="1390"/>
      <c r="O409" s="1390"/>
      <c r="P409" s="1390"/>
      <c r="Q409" s="1390"/>
      <c r="R409" s="1390"/>
      <c r="S409" s="1390"/>
      <c r="T409" s="1390"/>
      <c r="U409" s="1390"/>
      <c r="V409" s="1390"/>
      <c r="W409" s="1390"/>
      <c r="X409" s="1390"/>
      <c r="Y409" s="1390"/>
      <c r="Z409" s="1390"/>
      <c r="AA409" s="1390"/>
      <c r="AB409" s="1390"/>
      <c r="AC409" s="1390"/>
      <c r="AD409" s="1390"/>
      <c r="AE409" s="1390"/>
      <c r="AF409" s="1390"/>
      <c r="AG409" s="1390"/>
      <c r="AH409" s="1390"/>
      <c r="AI409" s="1390"/>
      <c r="AJ409" s="1390"/>
      <c r="AK409" s="1390"/>
    </row>
    <row r="410" spans="3:37" ht="17.25" customHeight="1" x14ac:dyDescent="0.35">
      <c r="C410" s="1390"/>
      <c r="D410" s="1390"/>
      <c r="E410" s="1390"/>
      <c r="F410" s="1390"/>
      <c r="G410" s="1390"/>
      <c r="H410" s="1390"/>
      <c r="I410" s="1390"/>
      <c r="J410" s="1390"/>
      <c r="K410" s="1390"/>
      <c r="L410" s="1390"/>
      <c r="M410" s="1390"/>
      <c r="N410" s="1390"/>
      <c r="O410" s="1390"/>
      <c r="P410" s="1390"/>
      <c r="Q410" s="1390"/>
      <c r="R410" s="1390"/>
      <c r="S410" s="1390"/>
      <c r="T410" s="1390"/>
      <c r="U410" s="1390"/>
      <c r="V410" s="1390"/>
      <c r="W410" s="1390"/>
      <c r="X410" s="1390"/>
      <c r="Y410" s="1390"/>
      <c r="Z410" s="1390"/>
      <c r="AA410" s="1390"/>
      <c r="AB410" s="1390"/>
      <c r="AC410" s="1390"/>
      <c r="AD410" s="1390"/>
      <c r="AE410" s="1390"/>
      <c r="AF410" s="1390"/>
      <c r="AG410" s="1390"/>
      <c r="AH410" s="1390"/>
      <c r="AI410" s="1390"/>
      <c r="AJ410" s="1390"/>
      <c r="AK410" s="1390"/>
    </row>
    <row r="411" spans="3:37" ht="17.25" customHeight="1" x14ac:dyDescent="0.35">
      <c r="C411" s="1390"/>
      <c r="D411" s="1390"/>
      <c r="E411" s="1390"/>
      <c r="F411" s="1390"/>
      <c r="G411" s="1390"/>
      <c r="H411" s="1390"/>
      <c r="I411" s="1390"/>
      <c r="J411" s="1390"/>
      <c r="K411" s="1390"/>
      <c r="L411" s="1390"/>
      <c r="M411" s="1390"/>
      <c r="N411" s="1390"/>
      <c r="O411" s="1390"/>
      <c r="P411" s="1390"/>
      <c r="Q411" s="1390"/>
      <c r="R411" s="1390"/>
      <c r="S411" s="1390"/>
      <c r="T411" s="1390"/>
      <c r="U411" s="1390"/>
      <c r="V411" s="1390"/>
      <c r="W411" s="1390"/>
      <c r="X411" s="1390"/>
      <c r="Y411" s="1390"/>
      <c r="Z411" s="1390"/>
      <c r="AA411" s="1390"/>
      <c r="AB411" s="1390"/>
      <c r="AC411" s="1390"/>
      <c r="AD411" s="1390"/>
      <c r="AE411" s="1390"/>
      <c r="AF411" s="1390"/>
      <c r="AG411" s="1390"/>
      <c r="AH411" s="1390"/>
      <c r="AI411" s="1390"/>
      <c r="AJ411" s="1390"/>
      <c r="AK411" s="1390"/>
    </row>
    <row r="412" spans="3:37" ht="17.25" customHeight="1" x14ac:dyDescent="0.35">
      <c r="C412" s="1390"/>
      <c r="D412" s="1390"/>
      <c r="E412" s="1390"/>
      <c r="F412" s="1390"/>
      <c r="G412" s="1390"/>
      <c r="H412" s="1390"/>
      <c r="I412" s="1390"/>
      <c r="J412" s="1390"/>
      <c r="K412" s="1390"/>
      <c r="L412" s="1390"/>
      <c r="M412" s="1390"/>
      <c r="N412" s="1390"/>
      <c r="O412" s="1390"/>
      <c r="P412" s="1390"/>
      <c r="Q412" s="1390"/>
      <c r="R412" s="1390"/>
      <c r="S412" s="1390"/>
      <c r="T412" s="1390"/>
      <c r="U412" s="1390"/>
      <c r="V412" s="1390"/>
      <c r="W412" s="1390"/>
      <c r="X412" s="1390"/>
      <c r="Y412" s="1390"/>
      <c r="Z412" s="1390"/>
      <c r="AA412" s="1390"/>
      <c r="AB412" s="1390"/>
      <c r="AC412" s="1390"/>
      <c r="AD412" s="1390"/>
      <c r="AE412" s="1390"/>
      <c r="AF412" s="1390"/>
      <c r="AG412" s="1390"/>
      <c r="AH412" s="1390"/>
      <c r="AI412" s="1390"/>
      <c r="AJ412" s="1390"/>
      <c r="AK412" s="1390"/>
    </row>
    <row r="413" spans="3:37" ht="17.25" customHeight="1" x14ac:dyDescent="0.35">
      <c r="C413" s="1390"/>
      <c r="D413" s="1390"/>
      <c r="E413" s="1390"/>
      <c r="F413" s="1390"/>
      <c r="G413" s="1390"/>
      <c r="H413" s="1390"/>
      <c r="I413" s="1390"/>
      <c r="J413" s="1390"/>
      <c r="K413" s="1390"/>
      <c r="L413" s="1390"/>
      <c r="M413" s="1390"/>
      <c r="N413" s="1390"/>
      <c r="O413" s="1390"/>
      <c r="P413" s="1390"/>
      <c r="Q413" s="1390"/>
      <c r="R413" s="1390"/>
      <c r="S413" s="1390"/>
      <c r="T413" s="1390"/>
      <c r="U413" s="1390"/>
      <c r="V413" s="1390"/>
      <c r="W413" s="1390"/>
      <c r="X413" s="1390"/>
      <c r="Y413" s="1390"/>
      <c r="Z413" s="1390"/>
      <c r="AA413" s="1390"/>
      <c r="AB413" s="1390"/>
      <c r="AC413" s="1390"/>
      <c r="AD413" s="1390"/>
      <c r="AE413" s="1390"/>
      <c r="AF413" s="1390"/>
      <c r="AG413" s="1390"/>
      <c r="AH413" s="1390"/>
      <c r="AI413" s="1390"/>
      <c r="AJ413" s="1390"/>
      <c r="AK413" s="1390"/>
    </row>
    <row r="414" spans="3:37" ht="17.25" customHeight="1" x14ac:dyDescent="0.35">
      <c r="C414" s="1390"/>
      <c r="D414" s="1390"/>
      <c r="E414" s="1390"/>
      <c r="F414" s="1390"/>
      <c r="G414" s="1390"/>
      <c r="H414" s="1390"/>
      <c r="I414" s="1390"/>
      <c r="J414" s="1390"/>
      <c r="K414" s="1390"/>
      <c r="L414" s="1390"/>
      <c r="M414" s="1390"/>
      <c r="N414" s="1390"/>
      <c r="O414" s="1390"/>
      <c r="P414" s="1390"/>
      <c r="Q414" s="1390"/>
      <c r="R414" s="1390"/>
      <c r="S414" s="1390"/>
      <c r="T414" s="1390"/>
      <c r="U414" s="1390"/>
      <c r="V414" s="1390"/>
      <c r="W414" s="1390"/>
      <c r="X414" s="1390"/>
      <c r="Y414" s="1390"/>
      <c r="Z414" s="1390"/>
      <c r="AA414" s="1390"/>
      <c r="AB414" s="1390"/>
      <c r="AC414" s="1390"/>
      <c r="AD414" s="1390"/>
      <c r="AE414" s="1390"/>
      <c r="AF414" s="1390"/>
      <c r="AG414" s="1390"/>
      <c r="AH414" s="1390"/>
      <c r="AI414" s="1390"/>
      <c r="AJ414" s="1390"/>
      <c r="AK414" s="1390"/>
    </row>
    <row r="415" spans="3:37" ht="17.25" customHeight="1" x14ac:dyDescent="0.35">
      <c r="C415" s="1390"/>
      <c r="D415" s="1390"/>
      <c r="E415" s="1390"/>
      <c r="F415" s="1390"/>
      <c r="G415" s="1390"/>
      <c r="H415" s="1390"/>
      <c r="I415" s="1390"/>
      <c r="J415" s="1390"/>
      <c r="K415" s="1390"/>
      <c r="L415" s="1390"/>
      <c r="M415" s="1390"/>
      <c r="N415" s="1390"/>
      <c r="O415" s="1390"/>
      <c r="P415" s="1390"/>
      <c r="Q415" s="1390"/>
      <c r="R415" s="1390"/>
      <c r="S415" s="1390"/>
      <c r="T415" s="1390"/>
      <c r="U415" s="1390"/>
      <c r="V415" s="1390"/>
      <c r="W415" s="1390"/>
      <c r="X415" s="1390"/>
      <c r="Y415" s="1390"/>
      <c r="Z415" s="1390"/>
      <c r="AA415" s="1390"/>
      <c r="AB415" s="1390"/>
      <c r="AC415" s="1390"/>
      <c r="AD415" s="1390"/>
      <c r="AE415" s="1390"/>
      <c r="AF415" s="1390"/>
      <c r="AG415" s="1390"/>
      <c r="AH415" s="1390"/>
      <c r="AI415" s="1390"/>
      <c r="AJ415" s="1390"/>
      <c r="AK415" s="1390"/>
    </row>
    <row r="416" spans="3:37" ht="17.25" customHeight="1" x14ac:dyDescent="0.35">
      <c r="C416" s="1390"/>
      <c r="D416" s="1390"/>
      <c r="E416" s="1390"/>
      <c r="F416" s="1390"/>
      <c r="G416" s="1390"/>
      <c r="H416" s="1390"/>
      <c r="I416" s="1390"/>
      <c r="J416" s="1390"/>
      <c r="K416" s="1390"/>
      <c r="L416" s="1390"/>
      <c r="M416" s="1390"/>
      <c r="N416" s="1390"/>
      <c r="O416" s="1390"/>
      <c r="P416" s="1390"/>
      <c r="Q416" s="1390"/>
      <c r="R416" s="1390"/>
      <c r="S416" s="1390"/>
      <c r="T416" s="1390"/>
      <c r="U416" s="1390"/>
      <c r="V416" s="1390"/>
      <c r="W416" s="1390"/>
      <c r="X416" s="1390"/>
      <c r="Y416" s="1390"/>
      <c r="Z416" s="1390"/>
      <c r="AA416" s="1390"/>
      <c r="AB416" s="1390"/>
      <c r="AC416" s="1390"/>
      <c r="AD416" s="1390"/>
      <c r="AE416" s="1390"/>
      <c r="AF416" s="1390"/>
      <c r="AG416" s="1390"/>
      <c r="AH416" s="1390"/>
      <c r="AI416" s="1390"/>
      <c r="AJ416" s="1390"/>
      <c r="AK416" s="1390"/>
    </row>
    <row r="417" spans="3:37" ht="17.25" customHeight="1" x14ac:dyDescent="0.35">
      <c r="C417" s="1390"/>
      <c r="D417" s="1390"/>
      <c r="E417" s="1390"/>
      <c r="F417" s="1390"/>
      <c r="G417" s="1390"/>
      <c r="H417" s="1390"/>
      <c r="I417" s="1390"/>
      <c r="J417" s="1390"/>
      <c r="K417" s="1390"/>
      <c r="L417" s="1390"/>
      <c r="M417" s="1390"/>
      <c r="N417" s="1390"/>
      <c r="O417" s="1390"/>
      <c r="P417" s="1390"/>
      <c r="Q417" s="1390"/>
      <c r="R417" s="1390"/>
      <c r="S417" s="1390"/>
      <c r="T417" s="1390"/>
      <c r="U417" s="1390"/>
      <c r="V417" s="1390"/>
      <c r="W417" s="1390"/>
      <c r="X417" s="1390"/>
      <c r="Y417" s="1390"/>
      <c r="Z417" s="1390"/>
      <c r="AA417" s="1390"/>
      <c r="AB417" s="1390"/>
      <c r="AC417" s="1390"/>
      <c r="AD417" s="1390"/>
      <c r="AE417" s="1390"/>
      <c r="AF417" s="1390"/>
      <c r="AG417" s="1390"/>
      <c r="AH417" s="1390"/>
      <c r="AI417" s="1390"/>
      <c r="AJ417" s="1390"/>
      <c r="AK417" s="1390"/>
    </row>
    <row r="418" spans="3:37" ht="17.25" customHeight="1" x14ac:dyDescent="0.35">
      <c r="C418" s="1390"/>
      <c r="D418" s="1390"/>
      <c r="E418" s="1390"/>
      <c r="F418" s="1390"/>
      <c r="G418" s="1390"/>
      <c r="H418" s="1390"/>
      <c r="I418" s="1390"/>
      <c r="J418" s="1390"/>
      <c r="K418" s="1390"/>
      <c r="L418" s="1390"/>
      <c r="M418" s="1390"/>
      <c r="N418" s="1390"/>
      <c r="O418" s="1390"/>
      <c r="P418" s="1390"/>
      <c r="Q418" s="1390"/>
      <c r="R418" s="1390"/>
      <c r="S418" s="1390"/>
      <c r="T418" s="1390"/>
      <c r="U418" s="1390"/>
      <c r="V418" s="1390"/>
      <c r="W418" s="1390"/>
      <c r="X418" s="1390"/>
      <c r="Y418" s="1390"/>
      <c r="Z418" s="1390"/>
      <c r="AA418" s="1390"/>
      <c r="AB418" s="1390"/>
      <c r="AC418" s="1390"/>
      <c r="AD418" s="1390"/>
      <c r="AE418" s="1390"/>
      <c r="AF418" s="1390"/>
      <c r="AG418" s="1390"/>
      <c r="AH418" s="1390"/>
      <c r="AI418" s="1390"/>
      <c r="AJ418" s="1390"/>
      <c r="AK418" s="1390"/>
    </row>
    <row r="419" spans="3:37" ht="17.25" customHeight="1" x14ac:dyDescent="0.35">
      <c r="C419" s="1390"/>
      <c r="D419" s="1390"/>
      <c r="E419" s="1390"/>
      <c r="F419" s="1390"/>
      <c r="G419" s="1390"/>
      <c r="H419" s="1390"/>
      <c r="I419" s="1390"/>
      <c r="J419" s="1390"/>
      <c r="K419" s="1390"/>
      <c r="L419" s="1390"/>
      <c r="M419" s="1390"/>
      <c r="N419" s="1390"/>
      <c r="O419" s="1390"/>
      <c r="P419" s="1390"/>
      <c r="Q419" s="1390"/>
      <c r="R419" s="1390"/>
      <c r="S419" s="1390"/>
      <c r="T419" s="1390"/>
      <c r="U419" s="1390"/>
      <c r="V419" s="1390"/>
      <c r="W419" s="1390"/>
      <c r="X419" s="1390"/>
      <c r="Y419" s="1390"/>
      <c r="Z419" s="1390"/>
      <c r="AA419" s="1390"/>
      <c r="AB419" s="1390"/>
      <c r="AC419" s="1390"/>
      <c r="AD419" s="1390"/>
      <c r="AE419" s="1390"/>
      <c r="AF419" s="1390"/>
      <c r="AG419" s="1390"/>
      <c r="AH419" s="1390"/>
      <c r="AI419" s="1390"/>
      <c r="AJ419" s="1390"/>
      <c r="AK419" s="1390"/>
    </row>
    <row r="420" spans="3:37" ht="17.25" customHeight="1" x14ac:dyDescent="0.35">
      <c r="C420" s="1390"/>
      <c r="D420" s="1390"/>
      <c r="E420" s="1390"/>
      <c r="F420" s="1390"/>
      <c r="G420" s="1390"/>
      <c r="H420" s="1390"/>
      <c r="I420" s="1390"/>
      <c r="J420" s="1390"/>
      <c r="K420" s="1390"/>
      <c r="L420" s="1390"/>
      <c r="M420" s="1390"/>
      <c r="N420" s="1390"/>
      <c r="O420" s="1390"/>
      <c r="P420" s="1390"/>
      <c r="Q420" s="1390"/>
      <c r="R420" s="1390"/>
      <c r="S420" s="1390"/>
      <c r="T420" s="1390"/>
      <c r="U420" s="1390"/>
      <c r="V420" s="1390"/>
      <c r="W420" s="1390"/>
      <c r="X420" s="1390"/>
      <c r="Y420" s="1390"/>
      <c r="Z420" s="1390"/>
      <c r="AA420" s="1390"/>
      <c r="AB420" s="1390"/>
      <c r="AC420" s="1390"/>
      <c r="AD420" s="1390"/>
      <c r="AE420" s="1390"/>
      <c r="AF420" s="1390"/>
      <c r="AG420" s="1390"/>
      <c r="AH420" s="1390"/>
      <c r="AI420" s="1390"/>
      <c r="AJ420" s="1390"/>
      <c r="AK420" s="1390"/>
    </row>
    <row r="421" spans="3:37" ht="17.25" customHeight="1" x14ac:dyDescent="0.35">
      <c r="C421" s="1390"/>
      <c r="D421" s="1390"/>
      <c r="E421" s="1390"/>
      <c r="F421" s="1390"/>
      <c r="G421" s="1390"/>
      <c r="H421" s="1390"/>
      <c r="I421" s="1390"/>
      <c r="J421" s="1390"/>
      <c r="K421" s="1390"/>
      <c r="L421" s="1390"/>
      <c r="M421" s="1390"/>
      <c r="N421" s="1390"/>
      <c r="O421" s="1390"/>
      <c r="P421" s="1390"/>
      <c r="Q421" s="1390"/>
      <c r="R421" s="1390"/>
      <c r="S421" s="1390"/>
      <c r="T421" s="1390"/>
      <c r="U421" s="1390"/>
      <c r="V421" s="1390"/>
      <c r="W421" s="1390"/>
      <c r="X421" s="1390"/>
      <c r="Y421" s="1390"/>
      <c r="Z421" s="1390"/>
      <c r="AA421" s="1390"/>
      <c r="AB421" s="1390"/>
      <c r="AC421" s="1390"/>
      <c r="AD421" s="1390"/>
      <c r="AE421" s="1390"/>
      <c r="AF421" s="1390"/>
      <c r="AG421" s="1390"/>
      <c r="AH421" s="1390"/>
      <c r="AI421" s="1390"/>
      <c r="AJ421" s="1390"/>
      <c r="AK421" s="1390"/>
    </row>
    <row r="422" spans="3:37" ht="17.25" customHeight="1" x14ac:dyDescent="0.35">
      <c r="C422" s="1390"/>
      <c r="D422" s="1390"/>
      <c r="E422" s="1390"/>
      <c r="F422" s="1390"/>
      <c r="G422" s="1390"/>
      <c r="H422" s="1390"/>
      <c r="I422" s="1390"/>
      <c r="J422" s="1390"/>
      <c r="K422" s="1390"/>
      <c r="L422" s="1390"/>
      <c r="M422" s="1390"/>
      <c r="N422" s="1390"/>
      <c r="O422" s="1390"/>
      <c r="P422" s="1390"/>
      <c r="Q422" s="1390"/>
      <c r="R422" s="1390"/>
      <c r="S422" s="1390"/>
      <c r="T422" s="1390"/>
      <c r="U422" s="1390"/>
      <c r="V422" s="1390"/>
      <c r="W422" s="1390"/>
      <c r="X422" s="1390"/>
      <c r="Y422" s="1390"/>
      <c r="Z422" s="1390"/>
      <c r="AA422" s="1390"/>
      <c r="AB422" s="1390"/>
      <c r="AC422" s="1390"/>
      <c r="AD422" s="1390"/>
      <c r="AE422" s="1390"/>
      <c r="AF422" s="1390"/>
      <c r="AG422" s="1390"/>
      <c r="AH422" s="1390"/>
      <c r="AI422" s="1390"/>
      <c r="AJ422" s="1390"/>
      <c r="AK422" s="1390"/>
    </row>
    <row r="423" spans="3:37" ht="17.25" customHeight="1" x14ac:dyDescent="0.35">
      <c r="C423" s="1390"/>
      <c r="D423" s="1390"/>
      <c r="E423" s="1390"/>
      <c r="F423" s="1390"/>
      <c r="G423" s="1390"/>
      <c r="H423" s="1390"/>
      <c r="I423" s="1390"/>
      <c r="J423" s="1390"/>
      <c r="K423" s="1390"/>
      <c r="L423" s="1390"/>
      <c r="M423" s="1390"/>
      <c r="N423" s="1390"/>
      <c r="O423" s="1390"/>
      <c r="P423" s="1390"/>
      <c r="Q423" s="1390"/>
      <c r="R423" s="1390"/>
      <c r="S423" s="1390"/>
      <c r="T423" s="1390"/>
      <c r="U423" s="1390"/>
      <c r="V423" s="1390"/>
      <c r="W423" s="1390"/>
      <c r="X423" s="1390"/>
      <c r="Y423" s="1390"/>
      <c r="Z423" s="1390"/>
      <c r="AA423" s="1390"/>
      <c r="AB423" s="1390"/>
      <c r="AC423" s="1390"/>
      <c r="AD423" s="1390"/>
      <c r="AE423" s="1390"/>
      <c r="AF423" s="1390"/>
      <c r="AG423" s="1390"/>
      <c r="AH423" s="1390"/>
      <c r="AI423" s="1390"/>
      <c r="AJ423" s="1390"/>
      <c r="AK423" s="1390"/>
    </row>
    <row r="424" spans="3:37" ht="17.25" customHeight="1" x14ac:dyDescent="0.35">
      <c r="C424" s="1390"/>
      <c r="D424" s="1390"/>
      <c r="E424" s="1390"/>
      <c r="F424" s="1390"/>
      <c r="G424" s="1390"/>
      <c r="H424" s="1390"/>
      <c r="I424" s="1390"/>
      <c r="J424" s="1390"/>
      <c r="K424" s="1390"/>
      <c r="L424" s="1390"/>
      <c r="M424" s="1390"/>
      <c r="N424" s="1390"/>
      <c r="O424" s="1390"/>
      <c r="P424" s="1390"/>
      <c r="Q424" s="1390"/>
      <c r="R424" s="1390"/>
      <c r="S424" s="1390"/>
      <c r="T424" s="1390"/>
      <c r="U424" s="1390"/>
      <c r="V424" s="1390"/>
      <c r="W424" s="1390"/>
      <c r="X424" s="1390"/>
      <c r="Y424" s="1390"/>
      <c r="Z424" s="1390"/>
      <c r="AA424" s="1390"/>
      <c r="AB424" s="1390"/>
      <c r="AC424" s="1390"/>
      <c r="AD424" s="1390"/>
      <c r="AE424" s="1390"/>
      <c r="AF424" s="1390"/>
      <c r="AG424" s="1390"/>
      <c r="AH424" s="1390"/>
      <c r="AI424" s="1390"/>
      <c r="AJ424" s="1390"/>
      <c r="AK424" s="1390"/>
    </row>
    <row r="425" spans="3:37" ht="17.25" customHeight="1" x14ac:dyDescent="0.35">
      <c r="C425" s="1390"/>
      <c r="D425" s="1390"/>
      <c r="E425" s="1390"/>
      <c r="F425" s="1390"/>
      <c r="G425" s="1390"/>
      <c r="H425" s="1390"/>
      <c r="I425" s="1390"/>
      <c r="J425" s="1390"/>
      <c r="K425" s="1390"/>
      <c r="L425" s="1390"/>
      <c r="M425" s="1390"/>
      <c r="N425" s="1390"/>
      <c r="O425" s="1390"/>
      <c r="P425" s="1390"/>
      <c r="Q425" s="1390"/>
      <c r="R425" s="1390"/>
      <c r="S425" s="1390"/>
      <c r="T425" s="1390"/>
      <c r="U425" s="1390"/>
      <c r="V425" s="1390"/>
      <c r="W425" s="1390"/>
      <c r="X425" s="1390"/>
      <c r="Y425" s="1390"/>
      <c r="Z425" s="1390"/>
      <c r="AA425" s="1390"/>
      <c r="AB425" s="1390"/>
      <c r="AC425" s="1390"/>
      <c r="AD425" s="1390"/>
      <c r="AE425" s="1390"/>
      <c r="AF425" s="1390"/>
      <c r="AG425" s="1390"/>
      <c r="AH425" s="1390"/>
      <c r="AI425" s="1390"/>
      <c r="AJ425" s="1390"/>
      <c r="AK425" s="1390"/>
    </row>
    <row r="426" spans="3:37" ht="17.25" customHeight="1" x14ac:dyDescent="0.35">
      <c r="C426" s="1390"/>
      <c r="D426" s="1390"/>
      <c r="E426" s="1390"/>
      <c r="F426" s="1390"/>
      <c r="G426" s="1390"/>
      <c r="H426" s="1390"/>
      <c r="I426" s="1390"/>
      <c r="J426" s="1390"/>
      <c r="K426" s="1390"/>
      <c r="L426" s="1390"/>
      <c r="M426" s="1390"/>
      <c r="N426" s="1390"/>
      <c r="O426" s="1390"/>
      <c r="P426" s="1390"/>
      <c r="Q426" s="1390"/>
      <c r="R426" s="1390"/>
      <c r="S426" s="1390"/>
      <c r="T426" s="1390"/>
      <c r="U426" s="1390"/>
      <c r="V426" s="1390"/>
      <c r="W426" s="1390"/>
      <c r="X426" s="1390"/>
      <c r="Y426" s="1390"/>
      <c r="Z426" s="1390"/>
      <c r="AA426" s="1390"/>
      <c r="AB426" s="1390"/>
      <c r="AC426" s="1390"/>
      <c r="AD426" s="1390"/>
      <c r="AE426" s="1390"/>
      <c r="AF426" s="1390"/>
      <c r="AG426" s="1390"/>
      <c r="AH426" s="1390"/>
      <c r="AI426" s="1390"/>
      <c r="AJ426" s="1390"/>
      <c r="AK426" s="1390"/>
    </row>
    <row r="427" spans="3:37" ht="17.25" customHeight="1" x14ac:dyDescent="0.35">
      <c r="C427" s="1390"/>
      <c r="D427" s="1390"/>
      <c r="E427" s="1390"/>
      <c r="F427" s="1390"/>
      <c r="G427" s="1390"/>
      <c r="H427" s="1390"/>
      <c r="I427" s="1390"/>
      <c r="J427" s="1390"/>
      <c r="K427" s="1390"/>
      <c r="L427" s="1390"/>
      <c r="M427" s="1390"/>
      <c r="N427" s="1390"/>
      <c r="O427" s="1390"/>
      <c r="P427" s="1390"/>
      <c r="Q427" s="1390"/>
      <c r="R427" s="1390"/>
      <c r="S427" s="1390"/>
      <c r="T427" s="1390"/>
      <c r="U427" s="1390"/>
      <c r="V427" s="1390"/>
      <c r="W427" s="1390"/>
      <c r="X427" s="1390"/>
      <c r="Y427" s="1390"/>
      <c r="Z427" s="1390"/>
      <c r="AA427" s="1390"/>
      <c r="AB427" s="1390"/>
      <c r="AC427" s="1390"/>
      <c r="AD427" s="1390"/>
      <c r="AE427" s="1390"/>
      <c r="AF427" s="1390"/>
      <c r="AG427" s="1390"/>
      <c r="AH427" s="1390"/>
      <c r="AI427" s="1390"/>
      <c r="AJ427" s="1390"/>
      <c r="AK427" s="1390"/>
    </row>
    <row r="428" spans="3:37" ht="17.25" customHeight="1" x14ac:dyDescent="0.35">
      <c r="C428" s="1390"/>
      <c r="D428" s="1390"/>
      <c r="E428" s="1390"/>
      <c r="F428" s="1390"/>
      <c r="G428" s="1390"/>
      <c r="H428" s="1390"/>
      <c r="I428" s="1390"/>
      <c r="J428" s="1390"/>
      <c r="K428" s="1390"/>
      <c r="L428" s="1390"/>
      <c r="M428" s="1390"/>
      <c r="N428" s="1390"/>
      <c r="O428" s="1390"/>
      <c r="P428" s="1390"/>
      <c r="Q428" s="1390"/>
      <c r="R428" s="1390"/>
      <c r="S428" s="1390"/>
      <c r="T428" s="1390"/>
      <c r="U428" s="1390"/>
      <c r="V428" s="1390"/>
      <c r="W428" s="1390"/>
      <c r="X428" s="1390"/>
      <c r="Y428" s="1390"/>
      <c r="Z428" s="1390"/>
      <c r="AA428" s="1390"/>
      <c r="AB428" s="1390"/>
      <c r="AC428" s="1390"/>
      <c r="AD428" s="1390"/>
      <c r="AE428" s="1390"/>
      <c r="AF428" s="1390"/>
      <c r="AG428" s="1390"/>
      <c r="AH428" s="1390"/>
      <c r="AI428" s="1390"/>
      <c r="AJ428" s="1390"/>
      <c r="AK428" s="1390"/>
    </row>
    <row r="429" spans="3:37" ht="17.25" customHeight="1" x14ac:dyDescent="0.35">
      <c r="C429" s="1390"/>
      <c r="D429" s="1390"/>
      <c r="E429" s="1390"/>
      <c r="F429" s="1390"/>
      <c r="G429" s="1390"/>
      <c r="H429" s="1390"/>
      <c r="I429" s="1390"/>
      <c r="J429" s="1390"/>
      <c r="K429" s="1390"/>
      <c r="L429" s="1390"/>
      <c r="M429" s="1390"/>
      <c r="N429" s="1390"/>
      <c r="O429" s="1390"/>
      <c r="P429" s="1390"/>
      <c r="Q429" s="1390"/>
      <c r="R429" s="1390"/>
      <c r="S429" s="1390"/>
      <c r="T429" s="1390"/>
      <c r="U429" s="1390"/>
      <c r="V429" s="1390"/>
      <c r="W429" s="1390"/>
      <c r="X429" s="1390"/>
      <c r="Y429" s="1390"/>
      <c r="Z429" s="1390"/>
      <c r="AA429" s="1390"/>
      <c r="AB429" s="1390"/>
      <c r="AC429" s="1390"/>
      <c r="AD429" s="1390"/>
      <c r="AE429" s="1390"/>
      <c r="AF429" s="1390"/>
      <c r="AG429" s="1390"/>
      <c r="AH429" s="1390"/>
      <c r="AI429" s="1390"/>
      <c r="AJ429" s="1390"/>
      <c r="AK429" s="1390"/>
    </row>
    <row r="430" spans="3:37" ht="17.25" customHeight="1" x14ac:dyDescent="0.35">
      <c r="C430" s="1390"/>
      <c r="D430" s="1390"/>
      <c r="E430" s="1390"/>
      <c r="F430" s="1390"/>
      <c r="G430" s="1390"/>
      <c r="H430" s="1390"/>
      <c r="I430" s="1390"/>
      <c r="J430" s="1390"/>
      <c r="K430" s="1390"/>
      <c r="L430" s="1390"/>
      <c r="M430" s="1390"/>
      <c r="N430" s="1390"/>
      <c r="O430" s="1390"/>
      <c r="P430" s="1390"/>
      <c r="Q430" s="1390"/>
      <c r="R430" s="1390"/>
      <c r="S430" s="1390"/>
      <c r="T430" s="1390"/>
      <c r="U430" s="1390"/>
      <c r="V430" s="1390"/>
      <c r="W430" s="1390"/>
      <c r="X430" s="1390"/>
      <c r="Y430" s="1390"/>
      <c r="Z430" s="1390"/>
      <c r="AA430" s="1390"/>
      <c r="AB430" s="1390"/>
      <c r="AC430" s="1390"/>
      <c r="AD430" s="1390"/>
      <c r="AE430" s="1390"/>
      <c r="AF430" s="1390"/>
      <c r="AG430" s="1390"/>
      <c r="AH430" s="1390"/>
      <c r="AI430" s="1390"/>
      <c r="AJ430" s="1390"/>
      <c r="AK430" s="1390"/>
    </row>
    <row r="431" spans="3:37" ht="17.25" customHeight="1" x14ac:dyDescent="0.35">
      <c r="C431" s="1390"/>
      <c r="D431" s="1390"/>
      <c r="E431" s="1390"/>
      <c r="F431" s="1390"/>
      <c r="G431" s="1390"/>
      <c r="H431" s="1390"/>
      <c r="I431" s="1390"/>
      <c r="J431" s="1390"/>
      <c r="K431" s="1390"/>
      <c r="L431" s="1390"/>
      <c r="M431" s="1390"/>
      <c r="N431" s="1390"/>
      <c r="O431" s="1390"/>
      <c r="P431" s="1390"/>
      <c r="Q431" s="1390"/>
      <c r="R431" s="1390"/>
      <c r="S431" s="1390"/>
      <c r="T431" s="1390"/>
      <c r="U431" s="1390"/>
      <c r="V431" s="1390"/>
      <c r="W431" s="1390"/>
      <c r="X431" s="1390"/>
      <c r="Y431" s="1390"/>
      <c r="Z431" s="1390"/>
      <c r="AA431" s="1390"/>
      <c r="AB431" s="1390"/>
      <c r="AC431" s="1390"/>
      <c r="AD431" s="1390"/>
      <c r="AE431" s="1390"/>
      <c r="AF431" s="1390"/>
      <c r="AG431" s="1390"/>
      <c r="AH431" s="1390"/>
      <c r="AI431" s="1390"/>
      <c r="AJ431" s="1390"/>
      <c r="AK431" s="1390"/>
    </row>
    <row r="432" spans="3:37" ht="17.25" customHeight="1" x14ac:dyDescent="0.35">
      <c r="C432" s="1390"/>
      <c r="D432" s="1390"/>
      <c r="E432" s="1390"/>
      <c r="F432" s="1390"/>
      <c r="G432" s="1390"/>
      <c r="H432" s="1390"/>
      <c r="I432" s="1390"/>
      <c r="J432" s="1390"/>
      <c r="K432" s="1390"/>
      <c r="L432" s="1390"/>
      <c r="M432" s="1390"/>
      <c r="N432" s="1390"/>
      <c r="O432" s="1390"/>
      <c r="P432" s="1390"/>
      <c r="Q432" s="1390"/>
      <c r="R432" s="1390"/>
      <c r="S432" s="1390"/>
      <c r="T432" s="1390"/>
      <c r="U432" s="1390"/>
      <c r="V432" s="1390"/>
      <c r="W432" s="1390"/>
      <c r="X432" s="1390"/>
      <c r="Y432" s="1390"/>
      <c r="Z432" s="1390"/>
      <c r="AA432" s="1390"/>
      <c r="AB432" s="1390"/>
      <c r="AC432" s="1390"/>
      <c r="AD432" s="1390"/>
      <c r="AE432" s="1390"/>
      <c r="AF432" s="1390"/>
      <c r="AG432" s="1390"/>
      <c r="AH432" s="1390"/>
      <c r="AI432" s="1390"/>
      <c r="AJ432" s="1390"/>
      <c r="AK432" s="1390"/>
    </row>
    <row r="433" spans="3:37" ht="17.25" customHeight="1" x14ac:dyDescent="0.35">
      <c r="C433" s="1390"/>
      <c r="D433" s="1390"/>
      <c r="E433" s="1390"/>
      <c r="F433" s="1390"/>
      <c r="G433" s="1390"/>
      <c r="H433" s="1390"/>
      <c r="I433" s="1390"/>
      <c r="J433" s="1390"/>
      <c r="K433" s="1390"/>
      <c r="L433" s="1390"/>
      <c r="M433" s="1390"/>
      <c r="N433" s="1390"/>
      <c r="O433" s="1390"/>
      <c r="P433" s="1390"/>
      <c r="Q433" s="1390"/>
      <c r="R433" s="1390"/>
      <c r="S433" s="1390"/>
      <c r="T433" s="1390"/>
      <c r="U433" s="1390"/>
      <c r="V433" s="1390"/>
      <c r="W433" s="1390"/>
      <c r="X433" s="1390"/>
      <c r="Y433" s="1390"/>
      <c r="Z433" s="1390"/>
      <c r="AA433" s="1390"/>
      <c r="AB433" s="1390"/>
      <c r="AC433" s="1390"/>
      <c r="AD433" s="1390"/>
      <c r="AE433" s="1390"/>
      <c r="AF433" s="1390"/>
      <c r="AG433" s="1390"/>
      <c r="AH433" s="1390"/>
      <c r="AI433" s="1390"/>
      <c r="AJ433" s="1390"/>
      <c r="AK433" s="1390"/>
    </row>
    <row r="434" spans="3:37" ht="17.25" customHeight="1" x14ac:dyDescent="0.35">
      <c r="C434" s="1390"/>
      <c r="D434" s="1390"/>
      <c r="E434" s="1390"/>
      <c r="F434" s="1390"/>
      <c r="G434" s="1390"/>
      <c r="H434" s="1390"/>
      <c r="I434" s="1390"/>
      <c r="J434" s="1390"/>
      <c r="K434" s="1390"/>
      <c r="L434" s="1390"/>
      <c r="M434" s="1390"/>
      <c r="N434" s="1390"/>
      <c r="O434" s="1390"/>
      <c r="P434" s="1390"/>
      <c r="Q434" s="1390"/>
      <c r="R434" s="1390"/>
      <c r="S434" s="1390"/>
      <c r="T434" s="1390"/>
      <c r="U434" s="1390"/>
      <c r="V434" s="1390"/>
      <c r="W434" s="1390"/>
      <c r="X434" s="1390"/>
      <c r="Y434" s="1390"/>
      <c r="Z434" s="1390"/>
      <c r="AA434" s="1390"/>
      <c r="AB434" s="1390"/>
      <c r="AC434" s="1390"/>
      <c r="AD434" s="1390"/>
      <c r="AE434" s="1390"/>
      <c r="AF434" s="1390"/>
      <c r="AG434" s="1390"/>
      <c r="AH434" s="1390"/>
      <c r="AI434" s="1390"/>
      <c r="AJ434" s="1390"/>
      <c r="AK434" s="1390"/>
    </row>
    <row r="435" spans="3:37" ht="17.25" customHeight="1" x14ac:dyDescent="0.35">
      <c r="C435" s="1390"/>
      <c r="D435" s="1390"/>
      <c r="E435" s="1390"/>
      <c r="F435" s="1390"/>
      <c r="G435" s="1390"/>
      <c r="H435" s="1390"/>
      <c r="I435" s="1390"/>
      <c r="J435" s="1390"/>
      <c r="K435" s="1390"/>
      <c r="L435" s="1390"/>
      <c r="M435" s="1390"/>
      <c r="N435" s="1390"/>
      <c r="O435" s="1390"/>
      <c r="P435" s="1390"/>
      <c r="Q435" s="1390"/>
      <c r="R435" s="1390"/>
      <c r="S435" s="1390"/>
      <c r="T435" s="1390"/>
      <c r="U435" s="1390"/>
      <c r="V435" s="1390"/>
      <c r="W435" s="1390"/>
      <c r="X435" s="1390"/>
      <c r="Y435" s="1390"/>
      <c r="Z435" s="1390"/>
      <c r="AA435" s="1390"/>
      <c r="AB435" s="1390"/>
      <c r="AC435" s="1390"/>
      <c r="AD435" s="1390"/>
      <c r="AE435" s="1390"/>
      <c r="AF435" s="1390"/>
      <c r="AG435" s="1390"/>
      <c r="AH435" s="1390"/>
      <c r="AI435" s="1390"/>
      <c r="AJ435" s="1390"/>
      <c r="AK435" s="1390"/>
    </row>
    <row r="436" spans="3:37" ht="17.25" customHeight="1" x14ac:dyDescent="0.35">
      <c r="C436" s="1390"/>
      <c r="D436" s="1390"/>
      <c r="E436" s="1390"/>
      <c r="F436" s="1390"/>
      <c r="G436" s="1390"/>
      <c r="H436" s="1390"/>
      <c r="I436" s="1390"/>
      <c r="J436" s="1390"/>
      <c r="K436" s="1390"/>
      <c r="L436" s="1390"/>
      <c r="M436" s="1390"/>
      <c r="N436" s="1390"/>
      <c r="O436" s="1390"/>
      <c r="P436" s="1390"/>
      <c r="Q436" s="1390"/>
      <c r="R436" s="1390"/>
      <c r="S436" s="1390"/>
      <c r="T436" s="1390"/>
      <c r="U436" s="1390"/>
      <c r="V436" s="1390"/>
      <c r="W436" s="1390"/>
      <c r="X436" s="1390"/>
      <c r="Y436" s="1390"/>
      <c r="Z436" s="1390"/>
      <c r="AA436" s="1390"/>
      <c r="AB436" s="1390"/>
      <c r="AC436" s="1390"/>
      <c r="AD436" s="1390"/>
      <c r="AE436" s="1390"/>
      <c r="AF436" s="1390"/>
      <c r="AG436" s="1390"/>
      <c r="AH436" s="1390"/>
      <c r="AI436" s="1390"/>
      <c r="AJ436" s="1390"/>
      <c r="AK436" s="1390"/>
    </row>
    <row r="437" spans="3:37" ht="17.25" customHeight="1" x14ac:dyDescent="0.35">
      <c r="C437" s="1390"/>
      <c r="D437" s="1390"/>
      <c r="E437" s="1390"/>
      <c r="F437" s="1390"/>
      <c r="G437" s="1390"/>
      <c r="H437" s="1390"/>
      <c r="I437" s="1390"/>
      <c r="J437" s="1390"/>
      <c r="K437" s="1390"/>
      <c r="L437" s="1390"/>
      <c r="M437" s="1390"/>
      <c r="N437" s="1390"/>
      <c r="O437" s="1390"/>
      <c r="P437" s="1390"/>
      <c r="Q437" s="1390"/>
      <c r="R437" s="1390"/>
      <c r="S437" s="1390"/>
      <c r="T437" s="1390"/>
      <c r="U437" s="1390"/>
      <c r="V437" s="1390"/>
      <c r="W437" s="1390"/>
      <c r="X437" s="1390"/>
      <c r="Y437" s="1390"/>
      <c r="Z437" s="1390"/>
      <c r="AA437" s="1390"/>
      <c r="AB437" s="1390"/>
      <c r="AC437" s="1390"/>
      <c r="AD437" s="1390"/>
      <c r="AE437" s="1390"/>
      <c r="AF437" s="1390"/>
      <c r="AG437" s="1390"/>
      <c r="AH437" s="1390"/>
      <c r="AI437" s="1390"/>
      <c r="AJ437" s="1390"/>
      <c r="AK437" s="1390"/>
    </row>
    <row r="438" spans="3:37" ht="17.25" customHeight="1" x14ac:dyDescent="0.35">
      <c r="C438" s="1390"/>
      <c r="D438" s="1390"/>
      <c r="E438" s="1390"/>
      <c r="F438" s="1390"/>
      <c r="G438" s="1390"/>
      <c r="H438" s="1390"/>
      <c r="I438" s="1390"/>
      <c r="J438" s="1390"/>
      <c r="K438" s="1390"/>
      <c r="L438" s="1390"/>
      <c r="M438" s="1390"/>
      <c r="N438" s="1390"/>
      <c r="O438" s="1390"/>
      <c r="P438" s="1390"/>
      <c r="Q438" s="1390"/>
      <c r="R438" s="1390"/>
      <c r="S438" s="1390"/>
      <c r="T438" s="1390"/>
      <c r="U438" s="1390"/>
      <c r="V438" s="1390"/>
      <c r="W438" s="1390"/>
      <c r="X438" s="1390"/>
      <c r="Y438" s="1390"/>
      <c r="Z438" s="1390"/>
      <c r="AA438" s="1390"/>
      <c r="AB438" s="1390"/>
      <c r="AC438" s="1390"/>
      <c r="AD438" s="1390"/>
      <c r="AE438" s="1390"/>
      <c r="AF438" s="1390"/>
      <c r="AG438" s="1390"/>
      <c r="AH438" s="1390"/>
      <c r="AI438" s="1390"/>
      <c r="AJ438" s="1390"/>
      <c r="AK438" s="1390"/>
    </row>
    <row r="439" spans="3:37" ht="17.25" customHeight="1" x14ac:dyDescent="0.35">
      <c r="C439" s="1390"/>
      <c r="D439" s="1390"/>
      <c r="E439" s="1390"/>
      <c r="F439" s="1390"/>
      <c r="G439" s="1390"/>
      <c r="H439" s="1390"/>
      <c r="I439" s="1390"/>
      <c r="J439" s="1390"/>
      <c r="K439" s="1390"/>
      <c r="L439" s="1390"/>
      <c r="M439" s="1390"/>
      <c r="N439" s="1390"/>
      <c r="O439" s="1390"/>
      <c r="P439" s="1390"/>
      <c r="Q439" s="1390"/>
      <c r="R439" s="1390"/>
      <c r="S439" s="1390"/>
      <c r="T439" s="1390"/>
      <c r="U439" s="1390"/>
      <c r="V439" s="1390"/>
      <c r="W439" s="1390"/>
      <c r="X439" s="1390"/>
      <c r="Y439" s="1390"/>
      <c r="Z439" s="1390"/>
      <c r="AA439" s="1390"/>
      <c r="AB439" s="1390"/>
      <c r="AC439" s="1390"/>
      <c r="AD439" s="1390"/>
      <c r="AE439" s="1390"/>
      <c r="AF439" s="1390"/>
      <c r="AG439" s="1390"/>
      <c r="AH439" s="1390"/>
      <c r="AI439" s="1390"/>
      <c r="AJ439" s="1390"/>
      <c r="AK439" s="1390"/>
    </row>
    <row r="440" spans="3:37" ht="17.25" customHeight="1" x14ac:dyDescent="0.35">
      <c r="C440" s="1390"/>
      <c r="D440" s="1390"/>
      <c r="E440" s="1390"/>
      <c r="F440" s="1390"/>
      <c r="G440" s="1390"/>
      <c r="H440" s="1390"/>
      <c r="I440" s="1390"/>
      <c r="J440" s="1390"/>
      <c r="K440" s="1390"/>
      <c r="L440" s="1390"/>
      <c r="M440" s="1390"/>
      <c r="N440" s="1390"/>
      <c r="O440" s="1390"/>
      <c r="P440" s="1390"/>
      <c r="Q440" s="1390"/>
      <c r="R440" s="1390"/>
      <c r="S440" s="1390"/>
      <c r="T440" s="1390"/>
      <c r="U440" s="1390"/>
      <c r="V440" s="1390"/>
      <c r="W440" s="1390"/>
      <c r="X440" s="1390"/>
      <c r="Y440" s="1390"/>
      <c r="Z440" s="1390"/>
      <c r="AA440" s="1390"/>
      <c r="AB440" s="1390"/>
      <c r="AC440" s="1390"/>
      <c r="AD440" s="1390"/>
      <c r="AE440" s="1390"/>
      <c r="AF440" s="1390"/>
      <c r="AG440" s="1390"/>
      <c r="AH440" s="1390"/>
      <c r="AI440" s="1390"/>
      <c r="AJ440" s="1390"/>
      <c r="AK440" s="1390"/>
    </row>
    <row r="441" spans="3:37" ht="17.25" customHeight="1" x14ac:dyDescent="0.35">
      <c r="C441" s="1390"/>
      <c r="D441" s="1390"/>
      <c r="E441" s="1390"/>
      <c r="F441" s="1390"/>
      <c r="G441" s="1390"/>
      <c r="H441" s="1390"/>
      <c r="I441" s="1390"/>
      <c r="J441" s="1390"/>
      <c r="K441" s="1390"/>
      <c r="L441" s="1390"/>
      <c r="M441" s="1390"/>
      <c r="N441" s="1390"/>
      <c r="O441" s="1390"/>
      <c r="P441" s="1390"/>
      <c r="Q441" s="1390"/>
      <c r="R441" s="1390"/>
      <c r="S441" s="1390"/>
      <c r="T441" s="1390"/>
      <c r="U441" s="1390"/>
      <c r="V441" s="1390"/>
      <c r="W441" s="1390"/>
      <c r="X441" s="1390"/>
      <c r="Y441" s="1390"/>
      <c r="Z441" s="1390"/>
      <c r="AA441" s="1390"/>
      <c r="AB441" s="1390"/>
      <c r="AC441" s="1390"/>
      <c r="AD441" s="1390"/>
      <c r="AE441" s="1390"/>
      <c r="AF441" s="1390"/>
      <c r="AG441" s="1390"/>
      <c r="AH441" s="1390"/>
      <c r="AI441" s="1390"/>
      <c r="AJ441" s="1390"/>
      <c r="AK441" s="1390"/>
    </row>
    <row r="442" spans="3:37" ht="17.25" customHeight="1" x14ac:dyDescent="0.35">
      <c r="C442" s="1390"/>
      <c r="D442" s="1390"/>
      <c r="E442" s="1390"/>
      <c r="F442" s="1390"/>
      <c r="G442" s="1390"/>
      <c r="H442" s="1390"/>
      <c r="I442" s="1390"/>
      <c r="J442" s="1390"/>
      <c r="K442" s="1390"/>
      <c r="L442" s="1390"/>
      <c r="M442" s="1390"/>
      <c r="N442" s="1390"/>
      <c r="O442" s="1390"/>
      <c r="P442" s="1390"/>
      <c r="Q442" s="1390"/>
      <c r="R442" s="1390"/>
      <c r="S442" s="1390"/>
      <c r="T442" s="1390"/>
      <c r="U442" s="1390"/>
      <c r="V442" s="1390"/>
      <c r="W442" s="1390"/>
      <c r="X442" s="1390"/>
      <c r="Y442" s="1390"/>
      <c r="Z442" s="1390"/>
      <c r="AA442" s="1390"/>
      <c r="AB442" s="1390"/>
      <c r="AC442" s="1390"/>
      <c r="AD442" s="1390"/>
      <c r="AE442" s="1390"/>
      <c r="AF442" s="1390"/>
      <c r="AG442" s="1390"/>
      <c r="AH442" s="1390"/>
      <c r="AI442" s="1390"/>
      <c r="AJ442" s="1390"/>
      <c r="AK442" s="1390"/>
    </row>
    <row r="443" spans="3:37" ht="17.25" customHeight="1" x14ac:dyDescent="0.35">
      <c r="C443" s="1390"/>
      <c r="D443" s="1390"/>
      <c r="E443" s="1390"/>
      <c r="F443" s="1390"/>
      <c r="G443" s="1390"/>
      <c r="H443" s="1390"/>
      <c r="I443" s="1390"/>
      <c r="J443" s="1390"/>
      <c r="K443" s="1390"/>
      <c r="L443" s="1390"/>
      <c r="M443" s="1390"/>
      <c r="N443" s="1390"/>
      <c r="O443" s="1390"/>
      <c r="P443" s="1390"/>
      <c r="Q443" s="1390"/>
      <c r="R443" s="1390"/>
      <c r="S443" s="1390"/>
      <c r="T443" s="1390"/>
      <c r="U443" s="1390"/>
      <c r="V443" s="1390"/>
      <c r="W443" s="1390"/>
      <c r="X443" s="1390"/>
      <c r="Y443" s="1390"/>
      <c r="Z443" s="1390"/>
      <c r="AA443" s="1390"/>
      <c r="AB443" s="1390"/>
      <c r="AC443" s="1390"/>
      <c r="AD443" s="1390"/>
      <c r="AE443" s="1390"/>
      <c r="AF443" s="1390"/>
      <c r="AG443" s="1390"/>
      <c r="AH443" s="1390"/>
      <c r="AI443" s="1390"/>
      <c r="AJ443" s="1390"/>
      <c r="AK443" s="1390"/>
    </row>
    <row r="444" spans="3:37" ht="17.25" customHeight="1" x14ac:dyDescent="0.35">
      <c r="C444" s="1390"/>
      <c r="D444" s="1390"/>
      <c r="E444" s="1390"/>
      <c r="F444" s="1390"/>
      <c r="G444" s="1390"/>
      <c r="H444" s="1390"/>
      <c r="I444" s="1390"/>
      <c r="J444" s="1390"/>
      <c r="K444" s="1390"/>
      <c r="L444" s="1390"/>
      <c r="M444" s="1390"/>
      <c r="N444" s="1390"/>
      <c r="O444" s="1390"/>
      <c r="P444" s="1390"/>
      <c r="Q444" s="1390"/>
      <c r="R444" s="1390"/>
      <c r="S444" s="1390"/>
      <c r="T444" s="1390"/>
      <c r="U444" s="1390"/>
      <c r="V444" s="1390"/>
      <c r="W444" s="1390"/>
      <c r="X444" s="1390"/>
      <c r="Y444" s="1390"/>
      <c r="Z444" s="1390"/>
      <c r="AA444" s="1390"/>
      <c r="AB444" s="1390"/>
      <c r="AC444" s="1390"/>
      <c r="AD444" s="1390"/>
      <c r="AE444" s="1390"/>
      <c r="AF444" s="1390"/>
      <c r="AG444" s="1390"/>
      <c r="AH444" s="1390"/>
      <c r="AI444" s="1390"/>
      <c r="AJ444" s="1390"/>
      <c r="AK444" s="1390"/>
    </row>
    <row r="445" spans="3:37" ht="17.25" customHeight="1" x14ac:dyDescent="0.35">
      <c r="C445" s="1390"/>
      <c r="D445" s="1390"/>
      <c r="E445" s="1390"/>
      <c r="F445" s="1390"/>
      <c r="G445" s="1390"/>
      <c r="H445" s="1390"/>
      <c r="I445" s="1390"/>
      <c r="J445" s="1390"/>
      <c r="K445" s="1390"/>
      <c r="L445" s="1390"/>
      <c r="M445" s="1390"/>
      <c r="N445" s="1390"/>
      <c r="O445" s="1390"/>
      <c r="P445" s="1390"/>
      <c r="Q445" s="1390"/>
      <c r="R445" s="1390"/>
      <c r="S445" s="1390"/>
      <c r="T445" s="1390"/>
      <c r="U445" s="1390"/>
      <c r="V445" s="1390"/>
      <c r="W445" s="1390"/>
      <c r="X445" s="1390"/>
      <c r="Y445" s="1390"/>
      <c r="Z445" s="1390"/>
      <c r="AA445" s="1390"/>
      <c r="AB445" s="1390"/>
      <c r="AC445" s="1390"/>
      <c r="AD445" s="1390"/>
      <c r="AE445" s="1390"/>
      <c r="AF445" s="1390"/>
      <c r="AG445" s="1390"/>
      <c r="AH445" s="1390"/>
      <c r="AI445" s="1390"/>
      <c r="AJ445" s="1390"/>
      <c r="AK445" s="1390"/>
    </row>
    <row r="446" spans="3:37" ht="17.25" customHeight="1" x14ac:dyDescent="0.35">
      <c r="C446" s="1390"/>
      <c r="D446" s="1390"/>
      <c r="E446" s="1390"/>
      <c r="F446" s="1390"/>
      <c r="G446" s="1390"/>
      <c r="H446" s="1390"/>
      <c r="I446" s="1390"/>
      <c r="J446" s="1390"/>
      <c r="K446" s="1390"/>
      <c r="L446" s="1390"/>
      <c r="M446" s="1390"/>
      <c r="N446" s="1390"/>
      <c r="O446" s="1390"/>
      <c r="P446" s="1390"/>
      <c r="Q446" s="1390"/>
      <c r="R446" s="1390"/>
      <c r="S446" s="1390"/>
      <c r="T446" s="1390"/>
      <c r="U446" s="1390"/>
      <c r="V446" s="1390"/>
      <c r="W446" s="1390"/>
      <c r="X446" s="1390"/>
      <c r="Y446" s="1390"/>
      <c r="Z446" s="1390"/>
      <c r="AA446" s="1390"/>
      <c r="AB446" s="1390"/>
      <c r="AC446" s="1390"/>
      <c r="AD446" s="1390"/>
      <c r="AE446" s="1390"/>
      <c r="AF446" s="1390"/>
      <c r="AG446" s="1390"/>
      <c r="AH446" s="1390"/>
      <c r="AI446" s="1390"/>
      <c r="AJ446" s="1390"/>
      <c r="AK446" s="1390"/>
    </row>
    <row r="447" spans="3:37" ht="17.25" customHeight="1" x14ac:dyDescent="0.35">
      <c r="C447" s="1390"/>
      <c r="D447" s="1390"/>
      <c r="E447" s="1390"/>
      <c r="F447" s="1390"/>
      <c r="G447" s="1390"/>
      <c r="H447" s="1390"/>
      <c r="I447" s="1390"/>
      <c r="J447" s="1390"/>
      <c r="K447" s="1390"/>
      <c r="L447" s="1390"/>
      <c r="M447" s="1390"/>
      <c r="N447" s="1390"/>
      <c r="O447" s="1390"/>
      <c r="P447" s="1390"/>
      <c r="Q447" s="1390"/>
      <c r="R447" s="1390"/>
      <c r="S447" s="1390"/>
      <c r="T447" s="1390"/>
      <c r="U447" s="1390"/>
      <c r="V447" s="1390"/>
      <c r="W447" s="1390"/>
      <c r="X447" s="1390"/>
      <c r="Y447" s="1390"/>
      <c r="Z447" s="1390"/>
      <c r="AA447" s="1390"/>
      <c r="AB447" s="1390"/>
      <c r="AC447" s="1390"/>
      <c r="AD447" s="1390"/>
      <c r="AE447" s="1390"/>
      <c r="AF447" s="1390"/>
      <c r="AG447" s="1390"/>
      <c r="AH447" s="1390"/>
      <c r="AI447" s="1390"/>
      <c r="AJ447" s="1390"/>
      <c r="AK447" s="1390"/>
    </row>
    <row r="448" spans="3:37" ht="17.25" customHeight="1" x14ac:dyDescent="0.35">
      <c r="C448" s="1390"/>
      <c r="D448" s="1390"/>
      <c r="E448" s="1390"/>
      <c r="F448" s="1390"/>
      <c r="G448" s="1390"/>
      <c r="H448" s="1390"/>
      <c r="I448" s="1390"/>
      <c r="J448" s="1390"/>
      <c r="K448" s="1390"/>
      <c r="L448" s="1390"/>
      <c r="M448" s="1390"/>
      <c r="N448" s="1390"/>
      <c r="O448" s="1390"/>
      <c r="P448" s="1390"/>
      <c r="Q448" s="1390"/>
      <c r="R448" s="1390"/>
      <c r="S448" s="1390"/>
      <c r="T448" s="1390"/>
      <c r="U448" s="1390"/>
      <c r="V448" s="1390"/>
      <c r="W448" s="1390"/>
      <c r="X448" s="1390"/>
      <c r="Y448" s="1390"/>
      <c r="Z448" s="1390"/>
      <c r="AA448" s="1390"/>
      <c r="AB448" s="1390"/>
      <c r="AC448" s="1390"/>
      <c r="AD448" s="1390"/>
      <c r="AE448" s="1390"/>
      <c r="AF448" s="1390"/>
      <c r="AG448" s="1390"/>
      <c r="AH448" s="1390"/>
      <c r="AI448" s="1390"/>
      <c r="AJ448" s="1390"/>
      <c r="AK448" s="1390"/>
    </row>
    <row r="449" spans="3:37" ht="17.25" customHeight="1" x14ac:dyDescent="0.35">
      <c r="C449" s="1390"/>
      <c r="D449" s="1390"/>
      <c r="E449" s="1390"/>
      <c r="F449" s="1390"/>
      <c r="G449" s="1390"/>
      <c r="H449" s="1390"/>
      <c r="I449" s="1390"/>
      <c r="J449" s="1390"/>
      <c r="K449" s="1390"/>
      <c r="L449" s="1390"/>
      <c r="M449" s="1390"/>
      <c r="N449" s="1390"/>
      <c r="O449" s="1390"/>
      <c r="P449" s="1390"/>
      <c r="Q449" s="1390"/>
      <c r="R449" s="1390"/>
      <c r="S449" s="1390"/>
      <c r="T449" s="1390"/>
      <c r="U449" s="1390"/>
      <c r="V449" s="1390"/>
      <c r="W449" s="1390"/>
      <c r="X449" s="1390"/>
      <c r="Y449" s="1390"/>
      <c r="Z449" s="1390"/>
      <c r="AA449" s="1390"/>
      <c r="AB449" s="1390"/>
      <c r="AC449" s="1390"/>
      <c r="AD449" s="1390"/>
      <c r="AE449" s="1390"/>
      <c r="AF449" s="1390"/>
      <c r="AG449" s="1390"/>
      <c r="AH449" s="1390"/>
      <c r="AI449" s="1390"/>
      <c r="AJ449" s="1390"/>
      <c r="AK449" s="1390"/>
    </row>
    <row r="450" spans="3:37" ht="17.25" customHeight="1" x14ac:dyDescent="0.35">
      <c r="C450" s="1390"/>
      <c r="D450" s="1390"/>
      <c r="E450" s="1390"/>
      <c r="F450" s="1390"/>
      <c r="G450" s="1390"/>
      <c r="H450" s="1390"/>
      <c r="I450" s="1390"/>
      <c r="J450" s="1390"/>
      <c r="K450" s="1390"/>
      <c r="L450" s="1390"/>
      <c r="M450" s="1390"/>
      <c r="N450" s="1390"/>
      <c r="O450" s="1390"/>
      <c r="P450" s="1390"/>
      <c r="Q450" s="1390"/>
      <c r="R450" s="1390"/>
      <c r="S450" s="1390"/>
      <c r="T450" s="1390"/>
      <c r="U450" s="1390"/>
      <c r="V450" s="1390"/>
      <c r="W450" s="1390"/>
      <c r="X450" s="1390"/>
      <c r="Y450" s="1390"/>
      <c r="Z450" s="1390"/>
      <c r="AA450" s="1390"/>
      <c r="AB450" s="1390"/>
      <c r="AC450" s="1390"/>
      <c r="AD450" s="1390"/>
      <c r="AE450" s="1390"/>
      <c r="AF450" s="1390"/>
      <c r="AG450" s="1390"/>
      <c r="AH450" s="1390"/>
      <c r="AI450" s="1390"/>
      <c r="AJ450" s="1390"/>
      <c r="AK450" s="1390"/>
    </row>
    <row r="451" spans="3:37" ht="17.25" customHeight="1" x14ac:dyDescent="0.35">
      <c r="C451" s="1390"/>
      <c r="D451" s="1390"/>
      <c r="E451" s="1390"/>
      <c r="F451" s="1390"/>
      <c r="G451" s="1390"/>
      <c r="H451" s="1390"/>
      <c r="I451" s="1390"/>
      <c r="J451" s="1390"/>
      <c r="K451" s="1390"/>
      <c r="L451" s="1390"/>
      <c r="M451" s="1390"/>
      <c r="N451" s="1390"/>
      <c r="O451" s="1390"/>
      <c r="P451" s="1390"/>
      <c r="Q451" s="1390"/>
      <c r="R451" s="1390"/>
      <c r="S451" s="1390"/>
      <c r="T451" s="1390"/>
      <c r="U451" s="1390"/>
      <c r="V451" s="1390"/>
      <c r="W451" s="1390"/>
      <c r="X451" s="1390"/>
      <c r="Y451" s="1390"/>
      <c r="Z451" s="1390"/>
      <c r="AA451" s="1390"/>
      <c r="AB451" s="1390"/>
      <c r="AC451" s="1390"/>
      <c r="AD451" s="1390"/>
      <c r="AE451" s="1390"/>
      <c r="AF451" s="1390"/>
      <c r="AG451" s="1390"/>
      <c r="AH451" s="1390"/>
      <c r="AI451" s="1390"/>
      <c r="AJ451" s="1390"/>
      <c r="AK451" s="1390"/>
    </row>
    <row r="452" spans="3:37" ht="17.25" customHeight="1" x14ac:dyDescent="0.35">
      <c r="C452" s="1390"/>
      <c r="D452" s="1390"/>
      <c r="E452" s="1390"/>
      <c r="F452" s="1390"/>
      <c r="G452" s="1390"/>
      <c r="H452" s="1390"/>
      <c r="I452" s="1390"/>
      <c r="J452" s="1390"/>
      <c r="K452" s="1390"/>
      <c r="L452" s="1390"/>
      <c r="M452" s="1390"/>
      <c r="N452" s="1390"/>
      <c r="O452" s="1390"/>
      <c r="P452" s="1390"/>
      <c r="Q452" s="1390"/>
      <c r="R452" s="1390"/>
      <c r="S452" s="1390"/>
      <c r="T452" s="1390"/>
      <c r="U452" s="1390"/>
      <c r="V452" s="1390"/>
      <c r="W452" s="1390"/>
      <c r="X452" s="1390"/>
      <c r="Y452" s="1390"/>
      <c r="Z452" s="1390"/>
      <c r="AA452" s="1390"/>
      <c r="AB452" s="1390"/>
      <c r="AC452" s="1390"/>
      <c r="AD452" s="1390"/>
      <c r="AE452" s="1390"/>
      <c r="AF452" s="1390"/>
      <c r="AG452" s="1390"/>
      <c r="AH452" s="1390"/>
      <c r="AI452" s="1390"/>
      <c r="AJ452" s="1390"/>
      <c r="AK452" s="1390"/>
    </row>
    <row r="453" spans="3:37" ht="17.25" customHeight="1" x14ac:dyDescent="0.35">
      <c r="C453" s="1390"/>
      <c r="D453" s="1390"/>
      <c r="E453" s="1390"/>
      <c r="F453" s="1390"/>
      <c r="G453" s="1390"/>
      <c r="H453" s="1390"/>
      <c r="I453" s="1390"/>
      <c r="J453" s="1390"/>
      <c r="K453" s="1390"/>
      <c r="L453" s="1390"/>
      <c r="M453" s="1390"/>
      <c r="N453" s="1390"/>
      <c r="O453" s="1390"/>
      <c r="P453" s="1390"/>
      <c r="Q453" s="1390"/>
      <c r="R453" s="1390"/>
      <c r="S453" s="1390"/>
      <c r="T453" s="1390"/>
      <c r="U453" s="1390"/>
      <c r="V453" s="1390"/>
      <c r="W453" s="1390"/>
      <c r="X453" s="1390"/>
      <c r="Y453" s="1390"/>
      <c r="Z453" s="1390"/>
      <c r="AA453" s="1390"/>
      <c r="AB453" s="1390"/>
      <c r="AC453" s="1390"/>
      <c r="AD453" s="1390"/>
      <c r="AE453" s="1390"/>
      <c r="AF453" s="1390"/>
      <c r="AG453" s="1390"/>
      <c r="AH453" s="1390"/>
      <c r="AI453" s="1390"/>
      <c r="AJ453" s="1390"/>
      <c r="AK453" s="1390"/>
    </row>
    <row r="454" spans="3:37" ht="17.25" customHeight="1" x14ac:dyDescent="0.35">
      <c r="C454" s="1390"/>
      <c r="D454" s="1390"/>
      <c r="E454" s="1390"/>
      <c r="F454" s="1390"/>
      <c r="G454" s="1390"/>
      <c r="H454" s="1390"/>
      <c r="I454" s="1390"/>
      <c r="J454" s="1390"/>
      <c r="K454" s="1390"/>
      <c r="L454" s="1390"/>
      <c r="M454" s="1390"/>
      <c r="N454" s="1390"/>
      <c r="O454" s="1390"/>
      <c r="P454" s="1390"/>
      <c r="Q454" s="1390"/>
      <c r="R454" s="1390"/>
      <c r="S454" s="1390"/>
      <c r="T454" s="1390"/>
      <c r="U454" s="1390"/>
      <c r="V454" s="1390"/>
      <c r="W454" s="1390"/>
      <c r="X454" s="1390"/>
      <c r="Y454" s="1390"/>
      <c r="Z454" s="1390"/>
      <c r="AA454" s="1390"/>
      <c r="AB454" s="1390"/>
      <c r="AC454" s="1390"/>
      <c r="AD454" s="1390"/>
      <c r="AE454" s="1390"/>
      <c r="AF454" s="1390"/>
      <c r="AG454" s="1390"/>
      <c r="AH454" s="1390"/>
      <c r="AI454" s="1390"/>
      <c r="AJ454" s="1390"/>
      <c r="AK454" s="1390"/>
    </row>
    <row r="455" spans="3:37" ht="17.25" customHeight="1" x14ac:dyDescent="0.35">
      <c r="C455" s="1390"/>
      <c r="D455" s="1390"/>
      <c r="E455" s="1390"/>
      <c r="F455" s="1390"/>
      <c r="G455" s="1390"/>
      <c r="H455" s="1390"/>
      <c r="I455" s="1390"/>
      <c r="J455" s="1390"/>
      <c r="K455" s="1390"/>
      <c r="L455" s="1390"/>
      <c r="M455" s="1390"/>
      <c r="N455" s="1390"/>
      <c r="O455" s="1390"/>
      <c r="P455" s="1390"/>
      <c r="Q455" s="1390"/>
      <c r="R455" s="1390"/>
      <c r="S455" s="1390"/>
      <c r="T455" s="1390"/>
      <c r="U455" s="1390"/>
      <c r="V455" s="1390"/>
      <c r="W455" s="1390"/>
      <c r="X455" s="1390"/>
      <c r="Y455" s="1390"/>
      <c r="Z455" s="1390"/>
      <c r="AA455" s="1390"/>
      <c r="AB455" s="1390"/>
      <c r="AC455" s="1390"/>
      <c r="AD455" s="1390"/>
      <c r="AE455" s="1390"/>
      <c r="AF455" s="1390"/>
      <c r="AG455" s="1390"/>
      <c r="AH455" s="1390"/>
      <c r="AI455" s="1390"/>
      <c r="AJ455" s="1390"/>
      <c r="AK455" s="1390"/>
    </row>
    <row r="456" spans="3:37" ht="17.25" customHeight="1" x14ac:dyDescent="0.35">
      <c r="C456" s="1390"/>
      <c r="D456" s="1390"/>
      <c r="E456" s="1390"/>
      <c r="F456" s="1390"/>
      <c r="G456" s="1390"/>
      <c r="H456" s="1390"/>
      <c r="I456" s="1390"/>
      <c r="J456" s="1390"/>
      <c r="K456" s="1390"/>
      <c r="L456" s="1390"/>
      <c r="M456" s="1390"/>
      <c r="N456" s="1390"/>
      <c r="O456" s="1390"/>
      <c r="P456" s="1390"/>
      <c r="Q456" s="1390"/>
      <c r="R456" s="1390"/>
      <c r="S456" s="1390"/>
      <c r="T456" s="1390"/>
      <c r="U456" s="1390"/>
      <c r="V456" s="1390"/>
      <c r="W456" s="1390"/>
      <c r="X456" s="1390"/>
      <c r="Y456" s="1390"/>
      <c r="Z456" s="1390"/>
      <c r="AA456" s="1390"/>
      <c r="AB456" s="1390"/>
      <c r="AC456" s="1390"/>
      <c r="AD456" s="1390"/>
      <c r="AE456" s="1390"/>
      <c r="AF456" s="1390"/>
      <c r="AG456" s="1390"/>
      <c r="AH456" s="1390"/>
      <c r="AI456" s="1390"/>
      <c r="AJ456" s="1390"/>
      <c r="AK456" s="1390"/>
    </row>
    <row r="457" spans="3:37" ht="17.25" customHeight="1" x14ac:dyDescent="0.35">
      <c r="C457" s="1390"/>
      <c r="D457" s="1390"/>
      <c r="E457" s="1390"/>
      <c r="F457" s="1390"/>
      <c r="G457" s="1390"/>
      <c r="H457" s="1390"/>
      <c r="I457" s="1390"/>
      <c r="J457" s="1390"/>
      <c r="K457" s="1390"/>
      <c r="L457" s="1390"/>
      <c r="M457" s="1390"/>
      <c r="N457" s="1390"/>
      <c r="O457" s="1390"/>
      <c r="P457" s="1390"/>
      <c r="Q457" s="1390"/>
      <c r="R457" s="1390"/>
      <c r="S457" s="1390"/>
      <c r="T457" s="1390"/>
      <c r="U457" s="1390"/>
      <c r="V457" s="1390"/>
      <c r="W457" s="1390"/>
      <c r="X457" s="1390"/>
      <c r="Y457" s="1390"/>
      <c r="Z457" s="1390"/>
      <c r="AA457" s="1390"/>
      <c r="AB457" s="1390"/>
      <c r="AC457" s="1390"/>
      <c r="AD457" s="1390"/>
      <c r="AE457" s="1390"/>
      <c r="AF457" s="1390"/>
      <c r="AG457" s="1390"/>
      <c r="AH457" s="1390"/>
      <c r="AI457" s="1390"/>
      <c r="AJ457" s="1390"/>
      <c r="AK457" s="1390"/>
    </row>
    <row r="458" spans="3:37" ht="17.25" customHeight="1" x14ac:dyDescent="0.35">
      <c r="C458" s="1390"/>
      <c r="D458" s="1390"/>
      <c r="E458" s="1390"/>
      <c r="F458" s="1390"/>
      <c r="G458" s="1390"/>
      <c r="H458" s="1390"/>
      <c r="I458" s="1390"/>
      <c r="J458" s="1390"/>
      <c r="K458" s="1390"/>
      <c r="L458" s="1390"/>
      <c r="M458" s="1390"/>
      <c r="N458" s="1390"/>
      <c r="O458" s="1390"/>
      <c r="P458" s="1390"/>
      <c r="Q458" s="1390"/>
      <c r="R458" s="1390"/>
      <c r="S458" s="1390"/>
      <c r="T458" s="1390"/>
      <c r="U458" s="1390"/>
      <c r="V458" s="1390"/>
      <c r="W458" s="1390"/>
      <c r="X458" s="1390"/>
      <c r="Y458" s="1390"/>
      <c r="Z458" s="1390"/>
      <c r="AA458" s="1390"/>
      <c r="AB458" s="1390"/>
      <c r="AC458" s="1390"/>
      <c r="AD458" s="1390"/>
      <c r="AE458" s="1390"/>
      <c r="AF458" s="1390"/>
      <c r="AG458" s="1390"/>
      <c r="AH458" s="1390"/>
      <c r="AI458" s="1390"/>
      <c r="AJ458" s="1390"/>
      <c r="AK458" s="1390"/>
    </row>
    <row r="459" spans="3:37" ht="17.25" customHeight="1" x14ac:dyDescent="0.35">
      <c r="C459" s="1390"/>
      <c r="D459" s="1390"/>
      <c r="E459" s="1390"/>
      <c r="F459" s="1390"/>
      <c r="G459" s="1390"/>
      <c r="H459" s="1390"/>
      <c r="I459" s="1390"/>
      <c r="J459" s="1390"/>
      <c r="K459" s="1390"/>
      <c r="L459" s="1390"/>
      <c r="M459" s="1390"/>
      <c r="N459" s="1390"/>
      <c r="O459" s="1390"/>
      <c r="P459" s="1390"/>
      <c r="Q459" s="1390"/>
      <c r="R459" s="1390"/>
      <c r="S459" s="1390"/>
      <c r="T459" s="1390"/>
      <c r="U459" s="1390"/>
      <c r="V459" s="1390"/>
      <c r="W459" s="1390"/>
      <c r="X459" s="1390"/>
      <c r="Y459" s="1390"/>
      <c r="Z459" s="1390"/>
      <c r="AA459" s="1390"/>
      <c r="AB459" s="1390"/>
      <c r="AC459" s="1390"/>
      <c r="AD459" s="1390"/>
      <c r="AE459" s="1390"/>
      <c r="AF459" s="1390"/>
      <c r="AG459" s="1390"/>
      <c r="AH459" s="1390"/>
      <c r="AI459" s="1390"/>
      <c r="AJ459" s="1390"/>
      <c r="AK459" s="1390"/>
    </row>
    <row r="460" spans="3:37" ht="17.25" customHeight="1" x14ac:dyDescent="0.35">
      <c r="C460" s="1390"/>
      <c r="D460" s="1390"/>
      <c r="E460" s="1390"/>
      <c r="F460" s="1390"/>
      <c r="G460" s="1390"/>
      <c r="H460" s="1390"/>
      <c r="I460" s="1390"/>
      <c r="J460" s="1390"/>
      <c r="K460" s="1390"/>
      <c r="L460" s="1390"/>
      <c r="M460" s="1390"/>
      <c r="N460" s="1390"/>
      <c r="O460" s="1390"/>
      <c r="P460" s="1390"/>
      <c r="Q460" s="1390"/>
      <c r="R460" s="1390"/>
      <c r="S460" s="1390"/>
      <c r="T460" s="1390"/>
      <c r="U460" s="1390"/>
      <c r="V460" s="1390"/>
      <c r="W460" s="1390"/>
      <c r="X460" s="1390"/>
      <c r="Y460" s="1390"/>
      <c r="Z460" s="1390"/>
      <c r="AA460" s="1390"/>
      <c r="AB460" s="1390"/>
      <c r="AC460" s="1390"/>
      <c r="AD460" s="1390"/>
      <c r="AE460" s="1390"/>
      <c r="AF460" s="1390"/>
      <c r="AG460" s="1390"/>
      <c r="AH460" s="1390"/>
      <c r="AI460" s="1390"/>
      <c r="AJ460" s="1390"/>
      <c r="AK460" s="1390"/>
    </row>
    <row r="461" spans="3:37" ht="17.25" customHeight="1" x14ac:dyDescent="0.35">
      <c r="C461" s="1390"/>
      <c r="D461" s="1390"/>
      <c r="E461" s="1390"/>
      <c r="F461" s="1390"/>
      <c r="G461" s="1390"/>
      <c r="H461" s="1390"/>
      <c r="I461" s="1390"/>
      <c r="J461" s="1390"/>
      <c r="K461" s="1390"/>
      <c r="L461" s="1390"/>
      <c r="M461" s="1390"/>
      <c r="N461" s="1390"/>
      <c r="O461" s="1390"/>
      <c r="P461" s="1390"/>
      <c r="Q461" s="1390"/>
      <c r="R461" s="1390"/>
      <c r="S461" s="1390"/>
      <c r="T461" s="1390"/>
      <c r="U461" s="1390"/>
      <c r="V461" s="1390"/>
      <c r="W461" s="1390"/>
      <c r="X461" s="1390"/>
      <c r="Y461" s="1390"/>
      <c r="Z461" s="1390"/>
      <c r="AA461" s="1390"/>
      <c r="AB461" s="1390"/>
      <c r="AC461" s="1390"/>
      <c r="AD461" s="1390"/>
      <c r="AE461" s="1390"/>
      <c r="AF461" s="1390"/>
      <c r="AG461" s="1390"/>
      <c r="AH461" s="1390"/>
      <c r="AI461" s="1390"/>
      <c r="AJ461" s="1390"/>
      <c r="AK461" s="1390"/>
    </row>
    <row r="462" spans="3:37" ht="17.25" customHeight="1" x14ac:dyDescent="0.35">
      <c r="C462" s="1390"/>
      <c r="D462" s="1390"/>
      <c r="E462" s="1390"/>
      <c r="F462" s="1390"/>
      <c r="G462" s="1390"/>
      <c r="H462" s="1390"/>
      <c r="I462" s="1390"/>
      <c r="J462" s="1390"/>
      <c r="K462" s="1390"/>
      <c r="L462" s="1390"/>
      <c r="M462" s="1390"/>
      <c r="N462" s="1390"/>
      <c r="O462" s="1390"/>
      <c r="P462" s="1390"/>
      <c r="Q462" s="1390"/>
      <c r="R462" s="1390"/>
      <c r="S462" s="1390"/>
      <c r="T462" s="1390"/>
      <c r="U462" s="1390"/>
      <c r="V462" s="1390"/>
      <c r="W462" s="1390"/>
      <c r="X462" s="1390"/>
      <c r="Y462" s="1390"/>
      <c r="Z462" s="1390"/>
      <c r="AA462" s="1390"/>
      <c r="AB462" s="1390"/>
      <c r="AC462" s="1390"/>
      <c r="AD462" s="1390"/>
      <c r="AE462" s="1390"/>
      <c r="AF462" s="1390"/>
      <c r="AG462" s="1390"/>
      <c r="AH462" s="1390"/>
      <c r="AI462" s="1390"/>
      <c r="AJ462" s="1390"/>
      <c r="AK462" s="1390"/>
    </row>
    <row r="463" spans="3:37" ht="17.25" customHeight="1" x14ac:dyDescent="0.35">
      <c r="C463" s="1390"/>
      <c r="D463" s="1390"/>
      <c r="E463" s="1390"/>
      <c r="F463" s="1390"/>
      <c r="G463" s="1390"/>
      <c r="H463" s="1390"/>
      <c r="I463" s="1390"/>
      <c r="J463" s="1390"/>
      <c r="K463" s="1390"/>
      <c r="L463" s="1390"/>
      <c r="M463" s="1390"/>
      <c r="N463" s="1390"/>
      <c r="O463" s="1390"/>
      <c r="P463" s="1390"/>
      <c r="Q463" s="1390"/>
      <c r="R463" s="1390"/>
      <c r="S463" s="1390"/>
      <c r="T463" s="1390"/>
      <c r="U463" s="1390"/>
      <c r="V463" s="1390"/>
      <c r="W463" s="1390"/>
      <c r="X463" s="1390"/>
      <c r="Y463" s="1390"/>
      <c r="Z463" s="1390"/>
      <c r="AA463" s="1390"/>
      <c r="AB463" s="1390"/>
      <c r="AC463" s="1390"/>
      <c r="AD463" s="1390"/>
      <c r="AE463" s="1390"/>
      <c r="AF463" s="1390"/>
      <c r="AG463" s="1390"/>
      <c r="AH463" s="1390"/>
      <c r="AI463" s="1390"/>
      <c r="AJ463" s="1390"/>
      <c r="AK463" s="1390"/>
    </row>
    <row r="464" spans="3:37" ht="17.25" customHeight="1" x14ac:dyDescent="0.35">
      <c r="C464" s="1390"/>
      <c r="D464" s="1390"/>
      <c r="E464" s="1390"/>
      <c r="F464" s="1390"/>
      <c r="G464" s="1390"/>
      <c r="H464" s="1390"/>
      <c r="I464" s="1390"/>
      <c r="J464" s="1390"/>
      <c r="K464" s="1390"/>
      <c r="L464" s="1390"/>
      <c r="M464" s="1390"/>
      <c r="N464" s="1390"/>
      <c r="O464" s="1390"/>
      <c r="P464" s="1390"/>
      <c r="Q464" s="1390"/>
      <c r="R464" s="1390"/>
      <c r="S464" s="1390"/>
      <c r="T464" s="1390"/>
      <c r="U464" s="1390"/>
      <c r="V464" s="1390"/>
      <c r="W464" s="1390"/>
      <c r="X464" s="1390"/>
      <c r="Y464" s="1390"/>
      <c r="Z464" s="1390"/>
      <c r="AA464" s="1390"/>
      <c r="AB464" s="1390"/>
      <c r="AC464" s="1390"/>
      <c r="AD464" s="1390"/>
      <c r="AE464" s="1390"/>
      <c r="AF464" s="1390"/>
      <c r="AG464" s="1390"/>
      <c r="AH464" s="1390"/>
      <c r="AI464" s="1390"/>
      <c r="AJ464" s="1390"/>
      <c r="AK464" s="1390"/>
    </row>
    <row r="465" spans="3:37" ht="17.25" customHeight="1" x14ac:dyDescent="0.35">
      <c r="C465" s="1390"/>
      <c r="D465" s="1390"/>
      <c r="E465" s="1390"/>
      <c r="F465" s="1390"/>
      <c r="G465" s="1390"/>
      <c r="H465" s="1390"/>
      <c r="I465" s="1390"/>
      <c r="J465" s="1390"/>
      <c r="K465" s="1390"/>
      <c r="L465" s="1390"/>
      <c r="M465" s="1390"/>
      <c r="N465" s="1390"/>
      <c r="O465" s="1390"/>
      <c r="P465" s="1390"/>
      <c r="Q465" s="1390"/>
      <c r="R465" s="1390"/>
      <c r="S465" s="1390"/>
      <c r="T465" s="1390"/>
      <c r="U465" s="1390"/>
      <c r="V465" s="1390"/>
      <c r="W465" s="1390"/>
      <c r="X465" s="1390"/>
      <c r="Y465" s="1390"/>
      <c r="Z465" s="1390"/>
      <c r="AA465" s="1390"/>
      <c r="AB465" s="1390"/>
      <c r="AC465" s="1390"/>
      <c r="AD465" s="1390"/>
      <c r="AE465" s="1390"/>
      <c r="AF465" s="1390"/>
      <c r="AG465" s="1390"/>
      <c r="AH465" s="1390"/>
      <c r="AI465" s="1390"/>
      <c r="AJ465" s="1390"/>
      <c r="AK465" s="1390"/>
    </row>
    <row r="466" spans="3:37" ht="17.25" customHeight="1" x14ac:dyDescent="0.35">
      <c r="C466" s="1390"/>
      <c r="D466" s="1390"/>
      <c r="E466" s="1390"/>
      <c r="F466" s="1390"/>
      <c r="G466" s="1390"/>
      <c r="H466" s="1390"/>
      <c r="I466" s="1390"/>
      <c r="J466" s="1390"/>
      <c r="K466" s="1390"/>
      <c r="L466" s="1390"/>
      <c r="M466" s="1390"/>
      <c r="N466" s="1390"/>
      <c r="O466" s="1390"/>
      <c r="P466" s="1390"/>
      <c r="Q466" s="1390"/>
      <c r="R466" s="1390"/>
      <c r="S466" s="1390"/>
      <c r="T466" s="1390"/>
      <c r="U466" s="1390"/>
      <c r="V466" s="1390"/>
      <c r="W466" s="1390"/>
      <c r="X466" s="1390"/>
      <c r="Y466" s="1390"/>
      <c r="Z466" s="1390"/>
      <c r="AA466" s="1390"/>
      <c r="AB466" s="1390"/>
      <c r="AC466" s="1390"/>
      <c r="AD466" s="1390"/>
      <c r="AE466" s="1390"/>
      <c r="AF466" s="1390"/>
      <c r="AG466" s="1390"/>
      <c r="AH466" s="1390"/>
      <c r="AI466" s="1390"/>
      <c r="AJ466" s="1390"/>
      <c r="AK466" s="1390"/>
    </row>
    <row r="467" spans="3:37" ht="17.25" customHeight="1" x14ac:dyDescent="0.35">
      <c r="C467" s="1390"/>
      <c r="D467" s="1390"/>
      <c r="E467" s="1390"/>
      <c r="F467" s="1390"/>
      <c r="G467" s="1390"/>
      <c r="H467" s="1390"/>
      <c r="I467" s="1390"/>
      <c r="J467" s="1390"/>
      <c r="K467" s="1390"/>
      <c r="L467" s="1390"/>
      <c r="M467" s="1390"/>
      <c r="N467" s="1390"/>
      <c r="O467" s="1390"/>
      <c r="P467" s="1390"/>
      <c r="Q467" s="1390"/>
      <c r="R467" s="1390"/>
      <c r="S467" s="1390"/>
      <c r="T467" s="1390"/>
      <c r="U467" s="1390"/>
      <c r="V467" s="1390"/>
      <c r="W467" s="1390"/>
      <c r="X467" s="1390"/>
      <c r="Y467" s="1390"/>
      <c r="Z467" s="1390"/>
      <c r="AA467" s="1390"/>
      <c r="AB467" s="1390"/>
      <c r="AC467" s="1390"/>
      <c r="AD467" s="1390"/>
      <c r="AE467" s="1390"/>
      <c r="AF467" s="1390"/>
      <c r="AG467" s="1390"/>
      <c r="AH467" s="1390"/>
      <c r="AI467" s="1390"/>
      <c r="AJ467" s="1390"/>
      <c r="AK467" s="1390"/>
    </row>
    <row r="468" spans="3:37" ht="17.25" customHeight="1" x14ac:dyDescent="0.35">
      <c r="C468" s="1390"/>
      <c r="D468" s="1390"/>
      <c r="E468" s="1390"/>
      <c r="F468" s="1390"/>
      <c r="G468" s="1390"/>
      <c r="H468" s="1390"/>
      <c r="I468" s="1390"/>
      <c r="J468" s="1390"/>
      <c r="K468" s="1390"/>
      <c r="L468" s="1390"/>
      <c r="M468" s="1390"/>
      <c r="N468" s="1390"/>
      <c r="O468" s="1390"/>
      <c r="P468" s="1390"/>
      <c r="Q468" s="1390"/>
      <c r="R468" s="1390"/>
      <c r="S468" s="1390"/>
      <c r="T468" s="1390"/>
      <c r="U468" s="1390"/>
      <c r="V468" s="1390"/>
      <c r="W468" s="1390"/>
      <c r="X468" s="1390"/>
      <c r="Y468" s="1390"/>
      <c r="Z468" s="1390"/>
      <c r="AA468" s="1390"/>
      <c r="AB468" s="1390"/>
      <c r="AC468" s="1390"/>
      <c r="AD468" s="1390"/>
      <c r="AE468" s="1390"/>
      <c r="AF468" s="1390"/>
      <c r="AG468" s="1390"/>
      <c r="AH468" s="1390"/>
      <c r="AI468" s="1390"/>
      <c r="AJ468" s="1390"/>
      <c r="AK468" s="1390"/>
    </row>
    <row r="469" spans="3:37" ht="17.25" customHeight="1" x14ac:dyDescent="0.35">
      <c r="C469" s="1390"/>
      <c r="D469" s="1390"/>
      <c r="E469" s="1390"/>
      <c r="F469" s="1390"/>
      <c r="G469" s="1390"/>
      <c r="H469" s="1390"/>
      <c r="I469" s="1390"/>
      <c r="J469" s="1390"/>
      <c r="K469" s="1390"/>
      <c r="L469" s="1390"/>
      <c r="M469" s="1390"/>
      <c r="N469" s="1390"/>
      <c r="O469" s="1390"/>
      <c r="P469" s="1390"/>
      <c r="Q469" s="1390"/>
      <c r="R469" s="1390"/>
      <c r="S469" s="1390"/>
      <c r="T469" s="1390"/>
      <c r="U469" s="1390"/>
      <c r="V469" s="1390"/>
      <c r="W469" s="1390"/>
      <c r="X469" s="1390"/>
      <c r="Y469" s="1390"/>
      <c r="Z469" s="1390"/>
      <c r="AA469" s="1390"/>
      <c r="AB469" s="1390"/>
      <c r="AC469" s="1390"/>
      <c r="AD469" s="1390"/>
      <c r="AE469" s="1390"/>
      <c r="AF469" s="1390"/>
      <c r="AG469" s="1390"/>
      <c r="AH469" s="1390"/>
      <c r="AI469" s="1390"/>
      <c r="AJ469" s="1390"/>
      <c r="AK469" s="1390"/>
    </row>
    <row r="470" spans="3:37" ht="17.25" customHeight="1" x14ac:dyDescent="0.35">
      <c r="C470" s="1390"/>
      <c r="D470" s="1390"/>
      <c r="E470" s="1390"/>
      <c r="F470" s="1390"/>
      <c r="G470" s="1390"/>
      <c r="H470" s="1390"/>
      <c r="I470" s="1390"/>
      <c r="J470" s="1390"/>
      <c r="K470" s="1390"/>
      <c r="L470" s="1390"/>
      <c r="M470" s="1390"/>
      <c r="N470" s="1390"/>
      <c r="O470" s="1390"/>
      <c r="P470" s="1390"/>
      <c r="Q470" s="1390"/>
      <c r="R470" s="1390"/>
      <c r="S470" s="1390"/>
      <c r="T470" s="1390"/>
      <c r="U470" s="1390"/>
      <c r="V470" s="1390"/>
      <c r="W470" s="1390"/>
      <c r="X470" s="1390"/>
      <c r="Y470" s="1390"/>
      <c r="Z470" s="1390"/>
      <c r="AA470" s="1390"/>
      <c r="AB470" s="1390"/>
      <c r="AC470" s="1390"/>
      <c r="AD470" s="1390"/>
      <c r="AE470" s="1390"/>
      <c r="AF470" s="1390"/>
      <c r="AG470" s="1390"/>
      <c r="AH470" s="1390"/>
      <c r="AI470" s="1390"/>
      <c r="AJ470" s="1390"/>
      <c r="AK470" s="1390"/>
    </row>
    <row r="471" spans="3:37" ht="17.25" customHeight="1" x14ac:dyDescent="0.35">
      <c r="C471" s="1390"/>
      <c r="D471" s="1390"/>
      <c r="E471" s="1390"/>
      <c r="F471" s="1390"/>
      <c r="G471" s="1390"/>
      <c r="H471" s="1390"/>
      <c r="I471" s="1390"/>
      <c r="J471" s="1390"/>
      <c r="K471" s="1390"/>
      <c r="L471" s="1390"/>
      <c r="M471" s="1390"/>
      <c r="N471" s="1390"/>
      <c r="O471" s="1390"/>
      <c r="P471" s="1390"/>
      <c r="Q471" s="1390"/>
      <c r="R471" s="1390"/>
      <c r="S471" s="1390"/>
      <c r="T471" s="1390"/>
      <c r="U471" s="1390"/>
      <c r="V471" s="1390"/>
      <c r="W471" s="1390"/>
      <c r="X471" s="1390"/>
      <c r="Y471" s="1390"/>
      <c r="Z471" s="1390"/>
      <c r="AA471" s="1390"/>
      <c r="AB471" s="1390"/>
      <c r="AC471" s="1390"/>
      <c r="AD471" s="1390"/>
      <c r="AE471" s="1390"/>
      <c r="AF471" s="1390"/>
      <c r="AG471" s="1390"/>
      <c r="AH471" s="1390"/>
      <c r="AI471" s="1390"/>
      <c r="AJ471" s="1390"/>
      <c r="AK471" s="1390"/>
    </row>
    <row r="472" spans="3:37" ht="17.25" customHeight="1" x14ac:dyDescent="0.35">
      <c r="C472" s="1390"/>
      <c r="D472" s="1390"/>
      <c r="E472" s="1390"/>
      <c r="F472" s="1390"/>
      <c r="G472" s="1390"/>
      <c r="H472" s="1390"/>
      <c r="I472" s="1390"/>
      <c r="J472" s="1390"/>
      <c r="K472" s="1390"/>
      <c r="L472" s="1390"/>
      <c r="M472" s="1390"/>
      <c r="N472" s="1390"/>
      <c r="O472" s="1390"/>
      <c r="P472" s="1390"/>
      <c r="Q472" s="1390"/>
      <c r="R472" s="1390"/>
      <c r="S472" s="1390"/>
      <c r="T472" s="1390"/>
      <c r="U472" s="1390"/>
      <c r="V472" s="1390"/>
      <c r="W472" s="1390"/>
      <c r="X472" s="1390"/>
      <c r="Y472" s="1390"/>
      <c r="Z472" s="1390"/>
      <c r="AA472" s="1390"/>
      <c r="AB472" s="1390"/>
      <c r="AC472" s="1390"/>
      <c r="AD472" s="1390"/>
      <c r="AE472" s="1390"/>
      <c r="AF472" s="1390"/>
      <c r="AG472" s="1390"/>
      <c r="AH472" s="1390"/>
      <c r="AI472" s="1390"/>
      <c r="AJ472" s="1390"/>
      <c r="AK472" s="1390"/>
    </row>
    <row r="473" spans="3:37" ht="17.25" customHeight="1" x14ac:dyDescent="0.35">
      <c r="C473" s="1390"/>
      <c r="D473" s="1390"/>
      <c r="E473" s="1390"/>
      <c r="F473" s="1390"/>
      <c r="G473" s="1390"/>
      <c r="H473" s="1390"/>
      <c r="I473" s="1390"/>
      <c r="J473" s="1390"/>
      <c r="K473" s="1390"/>
      <c r="L473" s="1390"/>
      <c r="M473" s="1390"/>
      <c r="N473" s="1390"/>
      <c r="O473" s="1390"/>
      <c r="P473" s="1390"/>
      <c r="Q473" s="1390"/>
      <c r="R473" s="1390"/>
      <c r="S473" s="1390"/>
      <c r="T473" s="1390"/>
      <c r="U473" s="1390"/>
      <c r="V473" s="1390"/>
      <c r="W473" s="1390"/>
      <c r="X473" s="1390"/>
      <c r="Y473" s="1390"/>
      <c r="Z473" s="1390"/>
      <c r="AA473" s="1390"/>
      <c r="AB473" s="1390"/>
      <c r="AC473" s="1390"/>
      <c r="AD473" s="1390"/>
      <c r="AE473" s="1390"/>
      <c r="AF473" s="1390"/>
      <c r="AG473" s="1390"/>
      <c r="AH473" s="1390"/>
      <c r="AI473" s="1390"/>
      <c r="AJ473" s="1390"/>
      <c r="AK473" s="1390"/>
    </row>
    <row r="474" spans="3:37" ht="17.25" customHeight="1" x14ac:dyDescent="0.35">
      <c r="C474" s="1390"/>
      <c r="D474" s="1390"/>
      <c r="E474" s="1390"/>
      <c r="F474" s="1390"/>
      <c r="G474" s="1390"/>
      <c r="H474" s="1390"/>
      <c r="I474" s="1390"/>
      <c r="J474" s="1390"/>
      <c r="K474" s="1390"/>
      <c r="L474" s="1390"/>
      <c r="M474" s="1390"/>
      <c r="N474" s="1390"/>
      <c r="O474" s="1390"/>
      <c r="P474" s="1390"/>
      <c r="Q474" s="1390"/>
      <c r="R474" s="1390"/>
      <c r="S474" s="1390"/>
      <c r="T474" s="1390"/>
      <c r="U474" s="1390"/>
      <c r="V474" s="1390"/>
      <c r="W474" s="1390"/>
      <c r="X474" s="1390"/>
      <c r="Y474" s="1390"/>
      <c r="Z474" s="1390"/>
      <c r="AA474" s="1390"/>
      <c r="AB474" s="1390"/>
      <c r="AC474" s="1390"/>
      <c r="AD474" s="1390"/>
      <c r="AE474" s="1390"/>
      <c r="AF474" s="1390"/>
      <c r="AG474" s="1390"/>
      <c r="AH474" s="1390"/>
      <c r="AI474" s="1390"/>
      <c r="AJ474" s="1390"/>
      <c r="AK474" s="1390"/>
    </row>
    <row r="475" spans="3:37" ht="17.25" customHeight="1" x14ac:dyDescent="0.35">
      <c r="C475" s="1390"/>
      <c r="D475" s="1390"/>
      <c r="E475" s="1390"/>
      <c r="F475" s="1390"/>
      <c r="G475" s="1390"/>
      <c r="H475" s="1390"/>
      <c r="I475" s="1390"/>
      <c r="J475" s="1390"/>
      <c r="K475" s="1390"/>
      <c r="L475" s="1390"/>
      <c r="M475" s="1390"/>
      <c r="N475" s="1390"/>
      <c r="O475" s="1390"/>
      <c r="P475" s="1390"/>
      <c r="Q475" s="1390"/>
      <c r="R475" s="1390"/>
      <c r="S475" s="1390"/>
      <c r="T475" s="1390"/>
      <c r="U475" s="1390"/>
      <c r="V475" s="1390"/>
      <c r="W475" s="1390"/>
      <c r="X475" s="1390"/>
      <c r="Y475" s="1390"/>
      <c r="Z475" s="1390"/>
      <c r="AA475" s="1390"/>
      <c r="AB475" s="1390"/>
      <c r="AC475" s="1390"/>
      <c r="AD475" s="1390"/>
      <c r="AE475" s="1390"/>
      <c r="AF475" s="1390"/>
      <c r="AG475" s="1390"/>
      <c r="AH475" s="1390"/>
      <c r="AI475" s="1390"/>
      <c r="AJ475" s="1390"/>
      <c r="AK475" s="1390"/>
    </row>
    <row r="476" spans="3:37" ht="17.25" customHeight="1" x14ac:dyDescent="0.35">
      <c r="C476" s="1390"/>
      <c r="D476" s="1390"/>
      <c r="E476" s="1390"/>
      <c r="F476" s="1390"/>
      <c r="G476" s="1390"/>
      <c r="H476" s="1390"/>
      <c r="I476" s="1390"/>
      <c r="J476" s="1390"/>
      <c r="K476" s="1390"/>
      <c r="L476" s="1390"/>
      <c r="M476" s="1390"/>
      <c r="N476" s="1390"/>
      <c r="O476" s="1390"/>
      <c r="P476" s="1390"/>
      <c r="Q476" s="1390"/>
      <c r="R476" s="1390"/>
      <c r="S476" s="1390"/>
      <c r="T476" s="1390"/>
      <c r="U476" s="1390"/>
      <c r="V476" s="1390"/>
      <c r="W476" s="1390"/>
      <c r="X476" s="1390"/>
      <c r="Y476" s="1390"/>
      <c r="Z476" s="1390"/>
      <c r="AA476" s="1390"/>
      <c r="AB476" s="1390"/>
      <c r="AC476" s="1390"/>
      <c r="AD476" s="1390"/>
      <c r="AE476" s="1390"/>
      <c r="AF476" s="1390"/>
      <c r="AG476" s="1390"/>
      <c r="AH476" s="1390"/>
      <c r="AI476" s="1390"/>
      <c r="AJ476" s="1390"/>
      <c r="AK476" s="1390"/>
    </row>
    <row r="477" spans="3:37" ht="17.25" customHeight="1" x14ac:dyDescent="0.35">
      <c r="C477" s="1390"/>
      <c r="D477" s="1390"/>
      <c r="E477" s="1390"/>
      <c r="F477" s="1390"/>
      <c r="G477" s="1390"/>
      <c r="H477" s="1390"/>
      <c r="I477" s="1390"/>
      <c r="J477" s="1390"/>
      <c r="K477" s="1390"/>
      <c r="L477" s="1390"/>
      <c r="M477" s="1390"/>
      <c r="N477" s="1390"/>
      <c r="O477" s="1390"/>
      <c r="P477" s="1390"/>
      <c r="Q477" s="1390"/>
      <c r="R477" s="1390"/>
      <c r="S477" s="1390"/>
      <c r="T477" s="1390"/>
      <c r="U477" s="1390"/>
      <c r="V477" s="1390"/>
      <c r="W477" s="1390"/>
      <c r="X477" s="1390"/>
      <c r="Y477" s="1390"/>
      <c r="Z477" s="1390"/>
      <c r="AA477" s="1390"/>
      <c r="AB477" s="1390"/>
      <c r="AC477" s="1390"/>
      <c r="AD477" s="1390"/>
      <c r="AE477" s="1390"/>
      <c r="AF477" s="1390"/>
      <c r="AG477" s="1390"/>
      <c r="AH477" s="1390"/>
      <c r="AI477" s="1390"/>
      <c r="AJ477" s="1390"/>
      <c r="AK477" s="1390"/>
    </row>
    <row r="478" spans="3:37" ht="17.25" customHeight="1" x14ac:dyDescent="0.35">
      <c r="C478" s="1390"/>
      <c r="D478" s="1390"/>
      <c r="E478" s="1390"/>
      <c r="F478" s="1390"/>
      <c r="G478" s="1390"/>
      <c r="H478" s="1390"/>
      <c r="I478" s="1390"/>
      <c r="J478" s="1390"/>
      <c r="K478" s="1390"/>
      <c r="L478" s="1390"/>
      <c r="M478" s="1390"/>
      <c r="N478" s="1390"/>
      <c r="O478" s="1390"/>
      <c r="P478" s="1390"/>
      <c r="Q478" s="1390"/>
      <c r="R478" s="1390"/>
      <c r="S478" s="1390"/>
      <c r="T478" s="1390"/>
      <c r="U478" s="1390"/>
      <c r="V478" s="1390"/>
      <c r="W478" s="1390"/>
      <c r="X478" s="1390"/>
      <c r="Y478" s="1390"/>
      <c r="Z478" s="1390"/>
      <c r="AA478" s="1390"/>
      <c r="AB478" s="1390"/>
      <c r="AC478" s="1390"/>
      <c r="AD478" s="1390"/>
      <c r="AE478" s="1390"/>
      <c r="AF478" s="1390"/>
      <c r="AG478" s="1390"/>
      <c r="AH478" s="1390"/>
      <c r="AI478" s="1390"/>
      <c r="AJ478" s="1390"/>
      <c r="AK478" s="1390"/>
    </row>
    <row r="479" spans="3:37" ht="17.25" customHeight="1" x14ac:dyDescent="0.35">
      <c r="C479" s="1390"/>
      <c r="D479" s="1390"/>
      <c r="E479" s="1390"/>
      <c r="F479" s="1390"/>
      <c r="G479" s="1390"/>
      <c r="H479" s="1390"/>
      <c r="I479" s="1390"/>
      <c r="J479" s="1390"/>
      <c r="K479" s="1390"/>
      <c r="L479" s="1390"/>
      <c r="M479" s="1390"/>
      <c r="N479" s="1390"/>
      <c r="O479" s="1390"/>
      <c r="P479" s="1390"/>
      <c r="Q479" s="1390"/>
      <c r="R479" s="1390"/>
      <c r="S479" s="1390"/>
      <c r="T479" s="1390"/>
      <c r="U479" s="1390"/>
      <c r="V479" s="1390"/>
      <c r="W479" s="1390"/>
      <c r="X479" s="1390"/>
      <c r="Y479" s="1390"/>
      <c r="Z479" s="1390"/>
      <c r="AA479" s="1390"/>
      <c r="AB479" s="1390"/>
      <c r="AC479" s="1390"/>
      <c r="AD479" s="1390"/>
      <c r="AE479" s="1390"/>
      <c r="AF479" s="1390"/>
      <c r="AG479" s="1390"/>
      <c r="AH479" s="1390"/>
      <c r="AI479" s="1390"/>
      <c r="AJ479" s="1390"/>
      <c r="AK479" s="1390"/>
    </row>
    <row r="480" spans="3:37" ht="17.25" customHeight="1" x14ac:dyDescent="0.35">
      <c r="C480" s="1390"/>
      <c r="D480" s="1390"/>
      <c r="E480" s="1390"/>
      <c r="F480" s="1390"/>
      <c r="G480" s="1390"/>
      <c r="H480" s="1390"/>
      <c r="I480" s="1390"/>
      <c r="J480" s="1390"/>
      <c r="K480" s="1390"/>
      <c r="L480" s="1390"/>
      <c r="M480" s="1390"/>
      <c r="N480" s="1390"/>
      <c r="O480" s="1390"/>
      <c r="P480" s="1390"/>
      <c r="Q480" s="1390"/>
      <c r="R480" s="1390"/>
      <c r="S480" s="1390"/>
      <c r="T480" s="1390"/>
      <c r="U480" s="1390"/>
      <c r="V480" s="1390"/>
      <c r="W480" s="1390"/>
      <c r="X480" s="1390"/>
      <c r="Y480" s="1390"/>
      <c r="Z480" s="1390"/>
      <c r="AA480" s="1390"/>
      <c r="AB480" s="1390"/>
      <c r="AC480" s="1390"/>
      <c r="AD480" s="1390"/>
      <c r="AE480" s="1390"/>
      <c r="AF480" s="1390"/>
      <c r="AG480" s="1390"/>
      <c r="AH480" s="1390"/>
      <c r="AI480" s="1390"/>
      <c r="AJ480" s="1390"/>
      <c r="AK480" s="1390"/>
    </row>
    <row r="481" spans="3:37" ht="17.25" customHeight="1" x14ac:dyDescent="0.35">
      <c r="C481" s="1390"/>
      <c r="D481" s="1390"/>
      <c r="E481" s="1390"/>
      <c r="F481" s="1390"/>
      <c r="G481" s="1390"/>
      <c r="H481" s="1390"/>
      <c r="I481" s="1390"/>
      <c r="J481" s="1390"/>
      <c r="K481" s="1390"/>
      <c r="L481" s="1390"/>
      <c r="M481" s="1390"/>
      <c r="N481" s="1390"/>
      <c r="O481" s="1390"/>
      <c r="P481" s="1390"/>
      <c r="Q481" s="1390"/>
      <c r="R481" s="1390"/>
      <c r="S481" s="1390"/>
      <c r="T481" s="1390"/>
      <c r="U481" s="1390"/>
      <c r="V481" s="1390"/>
      <c r="W481" s="1390"/>
      <c r="X481" s="1390"/>
      <c r="Y481" s="1390"/>
      <c r="Z481" s="1390"/>
      <c r="AA481" s="1390"/>
      <c r="AB481" s="1390"/>
      <c r="AC481" s="1390"/>
      <c r="AD481" s="1390"/>
      <c r="AE481" s="1390"/>
      <c r="AF481" s="1390"/>
      <c r="AG481" s="1390"/>
      <c r="AH481" s="1390"/>
      <c r="AI481" s="1390"/>
      <c r="AJ481" s="1390"/>
      <c r="AK481" s="1390"/>
    </row>
    <row r="482" spans="3:37" ht="17.25" customHeight="1" x14ac:dyDescent="0.35">
      <c r="C482" s="1390"/>
      <c r="D482" s="1390"/>
      <c r="E482" s="1390"/>
      <c r="F482" s="1390"/>
      <c r="G482" s="1390"/>
      <c r="H482" s="1390"/>
      <c r="I482" s="1390"/>
      <c r="J482" s="1390"/>
      <c r="K482" s="1390"/>
      <c r="L482" s="1390"/>
      <c r="M482" s="1390"/>
      <c r="N482" s="1390"/>
      <c r="O482" s="1390"/>
      <c r="P482" s="1390"/>
      <c r="Q482" s="1390"/>
      <c r="R482" s="1390"/>
      <c r="S482" s="1390"/>
      <c r="T482" s="1390"/>
      <c r="U482" s="1390"/>
      <c r="V482" s="1390"/>
      <c r="W482" s="1390"/>
      <c r="X482" s="1390"/>
      <c r="Y482" s="1390"/>
      <c r="Z482" s="1390"/>
      <c r="AA482" s="1390"/>
      <c r="AB482" s="1390"/>
      <c r="AC482" s="1390"/>
      <c r="AD482" s="1390"/>
      <c r="AE482" s="1390"/>
      <c r="AF482" s="1390"/>
      <c r="AG482" s="1390"/>
      <c r="AH482" s="1390"/>
      <c r="AI482" s="1390"/>
      <c r="AJ482" s="1390"/>
      <c r="AK482" s="1390"/>
    </row>
    <row r="483" spans="3:37" ht="17.25" customHeight="1" x14ac:dyDescent="0.35">
      <c r="C483" s="1390"/>
      <c r="D483" s="1390"/>
      <c r="E483" s="1390"/>
      <c r="F483" s="1390"/>
      <c r="G483" s="1390"/>
      <c r="H483" s="1390"/>
      <c r="I483" s="1390"/>
      <c r="J483" s="1390"/>
      <c r="K483" s="1390"/>
      <c r="L483" s="1390"/>
      <c r="M483" s="1390"/>
      <c r="N483" s="1390"/>
      <c r="O483" s="1390"/>
      <c r="P483" s="1390"/>
      <c r="Q483" s="1390"/>
      <c r="R483" s="1390"/>
      <c r="S483" s="1390"/>
      <c r="T483" s="1390"/>
      <c r="U483" s="1390"/>
      <c r="V483" s="1390"/>
      <c r="W483" s="1390"/>
      <c r="X483" s="1390"/>
      <c r="Y483" s="1390"/>
      <c r="Z483" s="1390"/>
      <c r="AA483" s="1390"/>
      <c r="AB483" s="1390"/>
      <c r="AC483" s="1390"/>
      <c r="AD483" s="1390"/>
      <c r="AE483" s="1390"/>
      <c r="AF483" s="1390"/>
      <c r="AG483" s="1390"/>
      <c r="AH483" s="1390"/>
      <c r="AI483" s="1390"/>
      <c r="AJ483" s="1390"/>
      <c r="AK483" s="1390"/>
    </row>
    <row r="484" spans="3:37" ht="17.25" customHeight="1" x14ac:dyDescent="0.35">
      <c r="C484" s="1390"/>
      <c r="D484" s="1390"/>
      <c r="E484" s="1390"/>
      <c r="F484" s="1390"/>
      <c r="G484" s="1390"/>
      <c r="H484" s="1390"/>
      <c r="I484" s="1390"/>
      <c r="J484" s="1390"/>
      <c r="K484" s="1390"/>
      <c r="L484" s="1390"/>
      <c r="M484" s="1390"/>
      <c r="N484" s="1390"/>
      <c r="O484" s="1390"/>
      <c r="P484" s="1390"/>
      <c r="Q484" s="1390"/>
      <c r="R484" s="1390"/>
      <c r="S484" s="1390"/>
      <c r="T484" s="1390"/>
      <c r="U484" s="1390"/>
      <c r="V484" s="1390"/>
      <c r="W484" s="1390"/>
      <c r="X484" s="1390"/>
      <c r="Y484" s="1390"/>
      <c r="Z484" s="1390"/>
      <c r="AA484" s="1390"/>
      <c r="AB484" s="1390"/>
      <c r="AC484" s="1390"/>
      <c r="AD484" s="1390"/>
      <c r="AE484" s="1390"/>
      <c r="AF484" s="1390"/>
      <c r="AG484" s="1390"/>
      <c r="AH484" s="1390"/>
      <c r="AI484" s="1390"/>
      <c r="AJ484" s="1390"/>
      <c r="AK484" s="1390"/>
    </row>
    <row r="485" spans="3:37" ht="17.25" customHeight="1" x14ac:dyDescent="0.35">
      <c r="C485" s="1390"/>
      <c r="D485" s="1390"/>
      <c r="E485" s="1390"/>
      <c r="F485" s="1390"/>
      <c r="G485" s="1390"/>
      <c r="H485" s="1390"/>
      <c r="I485" s="1390"/>
      <c r="J485" s="1390"/>
      <c r="K485" s="1390"/>
      <c r="L485" s="1390"/>
      <c r="M485" s="1390"/>
      <c r="N485" s="1390"/>
      <c r="O485" s="1390"/>
      <c r="P485" s="1390"/>
      <c r="Q485" s="1390"/>
      <c r="R485" s="1390"/>
      <c r="S485" s="1390"/>
      <c r="T485" s="1390"/>
      <c r="U485" s="1390"/>
      <c r="V485" s="1390"/>
      <c r="W485" s="1390"/>
      <c r="X485" s="1390"/>
      <c r="Y485" s="1390"/>
      <c r="Z485" s="1390"/>
      <c r="AA485" s="1390"/>
      <c r="AB485" s="1390"/>
      <c r="AC485" s="1390"/>
      <c r="AD485" s="1390"/>
      <c r="AE485" s="1390"/>
      <c r="AF485" s="1390"/>
      <c r="AG485" s="1390"/>
      <c r="AH485" s="1390"/>
      <c r="AI485" s="1390"/>
      <c r="AJ485" s="1390"/>
      <c r="AK485" s="1390"/>
    </row>
    <row r="486" spans="3:37" ht="17.25" customHeight="1" x14ac:dyDescent="0.35">
      <c r="C486" s="1390"/>
      <c r="D486" s="1390"/>
      <c r="E486" s="1390"/>
      <c r="F486" s="1390"/>
      <c r="G486" s="1390"/>
      <c r="H486" s="1390"/>
      <c r="I486" s="1390"/>
      <c r="J486" s="1390"/>
      <c r="K486" s="1390"/>
      <c r="L486" s="1390"/>
      <c r="M486" s="1390"/>
      <c r="N486" s="1390"/>
      <c r="O486" s="1390"/>
      <c r="P486" s="1390"/>
      <c r="Q486" s="1390"/>
      <c r="R486" s="1390"/>
      <c r="S486" s="1390"/>
      <c r="T486" s="1390"/>
      <c r="U486" s="1390"/>
      <c r="V486" s="1390"/>
      <c r="W486" s="1390"/>
      <c r="X486" s="1390"/>
      <c r="Y486" s="1390"/>
      <c r="Z486" s="1390"/>
      <c r="AA486" s="1390"/>
      <c r="AB486" s="1390"/>
      <c r="AC486" s="1390"/>
      <c r="AD486" s="1390"/>
      <c r="AE486" s="1390"/>
      <c r="AF486" s="1390"/>
      <c r="AG486" s="1390"/>
      <c r="AH486" s="1390"/>
      <c r="AI486" s="1390"/>
      <c r="AJ486" s="1390"/>
      <c r="AK486" s="1390"/>
    </row>
    <row r="487" spans="3:37" ht="17.25" customHeight="1" x14ac:dyDescent="0.35">
      <c r="C487" s="1390"/>
      <c r="D487" s="1390"/>
      <c r="E487" s="1390"/>
      <c r="F487" s="1390"/>
      <c r="G487" s="1390"/>
      <c r="H487" s="1390"/>
      <c r="I487" s="1390"/>
      <c r="J487" s="1390"/>
      <c r="K487" s="1390"/>
      <c r="L487" s="1390"/>
      <c r="M487" s="1390"/>
      <c r="N487" s="1390"/>
      <c r="O487" s="1390"/>
      <c r="P487" s="1390"/>
      <c r="Q487" s="1390"/>
      <c r="R487" s="1390"/>
      <c r="S487" s="1390"/>
      <c r="T487" s="1390"/>
      <c r="U487" s="1390"/>
      <c r="V487" s="1390"/>
      <c r="W487" s="1390"/>
      <c r="X487" s="1390"/>
      <c r="Y487" s="1390"/>
      <c r="Z487" s="1390"/>
      <c r="AA487" s="1390"/>
      <c r="AB487" s="1390"/>
      <c r="AC487" s="1390"/>
      <c r="AD487" s="1390"/>
      <c r="AE487" s="1390"/>
      <c r="AF487" s="1390"/>
      <c r="AG487" s="1390"/>
      <c r="AH487" s="1390"/>
      <c r="AI487" s="1390"/>
      <c r="AJ487" s="1390"/>
      <c r="AK487" s="1390"/>
    </row>
    <row r="488" spans="3:37" ht="17.25" customHeight="1" x14ac:dyDescent="0.35">
      <c r="C488" s="1390"/>
      <c r="D488" s="1390"/>
      <c r="E488" s="1390"/>
      <c r="F488" s="1390"/>
      <c r="G488" s="1390"/>
      <c r="H488" s="1390"/>
      <c r="I488" s="1390"/>
      <c r="J488" s="1390"/>
      <c r="K488" s="1390"/>
      <c r="L488" s="1390"/>
      <c r="M488" s="1390"/>
      <c r="N488" s="1390"/>
      <c r="O488" s="1390"/>
      <c r="P488" s="1390"/>
      <c r="Q488" s="1390"/>
      <c r="R488" s="1390"/>
      <c r="S488" s="1390"/>
      <c r="T488" s="1390"/>
      <c r="U488" s="1390"/>
      <c r="V488" s="1390"/>
      <c r="W488" s="1390"/>
      <c r="X488" s="1390"/>
      <c r="Y488" s="1390"/>
      <c r="Z488" s="1390"/>
      <c r="AA488" s="1390"/>
      <c r="AB488" s="1390"/>
      <c r="AC488" s="1390"/>
      <c r="AD488" s="1390"/>
      <c r="AE488" s="1390"/>
      <c r="AF488" s="1390"/>
      <c r="AG488" s="1390"/>
      <c r="AH488" s="1390"/>
      <c r="AI488" s="1390"/>
      <c r="AJ488" s="1390"/>
      <c r="AK488" s="1390"/>
    </row>
    <row r="489" spans="3:37" ht="17.25" customHeight="1" x14ac:dyDescent="0.35">
      <c r="C489" s="1390"/>
      <c r="D489" s="1390"/>
      <c r="E489" s="1390"/>
      <c r="F489" s="1390"/>
      <c r="G489" s="1390"/>
      <c r="H489" s="1390"/>
      <c r="I489" s="1390"/>
      <c r="J489" s="1390"/>
      <c r="K489" s="1390"/>
      <c r="L489" s="1390"/>
      <c r="M489" s="1390"/>
      <c r="N489" s="1390"/>
      <c r="O489" s="1390"/>
      <c r="P489" s="1390"/>
      <c r="Q489" s="1390"/>
      <c r="R489" s="1390"/>
      <c r="S489" s="1390"/>
      <c r="T489" s="1390"/>
      <c r="U489" s="1390"/>
      <c r="V489" s="1390"/>
      <c r="W489" s="1390"/>
      <c r="X489" s="1390"/>
      <c r="Y489" s="1390"/>
      <c r="Z489" s="1390"/>
      <c r="AA489" s="1390"/>
      <c r="AB489" s="1390"/>
      <c r="AC489" s="1390"/>
      <c r="AD489" s="1390"/>
      <c r="AE489" s="1390"/>
      <c r="AF489" s="1390"/>
      <c r="AG489" s="1390"/>
      <c r="AH489" s="1390"/>
      <c r="AI489" s="1390"/>
      <c r="AJ489" s="1390"/>
      <c r="AK489" s="1390"/>
    </row>
    <row r="490" spans="3:37" ht="17.25" customHeight="1" x14ac:dyDescent="0.35">
      <c r="C490" s="1390"/>
      <c r="D490" s="1390"/>
      <c r="E490" s="1390"/>
      <c r="F490" s="1390"/>
      <c r="G490" s="1390"/>
      <c r="H490" s="1390"/>
      <c r="I490" s="1390"/>
      <c r="J490" s="1390"/>
      <c r="K490" s="1390"/>
      <c r="L490" s="1390"/>
      <c r="M490" s="1390"/>
      <c r="N490" s="1390"/>
      <c r="O490" s="1390"/>
      <c r="P490" s="1390"/>
      <c r="Q490" s="1390"/>
      <c r="R490" s="1390"/>
      <c r="S490" s="1390"/>
      <c r="T490" s="1390"/>
      <c r="U490" s="1390"/>
      <c r="V490" s="1390"/>
      <c r="W490" s="1390"/>
      <c r="X490" s="1390"/>
      <c r="Y490" s="1390"/>
      <c r="Z490" s="1390"/>
      <c r="AA490" s="1390"/>
      <c r="AB490" s="1390"/>
      <c r="AC490" s="1390"/>
      <c r="AD490" s="1390"/>
      <c r="AE490" s="1390"/>
      <c r="AF490" s="1390"/>
      <c r="AG490" s="1390"/>
      <c r="AH490" s="1390"/>
      <c r="AI490" s="1390"/>
      <c r="AJ490" s="1390"/>
      <c r="AK490" s="1390"/>
    </row>
    <row r="491" spans="3:37" ht="17.25" customHeight="1" x14ac:dyDescent="0.35">
      <c r="C491" s="1390"/>
      <c r="D491" s="1390"/>
      <c r="E491" s="1390"/>
      <c r="F491" s="1390"/>
      <c r="G491" s="1390"/>
      <c r="H491" s="1390"/>
      <c r="I491" s="1390"/>
      <c r="J491" s="1390"/>
      <c r="K491" s="1390"/>
      <c r="L491" s="1390"/>
      <c r="M491" s="1390"/>
      <c r="N491" s="1390"/>
      <c r="O491" s="1390"/>
      <c r="P491" s="1390"/>
      <c r="Q491" s="1390"/>
      <c r="R491" s="1390"/>
      <c r="S491" s="1390"/>
      <c r="T491" s="1390"/>
      <c r="U491" s="1390"/>
      <c r="V491" s="1390"/>
      <c r="W491" s="1390"/>
      <c r="X491" s="1390"/>
      <c r="Y491" s="1390"/>
      <c r="Z491" s="1390"/>
      <c r="AA491" s="1390"/>
      <c r="AB491" s="1390"/>
      <c r="AC491" s="1390"/>
      <c r="AD491" s="1390"/>
      <c r="AE491" s="1390"/>
      <c r="AF491" s="1390"/>
      <c r="AG491" s="1390"/>
      <c r="AH491" s="1390"/>
      <c r="AI491" s="1390"/>
      <c r="AJ491" s="1390"/>
      <c r="AK491" s="1390"/>
    </row>
    <row r="492" spans="3:37" ht="17.25" customHeight="1" x14ac:dyDescent="0.35">
      <c r="C492" s="1390"/>
      <c r="D492" s="1390"/>
      <c r="E492" s="1390"/>
      <c r="F492" s="1390"/>
      <c r="G492" s="1390"/>
      <c r="H492" s="1390"/>
      <c r="I492" s="1390"/>
      <c r="J492" s="1390"/>
      <c r="K492" s="1390"/>
      <c r="L492" s="1390"/>
      <c r="M492" s="1390"/>
      <c r="N492" s="1390"/>
      <c r="O492" s="1390"/>
      <c r="P492" s="1390"/>
      <c r="Q492" s="1390"/>
      <c r="R492" s="1390"/>
      <c r="S492" s="1390"/>
      <c r="T492" s="1390"/>
      <c r="U492" s="1390"/>
      <c r="V492" s="1390"/>
      <c r="W492" s="1390"/>
      <c r="X492" s="1390"/>
      <c r="Y492" s="1390"/>
      <c r="Z492" s="1390"/>
      <c r="AA492" s="1390"/>
      <c r="AB492" s="1390"/>
      <c r="AC492" s="1390"/>
      <c r="AD492" s="1390"/>
      <c r="AE492" s="1390"/>
      <c r="AF492" s="1390"/>
      <c r="AG492" s="1390"/>
      <c r="AH492" s="1390"/>
      <c r="AI492" s="1390"/>
      <c r="AJ492" s="1390"/>
      <c r="AK492" s="1390"/>
    </row>
    <row r="493" spans="3:37" ht="17.25" customHeight="1" x14ac:dyDescent="0.35">
      <c r="C493" s="1390"/>
      <c r="D493" s="1390"/>
      <c r="E493" s="1390"/>
      <c r="F493" s="1390"/>
      <c r="G493" s="1390"/>
      <c r="H493" s="1390"/>
      <c r="I493" s="1390"/>
      <c r="J493" s="1390"/>
      <c r="K493" s="1390"/>
      <c r="L493" s="1390"/>
      <c r="M493" s="1390"/>
      <c r="N493" s="1390"/>
      <c r="O493" s="1390"/>
      <c r="P493" s="1390"/>
      <c r="Q493" s="1390"/>
      <c r="R493" s="1390"/>
      <c r="S493" s="1390"/>
      <c r="T493" s="1390"/>
      <c r="U493" s="1390"/>
      <c r="V493" s="1390"/>
      <c r="W493" s="1390"/>
      <c r="X493" s="1390"/>
      <c r="Y493" s="1390"/>
      <c r="Z493" s="1390"/>
      <c r="AA493" s="1390"/>
      <c r="AB493" s="1390"/>
      <c r="AC493" s="1390"/>
      <c r="AD493" s="1390"/>
      <c r="AE493" s="1390"/>
      <c r="AF493" s="1390"/>
      <c r="AG493" s="1390"/>
      <c r="AH493" s="1390"/>
      <c r="AI493" s="1390"/>
      <c r="AJ493" s="1390"/>
      <c r="AK493" s="1390"/>
    </row>
    <row r="494" spans="3:37" ht="17.25" customHeight="1" x14ac:dyDescent="0.35">
      <c r="C494" s="1390"/>
      <c r="D494" s="1390"/>
      <c r="E494" s="1390"/>
      <c r="F494" s="1390"/>
      <c r="G494" s="1390"/>
      <c r="H494" s="1390"/>
      <c r="I494" s="1390"/>
      <c r="J494" s="1390"/>
      <c r="K494" s="1390"/>
      <c r="L494" s="1390"/>
      <c r="M494" s="1390"/>
      <c r="N494" s="1390"/>
      <c r="O494" s="1390"/>
      <c r="P494" s="1390"/>
      <c r="Q494" s="1390"/>
      <c r="R494" s="1390"/>
      <c r="S494" s="1390"/>
      <c r="T494" s="1390"/>
      <c r="U494" s="1390"/>
      <c r="V494" s="1390"/>
      <c r="W494" s="1390"/>
      <c r="X494" s="1390"/>
      <c r="Y494" s="1390"/>
      <c r="Z494" s="1390"/>
      <c r="AA494" s="1390"/>
      <c r="AB494" s="1390"/>
      <c r="AC494" s="1390"/>
      <c r="AD494" s="1390"/>
      <c r="AE494" s="1390"/>
      <c r="AF494" s="1390"/>
      <c r="AG494" s="1390"/>
      <c r="AH494" s="1390"/>
      <c r="AI494" s="1390"/>
      <c r="AJ494" s="1390"/>
      <c r="AK494" s="1390"/>
    </row>
    <row r="495" spans="3:37" ht="17.25" customHeight="1" x14ac:dyDescent="0.35">
      <c r="C495" s="1390"/>
      <c r="D495" s="1390"/>
      <c r="E495" s="1390"/>
      <c r="F495" s="1390"/>
      <c r="G495" s="1390"/>
      <c r="H495" s="1390"/>
      <c r="I495" s="1390"/>
      <c r="J495" s="1390"/>
      <c r="K495" s="1390"/>
      <c r="L495" s="1390"/>
      <c r="M495" s="1390"/>
      <c r="N495" s="1390"/>
      <c r="O495" s="1390"/>
      <c r="P495" s="1390"/>
      <c r="Q495" s="1390"/>
      <c r="R495" s="1390"/>
      <c r="S495" s="1390"/>
      <c r="T495" s="1390"/>
      <c r="U495" s="1390"/>
      <c r="V495" s="1390"/>
      <c r="W495" s="1390"/>
      <c r="X495" s="1390"/>
      <c r="Y495" s="1390"/>
      <c r="Z495" s="1390"/>
      <c r="AA495" s="1390"/>
      <c r="AB495" s="1390"/>
      <c r="AC495" s="1390"/>
      <c r="AD495" s="1390"/>
      <c r="AE495" s="1390"/>
      <c r="AF495" s="1390"/>
      <c r="AG495" s="1390"/>
      <c r="AH495" s="1390"/>
      <c r="AI495" s="1390"/>
      <c r="AJ495" s="1390"/>
      <c r="AK495" s="1390"/>
    </row>
    <row r="496" spans="3:37" ht="17.25" customHeight="1" x14ac:dyDescent="0.35">
      <c r="C496" s="1390"/>
      <c r="D496" s="1390"/>
      <c r="E496" s="1390"/>
      <c r="F496" s="1390"/>
      <c r="G496" s="1390"/>
      <c r="H496" s="1390"/>
      <c r="I496" s="1390"/>
      <c r="J496" s="1390"/>
      <c r="K496" s="1390"/>
      <c r="L496" s="1390"/>
      <c r="M496" s="1390"/>
      <c r="N496" s="1390"/>
      <c r="O496" s="1390"/>
      <c r="P496" s="1390"/>
      <c r="Q496" s="1390"/>
      <c r="R496" s="1390"/>
      <c r="S496" s="1390"/>
      <c r="T496" s="1390"/>
      <c r="U496" s="1390"/>
      <c r="V496" s="1390"/>
      <c r="W496" s="1390"/>
      <c r="X496" s="1390"/>
      <c r="Y496" s="1390"/>
      <c r="Z496" s="1390"/>
      <c r="AA496" s="1390"/>
      <c r="AB496" s="1390"/>
      <c r="AC496" s="1390"/>
      <c r="AD496" s="1390"/>
      <c r="AE496" s="1390"/>
      <c r="AF496" s="1390"/>
      <c r="AG496" s="1390"/>
      <c r="AH496" s="1390"/>
      <c r="AI496" s="1390"/>
      <c r="AJ496" s="1390"/>
      <c r="AK496" s="1390"/>
    </row>
    <row r="497" spans="3:37" ht="17.25" customHeight="1" x14ac:dyDescent="0.35">
      <c r="C497" s="1390"/>
      <c r="D497" s="1390"/>
      <c r="E497" s="1390"/>
      <c r="F497" s="1390"/>
      <c r="G497" s="1390"/>
      <c r="H497" s="1390"/>
      <c r="I497" s="1390"/>
      <c r="J497" s="1390"/>
      <c r="K497" s="1390"/>
      <c r="L497" s="1390"/>
      <c r="M497" s="1390"/>
      <c r="N497" s="1390"/>
      <c r="O497" s="1390"/>
      <c r="P497" s="1390"/>
      <c r="Q497" s="1390"/>
      <c r="R497" s="1390"/>
      <c r="S497" s="1390"/>
      <c r="T497" s="1390"/>
      <c r="U497" s="1390"/>
      <c r="V497" s="1390"/>
      <c r="W497" s="1390"/>
      <c r="X497" s="1390"/>
      <c r="Y497" s="1390"/>
      <c r="Z497" s="1390"/>
      <c r="AA497" s="1390"/>
      <c r="AB497" s="1390"/>
      <c r="AC497" s="1390"/>
      <c r="AD497" s="1390"/>
      <c r="AE497" s="1390"/>
      <c r="AF497" s="1390"/>
      <c r="AG497" s="1390"/>
      <c r="AH497" s="1390"/>
      <c r="AI497" s="1390"/>
      <c r="AJ497" s="1390"/>
      <c r="AK497" s="1390"/>
    </row>
    <row r="498" spans="3:37" ht="17.25" customHeight="1" x14ac:dyDescent="0.35">
      <c r="C498" s="1390"/>
      <c r="D498" s="1390"/>
      <c r="E498" s="1390"/>
      <c r="F498" s="1390"/>
      <c r="G498" s="1390"/>
      <c r="H498" s="1390"/>
      <c r="I498" s="1390"/>
      <c r="J498" s="1390"/>
      <c r="K498" s="1390"/>
      <c r="L498" s="1390"/>
      <c r="M498" s="1390"/>
      <c r="N498" s="1390"/>
      <c r="O498" s="1390"/>
      <c r="P498" s="1390"/>
      <c r="Q498" s="1390"/>
      <c r="R498" s="1390"/>
      <c r="S498" s="1390"/>
      <c r="T498" s="1390"/>
      <c r="U498" s="1390"/>
      <c r="V498" s="1390"/>
      <c r="W498" s="1390"/>
      <c r="X498" s="1390"/>
      <c r="Y498" s="1390"/>
      <c r="Z498" s="1390"/>
      <c r="AA498" s="1390"/>
      <c r="AB498" s="1390"/>
      <c r="AC498" s="1390"/>
      <c r="AD498" s="1390"/>
      <c r="AE498" s="1390"/>
      <c r="AF498" s="1390"/>
      <c r="AG498" s="1390"/>
      <c r="AH498" s="1390"/>
      <c r="AI498" s="1390"/>
      <c r="AJ498" s="1390"/>
      <c r="AK498" s="1390"/>
    </row>
    <row r="499" spans="3:37" ht="17.25" customHeight="1" x14ac:dyDescent="0.35">
      <c r="C499" s="1390"/>
      <c r="D499" s="1390"/>
      <c r="E499" s="1390"/>
      <c r="F499" s="1390"/>
      <c r="G499" s="1390"/>
      <c r="H499" s="1390"/>
      <c r="I499" s="1390"/>
      <c r="J499" s="1390"/>
      <c r="K499" s="1390"/>
      <c r="L499" s="1390"/>
      <c r="M499" s="1390"/>
      <c r="N499" s="1390"/>
      <c r="O499" s="1390"/>
      <c r="P499" s="1390"/>
      <c r="Q499" s="1390"/>
      <c r="R499" s="1390"/>
      <c r="S499" s="1390"/>
      <c r="T499" s="1390"/>
      <c r="U499" s="1390"/>
      <c r="V499" s="1390"/>
      <c r="W499" s="1390"/>
      <c r="X499" s="1390"/>
      <c r="Y499" s="1390"/>
      <c r="Z499" s="1390"/>
      <c r="AA499" s="1390"/>
      <c r="AB499" s="1390"/>
      <c r="AC499" s="1390"/>
      <c r="AD499" s="1390"/>
      <c r="AE499" s="1390"/>
      <c r="AF499" s="1390"/>
      <c r="AG499" s="1390"/>
      <c r="AH499" s="1390"/>
      <c r="AI499" s="1390"/>
      <c r="AJ499" s="1390"/>
      <c r="AK499" s="1390"/>
    </row>
    <row r="500" spans="3:37" ht="17.25" customHeight="1" x14ac:dyDescent="0.35">
      <c r="C500" s="1390"/>
      <c r="D500" s="1390"/>
      <c r="E500" s="1390"/>
      <c r="F500" s="1390"/>
      <c r="G500" s="1390"/>
      <c r="H500" s="1390"/>
      <c r="I500" s="1390"/>
      <c r="J500" s="1390"/>
      <c r="K500" s="1390"/>
      <c r="L500" s="1390"/>
      <c r="M500" s="1390"/>
      <c r="N500" s="1390"/>
      <c r="O500" s="1390"/>
      <c r="P500" s="1390"/>
      <c r="Q500" s="1390"/>
      <c r="R500" s="1390"/>
      <c r="S500" s="1390"/>
      <c r="T500" s="1390"/>
      <c r="U500" s="1390"/>
      <c r="V500" s="1390"/>
      <c r="W500" s="1390"/>
      <c r="X500" s="1390"/>
      <c r="Y500" s="1390"/>
      <c r="Z500" s="1390"/>
      <c r="AA500" s="1390"/>
      <c r="AB500" s="1390"/>
      <c r="AC500" s="1390"/>
      <c r="AD500" s="1390"/>
      <c r="AE500" s="1390"/>
      <c r="AF500" s="1390"/>
      <c r="AG500" s="1390"/>
      <c r="AH500" s="1390"/>
      <c r="AI500" s="1390"/>
      <c r="AJ500" s="1390"/>
      <c r="AK500" s="1390"/>
    </row>
    <row r="501" spans="3:37" ht="17.25" customHeight="1" x14ac:dyDescent="0.35">
      <c r="C501" s="1390"/>
      <c r="D501" s="1390"/>
      <c r="E501" s="1390"/>
      <c r="F501" s="1390"/>
      <c r="G501" s="1390"/>
      <c r="H501" s="1390"/>
      <c r="I501" s="1390"/>
      <c r="J501" s="1390"/>
      <c r="K501" s="1390"/>
      <c r="L501" s="1390"/>
      <c r="M501" s="1390"/>
      <c r="N501" s="1390"/>
      <c r="O501" s="1390"/>
      <c r="P501" s="1390"/>
      <c r="Q501" s="1390"/>
      <c r="R501" s="1390"/>
      <c r="S501" s="1390"/>
      <c r="T501" s="1390"/>
      <c r="U501" s="1390"/>
      <c r="V501" s="1390"/>
      <c r="W501" s="1390"/>
      <c r="X501" s="1390"/>
      <c r="Y501" s="1390"/>
      <c r="Z501" s="1390"/>
      <c r="AA501" s="1390"/>
      <c r="AB501" s="1390"/>
      <c r="AC501" s="1390"/>
      <c r="AD501" s="1390"/>
      <c r="AE501" s="1390"/>
      <c r="AF501" s="1390"/>
      <c r="AG501" s="1390"/>
      <c r="AH501" s="1390"/>
      <c r="AI501" s="1390"/>
      <c r="AJ501" s="1390"/>
      <c r="AK501" s="1390"/>
    </row>
    <row r="502" spans="3:37" ht="17.25" customHeight="1" x14ac:dyDescent="0.35">
      <c r="C502" s="1390"/>
      <c r="D502" s="1390"/>
      <c r="E502" s="1390"/>
      <c r="F502" s="1390"/>
      <c r="G502" s="1390"/>
      <c r="H502" s="1390"/>
      <c r="I502" s="1390"/>
      <c r="J502" s="1390"/>
      <c r="K502" s="1390"/>
      <c r="L502" s="1390"/>
      <c r="M502" s="1390"/>
      <c r="N502" s="1390"/>
      <c r="O502" s="1390"/>
      <c r="P502" s="1390"/>
      <c r="Q502" s="1390"/>
      <c r="R502" s="1390"/>
      <c r="S502" s="1390"/>
      <c r="T502" s="1390"/>
      <c r="U502" s="1390"/>
      <c r="V502" s="1390"/>
      <c r="W502" s="1390"/>
      <c r="X502" s="1390"/>
      <c r="Y502" s="1390"/>
      <c r="Z502" s="1390"/>
      <c r="AA502" s="1390"/>
      <c r="AB502" s="1390"/>
      <c r="AC502" s="1390"/>
      <c r="AD502" s="1390"/>
      <c r="AE502" s="1390"/>
      <c r="AF502" s="1390"/>
      <c r="AG502" s="1390"/>
      <c r="AH502" s="1390"/>
      <c r="AI502" s="1390"/>
      <c r="AJ502" s="1390"/>
      <c r="AK502" s="1390"/>
    </row>
    <row r="503" spans="3:37" ht="17.25" customHeight="1" x14ac:dyDescent="0.35">
      <c r="C503" s="1390"/>
      <c r="D503" s="1390"/>
      <c r="E503" s="1390"/>
      <c r="F503" s="1390"/>
      <c r="G503" s="1390"/>
      <c r="H503" s="1390"/>
      <c r="I503" s="1390"/>
      <c r="J503" s="1390"/>
      <c r="K503" s="1390"/>
      <c r="L503" s="1390"/>
      <c r="M503" s="1390"/>
      <c r="N503" s="1390"/>
      <c r="O503" s="1390"/>
      <c r="P503" s="1390"/>
      <c r="Q503" s="1390"/>
      <c r="R503" s="1390"/>
      <c r="S503" s="1390"/>
      <c r="T503" s="1390"/>
      <c r="U503" s="1390"/>
      <c r="V503" s="1390"/>
      <c r="W503" s="1390"/>
      <c r="X503" s="1390"/>
      <c r="Y503" s="1390"/>
      <c r="Z503" s="1390"/>
      <c r="AA503" s="1390"/>
      <c r="AB503" s="1390"/>
      <c r="AC503" s="1390"/>
      <c r="AD503" s="1390"/>
      <c r="AE503" s="1390"/>
      <c r="AF503" s="1390"/>
      <c r="AG503" s="1390"/>
      <c r="AH503" s="1390"/>
      <c r="AI503" s="1390"/>
      <c r="AJ503" s="1390"/>
      <c r="AK503" s="1390"/>
    </row>
    <row r="504" spans="3:37" ht="17.25" customHeight="1" x14ac:dyDescent="0.35">
      <c r="C504" s="1390"/>
      <c r="D504" s="1390"/>
      <c r="E504" s="1390"/>
      <c r="F504" s="1390"/>
      <c r="G504" s="1390"/>
      <c r="H504" s="1390"/>
      <c r="I504" s="1390"/>
      <c r="J504" s="1390"/>
      <c r="K504" s="1390"/>
      <c r="L504" s="1390"/>
      <c r="M504" s="1390"/>
      <c r="N504" s="1390"/>
      <c r="O504" s="1390"/>
      <c r="P504" s="1390"/>
      <c r="Q504" s="1390"/>
      <c r="R504" s="1390"/>
      <c r="S504" s="1390"/>
      <c r="T504" s="1390"/>
      <c r="U504" s="1390"/>
      <c r="V504" s="1390"/>
      <c r="W504" s="1390"/>
      <c r="X504" s="1390"/>
      <c r="Y504" s="1390"/>
      <c r="Z504" s="1390"/>
      <c r="AA504" s="1390"/>
      <c r="AB504" s="1390"/>
      <c r="AC504" s="1390"/>
      <c r="AD504" s="1390"/>
      <c r="AE504" s="1390"/>
      <c r="AF504" s="1390"/>
      <c r="AG504" s="1390"/>
      <c r="AH504" s="1390"/>
      <c r="AI504" s="1390"/>
      <c r="AJ504" s="1390"/>
      <c r="AK504" s="1390"/>
    </row>
    <row r="505" spans="3:37" ht="17.25" customHeight="1" x14ac:dyDescent="0.35">
      <c r="C505" s="1390"/>
      <c r="D505" s="1390"/>
      <c r="E505" s="1390"/>
      <c r="F505" s="1390"/>
      <c r="G505" s="1390"/>
      <c r="H505" s="1390"/>
      <c r="I505" s="1390"/>
      <c r="J505" s="1390"/>
      <c r="K505" s="1390"/>
      <c r="L505" s="1390"/>
      <c r="M505" s="1390"/>
      <c r="N505" s="1390"/>
      <c r="O505" s="1390"/>
      <c r="P505" s="1390"/>
      <c r="Q505" s="1390"/>
      <c r="R505" s="1390"/>
      <c r="S505" s="1390"/>
      <c r="T505" s="1390"/>
      <c r="U505" s="1390"/>
      <c r="V505" s="1390"/>
      <c r="W505" s="1390"/>
      <c r="X505" s="1390"/>
      <c r="Y505" s="1390"/>
      <c r="Z505" s="1390"/>
      <c r="AA505" s="1390"/>
      <c r="AB505" s="1390"/>
      <c r="AC505" s="1390"/>
      <c r="AD505" s="1390"/>
      <c r="AE505" s="1390"/>
      <c r="AF505" s="1390"/>
      <c r="AG505" s="1390"/>
      <c r="AH505" s="1390"/>
      <c r="AI505" s="1390"/>
      <c r="AJ505" s="1390"/>
      <c r="AK505" s="1390"/>
    </row>
    <row r="506" spans="3:37" ht="17.25" customHeight="1" x14ac:dyDescent="0.35">
      <c r="C506" s="1390"/>
      <c r="D506" s="1390"/>
      <c r="E506" s="1390"/>
      <c r="F506" s="1390"/>
      <c r="G506" s="1390"/>
      <c r="H506" s="1390"/>
      <c r="I506" s="1390"/>
      <c r="J506" s="1390"/>
      <c r="K506" s="1390"/>
      <c r="L506" s="1390"/>
      <c r="M506" s="1390"/>
      <c r="N506" s="1390"/>
      <c r="O506" s="1390"/>
      <c r="P506" s="1390"/>
      <c r="Q506" s="1390"/>
      <c r="R506" s="1390"/>
      <c r="S506" s="1390"/>
      <c r="T506" s="1390"/>
      <c r="U506" s="1390"/>
      <c r="V506" s="1390"/>
      <c r="W506" s="1390"/>
      <c r="X506" s="1390"/>
      <c r="Y506" s="1390"/>
      <c r="Z506" s="1390"/>
      <c r="AA506" s="1390"/>
      <c r="AB506" s="1390"/>
      <c r="AC506" s="1390"/>
      <c r="AD506" s="1390"/>
      <c r="AE506" s="1390"/>
      <c r="AF506" s="1390"/>
      <c r="AG506" s="1390"/>
      <c r="AH506" s="1390"/>
      <c r="AI506" s="1390"/>
      <c r="AJ506" s="1390"/>
      <c r="AK506" s="1390"/>
    </row>
    <row r="507" spans="3:37" ht="17.25" customHeight="1" x14ac:dyDescent="0.35">
      <c r="C507" s="1390"/>
      <c r="D507" s="1390"/>
      <c r="E507" s="1390"/>
      <c r="F507" s="1390"/>
      <c r="G507" s="1390"/>
      <c r="H507" s="1390"/>
      <c r="I507" s="1390"/>
      <c r="J507" s="1390"/>
      <c r="K507" s="1390"/>
      <c r="L507" s="1390"/>
      <c r="M507" s="1390"/>
      <c r="N507" s="1390"/>
      <c r="O507" s="1390"/>
      <c r="P507" s="1390"/>
      <c r="Q507" s="1390"/>
      <c r="R507" s="1390"/>
      <c r="S507" s="1390"/>
      <c r="T507" s="1390"/>
      <c r="U507" s="1390"/>
      <c r="V507" s="1390"/>
      <c r="W507" s="1390"/>
      <c r="X507" s="1390"/>
      <c r="Y507" s="1390"/>
      <c r="Z507" s="1390"/>
      <c r="AA507" s="1390"/>
      <c r="AB507" s="1390"/>
      <c r="AC507" s="1390"/>
      <c r="AD507" s="1390"/>
      <c r="AE507" s="1390"/>
      <c r="AF507" s="1390"/>
      <c r="AG507" s="1390"/>
      <c r="AH507" s="1390"/>
      <c r="AI507" s="1390"/>
      <c r="AJ507" s="1390"/>
      <c r="AK507" s="1390"/>
    </row>
    <row r="508" spans="3:37" ht="17.25" customHeight="1" x14ac:dyDescent="0.35">
      <c r="C508" s="1390"/>
      <c r="D508" s="1390"/>
      <c r="E508" s="1390"/>
      <c r="F508" s="1390"/>
      <c r="G508" s="1390"/>
      <c r="H508" s="1390"/>
      <c r="I508" s="1390"/>
      <c r="J508" s="1390"/>
      <c r="K508" s="1390"/>
      <c r="L508" s="1390"/>
      <c r="M508" s="1390"/>
      <c r="N508" s="1390"/>
      <c r="O508" s="1390"/>
      <c r="P508" s="1390"/>
      <c r="Q508" s="1390"/>
      <c r="R508" s="1390"/>
      <c r="S508" s="1390"/>
      <c r="T508" s="1390"/>
      <c r="U508" s="1390"/>
      <c r="V508" s="1390"/>
      <c r="W508" s="1390"/>
      <c r="X508" s="1390"/>
      <c r="Y508" s="1390"/>
      <c r="Z508" s="1390"/>
      <c r="AA508" s="1390"/>
      <c r="AB508" s="1390"/>
      <c r="AC508" s="1390"/>
      <c r="AD508" s="1390"/>
      <c r="AE508" s="1390"/>
      <c r="AF508" s="1390"/>
      <c r="AG508" s="1390"/>
      <c r="AH508" s="1390"/>
      <c r="AI508" s="1390"/>
      <c r="AJ508" s="1390"/>
      <c r="AK508" s="1390"/>
    </row>
    <row r="509" spans="3:37" ht="17.25" customHeight="1" x14ac:dyDescent="0.35">
      <c r="C509" s="1390"/>
      <c r="D509" s="1390"/>
      <c r="E509" s="1390"/>
      <c r="F509" s="1390"/>
      <c r="G509" s="1390"/>
      <c r="H509" s="1390"/>
      <c r="I509" s="1390"/>
      <c r="J509" s="1390"/>
      <c r="K509" s="1390"/>
      <c r="L509" s="1390"/>
      <c r="M509" s="1390"/>
      <c r="N509" s="1390"/>
      <c r="O509" s="1390"/>
      <c r="P509" s="1390"/>
      <c r="Q509" s="1390"/>
      <c r="R509" s="1390"/>
      <c r="S509" s="1390"/>
      <c r="T509" s="1390"/>
      <c r="U509" s="1390"/>
      <c r="V509" s="1390"/>
      <c r="W509" s="1390"/>
      <c r="X509" s="1390"/>
      <c r="Y509" s="1390"/>
      <c r="Z509" s="1390"/>
      <c r="AA509" s="1390"/>
      <c r="AB509" s="1390"/>
      <c r="AC509" s="1390"/>
      <c r="AD509" s="1390"/>
      <c r="AE509" s="1390"/>
      <c r="AF509" s="1390"/>
      <c r="AG509" s="1390"/>
      <c r="AH509" s="1390"/>
      <c r="AI509" s="1390"/>
      <c r="AJ509" s="1390"/>
      <c r="AK509" s="1390"/>
    </row>
    <row r="510" spans="3:37" ht="17.25" customHeight="1" x14ac:dyDescent="0.35">
      <c r="C510" s="1390"/>
      <c r="D510" s="1390"/>
      <c r="E510" s="1390"/>
      <c r="F510" s="1390"/>
      <c r="G510" s="1390"/>
      <c r="H510" s="1390"/>
      <c r="I510" s="1390"/>
      <c r="J510" s="1390"/>
      <c r="K510" s="1390"/>
      <c r="L510" s="1390"/>
      <c r="M510" s="1390"/>
      <c r="N510" s="1390"/>
      <c r="O510" s="1390"/>
      <c r="P510" s="1390"/>
      <c r="Q510" s="1390"/>
      <c r="R510" s="1390"/>
      <c r="S510" s="1390"/>
      <c r="T510" s="1390"/>
      <c r="U510" s="1390"/>
      <c r="V510" s="1390"/>
      <c r="W510" s="1390"/>
      <c r="X510" s="1390"/>
      <c r="Y510" s="1390"/>
      <c r="Z510" s="1390"/>
      <c r="AA510" s="1390"/>
      <c r="AB510" s="1390"/>
      <c r="AC510" s="1390"/>
      <c r="AD510" s="1390"/>
      <c r="AE510" s="1390"/>
      <c r="AF510" s="1390"/>
      <c r="AG510" s="1390"/>
      <c r="AH510" s="1390"/>
      <c r="AI510" s="1390"/>
      <c r="AJ510" s="1390"/>
      <c r="AK510" s="1390"/>
    </row>
    <row r="511" spans="3:37" ht="17.25" customHeight="1" x14ac:dyDescent="0.35">
      <c r="C511" s="1390"/>
      <c r="D511" s="1390"/>
      <c r="E511" s="1390"/>
      <c r="F511" s="1390"/>
      <c r="G511" s="1390"/>
      <c r="H511" s="1390"/>
      <c r="I511" s="1390"/>
      <c r="J511" s="1390"/>
      <c r="K511" s="1390"/>
      <c r="L511" s="1390"/>
      <c r="M511" s="1390"/>
      <c r="N511" s="1390"/>
      <c r="O511" s="1390"/>
      <c r="P511" s="1390"/>
      <c r="Q511" s="1390"/>
      <c r="R511" s="1390"/>
      <c r="S511" s="1390"/>
      <c r="T511" s="1390"/>
      <c r="U511" s="1390"/>
      <c r="V511" s="1390"/>
      <c r="W511" s="1390"/>
      <c r="X511" s="1390"/>
      <c r="Y511" s="1390"/>
      <c r="Z511" s="1390"/>
      <c r="AA511" s="1390"/>
      <c r="AB511" s="1390"/>
      <c r="AC511" s="1390"/>
      <c r="AD511" s="1390"/>
      <c r="AE511" s="1390"/>
      <c r="AF511" s="1390"/>
      <c r="AG511" s="1390"/>
      <c r="AH511" s="1390"/>
      <c r="AI511" s="1390"/>
      <c r="AJ511" s="1390"/>
      <c r="AK511" s="1390"/>
    </row>
    <row r="512" spans="3:37" ht="17.25" customHeight="1" x14ac:dyDescent="0.35">
      <c r="C512" s="1390"/>
      <c r="D512" s="1390"/>
      <c r="E512" s="1390"/>
      <c r="F512" s="1390"/>
      <c r="G512" s="1390"/>
      <c r="H512" s="1390"/>
      <c r="I512" s="1390"/>
      <c r="J512" s="1390"/>
      <c r="K512" s="1390"/>
      <c r="L512" s="1390"/>
      <c r="M512" s="1390"/>
      <c r="N512" s="1390"/>
      <c r="O512" s="1390"/>
      <c r="P512" s="1390"/>
      <c r="Q512" s="1390"/>
      <c r="R512" s="1390"/>
      <c r="S512" s="1390"/>
      <c r="T512" s="1390"/>
      <c r="U512" s="1390"/>
      <c r="V512" s="1390"/>
      <c r="W512" s="1390"/>
      <c r="X512" s="1390"/>
      <c r="Y512" s="1390"/>
      <c r="Z512" s="1390"/>
      <c r="AA512" s="1390"/>
      <c r="AB512" s="1390"/>
      <c r="AC512" s="1390"/>
      <c r="AD512" s="1390"/>
      <c r="AE512" s="1390"/>
      <c r="AF512" s="1390"/>
      <c r="AG512" s="1390"/>
      <c r="AH512" s="1390"/>
      <c r="AI512" s="1390"/>
      <c r="AJ512" s="1390"/>
      <c r="AK512" s="1390"/>
    </row>
    <row r="513" spans="3:37" ht="17.25" customHeight="1" x14ac:dyDescent="0.35">
      <c r="C513" s="1390"/>
      <c r="D513" s="1390"/>
      <c r="E513" s="1390"/>
      <c r="F513" s="1390"/>
      <c r="G513" s="1390"/>
      <c r="H513" s="1390"/>
      <c r="I513" s="1390"/>
      <c r="J513" s="1390"/>
      <c r="K513" s="1390"/>
      <c r="L513" s="1390"/>
      <c r="M513" s="1390"/>
      <c r="N513" s="1390"/>
      <c r="O513" s="1390"/>
      <c r="P513" s="1390"/>
      <c r="Q513" s="1390"/>
      <c r="R513" s="1390"/>
      <c r="S513" s="1390"/>
      <c r="T513" s="1390"/>
      <c r="U513" s="1390"/>
      <c r="V513" s="1390"/>
      <c r="W513" s="1390"/>
      <c r="X513" s="1390"/>
      <c r="Y513" s="1390"/>
      <c r="Z513" s="1390"/>
      <c r="AA513" s="1390"/>
      <c r="AB513" s="1390"/>
      <c r="AC513" s="1390"/>
      <c r="AD513" s="1390"/>
      <c r="AE513" s="1390"/>
      <c r="AF513" s="1390"/>
      <c r="AG513" s="1390"/>
      <c r="AH513" s="1390"/>
      <c r="AI513" s="1390"/>
      <c r="AJ513" s="1390"/>
      <c r="AK513" s="1390"/>
    </row>
    <row r="514" spans="3:37" ht="17.25" customHeight="1" x14ac:dyDescent="0.35">
      <c r="C514" s="1390"/>
      <c r="D514" s="1390"/>
      <c r="E514" s="1390"/>
      <c r="F514" s="1390"/>
      <c r="G514" s="1390"/>
      <c r="H514" s="1390"/>
      <c r="I514" s="1390"/>
      <c r="J514" s="1390"/>
      <c r="K514" s="1390"/>
      <c r="L514" s="1390"/>
      <c r="M514" s="1390"/>
      <c r="N514" s="1390"/>
      <c r="O514" s="1390"/>
      <c r="P514" s="1390"/>
      <c r="Q514" s="1390"/>
      <c r="R514" s="1390"/>
      <c r="S514" s="1390"/>
      <c r="T514" s="1390"/>
      <c r="U514" s="1390"/>
      <c r="V514" s="1390"/>
      <c r="W514" s="1390"/>
      <c r="X514" s="1390"/>
      <c r="Y514" s="1390"/>
      <c r="Z514" s="1390"/>
      <c r="AA514" s="1390"/>
      <c r="AB514" s="1390"/>
      <c r="AC514" s="1390"/>
      <c r="AD514" s="1390"/>
      <c r="AE514" s="1390"/>
      <c r="AF514" s="1390"/>
      <c r="AG514" s="1390"/>
      <c r="AH514" s="1390"/>
      <c r="AI514" s="1390"/>
      <c r="AJ514" s="1390"/>
      <c r="AK514" s="1390"/>
    </row>
    <row r="515" spans="3:37" ht="17.25" customHeight="1" x14ac:dyDescent="0.35">
      <c r="C515" s="1390"/>
      <c r="D515" s="1390"/>
      <c r="E515" s="1390"/>
      <c r="F515" s="1390"/>
      <c r="G515" s="1390"/>
      <c r="H515" s="1390"/>
      <c r="I515" s="1390"/>
      <c r="J515" s="1390"/>
      <c r="K515" s="1390"/>
      <c r="L515" s="1390"/>
      <c r="M515" s="1390"/>
      <c r="N515" s="1390"/>
      <c r="O515" s="1390"/>
      <c r="P515" s="1390"/>
      <c r="Q515" s="1390"/>
      <c r="R515" s="1390"/>
      <c r="S515" s="1390"/>
      <c r="T515" s="1390"/>
      <c r="U515" s="1390"/>
      <c r="V515" s="1390"/>
      <c r="W515" s="1390"/>
      <c r="X515" s="1390"/>
      <c r="Y515" s="1390"/>
      <c r="Z515" s="1390"/>
      <c r="AA515" s="1390"/>
      <c r="AB515" s="1390"/>
      <c r="AC515" s="1390"/>
      <c r="AD515" s="1390"/>
      <c r="AE515" s="1390"/>
      <c r="AF515" s="1390"/>
      <c r="AG515" s="1390"/>
      <c r="AH515" s="1390"/>
      <c r="AI515" s="1390"/>
      <c r="AJ515" s="1390"/>
      <c r="AK515" s="1390"/>
    </row>
    <row r="516" spans="3:37" ht="17.25" customHeight="1" x14ac:dyDescent="0.35">
      <c r="C516" s="1390"/>
      <c r="D516" s="1390"/>
      <c r="E516" s="1390"/>
      <c r="F516" s="1390"/>
      <c r="G516" s="1390"/>
      <c r="H516" s="1390"/>
      <c r="I516" s="1390"/>
      <c r="J516" s="1390"/>
      <c r="K516" s="1390"/>
      <c r="L516" s="1390"/>
      <c r="M516" s="1390"/>
      <c r="N516" s="1390"/>
      <c r="O516" s="1390"/>
      <c r="P516" s="1390"/>
      <c r="Q516" s="1390"/>
      <c r="R516" s="1390"/>
      <c r="S516" s="1390"/>
      <c r="T516" s="1390"/>
      <c r="U516" s="1390"/>
      <c r="V516" s="1390"/>
      <c r="W516" s="1390"/>
      <c r="X516" s="1390"/>
      <c r="Y516" s="1390"/>
      <c r="Z516" s="1390"/>
      <c r="AA516" s="1390"/>
      <c r="AB516" s="1390"/>
      <c r="AC516" s="1390"/>
      <c r="AD516" s="1390"/>
      <c r="AE516" s="1390"/>
      <c r="AF516" s="1390"/>
      <c r="AG516" s="1390"/>
      <c r="AH516" s="1390"/>
      <c r="AI516" s="1390"/>
      <c r="AJ516" s="1390"/>
      <c r="AK516" s="1390"/>
    </row>
    <row r="517" spans="3:37" ht="17.25" customHeight="1" x14ac:dyDescent="0.35">
      <c r="C517" s="1390"/>
      <c r="D517" s="1390"/>
      <c r="E517" s="1390"/>
      <c r="F517" s="1390"/>
      <c r="G517" s="1390"/>
      <c r="H517" s="1390"/>
      <c r="I517" s="1390"/>
      <c r="J517" s="1390"/>
      <c r="K517" s="1390"/>
      <c r="L517" s="1390"/>
      <c r="M517" s="1390"/>
      <c r="N517" s="1390"/>
      <c r="O517" s="1390"/>
      <c r="P517" s="1390"/>
      <c r="Q517" s="1390"/>
      <c r="R517" s="1390"/>
      <c r="S517" s="1390"/>
      <c r="T517" s="1390"/>
      <c r="U517" s="1390"/>
      <c r="V517" s="1390"/>
      <c r="W517" s="1390"/>
      <c r="X517" s="1390"/>
      <c r="Y517" s="1390"/>
      <c r="Z517" s="1390"/>
      <c r="AA517" s="1390"/>
      <c r="AB517" s="1390"/>
      <c r="AC517" s="1390"/>
      <c r="AD517" s="1390"/>
      <c r="AE517" s="1390"/>
      <c r="AF517" s="1390"/>
      <c r="AG517" s="1390"/>
      <c r="AH517" s="1390"/>
      <c r="AI517" s="1390"/>
      <c r="AJ517" s="1390"/>
      <c r="AK517" s="1390"/>
    </row>
    <row r="518" spans="3:37" ht="17.25" customHeight="1" x14ac:dyDescent="0.35">
      <c r="C518" s="1390"/>
      <c r="D518" s="1390"/>
      <c r="E518" s="1390"/>
      <c r="F518" s="1390"/>
      <c r="G518" s="1390"/>
      <c r="H518" s="1390"/>
      <c r="I518" s="1390"/>
      <c r="J518" s="1390"/>
      <c r="K518" s="1390"/>
      <c r="L518" s="1390"/>
      <c r="M518" s="1390"/>
      <c r="N518" s="1390"/>
      <c r="O518" s="1390"/>
      <c r="P518" s="1390"/>
      <c r="Q518" s="1390"/>
      <c r="R518" s="1390"/>
      <c r="S518" s="1390"/>
      <c r="T518" s="1390"/>
      <c r="U518" s="1390"/>
      <c r="V518" s="1390"/>
      <c r="W518" s="1390"/>
      <c r="X518" s="1390"/>
      <c r="Y518" s="1390"/>
      <c r="Z518" s="1390"/>
      <c r="AA518" s="1390"/>
      <c r="AB518" s="1390"/>
      <c r="AC518" s="1390"/>
      <c r="AD518" s="1390"/>
      <c r="AE518" s="1390"/>
      <c r="AF518" s="1390"/>
      <c r="AG518" s="1390"/>
      <c r="AH518" s="1390"/>
      <c r="AI518" s="1390"/>
      <c r="AJ518" s="1390"/>
      <c r="AK518" s="1390"/>
    </row>
    <row r="519" spans="3:37" ht="17.25" customHeight="1" x14ac:dyDescent="0.35">
      <c r="C519" s="1390"/>
      <c r="D519" s="1390"/>
      <c r="E519" s="1390"/>
      <c r="F519" s="1390"/>
      <c r="G519" s="1390"/>
      <c r="H519" s="1390"/>
      <c r="I519" s="1390"/>
      <c r="J519" s="1390"/>
      <c r="K519" s="1390"/>
      <c r="L519" s="1390"/>
      <c r="M519" s="1390"/>
      <c r="N519" s="1390"/>
      <c r="O519" s="1390"/>
      <c r="P519" s="1390"/>
      <c r="Q519" s="1390"/>
      <c r="R519" s="1390"/>
      <c r="S519" s="1390"/>
      <c r="T519" s="1390"/>
      <c r="U519" s="1390"/>
      <c r="V519" s="1390"/>
      <c r="W519" s="1390"/>
      <c r="X519" s="1390"/>
      <c r="Y519" s="1390"/>
      <c r="Z519" s="1390"/>
      <c r="AA519" s="1390"/>
      <c r="AB519" s="1390"/>
      <c r="AC519" s="1390"/>
      <c r="AD519" s="1390"/>
      <c r="AE519" s="1390"/>
      <c r="AF519" s="1390"/>
      <c r="AG519" s="1390"/>
      <c r="AH519" s="1390"/>
      <c r="AI519" s="1390"/>
      <c r="AJ519" s="1390"/>
      <c r="AK519" s="1390"/>
    </row>
    <row r="520" spans="3:37" ht="17.25" customHeight="1" x14ac:dyDescent="0.35">
      <c r="C520" s="1390"/>
      <c r="D520" s="1390"/>
      <c r="E520" s="1390"/>
      <c r="F520" s="1390"/>
      <c r="G520" s="1390"/>
      <c r="H520" s="1390"/>
      <c r="I520" s="1390"/>
      <c r="J520" s="1390"/>
      <c r="K520" s="1390"/>
      <c r="L520" s="1390"/>
      <c r="M520" s="1390"/>
      <c r="N520" s="1390"/>
      <c r="O520" s="1390"/>
      <c r="P520" s="1390"/>
      <c r="Q520" s="1390"/>
      <c r="R520" s="1390"/>
      <c r="S520" s="1390"/>
      <c r="T520" s="1390"/>
      <c r="U520" s="1390"/>
      <c r="V520" s="1390"/>
      <c r="W520" s="1390"/>
      <c r="X520" s="1390"/>
      <c r="Y520" s="1390"/>
      <c r="Z520" s="1390"/>
      <c r="AA520" s="1390"/>
      <c r="AB520" s="1390"/>
      <c r="AC520" s="1390"/>
      <c r="AD520" s="1390"/>
      <c r="AE520" s="1390"/>
      <c r="AF520" s="1390"/>
      <c r="AG520" s="1390"/>
      <c r="AH520" s="1390"/>
      <c r="AI520" s="1390"/>
      <c r="AJ520" s="1390"/>
      <c r="AK520" s="1390"/>
    </row>
    <row r="521" spans="3:37" ht="17.25" customHeight="1" x14ac:dyDescent="0.35">
      <c r="C521" s="1390"/>
      <c r="D521" s="1390"/>
      <c r="E521" s="1390"/>
      <c r="F521" s="1390"/>
      <c r="G521" s="1390"/>
      <c r="H521" s="1390"/>
      <c r="I521" s="1390"/>
      <c r="J521" s="1390"/>
      <c r="K521" s="1390"/>
      <c r="L521" s="1390"/>
      <c r="M521" s="1390"/>
      <c r="N521" s="1390"/>
      <c r="O521" s="1390"/>
      <c r="P521" s="1390"/>
      <c r="Q521" s="1390"/>
      <c r="R521" s="1390"/>
      <c r="S521" s="1390"/>
      <c r="T521" s="1390"/>
      <c r="U521" s="1390"/>
      <c r="V521" s="1390"/>
      <c r="W521" s="1390"/>
      <c r="X521" s="1390"/>
      <c r="Y521" s="1390"/>
      <c r="Z521" s="1390"/>
      <c r="AA521" s="1390"/>
      <c r="AB521" s="1390"/>
      <c r="AC521" s="1390"/>
      <c r="AD521" s="1390"/>
      <c r="AE521" s="1390"/>
      <c r="AF521" s="1390"/>
      <c r="AG521" s="1390"/>
      <c r="AH521" s="1390"/>
      <c r="AI521" s="1390"/>
      <c r="AJ521" s="1390"/>
      <c r="AK521" s="1390"/>
    </row>
    <row r="522" spans="3:37" ht="17.25" customHeight="1" x14ac:dyDescent="0.35">
      <c r="C522" s="1390"/>
      <c r="D522" s="1390"/>
      <c r="E522" s="1390"/>
      <c r="F522" s="1390"/>
      <c r="G522" s="1390"/>
      <c r="H522" s="1390"/>
      <c r="I522" s="1390"/>
      <c r="J522" s="1390"/>
      <c r="K522" s="1390"/>
      <c r="L522" s="1390"/>
      <c r="M522" s="1390"/>
      <c r="N522" s="1390"/>
      <c r="O522" s="1390"/>
      <c r="P522" s="1390"/>
      <c r="Q522" s="1390"/>
      <c r="R522" s="1390"/>
      <c r="S522" s="1390"/>
      <c r="T522" s="1390"/>
      <c r="U522" s="1390"/>
      <c r="V522" s="1390"/>
      <c r="W522" s="1390"/>
      <c r="X522" s="1390"/>
      <c r="Y522" s="1390"/>
      <c r="Z522" s="1390"/>
      <c r="AA522" s="1390"/>
      <c r="AB522" s="1390"/>
      <c r="AC522" s="1390"/>
      <c r="AD522" s="1390"/>
      <c r="AE522" s="1390"/>
      <c r="AF522" s="1390"/>
      <c r="AG522" s="1390"/>
      <c r="AH522" s="1390"/>
      <c r="AI522" s="1390"/>
      <c r="AJ522" s="1390"/>
      <c r="AK522" s="1390"/>
    </row>
    <row r="523" spans="3:37" ht="17.25" customHeight="1" x14ac:dyDescent="0.35">
      <c r="C523" s="1390"/>
      <c r="D523" s="1390"/>
      <c r="E523" s="1390"/>
      <c r="F523" s="1390"/>
      <c r="G523" s="1390"/>
      <c r="H523" s="1390"/>
      <c r="I523" s="1390"/>
      <c r="J523" s="1390"/>
      <c r="K523" s="1390"/>
      <c r="L523" s="1390"/>
      <c r="M523" s="1390"/>
      <c r="N523" s="1390"/>
      <c r="O523" s="1390"/>
      <c r="P523" s="1390"/>
      <c r="Q523" s="1390"/>
      <c r="R523" s="1390"/>
      <c r="S523" s="1390"/>
      <c r="T523" s="1390"/>
      <c r="U523" s="1390"/>
      <c r="V523" s="1390"/>
      <c r="W523" s="1390"/>
      <c r="X523" s="1390"/>
      <c r="Y523" s="1390"/>
      <c r="Z523" s="1390"/>
      <c r="AA523" s="1390"/>
      <c r="AB523" s="1390"/>
      <c r="AC523" s="1390"/>
      <c r="AD523" s="1390"/>
      <c r="AE523" s="1390"/>
      <c r="AF523" s="1390"/>
      <c r="AG523" s="1390"/>
      <c r="AH523" s="1390"/>
      <c r="AI523" s="1390"/>
      <c r="AJ523" s="1390"/>
      <c r="AK523" s="1390"/>
    </row>
    <row r="524" spans="3:37" ht="17.25" customHeight="1" x14ac:dyDescent="0.35">
      <c r="C524" s="1390"/>
      <c r="D524" s="1390"/>
      <c r="E524" s="1390"/>
      <c r="F524" s="1390"/>
      <c r="G524" s="1390"/>
      <c r="H524" s="1390"/>
      <c r="I524" s="1390"/>
      <c r="J524" s="1390"/>
      <c r="K524" s="1390"/>
      <c r="L524" s="1390"/>
      <c r="M524" s="1390"/>
      <c r="N524" s="1390"/>
      <c r="O524" s="1390"/>
      <c r="P524" s="1390"/>
      <c r="Q524" s="1390"/>
      <c r="R524" s="1390"/>
      <c r="S524" s="1390"/>
      <c r="T524" s="1390"/>
      <c r="U524" s="1390"/>
      <c r="V524" s="1390"/>
      <c r="W524" s="1390"/>
      <c r="X524" s="1390"/>
      <c r="Y524" s="1390"/>
      <c r="Z524" s="1390"/>
      <c r="AA524" s="1390"/>
      <c r="AB524" s="1390"/>
      <c r="AC524" s="1390"/>
      <c r="AD524" s="1390"/>
      <c r="AE524" s="1390"/>
      <c r="AF524" s="1390"/>
      <c r="AG524" s="1390"/>
      <c r="AH524" s="1390"/>
      <c r="AI524" s="1390"/>
      <c r="AJ524" s="1390"/>
      <c r="AK524" s="1390"/>
    </row>
    <row r="525" spans="3:37" ht="17.25" customHeight="1" x14ac:dyDescent="0.35">
      <c r="C525" s="1390"/>
      <c r="D525" s="1390"/>
      <c r="E525" s="1390"/>
      <c r="F525" s="1390"/>
      <c r="G525" s="1390"/>
      <c r="H525" s="1390"/>
      <c r="I525" s="1390"/>
      <c r="J525" s="1390"/>
      <c r="K525" s="1390"/>
      <c r="L525" s="1390"/>
      <c r="M525" s="1390"/>
      <c r="N525" s="1390"/>
      <c r="O525" s="1390"/>
      <c r="P525" s="1390"/>
      <c r="Q525" s="1390"/>
      <c r="R525" s="1390"/>
      <c r="S525" s="1390"/>
      <c r="T525" s="1390"/>
      <c r="U525" s="1390"/>
      <c r="V525" s="1390"/>
      <c r="W525" s="1390"/>
      <c r="X525" s="1390"/>
      <c r="Y525" s="1390"/>
      <c r="Z525" s="1390"/>
      <c r="AA525" s="1390"/>
      <c r="AB525" s="1390"/>
      <c r="AC525" s="1390"/>
      <c r="AD525" s="1390"/>
      <c r="AE525" s="1390"/>
      <c r="AF525" s="1390"/>
      <c r="AG525" s="1390"/>
      <c r="AH525" s="1390"/>
      <c r="AI525" s="1390"/>
      <c r="AJ525" s="1390"/>
      <c r="AK525" s="1390"/>
    </row>
    <row r="526" spans="3:37" ht="17.25" customHeight="1" x14ac:dyDescent="0.35">
      <c r="C526" s="1390"/>
      <c r="D526" s="1390"/>
      <c r="E526" s="1390"/>
      <c r="F526" s="1390"/>
      <c r="G526" s="1390"/>
      <c r="H526" s="1390"/>
      <c r="I526" s="1390"/>
      <c r="J526" s="1390"/>
      <c r="K526" s="1390"/>
      <c r="L526" s="1390"/>
      <c r="M526" s="1390"/>
      <c r="N526" s="1390"/>
      <c r="O526" s="1390"/>
      <c r="P526" s="1390"/>
      <c r="Q526" s="1390"/>
      <c r="R526" s="1390"/>
      <c r="S526" s="1390"/>
      <c r="T526" s="1390"/>
      <c r="U526" s="1390"/>
      <c r="V526" s="1390"/>
      <c r="W526" s="1390"/>
      <c r="X526" s="1390"/>
      <c r="Y526" s="1390"/>
      <c r="Z526" s="1390"/>
      <c r="AA526" s="1390"/>
      <c r="AB526" s="1390"/>
      <c r="AC526" s="1390"/>
      <c r="AD526" s="1390"/>
      <c r="AE526" s="1390"/>
      <c r="AF526" s="1390"/>
      <c r="AG526" s="1390"/>
      <c r="AH526" s="1390"/>
      <c r="AI526" s="1390"/>
      <c r="AJ526" s="1390"/>
      <c r="AK526" s="1390"/>
    </row>
    <row r="527" spans="3:37" ht="17.25" customHeight="1" x14ac:dyDescent="0.35">
      <c r="C527" s="1390"/>
      <c r="D527" s="1390"/>
      <c r="E527" s="1390"/>
      <c r="F527" s="1390"/>
      <c r="G527" s="1390"/>
      <c r="H527" s="1390"/>
      <c r="I527" s="1390"/>
      <c r="J527" s="1390"/>
      <c r="K527" s="1390"/>
      <c r="L527" s="1390"/>
      <c r="M527" s="1390"/>
      <c r="N527" s="1390"/>
      <c r="O527" s="1390"/>
      <c r="P527" s="1390"/>
      <c r="Q527" s="1390"/>
      <c r="R527" s="1390"/>
      <c r="S527" s="1390"/>
      <c r="T527" s="1390"/>
      <c r="U527" s="1390"/>
      <c r="V527" s="1390"/>
      <c r="W527" s="1390"/>
      <c r="X527" s="1390"/>
      <c r="Y527" s="1390"/>
      <c r="Z527" s="1390"/>
      <c r="AA527" s="1390"/>
      <c r="AB527" s="1390"/>
      <c r="AC527" s="1390"/>
      <c r="AD527" s="1390"/>
      <c r="AE527" s="1390"/>
      <c r="AF527" s="1390"/>
      <c r="AG527" s="1390"/>
      <c r="AH527" s="1390"/>
      <c r="AI527" s="1390"/>
      <c r="AJ527" s="1390"/>
      <c r="AK527" s="1390"/>
    </row>
    <row r="528" spans="3:37" ht="17.25" customHeight="1" x14ac:dyDescent="0.35">
      <c r="C528" s="1390"/>
      <c r="D528" s="1390"/>
      <c r="E528" s="1390"/>
      <c r="F528" s="1390"/>
      <c r="G528" s="1390"/>
      <c r="H528" s="1390"/>
      <c r="I528" s="1390"/>
      <c r="J528" s="1390"/>
      <c r="K528" s="1390"/>
      <c r="L528" s="1390"/>
      <c r="M528" s="1390"/>
      <c r="N528" s="1390"/>
      <c r="O528" s="1390"/>
      <c r="P528" s="1390"/>
      <c r="Q528" s="1390"/>
      <c r="R528" s="1390"/>
      <c r="S528" s="1390"/>
      <c r="T528" s="1390"/>
      <c r="U528" s="1390"/>
      <c r="V528" s="1390"/>
      <c r="W528" s="1390"/>
      <c r="X528" s="1390"/>
      <c r="Y528" s="1390"/>
      <c r="Z528" s="1390"/>
      <c r="AA528" s="1390"/>
      <c r="AB528" s="1390"/>
      <c r="AC528" s="1390"/>
      <c r="AD528" s="1390"/>
      <c r="AE528" s="1390"/>
      <c r="AF528" s="1390"/>
      <c r="AG528" s="1390"/>
      <c r="AH528" s="1390"/>
      <c r="AI528" s="1390"/>
      <c r="AJ528" s="1390"/>
      <c r="AK528" s="1390"/>
    </row>
    <row r="529" spans="3:37" ht="17.25" customHeight="1" x14ac:dyDescent="0.35">
      <c r="C529" s="1390"/>
      <c r="D529" s="1390"/>
      <c r="E529" s="1390"/>
      <c r="F529" s="1390"/>
      <c r="G529" s="1390"/>
      <c r="H529" s="1390"/>
      <c r="I529" s="1390"/>
      <c r="J529" s="1390"/>
      <c r="K529" s="1390"/>
      <c r="L529" s="1390"/>
      <c r="M529" s="1390"/>
      <c r="N529" s="1390"/>
      <c r="O529" s="1390"/>
      <c r="P529" s="1390"/>
      <c r="Q529" s="1390"/>
      <c r="R529" s="1390"/>
      <c r="S529" s="1390"/>
      <c r="T529" s="1390"/>
      <c r="U529" s="1390"/>
      <c r="V529" s="1390"/>
      <c r="W529" s="1390"/>
      <c r="X529" s="1390"/>
      <c r="Y529" s="1390"/>
      <c r="Z529" s="1390"/>
      <c r="AA529" s="1390"/>
      <c r="AB529" s="1390"/>
      <c r="AC529" s="1390"/>
      <c r="AD529" s="1390"/>
      <c r="AE529" s="1390"/>
      <c r="AF529" s="1390"/>
      <c r="AG529" s="1390"/>
      <c r="AH529" s="1390"/>
      <c r="AI529" s="1390"/>
      <c r="AJ529" s="1390"/>
      <c r="AK529" s="1390"/>
    </row>
    <row r="530" spans="3:37" ht="17.25" customHeight="1" x14ac:dyDescent="0.35">
      <c r="C530" s="1390"/>
      <c r="D530" s="1390"/>
      <c r="E530" s="1390"/>
      <c r="F530" s="1390"/>
      <c r="G530" s="1390"/>
      <c r="H530" s="1390"/>
      <c r="I530" s="1390"/>
      <c r="J530" s="1390"/>
      <c r="K530" s="1390"/>
      <c r="L530" s="1390"/>
      <c r="M530" s="1390"/>
      <c r="N530" s="1390"/>
      <c r="O530" s="1390"/>
      <c r="P530" s="1390"/>
      <c r="Q530" s="1390"/>
      <c r="R530" s="1390"/>
      <c r="S530" s="1390"/>
      <c r="T530" s="1390"/>
      <c r="U530" s="1390"/>
      <c r="V530" s="1390"/>
      <c r="W530" s="1390"/>
      <c r="X530" s="1390"/>
      <c r="Y530" s="1390"/>
      <c r="Z530" s="1390"/>
      <c r="AA530" s="1390"/>
      <c r="AB530" s="1390"/>
      <c r="AC530" s="1390"/>
      <c r="AD530" s="1390"/>
      <c r="AE530" s="1390"/>
      <c r="AF530" s="1390"/>
      <c r="AG530" s="1390"/>
      <c r="AH530" s="1390"/>
      <c r="AI530" s="1390"/>
      <c r="AJ530" s="1390"/>
      <c r="AK530" s="1390"/>
    </row>
    <row r="531" spans="3:37" ht="17.25" customHeight="1" x14ac:dyDescent="0.35">
      <c r="C531" s="1390"/>
      <c r="D531" s="1390"/>
      <c r="E531" s="1390"/>
      <c r="F531" s="1390"/>
      <c r="G531" s="1390"/>
      <c r="H531" s="1390"/>
      <c r="I531" s="1390"/>
      <c r="J531" s="1390"/>
      <c r="K531" s="1390"/>
      <c r="L531" s="1390"/>
      <c r="M531" s="1390"/>
      <c r="N531" s="1390"/>
      <c r="O531" s="1390"/>
      <c r="P531" s="1390"/>
      <c r="Q531" s="1390"/>
      <c r="R531" s="1390"/>
      <c r="S531" s="1390"/>
      <c r="T531" s="1390"/>
      <c r="U531" s="1390"/>
      <c r="V531" s="1390"/>
      <c r="W531" s="1390"/>
      <c r="X531" s="1390"/>
      <c r="Y531" s="1390"/>
      <c r="Z531" s="1390"/>
      <c r="AA531" s="1390"/>
      <c r="AB531" s="1390"/>
      <c r="AC531" s="1390"/>
      <c r="AD531" s="1390"/>
      <c r="AE531" s="1390"/>
      <c r="AF531" s="1390"/>
      <c r="AG531" s="1390"/>
      <c r="AH531" s="1390"/>
      <c r="AI531" s="1390"/>
      <c r="AJ531" s="1390"/>
      <c r="AK531" s="1390"/>
    </row>
    <row r="532" spans="3:37" ht="17.25" customHeight="1" x14ac:dyDescent="0.35">
      <c r="C532" s="1390"/>
      <c r="D532" s="1390"/>
      <c r="E532" s="1390"/>
      <c r="F532" s="1390"/>
      <c r="G532" s="1390"/>
      <c r="H532" s="1390"/>
      <c r="I532" s="1390"/>
      <c r="J532" s="1390"/>
      <c r="K532" s="1390"/>
      <c r="L532" s="1390"/>
      <c r="M532" s="1390"/>
      <c r="N532" s="1390"/>
      <c r="O532" s="1390"/>
      <c r="P532" s="1390"/>
      <c r="Q532" s="1390"/>
      <c r="R532" s="1390"/>
      <c r="S532" s="1390"/>
      <c r="T532" s="1390"/>
      <c r="U532" s="1390"/>
      <c r="V532" s="1390"/>
      <c r="W532" s="1390"/>
      <c r="X532" s="1390"/>
      <c r="Y532" s="1390"/>
      <c r="Z532" s="1390"/>
      <c r="AA532" s="1390"/>
      <c r="AB532" s="1390"/>
      <c r="AC532" s="1390"/>
      <c r="AD532" s="1390"/>
      <c r="AE532" s="1390"/>
      <c r="AF532" s="1390"/>
      <c r="AG532" s="1390"/>
      <c r="AH532" s="1390"/>
      <c r="AI532" s="1390"/>
      <c r="AJ532" s="1390"/>
      <c r="AK532" s="1390"/>
    </row>
    <row r="533" spans="3:37" ht="17.25" customHeight="1" x14ac:dyDescent="0.35">
      <c r="C533" s="1390"/>
      <c r="D533" s="1390"/>
      <c r="E533" s="1390"/>
      <c r="F533" s="1390"/>
      <c r="G533" s="1390"/>
      <c r="H533" s="1390"/>
      <c r="I533" s="1390"/>
      <c r="J533" s="1390"/>
      <c r="K533" s="1390"/>
      <c r="L533" s="1390"/>
      <c r="M533" s="1390"/>
      <c r="N533" s="1390"/>
      <c r="O533" s="1390"/>
      <c r="P533" s="1390"/>
      <c r="Q533" s="1390"/>
      <c r="R533" s="1390"/>
      <c r="S533" s="1390"/>
      <c r="T533" s="1390"/>
      <c r="U533" s="1390"/>
      <c r="V533" s="1390"/>
      <c r="W533" s="1390"/>
      <c r="X533" s="1390"/>
      <c r="Y533" s="1390"/>
      <c r="Z533" s="1390"/>
      <c r="AA533" s="1390"/>
      <c r="AB533" s="1390"/>
      <c r="AC533" s="1390"/>
      <c r="AD533" s="1390"/>
      <c r="AE533" s="1390"/>
      <c r="AF533" s="1390"/>
      <c r="AG533" s="1390"/>
      <c r="AH533" s="1390"/>
      <c r="AI533" s="1390"/>
      <c r="AJ533" s="1390"/>
      <c r="AK533" s="1390"/>
    </row>
    <row r="534" spans="3:37" ht="17.25" customHeight="1" x14ac:dyDescent="0.35">
      <c r="C534" s="1390"/>
      <c r="D534" s="1390"/>
      <c r="E534" s="1390"/>
      <c r="F534" s="1390"/>
      <c r="G534" s="1390"/>
      <c r="H534" s="1390"/>
      <c r="I534" s="1390"/>
      <c r="J534" s="1390"/>
      <c r="K534" s="1390"/>
      <c r="L534" s="1390"/>
      <c r="M534" s="1390"/>
      <c r="N534" s="1390"/>
      <c r="O534" s="1390"/>
      <c r="P534" s="1390"/>
      <c r="Q534" s="1390"/>
      <c r="R534" s="1390"/>
      <c r="S534" s="1390"/>
      <c r="T534" s="1390"/>
      <c r="U534" s="1390"/>
      <c r="V534" s="1390"/>
      <c r="W534" s="1390"/>
      <c r="X534" s="1390"/>
      <c r="Y534" s="1390"/>
      <c r="Z534" s="1390"/>
      <c r="AA534" s="1390"/>
      <c r="AB534" s="1390"/>
      <c r="AC534" s="1390"/>
      <c r="AD534" s="1390"/>
      <c r="AE534" s="1390"/>
      <c r="AF534" s="1390"/>
      <c r="AG534" s="1390"/>
      <c r="AH534" s="1390"/>
      <c r="AI534" s="1390"/>
      <c r="AJ534" s="1390"/>
      <c r="AK534" s="1390"/>
    </row>
    <row r="535" spans="3:37" ht="17.25" customHeight="1" x14ac:dyDescent="0.35">
      <c r="C535" s="1390"/>
      <c r="D535" s="1390"/>
      <c r="E535" s="1390"/>
      <c r="F535" s="1390"/>
      <c r="G535" s="1390"/>
      <c r="H535" s="1390"/>
      <c r="I535" s="1390"/>
      <c r="J535" s="1390"/>
      <c r="K535" s="1390"/>
      <c r="L535" s="1390"/>
      <c r="M535" s="1390"/>
      <c r="N535" s="1390"/>
      <c r="O535" s="1390"/>
      <c r="P535" s="1390"/>
      <c r="Q535" s="1390"/>
      <c r="R535" s="1390"/>
      <c r="S535" s="1390"/>
      <c r="T535" s="1390"/>
      <c r="U535" s="1390"/>
      <c r="V535" s="1390"/>
      <c r="W535" s="1390"/>
      <c r="X535" s="1390"/>
      <c r="Y535" s="1390"/>
      <c r="Z535" s="1390"/>
      <c r="AA535" s="1390"/>
      <c r="AB535" s="1390"/>
      <c r="AC535" s="1390"/>
      <c r="AD535" s="1390"/>
      <c r="AE535" s="1390"/>
      <c r="AF535" s="1390"/>
      <c r="AG535" s="1390"/>
      <c r="AH535" s="1390"/>
      <c r="AI535" s="1390"/>
      <c r="AJ535" s="1390"/>
      <c r="AK535" s="1390"/>
    </row>
    <row r="536" spans="3:37" ht="17.25" customHeight="1" x14ac:dyDescent="0.35">
      <c r="C536" s="1390"/>
      <c r="D536" s="1390"/>
      <c r="E536" s="1390"/>
      <c r="F536" s="1390"/>
      <c r="G536" s="1390"/>
      <c r="H536" s="1390"/>
      <c r="I536" s="1390"/>
      <c r="J536" s="1390"/>
      <c r="K536" s="1390"/>
      <c r="L536" s="1390"/>
      <c r="M536" s="1390"/>
      <c r="N536" s="1390"/>
      <c r="O536" s="1390"/>
      <c r="P536" s="1390"/>
      <c r="Q536" s="1390"/>
      <c r="R536" s="1390"/>
      <c r="S536" s="1390"/>
      <c r="T536" s="1390"/>
      <c r="U536" s="1390"/>
      <c r="V536" s="1390"/>
      <c r="W536" s="1390"/>
      <c r="X536" s="1390"/>
      <c r="Y536" s="1390"/>
      <c r="Z536" s="1390"/>
      <c r="AA536" s="1390"/>
      <c r="AB536" s="1390"/>
      <c r="AC536" s="1390"/>
      <c r="AD536" s="1390"/>
      <c r="AE536" s="1390"/>
      <c r="AF536" s="1390"/>
      <c r="AG536" s="1390"/>
      <c r="AH536" s="1390"/>
      <c r="AI536" s="1390"/>
      <c r="AJ536" s="1390"/>
      <c r="AK536" s="1390"/>
    </row>
    <row r="537" spans="3:37" ht="17.25" customHeight="1" x14ac:dyDescent="0.35">
      <c r="C537" s="1390"/>
      <c r="D537" s="1390"/>
      <c r="E537" s="1390"/>
      <c r="F537" s="1390"/>
      <c r="G537" s="1390"/>
      <c r="H537" s="1390"/>
      <c r="I537" s="1390"/>
      <c r="J537" s="1390"/>
      <c r="K537" s="1390"/>
      <c r="L537" s="1390"/>
      <c r="M537" s="1390"/>
      <c r="N537" s="1390"/>
      <c r="O537" s="1390"/>
      <c r="P537" s="1390"/>
      <c r="Q537" s="1390"/>
      <c r="R537" s="1390"/>
      <c r="S537" s="1390"/>
      <c r="T537" s="1390"/>
      <c r="U537" s="1390"/>
      <c r="V537" s="1390"/>
      <c r="W537" s="1390"/>
      <c r="X537" s="1390"/>
      <c r="Y537" s="1390"/>
      <c r="Z537" s="1390"/>
      <c r="AA537" s="1390"/>
      <c r="AB537" s="1390"/>
      <c r="AC537" s="1390"/>
      <c r="AD537" s="1390"/>
      <c r="AE537" s="1390"/>
      <c r="AF537" s="1390"/>
      <c r="AG537" s="1390"/>
      <c r="AH537" s="1390"/>
      <c r="AI537" s="1390"/>
      <c r="AJ537" s="1390"/>
      <c r="AK537" s="1390"/>
    </row>
    <row r="538" spans="3:37" ht="17.25" customHeight="1" x14ac:dyDescent="0.35">
      <c r="C538" s="1390"/>
      <c r="D538" s="1390"/>
      <c r="E538" s="1390"/>
      <c r="F538" s="1390"/>
      <c r="G538" s="1390"/>
      <c r="H538" s="1390"/>
      <c r="I538" s="1390"/>
      <c r="J538" s="1390"/>
      <c r="K538" s="1390"/>
      <c r="L538" s="1390"/>
      <c r="M538" s="1390"/>
      <c r="N538" s="1390"/>
      <c r="O538" s="1390"/>
      <c r="P538" s="1390"/>
      <c r="Q538" s="1390"/>
      <c r="R538" s="1390"/>
      <c r="S538" s="1390"/>
      <c r="T538" s="1390"/>
      <c r="U538" s="1390"/>
      <c r="V538" s="1390"/>
      <c r="W538" s="1390"/>
      <c r="X538" s="1390"/>
      <c r="Y538" s="1390"/>
      <c r="Z538" s="1390"/>
      <c r="AA538" s="1390"/>
      <c r="AB538" s="1390"/>
      <c r="AC538" s="1390"/>
      <c r="AD538" s="1390"/>
      <c r="AE538" s="1390"/>
      <c r="AF538" s="1390"/>
      <c r="AG538" s="1390"/>
      <c r="AH538" s="1390"/>
      <c r="AI538" s="1390"/>
      <c r="AJ538" s="1390"/>
      <c r="AK538" s="1390"/>
    </row>
    <row r="539" spans="3:37" ht="17.25" customHeight="1" x14ac:dyDescent="0.35">
      <c r="C539" s="1390"/>
      <c r="D539" s="1390"/>
      <c r="E539" s="1390"/>
      <c r="F539" s="1390"/>
      <c r="G539" s="1390"/>
      <c r="H539" s="1390"/>
      <c r="I539" s="1390"/>
      <c r="J539" s="1390"/>
      <c r="K539" s="1390"/>
      <c r="L539" s="1390"/>
      <c r="M539" s="1390"/>
      <c r="N539" s="1390"/>
      <c r="O539" s="1390"/>
      <c r="P539" s="1390"/>
      <c r="Q539" s="1390"/>
      <c r="R539" s="1390"/>
      <c r="S539" s="1390"/>
      <c r="T539" s="1390"/>
      <c r="U539" s="1390"/>
      <c r="V539" s="1390"/>
      <c r="W539" s="1390"/>
      <c r="X539" s="1390"/>
      <c r="Y539" s="1390"/>
      <c r="Z539" s="1390"/>
      <c r="AA539" s="1390"/>
      <c r="AB539" s="1390"/>
      <c r="AC539" s="1390"/>
      <c r="AD539" s="1390"/>
      <c r="AE539" s="1390"/>
      <c r="AF539" s="1390"/>
      <c r="AG539" s="1390"/>
      <c r="AH539" s="1390"/>
      <c r="AI539" s="1390"/>
      <c r="AJ539" s="1390"/>
      <c r="AK539" s="1390"/>
    </row>
    <row r="540" spans="3:37" ht="17.25" customHeight="1" x14ac:dyDescent="0.35">
      <c r="C540" s="1390"/>
      <c r="D540" s="1390"/>
      <c r="E540" s="1390"/>
      <c r="F540" s="1390"/>
      <c r="G540" s="1390"/>
      <c r="H540" s="1390"/>
      <c r="I540" s="1390"/>
      <c r="J540" s="1390"/>
      <c r="K540" s="1390"/>
      <c r="L540" s="1390"/>
      <c r="M540" s="1390"/>
      <c r="N540" s="1390"/>
      <c r="O540" s="1390"/>
      <c r="P540" s="1390"/>
      <c r="Q540" s="1390"/>
      <c r="R540" s="1390"/>
      <c r="S540" s="1390"/>
      <c r="T540" s="1390"/>
      <c r="U540" s="1390"/>
      <c r="V540" s="1390"/>
      <c r="W540" s="1390"/>
      <c r="X540" s="1390"/>
      <c r="Y540" s="1390"/>
      <c r="Z540" s="1390"/>
      <c r="AA540" s="1390"/>
      <c r="AB540" s="1390"/>
      <c r="AC540" s="1390"/>
      <c r="AD540" s="1390"/>
      <c r="AE540" s="1390"/>
      <c r="AF540" s="1390"/>
      <c r="AG540" s="1390"/>
      <c r="AH540" s="1390"/>
      <c r="AI540" s="1390"/>
      <c r="AJ540" s="1390"/>
      <c r="AK540" s="1390"/>
    </row>
    <row r="541" spans="3:37" ht="17.25" customHeight="1" x14ac:dyDescent="0.35">
      <c r="C541" s="1390"/>
      <c r="D541" s="1390"/>
      <c r="E541" s="1390"/>
      <c r="F541" s="1390"/>
      <c r="G541" s="1390"/>
      <c r="H541" s="1390"/>
      <c r="I541" s="1390"/>
      <c r="J541" s="1390"/>
      <c r="K541" s="1390"/>
      <c r="L541" s="1390"/>
      <c r="M541" s="1390"/>
      <c r="N541" s="1390"/>
      <c r="O541" s="1390"/>
      <c r="P541" s="1390"/>
      <c r="Q541" s="1390"/>
      <c r="R541" s="1390"/>
      <c r="S541" s="1390"/>
      <c r="T541" s="1390"/>
      <c r="U541" s="1390"/>
      <c r="V541" s="1390"/>
      <c r="W541" s="1390"/>
      <c r="X541" s="1390"/>
      <c r="Y541" s="1390"/>
      <c r="Z541" s="1390"/>
      <c r="AA541" s="1390"/>
      <c r="AB541" s="1390"/>
      <c r="AC541" s="1390"/>
      <c r="AD541" s="1390"/>
      <c r="AE541" s="1390"/>
      <c r="AF541" s="1390"/>
      <c r="AG541" s="1390"/>
      <c r="AH541" s="1390"/>
      <c r="AI541" s="1390"/>
      <c r="AJ541" s="1390"/>
      <c r="AK541" s="1390"/>
    </row>
    <row r="542" spans="3:37" ht="17.25" customHeight="1" x14ac:dyDescent="0.35">
      <c r="C542" s="1390"/>
      <c r="D542" s="1390"/>
      <c r="E542" s="1390"/>
      <c r="F542" s="1390"/>
      <c r="G542" s="1390"/>
      <c r="H542" s="1390"/>
      <c r="I542" s="1390"/>
      <c r="J542" s="1390"/>
      <c r="K542" s="1390"/>
      <c r="L542" s="1390"/>
      <c r="M542" s="1390"/>
      <c r="N542" s="1390"/>
      <c r="O542" s="1390"/>
      <c r="P542" s="1390"/>
      <c r="Q542" s="1390"/>
      <c r="R542" s="1390"/>
      <c r="S542" s="1390"/>
      <c r="T542" s="1390"/>
      <c r="U542" s="1390"/>
      <c r="V542" s="1390"/>
      <c r="W542" s="1390"/>
      <c r="X542" s="1390"/>
      <c r="Y542" s="1390"/>
      <c r="Z542" s="1390"/>
      <c r="AA542" s="1390"/>
      <c r="AB542" s="1390"/>
      <c r="AC542" s="1390"/>
      <c r="AD542" s="1390"/>
      <c r="AE542" s="1390"/>
      <c r="AF542" s="1390"/>
      <c r="AG542" s="1390"/>
      <c r="AH542" s="1390"/>
      <c r="AI542" s="1390"/>
      <c r="AJ542" s="1390"/>
      <c r="AK542" s="1390"/>
    </row>
    <row r="543" spans="3:37" ht="17.25" customHeight="1" x14ac:dyDescent="0.35">
      <c r="C543" s="1390"/>
      <c r="D543" s="1390"/>
      <c r="E543" s="1390"/>
      <c r="F543" s="1390"/>
      <c r="G543" s="1390"/>
      <c r="H543" s="1390"/>
      <c r="I543" s="1390"/>
      <c r="J543" s="1390"/>
      <c r="K543" s="1390"/>
      <c r="L543" s="1390"/>
      <c r="M543" s="1390"/>
      <c r="N543" s="1390"/>
      <c r="O543" s="1390"/>
      <c r="P543" s="1390"/>
      <c r="Q543" s="1390"/>
      <c r="R543" s="1390"/>
      <c r="S543" s="1390"/>
      <c r="T543" s="1390"/>
      <c r="U543" s="1390"/>
      <c r="V543" s="1390"/>
      <c r="W543" s="1390"/>
      <c r="X543" s="1390"/>
      <c r="Y543" s="1390"/>
      <c r="Z543" s="1390"/>
      <c r="AA543" s="1390"/>
      <c r="AB543" s="1390"/>
      <c r="AC543" s="1390"/>
      <c r="AD543" s="1390"/>
      <c r="AE543" s="1390"/>
      <c r="AF543" s="1390"/>
      <c r="AG543" s="1390"/>
      <c r="AH543" s="1390"/>
      <c r="AI543" s="1390"/>
      <c r="AJ543" s="1390"/>
      <c r="AK543" s="1390"/>
    </row>
    <row r="544" spans="3:37" ht="17.25" customHeight="1" x14ac:dyDescent="0.35">
      <c r="C544" s="1390"/>
      <c r="D544" s="1390"/>
      <c r="E544" s="1390"/>
      <c r="F544" s="1390"/>
      <c r="G544" s="1390"/>
      <c r="H544" s="1390"/>
      <c r="I544" s="1390"/>
      <c r="J544" s="1390"/>
      <c r="K544" s="1390"/>
      <c r="L544" s="1390"/>
      <c r="M544" s="1390"/>
      <c r="N544" s="1390"/>
      <c r="O544" s="1390"/>
      <c r="P544" s="1390"/>
      <c r="Q544" s="1390"/>
      <c r="R544" s="1390"/>
      <c r="S544" s="1390"/>
      <c r="T544" s="1390"/>
      <c r="U544" s="1390"/>
      <c r="V544" s="1390"/>
      <c r="W544" s="1390"/>
      <c r="X544" s="1390"/>
      <c r="Y544" s="1390"/>
      <c r="Z544" s="1390"/>
      <c r="AA544" s="1390"/>
      <c r="AB544" s="1390"/>
      <c r="AC544" s="1390"/>
      <c r="AD544" s="1390"/>
      <c r="AE544" s="1390"/>
      <c r="AF544" s="1390"/>
      <c r="AG544" s="1390"/>
      <c r="AH544" s="1390"/>
      <c r="AI544" s="1390"/>
      <c r="AJ544" s="1390"/>
      <c r="AK544" s="1390"/>
    </row>
    <row r="545" spans="3:37" ht="17.25" customHeight="1" x14ac:dyDescent="0.35">
      <c r="C545" s="1390"/>
      <c r="D545" s="1390"/>
      <c r="E545" s="1390"/>
      <c r="F545" s="1390"/>
      <c r="G545" s="1390"/>
      <c r="H545" s="1390"/>
      <c r="I545" s="1390"/>
      <c r="J545" s="1390"/>
      <c r="K545" s="1390"/>
      <c r="L545" s="1390"/>
      <c r="M545" s="1390"/>
      <c r="N545" s="1390"/>
      <c r="O545" s="1390"/>
      <c r="P545" s="1390"/>
      <c r="Q545" s="1390"/>
      <c r="R545" s="1390"/>
      <c r="S545" s="1390"/>
      <c r="T545" s="1390"/>
      <c r="U545" s="1390"/>
      <c r="V545" s="1390"/>
      <c r="W545" s="1390"/>
      <c r="X545" s="1390"/>
      <c r="Y545" s="1390"/>
      <c r="Z545" s="1390"/>
      <c r="AA545" s="1390"/>
      <c r="AB545" s="1390"/>
      <c r="AC545" s="1390"/>
      <c r="AD545" s="1390"/>
      <c r="AE545" s="1390"/>
      <c r="AF545" s="1390"/>
      <c r="AG545" s="1390"/>
      <c r="AH545" s="1390"/>
      <c r="AI545" s="1390"/>
      <c r="AJ545" s="1390"/>
      <c r="AK545" s="1390"/>
    </row>
    <row r="546" spans="3:37" ht="17.25" customHeight="1" x14ac:dyDescent="0.35">
      <c r="C546" s="1390"/>
      <c r="D546" s="1390"/>
      <c r="E546" s="1390"/>
      <c r="F546" s="1390"/>
      <c r="G546" s="1390"/>
      <c r="H546" s="1390"/>
      <c r="I546" s="1390"/>
      <c r="J546" s="1390"/>
      <c r="K546" s="1390"/>
      <c r="L546" s="1390"/>
      <c r="M546" s="1390"/>
      <c r="N546" s="1390"/>
      <c r="O546" s="1390"/>
      <c r="P546" s="1390"/>
      <c r="Q546" s="1390"/>
      <c r="R546" s="1390"/>
      <c r="S546" s="1390"/>
      <c r="T546" s="1390"/>
      <c r="U546" s="1390"/>
      <c r="V546" s="1390"/>
      <c r="W546" s="1390"/>
      <c r="X546" s="1390"/>
      <c r="Y546" s="1390"/>
      <c r="Z546" s="1390"/>
      <c r="AA546" s="1390"/>
      <c r="AB546" s="1390"/>
      <c r="AC546" s="1390"/>
      <c r="AD546" s="1390"/>
      <c r="AE546" s="1390"/>
      <c r="AF546" s="1390"/>
      <c r="AG546" s="1390"/>
      <c r="AH546" s="1390"/>
      <c r="AI546" s="1390"/>
      <c r="AJ546" s="1390"/>
      <c r="AK546" s="1390"/>
    </row>
    <row r="547" spans="3:37" ht="17.25" customHeight="1" x14ac:dyDescent="0.35">
      <c r="C547" s="1390"/>
      <c r="D547" s="1390"/>
      <c r="E547" s="1390"/>
      <c r="F547" s="1390"/>
      <c r="G547" s="1390"/>
      <c r="H547" s="1390"/>
      <c r="I547" s="1390"/>
      <c r="J547" s="1390"/>
      <c r="K547" s="1390"/>
      <c r="L547" s="1390"/>
      <c r="M547" s="1390"/>
      <c r="N547" s="1390"/>
      <c r="O547" s="1390"/>
      <c r="P547" s="1390"/>
      <c r="Q547" s="1390"/>
      <c r="R547" s="1390"/>
      <c r="S547" s="1390"/>
      <c r="T547" s="1390"/>
      <c r="U547" s="1390"/>
      <c r="V547" s="1390"/>
      <c r="W547" s="1390"/>
      <c r="X547" s="1390"/>
      <c r="Y547" s="1390"/>
      <c r="Z547" s="1390"/>
      <c r="AA547" s="1390"/>
      <c r="AB547" s="1390"/>
      <c r="AC547" s="1390"/>
      <c r="AD547" s="1390"/>
      <c r="AE547" s="1390"/>
      <c r="AF547" s="1390"/>
      <c r="AG547" s="1390"/>
      <c r="AH547" s="1390"/>
      <c r="AI547" s="1390"/>
      <c r="AJ547" s="1390"/>
      <c r="AK547" s="1390"/>
    </row>
    <row r="548" spans="3:37" ht="17.25" customHeight="1" x14ac:dyDescent="0.35">
      <c r="C548" s="1390"/>
      <c r="D548" s="1390"/>
      <c r="E548" s="1390"/>
      <c r="F548" s="1390"/>
      <c r="G548" s="1390"/>
      <c r="H548" s="1390"/>
      <c r="I548" s="1390"/>
      <c r="J548" s="1390"/>
      <c r="K548" s="1390"/>
      <c r="L548" s="1390"/>
      <c r="M548" s="1390"/>
      <c r="N548" s="1390"/>
      <c r="O548" s="1390"/>
      <c r="P548" s="1390"/>
      <c r="Q548" s="1390"/>
      <c r="R548" s="1390"/>
      <c r="S548" s="1390"/>
      <c r="T548" s="1390"/>
      <c r="U548" s="1390"/>
      <c r="V548" s="1390"/>
      <c r="W548" s="1390"/>
      <c r="X548" s="1390"/>
      <c r="Y548" s="1390"/>
      <c r="Z548" s="1390"/>
      <c r="AA548" s="1390"/>
      <c r="AB548" s="1390"/>
      <c r="AC548" s="1390"/>
      <c r="AD548" s="1390"/>
      <c r="AE548" s="1390"/>
      <c r="AF548" s="1390"/>
      <c r="AG548" s="1390"/>
      <c r="AH548" s="1390"/>
      <c r="AI548" s="1390"/>
      <c r="AJ548" s="1390"/>
      <c r="AK548" s="1390"/>
    </row>
    <row r="549" spans="3:37" ht="17.25" customHeight="1" x14ac:dyDescent="0.35">
      <c r="C549" s="1390"/>
      <c r="D549" s="1390"/>
      <c r="E549" s="1390"/>
      <c r="F549" s="1390"/>
      <c r="G549" s="1390"/>
      <c r="H549" s="1390"/>
      <c r="I549" s="1390"/>
      <c r="J549" s="1390"/>
      <c r="K549" s="1390"/>
      <c r="L549" s="1390"/>
      <c r="M549" s="1390"/>
      <c r="N549" s="1390"/>
      <c r="O549" s="1390"/>
      <c r="P549" s="1390"/>
      <c r="Q549" s="1390"/>
      <c r="R549" s="1390"/>
      <c r="S549" s="1390"/>
      <c r="T549" s="1390"/>
      <c r="U549" s="1390"/>
      <c r="V549" s="1390"/>
      <c r="W549" s="1390"/>
      <c r="X549" s="1390"/>
      <c r="Y549" s="1390"/>
      <c r="Z549" s="1390"/>
      <c r="AA549" s="1390"/>
      <c r="AB549" s="1390"/>
      <c r="AC549" s="1390"/>
      <c r="AD549" s="1390"/>
      <c r="AE549" s="1390"/>
      <c r="AF549" s="1390"/>
      <c r="AG549" s="1390"/>
      <c r="AH549" s="1390"/>
      <c r="AI549" s="1390"/>
      <c r="AJ549" s="1390"/>
      <c r="AK549" s="1390"/>
    </row>
    <row r="550" spans="3:37" ht="17.25" customHeight="1" x14ac:dyDescent="0.35">
      <c r="C550" s="1390"/>
      <c r="D550" s="1390"/>
      <c r="E550" s="1390"/>
      <c r="F550" s="1390"/>
      <c r="G550" s="1390"/>
      <c r="H550" s="1390"/>
      <c r="I550" s="1390"/>
      <c r="J550" s="1390"/>
      <c r="K550" s="1390"/>
      <c r="L550" s="1390"/>
      <c r="M550" s="1390"/>
      <c r="N550" s="1390"/>
      <c r="O550" s="1390"/>
      <c r="P550" s="1390"/>
      <c r="Q550" s="1390"/>
      <c r="R550" s="1390"/>
      <c r="S550" s="1390"/>
      <c r="T550" s="1390"/>
      <c r="U550" s="1390"/>
      <c r="V550" s="1390"/>
      <c r="W550" s="1390"/>
      <c r="X550" s="1390"/>
      <c r="Y550" s="1390"/>
      <c r="Z550" s="1390"/>
      <c r="AA550" s="1390"/>
      <c r="AB550" s="1390"/>
      <c r="AC550" s="1390"/>
      <c r="AD550" s="1390"/>
      <c r="AE550" s="1390"/>
      <c r="AF550" s="1390"/>
      <c r="AG550" s="1390"/>
      <c r="AH550" s="1390"/>
      <c r="AI550" s="1390"/>
      <c r="AJ550" s="1390"/>
      <c r="AK550" s="1390"/>
    </row>
    <row r="551" spans="3:37" ht="17.25" customHeight="1" x14ac:dyDescent="0.35">
      <c r="C551" s="1390"/>
      <c r="D551" s="1390"/>
      <c r="E551" s="1390"/>
      <c r="F551" s="1390"/>
      <c r="G551" s="1390"/>
      <c r="H551" s="1390"/>
      <c r="I551" s="1390"/>
      <c r="J551" s="1390"/>
      <c r="K551" s="1390"/>
      <c r="L551" s="1390"/>
      <c r="M551" s="1390"/>
      <c r="N551" s="1390"/>
      <c r="O551" s="1390"/>
      <c r="P551" s="1390"/>
      <c r="Q551" s="1390"/>
      <c r="R551" s="1390"/>
      <c r="S551" s="1390"/>
      <c r="T551" s="1390"/>
      <c r="U551" s="1390"/>
      <c r="V551" s="1390"/>
      <c r="W551" s="1390"/>
      <c r="X551" s="1390"/>
      <c r="Y551" s="1390"/>
      <c r="Z551" s="1390"/>
      <c r="AA551" s="1390"/>
      <c r="AB551" s="1390"/>
      <c r="AC551" s="1390"/>
      <c r="AD551" s="1390"/>
      <c r="AE551" s="1390"/>
      <c r="AF551" s="1390"/>
      <c r="AG551" s="1390"/>
      <c r="AH551" s="1390"/>
      <c r="AI551" s="1390"/>
      <c r="AJ551" s="1390"/>
      <c r="AK551" s="1390"/>
    </row>
    <row r="552" spans="3:37" ht="17.25" customHeight="1" x14ac:dyDescent="0.35">
      <c r="C552" s="1390"/>
      <c r="D552" s="1390"/>
      <c r="E552" s="1390"/>
      <c r="F552" s="1390"/>
      <c r="G552" s="1390"/>
      <c r="H552" s="1390"/>
      <c r="I552" s="1390"/>
      <c r="J552" s="1390"/>
      <c r="K552" s="1390"/>
      <c r="L552" s="1390"/>
      <c r="M552" s="1390"/>
      <c r="N552" s="1390"/>
      <c r="O552" s="1390"/>
      <c r="P552" s="1390"/>
      <c r="Q552" s="1390"/>
      <c r="R552" s="1390"/>
      <c r="S552" s="1390"/>
      <c r="T552" s="1390"/>
      <c r="U552" s="1390"/>
      <c r="V552" s="1390"/>
      <c r="W552" s="1390"/>
      <c r="X552" s="1390"/>
      <c r="Y552" s="1390"/>
      <c r="Z552" s="1390"/>
      <c r="AA552" s="1390"/>
      <c r="AB552" s="1390"/>
      <c r="AC552" s="1390"/>
      <c r="AD552" s="1390"/>
      <c r="AE552" s="1390"/>
      <c r="AF552" s="1390"/>
      <c r="AG552" s="1390"/>
      <c r="AH552" s="1390"/>
      <c r="AI552" s="1390"/>
      <c r="AJ552" s="1390"/>
      <c r="AK552" s="1390"/>
    </row>
    <row r="553" spans="3:37" ht="17.25" customHeight="1" x14ac:dyDescent="0.35">
      <c r="C553" s="1390"/>
      <c r="D553" s="1390"/>
      <c r="E553" s="1390"/>
      <c r="F553" s="1390"/>
      <c r="G553" s="1390"/>
      <c r="H553" s="1390"/>
      <c r="I553" s="1390"/>
      <c r="J553" s="1390"/>
      <c r="K553" s="1390"/>
      <c r="L553" s="1390"/>
      <c r="M553" s="1390"/>
      <c r="N553" s="1390"/>
      <c r="O553" s="1390"/>
      <c r="P553" s="1390"/>
      <c r="Q553" s="1390"/>
      <c r="R553" s="1390"/>
      <c r="S553" s="1390"/>
      <c r="T553" s="1390"/>
      <c r="U553" s="1390"/>
      <c r="V553" s="1390"/>
      <c r="W553" s="1390"/>
      <c r="X553" s="1390"/>
      <c r="Y553" s="1390"/>
      <c r="Z553" s="1390"/>
      <c r="AA553" s="1390"/>
      <c r="AB553" s="1390"/>
      <c r="AC553" s="1390"/>
      <c r="AD553" s="1390"/>
      <c r="AE553" s="1390"/>
      <c r="AF553" s="1390"/>
      <c r="AG553" s="1390"/>
      <c r="AH553" s="1390"/>
      <c r="AI553" s="1390"/>
      <c r="AJ553" s="1390"/>
      <c r="AK553" s="1390"/>
    </row>
    <row r="554" spans="3:37" ht="17.25" customHeight="1" x14ac:dyDescent="0.35">
      <c r="C554" s="1390"/>
      <c r="D554" s="1390"/>
      <c r="E554" s="1390"/>
      <c r="F554" s="1390"/>
      <c r="G554" s="1390"/>
      <c r="H554" s="1390"/>
      <c r="I554" s="1390"/>
      <c r="J554" s="1390"/>
      <c r="K554" s="1390"/>
      <c r="L554" s="1390"/>
      <c r="M554" s="1390"/>
      <c r="N554" s="1390"/>
      <c r="O554" s="1390"/>
      <c r="P554" s="1390"/>
      <c r="Q554" s="1390"/>
      <c r="R554" s="1390"/>
      <c r="S554" s="1390"/>
      <c r="T554" s="1390"/>
      <c r="U554" s="1390"/>
      <c r="V554" s="1390"/>
      <c r="W554" s="1390"/>
      <c r="X554" s="1390"/>
      <c r="Y554" s="1390"/>
      <c r="Z554" s="1390"/>
      <c r="AA554" s="1390"/>
      <c r="AB554" s="1390"/>
      <c r="AC554" s="1390"/>
      <c r="AD554" s="1390"/>
      <c r="AE554" s="1390"/>
      <c r="AF554" s="1390"/>
      <c r="AG554" s="1390"/>
      <c r="AH554" s="1390"/>
      <c r="AI554" s="1390"/>
      <c r="AJ554" s="1390"/>
      <c r="AK554" s="1390"/>
    </row>
    <row r="555" spans="3:37" ht="17.25" customHeight="1" x14ac:dyDescent="0.35">
      <c r="C555" s="1390"/>
      <c r="D555" s="1390"/>
      <c r="E555" s="1390"/>
      <c r="F555" s="1390"/>
      <c r="G555" s="1390"/>
      <c r="H555" s="1390"/>
      <c r="I555" s="1390"/>
      <c r="J555" s="1390"/>
      <c r="K555" s="1390"/>
      <c r="L555" s="1390"/>
      <c r="M555" s="1390"/>
      <c r="N555" s="1390"/>
      <c r="O555" s="1390"/>
      <c r="P555" s="1390"/>
      <c r="Q555" s="1390"/>
      <c r="R555" s="1390"/>
      <c r="S555" s="1390"/>
      <c r="T555" s="1390"/>
      <c r="U555" s="1390"/>
      <c r="V555" s="1390"/>
      <c r="W555" s="1390"/>
      <c r="X555" s="1390"/>
      <c r="Y555" s="1390"/>
      <c r="Z555" s="1390"/>
      <c r="AA555" s="1390"/>
      <c r="AB555" s="1390"/>
      <c r="AC555" s="1390"/>
      <c r="AD555" s="1390"/>
      <c r="AE555" s="1390"/>
      <c r="AF555" s="1390"/>
      <c r="AG555" s="1390"/>
      <c r="AH555" s="1390"/>
      <c r="AI555" s="1390"/>
      <c r="AJ555" s="1390"/>
      <c r="AK555" s="1390"/>
    </row>
    <row r="556" spans="3:37" ht="17.25" customHeight="1" x14ac:dyDescent="0.35">
      <c r="C556" s="1390"/>
      <c r="D556" s="1390"/>
      <c r="E556" s="1390"/>
      <c r="F556" s="1390"/>
      <c r="G556" s="1390"/>
      <c r="H556" s="1390"/>
      <c r="I556" s="1390"/>
      <c r="J556" s="1390"/>
      <c r="K556" s="1390"/>
      <c r="L556" s="1390"/>
      <c r="M556" s="1390"/>
      <c r="N556" s="1390"/>
      <c r="O556" s="1390"/>
      <c r="P556" s="1390"/>
      <c r="Q556" s="1390"/>
      <c r="R556" s="1390"/>
      <c r="S556" s="1390"/>
      <c r="T556" s="1390"/>
      <c r="U556" s="1390"/>
      <c r="V556" s="1390"/>
      <c r="W556" s="1390"/>
      <c r="X556" s="1390"/>
      <c r="Y556" s="1390"/>
      <c r="Z556" s="1390"/>
      <c r="AA556" s="1390"/>
      <c r="AB556" s="1390"/>
      <c r="AC556" s="1390"/>
      <c r="AD556" s="1390"/>
      <c r="AE556" s="1390"/>
      <c r="AF556" s="1390"/>
      <c r="AG556" s="1390"/>
      <c r="AH556" s="1390"/>
      <c r="AI556" s="1390"/>
      <c r="AJ556" s="1390"/>
      <c r="AK556" s="1390"/>
    </row>
    <row r="557" spans="3:37" ht="17.25" customHeight="1" x14ac:dyDescent="0.35">
      <c r="C557" s="1390"/>
      <c r="D557" s="1390"/>
      <c r="E557" s="1390"/>
      <c r="F557" s="1390"/>
      <c r="G557" s="1390"/>
      <c r="H557" s="1390"/>
      <c r="I557" s="1390"/>
      <c r="J557" s="1390"/>
      <c r="K557" s="1390"/>
      <c r="L557" s="1390"/>
      <c r="M557" s="1390"/>
      <c r="N557" s="1390"/>
      <c r="O557" s="1390"/>
      <c r="P557" s="1390"/>
      <c r="Q557" s="1390"/>
      <c r="R557" s="1390"/>
      <c r="S557" s="1390"/>
      <c r="T557" s="1390"/>
      <c r="U557" s="1390"/>
      <c r="V557" s="1390"/>
      <c r="W557" s="1390"/>
      <c r="X557" s="1390"/>
      <c r="Y557" s="1390"/>
      <c r="Z557" s="1390"/>
      <c r="AA557" s="1390"/>
      <c r="AB557" s="1390"/>
      <c r="AC557" s="1390"/>
      <c r="AD557" s="1390"/>
      <c r="AE557" s="1390"/>
      <c r="AF557" s="1390"/>
      <c r="AG557" s="1390"/>
      <c r="AH557" s="1390"/>
      <c r="AI557" s="1390"/>
      <c r="AJ557" s="1390"/>
      <c r="AK557" s="1390"/>
    </row>
    <row r="558" spans="3:37" ht="17.25" customHeight="1" x14ac:dyDescent="0.35">
      <c r="C558" s="1390"/>
      <c r="D558" s="1390"/>
      <c r="E558" s="1390"/>
      <c r="F558" s="1390"/>
      <c r="G558" s="1390"/>
      <c r="H558" s="1390"/>
      <c r="I558" s="1390"/>
      <c r="J558" s="1390"/>
      <c r="K558" s="1390"/>
      <c r="L558" s="1390"/>
      <c r="M558" s="1390"/>
      <c r="N558" s="1390"/>
      <c r="O558" s="1390"/>
      <c r="P558" s="1390"/>
      <c r="Q558" s="1390"/>
      <c r="R558" s="1390"/>
      <c r="S558" s="1390"/>
      <c r="T558" s="1390"/>
      <c r="U558" s="1390"/>
      <c r="V558" s="1390"/>
      <c r="W558" s="1390"/>
      <c r="X558" s="1390"/>
      <c r="Y558" s="1390"/>
      <c r="Z558" s="1390"/>
      <c r="AA558" s="1390"/>
      <c r="AB558" s="1390"/>
      <c r="AC558" s="1390"/>
      <c r="AD558" s="1390"/>
      <c r="AE558" s="1390"/>
      <c r="AF558" s="1390"/>
      <c r="AG558" s="1390"/>
      <c r="AH558" s="1390"/>
      <c r="AI558" s="1390"/>
      <c r="AJ558" s="1390"/>
      <c r="AK558" s="1390"/>
    </row>
    <row r="559" spans="3:37" ht="17.25" customHeight="1" x14ac:dyDescent="0.35">
      <c r="C559" s="1390"/>
      <c r="D559" s="1390"/>
      <c r="E559" s="1390"/>
      <c r="F559" s="1390"/>
      <c r="G559" s="1390"/>
      <c r="H559" s="1390"/>
      <c r="I559" s="1390"/>
      <c r="J559" s="1390"/>
      <c r="K559" s="1390"/>
      <c r="L559" s="1390"/>
      <c r="M559" s="1390"/>
      <c r="N559" s="1390"/>
      <c r="O559" s="1390"/>
      <c r="P559" s="1390"/>
      <c r="Q559" s="1390"/>
      <c r="R559" s="1390"/>
      <c r="S559" s="1390"/>
      <c r="T559" s="1390"/>
      <c r="U559" s="1390"/>
      <c r="V559" s="1390"/>
      <c r="W559" s="1390"/>
      <c r="X559" s="1390"/>
      <c r="Y559" s="1390"/>
      <c r="Z559" s="1390"/>
      <c r="AA559" s="1390"/>
      <c r="AB559" s="1390"/>
      <c r="AC559" s="1390"/>
      <c r="AD559" s="1390"/>
      <c r="AE559" s="1390"/>
      <c r="AF559" s="1390"/>
      <c r="AG559" s="1390"/>
      <c r="AH559" s="1390"/>
      <c r="AI559" s="1390"/>
      <c r="AJ559" s="1390"/>
      <c r="AK559" s="1390"/>
    </row>
    <row r="560" spans="3:37" ht="17.25" customHeight="1" x14ac:dyDescent="0.35">
      <c r="C560" s="1390"/>
      <c r="D560" s="1390"/>
      <c r="E560" s="1390"/>
      <c r="F560" s="1390"/>
      <c r="G560" s="1390"/>
      <c r="H560" s="1390"/>
      <c r="I560" s="1390"/>
      <c r="J560" s="1390"/>
      <c r="K560" s="1390"/>
      <c r="L560" s="1390"/>
      <c r="M560" s="1390"/>
      <c r="N560" s="1390"/>
      <c r="O560" s="1390"/>
      <c r="P560" s="1390"/>
      <c r="Q560" s="1390"/>
      <c r="R560" s="1390"/>
      <c r="S560" s="1390"/>
      <c r="T560" s="1390"/>
      <c r="U560" s="1390"/>
      <c r="V560" s="1390"/>
      <c r="W560" s="1390"/>
      <c r="X560" s="1390"/>
      <c r="Y560" s="1390"/>
      <c r="Z560" s="1390"/>
      <c r="AA560" s="1390"/>
      <c r="AB560" s="1390"/>
      <c r="AC560" s="1390"/>
      <c r="AD560" s="1390"/>
      <c r="AE560" s="1390"/>
      <c r="AF560" s="1390"/>
      <c r="AG560" s="1390"/>
      <c r="AH560" s="1390"/>
      <c r="AI560" s="1390"/>
      <c r="AJ560" s="1390"/>
      <c r="AK560" s="1390"/>
    </row>
    <row r="561" spans="3:37" ht="17.25" customHeight="1" x14ac:dyDescent="0.35">
      <c r="C561" s="1390"/>
      <c r="D561" s="1390"/>
      <c r="E561" s="1390"/>
      <c r="F561" s="1390"/>
      <c r="G561" s="1390"/>
      <c r="H561" s="1390"/>
      <c r="I561" s="1390"/>
      <c r="J561" s="1390"/>
      <c r="K561" s="1390"/>
      <c r="L561" s="1390"/>
      <c r="M561" s="1390"/>
      <c r="N561" s="1390"/>
      <c r="O561" s="1390"/>
      <c r="P561" s="1390"/>
      <c r="Q561" s="1390"/>
      <c r="R561" s="1390"/>
      <c r="S561" s="1390"/>
      <c r="T561" s="1390"/>
      <c r="U561" s="1390"/>
      <c r="V561" s="1390"/>
      <c r="W561" s="1390"/>
      <c r="X561" s="1390"/>
      <c r="Y561" s="1390"/>
      <c r="Z561" s="1390"/>
      <c r="AA561" s="1390"/>
      <c r="AB561" s="1390"/>
      <c r="AC561" s="1390"/>
      <c r="AD561" s="1390"/>
      <c r="AE561" s="1390"/>
      <c r="AF561" s="1390"/>
      <c r="AG561" s="1390"/>
      <c r="AH561" s="1390"/>
      <c r="AI561" s="1390"/>
      <c r="AJ561" s="1390"/>
      <c r="AK561" s="1390"/>
    </row>
    <row r="562" spans="3:37" ht="17.25" customHeight="1" x14ac:dyDescent="0.35">
      <c r="C562" s="1390"/>
      <c r="D562" s="1390"/>
      <c r="E562" s="1390"/>
      <c r="F562" s="1390"/>
      <c r="G562" s="1390"/>
      <c r="H562" s="1390"/>
      <c r="I562" s="1390"/>
      <c r="J562" s="1390"/>
      <c r="K562" s="1390"/>
      <c r="L562" s="1390"/>
      <c r="M562" s="1390"/>
      <c r="N562" s="1390"/>
      <c r="O562" s="1390"/>
      <c r="P562" s="1390"/>
      <c r="Q562" s="1390"/>
      <c r="R562" s="1390"/>
      <c r="S562" s="1390"/>
      <c r="T562" s="1390"/>
      <c r="U562" s="1390"/>
      <c r="V562" s="1390"/>
      <c r="W562" s="1390"/>
      <c r="X562" s="1390"/>
      <c r="Y562" s="1390"/>
      <c r="Z562" s="1390"/>
      <c r="AA562" s="1390"/>
      <c r="AB562" s="1390"/>
      <c r="AC562" s="1390"/>
      <c r="AD562" s="1390"/>
      <c r="AE562" s="1390"/>
      <c r="AF562" s="1390"/>
      <c r="AG562" s="1390"/>
      <c r="AH562" s="1390"/>
      <c r="AI562" s="1390"/>
      <c r="AJ562" s="1390"/>
      <c r="AK562" s="1390"/>
    </row>
    <row r="563" spans="3:37" ht="17.25" customHeight="1" x14ac:dyDescent="0.35">
      <c r="C563" s="1390"/>
      <c r="D563" s="1390"/>
      <c r="E563" s="1390"/>
      <c r="F563" s="1390"/>
      <c r="G563" s="1390"/>
      <c r="H563" s="1390"/>
      <c r="I563" s="1390"/>
      <c r="J563" s="1390"/>
      <c r="K563" s="1390"/>
      <c r="L563" s="1390"/>
      <c r="M563" s="1390"/>
      <c r="N563" s="1390"/>
      <c r="O563" s="1390"/>
      <c r="P563" s="1390"/>
      <c r="Q563" s="1390"/>
      <c r="R563" s="1390"/>
      <c r="S563" s="1390"/>
      <c r="T563" s="1390"/>
      <c r="U563" s="1390"/>
      <c r="V563" s="1390"/>
      <c r="W563" s="1390"/>
      <c r="X563" s="1390"/>
      <c r="Y563" s="1390"/>
      <c r="Z563" s="1390"/>
      <c r="AA563" s="1390"/>
      <c r="AB563" s="1390"/>
      <c r="AC563" s="1390"/>
      <c r="AD563" s="1390"/>
      <c r="AE563" s="1390"/>
      <c r="AF563" s="1390"/>
      <c r="AG563" s="1390"/>
      <c r="AH563" s="1390"/>
      <c r="AI563" s="1390"/>
      <c r="AJ563" s="1390"/>
      <c r="AK563" s="1390"/>
    </row>
    <row r="564" spans="3:37" ht="17.25" customHeight="1" x14ac:dyDescent="0.35">
      <c r="C564" s="1390"/>
      <c r="D564" s="1390"/>
      <c r="E564" s="1390"/>
      <c r="F564" s="1390"/>
      <c r="G564" s="1390"/>
      <c r="H564" s="1390"/>
      <c r="I564" s="1390"/>
      <c r="J564" s="1390"/>
      <c r="K564" s="1390"/>
      <c r="L564" s="1390"/>
      <c r="M564" s="1390"/>
      <c r="N564" s="1390"/>
      <c r="O564" s="1390"/>
      <c r="P564" s="1390"/>
      <c r="Q564" s="1390"/>
      <c r="R564" s="1390"/>
      <c r="S564" s="1390"/>
      <c r="T564" s="1390"/>
      <c r="U564" s="1390"/>
      <c r="V564" s="1390"/>
      <c r="W564" s="1390"/>
      <c r="X564" s="1390"/>
      <c r="Y564" s="1390"/>
      <c r="Z564" s="1390"/>
      <c r="AA564" s="1390"/>
      <c r="AB564" s="1390"/>
      <c r="AC564" s="1390"/>
      <c r="AD564" s="1390"/>
      <c r="AE564" s="1390"/>
      <c r="AF564" s="1390"/>
      <c r="AG564" s="1390"/>
      <c r="AH564" s="1390"/>
      <c r="AI564" s="1390"/>
      <c r="AJ564" s="1390"/>
      <c r="AK564" s="1390"/>
    </row>
    <row r="565" spans="3:37" ht="17.25" customHeight="1" x14ac:dyDescent="0.35">
      <c r="C565" s="1390"/>
      <c r="D565" s="1390"/>
      <c r="E565" s="1390"/>
      <c r="F565" s="1390"/>
      <c r="G565" s="1390"/>
      <c r="H565" s="1390"/>
      <c r="I565" s="1390"/>
      <c r="J565" s="1390"/>
      <c r="K565" s="1390"/>
      <c r="L565" s="1390"/>
      <c r="M565" s="1390"/>
      <c r="N565" s="1390"/>
      <c r="O565" s="1390"/>
      <c r="P565" s="1390"/>
      <c r="Q565" s="1390"/>
      <c r="R565" s="1390"/>
      <c r="S565" s="1390"/>
      <c r="T565" s="1390"/>
      <c r="U565" s="1390"/>
      <c r="V565" s="1390"/>
      <c r="W565" s="1390"/>
      <c r="X565" s="1390"/>
      <c r="Y565" s="1390"/>
      <c r="Z565" s="1390"/>
      <c r="AA565" s="1390"/>
      <c r="AB565" s="1390"/>
      <c r="AC565" s="1390"/>
      <c r="AD565" s="1390"/>
      <c r="AE565" s="1390"/>
      <c r="AF565" s="1390"/>
      <c r="AG565" s="1390"/>
      <c r="AH565" s="1390"/>
      <c r="AI565" s="1390"/>
      <c r="AJ565" s="1390"/>
      <c r="AK565" s="1390"/>
    </row>
    <row r="566" spans="3:37" ht="17.25" customHeight="1" x14ac:dyDescent="0.35">
      <c r="C566" s="1390"/>
      <c r="D566" s="1390"/>
      <c r="E566" s="1390"/>
      <c r="F566" s="1390"/>
      <c r="G566" s="1390"/>
      <c r="H566" s="1390"/>
      <c r="I566" s="1390"/>
      <c r="J566" s="1390"/>
      <c r="K566" s="1390"/>
      <c r="L566" s="1390"/>
      <c r="M566" s="1390"/>
      <c r="N566" s="1390"/>
      <c r="O566" s="1390"/>
      <c r="P566" s="1390"/>
      <c r="Q566" s="1390"/>
      <c r="R566" s="1390"/>
      <c r="S566" s="1390"/>
      <c r="T566" s="1390"/>
      <c r="U566" s="1390"/>
      <c r="V566" s="1390"/>
      <c r="W566" s="1390"/>
      <c r="X566" s="1390"/>
      <c r="Y566" s="1390"/>
      <c r="Z566" s="1390"/>
      <c r="AA566" s="1390"/>
      <c r="AB566" s="1390"/>
      <c r="AC566" s="1390"/>
      <c r="AD566" s="1390"/>
      <c r="AE566" s="1390"/>
      <c r="AF566" s="1390"/>
      <c r="AG566" s="1390"/>
      <c r="AH566" s="1390"/>
      <c r="AI566" s="1390"/>
      <c r="AJ566" s="1390"/>
      <c r="AK566" s="1390"/>
    </row>
    <row r="567" spans="3:37" ht="17.25" customHeight="1" x14ac:dyDescent="0.35">
      <c r="C567" s="1390"/>
      <c r="D567" s="1390"/>
      <c r="E567" s="1390"/>
      <c r="F567" s="1390"/>
      <c r="G567" s="1390"/>
      <c r="H567" s="1390"/>
      <c r="I567" s="1390"/>
      <c r="J567" s="1390"/>
      <c r="K567" s="1390"/>
      <c r="L567" s="1390"/>
      <c r="M567" s="1390"/>
      <c r="N567" s="1390"/>
      <c r="O567" s="1390"/>
      <c r="P567" s="1390"/>
      <c r="Q567" s="1390"/>
      <c r="R567" s="1390"/>
      <c r="S567" s="1390"/>
      <c r="T567" s="1390"/>
      <c r="U567" s="1390"/>
      <c r="V567" s="1390"/>
      <c r="W567" s="1390"/>
      <c r="X567" s="1390"/>
      <c r="Y567" s="1390"/>
      <c r="Z567" s="1390"/>
      <c r="AA567" s="1390"/>
      <c r="AB567" s="1390"/>
      <c r="AC567" s="1390"/>
      <c r="AD567" s="1390"/>
      <c r="AE567" s="1390"/>
      <c r="AF567" s="1390"/>
      <c r="AG567" s="1390"/>
      <c r="AH567" s="1390"/>
      <c r="AI567" s="1390"/>
      <c r="AJ567" s="1390"/>
      <c r="AK567" s="1390"/>
    </row>
    <row r="568" spans="3:37" ht="17.25" customHeight="1" x14ac:dyDescent="0.35">
      <c r="C568" s="1390"/>
      <c r="D568" s="1390"/>
      <c r="E568" s="1390"/>
      <c r="F568" s="1390"/>
      <c r="G568" s="1390"/>
      <c r="H568" s="1390"/>
      <c r="I568" s="1390"/>
      <c r="J568" s="1390"/>
      <c r="K568" s="1390"/>
      <c r="L568" s="1390"/>
      <c r="M568" s="1390"/>
      <c r="N568" s="1390"/>
      <c r="O568" s="1390"/>
      <c r="P568" s="1390"/>
      <c r="Q568" s="1390"/>
      <c r="R568" s="1390"/>
      <c r="S568" s="1390"/>
      <c r="T568" s="1390"/>
      <c r="U568" s="1390"/>
      <c r="V568" s="1390"/>
      <c r="W568" s="1390"/>
      <c r="X568" s="1390"/>
      <c r="Y568" s="1390"/>
      <c r="Z568" s="1390"/>
      <c r="AA568" s="1390"/>
      <c r="AB568" s="1390"/>
      <c r="AC568" s="1390"/>
      <c r="AD568" s="1390"/>
      <c r="AE568" s="1390"/>
      <c r="AF568" s="1390"/>
      <c r="AG568" s="1390"/>
      <c r="AH568" s="1390"/>
      <c r="AI568" s="1390"/>
      <c r="AJ568" s="1390"/>
      <c r="AK568" s="1390"/>
    </row>
    <row r="569" spans="3:37" ht="17.25" customHeight="1" x14ac:dyDescent="0.35">
      <c r="C569" s="1390"/>
      <c r="D569" s="1390"/>
      <c r="E569" s="1390"/>
      <c r="F569" s="1390"/>
      <c r="G569" s="1390"/>
      <c r="H569" s="1390"/>
      <c r="I569" s="1390"/>
      <c r="J569" s="1390"/>
      <c r="K569" s="1390"/>
      <c r="L569" s="1390"/>
      <c r="M569" s="1390"/>
      <c r="N569" s="1390"/>
      <c r="O569" s="1390"/>
      <c r="P569" s="1390"/>
      <c r="Q569" s="1390"/>
      <c r="R569" s="1390"/>
      <c r="S569" s="1390"/>
      <c r="T569" s="1390"/>
      <c r="U569" s="1390"/>
      <c r="V569" s="1390"/>
      <c r="W569" s="1390"/>
      <c r="X569" s="1390"/>
      <c r="Y569" s="1390"/>
      <c r="Z569" s="1390"/>
      <c r="AA569" s="1390"/>
      <c r="AB569" s="1390"/>
      <c r="AC569" s="1390"/>
      <c r="AD569" s="1390"/>
      <c r="AE569" s="1390"/>
      <c r="AF569" s="1390"/>
      <c r="AG569" s="1390"/>
      <c r="AH569" s="1390"/>
      <c r="AI569" s="1390"/>
      <c r="AJ569" s="1390"/>
      <c r="AK569" s="1390"/>
    </row>
    <row r="570" spans="3:37" ht="17.25" customHeight="1" x14ac:dyDescent="0.35">
      <c r="C570" s="1390"/>
      <c r="D570" s="1390"/>
      <c r="E570" s="1390"/>
      <c r="F570" s="1390"/>
      <c r="G570" s="1390"/>
      <c r="H570" s="1390"/>
      <c r="I570" s="1390"/>
      <c r="J570" s="1390"/>
      <c r="K570" s="1390"/>
      <c r="L570" s="1390"/>
      <c r="M570" s="1390"/>
      <c r="N570" s="1390"/>
      <c r="O570" s="1390"/>
      <c r="P570" s="1390"/>
      <c r="Q570" s="1390"/>
      <c r="R570" s="1390"/>
      <c r="S570" s="1390"/>
      <c r="T570" s="1390"/>
      <c r="U570" s="1390"/>
      <c r="V570" s="1390"/>
      <c r="W570" s="1390"/>
      <c r="X570" s="1390"/>
      <c r="Y570" s="1390"/>
      <c r="Z570" s="1390"/>
      <c r="AA570" s="1390"/>
      <c r="AB570" s="1390"/>
      <c r="AC570" s="1390"/>
      <c r="AD570" s="1390"/>
      <c r="AE570" s="1390"/>
      <c r="AF570" s="1390"/>
      <c r="AG570" s="1390"/>
      <c r="AH570" s="1390"/>
      <c r="AI570" s="1390"/>
      <c r="AJ570" s="1390"/>
      <c r="AK570" s="1390"/>
    </row>
    <row r="571" spans="3:37" ht="17.25" customHeight="1" x14ac:dyDescent="0.35">
      <c r="C571" s="1390"/>
      <c r="D571" s="1390"/>
      <c r="E571" s="1390"/>
      <c r="F571" s="1390"/>
      <c r="G571" s="1390"/>
      <c r="H571" s="1390"/>
      <c r="I571" s="1390"/>
      <c r="J571" s="1390"/>
      <c r="K571" s="1390"/>
      <c r="L571" s="1390"/>
      <c r="M571" s="1390"/>
      <c r="N571" s="1390"/>
      <c r="O571" s="1390"/>
      <c r="P571" s="1390"/>
      <c r="Q571" s="1390"/>
      <c r="R571" s="1390"/>
      <c r="S571" s="1390"/>
      <c r="T571" s="1390"/>
      <c r="U571" s="1390"/>
      <c r="V571" s="1390"/>
      <c r="W571" s="1390"/>
      <c r="X571" s="1390"/>
      <c r="Y571" s="1390"/>
      <c r="Z571" s="1390"/>
      <c r="AA571" s="1390"/>
      <c r="AB571" s="1390"/>
      <c r="AC571" s="1390"/>
      <c r="AD571" s="1390"/>
      <c r="AE571" s="1390"/>
      <c r="AF571" s="1390"/>
      <c r="AG571" s="1390"/>
      <c r="AH571" s="1390"/>
      <c r="AI571" s="1390"/>
      <c r="AJ571" s="1390"/>
      <c r="AK571" s="1390"/>
    </row>
    <row r="572" spans="3:37" ht="17.25" customHeight="1" x14ac:dyDescent="0.35">
      <c r="C572" s="1390"/>
      <c r="D572" s="1390"/>
      <c r="E572" s="1390"/>
      <c r="F572" s="1390"/>
      <c r="G572" s="1390"/>
      <c r="H572" s="1390"/>
      <c r="I572" s="1390"/>
      <c r="J572" s="1390"/>
      <c r="K572" s="1390"/>
      <c r="L572" s="1390"/>
      <c r="M572" s="1390"/>
      <c r="N572" s="1390"/>
      <c r="O572" s="1390"/>
      <c r="P572" s="1390"/>
      <c r="Q572" s="1390"/>
      <c r="R572" s="1390"/>
      <c r="S572" s="1390"/>
      <c r="T572" s="1390"/>
      <c r="U572" s="1390"/>
      <c r="V572" s="1390"/>
      <c r="W572" s="1390"/>
      <c r="X572" s="1390"/>
      <c r="Y572" s="1390"/>
      <c r="Z572" s="1390"/>
      <c r="AA572" s="1390"/>
      <c r="AB572" s="1390"/>
      <c r="AC572" s="1390"/>
      <c r="AD572" s="1390"/>
      <c r="AE572" s="1390"/>
      <c r="AF572" s="1390"/>
      <c r="AG572" s="1390"/>
      <c r="AH572" s="1390"/>
      <c r="AI572" s="1390"/>
      <c r="AJ572" s="1390"/>
      <c r="AK572" s="1390"/>
    </row>
    <row r="573" spans="3:37" ht="17.25" customHeight="1" x14ac:dyDescent="0.35">
      <c r="C573" s="1390"/>
      <c r="D573" s="1390"/>
      <c r="E573" s="1390"/>
      <c r="F573" s="1390"/>
      <c r="G573" s="1390"/>
      <c r="H573" s="1390"/>
      <c r="I573" s="1390"/>
      <c r="J573" s="1390"/>
      <c r="K573" s="1390"/>
      <c r="L573" s="1390"/>
      <c r="M573" s="1390"/>
      <c r="N573" s="1390"/>
      <c r="O573" s="1390"/>
      <c r="P573" s="1390"/>
      <c r="Q573" s="1390"/>
      <c r="R573" s="1390"/>
      <c r="S573" s="1390"/>
      <c r="T573" s="1390"/>
      <c r="U573" s="1390"/>
      <c r="V573" s="1390"/>
      <c r="W573" s="1390"/>
      <c r="X573" s="1390"/>
      <c r="Y573" s="1390"/>
      <c r="Z573" s="1390"/>
      <c r="AA573" s="1390"/>
      <c r="AB573" s="1390"/>
      <c r="AC573" s="1390"/>
      <c r="AD573" s="1390"/>
      <c r="AE573" s="1390"/>
      <c r="AF573" s="1390"/>
      <c r="AG573" s="1390"/>
      <c r="AH573" s="1390"/>
      <c r="AI573" s="1390"/>
      <c r="AJ573" s="1390"/>
      <c r="AK573" s="1390"/>
    </row>
    <row r="574" spans="3:37" ht="17.25" customHeight="1" x14ac:dyDescent="0.35">
      <c r="C574" s="1390"/>
      <c r="D574" s="1390"/>
      <c r="E574" s="1390"/>
      <c r="F574" s="1390"/>
      <c r="G574" s="1390"/>
      <c r="H574" s="1390"/>
      <c r="I574" s="1390"/>
      <c r="J574" s="1390"/>
      <c r="K574" s="1390"/>
      <c r="L574" s="1390"/>
      <c r="M574" s="1390"/>
      <c r="N574" s="1390"/>
      <c r="O574" s="1390"/>
      <c r="P574" s="1390"/>
      <c r="Q574" s="1390"/>
      <c r="R574" s="1390"/>
      <c r="S574" s="1390"/>
      <c r="T574" s="1390"/>
      <c r="U574" s="1390"/>
      <c r="V574" s="1390"/>
      <c r="W574" s="1390"/>
      <c r="X574" s="1390"/>
      <c r="Y574" s="1390"/>
      <c r="Z574" s="1390"/>
      <c r="AA574" s="1390"/>
      <c r="AB574" s="1390"/>
      <c r="AC574" s="1390"/>
      <c r="AD574" s="1390"/>
      <c r="AE574" s="1390"/>
      <c r="AF574" s="1390"/>
      <c r="AG574" s="1390"/>
      <c r="AH574" s="1390"/>
      <c r="AI574" s="1390"/>
      <c r="AJ574" s="1390"/>
      <c r="AK574" s="1390"/>
    </row>
    <row r="575" spans="3:37" ht="17.25" customHeight="1" x14ac:dyDescent="0.35">
      <c r="C575" s="1390"/>
      <c r="D575" s="1390"/>
      <c r="E575" s="1390"/>
      <c r="F575" s="1390"/>
      <c r="G575" s="1390"/>
      <c r="H575" s="1390"/>
      <c r="I575" s="1390"/>
      <c r="J575" s="1390"/>
      <c r="K575" s="1390"/>
      <c r="L575" s="1390"/>
      <c r="M575" s="1390"/>
      <c r="N575" s="1390"/>
      <c r="O575" s="1390"/>
      <c r="P575" s="1390"/>
      <c r="Q575" s="1390"/>
      <c r="R575" s="1390"/>
      <c r="S575" s="1390"/>
      <c r="T575" s="1390"/>
      <c r="U575" s="1390"/>
      <c r="V575" s="1390"/>
      <c r="W575" s="1390"/>
      <c r="X575" s="1390"/>
      <c r="Y575" s="1390"/>
      <c r="Z575" s="1390"/>
      <c r="AA575" s="1390"/>
      <c r="AB575" s="1390"/>
      <c r="AC575" s="1390"/>
      <c r="AD575" s="1390"/>
      <c r="AE575" s="1390"/>
      <c r="AF575" s="1390"/>
      <c r="AG575" s="1390"/>
      <c r="AH575" s="1390"/>
      <c r="AI575" s="1390"/>
      <c r="AJ575" s="1390"/>
      <c r="AK575" s="1390"/>
    </row>
    <row r="576" spans="3:37" ht="17.25" customHeight="1" x14ac:dyDescent="0.35">
      <c r="C576" s="1390"/>
      <c r="D576" s="1390"/>
      <c r="E576" s="1390"/>
      <c r="F576" s="1390"/>
      <c r="G576" s="1390"/>
      <c r="H576" s="1390"/>
      <c r="I576" s="1390"/>
      <c r="J576" s="1390"/>
      <c r="K576" s="1390"/>
      <c r="L576" s="1390"/>
      <c r="M576" s="1390"/>
      <c r="N576" s="1390"/>
      <c r="O576" s="1390"/>
      <c r="P576" s="1390"/>
      <c r="Q576" s="1390"/>
      <c r="R576" s="1390"/>
      <c r="S576" s="1390"/>
      <c r="T576" s="1390"/>
      <c r="U576" s="1390"/>
      <c r="V576" s="1390"/>
      <c r="W576" s="1390"/>
      <c r="X576" s="1390"/>
      <c r="Y576" s="1390"/>
      <c r="Z576" s="1390"/>
      <c r="AA576" s="1390"/>
      <c r="AB576" s="1390"/>
      <c r="AC576" s="1390"/>
      <c r="AD576" s="1390"/>
      <c r="AE576" s="1390"/>
      <c r="AF576" s="1390"/>
      <c r="AG576" s="1390"/>
      <c r="AH576" s="1390"/>
      <c r="AI576" s="1390"/>
      <c r="AJ576" s="1390"/>
      <c r="AK576" s="1390"/>
    </row>
    <row r="577" spans="3:37" ht="17.25" customHeight="1" x14ac:dyDescent="0.35">
      <c r="C577" s="1390"/>
      <c r="D577" s="1390"/>
      <c r="E577" s="1390"/>
      <c r="F577" s="1390"/>
      <c r="G577" s="1390"/>
      <c r="H577" s="1390"/>
      <c r="I577" s="1390"/>
      <c r="J577" s="1390"/>
      <c r="K577" s="1390"/>
      <c r="L577" s="1390"/>
      <c r="M577" s="1390"/>
      <c r="N577" s="1390"/>
      <c r="O577" s="1390"/>
      <c r="P577" s="1390"/>
      <c r="Q577" s="1390"/>
      <c r="R577" s="1390"/>
      <c r="S577" s="1390"/>
      <c r="T577" s="1390"/>
      <c r="U577" s="1390"/>
      <c r="V577" s="1390"/>
      <c r="W577" s="1390"/>
      <c r="X577" s="1390"/>
      <c r="Y577" s="1390"/>
      <c r="Z577" s="1390"/>
      <c r="AA577" s="1390"/>
      <c r="AB577" s="1390"/>
      <c r="AC577" s="1390"/>
      <c r="AD577" s="1390"/>
      <c r="AE577" s="1390"/>
      <c r="AF577" s="1390"/>
      <c r="AG577" s="1390"/>
      <c r="AH577" s="1390"/>
      <c r="AI577" s="1390"/>
      <c r="AJ577" s="1390"/>
      <c r="AK577" s="1390"/>
    </row>
    <row r="578" spans="3:37" ht="17.25" customHeight="1" x14ac:dyDescent="0.35">
      <c r="C578" s="1390"/>
      <c r="D578" s="1390"/>
      <c r="E578" s="1390"/>
      <c r="F578" s="1390"/>
      <c r="G578" s="1390"/>
      <c r="H578" s="1390"/>
      <c r="I578" s="1390"/>
      <c r="J578" s="1390"/>
      <c r="K578" s="1390"/>
      <c r="L578" s="1390"/>
      <c r="M578" s="1390"/>
      <c r="N578" s="1390"/>
      <c r="O578" s="1390"/>
      <c r="P578" s="1390"/>
      <c r="Q578" s="1390"/>
      <c r="R578" s="1390"/>
      <c r="S578" s="1390"/>
      <c r="T578" s="1390"/>
      <c r="U578" s="1390"/>
      <c r="V578" s="1390"/>
      <c r="W578" s="1390"/>
      <c r="X578" s="1390"/>
      <c r="Y578" s="1390"/>
      <c r="Z578" s="1390"/>
      <c r="AA578" s="1390"/>
      <c r="AB578" s="1390"/>
      <c r="AC578" s="1390"/>
      <c r="AD578" s="1390"/>
      <c r="AE578" s="1390"/>
      <c r="AF578" s="1390"/>
      <c r="AG578" s="1390"/>
      <c r="AH578" s="1390"/>
      <c r="AI578" s="1390"/>
      <c r="AJ578" s="1390"/>
      <c r="AK578" s="1390"/>
    </row>
    <row r="579" spans="3:37" ht="17.25" customHeight="1" x14ac:dyDescent="0.35">
      <c r="C579" s="1390"/>
      <c r="D579" s="1390"/>
      <c r="E579" s="1390"/>
      <c r="F579" s="1390"/>
      <c r="G579" s="1390"/>
      <c r="H579" s="1390"/>
      <c r="I579" s="1390"/>
      <c r="J579" s="1390"/>
      <c r="K579" s="1390"/>
      <c r="L579" s="1390"/>
      <c r="M579" s="1390"/>
      <c r="N579" s="1390"/>
      <c r="O579" s="1390"/>
      <c r="P579" s="1390"/>
      <c r="Q579" s="1390"/>
      <c r="R579" s="1390"/>
      <c r="S579" s="1390"/>
      <c r="T579" s="1390"/>
      <c r="U579" s="1390"/>
      <c r="V579" s="1390"/>
      <c r="W579" s="1390"/>
      <c r="X579" s="1390"/>
      <c r="Y579" s="1390"/>
      <c r="Z579" s="1390"/>
      <c r="AA579" s="1390"/>
      <c r="AB579" s="1390"/>
      <c r="AC579" s="1390"/>
      <c r="AD579" s="1390"/>
      <c r="AE579" s="1390"/>
      <c r="AF579" s="1390"/>
      <c r="AG579" s="1390"/>
      <c r="AH579" s="1390"/>
      <c r="AI579" s="1390"/>
      <c r="AJ579" s="1390"/>
      <c r="AK579" s="1390"/>
    </row>
    <row r="580" spans="3:37" ht="17.25" customHeight="1" x14ac:dyDescent="0.35">
      <c r="C580" s="1390"/>
      <c r="D580" s="1390"/>
      <c r="E580" s="1390"/>
      <c r="F580" s="1390"/>
      <c r="G580" s="1390"/>
      <c r="H580" s="1390"/>
      <c r="I580" s="1390"/>
      <c r="J580" s="1390"/>
      <c r="K580" s="1390"/>
      <c r="L580" s="1390"/>
      <c r="M580" s="1390"/>
      <c r="N580" s="1390"/>
      <c r="O580" s="1390"/>
      <c r="P580" s="1390"/>
      <c r="Q580" s="1390"/>
      <c r="R580" s="1390"/>
      <c r="S580" s="1390"/>
      <c r="T580" s="1390"/>
      <c r="U580" s="1390"/>
      <c r="V580" s="1390"/>
      <c r="W580" s="1390"/>
      <c r="X580" s="1390"/>
      <c r="Y580" s="1390"/>
      <c r="Z580" s="1390"/>
      <c r="AA580" s="1390"/>
      <c r="AB580" s="1390"/>
      <c r="AC580" s="1390"/>
      <c r="AD580" s="1390"/>
      <c r="AE580" s="1390"/>
      <c r="AF580" s="1390"/>
      <c r="AG580" s="1390"/>
      <c r="AH580" s="1390"/>
      <c r="AI580" s="1390"/>
      <c r="AJ580" s="1390"/>
      <c r="AK580" s="1390"/>
    </row>
    <row r="581" spans="3:37" ht="17.25" customHeight="1" x14ac:dyDescent="0.35">
      <c r="C581" s="1390"/>
      <c r="D581" s="1390"/>
      <c r="E581" s="1390"/>
      <c r="F581" s="1390"/>
      <c r="G581" s="1390"/>
      <c r="H581" s="1390"/>
      <c r="I581" s="1390"/>
      <c r="J581" s="1390"/>
      <c r="K581" s="1390"/>
      <c r="L581" s="1390"/>
      <c r="M581" s="1390"/>
      <c r="N581" s="1390"/>
      <c r="O581" s="1390"/>
      <c r="P581" s="1390"/>
      <c r="Q581" s="1390"/>
      <c r="R581" s="1390"/>
      <c r="S581" s="1390"/>
      <c r="T581" s="1390"/>
      <c r="U581" s="1390"/>
      <c r="V581" s="1390"/>
      <c r="W581" s="1390"/>
      <c r="X581" s="1390"/>
      <c r="Y581" s="1390"/>
      <c r="Z581" s="1390"/>
      <c r="AA581" s="1390"/>
      <c r="AB581" s="1390"/>
      <c r="AC581" s="1390"/>
      <c r="AD581" s="1390"/>
      <c r="AE581" s="1390"/>
      <c r="AF581" s="1390"/>
      <c r="AG581" s="1390"/>
      <c r="AH581" s="1390"/>
      <c r="AI581" s="1390"/>
      <c r="AJ581" s="1390"/>
      <c r="AK581" s="1390"/>
    </row>
    <row r="582" spans="3:37" ht="17.25" customHeight="1" x14ac:dyDescent="0.35">
      <c r="C582" s="1390"/>
      <c r="D582" s="1390"/>
      <c r="E582" s="1390"/>
      <c r="F582" s="1390"/>
      <c r="G582" s="1390"/>
      <c r="H582" s="1390"/>
      <c r="I582" s="1390"/>
      <c r="J582" s="1390"/>
      <c r="K582" s="1390"/>
      <c r="L582" s="1390"/>
      <c r="M582" s="1390"/>
      <c r="N582" s="1390"/>
      <c r="O582" s="1390"/>
      <c r="P582" s="1390"/>
      <c r="Q582" s="1390"/>
      <c r="R582" s="1390"/>
      <c r="S582" s="1390"/>
      <c r="T582" s="1390"/>
      <c r="U582" s="1390"/>
      <c r="V582" s="1390"/>
      <c r="W582" s="1390"/>
      <c r="X582" s="1390"/>
      <c r="Y582" s="1390"/>
      <c r="Z582" s="1390"/>
      <c r="AA582" s="1390"/>
      <c r="AB582" s="1390"/>
      <c r="AC582" s="1390"/>
      <c r="AD582" s="1390"/>
      <c r="AE582" s="1390"/>
      <c r="AF582" s="1390"/>
      <c r="AG582" s="1390"/>
      <c r="AH582" s="1390"/>
      <c r="AI582" s="1390"/>
      <c r="AJ582" s="1390"/>
      <c r="AK582" s="1390"/>
    </row>
    <row r="583" spans="3:37" ht="17.25" customHeight="1" x14ac:dyDescent="0.35">
      <c r="C583" s="1390"/>
      <c r="D583" s="1390"/>
      <c r="E583" s="1390"/>
      <c r="F583" s="1390"/>
      <c r="G583" s="1390"/>
      <c r="H583" s="1390"/>
      <c r="I583" s="1390"/>
      <c r="J583" s="1390"/>
      <c r="K583" s="1390"/>
      <c r="L583" s="1390"/>
      <c r="M583" s="1390"/>
      <c r="N583" s="1390"/>
      <c r="O583" s="1390"/>
      <c r="P583" s="1390"/>
      <c r="Q583" s="1390"/>
      <c r="R583" s="1390"/>
      <c r="S583" s="1390"/>
      <c r="T583" s="1390"/>
      <c r="U583" s="1390"/>
      <c r="V583" s="1390"/>
      <c r="W583" s="1390"/>
      <c r="X583" s="1390"/>
      <c r="Y583" s="1390"/>
      <c r="Z583" s="1390"/>
      <c r="AA583" s="1390"/>
      <c r="AB583" s="1390"/>
      <c r="AC583" s="1390"/>
      <c r="AD583" s="1390"/>
      <c r="AE583" s="1390"/>
      <c r="AF583" s="1390"/>
      <c r="AG583" s="1390"/>
      <c r="AH583" s="1390"/>
      <c r="AI583" s="1390"/>
      <c r="AJ583" s="1390"/>
      <c r="AK583" s="1390"/>
    </row>
    <row r="584" spans="3:37" ht="17.25" customHeight="1" x14ac:dyDescent="0.35">
      <c r="C584" s="1390"/>
      <c r="D584" s="1390"/>
      <c r="E584" s="1390"/>
      <c r="F584" s="1390"/>
      <c r="G584" s="1390"/>
      <c r="H584" s="1390"/>
      <c r="I584" s="1390"/>
      <c r="J584" s="1390"/>
      <c r="K584" s="1390"/>
      <c r="L584" s="1390"/>
      <c r="M584" s="1390"/>
      <c r="N584" s="1390"/>
      <c r="O584" s="1390"/>
      <c r="P584" s="1390"/>
      <c r="Q584" s="1390"/>
      <c r="R584" s="1390"/>
      <c r="S584" s="1390"/>
      <c r="T584" s="1390"/>
      <c r="U584" s="1390"/>
      <c r="V584" s="1390"/>
      <c r="W584" s="1390"/>
      <c r="X584" s="1390"/>
      <c r="Y584" s="1390"/>
      <c r="Z584" s="1390"/>
      <c r="AA584" s="1390"/>
      <c r="AB584" s="1390"/>
      <c r="AC584" s="1390"/>
      <c r="AD584" s="1390"/>
      <c r="AE584" s="1390"/>
      <c r="AF584" s="1390"/>
      <c r="AG584" s="1390"/>
      <c r="AH584" s="1390"/>
      <c r="AI584" s="1390"/>
      <c r="AJ584" s="1390"/>
      <c r="AK584" s="1390"/>
    </row>
    <row r="585" spans="3:37" ht="17.25" customHeight="1" x14ac:dyDescent="0.35">
      <c r="C585" s="1390"/>
      <c r="D585" s="1390"/>
      <c r="E585" s="1390"/>
      <c r="F585" s="1390"/>
      <c r="G585" s="1390"/>
      <c r="H585" s="1390"/>
      <c r="I585" s="1390"/>
      <c r="J585" s="1390"/>
      <c r="K585" s="1390"/>
      <c r="L585" s="1390"/>
      <c r="M585" s="1390"/>
      <c r="N585" s="1390"/>
      <c r="O585" s="1390"/>
      <c r="P585" s="1390"/>
      <c r="Q585" s="1390"/>
      <c r="R585" s="1390"/>
      <c r="S585" s="1390"/>
      <c r="T585" s="1390"/>
      <c r="U585" s="1390"/>
      <c r="V585" s="1390"/>
      <c r="W585" s="1390"/>
      <c r="X585" s="1390"/>
      <c r="Y585" s="1390"/>
      <c r="Z585" s="1390"/>
      <c r="AA585" s="1390"/>
      <c r="AB585" s="1390"/>
      <c r="AC585" s="1390"/>
      <c r="AD585" s="1390"/>
      <c r="AE585" s="1390"/>
      <c r="AF585" s="1390"/>
      <c r="AG585" s="1390"/>
      <c r="AH585" s="1390"/>
      <c r="AI585" s="1390"/>
      <c r="AJ585" s="1390"/>
      <c r="AK585" s="1390"/>
    </row>
    <row r="586" spans="3:37" ht="17.25" customHeight="1" x14ac:dyDescent="0.35">
      <c r="C586" s="1390"/>
      <c r="D586" s="1390"/>
      <c r="E586" s="1390"/>
      <c r="F586" s="1390"/>
      <c r="G586" s="1390"/>
      <c r="H586" s="1390"/>
      <c r="I586" s="1390"/>
      <c r="J586" s="1390"/>
      <c r="K586" s="1390"/>
      <c r="L586" s="1390"/>
      <c r="M586" s="1390"/>
      <c r="N586" s="1390"/>
      <c r="O586" s="1390"/>
      <c r="P586" s="1390"/>
      <c r="Q586" s="1390"/>
      <c r="R586" s="1390"/>
      <c r="S586" s="1390"/>
      <c r="T586" s="1390"/>
      <c r="U586" s="1390"/>
      <c r="V586" s="1390"/>
      <c r="W586" s="1390"/>
      <c r="X586" s="1390"/>
      <c r="Y586" s="1390"/>
      <c r="Z586" s="1390"/>
      <c r="AA586" s="1390"/>
      <c r="AB586" s="1390"/>
      <c r="AC586" s="1390"/>
      <c r="AD586" s="1390"/>
      <c r="AE586" s="1390"/>
      <c r="AF586" s="1390"/>
      <c r="AG586" s="1390"/>
      <c r="AH586" s="1390"/>
      <c r="AI586" s="1390"/>
      <c r="AJ586" s="1390"/>
      <c r="AK586" s="1390"/>
    </row>
    <row r="587" spans="3:37" ht="17.25" customHeight="1" x14ac:dyDescent="0.35">
      <c r="C587" s="1390"/>
      <c r="D587" s="1390"/>
      <c r="E587" s="1390"/>
      <c r="F587" s="1390"/>
      <c r="G587" s="1390"/>
      <c r="H587" s="1390"/>
      <c r="I587" s="1390"/>
      <c r="J587" s="1390"/>
      <c r="K587" s="1390"/>
      <c r="L587" s="1390"/>
      <c r="M587" s="1390"/>
      <c r="N587" s="1390"/>
      <c r="O587" s="1390"/>
      <c r="P587" s="1390"/>
      <c r="Q587" s="1390"/>
      <c r="R587" s="1390"/>
      <c r="S587" s="1390"/>
      <c r="T587" s="1390"/>
      <c r="U587" s="1390"/>
      <c r="V587" s="1390"/>
      <c r="W587" s="1390"/>
      <c r="X587" s="1390"/>
      <c r="Y587" s="1390"/>
      <c r="Z587" s="1390"/>
      <c r="AA587" s="1390"/>
      <c r="AB587" s="1390"/>
      <c r="AC587" s="1390"/>
      <c r="AD587" s="1390"/>
      <c r="AE587" s="1390"/>
      <c r="AF587" s="1390"/>
      <c r="AG587" s="1390"/>
      <c r="AH587" s="1390"/>
      <c r="AI587" s="1390"/>
      <c r="AJ587" s="1390"/>
      <c r="AK587" s="1390"/>
    </row>
    <row r="588" spans="3:37" ht="17.25" customHeight="1" x14ac:dyDescent="0.35">
      <c r="C588" s="1390"/>
      <c r="D588" s="1390"/>
      <c r="E588" s="1390"/>
      <c r="F588" s="1390"/>
      <c r="G588" s="1390"/>
      <c r="H588" s="1390"/>
      <c r="I588" s="1390"/>
      <c r="J588" s="1390"/>
      <c r="K588" s="1390"/>
      <c r="L588" s="1390"/>
      <c r="M588" s="1390"/>
      <c r="N588" s="1390"/>
      <c r="O588" s="1390"/>
      <c r="P588" s="1390"/>
      <c r="Q588" s="1390"/>
      <c r="R588" s="1390"/>
      <c r="S588" s="1390"/>
      <c r="T588" s="1390"/>
      <c r="U588" s="1390"/>
      <c r="V588" s="1390"/>
      <c r="W588" s="1390"/>
      <c r="X588" s="1390"/>
      <c r="Y588" s="1390"/>
      <c r="Z588" s="1390"/>
      <c r="AA588" s="1390"/>
      <c r="AB588" s="1390"/>
      <c r="AC588" s="1390"/>
      <c r="AD588" s="1390"/>
      <c r="AE588" s="1390"/>
      <c r="AF588" s="1390"/>
      <c r="AG588" s="1390"/>
      <c r="AH588" s="1390"/>
      <c r="AI588" s="1390"/>
      <c r="AJ588" s="1390"/>
      <c r="AK588" s="1390"/>
    </row>
    <row r="589" spans="3:37" ht="17.25" customHeight="1" x14ac:dyDescent="0.35">
      <c r="C589" s="1390"/>
      <c r="D589" s="1390"/>
      <c r="E589" s="1390"/>
      <c r="F589" s="1390"/>
      <c r="G589" s="1390"/>
      <c r="H589" s="1390"/>
      <c r="I589" s="1390"/>
      <c r="J589" s="1390"/>
      <c r="K589" s="1390"/>
      <c r="L589" s="1390"/>
      <c r="M589" s="1390"/>
      <c r="N589" s="1390"/>
      <c r="O589" s="1390"/>
      <c r="P589" s="1390"/>
      <c r="Q589" s="1390"/>
      <c r="R589" s="1390"/>
      <c r="S589" s="1390"/>
      <c r="T589" s="1390"/>
      <c r="U589" s="1390"/>
      <c r="V589" s="1390"/>
      <c r="W589" s="1390"/>
      <c r="X589" s="1390"/>
      <c r="Y589" s="1390"/>
      <c r="Z589" s="1390"/>
      <c r="AA589" s="1390"/>
      <c r="AB589" s="1390"/>
      <c r="AC589" s="1390"/>
      <c r="AD589" s="1390"/>
      <c r="AE589" s="1390"/>
      <c r="AF589" s="1390"/>
      <c r="AG589" s="1390"/>
      <c r="AH589" s="1390"/>
      <c r="AI589" s="1390"/>
      <c r="AJ589" s="1390"/>
      <c r="AK589" s="1390"/>
    </row>
    <row r="590" spans="3:37" ht="17.25" customHeight="1" x14ac:dyDescent="0.35">
      <c r="C590" s="1390"/>
      <c r="D590" s="1390"/>
      <c r="E590" s="1390"/>
      <c r="F590" s="1390"/>
      <c r="G590" s="1390"/>
      <c r="H590" s="1390"/>
      <c r="I590" s="1390"/>
      <c r="J590" s="1390"/>
      <c r="K590" s="1390"/>
      <c r="L590" s="1390"/>
      <c r="M590" s="1390"/>
      <c r="N590" s="1390"/>
      <c r="O590" s="1390"/>
      <c r="P590" s="1390"/>
      <c r="Q590" s="1390"/>
      <c r="R590" s="1390"/>
      <c r="S590" s="1390"/>
      <c r="T590" s="1390"/>
      <c r="U590" s="1390"/>
      <c r="V590" s="1390"/>
      <c r="W590" s="1390"/>
      <c r="X590" s="1390"/>
      <c r="Y590" s="1390"/>
      <c r="Z590" s="1390"/>
      <c r="AA590" s="1390"/>
      <c r="AB590" s="1390"/>
      <c r="AC590" s="1390"/>
      <c r="AD590" s="1390"/>
      <c r="AE590" s="1390"/>
      <c r="AF590" s="1390"/>
      <c r="AG590" s="1390"/>
      <c r="AH590" s="1390"/>
      <c r="AI590" s="1390"/>
      <c r="AJ590" s="1390"/>
      <c r="AK590" s="1390"/>
    </row>
    <row r="591" spans="3:37" ht="17.25" customHeight="1" x14ac:dyDescent="0.35">
      <c r="C591" s="1390"/>
      <c r="D591" s="1390"/>
      <c r="E591" s="1390"/>
      <c r="F591" s="1390"/>
      <c r="G591" s="1390"/>
      <c r="H591" s="1390"/>
      <c r="I591" s="1390"/>
      <c r="J591" s="1390"/>
      <c r="K591" s="1390"/>
      <c r="L591" s="1390"/>
      <c r="M591" s="1390"/>
      <c r="N591" s="1390"/>
      <c r="O591" s="1390"/>
      <c r="P591" s="1390"/>
      <c r="Q591" s="1390"/>
      <c r="R591" s="1390"/>
      <c r="S591" s="1390"/>
      <c r="T591" s="1390"/>
      <c r="U591" s="1390"/>
      <c r="V591" s="1390"/>
      <c r="W591" s="1390"/>
      <c r="X591" s="1390"/>
      <c r="Y591" s="1390"/>
      <c r="Z591" s="1390"/>
      <c r="AA591" s="1390"/>
      <c r="AB591" s="1390"/>
      <c r="AC591" s="1390"/>
      <c r="AD591" s="1390"/>
      <c r="AE591" s="1390"/>
      <c r="AF591" s="1390"/>
      <c r="AG591" s="1390"/>
      <c r="AH591" s="1390"/>
      <c r="AI591" s="1390"/>
      <c r="AJ591" s="1390"/>
      <c r="AK591" s="1390"/>
    </row>
    <row r="592" spans="3:37" ht="17.25" customHeight="1" x14ac:dyDescent="0.35">
      <c r="C592" s="1390"/>
      <c r="D592" s="1390"/>
      <c r="E592" s="1390"/>
      <c r="F592" s="1390"/>
      <c r="G592" s="1390"/>
      <c r="H592" s="1390"/>
      <c r="I592" s="1390"/>
      <c r="J592" s="1390"/>
      <c r="K592" s="1390"/>
      <c r="L592" s="1390"/>
      <c r="M592" s="1390"/>
      <c r="N592" s="1390"/>
      <c r="O592" s="1390"/>
      <c r="P592" s="1390"/>
      <c r="Q592" s="1390"/>
      <c r="R592" s="1390"/>
      <c r="S592" s="1390"/>
      <c r="T592" s="1390"/>
      <c r="U592" s="1390"/>
      <c r="V592" s="1390"/>
      <c r="W592" s="1390"/>
      <c r="X592" s="1390"/>
      <c r="Y592" s="1390"/>
      <c r="Z592" s="1390"/>
      <c r="AA592" s="1390"/>
      <c r="AB592" s="1390"/>
      <c r="AC592" s="1390"/>
      <c r="AD592" s="1390"/>
      <c r="AE592" s="1390"/>
      <c r="AF592" s="1390"/>
      <c r="AG592" s="1390"/>
      <c r="AH592" s="1390"/>
      <c r="AI592" s="1390"/>
      <c r="AJ592" s="1390"/>
      <c r="AK592" s="1390"/>
    </row>
    <row r="593" spans="3:37" ht="17.25" customHeight="1" x14ac:dyDescent="0.35">
      <c r="C593" s="1390"/>
      <c r="D593" s="1390"/>
      <c r="E593" s="1390"/>
      <c r="F593" s="1390"/>
      <c r="G593" s="1390"/>
      <c r="H593" s="1390"/>
      <c r="I593" s="1390"/>
      <c r="J593" s="1390"/>
      <c r="K593" s="1390"/>
      <c r="L593" s="1390"/>
      <c r="M593" s="1390"/>
      <c r="N593" s="1390"/>
      <c r="O593" s="1390"/>
      <c r="P593" s="1390"/>
      <c r="Q593" s="1390"/>
      <c r="R593" s="1390"/>
      <c r="S593" s="1390"/>
      <c r="T593" s="1390"/>
      <c r="U593" s="1390"/>
      <c r="V593" s="1390"/>
      <c r="W593" s="1390"/>
      <c r="X593" s="1390"/>
      <c r="Y593" s="1390"/>
      <c r="Z593" s="1390"/>
      <c r="AA593" s="1390"/>
      <c r="AB593" s="1390"/>
      <c r="AC593" s="1390"/>
      <c r="AD593" s="1390"/>
      <c r="AE593" s="1390"/>
      <c r="AF593" s="1390"/>
      <c r="AG593" s="1390"/>
      <c r="AH593" s="1390"/>
      <c r="AI593" s="1390"/>
      <c r="AJ593" s="1390"/>
      <c r="AK593" s="1390"/>
    </row>
    <row r="594" spans="3:37" ht="17.25" customHeight="1" x14ac:dyDescent="0.35">
      <c r="C594" s="1390"/>
      <c r="D594" s="1390"/>
      <c r="E594" s="1390"/>
      <c r="F594" s="1390"/>
      <c r="G594" s="1390"/>
      <c r="H594" s="1390"/>
      <c r="I594" s="1390"/>
      <c r="J594" s="1390"/>
      <c r="K594" s="1390"/>
      <c r="L594" s="1390"/>
      <c r="M594" s="1390"/>
      <c r="N594" s="1390"/>
      <c r="O594" s="1390"/>
      <c r="P594" s="1390"/>
      <c r="Q594" s="1390"/>
      <c r="R594" s="1390"/>
      <c r="S594" s="1390"/>
      <c r="T594" s="1390"/>
      <c r="U594" s="1390"/>
      <c r="V594" s="1390"/>
      <c r="W594" s="1390"/>
      <c r="X594" s="1390"/>
      <c r="Y594" s="1390"/>
      <c r="Z594" s="1390"/>
      <c r="AA594" s="1390"/>
      <c r="AB594" s="1390"/>
      <c r="AC594" s="1390"/>
      <c r="AD594" s="1390"/>
      <c r="AE594" s="1390"/>
      <c r="AF594" s="1390"/>
      <c r="AG594" s="1390"/>
      <c r="AH594" s="1390"/>
      <c r="AI594" s="1390"/>
      <c r="AJ594" s="1390"/>
      <c r="AK594" s="1390"/>
    </row>
    <row r="595" spans="3:37" ht="17.25" customHeight="1" x14ac:dyDescent="0.35">
      <c r="C595" s="1390"/>
      <c r="D595" s="1390"/>
      <c r="E595" s="1390"/>
      <c r="F595" s="1390"/>
      <c r="G595" s="1390"/>
      <c r="H595" s="1390"/>
      <c r="I595" s="1390"/>
      <c r="J595" s="1390"/>
      <c r="K595" s="1390"/>
      <c r="L595" s="1390"/>
      <c r="M595" s="1390"/>
      <c r="N595" s="1390"/>
      <c r="O595" s="1390"/>
      <c r="P595" s="1390"/>
      <c r="Q595" s="1390"/>
      <c r="R595" s="1390"/>
      <c r="S595" s="1390"/>
      <c r="T595" s="1390"/>
      <c r="U595" s="1390"/>
      <c r="V595" s="1390"/>
      <c r="W595" s="1390"/>
      <c r="X595" s="1390"/>
      <c r="Y595" s="1390"/>
      <c r="Z595" s="1390"/>
      <c r="AA595" s="1390"/>
      <c r="AB595" s="1390"/>
      <c r="AC595" s="1390"/>
      <c r="AD595" s="1390"/>
      <c r="AE595" s="1390"/>
      <c r="AF595" s="1390"/>
      <c r="AG595" s="1390"/>
      <c r="AH595" s="1390"/>
      <c r="AI595" s="1390"/>
      <c r="AJ595" s="1390"/>
      <c r="AK595" s="1390"/>
    </row>
    <row r="596" spans="3:37" ht="17.25" customHeight="1" x14ac:dyDescent="0.35">
      <c r="C596" s="1390"/>
      <c r="D596" s="1390"/>
      <c r="E596" s="1390"/>
      <c r="F596" s="1390"/>
      <c r="G596" s="1390"/>
      <c r="H596" s="1390"/>
      <c r="I596" s="1390"/>
      <c r="J596" s="1390"/>
      <c r="K596" s="1390"/>
      <c r="L596" s="1390"/>
      <c r="M596" s="1390"/>
      <c r="N596" s="1390"/>
      <c r="O596" s="1390"/>
      <c r="P596" s="1390"/>
      <c r="Q596" s="1390"/>
      <c r="R596" s="1390"/>
      <c r="S596" s="1390"/>
      <c r="T596" s="1390"/>
      <c r="U596" s="1390"/>
      <c r="V596" s="1390"/>
      <c r="W596" s="1390"/>
      <c r="X596" s="1390"/>
      <c r="Y596" s="1390"/>
      <c r="Z596" s="1390"/>
      <c r="AA596" s="1390"/>
      <c r="AB596" s="1390"/>
      <c r="AC596" s="1390"/>
      <c r="AD596" s="1390"/>
      <c r="AE596" s="1390"/>
      <c r="AF596" s="1390"/>
      <c r="AG596" s="1390"/>
      <c r="AH596" s="1390"/>
      <c r="AI596" s="1390"/>
      <c r="AJ596" s="1390"/>
      <c r="AK596" s="1390"/>
    </row>
    <row r="597" spans="3:37" ht="17.25" customHeight="1" x14ac:dyDescent="0.35">
      <c r="C597" s="1390"/>
      <c r="D597" s="1390"/>
      <c r="E597" s="1390"/>
      <c r="F597" s="1390"/>
      <c r="G597" s="1390"/>
      <c r="H597" s="1390"/>
      <c r="I597" s="1390"/>
      <c r="J597" s="1390"/>
      <c r="K597" s="1390"/>
      <c r="L597" s="1390"/>
      <c r="M597" s="1390"/>
      <c r="N597" s="1390"/>
      <c r="O597" s="1390"/>
      <c r="P597" s="1390"/>
      <c r="Q597" s="1390"/>
      <c r="R597" s="1390"/>
      <c r="S597" s="1390"/>
      <c r="T597" s="1390"/>
      <c r="U597" s="1390"/>
      <c r="V597" s="1390"/>
      <c r="W597" s="1390"/>
      <c r="X597" s="1390"/>
      <c r="Y597" s="1390"/>
      <c r="Z597" s="1390"/>
      <c r="AA597" s="1390"/>
      <c r="AB597" s="1390"/>
      <c r="AC597" s="1390"/>
      <c r="AD597" s="1390"/>
      <c r="AE597" s="1390"/>
      <c r="AF597" s="1390"/>
      <c r="AG597" s="1390"/>
      <c r="AH597" s="1390"/>
      <c r="AI597" s="1390"/>
      <c r="AJ597" s="1390"/>
      <c r="AK597" s="1390"/>
    </row>
    <row r="598" spans="3:37" ht="17.25" customHeight="1" x14ac:dyDescent="0.35">
      <c r="C598" s="1390"/>
      <c r="D598" s="1390"/>
      <c r="E598" s="1390"/>
      <c r="F598" s="1390"/>
      <c r="G598" s="1390"/>
      <c r="H598" s="1390"/>
      <c r="I598" s="1390"/>
      <c r="J598" s="1390"/>
      <c r="K598" s="1390"/>
      <c r="L598" s="1390"/>
      <c r="M598" s="1390"/>
      <c r="N598" s="1390"/>
      <c r="O598" s="1390"/>
      <c r="P598" s="1390"/>
      <c r="Q598" s="1390"/>
      <c r="R598" s="1390"/>
      <c r="S598" s="1390"/>
      <c r="T598" s="1390"/>
      <c r="U598" s="1390"/>
      <c r="V598" s="1390"/>
      <c r="W598" s="1390"/>
      <c r="X598" s="1390"/>
      <c r="Y598" s="1390"/>
      <c r="Z598" s="1390"/>
      <c r="AA598" s="1390"/>
      <c r="AB598" s="1390"/>
      <c r="AC598" s="1390"/>
      <c r="AD598" s="1390"/>
      <c r="AE598" s="1390"/>
      <c r="AF598" s="1390"/>
      <c r="AG598" s="1390"/>
      <c r="AH598" s="1390"/>
      <c r="AI598" s="1390"/>
      <c r="AJ598" s="1390"/>
      <c r="AK598" s="1390"/>
    </row>
    <row r="599" spans="3:37" ht="17.25" customHeight="1" x14ac:dyDescent="0.35">
      <c r="C599" s="1390"/>
      <c r="D599" s="1390"/>
      <c r="E599" s="1390"/>
      <c r="F599" s="1390"/>
      <c r="G599" s="1390"/>
      <c r="H599" s="1390"/>
      <c r="I599" s="1390"/>
      <c r="J599" s="1390"/>
      <c r="K599" s="1390"/>
      <c r="L599" s="1390"/>
      <c r="M599" s="1390"/>
      <c r="N599" s="1390"/>
      <c r="O599" s="1390"/>
      <c r="P599" s="1390"/>
      <c r="Q599" s="1390"/>
      <c r="R599" s="1390"/>
      <c r="S599" s="1390"/>
      <c r="T599" s="1390"/>
      <c r="U599" s="1390"/>
      <c r="V599" s="1390"/>
      <c r="W599" s="1390"/>
      <c r="X599" s="1390"/>
      <c r="Y599" s="1390"/>
      <c r="Z599" s="1390"/>
      <c r="AA599" s="1390"/>
      <c r="AB599" s="1390"/>
      <c r="AC599" s="1390"/>
      <c r="AD599" s="1390"/>
      <c r="AE599" s="1390"/>
      <c r="AF599" s="1390"/>
      <c r="AG599" s="1390"/>
      <c r="AH599" s="1390"/>
      <c r="AI599" s="1390"/>
      <c r="AJ599" s="1390"/>
      <c r="AK599" s="1390"/>
    </row>
    <row r="600" spans="3:37" ht="17.25" customHeight="1" x14ac:dyDescent="0.35">
      <c r="C600" s="1390"/>
      <c r="D600" s="1390"/>
      <c r="E600" s="1390"/>
      <c r="F600" s="1390"/>
      <c r="G600" s="1390"/>
      <c r="H600" s="1390"/>
      <c r="I600" s="1390"/>
      <c r="J600" s="1390"/>
      <c r="K600" s="1390"/>
      <c r="L600" s="1390"/>
      <c r="M600" s="1390"/>
      <c r="N600" s="1390"/>
      <c r="O600" s="1390"/>
      <c r="P600" s="1390"/>
      <c r="Q600" s="1390"/>
      <c r="R600" s="1390"/>
      <c r="S600" s="1390"/>
      <c r="T600" s="1390"/>
      <c r="U600" s="1390"/>
      <c r="V600" s="1390"/>
      <c r="W600" s="1390"/>
      <c r="X600" s="1390"/>
      <c r="Y600" s="1390"/>
      <c r="Z600" s="1390"/>
      <c r="AA600" s="1390"/>
      <c r="AB600" s="1390"/>
      <c r="AC600" s="1390"/>
      <c r="AD600" s="1390"/>
      <c r="AE600" s="1390"/>
      <c r="AF600" s="1390"/>
      <c r="AG600" s="1390"/>
      <c r="AH600" s="1390"/>
      <c r="AI600" s="1390"/>
      <c r="AJ600" s="1390"/>
      <c r="AK600" s="1390"/>
    </row>
    <row r="601" spans="3:37" ht="17.25" customHeight="1" x14ac:dyDescent="0.35">
      <c r="C601" s="1390"/>
      <c r="D601" s="1390"/>
      <c r="E601" s="1390"/>
      <c r="F601" s="1390"/>
      <c r="G601" s="1390"/>
      <c r="H601" s="1390"/>
      <c r="I601" s="1390"/>
      <c r="J601" s="1390"/>
      <c r="K601" s="1390"/>
      <c r="L601" s="1390"/>
      <c r="M601" s="1390"/>
      <c r="N601" s="1390"/>
      <c r="O601" s="1390"/>
      <c r="P601" s="1390"/>
      <c r="Q601" s="1390"/>
      <c r="R601" s="1390"/>
      <c r="S601" s="1390"/>
      <c r="T601" s="1390"/>
      <c r="U601" s="1390"/>
      <c r="V601" s="1390"/>
      <c r="W601" s="1390"/>
      <c r="X601" s="1390"/>
      <c r="Y601" s="1390"/>
      <c r="Z601" s="1390"/>
      <c r="AA601" s="1390"/>
      <c r="AB601" s="1390"/>
      <c r="AC601" s="1390"/>
      <c r="AD601" s="1390"/>
      <c r="AE601" s="1390"/>
      <c r="AF601" s="1390"/>
      <c r="AG601" s="1390"/>
      <c r="AH601" s="1390"/>
      <c r="AI601" s="1390"/>
      <c r="AJ601" s="1390"/>
      <c r="AK601" s="1390"/>
    </row>
    <row r="602" spans="3:37" ht="17.25" customHeight="1" x14ac:dyDescent="0.35">
      <c r="C602" s="1390"/>
      <c r="D602" s="1390"/>
      <c r="E602" s="1390"/>
      <c r="F602" s="1390"/>
      <c r="G602" s="1390"/>
      <c r="H602" s="1390"/>
      <c r="I602" s="1390"/>
      <c r="J602" s="1390"/>
      <c r="K602" s="1390"/>
      <c r="L602" s="1390"/>
      <c r="M602" s="1390"/>
      <c r="N602" s="1390"/>
      <c r="O602" s="1390"/>
      <c r="P602" s="1390"/>
      <c r="Q602" s="1390"/>
      <c r="R602" s="1390"/>
      <c r="S602" s="1390"/>
      <c r="T602" s="1390"/>
      <c r="U602" s="1390"/>
      <c r="V602" s="1390"/>
      <c r="W602" s="1390"/>
      <c r="X602" s="1390"/>
      <c r="Y602" s="1390"/>
      <c r="Z602" s="1390"/>
      <c r="AA602" s="1390"/>
      <c r="AB602" s="1390"/>
      <c r="AC602" s="1390"/>
      <c r="AD602" s="1390"/>
      <c r="AE602" s="1390"/>
      <c r="AF602" s="1390"/>
      <c r="AG602" s="1390"/>
      <c r="AH602" s="1390"/>
      <c r="AI602" s="1390"/>
      <c r="AJ602" s="1390"/>
      <c r="AK602" s="1390"/>
    </row>
    <row r="603" spans="3:37" ht="17.25" customHeight="1" x14ac:dyDescent="0.35">
      <c r="C603" s="1390"/>
      <c r="D603" s="1390"/>
      <c r="E603" s="1390"/>
      <c r="F603" s="1390"/>
      <c r="G603" s="1390"/>
      <c r="H603" s="1390"/>
      <c r="I603" s="1390"/>
      <c r="J603" s="1390"/>
      <c r="K603" s="1390"/>
      <c r="L603" s="1390"/>
      <c r="M603" s="1390"/>
      <c r="N603" s="1390"/>
      <c r="O603" s="1390"/>
      <c r="P603" s="1390"/>
      <c r="Q603" s="1390"/>
      <c r="R603" s="1390"/>
      <c r="S603" s="1390"/>
      <c r="T603" s="1390"/>
      <c r="U603" s="1390"/>
      <c r="V603" s="1390"/>
      <c r="W603" s="1390"/>
      <c r="X603" s="1390"/>
      <c r="Y603" s="1390"/>
      <c r="Z603" s="1390"/>
      <c r="AA603" s="1390"/>
      <c r="AB603" s="1390"/>
      <c r="AC603" s="1390"/>
      <c r="AD603" s="1390"/>
      <c r="AE603" s="1390"/>
      <c r="AF603" s="1390"/>
      <c r="AG603" s="1390"/>
      <c r="AH603" s="1390"/>
      <c r="AI603" s="1390"/>
      <c r="AJ603" s="1390"/>
      <c r="AK603" s="1390"/>
    </row>
    <row r="604" spans="3:37" ht="17.25" customHeight="1" x14ac:dyDescent="0.35">
      <c r="C604" s="1390"/>
      <c r="D604" s="1390"/>
      <c r="E604" s="1390"/>
      <c r="F604" s="1390"/>
      <c r="G604" s="1390"/>
      <c r="H604" s="1390"/>
      <c r="I604" s="1390"/>
      <c r="J604" s="1390"/>
      <c r="K604" s="1390"/>
      <c r="L604" s="1390"/>
      <c r="M604" s="1390"/>
      <c r="N604" s="1390"/>
      <c r="O604" s="1390"/>
      <c r="P604" s="1390"/>
      <c r="Q604" s="1390"/>
      <c r="R604" s="1390"/>
      <c r="S604" s="1390"/>
      <c r="T604" s="1390"/>
      <c r="U604" s="1390"/>
      <c r="V604" s="1390"/>
      <c r="W604" s="1390"/>
      <c r="X604" s="1390"/>
      <c r="Y604" s="1390"/>
      <c r="Z604" s="1390"/>
      <c r="AA604" s="1390"/>
      <c r="AB604" s="1390"/>
      <c r="AC604" s="1390"/>
      <c r="AD604" s="1390"/>
      <c r="AE604" s="1390"/>
      <c r="AF604" s="1390"/>
      <c r="AG604" s="1390"/>
      <c r="AH604" s="1390"/>
      <c r="AI604" s="1390"/>
      <c r="AJ604" s="1390"/>
      <c r="AK604" s="1390"/>
    </row>
    <row r="605" spans="3:37" ht="17.25" customHeight="1" x14ac:dyDescent="0.35">
      <c r="C605" s="1390"/>
      <c r="D605" s="1390"/>
      <c r="E605" s="1390"/>
      <c r="F605" s="1390"/>
      <c r="G605" s="1390"/>
      <c r="H605" s="1390"/>
      <c r="I605" s="1390"/>
      <c r="J605" s="1390"/>
      <c r="K605" s="1390"/>
      <c r="L605" s="1390"/>
      <c r="M605" s="1390"/>
      <c r="N605" s="1390"/>
      <c r="O605" s="1390"/>
      <c r="P605" s="1390"/>
      <c r="Q605" s="1390"/>
      <c r="R605" s="1390"/>
      <c r="S605" s="1390"/>
      <c r="T605" s="1390"/>
      <c r="U605" s="1390"/>
      <c r="V605" s="1390"/>
      <c r="W605" s="1390"/>
      <c r="X605" s="1390"/>
      <c r="Y605" s="1390"/>
      <c r="Z605" s="1390"/>
      <c r="AA605" s="1390"/>
      <c r="AB605" s="1390"/>
      <c r="AC605" s="1390"/>
      <c r="AD605" s="1390"/>
      <c r="AE605" s="1390"/>
      <c r="AF605" s="1390"/>
      <c r="AG605" s="1390"/>
      <c r="AH605" s="1390"/>
      <c r="AI605" s="1390"/>
      <c r="AJ605" s="1390"/>
      <c r="AK605" s="1390"/>
    </row>
    <row r="606" spans="3:37" ht="17.25" customHeight="1" x14ac:dyDescent="0.35">
      <c r="C606" s="1390"/>
      <c r="D606" s="1390"/>
      <c r="E606" s="1390"/>
      <c r="F606" s="1390"/>
      <c r="G606" s="1390"/>
      <c r="H606" s="1390"/>
      <c r="I606" s="1390"/>
      <c r="J606" s="1390"/>
      <c r="K606" s="1390"/>
      <c r="L606" s="1390"/>
      <c r="M606" s="1390"/>
      <c r="N606" s="1390"/>
      <c r="O606" s="1390"/>
      <c r="P606" s="1390"/>
      <c r="Q606" s="1390"/>
      <c r="R606" s="1390"/>
      <c r="S606" s="1390"/>
      <c r="T606" s="1390"/>
      <c r="U606" s="1390"/>
      <c r="V606" s="1390"/>
      <c r="W606" s="1390"/>
      <c r="X606" s="1390"/>
      <c r="Y606" s="1390"/>
      <c r="Z606" s="1390"/>
      <c r="AA606" s="1390"/>
      <c r="AB606" s="1390"/>
      <c r="AC606" s="1390"/>
      <c r="AD606" s="1390"/>
      <c r="AE606" s="1390"/>
      <c r="AF606" s="1390"/>
      <c r="AG606" s="1390"/>
      <c r="AH606" s="1390"/>
      <c r="AI606" s="1390"/>
      <c r="AJ606" s="1390"/>
      <c r="AK606" s="1390"/>
    </row>
    <row r="607" spans="3:37" ht="17.25" customHeight="1" x14ac:dyDescent="0.35">
      <c r="C607" s="1390"/>
      <c r="D607" s="1390"/>
      <c r="E607" s="1390"/>
      <c r="F607" s="1390"/>
      <c r="G607" s="1390"/>
      <c r="H607" s="1390"/>
      <c r="I607" s="1390"/>
      <c r="J607" s="1390"/>
      <c r="K607" s="1390"/>
      <c r="L607" s="1390"/>
      <c r="M607" s="1390"/>
      <c r="N607" s="1390"/>
      <c r="O607" s="1390"/>
      <c r="P607" s="1390"/>
      <c r="Q607" s="1390"/>
      <c r="R607" s="1390"/>
      <c r="S607" s="1390"/>
      <c r="T607" s="1390"/>
      <c r="U607" s="1390"/>
      <c r="V607" s="1390"/>
      <c r="W607" s="1390"/>
      <c r="X607" s="1390"/>
      <c r="Y607" s="1390"/>
      <c r="Z607" s="1390"/>
      <c r="AA607" s="1390"/>
      <c r="AB607" s="1390"/>
      <c r="AC607" s="1390"/>
      <c r="AD607" s="1390"/>
      <c r="AE607" s="1390"/>
      <c r="AF607" s="1390"/>
      <c r="AG607" s="1390"/>
      <c r="AH607" s="1390"/>
      <c r="AI607" s="1390"/>
      <c r="AJ607" s="1390"/>
      <c r="AK607" s="1390"/>
    </row>
    <row r="608" spans="3:37" ht="17.25" customHeight="1" x14ac:dyDescent="0.35">
      <c r="C608" s="1390"/>
      <c r="D608" s="1390"/>
      <c r="E608" s="1390"/>
      <c r="F608" s="1390"/>
      <c r="G608" s="1390"/>
      <c r="H608" s="1390"/>
      <c r="I608" s="1390"/>
      <c r="J608" s="1390"/>
      <c r="K608" s="1390"/>
      <c r="L608" s="1390"/>
      <c r="M608" s="1390"/>
      <c r="N608" s="1390"/>
      <c r="O608" s="1390"/>
      <c r="P608" s="1390"/>
      <c r="Q608" s="1390"/>
      <c r="R608" s="1390"/>
      <c r="S608" s="1390"/>
      <c r="T608" s="1390"/>
      <c r="U608" s="1390"/>
      <c r="V608" s="1390"/>
      <c r="W608" s="1390"/>
      <c r="X608" s="1390"/>
      <c r="Y608" s="1390"/>
      <c r="Z608" s="1390"/>
      <c r="AA608" s="1390"/>
      <c r="AB608" s="1390"/>
      <c r="AC608" s="1390"/>
      <c r="AD608" s="1390"/>
      <c r="AE608" s="1390"/>
      <c r="AF608" s="1390"/>
      <c r="AG608" s="1390"/>
      <c r="AH608" s="1390"/>
      <c r="AI608" s="1390"/>
      <c r="AJ608" s="1390"/>
      <c r="AK608" s="1390"/>
    </row>
    <row r="609" spans="3:37" ht="17.25" customHeight="1" x14ac:dyDescent="0.35">
      <c r="C609" s="1390"/>
      <c r="D609" s="1390"/>
      <c r="E609" s="1390"/>
      <c r="F609" s="1390"/>
      <c r="G609" s="1390"/>
      <c r="H609" s="1390"/>
      <c r="I609" s="1390"/>
      <c r="J609" s="1390"/>
      <c r="K609" s="1390"/>
      <c r="L609" s="1390"/>
      <c r="M609" s="1390"/>
      <c r="N609" s="1390"/>
      <c r="O609" s="1390"/>
      <c r="P609" s="1390"/>
      <c r="Q609" s="1390"/>
      <c r="R609" s="1390"/>
      <c r="S609" s="1390"/>
      <c r="T609" s="1390"/>
      <c r="U609" s="1390"/>
      <c r="V609" s="1390"/>
      <c r="W609" s="1390"/>
      <c r="X609" s="1390"/>
      <c r="Y609" s="1390"/>
      <c r="Z609" s="1390"/>
      <c r="AA609" s="1390"/>
      <c r="AB609" s="1390"/>
      <c r="AC609" s="1390"/>
      <c r="AD609" s="1390"/>
      <c r="AE609" s="1390"/>
      <c r="AF609" s="1390"/>
      <c r="AG609" s="1390"/>
      <c r="AH609" s="1390"/>
      <c r="AI609" s="1390"/>
      <c r="AJ609" s="1390"/>
      <c r="AK609" s="1390"/>
    </row>
    <row r="610" spans="3:37" ht="17.25" customHeight="1" x14ac:dyDescent="0.35">
      <c r="C610" s="1390"/>
      <c r="D610" s="1390"/>
      <c r="E610" s="1390"/>
      <c r="F610" s="1390"/>
      <c r="G610" s="1390"/>
      <c r="H610" s="1390"/>
      <c r="I610" s="1390"/>
      <c r="J610" s="1390"/>
      <c r="K610" s="1390"/>
      <c r="L610" s="1390"/>
      <c r="M610" s="1390"/>
      <c r="N610" s="1390"/>
      <c r="O610" s="1390"/>
      <c r="P610" s="1390"/>
      <c r="Q610" s="1390"/>
      <c r="R610" s="1390"/>
      <c r="S610" s="1390"/>
      <c r="T610" s="1390"/>
      <c r="U610" s="1390"/>
      <c r="V610" s="1390"/>
      <c r="W610" s="1390"/>
      <c r="X610" s="1390"/>
      <c r="Y610" s="1390"/>
      <c r="Z610" s="1390"/>
      <c r="AA610" s="1390"/>
      <c r="AB610" s="1390"/>
      <c r="AC610" s="1390"/>
      <c r="AD610" s="1390"/>
      <c r="AE610" s="1390"/>
      <c r="AF610" s="1390"/>
      <c r="AG610" s="1390"/>
      <c r="AH610" s="1390"/>
      <c r="AI610" s="1390"/>
      <c r="AJ610" s="1390"/>
      <c r="AK610" s="1390"/>
    </row>
    <row r="611" spans="3:37" ht="17.25" customHeight="1" x14ac:dyDescent="0.35">
      <c r="C611" s="1390"/>
      <c r="D611" s="1390"/>
      <c r="E611" s="1390"/>
      <c r="F611" s="1390"/>
      <c r="G611" s="1390"/>
      <c r="H611" s="1390"/>
      <c r="I611" s="1390"/>
      <c r="J611" s="1390"/>
      <c r="K611" s="1390"/>
      <c r="L611" s="1390"/>
      <c r="M611" s="1390"/>
      <c r="N611" s="1390"/>
      <c r="O611" s="1390"/>
      <c r="P611" s="1390"/>
      <c r="Q611" s="1390"/>
      <c r="R611" s="1390"/>
      <c r="S611" s="1390"/>
      <c r="T611" s="1390"/>
      <c r="U611" s="1390"/>
      <c r="V611" s="1390"/>
      <c r="W611" s="1390"/>
      <c r="X611" s="1390"/>
      <c r="Y611" s="1390"/>
      <c r="Z611" s="1390"/>
      <c r="AA611" s="1390"/>
      <c r="AB611" s="1390"/>
      <c r="AC611" s="1390"/>
      <c r="AD611" s="1390"/>
      <c r="AE611" s="1390"/>
      <c r="AF611" s="1390"/>
      <c r="AG611" s="1390"/>
      <c r="AH611" s="1390"/>
      <c r="AI611" s="1390"/>
      <c r="AJ611" s="1390"/>
      <c r="AK611" s="1390"/>
    </row>
    <row r="612" spans="3:37" ht="17.25" customHeight="1" x14ac:dyDescent="0.35">
      <c r="C612" s="1390"/>
      <c r="D612" s="1390"/>
      <c r="E612" s="1390"/>
      <c r="F612" s="1390"/>
      <c r="G612" s="1390"/>
      <c r="H612" s="1390"/>
      <c r="I612" s="1390"/>
      <c r="J612" s="1390"/>
      <c r="K612" s="1390"/>
      <c r="L612" s="1390"/>
      <c r="M612" s="1390"/>
      <c r="N612" s="1390"/>
      <c r="O612" s="1390"/>
      <c r="P612" s="1390"/>
      <c r="Q612" s="1390"/>
      <c r="R612" s="1390"/>
      <c r="S612" s="1390"/>
      <c r="T612" s="1390"/>
      <c r="U612" s="1390"/>
      <c r="V612" s="1390"/>
      <c r="W612" s="1390"/>
      <c r="X612" s="1390"/>
      <c r="Y612" s="1390"/>
      <c r="Z612" s="1390"/>
      <c r="AA612" s="1390"/>
      <c r="AB612" s="1390"/>
      <c r="AC612" s="1390"/>
      <c r="AD612" s="1390"/>
      <c r="AE612" s="1390"/>
      <c r="AF612" s="1390"/>
      <c r="AG612" s="1390"/>
      <c r="AH612" s="1390"/>
      <c r="AI612" s="1390"/>
      <c r="AJ612" s="1390"/>
      <c r="AK612" s="1390"/>
    </row>
    <row r="613" spans="3:37" ht="17.25" customHeight="1" x14ac:dyDescent="0.35">
      <c r="C613" s="1390"/>
      <c r="D613" s="1390"/>
      <c r="E613" s="1390"/>
      <c r="F613" s="1390"/>
      <c r="G613" s="1390"/>
      <c r="H613" s="1390"/>
      <c r="I613" s="1390"/>
      <c r="J613" s="1390"/>
      <c r="K613" s="1390"/>
      <c r="L613" s="1390"/>
      <c r="M613" s="1390"/>
      <c r="N613" s="1390"/>
      <c r="O613" s="1390"/>
      <c r="P613" s="1390"/>
      <c r="Q613" s="1390"/>
      <c r="R613" s="1390"/>
      <c r="S613" s="1390"/>
      <c r="T613" s="1390"/>
      <c r="U613" s="1390"/>
      <c r="V613" s="1390"/>
      <c r="W613" s="1390"/>
      <c r="X613" s="1390"/>
      <c r="Y613" s="1390"/>
      <c r="Z613" s="1390"/>
      <c r="AA613" s="1390"/>
      <c r="AB613" s="1390"/>
      <c r="AC613" s="1390"/>
      <c r="AD613" s="1390"/>
      <c r="AE613" s="1390"/>
      <c r="AF613" s="1390"/>
      <c r="AG613" s="1390"/>
      <c r="AH613" s="1390"/>
      <c r="AI613" s="1390"/>
      <c r="AJ613" s="1390"/>
      <c r="AK613" s="1390"/>
    </row>
    <row r="614" spans="3:37" ht="17.25" customHeight="1" x14ac:dyDescent="0.35">
      <c r="C614" s="1390"/>
      <c r="D614" s="1390"/>
      <c r="E614" s="1390"/>
      <c r="F614" s="1390"/>
      <c r="G614" s="1390"/>
      <c r="H614" s="1390"/>
      <c r="I614" s="1390"/>
      <c r="J614" s="1390"/>
      <c r="K614" s="1390"/>
      <c r="L614" s="1390"/>
      <c r="M614" s="1390"/>
      <c r="N614" s="1390"/>
      <c r="O614" s="1390"/>
      <c r="P614" s="1390"/>
      <c r="Q614" s="1390"/>
      <c r="R614" s="1390"/>
      <c r="S614" s="1390"/>
      <c r="T614" s="1390"/>
      <c r="U614" s="1390"/>
      <c r="V614" s="1390"/>
      <c r="W614" s="1390"/>
      <c r="X614" s="1390"/>
      <c r="Y614" s="1390"/>
      <c r="Z614" s="1390"/>
      <c r="AA614" s="1390"/>
      <c r="AB614" s="1390"/>
      <c r="AC614" s="1390"/>
      <c r="AD614" s="1390"/>
      <c r="AE614" s="1390"/>
      <c r="AF614" s="1390"/>
      <c r="AG614" s="1390"/>
      <c r="AH614" s="1390"/>
      <c r="AI614" s="1390"/>
      <c r="AJ614" s="1390"/>
      <c r="AK614" s="1390"/>
    </row>
    <row r="615" spans="3:37" ht="17.25" customHeight="1" x14ac:dyDescent="0.35">
      <c r="C615" s="1390"/>
      <c r="D615" s="1390"/>
      <c r="E615" s="1390"/>
      <c r="F615" s="1390"/>
      <c r="G615" s="1390"/>
      <c r="H615" s="1390"/>
      <c r="I615" s="1390"/>
      <c r="J615" s="1390"/>
      <c r="K615" s="1390"/>
      <c r="L615" s="1390"/>
      <c r="M615" s="1390"/>
      <c r="N615" s="1390"/>
      <c r="O615" s="1390"/>
      <c r="P615" s="1390"/>
      <c r="Q615" s="1390"/>
      <c r="R615" s="1390"/>
      <c r="S615" s="1390"/>
      <c r="T615" s="1390"/>
      <c r="U615" s="1390"/>
      <c r="V615" s="1390"/>
      <c r="W615" s="1390"/>
      <c r="X615" s="1390"/>
      <c r="Y615" s="1390"/>
      <c r="Z615" s="1390"/>
      <c r="AA615" s="1390"/>
      <c r="AB615" s="1390"/>
      <c r="AC615" s="1390"/>
      <c r="AD615" s="1390"/>
      <c r="AE615" s="1390"/>
      <c r="AF615" s="1390"/>
      <c r="AG615" s="1390"/>
      <c r="AH615" s="1390"/>
      <c r="AI615" s="1390"/>
      <c r="AJ615" s="1390"/>
      <c r="AK615" s="1390"/>
    </row>
    <row r="616" spans="3:37" ht="17.25" customHeight="1" x14ac:dyDescent="0.35">
      <c r="C616" s="1390"/>
      <c r="D616" s="1390"/>
      <c r="E616" s="1390"/>
      <c r="F616" s="1390"/>
      <c r="G616" s="1390"/>
      <c r="H616" s="1390"/>
      <c r="I616" s="1390"/>
      <c r="J616" s="1390"/>
      <c r="K616" s="1390"/>
      <c r="L616" s="1390"/>
      <c r="M616" s="1390"/>
      <c r="N616" s="1390"/>
      <c r="O616" s="1390"/>
      <c r="P616" s="1390"/>
      <c r="Q616" s="1390"/>
      <c r="R616" s="1390"/>
      <c r="S616" s="1390"/>
      <c r="T616" s="1390"/>
      <c r="U616" s="1390"/>
      <c r="V616" s="1390"/>
      <c r="W616" s="1390"/>
      <c r="X616" s="1390"/>
      <c r="Y616" s="1390"/>
      <c r="Z616" s="1390"/>
      <c r="AA616" s="1390"/>
      <c r="AB616" s="1390"/>
      <c r="AC616" s="1390"/>
      <c r="AD616" s="1390"/>
      <c r="AE616" s="1390"/>
      <c r="AF616" s="1390"/>
      <c r="AG616" s="1390"/>
      <c r="AH616" s="1390"/>
      <c r="AI616" s="1390"/>
      <c r="AJ616" s="1390"/>
      <c r="AK616" s="1390"/>
    </row>
    <row r="617" spans="3:37" ht="17.25" customHeight="1" x14ac:dyDescent="0.35">
      <c r="C617" s="1390"/>
      <c r="D617" s="1390"/>
      <c r="E617" s="1390"/>
      <c r="F617" s="1390"/>
      <c r="G617" s="1390"/>
      <c r="H617" s="1390"/>
      <c r="I617" s="1390"/>
      <c r="J617" s="1390"/>
      <c r="K617" s="1390"/>
      <c r="L617" s="1390"/>
      <c r="M617" s="1390"/>
      <c r="N617" s="1390"/>
      <c r="O617" s="1390"/>
      <c r="P617" s="1390"/>
      <c r="Q617" s="1390"/>
      <c r="R617" s="1390"/>
      <c r="S617" s="1390"/>
      <c r="T617" s="1390"/>
      <c r="U617" s="1390"/>
      <c r="V617" s="1390"/>
      <c r="W617" s="1390"/>
      <c r="X617" s="1390"/>
      <c r="Y617" s="1390"/>
      <c r="Z617" s="1390"/>
      <c r="AA617" s="1390"/>
      <c r="AB617" s="1390"/>
      <c r="AC617" s="1390"/>
      <c r="AD617" s="1390"/>
      <c r="AE617" s="1390"/>
      <c r="AF617" s="1390"/>
      <c r="AG617" s="1390"/>
      <c r="AH617" s="1390"/>
      <c r="AI617" s="1390"/>
      <c r="AJ617" s="1390"/>
      <c r="AK617" s="1390"/>
    </row>
    <row r="618" spans="3:37" ht="17.25" customHeight="1" x14ac:dyDescent="0.35">
      <c r="C618" s="1390"/>
      <c r="D618" s="1390"/>
      <c r="E618" s="1390"/>
      <c r="F618" s="1390"/>
      <c r="G618" s="1390"/>
      <c r="H618" s="1390"/>
      <c r="I618" s="1390"/>
      <c r="J618" s="1390"/>
      <c r="K618" s="1390"/>
      <c r="L618" s="1390"/>
      <c r="M618" s="1390"/>
      <c r="N618" s="1390"/>
      <c r="O618" s="1390"/>
      <c r="P618" s="1390"/>
      <c r="Q618" s="1390"/>
      <c r="R618" s="1390"/>
      <c r="S618" s="1390"/>
      <c r="T618" s="1390"/>
      <c r="U618" s="1390"/>
      <c r="V618" s="1390"/>
      <c r="W618" s="1390"/>
      <c r="X618" s="1390"/>
      <c r="Y618" s="1390"/>
      <c r="Z618" s="1390"/>
      <c r="AA618" s="1390"/>
      <c r="AB618" s="1390"/>
      <c r="AC618" s="1390"/>
      <c r="AD618" s="1390"/>
      <c r="AE618" s="1390"/>
      <c r="AF618" s="1390"/>
      <c r="AG618" s="1390"/>
      <c r="AH618" s="1390"/>
      <c r="AI618" s="1390"/>
      <c r="AJ618" s="1390"/>
      <c r="AK618" s="1390"/>
    </row>
    <row r="619" spans="3:37" ht="17.25" customHeight="1" x14ac:dyDescent="0.35">
      <c r="C619" s="1390"/>
      <c r="D619" s="1390"/>
      <c r="E619" s="1390"/>
      <c r="F619" s="1390"/>
      <c r="G619" s="1390"/>
      <c r="H619" s="1390"/>
      <c r="I619" s="1390"/>
      <c r="J619" s="1390"/>
      <c r="K619" s="1390"/>
      <c r="L619" s="1390"/>
      <c r="M619" s="1390"/>
      <c r="N619" s="1390"/>
      <c r="O619" s="1390"/>
      <c r="P619" s="1390"/>
      <c r="Q619" s="1390"/>
      <c r="R619" s="1390"/>
      <c r="S619" s="1390"/>
      <c r="T619" s="1390"/>
      <c r="U619" s="1390"/>
      <c r="V619" s="1390"/>
      <c r="W619" s="1390"/>
      <c r="X619" s="1390"/>
      <c r="Y619" s="1390"/>
      <c r="Z619" s="1390"/>
      <c r="AA619" s="1390"/>
      <c r="AB619" s="1390"/>
      <c r="AC619" s="1390"/>
      <c r="AD619" s="1390"/>
      <c r="AE619" s="1390"/>
      <c r="AF619" s="1390"/>
      <c r="AG619" s="1390"/>
      <c r="AH619" s="1390"/>
      <c r="AI619" s="1390"/>
      <c r="AJ619" s="1390"/>
      <c r="AK619" s="1390"/>
    </row>
    <row r="620" spans="3:37" ht="17.25" customHeight="1" x14ac:dyDescent="0.35">
      <c r="C620" s="1390"/>
      <c r="D620" s="1390"/>
      <c r="E620" s="1390"/>
      <c r="F620" s="1390"/>
      <c r="G620" s="1390"/>
      <c r="H620" s="1390"/>
      <c r="I620" s="1390"/>
      <c r="J620" s="1390"/>
      <c r="K620" s="1390"/>
      <c r="L620" s="1390"/>
      <c r="M620" s="1390"/>
      <c r="N620" s="1390"/>
      <c r="O620" s="1390"/>
      <c r="P620" s="1390"/>
      <c r="Q620" s="1390"/>
      <c r="R620" s="1390"/>
      <c r="S620" s="1390"/>
      <c r="T620" s="1390"/>
      <c r="U620" s="1390"/>
      <c r="V620" s="1390"/>
      <c r="W620" s="1390"/>
      <c r="X620" s="1390"/>
      <c r="Y620" s="1390"/>
      <c r="Z620" s="1390"/>
      <c r="AA620" s="1390"/>
      <c r="AB620" s="1390"/>
      <c r="AC620" s="1390"/>
      <c r="AD620" s="1390"/>
      <c r="AE620" s="1390"/>
      <c r="AF620" s="1390"/>
      <c r="AG620" s="1390"/>
      <c r="AH620" s="1390"/>
      <c r="AI620" s="1390"/>
      <c r="AJ620" s="1390"/>
      <c r="AK620" s="1390"/>
    </row>
    <row r="621" spans="3:37" ht="17.25" customHeight="1" x14ac:dyDescent="0.35">
      <c r="C621" s="1390"/>
      <c r="D621" s="1390"/>
      <c r="E621" s="1390"/>
      <c r="F621" s="1390"/>
      <c r="G621" s="1390"/>
      <c r="H621" s="1390"/>
      <c r="I621" s="1390"/>
      <c r="J621" s="1390"/>
      <c r="K621" s="1390"/>
      <c r="L621" s="1390"/>
      <c r="M621" s="1390"/>
      <c r="N621" s="1390"/>
      <c r="O621" s="1390"/>
      <c r="P621" s="1390"/>
      <c r="Q621" s="1390"/>
      <c r="R621" s="1390"/>
      <c r="S621" s="1390"/>
      <c r="T621" s="1390"/>
      <c r="U621" s="1390"/>
      <c r="V621" s="1390"/>
      <c r="W621" s="1390"/>
      <c r="X621" s="1390"/>
      <c r="Y621" s="1390"/>
      <c r="Z621" s="1390"/>
      <c r="AA621" s="1390"/>
      <c r="AB621" s="1390"/>
      <c r="AC621" s="1390"/>
      <c r="AD621" s="1390"/>
      <c r="AE621" s="1390"/>
      <c r="AF621" s="1390"/>
      <c r="AG621" s="1390"/>
      <c r="AH621" s="1390"/>
      <c r="AI621" s="1390"/>
      <c r="AJ621" s="1390"/>
      <c r="AK621" s="1390"/>
    </row>
    <row r="622" spans="3:37" ht="17.25" customHeight="1" x14ac:dyDescent="0.35">
      <c r="C622" s="1390"/>
      <c r="D622" s="1390"/>
      <c r="E622" s="1390"/>
      <c r="F622" s="1390"/>
      <c r="G622" s="1390"/>
      <c r="H622" s="1390"/>
      <c r="I622" s="1390"/>
      <c r="J622" s="1390"/>
      <c r="K622" s="1390"/>
      <c r="L622" s="1390"/>
      <c r="M622" s="1390"/>
      <c r="N622" s="1390"/>
      <c r="O622" s="1390"/>
      <c r="P622" s="1390"/>
      <c r="Q622" s="1390"/>
      <c r="R622" s="1390"/>
      <c r="S622" s="1390"/>
      <c r="T622" s="1390"/>
      <c r="U622" s="1390"/>
      <c r="V622" s="1390"/>
      <c r="W622" s="1390"/>
      <c r="X622" s="1390"/>
      <c r="Y622" s="1390"/>
      <c r="Z622" s="1390"/>
      <c r="AA622" s="1390"/>
      <c r="AB622" s="1390"/>
      <c r="AC622" s="1390"/>
      <c r="AD622" s="1390"/>
      <c r="AE622" s="1390"/>
      <c r="AF622" s="1390"/>
      <c r="AG622" s="1390"/>
      <c r="AH622" s="1390"/>
      <c r="AI622" s="1390"/>
      <c r="AJ622" s="1390"/>
      <c r="AK622" s="1390"/>
    </row>
    <row r="623" spans="3:37" ht="17.25" customHeight="1" x14ac:dyDescent="0.35">
      <c r="C623" s="1390"/>
      <c r="D623" s="1390"/>
      <c r="E623" s="1390"/>
      <c r="F623" s="1390"/>
      <c r="G623" s="1390"/>
      <c r="H623" s="1390"/>
      <c r="I623" s="1390"/>
      <c r="J623" s="1390"/>
      <c r="K623" s="1390"/>
      <c r="L623" s="1390"/>
      <c r="M623" s="1390"/>
      <c r="N623" s="1390"/>
      <c r="O623" s="1390"/>
      <c r="P623" s="1390"/>
      <c r="Q623" s="1390"/>
      <c r="R623" s="1390"/>
      <c r="S623" s="1390"/>
      <c r="T623" s="1390"/>
      <c r="U623" s="1390"/>
      <c r="V623" s="1390"/>
      <c r="W623" s="1390"/>
      <c r="X623" s="1390"/>
      <c r="Y623" s="1390"/>
      <c r="Z623" s="1390"/>
      <c r="AA623" s="1390"/>
      <c r="AB623" s="1390"/>
      <c r="AC623" s="1390"/>
      <c r="AD623" s="1390"/>
      <c r="AE623" s="1390"/>
      <c r="AF623" s="1390"/>
      <c r="AG623" s="1390"/>
      <c r="AH623" s="1390"/>
      <c r="AI623" s="1390"/>
      <c r="AJ623" s="1390"/>
      <c r="AK623" s="1390"/>
    </row>
    <row r="624" spans="3:37" ht="17.25" customHeight="1" x14ac:dyDescent="0.35">
      <c r="C624" s="1390"/>
      <c r="D624" s="1390"/>
      <c r="E624" s="1390"/>
      <c r="F624" s="1390"/>
      <c r="G624" s="1390"/>
      <c r="H624" s="1390"/>
      <c r="I624" s="1390"/>
      <c r="J624" s="1390"/>
      <c r="K624" s="1390"/>
      <c r="L624" s="1390"/>
      <c r="M624" s="1390"/>
      <c r="N624" s="1390"/>
      <c r="O624" s="1390"/>
      <c r="P624" s="1390"/>
      <c r="Q624" s="1390"/>
      <c r="R624" s="1390"/>
      <c r="S624" s="1390"/>
      <c r="T624" s="1390"/>
      <c r="U624" s="1390"/>
      <c r="V624" s="1390"/>
      <c r="W624" s="1390"/>
      <c r="X624" s="1390"/>
      <c r="Y624" s="1390"/>
      <c r="Z624" s="1390"/>
      <c r="AA624" s="1390"/>
      <c r="AB624" s="1390"/>
      <c r="AC624" s="1390"/>
      <c r="AD624" s="1390"/>
      <c r="AE624" s="1390"/>
      <c r="AF624" s="1390"/>
      <c r="AG624" s="1390"/>
      <c r="AH624" s="1390"/>
      <c r="AI624" s="1390"/>
      <c r="AJ624" s="1390"/>
      <c r="AK624" s="1390"/>
    </row>
    <row r="625" spans="3:37" ht="17.25" customHeight="1" x14ac:dyDescent="0.35">
      <c r="C625" s="1390"/>
      <c r="D625" s="1390"/>
      <c r="E625" s="1390"/>
      <c r="F625" s="1390"/>
      <c r="G625" s="1390"/>
      <c r="H625" s="1390"/>
      <c r="I625" s="1390"/>
      <c r="J625" s="1390"/>
      <c r="K625" s="1390"/>
      <c r="L625" s="1390"/>
      <c r="M625" s="1390"/>
      <c r="N625" s="1390"/>
      <c r="O625" s="1390"/>
      <c r="P625" s="1390"/>
      <c r="Q625" s="1390"/>
      <c r="R625" s="1390"/>
      <c r="S625" s="1390"/>
      <c r="T625" s="1390"/>
      <c r="U625" s="1390"/>
      <c r="V625" s="1390"/>
      <c r="W625" s="1390"/>
      <c r="X625" s="1390"/>
      <c r="Y625" s="1390"/>
      <c r="Z625" s="1390"/>
      <c r="AA625" s="1390"/>
      <c r="AB625" s="1390"/>
      <c r="AC625" s="1390"/>
      <c r="AD625" s="1390"/>
      <c r="AE625" s="1390"/>
      <c r="AF625" s="1390"/>
      <c r="AG625" s="1390"/>
      <c r="AH625" s="1390"/>
      <c r="AI625" s="1390"/>
      <c r="AJ625" s="1390"/>
      <c r="AK625" s="1390"/>
    </row>
    <row r="626" spans="3:37" ht="17.25" customHeight="1" x14ac:dyDescent="0.35">
      <c r="C626" s="1390"/>
      <c r="D626" s="1390"/>
      <c r="E626" s="1390"/>
      <c r="F626" s="1390"/>
      <c r="G626" s="1390"/>
      <c r="H626" s="1390"/>
      <c r="I626" s="1390"/>
      <c r="J626" s="1390"/>
      <c r="K626" s="1390"/>
      <c r="L626" s="1390"/>
      <c r="M626" s="1390"/>
      <c r="N626" s="1390"/>
      <c r="O626" s="1390"/>
      <c r="P626" s="1390"/>
      <c r="Q626" s="1390"/>
      <c r="R626" s="1390"/>
      <c r="S626" s="1390"/>
      <c r="T626" s="1390"/>
      <c r="U626" s="1390"/>
      <c r="V626" s="1390"/>
      <c r="W626" s="1390"/>
      <c r="X626" s="1390"/>
      <c r="Y626" s="1390"/>
      <c r="Z626" s="1390"/>
      <c r="AA626" s="1390"/>
      <c r="AB626" s="1390"/>
      <c r="AC626" s="1390"/>
      <c r="AD626" s="1390"/>
      <c r="AE626" s="1390"/>
      <c r="AF626" s="1390"/>
      <c r="AG626" s="1390"/>
      <c r="AH626" s="1390"/>
      <c r="AI626" s="1390"/>
      <c r="AJ626" s="1390"/>
      <c r="AK626" s="1390"/>
    </row>
    <row r="627" spans="3:37" ht="17.25" customHeight="1" x14ac:dyDescent="0.35">
      <c r="C627" s="1390"/>
      <c r="D627" s="1390"/>
      <c r="E627" s="1390"/>
      <c r="F627" s="1390"/>
      <c r="G627" s="1390"/>
      <c r="H627" s="1390"/>
      <c r="I627" s="1390"/>
      <c r="J627" s="1390"/>
      <c r="K627" s="1390"/>
      <c r="L627" s="1390"/>
      <c r="M627" s="1390"/>
      <c r="N627" s="1390"/>
      <c r="O627" s="1390"/>
      <c r="P627" s="1390"/>
      <c r="Q627" s="1390"/>
      <c r="R627" s="1390"/>
      <c r="S627" s="1390"/>
      <c r="T627" s="1390"/>
      <c r="U627" s="1390"/>
      <c r="V627" s="1390"/>
      <c r="W627" s="1390"/>
      <c r="X627" s="1390"/>
      <c r="Y627" s="1390"/>
      <c r="Z627" s="1390"/>
      <c r="AA627" s="1390"/>
      <c r="AB627" s="1390"/>
      <c r="AC627" s="1390"/>
      <c r="AD627" s="1390"/>
      <c r="AE627" s="1390"/>
      <c r="AF627" s="1390"/>
      <c r="AG627" s="1390"/>
      <c r="AH627" s="1390"/>
      <c r="AI627" s="1390"/>
      <c r="AJ627" s="1390"/>
      <c r="AK627" s="1390"/>
    </row>
    <row r="628" spans="3:37" ht="17.25" customHeight="1" x14ac:dyDescent="0.35">
      <c r="C628" s="1390"/>
      <c r="D628" s="1390"/>
      <c r="E628" s="1390"/>
      <c r="F628" s="1390"/>
      <c r="G628" s="1390"/>
      <c r="H628" s="1390"/>
      <c r="I628" s="1390"/>
      <c r="J628" s="1390"/>
      <c r="K628" s="1390"/>
      <c r="L628" s="1390"/>
      <c r="M628" s="1390"/>
      <c r="N628" s="1390"/>
      <c r="O628" s="1390"/>
      <c r="P628" s="1390"/>
      <c r="Q628" s="1390"/>
      <c r="R628" s="1390"/>
      <c r="S628" s="1390"/>
      <c r="T628" s="1390"/>
      <c r="U628" s="1390"/>
      <c r="V628" s="1390"/>
      <c r="W628" s="1390"/>
      <c r="X628" s="1390"/>
      <c r="Y628" s="1390"/>
      <c r="Z628" s="1390"/>
      <c r="AA628" s="1390"/>
      <c r="AB628" s="1390"/>
      <c r="AC628" s="1390"/>
      <c r="AD628" s="1390"/>
      <c r="AE628" s="1390"/>
      <c r="AF628" s="1390"/>
      <c r="AG628" s="1390"/>
      <c r="AH628" s="1390"/>
      <c r="AI628" s="1390"/>
      <c r="AJ628" s="1390"/>
      <c r="AK628" s="1390"/>
    </row>
    <row r="629" spans="3:37" ht="17.25" customHeight="1" x14ac:dyDescent="0.35">
      <c r="C629" s="1390"/>
      <c r="D629" s="1390"/>
      <c r="E629" s="1390"/>
      <c r="F629" s="1390"/>
      <c r="G629" s="1390"/>
      <c r="H629" s="1390"/>
      <c r="I629" s="1390"/>
      <c r="J629" s="1390"/>
      <c r="K629" s="1390"/>
      <c r="L629" s="1390"/>
      <c r="M629" s="1390"/>
      <c r="N629" s="1390"/>
      <c r="O629" s="1390"/>
      <c r="P629" s="1390"/>
      <c r="Q629" s="1390"/>
      <c r="R629" s="1390"/>
      <c r="S629" s="1390"/>
      <c r="T629" s="1390"/>
      <c r="U629" s="1390"/>
      <c r="V629" s="1390"/>
      <c r="W629" s="1390"/>
      <c r="X629" s="1390"/>
      <c r="Y629" s="1390"/>
      <c r="Z629" s="1390"/>
      <c r="AA629" s="1390"/>
      <c r="AB629" s="1390"/>
      <c r="AC629" s="1390"/>
      <c r="AD629" s="1390"/>
      <c r="AE629" s="1390"/>
      <c r="AF629" s="1390"/>
      <c r="AG629" s="1390"/>
      <c r="AH629" s="1390"/>
      <c r="AI629" s="1390"/>
      <c r="AJ629" s="1390"/>
      <c r="AK629" s="1390"/>
    </row>
    <row r="630" spans="3:37" ht="17.25" customHeight="1" x14ac:dyDescent="0.35">
      <c r="C630" s="1390"/>
      <c r="D630" s="1390"/>
      <c r="E630" s="1390"/>
      <c r="F630" s="1390"/>
      <c r="G630" s="1390"/>
      <c r="H630" s="1390"/>
      <c r="I630" s="1390"/>
      <c r="J630" s="1390"/>
      <c r="K630" s="1390"/>
      <c r="L630" s="1390"/>
      <c r="M630" s="1390"/>
      <c r="N630" s="1390"/>
      <c r="O630" s="1390"/>
      <c r="P630" s="1390"/>
      <c r="Q630" s="1390"/>
      <c r="R630" s="1390"/>
      <c r="S630" s="1390"/>
      <c r="T630" s="1390"/>
      <c r="U630" s="1390"/>
      <c r="V630" s="1390"/>
      <c r="W630" s="1390"/>
      <c r="X630" s="1390"/>
      <c r="Y630" s="1390"/>
      <c r="Z630" s="1390"/>
      <c r="AA630" s="1390"/>
      <c r="AB630" s="1390"/>
      <c r="AC630" s="1390"/>
      <c r="AD630" s="1390"/>
      <c r="AE630" s="1390"/>
      <c r="AF630" s="1390"/>
      <c r="AG630" s="1390"/>
      <c r="AH630" s="1390"/>
      <c r="AI630" s="1390"/>
      <c r="AJ630" s="1390"/>
      <c r="AK630" s="1390"/>
    </row>
    <row r="631" spans="3:37" ht="17.25" customHeight="1" x14ac:dyDescent="0.35">
      <c r="C631" s="1390"/>
      <c r="D631" s="1390"/>
      <c r="E631" s="1390"/>
      <c r="F631" s="1390"/>
      <c r="G631" s="1390"/>
      <c r="H631" s="1390"/>
      <c r="I631" s="1390"/>
      <c r="J631" s="1390"/>
      <c r="K631" s="1390"/>
      <c r="L631" s="1390"/>
      <c r="M631" s="1390"/>
      <c r="N631" s="1390"/>
      <c r="O631" s="1390"/>
      <c r="P631" s="1390"/>
      <c r="Q631" s="1390"/>
      <c r="R631" s="1390"/>
      <c r="S631" s="1390"/>
      <c r="T631" s="1390"/>
      <c r="U631" s="1390"/>
      <c r="V631" s="1390"/>
      <c r="W631" s="1390"/>
      <c r="X631" s="1390"/>
      <c r="Y631" s="1390"/>
      <c r="Z631" s="1390"/>
      <c r="AA631" s="1390"/>
      <c r="AB631" s="1390"/>
      <c r="AC631" s="1390"/>
      <c r="AD631" s="1390"/>
      <c r="AE631" s="1390"/>
      <c r="AF631" s="1390"/>
      <c r="AG631" s="1390"/>
      <c r="AH631" s="1390"/>
      <c r="AI631" s="1390"/>
      <c r="AJ631" s="1390"/>
      <c r="AK631" s="1390"/>
    </row>
    <row r="632" spans="3:37" ht="17.25" customHeight="1" x14ac:dyDescent="0.35">
      <c r="C632" s="1390"/>
      <c r="D632" s="1390"/>
      <c r="E632" s="1390"/>
      <c r="F632" s="1390"/>
      <c r="G632" s="1390"/>
      <c r="H632" s="1390"/>
      <c r="I632" s="1390"/>
      <c r="J632" s="1390"/>
      <c r="K632" s="1390"/>
      <c r="L632" s="1390"/>
      <c r="M632" s="1390"/>
      <c r="N632" s="1390"/>
      <c r="O632" s="1390"/>
      <c r="P632" s="1390"/>
      <c r="Q632" s="1390"/>
      <c r="R632" s="1390"/>
      <c r="S632" s="1390"/>
      <c r="T632" s="1390"/>
      <c r="U632" s="1390"/>
      <c r="V632" s="1390"/>
      <c r="W632" s="1390"/>
      <c r="X632" s="1390"/>
      <c r="Y632" s="1390"/>
      <c r="Z632" s="1390"/>
      <c r="AA632" s="1390"/>
      <c r="AB632" s="1390"/>
      <c r="AC632" s="1390"/>
      <c r="AD632" s="1390"/>
      <c r="AE632" s="1390"/>
      <c r="AF632" s="1390"/>
      <c r="AG632" s="1390"/>
      <c r="AH632" s="1390"/>
      <c r="AI632" s="1390"/>
      <c r="AJ632" s="1390"/>
      <c r="AK632" s="1390"/>
    </row>
    <row r="633" spans="3:37" ht="17.25" customHeight="1" x14ac:dyDescent="0.35">
      <c r="C633" s="1390"/>
      <c r="D633" s="1390"/>
      <c r="E633" s="1390"/>
      <c r="F633" s="1390"/>
      <c r="G633" s="1390"/>
      <c r="H633" s="1390"/>
      <c r="I633" s="1390"/>
      <c r="J633" s="1390"/>
      <c r="K633" s="1390"/>
      <c r="L633" s="1390"/>
      <c r="M633" s="1390"/>
      <c r="N633" s="1390"/>
      <c r="O633" s="1390"/>
      <c r="P633" s="1390"/>
      <c r="Q633" s="1390"/>
      <c r="R633" s="1390"/>
      <c r="S633" s="1390"/>
      <c r="T633" s="1390"/>
      <c r="U633" s="1390"/>
      <c r="V633" s="1390"/>
      <c r="W633" s="1390"/>
      <c r="X633" s="1390"/>
      <c r="Y633" s="1390"/>
      <c r="Z633" s="1390"/>
      <c r="AA633" s="1390"/>
      <c r="AB633" s="1390"/>
      <c r="AC633" s="1390"/>
      <c r="AD633" s="1390"/>
      <c r="AE633" s="1390"/>
      <c r="AF633" s="1390"/>
      <c r="AG633" s="1390"/>
      <c r="AH633" s="1390"/>
      <c r="AI633" s="1390"/>
      <c r="AJ633" s="1390"/>
      <c r="AK633" s="1390"/>
    </row>
    <row r="634" spans="3:37" ht="17.25" customHeight="1" x14ac:dyDescent="0.35">
      <c r="C634" s="1390"/>
      <c r="D634" s="1390"/>
      <c r="E634" s="1390"/>
      <c r="F634" s="1390"/>
      <c r="G634" s="1390"/>
      <c r="H634" s="1390"/>
      <c r="I634" s="1390"/>
      <c r="J634" s="1390"/>
      <c r="K634" s="1390"/>
      <c r="L634" s="1390"/>
      <c r="M634" s="1390"/>
      <c r="N634" s="1390"/>
      <c r="O634" s="1390"/>
      <c r="P634" s="1390"/>
      <c r="Q634" s="1390"/>
      <c r="R634" s="1390"/>
      <c r="S634" s="1390"/>
      <c r="T634" s="1390"/>
      <c r="U634" s="1390"/>
      <c r="V634" s="1390"/>
      <c r="W634" s="1390"/>
      <c r="X634" s="1390"/>
      <c r="Y634" s="1390"/>
      <c r="Z634" s="1390"/>
      <c r="AA634" s="1390"/>
      <c r="AB634" s="1390"/>
      <c r="AC634" s="1390"/>
      <c r="AD634" s="1390"/>
      <c r="AE634" s="1390"/>
      <c r="AF634" s="1390"/>
      <c r="AG634" s="1390"/>
      <c r="AH634" s="1390"/>
      <c r="AI634" s="1390"/>
      <c r="AJ634" s="1390"/>
      <c r="AK634" s="1390"/>
    </row>
    <row r="635" spans="3:37" ht="17.25" customHeight="1" x14ac:dyDescent="0.35">
      <c r="C635" s="1390"/>
      <c r="D635" s="1390"/>
      <c r="E635" s="1390"/>
      <c r="F635" s="1390"/>
      <c r="G635" s="1390"/>
      <c r="H635" s="1390"/>
      <c r="I635" s="1390"/>
      <c r="J635" s="1390"/>
      <c r="K635" s="1390"/>
      <c r="L635" s="1390"/>
      <c r="M635" s="1390"/>
      <c r="N635" s="1390"/>
      <c r="O635" s="1390"/>
      <c r="P635" s="1390"/>
      <c r="Q635" s="1390"/>
      <c r="R635" s="1390"/>
      <c r="S635" s="1390"/>
      <c r="T635" s="1390"/>
      <c r="U635" s="1390"/>
      <c r="V635" s="1390"/>
      <c r="W635" s="1390"/>
      <c r="X635" s="1390"/>
      <c r="Y635" s="1390"/>
      <c r="Z635" s="1390"/>
      <c r="AA635" s="1390"/>
      <c r="AB635" s="1390"/>
      <c r="AC635" s="1390"/>
      <c r="AD635" s="1390"/>
      <c r="AE635" s="1390"/>
      <c r="AF635" s="1390"/>
      <c r="AG635" s="1390"/>
      <c r="AH635" s="1390"/>
      <c r="AI635" s="1390"/>
      <c r="AJ635" s="1390"/>
      <c r="AK635" s="1390"/>
    </row>
    <row r="636" spans="3:37" ht="17.25" customHeight="1" x14ac:dyDescent="0.35">
      <c r="C636" s="1390"/>
      <c r="D636" s="1390"/>
      <c r="E636" s="1390"/>
      <c r="F636" s="1390"/>
      <c r="G636" s="1390"/>
      <c r="H636" s="1390"/>
      <c r="I636" s="1390"/>
      <c r="J636" s="1390"/>
      <c r="K636" s="1390"/>
      <c r="L636" s="1390"/>
      <c r="M636" s="1390"/>
      <c r="N636" s="1390"/>
      <c r="O636" s="1390"/>
      <c r="P636" s="1390"/>
      <c r="Q636" s="1390"/>
      <c r="R636" s="1390"/>
      <c r="S636" s="1390"/>
      <c r="T636" s="1390"/>
      <c r="U636" s="1390"/>
      <c r="V636" s="1390"/>
      <c r="W636" s="1390"/>
      <c r="X636" s="1390"/>
      <c r="Y636" s="1390"/>
      <c r="Z636" s="1390"/>
      <c r="AA636" s="1390"/>
      <c r="AB636" s="1390"/>
      <c r="AC636" s="1390"/>
      <c r="AD636" s="1390"/>
      <c r="AE636" s="1390"/>
      <c r="AF636" s="1390"/>
      <c r="AG636" s="1390"/>
      <c r="AH636" s="1390"/>
      <c r="AI636" s="1390"/>
      <c r="AJ636" s="1390"/>
      <c r="AK636" s="1390"/>
    </row>
    <row r="637" spans="3:37" ht="17.25" customHeight="1" x14ac:dyDescent="0.35">
      <c r="C637" s="1390"/>
      <c r="D637" s="1390"/>
      <c r="E637" s="1390"/>
      <c r="F637" s="1390"/>
      <c r="G637" s="1390"/>
      <c r="H637" s="1390"/>
      <c r="I637" s="1390"/>
      <c r="J637" s="1390"/>
      <c r="K637" s="1390"/>
      <c r="L637" s="1390"/>
      <c r="M637" s="1390"/>
      <c r="N637" s="1390"/>
      <c r="O637" s="1390"/>
      <c r="P637" s="1390"/>
      <c r="Q637" s="1390"/>
      <c r="R637" s="1390"/>
      <c r="S637" s="1390"/>
      <c r="T637" s="1390"/>
      <c r="U637" s="1390"/>
      <c r="V637" s="1390"/>
      <c r="W637" s="1390"/>
      <c r="X637" s="1390"/>
      <c r="Y637" s="1390"/>
      <c r="Z637" s="1390"/>
      <c r="AA637" s="1390"/>
      <c r="AB637" s="1390"/>
      <c r="AC637" s="1390"/>
      <c r="AD637" s="1390"/>
      <c r="AE637" s="1390"/>
      <c r="AF637" s="1390"/>
      <c r="AG637" s="1390"/>
      <c r="AH637" s="1390"/>
      <c r="AI637" s="1390"/>
      <c r="AJ637" s="1390"/>
      <c r="AK637" s="1390"/>
    </row>
    <row r="638" spans="3:37" ht="17.25" customHeight="1" x14ac:dyDescent="0.35">
      <c r="C638" s="1390"/>
      <c r="D638" s="1390"/>
      <c r="E638" s="1390"/>
      <c r="F638" s="1390"/>
      <c r="G638" s="1390"/>
      <c r="H638" s="1390"/>
      <c r="I638" s="1390"/>
      <c r="J638" s="1390"/>
      <c r="K638" s="1390"/>
      <c r="L638" s="1390"/>
      <c r="M638" s="1390"/>
      <c r="N638" s="1390"/>
      <c r="O638" s="1390"/>
      <c r="P638" s="1390"/>
      <c r="Q638" s="1390"/>
      <c r="R638" s="1390"/>
      <c r="S638" s="1390"/>
      <c r="T638" s="1390"/>
      <c r="U638" s="1390"/>
      <c r="V638" s="1390"/>
      <c r="W638" s="1390"/>
      <c r="X638" s="1390"/>
      <c r="Y638" s="1390"/>
      <c r="Z638" s="1390"/>
      <c r="AA638" s="1390"/>
      <c r="AB638" s="1390"/>
      <c r="AC638" s="1390"/>
      <c r="AD638" s="1390"/>
      <c r="AE638" s="1390"/>
      <c r="AF638" s="1390"/>
      <c r="AG638" s="1390"/>
      <c r="AH638" s="1390"/>
      <c r="AI638" s="1390"/>
      <c r="AJ638" s="1390"/>
      <c r="AK638" s="1390"/>
    </row>
    <row r="639" spans="3:37" ht="17.25" customHeight="1" x14ac:dyDescent="0.35">
      <c r="C639" s="1390"/>
      <c r="D639" s="1390"/>
      <c r="E639" s="1390"/>
      <c r="F639" s="1390"/>
      <c r="G639" s="1390"/>
      <c r="H639" s="1390"/>
      <c r="I639" s="1390"/>
      <c r="J639" s="1390"/>
      <c r="K639" s="1390"/>
      <c r="L639" s="1390"/>
      <c r="M639" s="1390"/>
      <c r="N639" s="1390"/>
      <c r="O639" s="1390"/>
      <c r="P639" s="1390"/>
      <c r="Q639" s="1390"/>
      <c r="R639" s="1390"/>
      <c r="S639" s="1390"/>
      <c r="T639" s="1390"/>
      <c r="U639" s="1390"/>
      <c r="V639" s="1390"/>
      <c r="W639" s="1390"/>
      <c r="X639" s="1390"/>
      <c r="Y639" s="1390"/>
      <c r="Z639" s="1390"/>
      <c r="AA639" s="1390"/>
      <c r="AB639" s="1390"/>
      <c r="AC639" s="1390"/>
      <c r="AD639" s="1390"/>
      <c r="AE639" s="1390"/>
      <c r="AF639" s="1390"/>
      <c r="AG639" s="1390"/>
      <c r="AH639" s="1390"/>
      <c r="AI639" s="1390"/>
      <c r="AJ639" s="1390"/>
      <c r="AK639" s="1390"/>
    </row>
    <row r="640" spans="3:37" ht="17.25" customHeight="1" x14ac:dyDescent="0.35">
      <c r="C640" s="1390"/>
      <c r="D640" s="1390"/>
      <c r="E640" s="1390"/>
      <c r="F640" s="1390"/>
      <c r="G640" s="1390"/>
      <c r="H640" s="1390"/>
      <c r="I640" s="1390"/>
      <c r="J640" s="1390"/>
      <c r="K640" s="1390"/>
      <c r="L640" s="1390"/>
      <c r="M640" s="1390"/>
      <c r="N640" s="1390"/>
      <c r="O640" s="1390"/>
      <c r="P640" s="1390"/>
      <c r="Q640" s="1390"/>
      <c r="R640" s="1390"/>
      <c r="S640" s="1390"/>
      <c r="T640" s="1390"/>
      <c r="U640" s="1390"/>
      <c r="V640" s="1390"/>
      <c r="W640" s="1390"/>
      <c r="X640" s="1390"/>
      <c r="Y640" s="1390"/>
      <c r="Z640" s="1390"/>
      <c r="AA640" s="1390"/>
      <c r="AB640" s="1390"/>
      <c r="AC640" s="1390"/>
      <c r="AD640" s="1390"/>
      <c r="AE640" s="1390"/>
      <c r="AF640" s="1390"/>
      <c r="AG640" s="1390"/>
      <c r="AH640" s="1390"/>
      <c r="AI640" s="1390"/>
      <c r="AJ640" s="1390"/>
      <c r="AK640" s="1390"/>
    </row>
    <row r="641" spans="3:37" ht="17.25" customHeight="1" x14ac:dyDescent="0.35">
      <c r="C641" s="1390"/>
      <c r="D641" s="1390"/>
      <c r="E641" s="1390"/>
      <c r="F641" s="1390"/>
      <c r="G641" s="1390"/>
      <c r="H641" s="1390"/>
      <c r="I641" s="1390"/>
      <c r="J641" s="1390"/>
      <c r="K641" s="1390"/>
      <c r="L641" s="1390"/>
      <c r="M641" s="1390"/>
      <c r="N641" s="1390"/>
      <c r="O641" s="1390"/>
      <c r="P641" s="1390"/>
      <c r="Q641" s="1390"/>
      <c r="R641" s="1390"/>
      <c r="S641" s="1390"/>
      <c r="T641" s="1390"/>
      <c r="U641" s="1390"/>
      <c r="V641" s="1390"/>
      <c r="W641" s="1390"/>
      <c r="X641" s="1390"/>
      <c r="Y641" s="1390"/>
      <c r="Z641" s="1390"/>
      <c r="AA641" s="1390"/>
      <c r="AB641" s="1390"/>
      <c r="AC641" s="1390"/>
      <c r="AD641" s="1390"/>
      <c r="AE641" s="1390"/>
      <c r="AF641" s="1390"/>
      <c r="AG641" s="1390"/>
      <c r="AH641" s="1390"/>
      <c r="AI641" s="1390"/>
      <c r="AJ641" s="1390"/>
      <c r="AK641" s="1390"/>
    </row>
    <row r="642" spans="3:37" ht="17.25" customHeight="1" x14ac:dyDescent="0.35">
      <c r="C642" s="1390"/>
      <c r="D642" s="1390"/>
      <c r="E642" s="1390"/>
      <c r="F642" s="1390"/>
      <c r="G642" s="1390"/>
      <c r="H642" s="1390"/>
      <c r="I642" s="1390"/>
      <c r="J642" s="1390"/>
      <c r="K642" s="1390"/>
      <c r="L642" s="1390"/>
      <c r="M642" s="1390"/>
      <c r="N642" s="1390"/>
      <c r="O642" s="1390"/>
      <c r="P642" s="1390"/>
      <c r="Q642" s="1390"/>
      <c r="R642" s="1390"/>
      <c r="S642" s="1390"/>
      <c r="T642" s="1390"/>
      <c r="U642" s="1390"/>
      <c r="V642" s="1390"/>
      <c r="W642" s="1390"/>
      <c r="X642" s="1390"/>
      <c r="Y642" s="1390"/>
      <c r="Z642" s="1390"/>
      <c r="AA642" s="1390"/>
      <c r="AB642" s="1390"/>
      <c r="AC642" s="1390"/>
      <c r="AD642" s="1390"/>
      <c r="AE642" s="1390"/>
      <c r="AF642" s="1390"/>
      <c r="AG642" s="1390"/>
      <c r="AH642" s="1390"/>
      <c r="AI642" s="1390"/>
      <c r="AJ642" s="1390"/>
      <c r="AK642" s="1390"/>
    </row>
    <row r="643" spans="3:37" ht="17.25" customHeight="1" x14ac:dyDescent="0.35">
      <c r="C643" s="1390"/>
      <c r="D643" s="1390"/>
      <c r="E643" s="1390"/>
      <c r="F643" s="1390"/>
      <c r="G643" s="1390"/>
      <c r="H643" s="1390"/>
      <c r="I643" s="1390"/>
      <c r="J643" s="1390"/>
      <c r="K643" s="1390"/>
      <c r="L643" s="1390"/>
      <c r="M643" s="1390"/>
      <c r="N643" s="1390"/>
      <c r="O643" s="1390"/>
      <c r="P643" s="1390"/>
      <c r="Q643" s="1390"/>
      <c r="R643" s="1390"/>
      <c r="S643" s="1390"/>
      <c r="T643" s="1390"/>
      <c r="U643" s="1390"/>
      <c r="V643" s="1390"/>
      <c r="W643" s="1390"/>
      <c r="X643" s="1390"/>
      <c r="Y643" s="1390"/>
      <c r="Z643" s="1390"/>
      <c r="AA643" s="1390"/>
      <c r="AB643" s="1390"/>
      <c r="AC643" s="1390"/>
      <c r="AD643" s="1390"/>
      <c r="AE643" s="1390"/>
      <c r="AF643" s="1390"/>
      <c r="AG643" s="1390"/>
      <c r="AH643" s="1390"/>
      <c r="AI643" s="1390"/>
      <c r="AJ643" s="1390"/>
      <c r="AK643" s="1390"/>
    </row>
    <row r="644" spans="3:37" ht="17.25" customHeight="1" x14ac:dyDescent="0.35">
      <c r="C644" s="1390"/>
      <c r="D644" s="1390"/>
      <c r="E644" s="1390"/>
      <c r="F644" s="1390"/>
      <c r="G644" s="1390"/>
      <c r="H644" s="1390"/>
      <c r="I644" s="1390"/>
      <c r="J644" s="1390"/>
      <c r="K644" s="1390"/>
      <c r="L644" s="1390"/>
      <c r="M644" s="1390"/>
      <c r="N644" s="1390"/>
      <c r="O644" s="1390"/>
      <c r="P644" s="1390"/>
      <c r="Q644" s="1390"/>
      <c r="R644" s="1390"/>
      <c r="S644" s="1390"/>
      <c r="T644" s="1390"/>
      <c r="U644" s="1390"/>
      <c r="V644" s="1390"/>
      <c r="W644" s="1390"/>
      <c r="X644" s="1390"/>
      <c r="Y644" s="1390"/>
      <c r="Z644" s="1390"/>
      <c r="AA644" s="1390"/>
      <c r="AB644" s="1390"/>
      <c r="AC644" s="1390"/>
      <c r="AD644" s="1390"/>
      <c r="AE644" s="1390"/>
      <c r="AF644" s="1390"/>
      <c r="AG644" s="1390"/>
      <c r="AH644" s="1390"/>
      <c r="AI644" s="1390"/>
      <c r="AJ644" s="1390"/>
      <c r="AK644" s="1390"/>
    </row>
    <row r="645" spans="3:37" ht="17.25" customHeight="1" x14ac:dyDescent="0.35">
      <c r="C645" s="1390"/>
      <c r="D645" s="1390"/>
      <c r="E645" s="1390"/>
      <c r="F645" s="1390"/>
      <c r="G645" s="1390"/>
      <c r="H645" s="1390"/>
      <c r="I645" s="1390"/>
      <c r="J645" s="1390"/>
      <c r="K645" s="1390"/>
      <c r="L645" s="1390"/>
      <c r="M645" s="1390"/>
      <c r="N645" s="1390"/>
      <c r="O645" s="1390"/>
      <c r="P645" s="1390"/>
      <c r="Q645" s="1390"/>
      <c r="R645" s="1390"/>
      <c r="S645" s="1390"/>
      <c r="T645" s="1390"/>
      <c r="U645" s="1390"/>
      <c r="V645" s="1390"/>
      <c r="W645" s="1390"/>
      <c r="X645" s="1390"/>
      <c r="Y645" s="1390"/>
      <c r="Z645" s="1390"/>
      <c r="AA645" s="1390"/>
      <c r="AB645" s="1390"/>
      <c r="AC645" s="1390"/>
      <c r="AD645" s="1390"/>
      <c r="AE645" s="1390"/>
      <c r="AF645" s="1390"/>
      <c r="AG645" s="1390"/>
      <c r="AH645" s="1390"/>
      <c r="AI645" s="1390"/>
      <c r="AJ645" s="1390"/>
      <c r="AK645" s="1390"/>
    </row>
    <row r="646" spans="3:37" ht="17.25" customHeight="1" x14ac:dyDescent="0.35">
      <c r="C646" s="1390"/>
      <c r="D646" s="1390"/>
      <c r="E646" s="1390"/>
      <c r="F646" s="1390"/>
      <c r="G646" s="1390"/>
      <c r="H646" s="1390"/>
      <c r="I646" s="1390"/>
      <c r="J646" s="1390"/>
      <c r="K646" s="1390"/>
      <c r="L646" s="1390"/>
      <c r="M646" s="1390"/>
      <c r="N646" s="1390"/>
      <c r="O646" s="1390"/>
      <c r="P646" s="1390"/>
      <c r="Q646" s="1390"/>
      <c r="R646" s="1390"/>
      <c r="S646" s="1390"/>
      <c r="T646" s="1390"/>
      <c r="U646" s="1390"/>
      <c r="V646" s="1390"/>
      <c r="W646" s="1390"/>
      <c r="X646" s="1390"/>
      <c r="Y646" s="1390"/>
      <c r="Z646" s="1390"/>
      <c r="AA646" s="1390"/>
      <c r="AB646" s="1390"/>
      <c r="AC646" s="1390"/>
      <c r="AD646" s="1390"/>
      <c r="AE646" s="1390"/>
      <c r="AF646" s="1390"/>
      <c r="AG646" s="1390"/>
      <c r="AH646" s="1390"/>
      <c r="AI646" s="1390"/>
      <c r="AJ646" s="1390"/>
      <c r="AK646" s="1390"/>
    </row>
    <row r="647" spans="3:37" ht="17.25" customHeight="1" x14ac:dyDescent="0.35">
      <c r="C647" s="1390"/>
      <c r="D647" s="1390"/>
      <c r="E647" s="1390"/>
      <c r="F647" s="1390"/>
      <c r="G647" s="1390"/>
      <c r="H647" s="1390"/>
      <c r="I647" s="1390"/>
      <c r="J647" s="1390"/>
      <c r="K647" s="1390"/>
      <c r="L647" s="1390"/>
      <c r="M647" s="1390"/>
      <c r="N647" s="1390"/>
      <c r="O647" s="1390"/>
      <c r="P647" s="1390"/>
      <c r="Q647" s="1390"/>
      <c r="R647" s="1390"/>
      <c r="S647" s="1390"/>
      <c r="T647" s="1390"/>
      <c r="U647" s="1390"/>
      <c r="V647" s="1390"/>
      <c r="W647" s="1390"/>
      <c r="X647" s="1390"/>
      <c r="Y647" s="1390"/>
      <c r="Z647" s="1390"/>
      <c r="AA647" s="1390"/>
      <c r="AB647" s="1390"/>
      <c r="AC647" s="1390"/>
      <c r="AD647" s="1390"/>
      <c r="AE647" s="1390"/>
      <c r="AF647" s="1390"/>
      <c r="AG647" s="1390"/>
      <c r="AH647" s="1390"/>
      <c r="AI647" s="1390"/>
      <c r="AJ647" s="1390"/>
      <c r="AK647" s="1390"/>
    </row>
    <row r="648" spans="3:37" ht="17.25" customHeight="1" x14ac:dyDescent="0.35">
      <c r="C648" s="1390"/>
      <c r="D648" s="1390"/>
      <c r="E648" s="1390"/>
      <c r="F648" s="1390"/>
      <c r="G648" s="1390"/>
      <c r="H648" s="1390"/>
      <c r="I648" s="1390"/>
      <c r="J648" s="1390"/>
      <c r="K648" s="1390"/>
      <c r="L648" s="1390"/>
      <c r="M648" s="1390"/>
      <c r="N648" s="1390"/>
      <c r="O648" s="1390"/>
      <c r="P648" s="1390"/>
      <c r="Q648" s="1390"/>
      <c r="R648" s="1390"/>
      <c r="S648" s="1390"/>
      <c r="T648" s="1390"/>
      <c r="U648" s="1390"/>
      <c r="V648" s="1390"/>
      <c r="W648" s="1390"/>
      <c r="X648" s="1390"/>
      <c r="Y648" s="1390"/>
      <c r="Z648" s="1390"/>
      <c r="AA648" s="1390"/>
      <c r="AB648" s="1390"/>
      <c r="AC648" s="1390"/>
      <c r="AD648" s="1390"/>
      <c r="AE648" s="1390"/>
      <c r="AF648" s="1390"/>
      <c r="AG648" s="1390"/>
      <c r="AH648" s="1390"/>
      <c r="AI648" s="1390"/>
      <c r="AJ648" s="1390"/>
      <c r="AK648" s="1390"/>
    </row>
    <row r="649" spans="3:37" ht="17.25" customHeight="1" x14ac:dyDescent="0.35">
      <c r="C649" s="1390"/>
      <c r="D649" s="1390"/>
      <c r="E649" s="1390"/>
      <c r="F649" s="1390"/>
      <c r="G649" s="1390"/>
      <c r="H649" s="1390"/>
      <c r="I649" s="1390"/>
      <c r="J649" s="1390"/>
      <c r="K649" s="1390"/>
      <c r="L649" s="1390"/>
      <c r="M649" s="1390"/>
      <c r="N649" s="1390"/>
      <c r="O649" s="1390"/>
      <c r="P649" s="1390"/>
      <c r="Q649" s="1390"/>
      <c r="R649" s="1390"/>
      <c r="S649" s="1390"/>
      <c r="T649" s="1390"/>
      <c r="U649" s="1390"/>
      <c r="V649" s="1390"/>
      <c r="W649" s="1390"/>
      <c r="X649" s="1390"/>
      <c r="Y649" s="1390"/>
      <c r="Z649" s="1390"/>
      <c r="AA649" s="1390"/>
      <c r="AB649" s="1390"/>
      <c r="AC649" s="1390"/>
      <c r="AD649" s="1390"/>
      <c r="AE649" s="1390"/>
      <c r="AF649" s="1390"/>
      <c r="AG649" s="1390"/>
      <c r="AH649" s="1390"/>
      <c r="AI649" s="1390"/>
      <c r="AJ649" s="1390"/>
      <c r="AK649" s="1390"/>
    </row>
    <row r="650" spans="3:37" ht="17.25" customHeight="1" x14ac:dyDescent="0.35">
      <c r="C650" s="1390"/>
      <c r="D650" s="1390"/>
      <c r="E650" s="1390"/>
      <c r="F650" s="1390"/>
      <c r="G650" s="1390"/>
      <c r="H650" s="1390"/>
      <c r="I650" s="1390"/>
      <c r="J650" s="1390"/>
      <c r="K650" s="1390"/>
      <c r="L650" s="1390"/>
      <c r="M650" s="1390"/>
      <c r="N650" s="1390"/>
      <c r="O650" s="1390"/>
      <c r="P650" s="1390"/>
      <c r="Q650" s="1390"/>
      <c r="R650" s="1390"/>
      <c r="S650" s="1390"/>
      <c r="T650" s="1390"/>
      <c r="U650" s="1390"/>
      <c r="V650" s="1390"/>
      <c r="W650" s="1390"/>
      <c r="X650" s="1390"/>
      <c r="Y650" s="1390"/>
      <c r="Z650" s="1390"/>
      <c r="AA650" s="1390"/>
      <c r="AB650" s="1390"/>
      <c r="AC650" s="1390"/>
      <c r="AD650" s="1390"/>
      <c r="AE650" s="1390"/>
      <c r="AF650" s="1390"/>
      <c r="AG650" s="1390"/>
      <c r="AH650" s="1390"/>
      <c r="AI650" s="1390"/>
      <c r="AJ650" s="1390"/>
      <c r="AK650" s="1390"/>
    </row>
    <row r="651" spans="3:37" ht="17.25" customHeight="1" x14ac:dyDescent="0.35">
      <c r="C651" s="1390"/>
      <c r="D651" s="1390"/>
      <c r="E651" s="1390"/>
      <c r="F651" s="1390"/>
      <c r="G651" s="1390"/>
      <c r="H651" s="1390"/>
      <c r="I651" s="1390"/>
      <c r="J651" s="1390"/>
      <c r="K651" s="1390"/>
      <c r="L651" s="1390"/>
      <c r="M651" s="1390"/>
      <c r="N651" s="1390"/>
      <c r="O651" s="1390"/>
      <c r="P651" s="1390"/>
      <c r="Q651" s="1390"/>
      <c r="R651" s="1390"/>
      <c r="S651" s="1390"/>
      <c r="T651" s="1390"/>
      <c r="U651" s="1390"/>
      <c r="V651" s="1390"/>
      <c r="W651" s="1390"/>
      <c r="X651" s="1390"/>
      <c r="Y651" s="1390"/>
      <c r="Z651" s="1390"/>
      <c r="AA651" s="1390"/>
      <c r="AB651" s="1390"/>
      <c r="AC651" s="1390"/>
      <c r="AD651" s="1390"/>
      <c r="AE651" s="1390"/>
      <c r="AF651" s="1390"/>
      <c r="AG651" s="1390"/>
      <c r="AH651" s="1390"/>
      <c r="AI651" s="1390"/>
      <c r="AJ651" s="1390"/>
      <c r="AK651" s="1390"/>
    </row>
    <row r="652" spans="3:37" ht="17.25" customHeight="1" x14ac:dyDescent="0.35">
      <c r="C652" s="1390"/>
      <c r="D652" s="1390"/>
      <c r="E652" s="1390"/>
      <c r="F652" s="1390"/>
      <c r="G652" s="1390"/>
      <c r="H652" s="1390"/>
      <c r="I652" s="1390"/>
      <c r="J652" s="1390"/>
      <c r="K652" s="1390"/>
      <c r="L652" s="1390"/>
      <c r="M652" s="1390"/>
      <c r="N652" s="1390"/>
      <c r="O652" s="1390"/>
      <c r="P652" s="1390"/>
      <c r="Q652" s="1390"/>
      <c r="R652" s="1390"/>
      <c r="S652" s="1390"/>
      <c r="T652" s="1390"/>
      <c r="U652" s="1390"/>
      <c r="V652" s="1390"/>
      <c r="W652" s="1390"/>
      <c r="X652" s="1390"/>
      <c r="Y652" s="1390"/>
      <c r="Z652" s="1390"/>
      <c r="AA652" s="1390"/>
      <c r="AB652" s="1390"/>
      <c r="AC652" s="1390"/>
      <c r="AD652" s="1390"/>
      <c r="AE652" s="1390"/>
      <c r="AF652" s="1390"/>
      <c r="AG652" s="1390"/>
      <c r="AH652" s="1390"/>
      <c r="AI652" s="1390"/>
      <c r="AJ652" s="1390"/>
      <c r="AK652" s="1390"/>
    </row>
    <row r="653" spans="3:37" ht="17.25" customHeight="1" x14ac:dyDescent="0.35">
      <c r="C653" s="1390"/>
      <c r="D653" s="1390"/>
      <c r="E653" s="1390"/>
      <c r="F653" s="1390"/>
      <c r="G653" s="1390"/>
      <c r="H653" s="1390"/>
      <c r="I653" s="1390"/>
      <c r="J653" s="1390"/>
      <c r="K653" s="1390"/>
      <c r="L653" s="1390"/>
      <c r="M653" s="1390"/>
      <c r="N653" s="1390"/>
      <c r="O653" s="1390"/>
      <c r="P653" s="1390"/>
      <c r="Q653" s="1390"/>
      <c r="R653" s="1390"/>
      <c r="S653" s="1390"/>
      <c r="T653" s="1390"/>
      <c r="U653" s="1390"/>
      <c r="V653" s="1390"/>
      <c r="W653" s="1390"/>
      <c r="X653" s="1390"/>
      <c r="Y653" s="1390"/>
      <c r="Z653" s="1390"/>
      <c r="AA653" s="1390"/>
      <c r="AB653" s="1390"/>
      <c r="AC653" s="1390"/>
      <c r="AD653" s="1390"/>
      <c r="AE653" s="1390"/>
      <c r="AF653" s="1390"/>
      <c r="AG653" s="1390"/>
      <c r="AH653" s="1390"/>
      <c r="AI653" s="1390"/>
      <c r="AJ653" s="1390"/>
      <c r="AK653" s="1390"/>
    </row>
    <row r="654" spans="3:37" ht="17.25" customHeight="1" x14ac:dyDescent="0.35">
      <c r="C654" s="1390"/>
      <c r="D654" s="1390"/>
      <c r="E654" s="1390"/>
      <c r="F654" s="1390"/>
      <c r="G654" s="1390"/>
      <c r="H654" s="1390"/>
      <c r="I654" s="1390"/>
      <c r="J654" s="1390"/>
      <c r="K654" s="1390"/>
      <c r="L654" s="1390"/>
      <c r="M654" s="1390"/>
      <c r="N654" s="1390"/>
      <c r="O654" s="1390"/>
      <c r="P654" s="1390"/>
      <c r="Q654" s="1390"/>
      <c r="R654" s="1390"/>
      <c r="S654" s="1390"/>
      <c r="T654" s="1390"/>
      <c r="U654" s="1390"/>
      <c r="V654" s="1390"/>
      <c r="W654" s="1390"/>
      <c r="X654" s="1390"/>
      <c r="Y654" s="1390"/>
      <c r="Z654" s="1390"/>
      <c r="AA654" s="1390"/>
      <c r="AB654" s="1390"/>
      <c r="AC654" s="1390"/>
      <c r="AD654" s="1390"/>
      <c r="AE654" s="1390"/>
      <c r="AF654" s="1390"/>
      <c r="AG654" s="1390"/>
      <c r="AH654" s="1390"/>
      <c r="AI654" s="1390"/>
      <c r="AJ654" s="1390"/>
      <c r="AK654" s="1390"/>
    </row>
    <row r="655" spans="3:37" ht="17.25" customHeight="1" x14ac:dyDescent="0.35">
      <c r="C655" s="1390"/>
      <c r="D655" s="1390"/>
      <c r="E655" s="1390"/>
      <c r="F655" s="1390"/>
      <c r="G655" s="1390"/>
      <c r="H655" s="1390"/>
      <c r="I655" s="1390"/>
      <c r="J655" s="1390"/>
      <c r="K655" s="1390"/>
      <c r="L655" s="1390"/>
      <c r="M655" s="1390"/>
      <c r="N655" s="1390"/>
      <c r="O655" s="1390"/>
      <c r="P655" s="1390"/>
      <c r="Q655" s="1390"/>
      <c r="R655" s="1390"/>
      <c r="S655" s="1390"/>
      <c r="T655" s="1390"/>
      <c r="U655" s="1390"/>
      <c r="V655" s="1390"/>
      <c r="W655" s="1390"/>
      <c r="X655" s="1390"/>
      <c r="Y655" s="1390"/>
      <c r="Z655" s="1390"/>
      <c r="AA655" s="1390"/>
      <c r="AB655" s="1390"/>
      <c r="AC655" s="1390"/>
      <c r="AD655" s="1390"/>
      <c r="AE655" s="1390"/>
      <c r="AF655" s="1390"/>
      <c r="AG655" s="1390"/>
      <c r="AH655" s="1390"/>
      <c r="AI655" s="1390"/>
      <c r="AJ655" s="1390"/>
      <c r="AK655" s="1390"/>
    </row>
    <row r="656" spans="3:37" ht="17.25" customHeight="1" x14ac:dyDescent="0.35">
      <c r="C656" s="1390"/>
      <c r="D656" s="1390"/>
      <c r="E656" s="1390"/>
      <c r="F656" s="1390"/>
      <c r="G656" s="1390"/>
      <c r="H656" s="1390"/>
      <c r="I656" s="1390"/>
      <c r="J656" s="1390"/>
      <c r="K656" s="1390"/>
      <c r="L656" s="1390"/>
      <c r="M656" s="1390"/>
      <c r="N656" s="1390"/>
      <c r="O656" s="1390"/>
      <c r="P656" s="1390"/>
      <c r="Q656" s="1390"/>
      <c r="R656" s="1390"/>
      <c r="S656" s="1390"/>
      <c r="T656" s="1390"/>
      <c r="U656" s="1390"/>
      <c r="V656" s="1390"/>
      <c r="W656" s="1390"/>
      <c r="X656" s="1390"/>
      <c r="Y656" s="1390"/>
      <c r="Z656" s="1390"/>
      <c r="AA656" s="1390"/>
      <c r="AB656" s="1390"/>
      <c r="AC656" s="1390"/>
      <c r="AD656" s="1390"/>
      <c r="AE656" s="1390"/>
      <c r="AF656" s="1390"/>
      <c r="AG656" s="1390"/>
      <c r="AH656" s="1390"/>
      <c r="AI656" s="1390"/>
      <c r="AJ656" s="1390"/>
      <c r="AK656" s="1390"/>
    </row>
    <row r="657" spans="3:37" ht="17.25" customHeight="1" x14ac:dyDescent="0.35">
      <c r="C657" s="1390"/>
      <c r="D657" s="1390"/>
      <c r="E657" s="1390"/>
      <c r="F657" s="1390"/>
      <c r="G657" s="1390"/>
      <c r="H657" s="1390"/>
      <c r="I657" s="1390"/>
      <c r="J657" s="1390"/>
      <c r="K657" s="1390"/>
      <c r="L657" s="1390"/>
      <c r="M657" s="1390"/>
      <c r="N657" s="1390"/>
      <c r="O657" s="1390"/>
      <c r="P657" s="1390"/>
      <c r="Q657" s="1390"/>
      <c r="R657" s="1390"/>
      <c r="S657" s="1390"/>
      <c r="T657" s="1390"/>
      <c r="U657" s="1390"/>
      <c r="V657" s="1390"/>
      <c r="W657" s="1390"/>
      <c r="X657" s="1390"/>
      <c r="Y657" s="1390"/>
      <c r="Z657" s="1390"/>
      <c r="AA657" s="1390"/>
      <c r="AB657" s="1390"/>
      <c r="AC657" s="1390"/>
      <c r="AD657" s="1390"/>
      <c r="AE657" s="1390"/>
      <c r="AF657" s="1390"/>
      <c r="AG657" s="1390"/>
      <c r="AH657" s="1390"/>
      <c r="AI657" s="1390"/>
      <c r="AJ657" s="1390"/>
      <c r="AK657" s="1390"/>
    </row>
    <row r="658" spans="3:37" ht="17.25" customHeight="1" x14ac:dyDescent="0.35">
      <c r="C658" s="1390"/>
      <c r="D658" s="1390"/>
      <c r="E658" s="1390"/>
      <c r="F658" s="1390"/>
      <c r="G658" s="1390"/>
      <c r="H658" s="1390"/>
      <c r="I658" s="1390"/>
      <c r="J658" s="1390"/>
      <c r="K658" s="1390"/>
      <c r="L658" s="1390"/>
      <c r="M658" s="1390"/>
      <c r="N658" s="1390"/>
      <c r="O658" s="1390"/>
      <c r="P658" s="1390"/>
      <c r="Q658" s="1390"/>
      <c r="R658" s="1390"/>
      <c r="S658" s="1390"/>
      <c r="T658" s="1390"/>
      <c r="U658" s="1390"/>
      <c r="V658" s="1390"/>
      <c r="W658" s="1390"/>
      <c r="X658" s="1390"/>
      <c r="Y658" s="1390"/>
      <c r="Z658" s="1390"/>
      <c r="AA658" s="1390"/>
      <c r="AB658" s="1390"/>
      <c r="AC658" s="1390"/>
      <c r="AD658" s="1390"/>
      <c r="AE658" s="1390"/>
      <c r="AF658" s="1390"/>
      <c r="AG658" s="1390"/>
      <c r="AH658" s="1390"/>
      <c r="AI658" s="1390"/>
      <c r="AJ658" s="1390"/>
      <c r="AK658" s="1390"/>
    </row>
    <row r="659" spans="3:37" ht="17.25" customHeight="1" x14ac:dyDescent="0.35">
      <c r="C659" s="1390"/>
      <c r="D659" s="1390"/>
      <c r="E659" s="1390"/>
      <c r="F659" s="1390"/>
      <c r="G659" s="1390"/>
      <c r="H659" s="1390"/>
      <c r="I659" s="1390"/>
      <c r="J659" s="1390"/>
      <c r="K659" s="1390"/>
      <c r="L659" s="1390"/>
      <c r="M659" s="1390"/>
      <c r="N659" s="1390"/>
      <c r="O659" s="1390"/>
      <c r="P659" s="1390"/>
      <c r="Q659" s="1390"/>
      <c r="R659" s="1390"/>
      <c r="S659" s="1390"/>
      <c r="T659" s="1390"/>
      <c r="U659" s="1390"/>
      <c r="V659" s="1390"/>
      <c r="W659" s="1390"/>
      <c r="X659" s="1390"/>
      <c r="Y659" s="1390"/>
      <c r="Z659" s="1390"/>
      <c r="AA659" s="1390"/>
      <c r="AB659" s="1390"/>
      <c r="AC659" s="1390"/>
      <c r="AD659" s="1390"/>
      <c r="AE659" s="1390"/>
      <c r="AF659" s="1390"/>
      <c r="AG659" s="1390"/>
      <c r="AH659" s="1390"/>
      <c r="AI659" s="1390"/>
      <c r="AJ659" s="1390"/>
      <c r="AK659" s="1390"/>
    </row>
    <row r="660" spans="3:37" ht="17.25" customHeight="1" x14ac:dyDescent="0.35">
      <c r="C660" s="1390"/>
      <c r="D660" s="1390"/>
      <c r="E660" s="1390"/>
      <c r="F660" s="1390"/>
      <c r="G660" s="1390"/>
      <c r="H660" s="1390"/>
      <c r="I660" s="1390"/>
      <c r="J660" s="1390"/>
      <c r="K660" s="1390"/>
      <c r="L660" s="1390"/>
      <c r="M660" s="1390"/>
      <c r="N660" s="1390"/>
      <c r="O660" s="1390"/>
      <c r="P660" s="1390"/>
      <c r="Q660" s="1390"/>
      <c r="R660" s="1390"/>
      <c r="S660" s="1390"/>
      <c r="T660" s="1390"/>
      <c r="U660" s="1390"/>
      <c r="V660" s="1390"/>
      <c r="W660" s="1390"/>
      <c r="X660" s="1390"/>
      <c r="Y660" s="1390"/>
      <c r="Z660" s="1390"/>
      <c r="AA660" s="1390"/>
      <c r="AB660" s="1390"/>
      <c r="AC660" s="1390"/>
      <c r="AD660" s="1390"/>
      <c r="AE660" s="1390"/>
      <c r="AF660" s="1390"/>
      <c r="AG660" s="1390"/>
      <c r="AH660" s="1390"/>
      <c r="AI660" s="1390"/>
      <c r="AJ660" s="1390"/>
      <c r="AK660" s="1390"/>
    </row>
    <row r="661" spans="3:37" ht="17.25" customHeight="1" x14ac:dyDescent="0.35">
      <c r="C661" s="1390"/>
      <c r="D661" s="1390"/>
      <c r="E661" s="1390"/>
      <c r="F661" s="1390"/>
      <c r="G661" s="1390"/>
      <c r="H661" s="1390"/>
      <c r="I661" s="1390"/>
      <c r="J661" s="1390"/>
      <c r="K661" s="1390"/>
      <c r="L661" s="1390"/>
      <c r="M661" s="1390"/>
      <c r="N661" s="1390"/>
      <c r="O661" s="1390"/>
      <c r="P661" s="1390"/>
      <c r="Q661" s="1390"/>
      <c r="R661" s="1390"/>
      <c r="S661" s="1390"/>
      <c r="T661" s="1390"/>
      <c r="U661" s="1390"/>
      <c r="V661" s="1390"/>
      <c r="W661" s="1390"/>
      <c r="X661" s="1390"/>
      <c r="Y661" s="1390"/>
      <c r="Z661" s="1390"/>
      <c r="AA661" s="1390"/>
      <c r="AB661" s="1390"/>
      <c r="AC661" s="1390"/>
      <c r="AD661" s="1390"/>
      <c r="AE661" s="1390"/>
      <c r="AF661" s="1390"/>
      <c r="AG661" s="1390"/>
      <c r="AH661" s="1390"/>
      <c r="AI661" s="1390"/>
      <c r="AJ661" s="1390"/>
      <c r="AK661" s="1390"/>
    </row>
    <row r="662" spans="3:37" ht="17.25" customHeight="1" x14ac:dyDescent="0.35">
      <c r="C662" s="1390"/>
      <c r="D662" s="1390"/>
      <c r="E662" s="1390"/>
      <c r="F662" s="1390"/>
      <c r="G662" s="1390"/>
      <c r="H662" s="1390"/>
      <c r="I662" s="1390"/>
      <c r="J662" s="1390"/>
      <c r="K662" s="1390"/>
      <c r="L662" s="1390"/>
      <c r="M662" s="1390"/>
      <c r="N662" s="1390"/>
      <c r="O662" s="1390"/>
      <c r="P662" s="1390"/>
      <c r="Q662" s="1390"/>
      <c r="R662" s="1390"/>
      <c r="S662" s="1390"/>
      <c r="T662" s="1390"/>
      <c r="U662" s="1390"/>
      <c r="V662" s="1390"/>
      <c r="W662" s="1390"/>
      <c r="X662" s="1390"/>
      <c r="Y662" s="1390"/>
      <c r="Z662" s="1390"/>
      <c r="AA662" s="1390"/>
      <c r="AB662" s="1390"/>
      <c r="AC662" s="1390"/>
      <c r="AD662" s="1390"/>
      <c r="AE662" s="1390"/>
      <c r="AF662" s="1390"/>
      <c r="AG662" s="1390"/>
      <c r="AH662" s="1390"/>
      <c r="AI662" s="1390"/>
      <c r="AJ662" s="1390"/>
      <c r="AK662" s="1390"/>
    </row>
    <row r="663" spans="3:37" ht="17.25" customHeight="1" x14ac:dyDescent="0.35">
      <c r="C663" s="1390"/>
      <c r="D663" s="1390"/>
      <c r="E663" s="1390"/>
      <c r="F663" s="1390"/>
      <c r="G663" s="1390"/>
      <c r="H663" s="1390"/>
      <c r="I663" s="1390"/>
      <c r="J663" s="1390"/>
      <c r="K663" s="1390"/>
      <c r="L663" s="1390"/>
      <c r="M663" s="1390"/>
      <c r="N663" s="1390"/>
      <c r="O663" s="1390"/>
      <c r="P663" s="1390"/>
      <c r="Q663" s="1390"/>
      <c r="R663" s="1390"/>
      <c r="S663" s="1390"/>
      <c r="T663" s="1390"/>
      <c r="U663" s="1390"/>
      <c r="V663" s="1390"/>
      <c r="W663" s="1390"/>
      <c r="X663" s="1390"/>
      <c r="Y663" s="1390"/>
      <c r="Z663" s="1390"/>
      <c r="AA663" s="1390"/>
      <c r="AB663" s="1390"/>
      <c r="AC663" s="1390"/>
      <c r="AD663" s="1390"/>
      <c r="AE663" s="1390"/>
      <c r="AF663" s="1390"/>
      <c r="AG663" s="1390"/>
      <c r="AH663" s="1390"/>
      <c r="AI663" s="1390"/>
      <c r="AJ663" s="1390"/>
      <c r="AK663" s="1390"/>
    </row>
    <row r="664" spans="3:37" ht="17.25" customHeight="1" x14ac:dyDescent="0.35">
      <c r="C664" s="1390"/>
      <c r="D664" s="1390"/>
      <c r="E664" s="1390"/>
      <c r="F664" s="1390"/>
      <c r="G664" s="1390"/>
      <c r="H664" s="1390"/>
      <c r="I664" s="1390"/>
      <c r="J664" s="1390"/>
      <c r="K664" s="1390"/>
      <c r="L664" s="1390"/>
      <c r="M664" s="1390"/>
      <c r="N664" s="1390"/>
      <c r="O664" s="1390"/>
      <c r="P664" s="1390"/>
      <c r="Q664" s="1390"/>
      <c r="R664" s="1390"/>
      <c r="S664" s="1390"/>
      <c r="T664" s="1390"/>
      <c r="U664" s="1390"/>
      <c r="V664" s="1390"/>
      <c r="W664" s="1390"/>
      <c r="X664" s="1390"/>
      <c r="Y664" s="1390"/>
      <c r="Z664" s="1390"/>
      <c r="AA664" s="1390"/>
      <c r="AB664" s="1390"/>
      <c r="AC664" s="1390"/>
      <c r="AD664" s="1390"/>
      <c r="AE664" s="1390"/>
      <c r="AF664" s="1390"/>
      <c r="AG664" s="1390"/>
      <c r="AH664" s="1390"/>
      <c r="AI664" s="1390"/>
      <c r="AJ664" s="1390"/>
      <c r="AK664" s="1390"/>
    </row>
    <row r="665" spans="3:37" ht="17.25" customHeight="1" x14ac:dyDescent="0.35">
      <c r="C665" s="1390"/>
      <c r="D665" s="1390"/>
      <c r="E665" s="1390"/>
      <c r="F665" s="1390"/>
      <c r="G665" s="1390"/>
      <c r="H665" s="1390"/>
      <c r="I665" s="1390"/>
      <c r="J665" s="1390"/>
      <c r="K665" s="1390"/>
      <c r="L665" s="1390"/>
      <c r="M665" s="1390"/>
      <c r="N665" s="1390"/>
      <c r="O665" s="1390"/>
      <c r="P665" s="1390"/>
      <c r="Q665" s="1390"/>
      <c r="R665" s="1390"/>
      <c r="S665" s="1390"/>
      <c r="T665" s="1390"/>
      <c r="U665" s="1390"/>
      <c r="V665" s="1390"/>
      <c r="W665" s="1390"/>
      <c r="X665" s="1390"/>
      <c r="Y665" s="1390"/>
      <c r="Z665" s="1390"/>
      <c r="AA665" s="1390"/>
      <c r="AB665" s="1390"/>
      <c r="AC665" s="1390"/>
      <c r="AD665" s="1390"/>
      <c r="AE665" s="1390"/>
      <c r="AF665" s="1390"/>
      <c r="AG665" s="1390"/>
      <c r="AH665" s="1390"/>
      <c r="AI665" s="1390"/>
      <c r="AJ665" s="1390"/>
      <c r="AK665" s="1390"/>
    </row>
    <row r="666" spans="3:37" ht="17.25" customHeight="1" x14ac:dyDescent="0.35">
      <c r="C666" s="1390"/>
      <c r="D666" s="1390"/>
      <c r="E666" s="1390"/>
      <c r="F666" s="1390"/>
      <c r="G666" s="1390"/>
      <c r="H666" s="1390"/>
      <c r="I666" s="1390"/>
      <c r="J666" s="1390"/>
      <c r="K666" s="1390"/>
      <c r="L666" s="1390"/>
      <c r="M666" s="1390"/>
      <c r="N666" s="1390"/>
      <c r="O666" s="1390"/>
      <c r="P666" s="1390"/>
      <c r="Q666" s="1390"/>
      <c r="R666" s="1390"/>
      <c r="S666" s="1390"/>
      <c r="T666" s="1390"/>
      <c r="U666" s="1390"/>
      <c r="V666" s="1390"/>
      <c r="W666" s="1390"/>
      <c r="X666" s="1390"/>
      <c r="Y666" s="1390"/>
      <c r="Z666" s="1390"/>
      <c r="AA666" s="1390"/>
      <c r="AB666" s="1390"/>
      <c r="AC666" s="1390"/>
      <c r="AD666" s="1390"/>
      <c r="AE666" s="1390"/>
      <c r="AF666" s="1390"/>
      <c r="AG666" s="1390"/>
      <c r="AH666" s="1390"/>
      <c r="AI666" s="1390"/>
      <c r="AJ666" s="1390"/>
      <c r="AK666" s="1390"/>
    </row>
    <row r="667" spans="3:37" ht="17.25" customHeight="1" x14ac:dyDescent="0.35">
      <c r="C667" s="1390"/>
      <c r="D667" s="1390"/>
      <c r="E667" s="1390"/>
      <c r="F667" s="1390"/>
      <c r="G667" s="1390"/>
      <c r="H667" s="1390"/>
      <c r="I667" s="1390"/>
      <c r="J667" s="1390"/>
      <c r="K667" s="1390"/>
      <c r="L667" s="1390"/>
      <c r="M667" s="1390"/>
      <c r="N667" s="1390"/>
      <c r="O667" s="1390"/>
      <c r="P667" s="1390"/>
      <c r="Q667" s="1390"/>
      <c r="R667" s="1390"/>
      <c r="S667" s="1390"/>
      <c r="T667" s="1390"/>
      <c r="U667" s="1390"/>
      <c r="V667" s="1390"/>
      <c r="W667" s="1390"/>
      <c r="X667" s="1390"/>
      <c r="Y667" s="1390"/>
      <c r="Z667" s="1390"/>
      <c r="AA667" s="1390"/>
      <c r="AB667" s="1390"/>
      <c r="AC667" s="1390"/>
      <c r="AD667" s="1390"/>
      <c r="AE667" s="1390"/>
      <c r="AF667" s="1390"/>
      <c r="AG667" s="1390"/>
      <c r="AH667" s="1390"/>
      <c r="AI667" s="1390"/>
      <c r="AJ667" s="1390"/>
      <c r="AK667" s="1390"/>
    </row>
    <row r="668" spans="3:37" ht="17.25" customHeight="1" x14ac:dyDescent="0.35">
      <c r="C668" s="1390"/>
      <c r="D668" s="1390"/>
      <c r="E668" s="1390"/>
      <c r="F668" s="1390"/>
      <c r="G668" s="1390"/>
      <c r="H668" s="1390"/>
      <c r="I668" s="1390"/>
      <c r="J668" s="1390"/>
      <c r="K668" s="1390"/>
      <c r="L668" s="1390"/>
      <c r="M668" s="1390"/>
      <c r="N668" s="1390"/>
      <c r="O668" s="1390"/>
      <c r="P668" s="1390"/>
      <c r="Q668" s="1390"/>
      <c r="R668" s="1390"/>
      <c r="S668" s="1390"/>
      <c r="T668" s="1390"/>
      <c r="U668" s="1390"/>
      <c r="V668" s="1390"/>
      <c r="W668" s="1390"/>
      <c r="X668" s="1390"/>
      <c r="Y668" s="1390"/>
      <c r="Z668" s="1390"/>
      <c r="AA668" s="1390"/>
      <c r="AB668" s="1390"/>
      <c r="AC668" s="1390"/>
      <c r="AD668" s="1390"/>
      <c r="AE668" s="1390"/>
      <c r="AF668" s="1390"/>
      <c r="AG668" s="1390"/>
      <c r="AH668" s="1390"/>
      <c r="AI668" s="1390"/>
      <c r="AJ668" s="1390"/>
      <c r="AK668" s="1390"/>
    </row>
    <row r="669" spans="3:37" ht="17.25" customHeight="1" x14ac:dyDescent="0.35">
      <c r="C669" s="1390"/>
      <c r="D669" s="1390"/>
      <c r="E669" s="1390"/>
      <c r="F669" s="1390"/>
      <c r="G669" s="1390"/>
      <c r="H669" s="1390"/>
      <c r="I669" s="1390"/>
      <c r="J669" s="1390"/>
      <c r="K669" s="1390"/>
      <c r="L669" s="1390"/>
      <c r="M669" s="1390"/>
      <c r="N669" s="1390"/>
      <c r="O669" s="1390"/>
      <c r="P669" s="1390"/>
      <c r="Q669" s="1390"/>
      <c r="R669" s="1390"/>
      <c r="S669" s="1390"/>
      <c r="T669" s="1390"/>
      <c r="U669" s="1390"/>
      <c r="V669" s="1390"/>
      <c r="W669" s="1390"/>
      <c r="X669" s="1390"/>
      <c r="Y669" s="1390"/>
      <c r="Z669" s="1390"/>
      <c r="AA669" s="1390"/>
      <c r="AB669" s="1390"/>
      <c r="AC669" s="1390"/>
      <c r="AD669" s="1390"/>
      <c r="AE669" s="1390"/>
      <c r="AF669" s="1390"/>
      <c r="AG669" s="1390"/>
      <c r="AH669" s="1390"/>
      <c r="AI669" s="1390"/>
      <c r="AJ669" s="1390"/>
      <c r="AK669" s="1390"/>
    </row>
    <row r="670" spans="3:37" ht="17.25" customHeight="1" x14ac:dyDescent="0.35">
      <c r="C670" s="1390"/>
      <c r="D670" s="1390"/>
      <c r="E670" s="1390"/>
      <c r="F670" s="1390"/>
      <c r="G670" s="1390"/>
      <c r="H670" s="1390"/>
      <c r="I670" s="1390"/>
      <c r="J670" s="1390"/>
      <c r="K670" s="1390"/>
      <c r="L670" s="1390"/>
      <c r="M670" s="1390"/>
      <c r="N670" s="1390"/>
      <c r="O670" s="1390"/>
      <c r="P670" s="1390"/>
      <c r="Q670" s="1390"/>
      <c r="R670" s="1390"/>
      <c r="S670" s="1390"/>
      <c r="T670" s="1390"/>
      <c r="U670" s="1390"/>
      <c r="V670" s="1390"/>
      <c r="W670" s="1390"/>
      <c r="X670" s="1390"/>
      <c r="Y670" s="1390"/>
      <c r="Z670" s="1390"/>
      <c r="AA670" s="1390"/>
      <c r="AB670" s="1390"/>
      <c r="AC670" s="1390"/>
      <c r="AD670" s="1390"/>
      <c r="AE670" s="1390"/>
      <c r="AF670" s="1390"/>
      <c r="AG670" s="1390"/>
      <c r="AH670" s="1390"/>
      <c r="AI670" s="1390"/>
      <c r="AJ670" s="1390"/>
      <c r="AK670" s="1390"/>
    </row>
    <row r="671" spans="3:37" ht="17.25" customHeight="1" x14ac:dyDescent="0.35">
      <c r="C671" s="1390"/>
      <c r="D671" s="1390"/>
      <c r="E671" s="1390"/>
      <c r="F671" s="1390"/>
      <c r="G671" s="1390"/>
      <c r="H671" s="1390"/>
      <c r="I671" s="1390"/>
      <c r="J671" s="1390"/>
      <c r="K671" s="1390"/>
      <c r="L671" s="1390"/>
      <c r="M671" s="1390"/>
      <c r="N671" s="1390"/>
      <c r="O671" s="1390"/>
      <c r="P671" s="1390"/>
      <c r="Q671" s="1390"/>
      <c r="R671" s="1390"/>
      <c r="S671" s="1390"/>
      <c r="T671" s="1390"/>
      <c r="U671" s="1390"/>
      <c r="V671" s="1390"/>
      <c r="W671" s="1390"/>
      <c r="X671" s="1390"/>
      <c r="Y671" s="1390"/>
      <c r="Z671" s="1390"/>
      <c r="AA671" s="1390"/>
      <c r="AB671" s="1390"/>
      <c r="AC671" s="1390"/>
      <c r="AD671" s="1390"/>
      <c r="AE671" s="1390"/>
      <c r="AF671" s="1390"/>
      <c r="AG671" s="1390"/>
      <c r="AH671" s="1390"/>
      <c r="AI671" s="1390"/>
      <c r="AJ671" s="1390"/>
      <c r="AK671" s="1390"/>
    </row>
    <row r="672" spans="3:37" ht="17.25" customHeight="1" x14ac:dyDescent="0.35">
      <c r="C672" s="1390"/>
      <c r="D672" s="1390"/>
      <c r="E672" s="1390"/>
      <c r="F672" s="1390"/>
      <c r="G672" s="1390"/>
      <c r="H672" s="1390"/>
      <c r="I672" s="1390"/>
      <c r="J672" s="1390"/>
      <c r="K672" s="1390"/>
      <c r="L672" s="1390"/>
      <c r="M672" s="1390"/>
      <c r="N672" s="1390"/>
      <c r="O672" s="1390"/>
      <c r="P672" s="1390"/>
      <c r="Q672" s="1390"/>
      <c r="R672" s="1390"/>
      <c r="S672" s="1390"/>
      <c r="T672" s="1390"/>
      <c r="U672" s="1390"/>
      <c r="V672" s="1390"/>
      <c r="W672" s="1390"/>
      <c r="X672" s="1390"/>
      <c r="Y672" s="1390"/>
      <c r="Z672" s="1390"/>
      <c r="AA672" s="1390"/>
      <c r="AB672" s="1390"/>
      <c r="AC672" s="1390"/>
      <c r="AD672" s="1390"/>
      <c r="AE672" s="1390"/>
      <c r="AF672" s="1390"/>
      <c r="AG672" s="1390"/>
      <c r="AH672" s="1390"/>
      <c r="AI672" s="1390"/>
      <c r="AJ672" s="1390"/>
      <c r="AK672" s="1390"/>
    </row>
    <row r="673" spans="3:37" ht="17.25" customHeight="1" x14ac:dyDescent="0.35">
      <c r="C673" s="1390"/>
      <c r="D673" s="1390"/>
      <c r="E673" s="1390"/>
      <c r="F673" s="1390"/>
      <c r="G673" s="1390"/>
      <c r="H673" s="1390"/>
      <c r="I673" s="1390"/>
      <c r="J673" s="1390"/>
      <c r="K673" s="1390"/>
      <c r="L673" s="1390"/>
      <c r="M673" s="1390"/>
      <c r="N673" s="1390"/>
      <c r="O673" s="1390"/>
      <c r="P673" s="1390"/>
      <c r="Q673" s="1390"/>
      <c r="R673" s="1390"/>
      <c r="S673" s="1390"/>
      <c r="T673" s="1390"/>
      <c r="U673" s="1390"/>
      <c r="V673" s="1390"/>
      <c r="W673" s="1390"/>
      <c r="X673" s="1390"/>
      <c r="Y673" s="1390"/>
      <c r="Z673" s="1390"/>
      <c r="AA673" s="1390"/>
      <c r="AB673" s="1390"/>
      <c r="AC673" s="1390"/>
      <c r="AD673" s="1390"/>
      <c r="AE673" s="1390"/>
      <c r="AF673" s="1390"/>
      <c r="AG673" s="1390"/>
      <c r="AH673" s="1390"/>
      <c r="AI673" s="1390"/>
      <c r="AJ673" s="1390"/>
      <c r="AK673" s="1390"/>
    </row>
    <row r="674" spans="3:37" ht="17.25" customHeight="1" x14ac:dyDescent="0.35">
      <c r="C674" s="1390"/>
      <c r="D674" s="1390"/>
      <c r="E674" s="1390"/>
      <c r="F674" s="1390"/>
      <c r="G674" s="1390"/>
      <c r="H674" s="1390"/>
      <c r="I674" s="1390"/>
      <c r="J674" s="1390"/>
      <c r="K674" s="1390"/>
      <c r="L674" s="1390"/>
      <c r="M674" s="1390"/>
      <c r="N674" s="1390"/>
      <c r="O674" s="1390"/>
      <c r="P674" s="1390"/>
      <c r="Q674" s="1390"/>
      <c r="R674" s="1390"/>
      <c r="S674" s="1390"/>
      <c r="T674" s="1390"/>
      <c r="U674" s="1390"/>
      <c r="V674" s="1390"/>
      <c r="W674" s="1390"/>
      <c r="X674" s="1390"/>
      <c r="Y674" s="1390"/>
      <c r="Z674" s="1390"/>
      <c r="AA674" s="1390"/>
      <c r="AB674" s="1390"/>
      <c r="AC674" s="1390"/>
      <c r="AD674" s="1390"/>
      <c r="AE674" s="1390"/>
      <c r="AF674" s="1390"/>
      <c r="AG674" s="1390"/>
      <c r="AH674" s="1390"/>
      <c r="AI674" s="1390"/>
      <c r="AJ674" s="1390"/>
      <c r="AK674" s="1390"/>
    </row>
    <row r="675" spans="3:37" ht="17.25" customHeight="1" x14ac:dyDescent="0.35">
      <c r="C675" s="1390"/>
      <c r="D675" s="1390"/>
      <c r="E675" s="1390"/>
      <c r="F675" s="1390"/>
      <c r="G675" s="1390"/>
      <c r="H675" s="1390"/>
      <c r="I675" s="1390"/>
      <c r="J675" s="1390"/>
      <c r="K675" s="1390"/>
      <c r="L675" s="1390"/>
      <c r="M675" s="1390"/>
      <c r="N675" s="1390"/>
      <c r="O675" s="1390"/>
      <c r="P675" s="1390"/>
      <c r="Q675" s="1390"/>
      <c r="R675" s="1390"/>
      <c r="S675" s="1390"/>
      <c r="T675" s="1390"/>
      <c r="U675" s="1390"/>
      <c r="V675" s="1390"/>
      <c r="W675" s="1390"/>
      <c r="X675" s="1390"/>
      <c r="Y675" s="1390"/>
      <c r="Z675" s="1390"/>
      <c r="AA675" s="1390"/>
      <c r="AB675" s="1390"/>
      <c r="AC675" s="1390"/>
      <c r="AD675" s="1390"/>
      <c r="AE675" s="1390"/>
      <c r="AF675" s="1390"/>
      <c r="AG675" s="1390"/>
      <c r="AH675" s="1390"/>
      <c r="AI675" s="1390"/>
      <c r="AJ675" s="1390"/>
      <c r="AK675" s="1390"/>
    </row>
    <row r="676" spans="3:37" ht="17.25" customHeight="1" x14ac:dyDescent="0.35">
      <c r="C676" s="1390"/>
      <c r="D676" s="1390"/>
      <c r="E676" s="1390"/>
      <c r="F676" s="1390"/>
      <c r="G676" s="1390"/>
      <c r="H676" s="1390"/>
      <c r="I676" s="1390"/>
      <c r="J676" s="1390"/>
      <c r="K676" s="1390"/>
      <c r="L676" s="1390"/>
      <c r="M676" s="1390"/>
      <c r="N676" s="1390"/>
      <c r="O676" s="1390"/>
      <c r="P676" s="1390"/>
      <c r="Q676" s="1390"/>
      <c r="R676" s="1390"/>
      <c r="S676" s="1390"/>
      <c r="T676" s="1390"/>
      <c r="U676" s="1390"/>
      <c r="V676" s="1390"/>
      <c r="W676" s="1390"/>
      <c r="X676" s="1390"/>
      <c r="Y676" s="1390"/>
      <c r="Z676" s="1390"/>
      <c r="AA676" s="1390"/>
      <c r="AB676" s="1390"/>
      <c r="AC676" s="1390"/>
      <c r="AD676" s="1390"/>
      <c r="AE676" s="1390"/>
      <c r="AF676" s="1390"/>
      <c r="AG676" s="1390"/>
      <c r="AH676" s="1390"/>
      <c r="AI676" s="1390"/>
      <c r="AJ676" s="1390"/>
      <c r="AK676" s="1390"/>
    </row>
    <row r="677" spans="3:37" ht="17.25" customHeight="1" x14ac:dyDescent="0.35">
      <c r="C677" s="1390"/>
      <c r="D677" s="1390"/>
      <c r="E677" s="1390"/>
      <c r="F677" s="1390"/>
      <c r="G677" s="1390"/>
      <c r="H677" s="1390"/>
      <c r="I677" s="1390"/>
      <c r="J677" s="1390"/>
      <c r="K677" s="1390"/>
      <c r="L677" s="1390"/>
      <c r="M677" s="1390"/>
      <c r="N677" s="1390"/>
      <c r="O677" s="1390"/>
      <c r="P677" s="1390"/>
      <c r="Q677" s="1390"/>
      <c r="R677" s="1390"/>
      <c r="S677" s="1390"/>
      <c r="T677" s="1390"/>
      <c r="U677" s="1390"/>
      <c r="V677" s="1390"/>
      <c r="W677" s="1390"/>
      <c r="X677" s="1390"/>
      <c r="Y677" s="1390"/>
      <c r="Z677" s="1390"/>
      <c r="AA677" s="1390"/>
      <c r="AB677" s="1390"/>
      <c r="AC677" s="1390"/>
      <c r="AD677" s="1390"/>
      <c r="AE677" s="1390"/>
      <c r="AF677" s="1390"/>
      <c r="AG677" s="1390"/>
      <c r="AH677" s="1390"/>
      <c r="AI677" s="1390"/>
      <c r="AJ677" s="1390"/>
      <c r="AK677" s="1390"/>
    </row>
    <row r="678" spans="3:37" ht="17.25" customHeight="1" x14ac:dyDescent="0.35">
      <c r="C678" s="1390"/>
      <c r="D678" s="1390"/>
      <c r="E678" s="1390"/>
      <c r="F678" s="1390"/>
      <c r="G678" s="1390"/>
      <c r="H678" s="1390"/>
      <c r="I678" s="1390"/>
      <c r="J678" s="1390"/>
      <c r="K678" s="1390"/>
      <c r="L678" s="1390"/>
      <c r="M678" s="1390"/>
      <c r="N678" s="1390"/>
      <c r="O678" s="1390"/>
      <c r="P678" s="1390"/>
      <c r="Q678" s="1390"/>
      <c r="R678" s="1390"/>
      <c r="S678" s="1390"/>
      <c r="T678" s="1390"/>
      <c r="U678" s="1390"/>
      <c r="V678" s="1390"/>
      <c r="W678" s="1390"/>
      <c r="X678" s="1390"/>
      <c r="Y678" s="1390"/>
      <c r="Z678" s="1390"/>
      <c r="AA678" s="1390"/>
      <c r="AB678" s="1390"/>
      <c r="AC678" s="1390"/>
      <c r="AD678" s="1390"/>
      <c r="AE678" s="1390"/>
      <c r="AF678" s="1390"/>
      <c r="AG678" s="1390"/>
      <c r="AH678" s="1390"/>
      <c r="AI678" s="1390"/>
      <c r="AJ678" s="1390"/>
      <c r="AK678" s="1390"/>
    </row>
    <row r="679" spans="3:37" ht="17.25" customHeight="1" x14ac:dyDescent="0.35">
      <c r="C679" s="1390"/>
      <c r="D679" s="1390"/>
      <c r="E679" s="1390"/>
      <c r="F679" s="1390"/>
      <c r="G679" s="1390"/>
      <c r="H679" s="1390"/>
      <c r="I679" s="1390"/>
      <c r="J679" s="1390"/>
      <c r="K679" s="1390"/>
      <c r="L679" s="1390"/>
      <c r="M679" s="1390"/>
      <c r="N679" s="1390"/>
      <c r="O679" s="1390"/>
      <c r="P679" s="1390"/>
      <c r="Q679" s="1390"/>
      <c r="R679" s="1390"/>
      <c r="S679" s="1390"/>
      <c r="T679" s="1390"/>
      <c r="U679" s="1390"/>
      <c r="V679" s="1390"/>
      <c r="W679" s="1390"/>
      <c r="X679" s="1390"/>
      <c r="Y679" s="1390"/>
      <c r="Z679" s="1390"/>
      <c r="AA679" s="1390"/>
      <c r="AB679" s="1390"/>
      <c r="AC679" s="1390"/>
      <c r="AD679" s="1390"/>
      <c r="AE679" s="1390"/>
      <c r="AF679" s="1390"/>
      <c r="AG679" s="1390"/>
      <c r="AH679" s="1390"/>
      <c r="AI679" s="1390"/>
      <c r="AJ679" s="1390"/>
      <c r="AK679" s="1390"/>
    </row>
    <row r="680" spans="3:37" ht="17.25" customHeight="1" x14ac:dyDescent="0.35">
      <c r="C680" s="1390"/>
      <c r="D680" s="1390"/>
      <c r="E680" s="1390"/>
      <c r="F680" s="1390"/>
      <c r="G680" s="1390"/>
      <c r="H680" s="1390"/>
      <c r="I680" s="1390"/>
      <c r="J680" s="1390"/>
      <c r="K680" s="1390"/>
      <c r="L680" s="1390"/>
      <c r="M680" s="1390"/>
      <c r="N680" s="1390"/>
      <c r="O680" s="1390"/>
      <c r="P680" s="1390"/>
      <c r="Q680" s="1390"/>
      <c r="R680" s="1390"/>
      <c r="S680" s="1390"/>
      <c r="T680" s="1390"/>
      <c r="U680" s="1390"/>
      <c r="V680" s="1390"/>
      <c r="W680" s="1390"/>
      <c r="X680" s="1390"/>
      <c r="Y680" s="1390"/>
      <c r="Z680" s="1390"/>
      <c r="AA680" s="1390"/>
      <c r="AB680" s="1390"/>
      <c r="AC680" s="1390"/>
      <c r="AD680" s="1390"/>
      <c r="AE680" s="1390"/>
      <c r="AF680" s="1390"/>
      <c r="AG680" s="1390"/>
      <c r="AH680" s="1390"/>
      <c r="AI680" s="1390"/>
      <c r="AJ680" s="1390"/>
      <c r="AK680" s="1390"/>
    </row>
    <row r="681" spans="3:37" ht="17.25" customHeight="1" x14ac:dyDescent="0.35">
      <c r="C681" s="1390"/>
      <c r="D681" s="1390"/>
      <c r="E681" s="1390"/>
      <c r="F681" s="1390"/>
      <c r="G681" s="1390"/>
      <c r="H681" s="1390"/>
      <c r="I681" s="1390"/>
      <c r="J681" s="1390"/>
      <c r="K681" s="1390"/>
      <c r="L681" s="1390"/>
      <c r="M681" s="1390"/>
      <c r="N681" s="1390"/>
      <c r="O681" s="1390"/>
      <c r="P681" s="1390"/>
      <c r="Q681" s="1390"/>
      <c r="R681" s="1390"/>
      <c r="S681" s="1390"/>
      <c r="T681" s="1390"/>
      <c r="U681" s="1390"/>
      <c r="V681" s="1390"/>
      <c r="W681" s="1390"/>
      <c r="X681" s="1390"/>
      <c r="Y681" s="1390"/>
      <c r="Z681" s="1390"/>
      <c r="AA681" s="1390"/>
      <c r="AB681" s="1390"/>
      <c r="AC681" s="1390"/>
      <c r="AD681" s="1390"/>
      <c r="AE681" s="1390"/>
      <c r="AF681" s="1390"/>
      <c r="AG681" s="1390"/>
      <c r="AH681" s="1390"/>
      <c r="AI681" s="1390"/>
      <c r="AJ681" s="1390"/>
      <c r="AK681" s="1390"/>
    </row>
    <row r="682" spans="3:37" ht="17.25" customHeight="1" x14ac:dyDescent="0.35">
      <c r="C682" s="1390"/>
      <c r="D682" s="1390"/>
      <c r="E682" s="1390"/>
      <c r="F682" s="1390"/>
      <c r="G682" s="1390"/>
      <c r="H682" s="1390"/>
      <c r="I682" s="1390"/>
      <c r="J682" s="1390"/>
      <c r="K682" s="1390"/>
      <c r="L682" s="1390"/>
      <c r="M682" s="1390"/>
      <c r="N682" s="1390"/>
      <c r="O682" s="1390"/>
      <c r="P682" s="1390"/>
      <c r="Q682" s="1390"/>
      <c r="R682" s="1390"/>
      <c r="S682" s="1390"/>
      <c r="T682" s="1390"/>
      <c r="U682" s="1390"/>
      <c r="V682" s="1390"/>
      <c r="W682" s="1390"/>
      <c r="X682" s="1390"/>
      <c r="Y682" s="1390"/>
      <c r="Z682" s="1390"/>
      <c r="AA682" s="1390"/>
      <c r="AB682" s="1390"/>
      <c r="AC682" s="1390"/>
      <c r="AD682" s="1390"/>
      <c r="AE682" s="1390"/>
      <c r="AF682" s="1390"/>
      <c r="AG682" s="1390"/>
      <c r="AH682" s="1390"/>
      <c r="AI682" s="1390"/>
      <c r="AJ682" s="1390"/>
      <c r="AK682" s="1390"/>
    </row>
    <row r="683" spans="3:37" ht="17.25" customHeight="1" x14ac:dyDescent="0.35">
      <c r="C683" s="1390"/>
      <c r="D683" s="1390"/>
      <c r="E683" s="1390"/>
      <c r="F683" s="1390"/>
      <c r="G683" s="1390"/>
      <c r="H683" s="1390"/>
      <c r="I683" s="1390"/>
      <c r="J683" s="1390"/>
      <c r="K683" s="1390"/>
      <c r="L683" s="1390"/>
      <c r="M683" s="1390"/>
      <c r="N683" s="1390"/>
      <c r="O683" s="1390"/>
      <c r="P683" s="1390"/>
      <c r="Q683" s="1390"/>
      <c r="R683" s="1390"/>
      <c r="S683" s="1390"/>
      <c r="T683" s="1390"/>
      <c r="U683" s="1390"/>
      <c r="V683" s="1390"/>
      <c r="W683" s="1390"/>
      <c r="X683" s="1390"/>
      <c r="Y683" s="1390"/>
      <c r="Z683" s="1390"/>
      <c r="AA683" s="1390"/>
      <c r="AB683" s="1390"/>
      <c r="AC683" s="1390"/>
      <c r="AD683" s="1390"/>
      <c r="AE683" s="1390"/>
      <c r="AF683" s="1390"/>
      <c r="AG683" s="1390"/>
      <c r="AH683" s="1390"/>
      <c r="AI683" s="1390"/>
      <c r="AJ683" s="1390"/>
      <c r="AK683" s="1390"/>
    </row>
    <row r="684" spans="3:37" ht="17.25" customHeight="1" x14ac:dyDescent="0.35">
      <c r="C684" s="1390"/>
      <c r="D684" s="1390"/>
      <c r="E684" s="1390"/>
      <c r="F684" s="1390"/>
      <c r="G684" s="1390"/>
      <c r="H684" s="1390"/>
      <c r="I684" s="1390"/>
      <c r="J684" s="1390"/>
      <c r="K684" s="1390"/>
      <c r="L684" s="1390"/>
      <c r="M684" s="1390"/>
      <c r="N684" s="1390"/>
      <c r="O684" s="1390"/>
      <c r="P684" s="1390"/>
      <c r="Q684" s="1390"/>
      <c r="R684" s="1390"/>
      <c r="S684" s="1390"/>
      <c r="T684" s="1390"/>
      <c r="U684" s="1390"/>
      <c r="V684" s="1390"/>
      <c r="W684" s="1390"/>
      <c r="X684" s="1390"/>
      <c r="Y684" s="1390"/>
      <c r="Z684" s="1390"/>
      <c r="AA684" s="1390"/>
      <c r="AB684" s="1390"/>
      <c r="AC684" s="1390"/>
      <c r="AD684" s="1390"/>
      <c r="AE684" s="1390"/>
      <c r="AF684" s="1390"/>
      <c r="AG684" s="1390"/>
      <c r="AH684" s="1390"/>
      <c r="AI684" s="1390"/>
      <c r="AJ684" s="1390"/>
      <c r="AK684" s="1390"/>
    </row>
    <row r="685" spans="3:37" ht="17.25" customHeight="1" x14ac:dyDescent="0.35">
      <c r="C685" s="1390"/>
      <c r="D685" s="1390"/>
      <c r="E685" s="1390"/>
      <c r="F685" s="1390"/>
      <c r="G685" s="1390"/>
      <c r="H685" s="1390"/>
      <c r="I685" s="1390"/>
      <c r="J685" s="1390"/>
      <c r="K685" s="1390"/>
      <c r="L685" s="1390"/>
      <c r="M685" s="1390"/>
      <c r="N685" s="1390"/>
      <c r="O685" s="1390"/>
      <c r="P685" s="1390"/>
      <c r="Q685" s="1390"/>
      <c r="R685" s="1390"/>
      <c r="S685" s="1390"/>
      <c r="T685" s="1390"/>
      <c r="U685" s="1390"/>
      <c r="V685" s="1390"/>
      <c r="W685" s="1390"/>
      <c r="X685" s="1390"/>
      <c r="Y685" s="1390"/>
      <c r="Z685" s="1390"/>
      <c r="AA685" s="1390"/>
      <c r="AB685" s="1390"/>
      <c r="AC685" s="1390"/>
      <c r="AD685" s="1390"/>
      <c r="AE685" s="1390"/>
      <c r="AF685" s="1390"/>
      <c r="AG685" s="1390"/>
      <c r="AH685" s="1390"/>
      <c r="AI685" s="1390"/>
      <c r="AJ685" s="1390"/>
      <c r="AK685" s="1390"/>
    </row>
    <row r="686" spans="3:37" ht="17.25" customHeight="1" x14ac:dyDescent="0.35">
      <c r="C686" s="1390"/>
      <c r="D686" s="1390"/>
      <c r="E686" s="1390"/>
      <c r="F686" s="1390"/>
      <c r="G686" s="1390"/>
      <c r="H686" s="1390"/>
      <c r="I686" s="1390"/>
      <c r="J686" s="1390"/>
      <c r="K686" s="1390"/>
      <c r="L686" s="1390"/>
      <c r="M686" s="1390"/>
      <c r="N686" s="1390"/>
      <c r="O686" s="1390"/>
      <c r="P686" s="1390"/>
      <c r="Q686" s="1390"/>
      <c r="R686" s="1390"/>
      <c r="S686" s="1390"/>
      <c r="T686" s="1390"/>
      <c r="U686" s="1390"/>
      <c r="V686" s="1390"/>
      <c r="W686" s="1390"/>
      <c r="X686" s="1390"/>
      <c r="Y686" s="1390"/>
      <c r="Z686" s="1390"/>
      <c r="AA686" s="1390"/>
      <c r="AB686" s="1390"/>
      <c r="AC686" s="1390"/>
      <c r="AD686" s="1390"/>
      <c r="AE686" s="1390"/>
      <c r="AF686" s="1390"/>
      <c r="AG686" s="1390"/>
      <c r="AH686" s="1390"/>
      <c r="AI686" s="1390"/>
      <c r="AJ686" s="1390"/>
      <c r="AK686" s="1390"/>
    </row>
    <row r="687" spans="3:37" ht="17.25" customHeight="1" x14ac:dyDescent="0.35">
      <c r="C687" s="1390"/>
      <c r="D687" s="1390"/>
      <c r="E687" s="1390"/>
      <c r="F687" s="1390"/>
      <c r="G687" s="1390"/>
      <c r="H687" s="1390"/>
      <c r="I687" s="1390"/>
      <c r="J687" s="1390"/>
      <c r="K687" s="1390"/>
      <c r="L687" s="1390"/>
      <c r="M687" s="1390"/>
      <c r="N687" s="1390"/>
      <c r="O687" s="1390"/>
      <c r="P687" s="1390"/>
      <c r="Q687" s="1390"/>
      <c r="R687" s="1390"/>
      <c r="S687" s="1390"/>
      <c r="T687" s="1390"/>
      <c r="U687" s="1390"/>
      <c r="V687" s="1390"/>
      <c r="W687" s="1390"/>
      <c r="X687" s="1390"/>
      <c r="Y687" s="1390"/>
      <c r="Z687" s="1390"/>
      <c r="AA687" s="1390"/>
      <c r="AB687" s="1390"/>
      <c r="AC687" s="1390"/>
      <c r="AD687" s="1390"/>
      <c r="AE687" s="1390"/>
      <c r="AF687" s="1390"/>
      <c r="AG687" s="1390"/>
      <c r="AH687" s="1390"/>
      <c r="AI687" s="1390"/>
      <c r="AJ687" s="1390"/>
      <c r="AK687" s="1390"/>
    </row>
    <row r="688" spans="3:37" ht="17.25" customHeight="1" x14ac:dyDescent="0.35">
      <c r="C688" s="1390"/>
      <c r="D688" s="1390"/>
      <c r="E688" s="1390"/>
      <c r="F688" s="1390"/>
      <c r="G688" s="1390"/>
      <c r="H688" s="1390"/>
      <c r="I688" s="1390"/>
      <c r="J688" s="1390"/>
      <c r="K688" s="1390"/>
      <c r="L688" s="1390"/>
      <c r="M688" s="1390"/>
      <c r="N688" s="1390"/>
      <c r="O688" s="1390"/>
      <c r="P688" s="1390"/>
      <c r="Q688" s="1390"/>
      <c r="R688" s="1390"/>
      <c r="S688" s="1390"/>
      <c r="T688" s="1390"/>
      <c r="U688" s="1390"/>
      <c r="V688" s="1390"/>
      <c r="W688" s="1390"/>
      <c r="X688" s="1390"/>
      <c r="Y688" s="1390"/>
      <c r="Z688" s="1390"/>
      <c r="AA688" s="1390"/>
      <c r="AB688" s="1390"/>
      <c r="AC688" s="1390"/>
      <c r="AD688" s="1390"/>
      <c r="AE688" s="1390"/>
      <c r="AF688" s="1390"/>
      <c r="AG688" s="1390"/>
      <c r="AH688" s="1390"/>
      <c r="AI688" s="1390"/>
      <c r="AJ688" s="1390"/>
      <c r="AK688" s="1390"/>
    </row>
    <row r="689" spans="3:37" ht="17.25" customHeight="1" x14ac:dyDescent="0.35">
      <c r="C689" s="1390"/>
      <c r="D689" s="1390"/>
      <c r="E689" s="1390"/>
      <c r="F689" s="1390"/>
      <c r="G689" s="1390"/>
      <c r="H689" s="1390"/>
      <c r="I689" s="1390"/>
      <c r="J689" s="1390"/>
      <c r="K689" s="1390"/>
      <c r="L689" s="1390"/>
      <c r="M689" s="1390"/>
      <c r="N689" s="1390"/>
      <c r="O689" s="1390"/>
      <c r="P689" s="1390"/>
      <c r="Q689" s="1390"/>
      <c r="R689" s="1390"/>
      <c r="S689" s="1390"/>
      <c r="T689" s="1390"/>
      <c r="U689" s="1390"/>
      <c r="V689" s="1390"/>
      <c r="W689" s="1390"/>
      <c r="X689" s="1390"/>
      <c r="Y689" s="1390"/>
      <c r="Z689" s="1390"/>
      <c r="AA689" s="1390"/>
      <c r="AB689" s="1390"/>
      <c r="AC689" s="1390"/>
      <c r="AD689" s="1390"/>
      <c r="AE689" s="1390"/>
      <c r="AF689" s="1390"/>
      <c r="AG689" s="1390"/>
      <c r="AH689" s="1390"/>
      <c r="AI689" s="1390"/>
      <c r="AJ689" s="1390"/>
      <c r="AK689" s="1390"/>
    </row>
    <row r="690" spans="3:37" ht="17.25" customHeight="1" x14ac:dyDescent="0.35">
      <c r="C690" s="1390"/>
      <c r="D690" s="1390"/>
      <c r="E690" s="1390"/>
      <c r="F690" s="1390"/>
      <c r="G690" s="1390"/>
      <c r="H690" s="1390"/>
      <c r="I690" s="1390"/>
      <c r="J690" s="1390"/>
      <c r="K690" s="1390"/>
      <c r="L690" s="1390"/>
      <c r="M690" s="1390"/>
      <c r="N690" s="1390"/>
      <c r="O690" s="1390"/>
      <c r="P690" s="1390"/>
      <c r="Q690" s="1390"/>
      <c r="R690" s="1390"/>
      <c r="S690" s="1390"/>
      <c r="T690" s="1390"/>
      <c r="U690" s="1390"/>
      <c r="V690" s="1390"/>
      <c r="W690" s="1390"/>
      <c r="X690" s="1390"/>
      <c r="Y690" s="1390"/>
      <c r="Z690" s="1390"/>
      <c r="AA690" s="1390"/>
      <c r="AB690" s="1390"/>
      <c r="AC690" s="1390"/>
      <c r="AD690" s="1390"/>
      <c r="AE690" s="1390"/>
      <c r="AF690" s="1390"/>
      <c r="AG690" s="1390"/>
      <c r="AH690" s="1390"/>
      <c r="AI690" s="1390"/>
      <c r="AJ690" s="1390"/>
      <c r="AK690" s="1390"/>
    </row>
    <row r="691" spans="3:37" ht="17.25" customHeight="1" x14ac:dyDescent="0.35">
      <c r="C691" s="1390"/>
      <c r="D691" s="1390"/>
      <c r="E691" s="1390"/>
      <c r="F691" s="1390"/>
      <c r="G691" s="1390"/>
      <c r="H691" s="1390"/>
      <c r="I691" s="1390"/>
      <c r="J691" s="1390"/>
      <c r="K691" s="1390"/>
      <c r="L691" s="1390"/>
      <c r="M691" s="1390"/>
      <c r="N691" s="1390"/>
      <c r="O691" s="1390"/>
      <c r="P691" s="1390"/>
      <c r="Q691" s="1390"/>
      <c r="R691" s="1390"/>
      <c r="S691" s="1390"/>
      <c r="T691" s="1390"/>
      <c r="U691" s="1390"/>
      <c r="V691" s="1390"/>
      <c r="W691" s="1390"/>
      <c r="X691" s="1390"/>
      <c r="Y691" s="1390"/>
      <c r="Z691" s="1390"/>
      <c r="AA691" s="1390"/>
      <c r="AB691" s="1390"/>
      <c r="AC691" s="1390"/>
      <c r="AD691" s="1390"/>
      <c r="AE691" s="1390"/>
      <c r="AF691" s="1390"/>
      <c r="AG691" s="1390"/>
      <c r="AH691" s="1390"/>
      <c r="AI691" s="1390"/>
      <c r="AJ691" s="1390"/>
      <c r="AK691" s="1390"/>
    </row>
    <row r="692" spans="3:37" ht="17.25" customHeight="1" x14ac:dyDescent="0.35">
      <c r="C692" s="1390"/>
      <c r="D692" s="1390"/>
      <c r="E692" s="1390"/>
      <c r="F692" s="1390"/>
      <c r="G692" s="1390"/>
      <c r="H692" s="1390"/>
      <c r="I692" s="1390"/>
      <c r="J692" s="1390"/>
      <c r="K692" s="1390"/>
      <c r="L692" s="1390"/>
      <c r="M692" s="1390"/>
      <c r="N692" s="1390"/>
      <c r="O692" s="1390"/>
      <c r="P692" s="1390"/>
      <c r="Q692" s="1390"/>
      <c r="R692" s="1390"/>
      <c r="S692" s="1390"/>
      <c r="T692" s="1390"/>
      <c r="U692" s="1390"/>
      <c r="V692" s="1390"/>
      <c r="W692" s="1390"/>
      <c r="X692" s="1390"/>
      <c r="Y692" s="1390"/>
      <c r="Z692" s="1390"/>
      <c r="AA692" s="1390"/>
      <c r="AB692" s="1390"/>
      <c r="AC692" s="1390"/>
      <c r="AD692" s="1390"/>
      <c r="AE692" s="1390"/>
      <c r="AF692" s="1390"/>
      <c r="AG692" s="1390"/>
      <c r="AH692" s="1390"/>
      <c r="AI692" s="1390"/>
      <c r="AJ692" s="1390"/>
      <c r="AK692" s="1390"/>
    </row>
    <row r="693" spans="3:37" ht="17.25" customHeight="1" x14ac:dyDescent="0.35">
      <c r="C693" s="1390"/>
      <c r="D693" s="1390"/>
      <c r="E693" s="1390"/>
      <c r="F693" s="1390"/>
      <c r="G693" s="1390"/>
      <c r="H693" s="1390"/>
      <c r="I693" s="1390"/>
      <c r="J693" s="1390"/>
      <c r="K693" s="1390"/>
      <c r="L693" s="1390"/>
      <c r="M693" s="1390"/>
      <c r="N693" s="1390"/>
      <c r="O693" s="1390"/>
      <c r="P693" s="1390"/>
      <c r="Q693" s="1390"/>
      <c r="R693" s="1390"/>
      <c r="S693" s="1390"/>
      <c r="T693" s="1390"/>
      <c r="U693" s="1390"/>
      <c r="V693" s="1390"/>
      <c r="W693" s="1390"/>
      <c r="X693" s="1390"/>
      <c r="Y693" s="1390"/>
      <c r="Z693" s="1390"/>
      <c r="AA693" s="1390"/>
      <c r="AB693" s="1390"/>
      <c r="AC693" s="1390"/>
      <c r="AD693" s="1390"/>
      <c r="AE693" s="1390"/>
      <c r="AF693" s="1390"/>
      <c r="AG693" s="1390"/>
      <c r="AH693" s="1390"/>
      <c r="AI693" s="1390"/>
      <c r="AJ693" s="1390"/>
      <c r="AK693" s="1390"/>
    </row>
    <row r="694" spans="3:37" ht="17.25" customHeight="1" x14ac:dyDescent="0.35">
      <c r="C694" s="1390"/>
      <c r="D694" s="1390"/>
      <c r="E694" s="1390"/>
      <c r="F694" s="1390"/>
      <c r="G694" s="1390"/>
      <c r="H694" s="1390"/>
      <c r="I694" s="1390"/>
      <c r="J694" s="1390"/>
      <c r="K694" s="1390"/>
      <c r="L694" s="1390"/>
      <c r="M694" s="1390"/>
      <c r="N694" s="1390"/>
      <c r="O694" s="1390"/>
      <c r="P694" s="1390"/>
      <c r="Q694" s="1390"/>
      <c r="R694" s="1390"/>
      <c r="S694" s="1390"/>
      <c r="T694" s="1390"/>
      <c r="U694" s="1390"/>
      <c r="V694" s="1390"/>
      <c r="W694" s="1390"/>
      <c r="X694" s="1390"/>
      <c r="Y694" s="1390"/>
      <c r="Z694" s="1390"/>
      <c r="AA694" s="1390"/>
      <c r="AB694" s="1390"/>
      <c r="AC694" s="1390"/>
      <c r="AD694" s="1390"/>
      <c r="AE694" s="1390"/>
      <c r="AF694" s="1390"/>
      <c r="AG694" s="1390"/>
      <c r="AH694" s="1390"/>
      <c r="AI694" s="1390"/>
      <c r="AJ694" s="1390"/>
      <c r="AK694" s="1390"/>
    </row>
    <row r="695" spans="3:37" ht="17.25" customHeight="1" x14ac:dyDescent="0.35">
      <c r="C695" s="1390"/>
      <c r="D695" s="1390"/>
      <c r="E695" s="1390"/>
      <c r="F695" s="1390"/>
      <c r="G695" s="1390"/>
      <c r="H695" s="1390"/>
      <c r="I695" s="1390"/>
      <c r="J695" s="1390"/>
      <c r="K695" s="1390"/>
      <c r="L695" s="1390"/>
      <c r="M695" s="1390"/>
      <c r="N695" s="1390"/>
      <c r="O695" s="1390"/>
      <c r="P695" s="1390"/>
      <c r="Q695" s="1390"/>
      <c r="R695" s="1390"/>
      <c r="S695" s="1390"/>
      <c r="T695" s="1390"/>
      <c r="U695" s="1390"/>
      <c r="V695" s="1390"/>
      <c r="W695" s="1390"/>
      <c r="X695" s="1390"/>
      <c r="Y695" s="1390"/>
      <c r="Z695" s="1390"/>
      <c r="AA695" s="1390"/>
      <c r="AB695" s="1390"/>
      <c r="AC695" s="1390"/>
      <c r="AD695" s="1390"/>
      <c r="AE695" s="1390"/>
      <c r="AF695" s="1390"/>
      <c r="AG695" s="1390"/>
      <c r="AH695" s="1390"/>
      <c r="AI695" s="1390"/>
      <c r="AJ695" s="1390"/>
      <c r="AK695" s="1390"/>
    </row>
    <row r="696" spans="3:37" ht="17.25" customHeight="1" x14ac:dyDescent="0.35">
      <c r="C696" s="1390"/>
      <c r="D696" s="1390"/>
      <c r="E696" s="1390"/>
      <c r="F696" s="1390"/>
      <c r="G696" s="1390"/>
      <c r="H696" s="1390"/>
      <c r="I696" s="1390"/>
      <c r="J696" s="1390"/>
      <c r="K696" s="1390"/>
      <c r="L696" s="1390"/>
      <c r="M696" s="1390"/>
      <c r="N696" s="1390"/>
      <c r="O696" s="1390"/>
      <c r="P696" s="1390"/>
      <c r="Q696" s="1390"/>
      <c r="R696" s="1390"/>
      <c r="S696" s="1390"/>
      <c r="T696" s="1390"/>
      <c r="U696" s="1390"/>
      <c r="V696" s="1390"/>
      <c r="W696" s="1390"/>
      <c r="X696" s="1390"/>
      <c r="Y696" s="1390"/>
      <c r="Z696" s="1390"/>
      <c r="AA696" s="1390"/>
      <c r="AB696" s="1390"/>
      <c r="AC696" s="1390"/>
      <c r="AD696" s="1390"/>
      <c r="AE696" s="1390"/>
      <c r="AF696" s="1390"/>
      <c r="AG696" s="1390"/>
      <c r="AH696" s="1390"/>
      <c r="AI696" s="1390"/>
      <c r="AJ696" s="1390"/>
      <c r="AK696" s="1390"/>
    </row>
    <row r="697" spans="3:37" ht="17.25" customHeight="1" x14ac:dyDescent="0.35">
      <c r="C697" s="1390"/>
      <c r="D697" s="1390"/>
      <c r="E697" s="1390"/>
      <c r="F697" s="1390"/>
      <c r="G697" s="1390"/>
      <c r="H697" s="1390"/>
      <c r="I697" s="1390"/>
      <c r="J697" s="1390"/>
      <c r="K697" s="1390"/>
      <c r="L697" s="1390"/>
      <c r="M697" s="1390"/>
      <c r="N697" s="1390"/>
      <c r="O697" s="1390"/>
      <c r="P697" s="1390"/>
      <c r="Q697" s="1390"/>
      <c r="R697" s="1390"/>
      <c r="S697" s="1390"/>
      <c r="T697" s="1390"/>
      <c r="U697" s="1390"/>
      <c r="V697" s="1390"/>
      <c r="W697" s="1390"/>
      <c r="X697" s="1390"/>
      <c r="Y697" s="1390"/>
      <c r="Z697" s="1390"/>
      <c r="AA697" s="1390"/>
      <c r="AB697" s="1390"/>
      <c r="AC697" s="1390"/>
      <c r="AD697" s="1390"/>
      <c r="AE697" s="1390"/>
      <c r="AF697" s="1390"/>
      <c r="AG697" s="1390"/>
      <c r="AH697" s="1390"/>
      <c r="AI697" s="1390"/>
      <c r="AJ697" s="1390"/>
      <c r="AK697" s="1390"/>
    </row>
    <row r="698" spans="3:37" ht="17.25" customHeight="1" x14ac:dyDescent="0.35">
      <c r="C698" s="1390"/>
      <c r="D698" s="1390"/>
      <c r="E698" s="1390"/>
      <c r="F698" s="1390"/>
      <c r="G698" s="1390"/>
      <c r="H698" s="1390"/>
      <c r="I698" s="1390"/>
      <c r="J698" s="1390"/>
      <c r="K698" s="1390"/>
      <c r="L698" s="1390"/>
      <c r="M698" s="1390"/>
      <c r="N698" s="1390"/>
      <c r="O698" s="1390"/>
      <c r="P698" s="1390"/>
      <c r="Q698" s="1390"/>
      <c r="R698" s="1390"/>
      <c r="S698" s="1390"/>
      <c r="T698" s="1390"/>
      <c r="U698" s="1390"/>
      <c r="V698" s="1390"/>
      <c r="W698" s="1390"/>
      <c r="X698" s="1390"/>
      <c r="Y698" s="1390"/>
      <c r="Z698" s="1390"/>
      <c r="AA698" s="1390"/>
      <c r="AB698" s="1390"/>
      <c r="AC698" s="1390"/>
      <c r="AD698" s="1390"/>
      <c r="AE698" s="1390"/>
      <c r="AF698" s="1390"/>
      <c r="AG698" s="1390"/>
      <c r="AH698" s="1390"/>
      <c r="AI698" s="1390"/>
      <c r="AJ698" s="1390"/>
      <c r="AK698" s="1390"/>
    </row>
    <row r="699" spans="3:37" ht="17.25" customHeight="1" x14ac:dyDescent="0.35">
      <c r="C699" s="1390"/>
      <c r="D699" s="1390"/>
      <c r="E699" s="1390"/>
      <c r="F699" s="1390"/>
      <c r="G699" s="1390"/>
      <c r="H699" s="1390"/>
      <c r="I699" s="1390"/>
      <c r="J699" s="1390"/>
      <c r="K699" s="1390"/>
      <c r="L699" s="1390"/>
      <c r="M699" s="1390"/>
      <c r="N699" s="1390"/>
      <c r="O699" s="1390"/>
      <c r="P699" s="1390"/>
      <c r="Q699" s="1390"/>
      <c r="R699" s="1390"/>
      <c r="S699" s="1390"/>
      <c r="T699" s="1390"/>
      <c r="U699" s="1390"/>
      <c r="V699" s="1390"/>
      <c r="W699" s="1390"/>
      <c r="X699" s="1390"/>
      <c r="Y699" s="1390"/>
      <c r="Z699" s="1390"/>
      <c r="AA699" s="1390"/>
      <c r="AB699" s="1390"/>
      <c r="AC699" s="1390"/>
      <c r="AD699" s="1390"/>
      <c r="AE699" s="1390"/>
      <c r="AF699" s="1390"/>
      <c r="AG699" s="1390"/>
      <c r="AH699" s="1390"/>
      <c r="AI699" s="1390"/>
      <c r="AJ699" s="1390"/>
      <c r="AK699" s="1390"/>
    </row>
    <row r="700" spans="3:37" ht="17.25" customHeight="1" x14ac:dyDescent="0.35">
      <c r="C700" s="1390"/>
      <c r="D700" s="1390"/>
      <c r="E700" s="1390"/>
      <c r="F700" s="1390"/>
      <c r="G700" s="1390"/>
      <c r="H700" s="1390"/>
      <c r="I700" s="1390"/>
      <c r="J700" s="1390"/>
      <c r="K700" s="1390"/>
      <c r="L700" s="1390"/>
      <c r="M700" s="1390"/>
      <c r="N700" s="1390"/>
      <c r="O700" s="1390"/>
      <c r="P700" s="1390"/>
      <c r="Q700" s="1390"/>
      <c r="R700" s="1390"/>
      <c r="S700" s="1390"/>
      <c r="T700" s="1390"/>
      <c r="U700" s="1390"/>
      <c r="V700" s="1390"/>
      <c r="W700" s="1390"/>
      <c r="X700" s="1390"/>
      <c r="Y700" s="1390"/>
      <c r="Z700" s="1390"/>
      <c r="AA700" s="1390"/>
      <c r="AB700" s="1390"/>
      <c r="AC700" s="1390"/>
      <c r="AD700" s="1390"/>
      <c r="AE700" s="1390"/>
      <c r="AF700" s="1390"/>
      <c r="AG700" s="1390"/>
      <c r="AH700" s="1390"/>
      <c r="AI700" s="1390"/>
      <c r="AJ700" s="1390"/>
      <c r="AK700" s="1390"/>
    </row>
    <row r="701" spans="3:37" ht="17.25" customHeight="1" x14ac:dyDescent="0.35">
      <c r="C701" s="1390"/>
      <c r="D701" s="1390"/>
      <c r="E701" s="1390"/>
      <c r="F701" s="1390"/>
      <c r="G701" s="1390"/>
      <c r="H701" s="1390"/>
      <c r="I701" s="1390"/>
      <c r="J701" s="1390"/>
      <c r="K701" s="1390"/>
      <c r="L701" s="1390"/>
      <c r="M701" s="1390"/>
      <c r="N701" s="1390"/>
      <c r="O701" s="1390"/>
      <c r="P701" s="1390"/>
      <c r="Q701" s="1390"/>
      <c r="R701" s="1390"/>
      <c r="S701" s="1390"/>
      <c r="T701" s="1390"/>
      <c r="U701" s="1390"/>
      <c r="V701" s="1390"/>
      <c r="W701" s="1390"/>
      <c r="X701" s="1390"/>
      <c r="Y701" s="1390"/>
      <c r="Z701" s="1390"/>
      <c r="AA701" s="1390"/>
      <c r="AB701" s="1390"/>
      <c r="AC701" s="1390"/>
      <c r="AD701" s="1390"/>
      <c r="AE701" s="1390"/>
      <c r="AF701" s="1390"/>
      <c r="AG701" s="1390"/>
      <c r="AH701" s="1390"/>
      <c r="AI701" s="1390"/>
      <c r="AJ701" s="1390"/>
      <c r="AK701" s="1390"/>
    </row>
    <row r="702" spans="3:37" ht="17.25" customHeight="1" x14ac:dyDescent="0.35">
      <c r="C702" s="1390"/>
      <c r="D702" s="1390"/>
      <c r="E702" s="1390"/>
      <c r="F702" s="1390"/>
      <c r="G702" s="1390"/>
      <c r="H702" s="1390"/>
      <c r="I702" s="1390"/>
      <c r="J702" s="1390"/>
      <c r="K702" s="1390"/>
      <c r="L702" s="1390"/>
      <c r="M702" s="1390"/>
      <c r="N702" s="1390"/>
      <c r="O702" s="1390"/>
      <c r="P702" s="1390"/>
      <c r="Q702" s="1390"/>
      <c r="R702" s="1390"/>
      <c r="S702" s="1390"/>
      <c r="T702" s="1390"/>
      <c r="U702" s="1390"/>
      <c r="V702" s="1390"/>
      <c r="W702" s="1390"/>
      <c r="X702" s="1390"/>
      <c r="Y702" s="1390"/>
      <c r="Z702" s="1390"/>
      <c r="AA702" s="1390"/>
      <c r="AB702" s="1390"/>
      <c r="AC702" s="1390"/>
      <c r="AD702" s="1390"/>
      <c r="AE702" s="1390"/>
      <c r="AF702" s="1390"/>
      <c r="AG702" s="1390"/>
      <c r="AH702" s="1390"/>
      <c r="AI702" s="1390"/>
      <c r="AJ702" s="1390"/>
      <c r="AK702" s="1390"/>
    </row>
    <row r="703" spans="3:37" ht="17.25" customHeight="1" x14ac:dyDescent="0.35">
      <c r="C703" s="1390"/>
      <c r="D703" s="1390"/>
      <c r="E703" s="1390"/>
      <c r="F703" s="1390"/>
      <c r="G703" s="1390"/>
      <c r="H703" s="1390"/>
      <c r="I703" s="1390"/>
      <c r="J703" s="1390"/>
      <c r="K703" s="1390"/>
      <c r="L703" s="1390"/>
      <c r="M703" s="1390"/>
      <c r="N703" s="1390"/>
      <c r="O703" s="1390"/>
      <c r="P703" s="1390"/>
      <c r="Q703" s="1390"/>
      <c r="R703" s="1390"/>
      <c r="S703" s="1390"/>
      <c r="T703" s="1390"/>
      <c r="U703" s="1390"/>
      <c r="V703" s="1390"/>
      <c r="W703" s="1390"/>
      <c r="X703" s="1390"/>
      <c r="Y703" s="1390"/>
      <c r="Z703" s="1390"/>
      <c r="AA703" s="1390"/>
      <c r="AB703" s="1390"/>
      <c r="AC703" s="1390"/>
      <c r="AD703" s="1390"/>
      <c r="AE703" s="1390"/>
      <c r="AF703" s="1390"/>
      <c r="AG703" s="1390"/>
      <c r="AH703" s="1390"/>
      <c r="AI703" s="1390"/>
      <c r="AJ703" s="1390"/>
      <c r="AK703" s="1390"/>
    </row>
    <row r="704" spans="3:37" ht="17.25" customHeight="1" x14ac:dyDescent="0.35">
      <c r="C704" s="1390"/>
      <c r="D704" s="1390"/>
      <c r="E704" s="1390"/>
      <c r="F704" s="1390"/>
      <c r="G704" s="1390"/>
      <c r="H704" s="1390"/>
      <c r="I704" s="1390"/>
      <c r="J704" s="1390"/>
      <c r="K704" s="1390"/>
      <c r="L704" s="1390"/>
      <c r="M704" s="1390"/>
      <c r="N704" s="1390"/>
      <c r="O704" s="1390"/>
      <c r="P704" s="1390"/>
      <c r="Q704" s="1390"/>
      <c r="R704" s="1390"/>
      <c r="S704" s="1390"/>
      <c r="T704" s="1390"/>
      <c r="U704" s="1390"/>
      <c r="V704" s="1390"/>
      <c r="W704" s="1390"/>
      <c r="X704" s="1390"/>
      <c r="Y704" s="1390"/>
      <c r="Z704" s="1390"/>
      <c r="AA704" s="1390"/>
      <c r="AB704" s="1390"/>
      <c r="AC704" s="1390"/>
      <c r="AD704" s="1390"/>
      <c r="AE704" s="1390"/>
      <c r="AF704" s="1390"/>
      <c r="AG704" s="1390"/>
      <c r="AH704" s="1390"/>
      <c r="AI704" s="1390"/>
      <c r="AJ704" s="1390"/>
      <c r="AK704" s="1390"/>
    </row>
    <row r="705" spans="3:37" ht="17.25" customHeight="1" x14ac:dyDescent="0.35">
      <c r="C705" s="1390"/>
      <c r="D705" s="1390"/>
      <c r="E705" s="1390"/>
      <c r="F705" s="1390"/>
      <c r="G705" s="1390"/>
      <c r="H705" s="1390"/>
      <c r="I705" s="1390"/>
      <c r="J705" s="1390"/>
      <c r="K705" s="1390"/>
      <c r="L705" s="1390"/>
      <c r="M705" s="1390"/>
      <c r="N705" s="1390"/>
      <c r="O705" s="1390"/>
      <c r="P705" s="1390"/>
      <c r="Q705" s="1390"/>
      <c r="R705" s="1390"/>
      <c r="S705" s="1390"/>
      <c r="T705" s="1390"/>
      <c r="U705" s="1390"/>
      <c r="V705" s="1390"/>
      <c r="W705" s="1390"/>
      <c r="X705" s="1390"/>
      <c r="Y705" s="1390"/>
      <c r="Z705" s="1390"/>
      <c r="AA705" s="1390"/>
      <c r="AB705" s="1390"/>
      <c r="AC705" s="1390"/>
      <c r="AD705" s="1390"/>
      <c r="AE705" s="1390"/>
      <c r="AF705" s="1390"/>
      <c r="AG705" s="1390"/>
      <c r="AH705" s="1390"/>
      <c r="AI705" s="1390"/>
      <c r="AJ705" s="1390"/>
      <c r="AK705" s="1390"/>
    </row>
    <row r="706" spans="3:37" ht="17.25" customHeight="1" x14ac:dyDescent="0.35">
      <c r="C706" s="1390"/>
      <c r="D706" s="1390"/>
      <c r="E706" s="1390"/>
      <c r="F706" s="1390"/>
      <c r="G706" s="1390"/>
      <c r="H706" s="1390"/>
      <c r="I706" s="1390"/>
      <c r="J706" s="1390"/>
      <c r="K706" s="1390"/>
      <c r="L706" s="1390"/>
      <c r="M706" s="1390"/>
      <c r="N706" s="1390"/>
      <c r="O706" s="1390"/>
      <c r="P706" s="1390"/>
      <c r="Q706" s="1390"/>
      <c r="R706" s="1390"/>
      <c r="S706" s="1390"/>
      <c r="T706" s="1390"/>
      <c r="U706" s="1390"/>
      <c r="V706" s="1390"/>
      <c r="W706" s="1390"/>
      <c r="X706" s="1390"/>
      <c r="Y706" s="1390"/>
      <c r="Z706" s="1390"/>
      <c r="AA706" s="1390"/>
      <c r="AB706" s="1390"/>
      <c r="AC706" s="1390"/>
      <c r="AD706" s="1390"/>
      <c r="AE706" s="1390"/>
      <c r="AF706" s="1390"/>
      <c r="AG706" s="1390"/>
      <c r="AH706" s="1390"/>
      <c r="AI706" s="1390"/>
      <c r="AJ706" s="1390"/>
      <c r="AK706" s="1390"/>
    </row>
    <row r="707" spans="3:37" ht="17.25" customHeight="1" x14ac:dyDescent="0.35">
      <c r="C707" s="1390"/>
      <c r="D707" s="1390"/>
      <c r="E707" s="1390"/>
      <c r="F707" s="1390"/>
      <c r="G707" s="1390"/>
      <c r="H707" s="1390"/>
      <c r="I707" s="1390"/>
      <c r="J707" s="1390"/>
      <c r="K707" s="1390"/>
      <c r="L707" s="1390"/>
      <c r="M707" s="1390"/>
      <c r="N707" s="1390"/>
      <c r="O707" s="1390"/>
      <c r="P707" s="1390"/>
      <c r="Q707" s="1390"/>
      <c r="R707" s="1390"/>
      <c r="S707" s="1390"/>
      <c r="T707" s="1390"/>
      <c r="U707" s="1390"/>
      <c r="V707" s="1390"/>
      <c r="W707" s="1390"/>
      <c r="X707" s="1390"/>
      <c r="Y707" s="1390"/>
      <c r="Z707" s="1390"/>
      <c r="AA707" s="1390"/>
      <c r="AB707" s="1390"/>
      <c r="AC707" s="1390"/>
      <c r="AD707" s="1390"/>
      <c r="AE707" s="1390"/>
      <c r="AF707" s="1390"/>
      <c r="AG707" s="1390"/>
      <c r="AH707" s="1390"/>
      <c r="AI707" s="1390"/>
      <c r="AJ707" s="1390"/>
      <c r="AK707" s="1390"/>
    </row>
    <row r="708" spans="3:37" ht="17.25" customHeight="1" x14ac:dyDescent="0.35">
      <c r="C708" s="1390"/>
      <c r="D708" s="1390"/>
      <c r="E708" s="1390"/>
      <c r="F708" s="1390"/>
      <c r="G708" s="1390"/>
      <c r="H708" s="1390"/>
      <c r="I708" s="1390"/>
      <c r="J708" s="1390"/>
      <c r="K708" s="1390"/>
      <c r="L708" s="1390"/>
      <c r="M708" s="1390"/>
      <c r="N708" s="1390"/>
      <c r="O708" s="1390"/>
      <c r="P708" s="1390"/>
      <c r="Q708" s="1390"/>
      <c r="R708" s="1390"/>
      <c r="S708" s="1390"/>
      <c r="T708" s="1390"/>
      <c r="U708" s="1390"/>
      <c r="V708" s="1390"/>
      <c r="W708" s="1390"/>
      <c r="X708" s="1390"/>
      <c r="Y708" s="1390"/>
      <c r="Z708" s="1390"/>
      <c r="AA708" s="1390"/>
      <c r="AB708" s="1390"/>
      <c r="AC708" s="1390"/>
      <c r="AD708" s="1390"/>
      <c r="AE708" s="1390"/>
      <c r="AF708" s="1390"/>
      <c r="AG708" s="1390"/>
      <c r="AH708" s="1390"/>
      <c r="AI708" s="1390"/>
      <c r="AJ708" s="1390"/>
      <c r="AK708" s="1390"/>
    </row>
    <row r="709" spans="3:37" ht="17.25" customHeight="1" x14ac:dyDescent="0.35">
      <c r="C709" s="1390"/>
      <c r="D709" s="1390"/>
      <c r="E709" s="1390"/>
      <c r="F709" s="1390"/>
      <c r="G709" s="1390"/>
      <c r="H709" s="1390"/>
      <c r="I709" s="1390"/>
      <c r="J709" s="1390"/>
      <c r="K709" s="1390"/>
      <c r="L709" s="1390"/>
      <c r="M709" s="1390"/>
      <c r="N709" s="1390"/>
      <c r="O709" s="1390"/>
      <c r="P709" s="1390"/>
      <c r="Q709" s="1390"/>
      <c r="R709" s="1390"/>
      <c r="S709" s="1390"/>
      <c r="T709" s="1390"/>
      <c r="U709" s="1390"/>
      <c r="V709" s="1390"/>
      <c r="W709" s="1390"/>
      <c r="X709" s="1390"/>
      <c r="Y709" s="1390"/>
      <c r="Z709" s="1390"/>
      <c r="AA709" s="1390"/>
      <c r="AB709" s="1390"/>
      <c r="AC709" s="1390"/>
      <c r="AD709" s="1390"/>
      <c r="AE709" s="1390"/>
      <c r="AF709" s="1390"/>
      <c r="AG709" s="1390"/>
      <c r="AH709" s="1390"/>
      <c r="AI709" s="1390"/>
      <c r="AJ709" s="1390"/>
      <c r="AK709" s="1390"/>
    </row>
    <row r="710" spans="3:37" ht="17.25" customHeight="1" x14ac:dyDescent="0.35">
      <c r="C710" s="1390"/>
      <c r="D710" s="1390"/>
      <c r="E710" s="1390"/>
      <c r="F710" s="1390"/>
      <c r="G710" s="1390"/>
      <c r="H710" s="1390"/>
      <c r="I710" s="1390"/>
      <c r="J710" s="1390"/>
      <c r="K710" s="1390"/>
      <c r="L710" s="1390"/>
      <c r="M710" s="1390"/>
      <c r="N710" s="1390"/>
      <c r="O710" s="1390"/>
      <c r="P710" s="1390"/>
      <c r="Q710" s="1390"/>
      <c r="R710" s="1390"/>
      <c r="S710" s="1390"/>
      <c r="T710" s="1390"/>
      <c r="U710" s="1390"/>
      <c r="V710" s="1390"/>
      <c r="W710" s="1390"/>
      <c r="X710" s="1390"/>
      <c r="Y710" s="1390"/>
      <c r="Z710" s="1390"/>
      <c r="AA710" s="1390"/>
      <c r="AB710" s="1390"/>
      <c r="AC710" s="1390"/>
      <c r="AD710" s="1390"/>
      <c r="AE710" s="1390"/>
      <c r="AF710" s="1390"/>
      <c r="AG710" s="1390"/>
      <c r="AH710" s="1390"/>
      <c r="AI710" s="1390"/>
      <c r="AJ710" s="1390"/>
      <c r="AK710" s="1390"/>
    </row>
    <row r="711" spans="3:37" ht="17.25" customHeight="1" x14ac:dyDescent="0.35">
      <c r="C711" s="1390"/>
      <c r="D711" s="1390"/>
      <c r="E711" s="1390"/>
      <c r="F711" s="1390"/>
      <c r="G711" s="1390"/>
      <c r="H711" s="1390"/>
      <c r="I711" s="1390"/>
      <c r="J711" s="1390"/>
      <c r="K711" s="1390"/>
      <c r="L711" s="1390"/>
      <c r="M711" s="1390"/>
      <c r="N711" s="1390"/>
      <c r="O711" s="1390"/>
      <c r="P711" s="1390"/>
      <c r="Q711" s="1390"/>
      <c r="R711" s="1390"/>
      <c r="S711" s="1390"/>
      <c r="T711" s="1390"/>
      <c r="U711" s="1390"/>
      <c r="V711" s="1390"/>
      <c r="W711" s="1390"/>
      <c r="X711" s="1390"/>
      <c r="Y711" s="1390"/>
      <c r="Z711" s="1390"/>
      <c r="AA711" s="1390"/>
      <c r="AB711" s="1390"/>
      <c r="AC711" s="1390"/>
      <c r="AD711" s="1390"/>
      <c r="AE711" s="1390"/>
      <c r="AF711" s="1390"/>
      <c r="AG711" s="1390"/>
      <c r="AH711" s="1390"/>
      <c r="AI711" s="1390"/>
      <c r="AJ711" s="1390"/>
      <c r="AK711" s="1390"/>
    </row>
    <row r="712" spans="3:37" ht="17.25" customHeight="1" x14ac:dyDescent="0.35">
      <c r="C712" s="1390"/>
      <c r="D712" s="1390"/>
      <c r="E712" s="1390"/>
      <c r="F712" s="1390"/>
      <c r="G712" s="1390"/>
      <c r="H712" s="1390"/>
      <c r="I712" s="1390"/>
      <c r="J712" s="1390"/>
      <c r="K712" s="1390"/>
      <c r="L712" s="1390"/>
      <c r="M712" s="1390"/>
      <c r="N712" s="1390"/>
      <c r="O712" s="1390"/>
      <c r="P712" s="1390"/>
      <c r="Q712" s="1390"/>
      <c r="R712" s="1390"/>
      <c r="S712" s="1390"/>
      <c r="T712" s="1390"/>
      <c r="U712" s="1390"/>
      <c r="V712" s="1390"/>
      <c r="W712" s="1390"/>
      <c r="X712" s="1390"/>
      <c r="Y712" s="1390"/>
      <c r="Z712" s="1390"/>
      <c r="AA712" s="1390"/>
      <c r="AB712" s="1390"/>
      <c r="AC712" s="1390"/>
      <c r="AD712" s="1390"/>
      <c r="AE712" s="1390"/>
      <c r="AF712" s="1390"/>
      <c r="AG712" s="1390"/>
      <c r="AH712" s="1390"/>
      <c r="AI712" s="1390"/>
      <c r="AJ712" s="1390"/>
      <c r="AK712" s="1390"/>
    </row>
    <row r="713" spans="3:37" ht="17.25" customHeight="1" x14ac:dyDescent="0.35">
      <c r="C713" s="1390"/>
      <c r="D713" s="1390"/>
      <c r="E713" s="1390"/>
      <c r="F713" s="1390"/>
      <c r="G713" s="1390"/>
      <c r="H713" s="1390"/>
      <c r="I713" s="1390"/>
      <c r="J713" s="1390"/>
      <c r="K713" s="1390"/>
      <c r="L713" s="1390"/>
      <c r="M713" s="1390"/>
      <c r="N713" s="1390"/>
      <c r="O713" s="1390"/>
      <c r="P713" s="1390"/>
      <c r="Q713" s="1390"/>
      <c r="R713" s="1390"/>
      <c r="S713" s="1390"/>
      <c r="T713" s="1390"/>
      <c r="U713" s="1390"/>
      <c r="V713" s="1390"/>
      <c r="W713" s="1390"/>
      <c r="X713" s="1390"/>
      <c r="Y713" s="1390"/>
      <c r="Z713" s="1390"/>
      <c r="AA713" s="1390"/>
      <c r="AB713" s="1390"/>
      <c r="AC713" s="1390"/>
      <c r="AD713" s="1390"/>
      <c r="AE713" s="1390"/>
      <c r="AF713" s="1390"/>
      <c r="AG713" s="1390"/>
      <c r="AH713" s="1390"/>
      <c r="AI713" s="1390"/>
      <c r="AJ713" s="1390"/>
      <c r="AK713" s="1390"/>
    </row>
    <row r="714" spans="3:37" ht="17.25" customHeight="1" x14ac:dyDescent="0.35">
      <c r="C714" s="1390"/>
      <c r="D714" s="1390"/>
      <c r="E714" s="1390"/>
      <c r="F714" s="1390"/>
      <c r="G714" s="1390"/>
      <c r="H714" s="1390"/>
      <c r="I714" s="1390"/>
      <c r="J714" s="1390"/>
      <c r="K714" s="1390"/>
      <c r="L714" s="1390"/>
      <c r="M714" s="1390"/>
      <c r="N714" s="1390"/>
      <c r="O714" s="1390"/>
      <c r="P714" s="1390"/>
      <c r="Q714" s="1390"/>
      <c r="R714" s="1390"/>
      <c r="S714" s="1390"/>
      <c r="T714" s="1390"/>
      <c r="U714" s="1390"/>
      <c r="V714" s="1390"/>
      <c r="W714" s="1390"/>
      <c r="X714" s="1390"/>
      <c r="Y714" s="1390"/>
      <c r="Z714" s="1390"/>
      <c r="AA714" s="1390"/>
      <c r="AB714" s="1390"/>
      <c r="AC714" s="1390"/>
      <c r="AD714" s="1390"/>
      <c r="AE714" s="1390"/>
      <c r="AF714" s="1390"/>
      <c r="AG714" s="1390"/>
      <c r="AH714" s="1390"/>
      <c r="AI714" s="1390"/>
      <c r="AJ714" s="1390"/>
      <c r="AK714" s="1390"/>
    </row>
    <row r="715" spans="3:37" ht="17.25" customHeight="1" x14ac:dyDescent="0.35">
      <c r="C715" s="1390"/>
      <c r="D715" s="1390"/>
      <c r="E715" s="1390"/>
      <c r="F715" s="1390"/>
      <c r="G715" s="1390"/>
      <c r="H715" s="1390"/>
      <c r="I715" s="1390"/>
      <c r="J715" s="1390"/>
      <c r="K715" s="1390"/>
      <c r="L715" s="1390"/>
      <c r="M715" s="1390"/>
      <c r="N715" s="1390"/>
      <c r="O715" s="1390"/>
      <c r="P715" s="1390"/>
      <c r="Q715" s="1390"/>
      <c r="R715" s="1390"/>
      <c r="S715" s="1390"/>
      <c r="T715" s="1390"/>
      <c r="U715" s="1390"/>
      <c r="V715" s="1390"/>
      <c r="W715" s="1390"/>
      <c r="X715" s="1390"/>
      <c r="Y715" s="1390"/>
      <c r="Z715" s="1390"/>
      <c r="AA715" s="1390"/>
      <c r="AB715" s="1390"/>
      <c r="AC715" s="1390"/>
      <c r="AD715" s="1390"/>
      <c r="AE715" s="1390"/>
      <c r="AF715" s="1390"/>
      <c r="AG715" s="1390"/>
      <c r="AH715" s="1390"/>
      <c r="AI715" s="1390"/>
      <c r="AJ715" s="1390"/>
      <c r="AK715" s="1390"/>
    </row>
    <row r="716" spans="3:37" ht="17.25" customHeight="1" x14ac:dyDescent="0.35">
      <c r="C716" s="1390"/>
      <c r="D716" s="1390"/>
      <c r="E716" s="1390"/>
      <c r="F716" s="1390"/>
      <c r="G716" s="1390"/>
      <c r="H716" s="1390"/>
      <c r="I716" s="1390"/>
      <c r="J716" s="1390"/>
      <c r="K716" s="1390"/>
      <c r="L716" s="1390"/>
      <c r="M716" s="1390"/>
      <c r="N716" s="1390"/>
      <c r="O716" s="1390"/>
      <c r="P716" s="1390"/>
      <c r="Q716" s="1390"/>
      <c r="R716" s="1390"/>
      <c r="S716" s="1390"/>
      <c r="T716" s="1390"/>
      <c r="U716" s="1390"/>
      <c r="V716" s="1390"/>
      <c r="W716" s="1390"/>
      <c r="X716" s="1390"/>
      <c r="Y716" s="1390"/>
      <c r="Z716" s="1390"/>
      <c r="AA716" s="1390"/>
      <c r="AB716" s="1390"/>
      <c r="AC716" s="1390"/>
      <c r="AD716" s="1390"/>
      <c r="AE716" s="1390"/>
      <c r="AF716" s="1390"/>
      <c r="AG716" s="1390"/>
      <c r="AH716" s="1390"/>
      <c r="AI716" s="1390"/>
      <c r="AJ716" s="1390"/>
      <c r="AK716" s="1390"/>
    </row>
    <row r="717" spans="3:37" ht="17.25" customHeight="1" x14ac:dyDescent="0.35">
      <c r="C717" s="1390"/>
      <c r="D717" s="1390"/>
      <c r="E717" s="1390"/>
      <c r="F717" s="1390"/>
      <c r="G717" s="1390"/>
      <c r="H717" s="1390"/>
      <c r="I717" s="1390"/>
      <c r="J717" s="1390"/>
      <c r="K717" s="1390"/>
      <c r="L717" s="1390"/>
      <c r="M717" s="1390"/>
      <c r="N717" s="1390"/>
      <c r="O717" s="1390"/>
      <c r="P717" s="1390"/>
      <c r="Q717" s="1390"/>
      <c r="R717" s="1390"/>
      <c r="S717" s="1390"/>
      <c r="T717" s="1390"/>
      <c r="U717" s="1390"/>
      <c r="V717" s="1390"/>
      <c r="W717" s="1390"/>
      <c r="X717" s="1390"/>
      <c r="Y717" s="1390"/>
      <c r="Z717" s="1390"/>
      <c r="AA717" s="1390"/>
      <c r="AB717" s="1390"/>
      <c r="AC717" s="1390"/>
      <c r="AD717" s="1390"/>
      <c r="AE717" s="1390"/>
      <c r="AF717" s="1390"/>
      <c r="AG717" s="1390"/>
      <c r="AH717" s="1390"/>
      <c r="AI717" s="1390"/>
      <c r="AJ717" s="1390"/>
      <c r="AK717" s="1390"/>
    </row>
    <row r="718" spans="3:37" ht="17.25" customHeight="1" x14ac:dyDescent="0.35">
      <c r="C718" s="1390"/>
      <c r="D718" s="1390"/>
      <c r="E718" s="1390"/>
      <c r="F718" s="1390"/>
      <c r="G718" s="1390"/>
      <c r="H718" s="1390"/>
      <c r="I718" s="1390"/>
      <c r="J718" s="1390"/>
      <c r="K718" s="1390"/>
      <c r="L718" s="1390"/>
      <c r="M718" s="1390"/>
      <c r="N718" s="1390"/>
      <c r="O718" s="1390"/>
      <c r="P718" s="1390"/>
      <c r="Q718" s="1390"/>
      <c r="R718" s="1390"/>
      <c r="S718" s="1390"/>
      <c r="T718" s="1390"/>
      <c r="U718" s="1390"/>
      <c r="V718" s="1390"/>
      <c r="W718" s="1390"/>
      <c r="X718" s="1390"/>
      <c r="Y718" s="1390"/>
      <c r="Z718" s="1390"/>
      <c r="AA718" s="1390"/>
      <c r="AB718" s="1390"/>
      <c r="AC718" s="1390"/>
      <c r="AD718" s="1390"/>
      <c r="AE718" s="1390"/>
      <c r="AF718" s="1390"/>
      <c r="AG718" s="1390"/>
      <c r="AH718" s="1390"/>
      <c r="AI718" s="1390"/>
      <c r="AJ718" s="1390"/>
      <c r="AK718" s="1390"/>
    </row>
    <row r="719" spans="3:37" ht="17.25" customHeight="1" x14ac:dyDescent="0.35">
      <c r="C719" s="1390"/>
      <c r="D719" s="1390"/>
      <c r="E719" s="1390"/>
      <c r="F719" s="1390"/>
      <c r="G719" s="1390"/>
      <c r="H719" s="1390"/>
      <c r="I719" s="1390"/>
      <c r="J719" s="1390"/>
      <c r="K719" s="1390"/>
      <c r="L719" s="1390"/>
      <c r="M719" s="1390"/>
      <c r="N719" s="1390"/>
      <c r="O719" s="1390"/>
      <c r="P719" s="1390"/>
      <c r="Q719" s="1390"/>
      <c r="R719" s="1390"/>
      <c r="S719" s="1390"/>
      <c r="T719" s="1390"/>
      <c r="U719" s="1390"/>
      <c r="V719" s="1390"/>
      <c r="W719" s="1390"/>
      <c r="X719" s="1390"/>
      <c r="Y719" s="1390"/>
      <c r="Z719" s="1390"/>
      <c r="AA719" s="1390"/>
      <c r="AB719" s="1390"/>
      <c r="AC719" s="1390"/>
      <c r="AD719" s="1390"/>
      <c r="AE719" s="1390"/>
      <c r="AF719" s="1390"/>
      <c r="AG719" s="1390"/>
      <c r="AH719" s="1390"/>
      <c r="AI719" s="1390"/>
      <c r="AJ719" s="1390"/>
      <c r="AK719" s="1390"/>
    </row>
    <row r="720" spans="3:37" ht="17.25" customHeight="1" x14ac:dyDescent="0.35">
      <c r="C720" s="1390"/>
      <c r="D720" s="1390"/>
      <c r="E720" s="1390"/>
      <c r="F720" s="1390"/>
      <c r="G720" s="1390"/>
      <c r="H720" s="1390"/>
      <c r="I720" s="1390"/>
      <c r="J720" s="1390"/>
      <c r="K720" s="1390"/>
      <c r="L720" s="1390"/>
      <c r="M720" s="1390"/>
      <c r="N720" s="1390"/>
      <c r="O720" s="1390"/>
      <c r="P720" s="1390"/>
      <c r="Q720" s="1390"/>
      <c r="R720" s="1390"/>
      <c r="S720" s="1390"/>
      <c r="T720" s="1390"/>
      <c r="U720" s="1390"/>
      <c r="V720" s="1390"/>
      <c r="W720" s="1390"/>
      <c r="X720" s="1390"/>
      <c r="Y720" s="1390"/>
      <c r="Z720" s="1390"/>
      <c r="AA720" s="1390"/>
      <c r="AB720" s="1390"/>
      <c r="AC720" s="1390"/>
      <c r="AD720" s="1390"/>
      <c r="AE720" s="1390"/>
      <c r="AF720" s="1390"/>
      <c r="AG720" s="1390"/>
      <c r="AH720" s="1390"/>
      <c r="AI720" s="1390"/>
      <c r="AJ720" s="1390"/>
      <c r="AK720" s="1390"/>
    </row>
    <row r="721" spans="3:37" ht="17.25" customHeight="1" x14ac:dyDescent="0.35">
      <c r="C721" s="1390"/>
      <c r="D721" s="1390"/>
      <c r="E721" s="1390"/>
      <c r="F721" s="1390"/>
      <c r="G721" s="1390"/>
      <c r="H721" s="1390"/>
      <c r="I721" s="1390"/>
      <c r="J721" s="1390"/>
      <c r="K721" s="1390"/>
      <c r="L721" s="1390"/>
      <c r="M721" s="1390"/>
      <c r="N721" s="1390"/>
      <c r="O721" s="1390"/>
      <c r="P721" s="1390"/>
      <c r="Q721" s="1390"/>
      <c r="R721" s="1390"/>
      <c r="S721" s="1390"/>
      <c r="T721" s="1390"/>
      <c r="U721" s="1390"/>
      <c r="V721" s="1390"/>
      <c r="W721" s="1390"/>
      <c r="X721" s="1390"/>
      <c r="Y721" s="1390"/>
      <c r="Z721" s="1390"/>
      <c r="AA721" s="1390"/>
      <c r="AB721" s="1390"/>
      <c r="AC721" s="1390"/>
      <c r="AD721" s="1390"/>
      <c r="AE721" s="1390"/>
      <c r="AF721" s="1390"/>
      <c r="AG721" s="1390"/>
      <c r="AH721" s="1390"/>
      <c r="AI721" s="1390"/>
      <c r="AJ721" s="1390"/>
      <c r="AK721" s="1390"/>
    </row>
    <row r="722" spans="3:37" ht="17.25" customHeight="1" x14ac:dyDescent="0.35">
      <c r="C722" s="1390"/>
      <c r="D722" s="1390"/>
      <c r="E722" s="1390"/>
      <c r="F722" s="1390"/>
      <c r="G722" s="1390"/>
      <c r="H722" s="1390"/>
      <c r="I722" s="1390"/>
      <c r="J722" s="1390"/>
      <c r="K722" s="1390"/>
      <c r="L722" s="1390"/>
      <c r="M722" s="1390"/>
      <c r="N722" s="1390"/>
      <c r="O722" s="1390"/>
      <c r="P722" s="1390"/>
      <c r="Q722" s="1390"/>
      <c r="R722" s="1390"/>
      <c r="S722" s="1390"/>
      <c r="T722" s="1390"/>
      <c r="U722" s="1390"/>
      <c r="V722" s="1390"/>
      <c r="W722" s="1390"/>
      <c r="X722" s="1390"/>
      <c r="Y722" s="1390"/>
      <c r="Z722" s="1390"/>
      <c r="AA722" s="1390"/>
      <c r="AB722" s="1390"/>
      <c r="AC722" s="1390"/>
      <c r="AD722" s="1390"/>
      <c r="AE722" s="1390"/>
      <c r="AF722" s="1390"/>
      <c r="AG722" s="1390"/>
      <c r="AH722" s="1390"/>
      <c r="AI722" s="1390"/>
      <c r="AJ722" s="1390"/>
      <c r="AK722" s="1390"/>
    </row>
    <row r="723" spans="3:37" ht="17.25" customHeight="1" x14ac:dyDescent="0.35">
      <c r="C723" s="1390"/>
      <c r="D723" s="1390"/>
      <c r="E723" s="1390"/>
      <c r="F723" s="1390"/>
      <c r="G723" s="1390"/>
      <c r="H723" s="1390"/>
      <c r="I723" s="1390"/>
      <c r="J723" s="1390"/>
      <c r="K723" s="1390"/>
      <c r="L723" s="1390"/>
      <c r="M723" s="1390"/>
      <c r="N723" s="1390"/>
      <c r="O723" s="1390"/>
      <c r="P723" s="1390"/>
      <c r="Q723" s="1390"/>
      <c r="R723" s="1390"/>
      <c r="S723" s="1390"/>
      <c r="T723" s="1390"/>
      <c r="U723" s="1390"/>
      <c r="V723" s="1390"/>
      <c r="W723" s="1390"/>
      <c r="X723" s="1390"/>
      <c r="Y723" s="1390"/>
      <c r="Z723" s="1390"/>
      <c r="AA723" s="1390"/>
      <c r="AB723" s="1390"/>
      <c r="AC723" s="1390"/>
      <c r="AD723" s="1390"/>
      <c r="AE723" s="1390"/>
      <c r="AF723" s="1390"/>
      <c r="AG723" s="1390"/>
      <c r="AH723" s="1390"/>
      <c r="AI723" s="1390"/>
      <c r="AJ723" s="1390"/>
      <c r="AK723" s="1390"/>
    </row>
    <row r="724" spans="3:37" ht="17.25" customHeight="1" x14ac:dyDescent="0.35">
      <c r="C724" s="1390"/>
      <c r="D724" s="1390"/>
      <c r="E724" s="1390"/>
      <c r="F724" s="1390"/>
      <c r="G724" s="1390"/>
      <c r="H724" s="1390"/>
      <c r="I724" s="1390"/>
      <c r="J724" s="1390"/>
      <c r="K724" s="1390"/>
      <c r="L724" s="1390"/>
      <c r="M724" s="1390"/>
      <c r="N724" s="1390"/>
      <c r="O724" s="1390"/>
      <c r="P724" s="1390"/>
      <c r="Q724" s="1390"/>
      <c r="R724" s="1390"/>
      <c r="S724" s="1390"/>
      <c r="T724" s="1390"/>
      <c r="U724" s="1390"/>
      <c r="V724" s="1390"/>
      <c r="W724" s="1390"/>
      <c r="X724" s="1390"/>
      <c r="Y724" s="1390"/>
      <c r="Z724" s="1390"/>
      <c r="AA724" s="1390"/>
      <c r="AB724" s="1390"/>
      <c r="AC724" s="1390"/>
      <c r="AD724" s="1390"/>
      <c r="AE724" s="1390"/>
      <c r="AF724" s="1390"/>
      <c r="AG724" s="1390"/>
      <c r="AH724" s="1390"/>
      <c r="AI724" s="1390"/>
      <c r="AJ724" s="1390"/>
      <c r="AK724" s="1390"/>
    </row>
    <row r="725" spans="3:37" ht="17.25" customHeight="1" x14ac:dyDescent="0.35">
      <c r="C725" s="1390"/>
      <c r="D725" s="1390"/>
      <c r="E725" s="1390"/>
      <c r="F725" s="1390"/>
      <c r="G725" s="1390"/>
      <c r="H725" s="1390"/>
      <c r="I725" s="1390"/>
      <c r="J725" s="1390"/>
      <c r="K725" s="1390"/>
      <c r="L725" s="1390"/>
      <c r="M725" s="1390"/>
      <c r="N725" s="1390"/>
      <c r="O725" s="1390"/>
      <c r="P725" s="1390"/>
      <c r="Q725" s="1390"/>
      <c r="R725" s="1390"/>
      <c r="S725" s="1390"/>
      <c r="T725" s="1390"/>
      <c r="U725" s="1390"/>
      <c r="V725" s="1390"/>
      <c r="W725" s="1390"/>
      <c r="X725" s="1390"/>
      <c r="Y725" s="1390"/>
      <c r="Z725" s="1390"/>
      <c r="AA725" s="1390"/>
      <c r="AB725" s="1390"/>
      <c r="AC725" s="1390"/>
      <c r="AD725" s="1390"/>
      <c r="AE725" s="1390"/>
      <c r="AF725" s="1390"/>
      <c r="AG725" s="1390"/>
      <c r="AH725" s="1390"/>
      <c r="AI725" s="1390"/>
      <c r="AJ725" s="1390"/>
      <c r="AK725" s="1390"/>
    </row>
    <row r="726" spans="3:37" ht="17.25" customHeight="1" x14ac:dyDescent="0.35">
      <c r="C726" s="1390"/>
      <c r="D726" s="1390"/>
      <c r="E726" s="1390"/>
      <c r="F726" s="1390"/>
      <c r="G726" s="1390"/>
      <c r="H726" s="1390"/>
      <c r="I726" s="1390"/>
      <c r="J726" s="1390"/>
      <c r="K726" s="1390"/>
      <c r="L726" s="1390"/>
      <c r="M726" s="1390"/>
      <c r="N726" s="1390"/>
      <c r="O726" s="1390"/>
      <c r="P726" s="1390"/>
      <c r="Q726" s="1390"/>
      <c r="R726" s="1390"/>
      <c r="S726" s="1390"/>
      <c r="T726" s="1390"/>
      <c r="U726" s="1390"/>
      <c r="V726" s="1390"/>
      <c r="W726" s="1390"/>
      <c r="X726" s="1390"/>
      <c r="Y726" s="1390"/>
      <c r="Z726" s="1390"/>
      <c r="AA726" s="1390"/>
      <c r="AB726" s="1390"/>
      <c r="AC726" s="1390"/>
      <c r="AD726" s="1390"/>
      <c r="AE726" s="1390"/>
      <c r="AF726" s="1390"/>
      <c r="AG726" s="1390"/>
      <c r="AH726" s="1390"/>
      <c r="AI726" s="1390"/>
      <c r="AJ726" s="1390"/>
      <c r="AK726" s="1390"/>
    </row>
    <row r="727" spans="3:37" ht="17.25" customHeight="1" x14ac:dyDescent="0.35">
      <c r="C727" s="1390"/>
      <c r="D727" s="1390"/>
      <c r="E727" s="1390"/>
      <c r="F727" s="1390"/>
      <c r="G727" s="1390"/>
      <c r="H727" s="1390"/>
      <c r="I727" s="1390"/>
      <c r="J727" s="1390"/>
      <c r="K727" s="1390"/>
      <c r="L727" s="1390"/>
      <c r="M727" s="1390"/>
      <c r="N727" s="1390"/>
      <c r="O727" s="1390"/>
      <c r="P727" s="1390"/>
      <c r="Q727" s="1390"/>
      <c r="R727" s="1390"/>
      <c r="S727" s="1390"/>
      <c r="T727" s="1390"/>
      <c r="U727" s="1390"/>
      <c r="V727" s="1390"/>
      <c r="W727" s="1390"/>
      <c r="X727" s="1390"/>
      <c r="Y727" s="1390"/>
      <c r="Z727" s="1390"/>
      <c r="AA727" s="1390"/>
      <c r="AB727" s="1390"/>
      <c r="AC727" s="1390"/>
      <c r="AD727" s="1390"/>
      <c r="AE727" s="1390"/>
      <c r="AF727" s="1390"/>
      <c r="AG727" s="1390"/>
      <c r="AH727" s="1390"/>
      <c r="AI727" s="1390"/>
      <c r="AJ727" s="1390"/>
      <c r="AK727" s="1390"/>
    </row>
    <row r="728" spans="3:37" ht="17.25" customHeight="1" x14ac:dyDescent="0.35">
      <c r="C728" s="1390"/>
      <c r="D728" s="1390"/>
      <c r="E728" s="1390"/>
      <c r="F728" s="1390"/>
      <c r="G728" s="1390"/>
      <c r="H728" s="1390"/>
      <c r="I728" s="1390"/>
      <c r="J728" s="1390"/>
      <c r="K728" s="1390"/>
      <c r="L728" s="1390"/>
      <c r="M728" s="1390"/>
      <c r="N728" s="1390"/>
      <c r="O728" s="1390"/>
      <c r="P728" s="1390"/>
      <c r="Q728" s="1390"/>
      <c r="R728" s="1390"/>
      <c r="S728" s="1390"/>
      <c r="T728" s="1390"/>
      <c r="U728" s="1390"/>
      <c r="V728" s="1390"/>
      <c r="W728" s="1390"/>
      <c r="X728" s="1390"/>
      <c r="Y728" s="1390"/>
      <c r="Z728" s="1390"/>
      <c r="AA728" s="1390"/>
      <c r="AB728" s="1390"/>
      <c r="AC728" s="1390"/>
      <c r="AD728" s="1390"/>
      <c r="AE728" s="1390"/>
      <c r="AF728" s="1390"/>
      <c r="AG728" s="1390"/>
      <c r="AH728" s="1390"/>
      <c r="AI728" s="1390"/>
      <c r="AJ728" s="1390"/>
      <c r="AK728" s="1390"/>
    </row>
    <row r="729" spans="3:37" ht="17.25" customHeight="1" x14ac:dyDescent="0.35">
      <c r="C729" s="1390"/>
      <c r="D729" s="1390"/>
      <c r="E729" s="1390"/>
      <c r="F729" s="1390"/>
      <c r="G729" s="1390"/>
      <c r="H729" s="1390"/>
      <c r="I729" s="1390"/>
      <c r="J729" s="1390"/>
      <c r="K729" s="1390"/>
      <c r="L729" s="1390"/>
      <c r="M729" s="1390"/>
      <c r="N729" s="1390"/>
      <c r="O729" s="1390"/>
      <c r="P729" s="1390"/>
      <c r="Q729" s="1390"/>
      <c r="R729" s="1390"/>
      <c r="S729" s="1390"/>
      <c r="T729" s="1390"/>
      <c r="U729" s="1390"/>
      <c r="V729" s="1390"/>
      <c r="W729" s="1390"/>
      <c r="X729" s="1390"/>
      <c r="Y729" s="1390"/>
      <c r="Z729" s="1390"/>
      <c r="AA729" s="1390"/>
      <c r="AB729" s="1390"/>
      <c r="AC729" s="1390"/>
      <c r="AD729" s="1390"/>
      <c r="AE729" s="1390"/>
      <c r="AF729" s="1390"/>
      <c r="AG729" s="1390"/>
      <c r="AH729" s="1390"/>
      <c r="AI729" s="1390"/>
      <c r="AJ729" s="1390"/>
      <c r="AK729" s="1390"/>
    </row>
    <row r="730" spans="3:37" ht="17.25" customHeight="1" x14ac:dyDescent="0.35">
      <c r="C730" s="1390"/>
      <c r="D730" s="1390"/>
      <c r="E730" s="1390"/>
      <c r="F730" s="1390"/>
      <c r="G730" s="1390"/>
      <c r="H730" s="1390"/>
      <c r="I730" s="1390"/>
      <c r="J730" s="1390"/>
      <c r="K730" s="1390"/>
      <c r="L730" s="1390"/>
      <c r="M730" s="1390"/>
      <c r="N730" s="1390"/>
      <c r="O730" s="1390"/>
      <c r="P730" s="1390"/>
      <c r="Q730" s="1390"/>
      <c r="R730" s="1390"/>
      <c r="S730" s="1390"/>
      <c r="T730" s="1390"/>
      <c r="U730" s="1390"/>
      <c r="V730" s="1390"/>
      <c r="W730" s="1390"/>
      <c r="X730" s="1390"/>
      <c r="Y730" s="1390"/>
      <c r="Z730" s="1390"/>
      <c r="AA730" s="1390"/>
      <c r="AB730" s="1390"/>
      <c r="AC730" s="1390"/>
      <c r="AD730" s="1390"/>
      <c r="AE730" s="1390"/>
      <c r="AF730" s="1390"/>
      <c r="AG730" s="1390"/>
      <c r="AH730" s="1390"/>
      <c r="AI730" s="1390"/>
      <c r="AJ730" s="1390"/>
      <c r="AK730" s="1390"/>
    </row>
    <row r="731" spans="3:37" ht="17.25" customHeight="1" x14ac:dyDescent="0.35">
      <c r="C731" s="1390"/>
      <c r="D731" s="1390"/>
      <c r="E731" s="1390"/>
      <c r="F731" s="1390"/>
      <c r="G731" s="1390"/>
      <c r="H731" s="1390"/>
      <c r="I731" s="1390"/>
      <c r="J731" s="1390"/>
      <c r="K731" s="1390"/>
      <c r="L731" s="1390"/>
      <c r="M731" s="1390"/>
      <c r="N731" s="1390"/>
      <c r="O731" s="1390"/>
      <c r="P731" s="1390"/>
      <c r="Q731" s="1390"/>
      <c r="R731" s="1390"/>
      <c r="S731" s="1390"/>
      <c r="T731" s="1390"/>
      <c r="U731" s="1390"/>
      <c r="V731" s="1390"/>
      <c r="W731" s="1390"/>
      <c r="X731" s="1390"/>
      <c r="Y731" s="1390"/>
      <c r="Z731" s="1390"/>
      <c r="AA731" s="1390"/>
      <c r="AB731" s="1390"/>
      <c r="AC731" s="1390"/>
      <c r="AD731" s="1390"/>
      <c r="AE731" s="1390"/>
      <c r="AF731" s="1390"/>
      <c r="AG731" s="1390"/>
      <c r="AH731" s="1390"/>
      <c r="AI731" s="1390"/>
      <c r="AJ731" s="1390"/>
      <c r="AK731" s="1390"/>
    </row>
    <row r="732" spans="3:37" ht="17.25" customHeight="1" x14ac:dyDescent="0.35">
      <c r="C732" s="1390"/>
      <c r="D732" s="1390"/>
      <c r="E732" s="1390"/>
      <c r="F732" s="1390"/>
      <c r="G732" s="1390"/>
      <c r="H732" s="1390"/>
      <c r="I732" s="1390"/>
      <c r="J732" s="1390"/>
      <c r="K732" s="1390"/>
      <c r="L732" s="1390"/>
      <c r="M732" s="1390"/>
      <c r="N732" s="1390"/>
      <c r="O732" s="1390"/>
      <c r="P732" s="1390"/>
      <c r="Q732" s="1390"/>
      <c r="R732" s="1390"/>
      <c r="S732" s="1390"/>
      <c r="T732" s="1390"/>
      <c r="U732" s="1390"/>
      <c r="V732" s="1390"/>
      <c r="W732" s="1390"/>
      <c r="X732" s="1390"/>
      <c r="Y732" s="1390"/>
      <c r="Z732" s="1390"/>
      <c r="AA732" s="1390"/>
      <c r="AB732" s="1390"/>
      <c r="AC732" s="1390"/>
      <c r="AD732" s="1390"/>
      <c r="AE732" s="1390"/>
      <c r="AF732" s="1390"/>
      <c r="AG732" s="1390"/>
      <c r="AH732" s="1390"/>
      <c r="AI732" s="1390"/>
      <c r="AJ732" s="1390"/>
      <c r="AK732" s="1390"/>
    </row>
    <row r="733" spans="3:37" ht="17.25" customHeight="1" x14ac:dyDescent="0.35">
      <c r="C733" s="1390"/>
      <c r="D733" s="1390"/>
      <c r="E733" s="1390"/>
      <c r="F733" s="1390"/>
      <c r="G733" s="1390"/>
      <c r="H733" s="1390"/>
      <c r="I733" s="1390"/>
      <c r="J733" s="1390"/>
      <c r="K733" s="1390"/>
      <c r="L733" s="1390"/>
      <c r="M733" s="1390"/>
      <c r="N733" s="1390"/>
      <c r="O733" s="1390"/>
      <c r="P733" s="1390"/>
      <c r="Q733" s="1390"/>
      <c r="R733" s="1390"/>
      <c r="S733" s="1390"/>
      <c r="T733" s="1390"/>
      <c r="U733" s="1390"/>
      <c r="V733" s="1390"/>
      <c r="W733" s="1390"/>
      <c r="X733" s="1390"/>
      <c r="Y733" s="1390"/>
      <c r="Z733" s="1390"/>
      <c r="AA733" s="1390"/>
      <c r="AB733" s="1390"/>
      <c r="AC733" s="1390"/>
      <c r="AD733" s="1390"/>
      <c r="AE733" s="1390"/>
      <c r="AF733" s="1390"/>
      <c r="AG733" s="1390"/>
      <c r="AH733" s="1390"/>
      <c r="AI733" s="1390"/>
      <c r="AJ733" s="1390"/>
      <c r="AK733" s="1390"/>
    </row>
    <row r="734" spans="3:37" ht="17.25" customHeight="1" x14ac:dyDescent="0.35">
      <c r="C734" s="1390"/>
      <c r="D734" s="1390"/>
      <c r="E734" s="1390"/>
      <c r="F734" s="1390"/>
      <c r="G734" s="1390"/>
      <c r="H734" s="1390"/>
      <c r="I734" s="1390"/>
      <c r="J734" s="1390"/>
      <c r="K734" s="1390"/>
      <c r="L734" s="1390"/>
      <c r="M734" s="1390"/>
      <c r="N734" s="1390"/>
      <c r="O734" s="1390"/>
      <c r="P734" s="1390"/>
      <c r="Q734" s="1390"/>
      <c r="R734" s="1390"/>
      <c r="S734" s="1390"/>
      <c r="T734" s="1390"/>
      <c r="U734" s="1390"/>
      <c r="V734" s="1390"/>
      <c r="W734" s="1390"/>
      <c r="X734" s="1390"/>
      <c r="Y734" s="1390"/>
      <c r="Z734" s="1390"/>
      <c r="AA734" s="1390"/>
      <c r="AB734" s="1390"/>
      <c r="AC734" s="1390"/>
      <c r="AD734" s="1390"/>
      <c r="AE734" s="1390"/>
      <c r="AF734" s="1390"/>
      <c r="AG734" s="1390"/>
      <c r="AH734" s="1390"/>
      <c r="AI734" s="1390"/>
      <c r="AJ734" s="1390"/>
      <c r="AK734" s="1390"/>
    </row>
    <row r="735" spans="3:37" ht="17.25" customHeight="1" x14ac:dyDescent="0.35">
      <c r="C735" s="1390"/>
      <c r="D735" s="1390"/>
      <c r="E735" s="1390"/>
      <c r="F735" s="1390"/>
      <c r="G735" s="1390"/>
      <c r="H735" s="1390"/>
      <c r="I735" s="1390"/>
      <c r="J735" s="1390"/>
      <c r="K735" s="1390"/>
      <c r="L735" s="1390"/>
      <c r="M735" s="1390"/>
      <c r="N735" s="1390"/>
      <c r="O735" s="1390"/>
      <c r="P735" s="1390"/>
      <c r="Q735" s="1390"/>
      <c r="R735" s="1390"/>
      <c r="S735" s="1390"/>
      <c r="T735" s="1390"/>
      <c r="U735" s="1390"/>
      <c r="V735" s="1390"/>
      <c r="W735" s="1390"/>
      <c r="X735" s="1390"/>
      <c r="Y735" s="1390"/>
      <c r="Z735" s="1390"/>
      <c r="AA735" s="1390"/>
      <c r="AB735" s="1390"/>
      <c r="AC735" s="1390"/>
      <c r="AD735" s="1390"/>
      <c r="AE735" s="1390"/>
      <c r="AF735" s="1390"/>
      <c r="AG735" s="1390"/>
      <c r="AH735" s="1390"/>
      <c r="AI735" s="1390"/>
      <c r="AJ735" s="1390"/>
      <c r="AK735" s="1390"/>
    </row>
    <row r="736" spans="3:37" ht="17.25" customHeight="1" x14ac:dyDescent="0.35">
      <c r="C736" s="1390"/>
      <c r="D736" s="1390"/>
      <c r="E736" s="1390"/>
      <c r="F736" s="1390"/>
      <c r="G736" s="1390"/>
      <c r="H736" s="1390"/>
      <c r="I736" s="1390"/>
      <c r="J736" s="1390"/>
      <c r="K736" s="1390"/>
      <c r="L736" s="1390"/>
      <c r="M736" s="1390"/>
      <c r="N736" s="1390"/>
      <c r="O736" s="1390"/>
      <c r="P736" s="1390"/>
      <c r="Q736" s="1390"/>
      <c r="R736" s="1390"/>
      <c r="S736" s="1390"/>
      <c r="T736" s="1390"/>
      <c r="U736" s="1390"/>
      <c r="V736" s="1390"/>
      <c r="W736" s="1390"/>
      <c r="X736" s="1390"/>
      <c r="Y736" s="1390"/>
      <c r="Z736" s="1390"/>
      <c r="AA736" s="1390"/>
      <c r="AB736" s="1390"/>
      <c r="AC736" s="1390"/>
      <c r="AD736" s="1390"/>
      <c r="AE736" s="1390"/>
      <c r="AF736" s="1390"/>
      <c r="AG736" s="1390"/>
      <c r="AH736" s="1390"/>
      <c r="AI736" s="1390"/>
      <c r="AJ736" s="1390"/>
      <c r="AK736" s="1390"/>
    </row>
    <row r="737" spans="3:37" ht="17.25" customHeight="1" x14ac:dyDescent="0.35">
      <c r="C737" s="1390"/>
      <c r="D737" s="1390"/>
      <c r="E737" s="1390"/>
      <c r="F737" s="1390"/>
      <c r="G737" s="1390"/>
      <c r="H737" s="1390"/>
      <c r="I737" s="1390"/>
      <c r="J737" s="1390"/>
      <c r="K737" s="1390"/>
      <c r="L737" s="1390"/>
      <c r="M737" s="1390"/>
      <c r="N737" s="1390"/>
      <c r="O737" s="1390"/>
      <c r="P737" s="1390"/>
      <c r="Q737" s="1390"/>
      <c r="R737" s="1390"/>
      <c r="S737" s="1390"/>
      <c r="T737" s="1390"/>
      <c r="U737" s="1390"/>
      <c r="V737" s="1390"/>
      <c r="W737" s="1390"/>
      <c r="X737" s="1390"/>
      <c r="Y737" s="1390"/>
      <c r="Z737" s="1390"/>
      <c r="AA737" s="1390"/>
      <c r="AB737" s="1390"/>
      <c r="AC737" s="1390"/>
      <c r="AD737" s="1390"/>
      <c r="AE737" s="1390"/>
      <c r="AF737" s="1390"/>
      <c r="AG737" s="1390"/>
      <c r="AH737" s="1390"/>
      <c r="AI737" s="1390"/>
      <c r="AJ737" s="1390"/>
      <c r="AK737" s="1390"/>
    </row>
    <row r="738" spans="3:37" ht="17.25" customHeight="1" x14ac:dyDescent="0.35">
      <c r="C738" s="1390"/>
      <c r="D738" s="1390"/>
      <c r="E738" s="1390"/>
      <c r="F738" s="1390"/>
      <c r="G738" s="1390"/>
      <c r="H738" s="1390"/>
      <c r="I738" s="1390"/>
      <c r="J738" s="1390"/>
      <c r="K738" s="1390"/>
      <c r="L738" s="1390"/>
      <c r="M738" s="1390"/>
      <c r="N738" s="1390"/>
      <c r="O738" s="1390"/>
      <c r="P738" s="1390"/>
      <c r="Q738" s="1390"/>
      <c r="R738" s="1390"/>
      <c r="S738" s="1390"/>
      <c r="T738" s="1390"/>
      <c r="U738" s="1390"/>
      <c r="V738" s="1390"/>
      <c r="W738" s="1390"/>
      <c r="X738" s="1390"/>
      <c r="Y738" s="1390"/>
      <c r="Z738" s="1390"/>
      <c r="AA738" s="1390"/>
      <c r="AB738" s="1390"/>
      <c r="AC738" s="1390"/>
      <c r="AD738" s="1390"/>
      <c r="AE738" s="1390"/>
      <c r="AF738" s="1390"/>
      <c r="AG738" s="1390"/>
      <c r="AH738" s="1390"/>
      <c r="AI738" s="1390"/>
      <c r="AJ738" s="1390"/>
      <c r="AK738" s="1390"/>
    </row>
    <row r="739" spans="3:37" ht="17.25" customHeight="1" x14ac:dyDescent="0.35">
      <c r="C739" s="1390"/>
      <c r="D739" s="1390"/>
      <c r="E739" s="1390"/>
      <c r="F739" s="1390"/>
      <c r="G739" s="1390"/>
      <c r="H739" s="1390"/>
      <c r="I739" s="1390"/>
      <c r="J739" s="1390"/>
      <c r="K739" s="1390"/>
      <c r="L739" s="1390"/>
      <c r="M739" s="1390"/>
      <c r="N739" s="1390"/>
      <c r="O739" s="1390"/>
      <c r="P739" s="1390"/>
      <c r="Q739" s="1390"/>
      <c r="R739" s="1390"/>
      <c r="S739" s="1390"/>
      <c r="T739" s="1390"/>
      <c r="U739" s="1390"/>
      <c r="V739" s="1390"/>
      <c r="W739" s="1390"/>
      <c r="X739" s="1390"/>
      <c r="Y739" s="1390"/>
      <c r="Z739" s="1390"/>
      <c r="AA739" s="1390"/>
      <c r="AB739" s="1390"/>
      <c r="AC739" s="1390"/>
      <c r="AD739" s="1390"/>
      <c r="AE739" s="1390"/>
      <c r="AF739" s="1390"/>
      <c r="AG739" s="1390"/>
      <c r="AH739" s="1390"/>
      <c r="AI739" s="1390"/>
      <c r="AJ739" s="1390"/>
      <c r="AK739" s="1390"/>
    </row>
    <row r="740" spans="3:37" ht="17.25" customHeight="1" x14ac:dyDescent="0.35">
      <c r="C740" s="1390"/>
      <c r="D740" s="1390"/>
      <c r="E740" s="1390"/>
      <c r="F740" s="1390"/>
      <c r="G740" s="1390"/>
      <c r="H740" s="1390"/>
      <c r="I740" s="1390"/>
      <c r="J740" s="1390"/>
      <c r="K740" s="1390"/>
      <c r="L740" s="1390"/>
      <c r="M740" s="1390"/>
      <c r="N740" s="1390"/>
      <c r="O740" s="1390"/>
      <c r="P740" s="1390"/>
      <c r="Q740" s="1390"/>
      <c r="R740" s="1390"/>
      <c r="S740" s="1390"/>
      <c r="T740" s="1390"/>
      <c r="U740" s="1390"/>
      <c r="V740" s="1390"/>
      <c r="W740" s="1390"/>
      <c r="X740" s="1390"/>
      <c r="Y740" s="1390"/>
      <c r="Z740" s="1390"/>
      <c r="AA740" s="1390"/>
      <c r="AB740" s="1390"/>
      <c r="AC740" s="1390"/>
      <c r="AD740" s="1390"/>
      <c r="AE740" s="1390"/>
      <c r="AF740" s="1390"/>
      <c r="AG740" s="1390"/>
      <c r="AH740" s="1390"/>
      <c r="AI740" s="1390"/>
      <c r="AJ740" s="1390"/>
      <c r="AK740" s="1390"/>
    </row>
    <row r="741" spans="3:37" ht="17.25" customHeight="1" x14ac:dyDescent="0.35">
      <c r="C741" s="1390"/>
      <c r="D741" s="1390"/>
      <c r="E741" s="1390"/>
      <c r="F741" s="1390"/>
      <c r="G741" s="1390"/>
      <c r="H741" s="1390"/>
      <c r="I741" s="1390"/>
      <c r="J741" s="1390"/>
      <c r="K741" s="1390"/>
      <c r="L741" s="1390"/>
      <c r="M741" s="1390"/>
      <c r="N741" s="1390"/>
      <c r="O741" s="1390"/>
      <c r="P741" s="1390"/>
      <c r="Q741" s="1390"/>
      <c r="R741" s="1390"/>
      <c r="S741" s="1390"/>
      <c r="T741" s="1390"/>
      <c r="U741" s="1390"/>
      <c r="V741" s="1390"/>
      <c r="W741" s="1390"/>
      <c r="X741" s="1390"/>
      <c r="Y741" s="1390"/>
      <c r="Z741" s="1390"/>
      <c r="AA741" s="1390"/>
      <c r="AB741" s="1390"/>
      <c r="AC741" s="1390"/>
      <c r="AD741" s="1390"/>
      <c r="AE741" s="1390"/>
      <c r="AF741" s="1390"/>
      <c r="AG741" s="1390"/>
      <c r="AH741" s="1390"/>
      <c r="AI741" s="1390"/>
      <c r="AJ741" s="1390"/>
      <c r="AK741" s="1390"/>
    </row>
    <row r="742" spans="3:37" ht="17.25" customHeight="1" x14ac:dyDescent="0.35">
      <c r="C742" s="1390"/>
      <c r="D742" s="1390"/>
      <c r="E742" s="1390"/>
      <c r="F742" s="1390"/>
      <c r="G742" s="1390"/>
      <c r="H742" s="1390"/>
      <c r="I742" s="1390"/>
      <c r="J742" s="1390"/>
      <c r="K742" s="1390"/>
      <c r="L742" s="1390"/>
      <c r="M742" s="1390"/>
      <c r="N742" s="1390"/>
      <c r="O742" s="1390"/>
      <c r="P742" s="1390"/>
      <c r="Q742" s="1390"/>
      <c r="R742" s="1390"/>
      <c r="S742" s="1390"/>
      <c r="T742" s="1390"/>
      <c r="U742" s="1390"/>
      <c r="V742" s="1390"/>
      <c r="W742" s="1390"/>
      <c r="X742" s="1390"/>
      <c r="Y742" s="1390"/>
      <c r="Z742" s="1390"/>
      <c r="AA742" s="1390"/>
      <c r="AB742" s="1390"/>
      <c r="AC742" s="1390"/>
      <c r="AD742" s="1390"/>
      <c r="AE742" s="1390"/>
      <c r="AF742" s="1390"/>
      <c r="AG742" s="1390"/>
      <c r="AH742" s="1390"/>
      <c r="AI742" s="1390"/>
      <c r="AJ742" s="1390"/>
      <c r="AK742" s="1390"/>
    </row>
    <row r="743" spans="3:37" ht="17.25" customHeight="1" x14ac:dyDescent="0.35">
      <c r="C743" s="1390"/>
      <c r="D743" s="1390"/>
      <c r="E743" s="1390"/>
      <c r="F743" s="1390"/>
      <c r="G743" s="1390"/>
      <c r="H743" s="1390"/>
      <c r="I743" s="1390"/>
      <c r="J743" s="1390"/>
      <c r="K743" s="1390"/>
      <c r="L743" s="1390"/>
      <c r="M743" s="1390"/>
      <c r="N743" s="1390"/>
      <c r="O743" s="1390"/>
      <c r="P743" s="1390"/>
      <c r="Q743" s="1390"/>
      <c r="R743" s="1390"/>
      <c r="S743" s="1390"/>
      <c r="T743" s="1390"/>
      <c r="U743" s="1390"/>
      <c r="V743" s="1390"/>
      <c r="W743" s="1390"/>
      <c r="X743" s="1390"/>
      <c r="Y743" s="1390"/>
      <c r="Z743" s="1390"/>
      <c r="AA743" s="1390"/>
      <c r="AB743" s="1390"/>
      <c r="AC743" s="1390"/>
      <c r="AD743" s="1390"/>
      <c r="AE743" s="1390"/>
      <c r="AF743" s="1390"/>
      <c r="AG743" s="1390"/>
      <c r="AH743" s="1390"/>
      <c r="AI743" s="1390"/>
      <c r="AJ743" s="1390"/>
      <c r="AK743" s="1390"/>
    </row>
    <row r="744" spans="3:37" ht="17.25" customHeight="1" x14ac:dyDescent="0.35">
      <c r="C744" s="1390"/>
      <c r="D744" s="1390"/>
      <c r="E744" s="1390"/>
      <c r="F744" s="1390"/>
      <c r="G744" s="1390"/>
      <c r="H744" s="1390"/>
      <c r="I744" s="1390"/>
      <c r="J744" s="1390"/>
      <c r="K744" s="1390"/>
      <c r="L744" s="1390"/>
      <c r="M744" s="1390"/>
      <c r="N744" s="1390"/>
      <c r="O744" s="1390"/>
      <c r="P744" s="1390"/>
      <c r="Q744" s="1390"/>
      <c r="R744" s="1390"/>
      <c r="S744" s="1390"/>
      <c r="T744" s="1390"/>
      <c r="U744" s="1390"/>
      <c r="V744" s="1390"/>
      <c r="W744" s="1390"/>
      <c r="X744" s="1390"/>
      <c r="Y744" s="1390"/>
      <c r="Z744" s="1390"/>
      <c r="AA744" s="1390"/>
      <c r="AB744" s="1390"/>
      <c r="AC744" s="1390"/>
      <c r="AD744" s="1390"/>
      <c r="AE744" s="1390"/>
      <c r="AF744" s="1390"/>
      <c r="AG744" s="1390"/>
      <c r="AH744" s="1390"/>
      <c r="AI744" s="1390"/>
      <c r="AJ744" s="1390"/>
      <c r="AK744" s="1390"/>
    </row>
    <row r="745" spans="3:37" ht="17.25" customHeight="1" x14ac:dyDescent="0.35">
      <c r="C745" s="1390"/>
      <c r="D745" s="1390"/>
      <c r="E745" s="1390"/>
      <c r="F745" s="1390"/>
      <c r="G745" s="1390"/>
      <c r="H745" s="1390"/>
      <c r="I745" s="1390"/>
      <c r="J745" s="1390"/>
      <c r="K745" s="1390"/>
      <c r="L745" s="1390"/>
      <c r="M745" s="1390"/>
      <c r="N745" s="1390"/>
      <c r="O745" s="1390"/>
      <c r="P745" s="1390"/>
      <c r="Q745" s="1390"/>
      <c r="R745" s="1390"/>
      <c r="S745" s="1390"/>
      <c r="T745" s="1390"/>
      <c r="U745" s="1390"/>
      <c r="V745" s="1390"/>
      <c r="W745" s="1390"/>
      <c r="X745" s="1390"/>
      <c r="Y745" s="1390"/>
      <c r="Z745" s="1390"/>
      <c r="AA745" s="1390"/>
      <c r="AB745" s="1390"/>
      <c r="AC745" s="1390"/>
      <c r="AD745" s="1390"/>
      <c r="AE745" s="1390"/>
      <c r="AF745" s="1390"/>
      <c r="AG745" s="1390"/>
      <c r="AH745" s="1390"/>
      <c r="AI745" s="1390"/>
      <c r="AJ745" s="1390"/>
      <c r="AK745" s="1390"/>
    </row>
    <row r="746" spans="3:37" ht="17.25" customHeight="1" x14ac:dyDescent="0.35">
      <c r="C746" s="1390"/>
      <c r="D746" s="1390"/>
      <c r="E746" s="1390"/>
      <c r="F746" s="1390"/>
      <c r="G746" s="1390"/>
      <c r="H746" s="1390"/>
      <c r="I746" s="1390"/>
      <c r="J746" s="1390"/>
      <c r="K746" s="1390"/>
      <c r="L746" s="1390"/>
      <c r="M746" s="1390"/>
      <c r="N746" s="1390"/>
      <c r="O746" s="1390"/>
      <c r="P746" s="1390"/>
      <c r="Q746" s="1390"/>
      <c r="R746" s="1390"/>
      <c r="S746" s="1390"/>
      <c r="T746" s="1390"/>
      <c r="U746" s="1390"/>
      <c r="V746" s="1390"/>
      <c r="W746" s="1390"/>
      <c r="X746" s="1390"/>
      <c r="Y746" s="1390"/>
      <c r="Z746" s="1390"/>
      <c r="AA746" s="1390"/>
      <c r="AB746" s="1390"/>
      <c r="AC746" s="1390"/>
      <c r="AD746" s="1390"/>
      <c r="AE746" s="1390"/>
      <c r="AF746" s="1390"/>
      <c r="AG746" s="1390"/>
      <c r="AH746" s="1390"/>
      <c r="AI746" s="1390"/>
      <c r="AJ746" s="1390"/>
      <c r="AK746" s="1390"/>
    </row>
    <row r="747" spans="3:37" ht="17.25" customHeight="1" x14ac:dyDescent="0.35">
      <c r="C747" s="1390"/>
      <c r="D747" s="1390"/>
      <c r="E747" s="1390"/>
      <c r="F747" s="1390"/>
      <c r="G747" s="1390"/>
      <c r="H747" s="1390"/>
      <c r="I747" s="1390"/>
      <c r="J747" s="1390"/>
      <c r="K747" s="1390"/>
      <c r="L747" s="1390"/>
      <c r="M747" s="1390"/>
      <c r="N747" s="1390"/>
      <c r="O747" s="1390"/>
      <c r="P747" s="1390"/>
      <c r="Q747" s="1390"/>
      <c r="R747" s="1390"/>
      <c r="S747" s="1390"/>
      <c r="T747" s="1390"/>
      <c r="U747" s="1390"/>
      <c r="V747" s="1390"/>
      <c r="W747" s="1390"/>
      <c r="X747" s="1390"/>
      <c r="Y747" s="1390"/>
      <c r="Z747" s="1390"/>
      <c r="AA747" s="1390"/>
      <c r="AB747" s="1390"/>
      <c r="AC747" s="1390"/>
      <c r="AD747" s="1390"/>
      <c r="AE747" s="1390"/>
      <c r="AF747" s="1390"/>
      <c r="AG747" s="1390"/>
      <c r="AH747" s="1390"/>
      <c r="AI747" s="1390"/>
      <c r="AJ747" s="1390"/>
      <c r="AK747" s="1390"/>
    </row>
    <row r="748" spans="3:37" ht="17.25" customHeight="1" x14ac:dyDescent="0.35">
      <c r="C748" s="1390"/>
      <c r="D748" s="1390"/>
      <c r="E748" s="1390"/>
      <c r="F748" s="1390"/>
      <c r="G748" s="1390"/>
      <c r="H748" s="1390"/>
      <c r="I748" s="1390"/>
      <c r="J748" s="1390"/>
      <c r="K748" s="1390"/>
      <c r="L748" s="1390"/>
      <c r="M748" s="1390"/>
      <c r="N748" s="1390"/>
      <c r="O748" s="1390"/>
      <c r="P748" s="1390"/>
      <c r="Q748" s="1390"/>
      <c r="R748" s="1390"/>
      <c r="S748" s="1390"/>
      <c r="T748" s="1390"/>
      <c r="U748" s="1390"/>
      <c r="V748" s="1390"/>
      <c r="W748" s="1390"/>
      <c r="X748" s="1390"/>
      <c r="Y748" s="1390"/>
      <c r="Z748" s="1390"/>
      <c r="AA748" s="1390"/>
      <c r="AB748" s="1390"/>
      <c r="AC748" s="1390"/>
      <c r="AD748" s="1390"/>
      <c r="AE748" s="1390"/>
      <c r="AF748" s="1390"/>
      <c r="AG748" s="1390"/>
      <c r="AH748" s="1390"/>
      <c r="AI748" s="1390"/>
      <c r="AJ748" s="1390"/>
      <c r="AK748" s="1390"/>
    </row>
    <row r="749" spans="3:37" ht="17.25" customHeight="1" x14ac:dyDescent="0.35">
      <c r="C749" s="1390"/>
      <c r="D749" s="1390"/>
      <c r="E749" s="1390"/>
      <c r="F749" s="1390"/>
      <c r="G749" s="1390"/>
      <c r="H749" s="1390"/>
      <c r="I749" s="1390"/>
      <c r="J749" s="1390"/>
      <c r="K749" s="1390"/>
      <c r="L749" s="1390"/>
      <c r="M749" s="1390"/>
      <c r="N749" s="1390"/>
      <c r="O749" s="1390"/>
      <c r="P749" s="1390"/>
      <c r="Q749" s="1390"/>
      <c r="R749" s="1390"/>
      <c r="S749" s="1390"/>
      <c r="T749" s="1390"/>
      <c r="U749" s="1390"/>
      <c r="V749" s="1390"/>
      <c r="W749" s="1390"/>
      <c r="X749" s="1390"/>
      <c r="Y749" s="1390"/>
      <c r="Z749" s="1390"/>
      <c r="AA749" s="1390"/>
      <c r="AB749" s="1390"/>
      <c r="AC749" s="1390"/>
      <c r="AD749" s="1390"/>
      <c r="AE749" s="1390"/>
      <c r="AF749" s="1390"/>
      <c r="AG749" s="1390"/>
      <c r="AH749" s="1390"/>
      <c r="AI749" s="1390"/>
      <c r="AJ749" s="1390"/>
      <c r="AK749" s="1390"/>
    </row>
    <row r="750" spans="3:37" ht="17.25" customHeight="1" x14ac:dyDescent="0.35">
      <c r="C750" s="1390"/>
      <c r="D750" s="1390"/>
      <c r="E750" s="1390"/>
      <c r="F750" s="1390"/>
      <c r="G750" s="1390"/>
      <c r="H750" s="1390"/>
      <c r="I750" s="1390"/>
      <c r="J750" s="1390"/>
      <c r="K750" s="1390"/>
      <c r="L750" s="1390"/>
      <c r="M750" s="1390"/>
      <c r="N750" s="1390"/>
      <c r="O750" s="1390"/>
      <c r="P750" s="1390"/>
      <c r="Q750" s="1390"/>
      <c r="R750" s="1390"/>
      <c r="S750" s="1390"/>
      <c r="T750" s="1390"/>
      <c r="U750" s="1390"/>
      <c r="V750" s="1390"/>
      <c r="W750" s="1390"/>
      <c r="X750" s="1390"/>
      <c r="Y750" s="1390"/>
      <c r="Z750" s="1390"/>
      <c r="AA750" s="1390"/>
      <c r="AB750" s="1390"/>
      <c r="AC750" s="1390"/>
      <c r="AD750" s="1390"/>
      <c r="AE750" s="1390"/>
      <c r="AF750" s="1390"/>
      <c r="AG750" s="1390"/>
      <c r="AH750" s="1390"/>
      <c r="AI750" s="1390"/>
      <c r="AJ750" s="1390"/>
      <c r="AK750" s="1390"/>
    </row>
    <row r="751" spans="3:37" ht="17.25" customHeight="1" x14ac:dyDescent="0.35">
      <c r="C751" s="1390"/>
      <c r="D751" s="1390"/>
      <c r="E751" s="1390"/>
      <c r="F751" s="1390"/>
      <c r="G751" s="1390"/>
      <c r="H751" s="1390"/>
      <c r="I751" s="1390"/>
      <c r="J751" s="1390"/>
      <c r="K751" s="1390"/>
      <c r="L751" s="1390"/>
      <c r="M751" s="1390"/>
      <c r="N751" s="1390"/>
      <c r="O751" s="1390"/>
      <c r="P751" s="1390"/>
      <c r="Q751" s="1390"/>
      <c r="R751" s="1390"/>
      <c r="S751" s="1390"/>
      <c r="T751" s="1390"/>
      <c r="U751" s="1390"/>
      <c r="V751" s="1390"/>
      <c r="W751" s="1390"/>
      <c r="X751" s="1390"/>
      <c r="Y751" s="1390"/>
      <c r="Z751" s="1390"/>
      <c r="AA751" s="1390"/>
      <c r="AB751" s="1390"/>
      <c r="AC751" s="1390"/>
      <c r="AD751" s="1390"/>
      <c r="AE751" s="1390"/>
      <c r="AF751" s="1390"/>
      <c r="AG751" s="1390"/>
      <c r="AH751" s="1390"/>
      <c r="AI751" s="1390"/>
      <c r="AJ751" s="1390"/>
      <c r="AK751" s="1390"/>
    </row>
    <row r="752" spans="3:37" ht="17.25" customHeight="1" x14ac:dyDescent="0.35">
      <c r="C752" s="1390"/>
      <c r="D752" s="1390"/>
      <c r="E752" s="1390"/>
      <c r="F752" s="1390"/>
      <c r="G752" s="1390"/>
      <c r="H752" s="1390"/>
      <c r="I752" s="1390"/>
      <c r="J752" s="1390"/>
      <c r="K752" s="1390"/>
      <c r="L752" s="1390"/>
      <c r="M752" s="1390"/>
      <c r="N752" s="1390"/>
      <c r="O752" s="1390"/>
      <c r="P752" s="1390"/>
      <c r="Q752" s="1390"/>
      <c r="R752" s="1390"/>
      <c r="S752" s="1390"/>
      <c r="T752" s="1390"/>
      <c r="U752" s="1390"/>
      <c r="V752" s="1390"/>
      <c r="W752" s="1390"/>
      <c r="X752" s="1390"/>
      <c r="Y752" s="1390"/>
      <c r="Z752" s="1390"/>
      <c r="AA752" s="1390"/>
      <c r="AB752" s="1390"/>
      <c r="AC752" s="1390"/>
      <c r="AD752" s="1390"/>
      <c r="AE752" s="1390"/>
      <c r="AF752" s="1390"/>
      <c r="AG752" s="1390"/>
      <c r="AH752" s="1390"/>
      <c r="AI752" s="1390"/>
      <c r="AJ752" s="1390"/>
      <c r="AK752" s="1390"/>
    </row>
    <row r="753" spans="3:37" ht="17.25" customHeight="1" x14ac:dyDescent="0.35">
      <c r="C753" s="1390"/>
      <c r="D753" s="1390"/>
      <c r="E753" s="1390"/>
      <c r="F753" s="1390"/>
      <c r="G753" s="1390"/>
      <c r="H753" s="1390"/>
      <c r="I753" s="1390"/>
      <c r="J753" s="1390"/>
      <c r="K753" s="1390"/>
      <c r="L753" s="1390"/>
      <c r="M753" s="1390"/>
      <c r="N753" s="1390"/>
      <c r="O753" s="1390"/>
      <c r="P753" s="1390"/>
      <c r="Q753" s="1390"/>
      <c r="R753" s="1390"/>
      <c r="S753" s="1390"/>
      <c r="T753" s="1390"/>
      <c r="U753" s="1390"/>
      <c r="V753" s="1390"/>
      <c r="W753" s="1390"/>
      <c r="X753" s="1390"/>
      <c r="Y753" s="1390"/>
      <c r="Z753" s="1390"/>
      <c r="AA753" s="1390"/>
      <c r="AB753" s="1390"/>
      <c r="AC753" s="1390"/>
      <c r="AD753" s="1390"/>
      <c r="AE753" s="1390"/>
      <c r="AF753" s="1390"/>
      <c r="AG753" s="1390"/>
      <c r="AH753" s="1390"/>
      <c r="AI753" s="1390"/>
      <c r="AJ753" s="1390"/>
      <c r="AK753" s="1390"/>
    </row>
    <row r="754" spans="3:37" ht="17.25" customHeight="1" x14ac:dyDescent="0.35">
      <c r="C754" s="1390"/>
      <c r="D754" s="1390"/>
      <c r="E754" s="1390"/>
      <c r="F754" s="1390"/>
      <c r="G754" s="1390"/>
      <c r="H754" s="1390"/>
      <c r="I754" s="1390"/>
      <c r="J754" s="1390"/>
      <c r="K754" s="1390"/>
      <c r="L754" s="1390"/>
      <c r="M754" s="1390"/>
      <c r="N754" s="1390"/>
      <c r="O754" s="1390"/>
      <c r="P754" s="1390"/>
      <c r="Q754" s="1390"/>
      <c r="R754" s="1390"/>
      <c r="S754" s="1390"/>
      <c r="T754" s="1390"/>
      <c r="U754" s="1390"/>
      <c r="V754" s="1390"/>
      <c r="W754" s="1390"/>
      <c r="X754" s="1390"/>
      <c r="Y754" s="1390"/>
      <c r="Z754" s="1390"/>
      <c r="AA754" s="1390"/>
      <c r="AB754" s="1390"/>
      <c r="AC754" s="1390"/>
      <c r="AD754" s="1390"/>
      <c r="AE754" s="1390"/>
      <c r="AF754" s="1390"/>
      <c r="AG754" s="1390"/>
      <c r="AH754" s="1390"/>
      <c r="AI754" s="1390"/>
      <c r="AJ754" s="1390"/>
      <c r="AK754" s="1390"/>
    </row>
    <row r="755" spans="3:37" ht="17.25" customHeight="1" x14ac:dyDescent="0.35">
      <c r="C755" s="1390"/>
      <c r="D755" s="1390"/>
      <c r="E755" s="1390"/>
      <c r="F755" s="1390"/>
      <c r="G755" s="1390"/>
      <c r="H755" s="1390"/>
      <c r="I755" s="1390"/>
      <c r="J755" s="1390"/>
      <c r="K755" s="1390"/>
      <c r="L755" s="1390"/>
      <c r="M755" s="1390"/>
      <c r="N755" s="1390"/>
      <c r="O755" s="1390"/>
      <c r="P755" s="1390"/>
      <c r="Q755" s="1390"/>
      <c r="R755" s="1390"/>
      <c r="S755" s="1390"/>
      <c r="T755" s="1390"/>
      <c r="U755" s="1390"/>
      <c r="V755" s="1390"/>
      <c r="W755" s="1390"/>
      <c r="X755" s="1390"/>
      <c r="Y755" s="1390"/>
      <c r="Z755" s="1390"/>
      <c r="AA755" s="1390"/>
      <c r="AB755" s="1390"/>
      <c r="AC755" s="1390"/>
      <c r="AD755" s="1390"/>
      <c r="AE755" s="1390"/>
      <c r="AF755" s="1390"/>
      <c r="AG755" s="1390"/>
      <c r="AH755" s="1390"/>
      <c r="AI755" s="1390"/>
      <c r="AJ755" s="1390"/>
      <c r="AK755" s="1390"/>
    </row>
    <row r="756" spans="3:37" ht="17.25" customHeight="1" x14ac:dyDescent="0.35">
      <c r="C756" s="1390"/>
      <c r="D756" s="1390"/>
      <c r="E756" s="1390"/>
      <c r="F756" s="1390"/>
      <c r="G756" s="1390"/>
      <c r="H756" s="1390"/>
      <c r="I756" s="1390"/>
      <c r="J756" s="1390"/>
      <c r="K756" s="1390"/>
      <c r="L756" s="1390"/>
      <c r="M756" s="1390"/>
      <c r="N756" s="1390"/>
      <c r="O756" s="1390"/>
      <c r="P756" s="1390"/>
      <c r="Q756" s="1390"/>
      <c r="R756" s="1390"/>
      <c r="S756" s="1390"/>
      <c r="T756" s="1390"/>
      <c r="U756" s="1390"/>
      <c r="V756" s="1390"/>
      <c r="W756" s="1390"/>
      <c r="X756" s="1390"/>
      <c r="Y756" s="1390"/>
      <c r="Z756" s="1390"/>
      <c r="AA756" s="1390"/>
      <c r="AB756" s="1390"/>
      <c r="AC756" s="1390"/>
      <c r="AD756" s="1390"/>
      <c r="AE756" s="1390"/>
      <c r="AF756" s="1390"/>
      <c r="AG756" s="1390"/>
      <c r="AH756" s="1390"/>
      <c r="AI756" s="1390"/>
      <c r="AJ756" s="1390"/>
      <c r="AK756" s="1390"/>
    </row>
    <row r="757" spans="3:37" ht="17.25" customHeight="1" x14ac:dyDescent="0.35">
      <c r="C757" s="1390"/>
      <c r="D757" s="1390"/>
      <c r="E757" s="1390"/>
      <c r="F757" s="1390"/>
      <c r="G757" s="1390"/>
      <c r="H757" s="1390"/>
      <c r="I757" s="1390"/>
      <c r="J757" s="1390"/>
      <c r="K757" s="1390"/>
      <c r="L757" s="1390"/>
      <c r="M757" s="1390"/>
      <c r="N757" s="1390"/>
      <c r="O757" s="1390"/>
      <c r="P757" s="1390"/>
      <c r="Q757" s="1390"/>
      <c r="R757" s="1390"/>
      <c r="S757" s="1390"/>
      <c r="T757" s="1390"/>
      <c r="U757" s="1390"/>
      <c r="V757" s="1390"/>
      <c r="W757" s="1390"/>
      <c r="X757" s="1390"/>
      <c r="Y757" s="1390"/>
      <c r="Z757" s="1390"/>
      <c r="AA757" s="1390"/>
      <c r="AB757" s="1390"/>
      <c r="AC757" s="1390"/>
      <c r="AD757" s="1390"/>
      <c r="AE757" s="1390"/>
      <c r="AF757" s="1390"/>
      <c r="AG757" s="1390"/>
      <c r="AH757" s="1390"/>
      <c r="AI757" s="1390"/>
      <c r="AJ757" s="1390"/>
      <c r="AK757" s="1390"/>
    </row>
    <row r="758" spans="3:37" ht="17.25" customHeight="1" x14ac:dyDescent="0.35">
      <c r="C758" s="1390"/>
      <c r="D758" s="1390"/>
      <c r="E758" s="1390"/>
      <c r="F758" s="1390"/>
      <c r="G758" s="1390"/>
      <c r="H758" s="1390"/>
      <c r="I758" s="1390"/>
      <c r="J758" s="1390"/>
      <c r="K758" s="1390"/>
      <c r="L758" s="1390"/>
      <c r="M758" s="1390"/>
      <c r="N758" s="1390"/>
      <c r="O758" s="1390"/>
      <c r="P758" s="1390"/>
      <c r="Q758" s="1390"/>
      <c r="R758" s="1390"/>
      <c r="S758" s="1390"/>
      <c r="T758" s="1390"/>
      <c r="U758" s="1390"/>
      <c r="V758" s="1390"/>
      <c r="W758" s="1390"/>
      <c r="X758" s="1390"/>
      <c r="Y758" s="1390"/>
      <c r="Z758" s="1390"/>
      <c r="AA758" s="1390"/>
      <c r="AB758" s="1390"/>
      <c r="AC758" s="1390"/>
      <c r="AD758" s="1390"/>
      <c r="AE758" s="1390"/>
      <c r="AF758" s="1390"/>
      <c r="AG758" s="1390"/>
      <c r="AH758" s="1390"/>
      <c r="AI758" s="1390"/>
      <c r="AJ758" s="1390"/>
      <c r="AK758" s="1390"/>
    </row>
    <row r="759" spans="3:37" ht="17.25" customHeight="1" x14ac:dyDescent="0.35">
      <c r="C759" s="1390"/>
      <c r="D759" s="1390"/>
      <c r="E759" s="1390"/>
      <c r="F759" s="1390"/>
      <c r="G759" s="1390"/>
      <c r="H759" s="1390"/>
      <c r="I759" s="1390"/>
      <c r="J759" s="1390"/>
      <c r="K759" s="1390"/>
      <c r="L759" s="1390"/>
      <c r="M759" s="1390"/>
      <c r="N759" s="1390"/>
      <c r="O759" s="1390"/>
      <c r="P759" s="1390"/>
      <c r="Q759" s="1390"/>
      <c r="R759" s="1390"/>
      <c r="S759" s="1390"/>
      <c r="T759" s="1390"/>
      <c r="U759" s="1390"/>
      <c r="V759" s="1390"/>
      <c r="W759" s="1390"/>
      <c r="X759" s="1390"/>
      <c r="Y759" s="1390"/>
      <c r="Z759" s="1390"/>
      <c r="AA759" s="1390"/>
      <c r="AB759" s="1390"/>
      <c r="AC759" s="1390"/>
      <c r="AD759" s="1390"/>
      <c r="AE759" s="1390"/>
      <c r="AF759" s="1390"/>
      <c r="AG759" s="1390"/>
      <c r="AH759" s="1390"/>
      <c r="AI759" s="1390"/>
      <c r="AJ759" s="1390"/>
      <c r="AK759" s="1390"/>
    </row>
    <row r="760" spans="3:37" ht="17.25" customHeight="1" x14ac:dyDescent="0.35">
      <c r="C760" s="1390"/>
      <c r="D760" s="1390"/>
      <c r="E760" s="1390"/>
      <c r="F760" s="1390"/>
      <c r="G760" s="1390"/>
      <c r="H760" s="1390"/>
      <c r="I760" s="1390"/>
      <c r="J760" s="1390"/>
      <c r="K760" s="1390"/>
      <c r="L760" s="1390"/>
      <c r="M760" s="1390"/>
      <c r="N760" s="1390"/>
      <c r="O760" s="1390"/>
      <c r="P760" s="1390"/>
      <c r="Q760" s="1390"/>
      <c r="R760" s="1390"/>
      <c r="S760" s="1390"/>
      <c r="T760" s="1390"/>
      <c r="U760" s="1390"/>
      <c r="V760" s="1390"/>
      <c r="W760" s="1390"/>
      <c r="X760" s="1390"/>
      <c r="Y760" s="1390"/>
      <c r="Z760" s="1390"/>
      <c r="AA760" s="1390"/>
      <c r="AB760" s="1390"/>
      <c r="AC760" s="1390"/>
      <c r="AD760" s="1390"/>
      <c r="AE760" s="1390"/>
      <c r="AF760" s="1390"/>
      <c r="AG760" s="1390"/>
      <c r="AH760" s="1390"/>
      <c r="AI760" s="1390"/>
      <c r="AJ760" s="1390"/>
      <c r="AK760" s="1390"/>
    </row>
    <row r="761" spans="3:37" ht="17.25" customHeight="1" x14ac:dyDescent="0.35">
      <c r="C761" s="1390"/>
      <c r="D761" s="1390"/>
      <c r="E761" s="1390"/>
      <c r="F761" s="1390"/>
      <c r="G761" s="1390"/>
      <c r="H761" s="1390"/>
      <c r="I761" s="1390"/>
      <c r="J761" s="1390"/>
      <c r="K761" s="1390"/>
      <c r="L761" s="1390"/>
      <c r="M761" s="1390"/>
      <c r="N761" s="1390"/>
      <c r="O761" s="1390"/>
      <c r="P761" s="1390"/>
      <c r="Q761" s="1390"/>
      <c r="R761" s="1390"/>
      <c r="S761" s="1390"/>
      <c r="T761" s="1390"/>
      <c r="U761" s="1390"/>
      <c r="V761" s="1390"/>
      <c r="W761" s="1390"/>
      <c r="X761" s="1390"/>
      <c r="Y761" s="1390"/>
      <c r="Z761" s="1390"/>
      <c r="AA761" s="1390"/>
      <c r="AB761" s="1390"/>
      <c r="AC761" s="1390"/>
      <c r="AD761" s="1390"/>
      <c r="AE761" s="1390"/>
      <c r="AF761" s="1390"/>
      <c r="AG761" s="1390"/>
      <c r="AH761" s="1390"/>
      <c r="AI761" s="1390"/>
      <c r="AJ761" s="1390"/>
      <c r="AK761" s="1390"/>
    </row>
    <row r="762" spans="3:37" ht="17.25" customHeight="1" x14ac:dyDescent="0.35">
      <c r="C762" s="1390"/>
      <c r="D762" s="1390"/>
      <c r="E762" s="1390"/>
      <c r="F762" s="1390"/>
      <c r="G762" s="1390"/>
      <c r="H762" s="1390"/>
      <c r="I762" s="1390"/>
      <c r="J762" s="1390"/>
      <c r="K762" s="1390"/>
      <c r="L762" s="1390"/>
      <c r="M762" s="1390"/>
      <c r="N762" s="1390"/>
      <c r="O762" s="1390"/>
      <c r="P762" s="1390"/>
      <c r="Q762" s="1390"/>
      <c r="R762" s="1390"/>
      <c r="S762" s="1390"/>
      <c r="T762" s="1390"/>
      <c r="U762" s="1390"/>
      <c r="V762" s="1390"/>
      <c r="W762" s="1390"/>
      <c r="X762" s="1390"/>
      <c r="Y762" s="1390"/>
      <c r="Z762" s="1390"/>
      <c r="AA762" s="1390"/>
      <c r="AB762" s="1390"/>
      <c r="AC762" s="1390"/>
      <c r="AD762" s="1390"/>
      <c r="AE762" s="1390"/>
      <c r="AF762" s="1390"/>
      <c r="AG762" s="1390"/>
      <c r="AH762" s="1390"/>
      <c r="AI762" s="1390"/>
      <c r="AJ762" s="1390"/>
      <c r="AK762" s="1390"/>
    </row>
    <row r="763" spans="3:37" ht="17.25" customHeight="1" x14ac:dyDescent="0.35">
      <c r="C763" s="1390"/>
      <c r="D763" s="1390"/>
      <c r="E763" s="1390"/>
      <c r="F763" s="1390"/>
      <c r="G763" s="1390"/>
      <c r="H763" s="1390"/>
      <c r="I763" s="1390"/>
      <c r="J763" s="1390"/>
      <c r="K763" s="1390"/>
      <c r="L763" s="1390"/>
      <c r="M763" s="1390"/>
      <c r="N763" s="1390"/>
      <c r="O763" s="1390"/>
      <c r="P763" s="1390"/>
      <c r="Q763" s="1390"/>
      <c r="R763" s="1390"/>
      <c r="S763" s="1390"/>
      <c r="T763" s="1390"/>
      <c r="U763" s="1390"/>
      <c r="V763" s="1390"/>
      <c r="W763" s="1390"/>
      <c r="X763" s="1390"/>
      <c r="Y763" s="1390"/>
      <c r="Z763" s="1390"/>
      <c r="AA763" s="1390"/>
      <c r="AB763" s="1390"/>
      <c r="AC763" s="1390"/>
      <c r="AD763" s="1390"/>
      <c r="AE763" s="1390"/>
      <c r="AF763" s="1390"/>
      <c r="AG763" s="1390"/>
      <c r="AH763" s="1390"/>
      <c r="AI763" s="1390"/>
      <c r="AJ763" s="1390"/>
      <c r="AK763" s="1390"/>
    </row>
    <row r="764" spans="3:37" ht="17.25" customHeight="1" x14ac:dyDescent="0.35">
      <c r="C764" s="1390"/>
      <c r="D764" s="1390"/>
      <c r="E764" s="1390"/>
      <c r="F764" s="1390"/>
      <c r="G764" s="1390"/>
      <c r="H764" s="1390"/>
      <c r="I764" s="1390"/>
      <c r="J764" s="1390"/>
      <c r="K764" s="1390"/>
      <c r="L764" s="1390"/>
      <c r="M764" s="1390"/>
      <c r="N764" s="1390"/>
      <c r="O764" s="1390"/>
      <c r="P764" s="1390"/>
      <c r="Q764" s="1390"/>
      <c r="R764" s="1390"/>
      <c r="S764" s="1390"/>
      <c r="T764" s="1390"/>
      <c r="U764" s="1390"/>
      <c r="V764" s="1390"/>
      <c r="W764" s="1390"/>
      <c r="X764" s="1390"/>
      <c r="Y764" s="1390"/>
      <c r="Z764" s="1390"/>
      <c r="AA764" s="1390"/>
      <c r="AB764" s="1390"/>
      <c r="AC764" s="1390"/>
      <c r="AD764" s="1390"/>
      <c r="AE764" s="1390"/>
      <c r="AF764" s="1390"/>
      <c r="AG764" s="1390"/>
      <c r="AH764" s="1390"/>
      <c r="AI764" s="1390"/>
      <c r="AJ764" s="1390"/>
      <c r="AK764" s="1390"/>
    </row>
    <row r="765" spans="3:37" ht="17.25" customHeight="1" x14ac:dyDescent="0.35">
      <c r="C765" s="1390"/>
      <c r="D765" s="1390"/>
      <c r="E765" s="1390"/>
      <c r="F765" s="1390"/>
      <c r="G765" s="1390"/>
      <c r="H765" s="1390"/>
      <c r="I765" s="1390"/>
      <c r="J765" s="1390"/>
      <c r="K765" s="1390"/>
      <c r="L765" s="1390"/>
      <c r="M765" s="1390"/>
      <c r="N765" s="1390"/>
      <c r="O765" s="1390"/>
      <c r="P765" s="1390"/>
      <c r="Q765" s="1390"/>
      <c r="R765" s="1390"/>
      <c r="S765" s="1390"/>
      <c r="T765" s="1390"/>
      <c r="U765" s="1390"/>
      <c r="V765" s="1390"/>
      <c r="W765" s="1390"/>
      <c r="X765" s="1390"/>
      <c r="Y765" s="1390"/>
      <c r="Z765" s="1390"/>
      <c r="AA765" s="1390"/>
      <c r="AB765" s="1390"/>
      <c r="AC765" s="1390"/>
      <c r="AD765" s="1390"/>
      <c r="AE765" s="1390"/>
      <c r="AF765" s="1390"/>
      <c r="AG765" s="1390"/>
      <c r="AH765" s="1390"/>
      <c r="AI765" s="1390"/>
      <c r="AJ765" s="1390"/>
      <c r="AK765" s="1390"/>
    </row>
    <row r="766" spans="3:37" ht="17.25" customHeight="1" x14ac:dyDescent="0.35">
      <c r="C766" s="1390"/>
      <c r="D766" s="1390"/>
      <c r="E766" s="1390"/>
      <c r="F766" s="1390"/>
      <c r="G766" s="1390"/>
      <c r="H766" s="1390"/>
      <c r="I766" s="1390"/>
      <c r="J766" s="1390"/>
      <c r="K766" s="1390"/>
      <c r="L766" s="1390"/>
      <c r="M766" s="1390"/>
      <c r="N766" s="1390"/>
      <c r="O766" s="1390"/>
      <c r="P766" s="1390"/>
      <c r="Q766" s="1390"/>
      <c r="R766" s="1390"/>
      <c r="S766" s="1390"/>
      <c r="T766" s="1390"/>
      <c r="U766" s="1390"/>
      <c r="V766" s="1390"/>
      <c r="W766" s="1390"/>
      <c r="X766" s="1390"/>
      <c r="Y766" s="1390"/>
      <c r="Z766" s="1390"/>
      <c r="AA766" s="1390"/>
      <c r="AB766" s="1390"/>
      <c r="AC766" s="1390"/>
      <c r="AD766" s="1390"/>
      <c r="AE766" s="1390"/>
      <c r="AF766" s="1390"/>
      <c r="AG766" s="1390"/>
      <c r="AH766" s="1390"/>
      <c r="AI766" s="1390"/>
      <c r="AJ766" s="1390"/>
      <c r="AK766" s="1390"/>
    </row>
    <row r="767" spans="3:37" ht="17.25" customHeight="1" x14ac:dyDescent="0.35">
      <c r="C767" s="1390"/>
      <c r="D767" s="1390"/>
      <c r="E767" s="1390"/>
      <c r="F767" s="1390"/>
      <c r="G767" s="1390"/>
      <c r="H767" s="1390"/>
      <c r="I767" s="1390"/>
      <c r="J767" s="1390"/>
      <c r="K767" s="1390"/>
      <c r="L767" s="1390"/>
      <c r="M767" s="1390"/>
      <c r="N767" s="1390"/>
      <c r="O767" s="1390"/>
      <c r="P767" s="1390"/>
      <c r="Q767" s="1390"/>
      <c r="R767" s="1390"/>
      <c r="S767" s="1390"/>
      <c r="T767" s="1390"/>
      <c r="U767" s="1390"/>
      <c r="V767" s="1390"/>
      <c r="W767" s="1390"/>
      <c r="X767" s="1390"/>
      <c r="Y767" s="1390"/>
      <c r="Z767" s="1390"/>
      <c r="AA767" s="1390"/>
      <c r="AB767" s="1390"/>
      <c r="AC767" s="1390"/>
      <c r="AD767" s="1390"/>
      <c r="AE767" s="1390"/>
      <c r="AF767" s="1390"/>
      <c r="AG767" s="1390"/>
      <c r="AH767" s="1390"/>
      <c r="AI767" s="1390"/>
      <c r="AJ767" s="1390"/>
      <c r="AK767" s="1390"/>
    </row>
    <row r="768" spans="3:37" ht="17.25" customHeight="1" x14ac:dyDescent="0.35">
      <c r="C768" s="1390"/>
      <c r="D768" s="1390"/>
      <c r="E768" s="1390"/>
      <c r="F768" s="1390"/>
      <c r="G768" s="1390"/>
      <c r="H768" s="1390"/>
      <c r="I768" s="1390"/>
      <c r="J768" s="1390"/>
      <c r="K768" s="1390"/>
      <c r="L768" s="1390"/>
      <c r="M768" s="1390"/>
      <c r="N768" s="1390"/>
      <c r="O768" s="1390"/>
      <c r="P768" s="1390"/>
      <c r="Q768" s="1390"/>
      <c r="R768" s="1390"/>
      <c r="S768" s="1390"/>
      <c r="T768" s="1390"/>
      <c r="U768" s="1390"/>
      <c r="V768" s="1390"/>
      <c r="W768" s="1390"/>
      <c r="X768" s="1390"/>
      <c r="Y768" s="1390"/>
      <c r="Z768" s="1390"/>
      <c r="AA768" s="1390"/>
      <c r="AB768" s="1390"/>
      <c r="AC768" s="1390"/>
      <c r="AD768" s="1390"/>
      <c r="AE768" s="1390"/>
      <c r="AF768" s="1390"/>
      <c r="AG768" s="1390"/>
      <c r="AH768" s="1390"/>
      <c r="AI768" s="1390"/>
      <c r="AJ768" s="1390"/>
      <c r="AK768" s="1390"/>
    </row>
    <row r="769" spans="3:37" ht="17.25" customHeight="1" x14ac:dyDescent="0.35">
      <c r="C769" s="1390"/>
      <c r="D769" s="1390"/>
      <c r="E769" s="1390"/>
      <c r="F769" s="1390"/>
      <c r="G769" s="1390"/>
      <c r="H769" s="1390"/>
      <c r="I769" s="1390"/>
      <c r="J769" s="1390"/>
      <c r="K769" s="1390"/>
      <c r="L769" s="1390"/>
      <c r="M769" s="1390"/>
      <c r="N769" s="1390"/>
      <c r="O769" s="1390"/>
      <c r="P769" s="1390"/>
      <c r="Q769" s="1390"/>
      <c r="R769" s="1390"/>
      <c r="S769" s="1390"/>
      <c r="T769" s="1390"/>
      <c r="U769" s="1390"/>
      <c r="V769" s="1390"/>
      <c r="W769" s="1390"/>
      <c r="X769" s="1390"/>
      <c r="Y769" s="1390"/>
      <c r="Z769" s="1390"/>
      <c r="AA769" s="1390"/>
      <c r="AB769" s="1390"/>
      <c r="AC769" s="1390"/>
      <c r="AD769" s="1390"/>
      <c r="AE769" s="1390"/>
      <c r="AF769" s="1390"/>
      <c r="AG769" s="1390"/>
      <c r="AH769" s="1390"/>
      <c r="AI769" s="1390"/>
      <c r="AJ769" s="1390"/>
      <c r="AK769" s="1390"/>
    </row>
    <row r="770" spans="3:37" ht="17.25" customHeight="1" x14ac:dyDescent="0.35">
      <c r="C770" s="1390"/>
      <c r="D770" s="1390"/>
      <c r="E770" s="1390"/>
      <c r="F770" s="1390"/>
      <c r="G770" s="1390"/>
      <c r="H770" s="1390"/>
      <c r="I770" s="1390"/>
      <c r="J770" s="1390"/>
      <c r="K770" s="1390"/>
      <c r="L770" s="1390"/>
      <c r="M770" s="1390"/>
      <c r="N770" s="1390"/>
      <c r="O770" s="1390"/>
      <c r="P770" s="1390"/>
      <c r="Q770" s="1390"/>
      <c r="R770" s="1390"/>
      <c r="S770" s="1390"/>
      <c r="T770" s="1390"/>
      <c r="U770" s="1390"/>
      <c r="V770" s="1390"/>
      <c r="W770" s="1390"/>
      <c r="X770" s="1390"/>
      <c r="Y770" s="1390"/>
      <c r="Z770" s="1390"/>
      <c r="AA770" s="1390"/>
      <c r="AB770" s="1390"/>
      <c r="AC770" s="1390"/>
      <c r="AD770" s="1390"/>
      <c r="AE770" s="1390"/>
      <c r="AF770" s="1390"/>
      <c r="AG770" s="1390"/>
      <c r="AH770" s="1390"/>
      <c r="AI770" s="1390"/>
      <c r="AJ770" s="1390"/>
      <c r="AK770" s="1390"/>
    </row>
    <row r="771" spans="3:37" ht="17.25" customHeight="1" x14ac:dyDescent="0.35">
      <c r="C771" s="1390"/>
      <c r="D771" s="1390"/>
      <c r="E771" s="1390"/>
      <c r="F771" s="1390"/>
      <c r="G771" s="1390"/>
      <c r="H771" s="1390"/>
      <c r="I771" s="1390"/>
      <c r="J771" s="1390"/>
      <c r="K771" s="1390"/>
      <c r="L771" s="1390"/>
      <c r="M771" s="1390"/>
      <c r="N771" s="1390"/>
      <c r="O771" s="1390"/>
      <c r="P771" s="1390"/>
      <c r="Q771" s="1390"/>
      <c r="R771" s="1390"/>
      <c r="S771" s="1390"/>
      <c r="T771" s="1390"/>
      <c r="U771" s="1390"/>
      <c r="V771" s="1390"/>
      <c r="W771" s="1390"/>
      <c r="X771" s="1390"/>
      <c r="Y771" s="1390"/>
      <c r="Z771" s="1390"/>
      <c r="AA771" s="1390"/>
      <c r="AB771" s="1390"/>
      <c r="AC771" s="1390"/>
      <c r="AD771" s="1390"/>
      <c r="AE771" s="1390"/>
      <c r="AF771" s="1390"/>
      <c r="AG771" s="1390"/>
      <c r="AH771" s="1390"/>
      <c r="AI771" s="1390"/>
      <c r="AJ771" s="1390"/>
      <c r="AK771" s="1390"/>
    </row>
    <row r="772" spans="3:37" ht="17.25" customHeight="1" x14ac:dyDescent="0.35">
      <c r="C772" s="1390"/>
      <c r="D772" s="1390"/>
      <c r="E772" s="1390"/>
      <c r="F772" s="1390"/>
      <c r="G772" s="1390"/>
      <c r="H772" s="1390"/>
      <c r="I772" s="1390"/>
      <c r="J772" s="1390"/>
      <c r="K772" s="1390"/>
      <c r="L772" s="1390"/>
      <c r="M772" s="1390"/>
      <c r="N772" s="1390"/>
      <c r="O772" s="1390"/>
      <c r="P772" s="1390"/>
      <c r="Q772" s="1390"/>
      <c r="R772" s="1390"/>
      <c r="S772" s="1390"/>
      <c r="T772" s="1390"/>
      <c r="U772" s="1390"/>
      <c r="V772" s="1390"/>
      <c r="W772" s="1390"/>
      <c r="X772" s="1390"/>
      <c r="Y772" s="1390"/>
      <c r="Z772" s="1390"/>
      <c r="AA772" s="1390"/>
      <c r="AB772" s="1390"/>
      <c r="AC772" s="1390"/>
      <c r="AD772" s="1390"/>
      <c r="AE772" s="1390"/>
      <c r="AF772" s="1390"/>
      <c r="AG772" s="1390"/>
      <c r="AH772" s="1390"/>
      <c r="AI772" s="1390"/>
      <c r="AJ772" s="1390"/>
      <c r="AK772" s="1390"/>
    </row>
    <row r="773" spans="3:37" ht="17.25" customHeight="1" x14ac:dyDescent="0.35">
      <c r="C773" s="1390"/>
      <c r="D773" s="1390"/>
      <c r="E773" s="1390"/>
      <c r="F773" s="1390"/>
      <c r="G773" s="1390"/>
      <c r="H773" s="1390"/>
      <c r="I773" s="1390"/>
      <c r="J773" s="1390"/>
      <c r="K773" s="1390"/>
      <c r="L773" s="1390"/>
      <c r="M773" s="1390"/>
      <c r="N773" s="1390"/>
      <c r="O773" s="1390"/>
      <c r="P773" s="1390"/>
      <c r="Q773" s="1390"/>
      <c r="R773" s="1390"/>
      <c r="S773" s="1390"/>
      <c r="T773" s="1390"/>
      <c r="U773" s="1390"/>
      <c r="V773" s="1390"/>
      <c r="W773" s="1390"/>
      <c r="X773" s="1390"/>
      <c r="Y773" s="1390"/>
      <c r="Z773" s="1390"/>
      <c r="AA773" s="1390"/>
      <c r="AB773" s="1390"/>
      <c r="AC773" s="1390"/>
      <c r="AD773" s="1390"/>
      <c r="AE773" s="1390"/>
      <c r="AF773" s="1390"/>
      <c r="AG773" s="1390"/>
      <c r="AH773" s="1390"/>
      <c r="AI773" s="1390"/>
      <c r="AJ773" s="1390"/>
      <c r="AK773" s="1390"/>
    </row>
    <row r="774" spans="3:37" ht="17.25" customHeight="1" x14ac:dyDescent="0.35">
      <c r="C774" s="1390"/>
      <c r="D774" s="1390"/>
      <c r="E774" s="1390"/>
      <c r="F774" s="1390"/>
      <c r="G774" s="1390"/>
      <c r="H774" s="1390"/>
      <c r="I774" s="1390"/>
      <c r="J774" s="1390"/>
      <c r="K774" s="1390"/>
      <c r="L774" s="1390"/>
      <c r="M774" s="1390"/>
      <c r="N774" s="1390"/>
      <c r="O774" s="1390"/>
      <c r="P774" s="1390"/>
      <c r="Q774" s="1390"/>
      <c r="R774" s="1390"/>
      <c r="S774" s="1390"/>
      <c r="T774" s="1390"/>
      <c r="U774" s="1390"/>
      <c r="V774" s="1390"/>
      <c r="W774" s="1390"/>
      <c r="X774" s="1390"/>
      <c r="Y774" s="1390"/>
      <c r="Z774" s="1390"/>
      <c r="AA774" s="1390"/>
      <c r="AB774" s="1390"/>
      <c r="AC774" s="1390"/>
      <c r="AD774" s="1390"/>
      <c r="AE774" s="1390"/>
      <c r="AF774" s="1390"/>
      <c r="AG774" s="1390"/>
      <c r="AH774" s="1390"/>
      <c r="AI774" s="1390"/>
      <c r="AJ774" s="1390"/>
      <c r="AK774" s="1390"/>
    </row>
    <row r="775" spans="3:37" ht="17.25" customHeight="1" x14ac:dyDescent="0.35">
      <c r="C775" s="1390"/>
      <c r="D775" s="1390"/>
      <c r="E775" s="1390"/>
      <c r="F775" s="1390"/>
      <c r="G775" s="1390"/>
      <c r="H775" s="1390"/>
      <c r="I775" s="1390"/>
      <c r="J775" s="1390"/>
      <c r="K775" s="1390"/>
      <c r="L775" s="1390"/>
      <c r="M775" s="1390"/>
      <c r="N775" s="1390"/>
      <c r="O775" s="1390"/>
      <c r="P775" s="1390"/>
      <c r="Q775" s="1390"/>
      <c r="R775" s="1390"/>
      <c r="S775" s="1390"/>
      <c r="T775" s="1390"/>
      <c r="U775" s="1390"/>
      <c r="V775" s="1390"/>
      <c r="W775" s="1390"/>
      <c r="X775" s="1390"/>
      <c r="Y775" s="1390"/>
      <c r="Z775" s="1390"/>
      <c r="AA775" s="1390"/>
      <c r="AB775" s="1390"/>
      <c r="AC775" s="1390"/>
      <c r="AD775" s="1390"/>
      <c r="AE775" s="1390"/>
      <c r="AF775" s="1390"/>
      <c r="AG775" s="1390"/>
      <c r="AH775" s="1390"/>
      <c r="AI775" s="1390"/>
      <c r="AJ775" s="1390"/>
      <c r="AK775" s="1390"/>
    </row>
    <row r="776" spans="3:37" ht="17.25" customHeight="1" x14ac:dyDescent="0.35">
      <c r="C776" s="1390"/>
      <c r="D776" s="1390"/>
      <c r="E776" s="1390"/>
      <c r="F776" s="1390"/>
      <c r="G776" s="1390"/>
      <c r="H776" s="1390"/>
      <c r="I776" s="1390"/>
      <c r="J776" s="1390"/>
      <c r="K776" s="1390"/>
      <c r="L776" s="1390"/>
      <c r="M776" s="1390"/>
      <c r="N776" s="1390"/>
      <c r="O776" s="1390"/>
      <c r="P776" s="1390"/>
      <c r="Q776" s="1390"/>
      <c r="R776" s="1390"/>
      <c r="S776" s="1390"/>
      <c r="T776" s="1390"/>
      <c r="U776" s="1390"/>
      <c r="V776" s="1390"/>
      <c r="W776" s="1390"/>
      <c r="X776" s="1390"/>
      <c r="Y776" s="1390"/>
      <c r="Z776" s="1390"/>
      <c r="AA776" s="1390"/>
      <c r="AB776" s="1390"/>
      <c r="AC776" s="1390"/>
      <c r="AD776" s="1390"/>
      <c r="AE776" s="1390"/>
      <c r="AF776" s="1390"/>
      <c r="AG776" s="1390"/>
      <c r="AH776" s="1390"/>
      <c r="AI776" s="1390"/>
      <c r="AJ776" s="1390"/>
      <c r="AK776" s="1390"/>
    </row>
    <row r="777" spans="3:37" ht="17.25" customHeight="1" x14ac:dyDescent="0.35">
      <c r="C777" s="1390"/>
      <c r="D777" s="1390"/>
      <c r="E777" s="1390"/>
      <c r="F777" s="1390"/>
      <c r="G777" s="1390"/>
      <c r="H777" s="1390"/>
      <c r="I777" s="1390"/>
      <c r="J777" s="1390"/>
      <c r="K777" s="1390"/>
      <c r="L777" s="1390"/>
      <c r="M777" s="1390"/>
      <c r="N777" s="1390"/>
      <c r="O777" s="1390"/>
      <c r="P777" s="1390"/>
      <c r="Q777" s="1390"/>
      <c r="R777" s="1390"/>
      <c r="S777" s="1390"/>
      <c r="T777" s="1390"/>
      <c r="U777" s="1390"/>
      <c r="V777" s="1390"/>
      <c r="W777" s="1390"/>
      <c r="X777" s="1390"/>
      <c r="Y777" s="1390"/>
      <c r="Z777" s="1390"/>
      <c r="AA777" s="1390"/>
      <c r="AB777" s="1390"/>
      <c r="AC777" s="1390"/>
      <c r="AD777" s="1390"/>
      <c r="AE777" s="1390"/>
      <c r="AF777" s="1390"/>
      <c r="AG777" s="1390"/>
      <c r="AH777" s="1390"/>
      <c r="AI777" s="1390"/>
      <c r="AJ777" s="1390"/>
      <c r="AK777" s="1390"/>
    </row>
    <row r="778" spans="3:37" ht="17.25" customHeight="1" x14ac:dyDescent="0.35">
      <c r="C778" s="1390"/>
      <c r="D778" s="1390"/>
      <c r="E778" s="1390"/>
      <c r="F778" s="1390"/>
      <c r="G778" s="1390"/>
      <c r="H778" s="1390"/>
      <c r="I778" s="1390"/>
      <c r="J778" s="1390"/>
      <c r="K778" s="1390"/>
      <c r="L778" s="1390"/>
      <c r="M778" s="1390"/>
      <c r="N778" s="1390"/>
      <c r="O778" s="1390"/>
      <c r="P778" s="1390"/>
      <c r="Q778" s="1390"/>
      <c r="R778" s="1390"/>
      <c r="S778" s="1390"/>
      <c r="T778" s="1390"/>
      <c r="U778" s="1390"/>
      <c r="V778" s="1390"/>
      <c r="W778" s="1390"/>
      <c r="X778" s="1390"/>
      <c r="Y778" s="1390"/>
      <c r="Z778" s="1390"/>
      <c r="AA778" s="1390"/>
      <c r="AB778" s="1390"/>
      <c r="AC778" s="1390"/>
      <c r="AD778" s="1390"/>
      <c r="AE778" s="1390"/>
      <c r="AF778" s="1390"/>
      <c r="AG778" s="1390"/>
      <c r="AH778" s="1390"/>
      <c r="AI778" s="1390"/>
      <c r="AJ778" s="1390"/>
      <c r="AK778" s="1390"/>
    </row>
    <row r="779" spans="3:37" ht="17.25" customHeight="1" x14ac:dyDescent="0.35">
      <c r="C779" s="1390"/>
      <c r="D779" s="1390"/>
      <c r="E779" s="1390"/>
      <c r="F779" s="1390"/>
      <c r="G779" s="1390"/>
      <c r="H779" s="1390"/>
      <c r="I779" s="1390"/>
      <c r="J779" s="1390"/>
      <c r="K779" s="1390"/>
      <c r="L779" s="1390"/>
      <c r="M779" s="1390"/>
      <c r="N779" s="1390"/>
      <c r="O779" s="1390"/>
      <c r="P779" s="1390"/>
      <c r="Q779" s="1390"/>
      <c r="R779" s="1390"/>
      <c r="S779" s="1390"/>
      <c r="T779" s="1390"/>
      <c r="U779" s="1390"/>
      <c r="V779" s="1390"/>
      <c r="W779" s="1390"/>
      <c r="X779" s="1390"/>
      <c r="Y779" s="1390"/>
      <c r="Z779" s="1390"/>
      <c r="AA779" s="1390"/>
      <c r="AB779" s="1390"/>
      <c r="AC779" s="1390"/>
      <c r="AD779" s="1390"/>
      <c r="AE779" s="1390"/>
      <c r="AF779" s="1390"/>
      <c r="AG779" s="1390"/>
      <c r="AH779" s="1390"/>
      <c r="AI779" s="1390"/>
      <c r="AJ779" s="1390"/>
      <c r="AK779" s="1390"/>
    </row>
    <row r="780" spans="3:37" ht="17.25" customHeight="1" x14ac:dyDescent="0.35">
      <c r="C780" s="1390"/>
      <c r="D780" s="1390"/>
      <c r="E780" s="1390"/>
      <c r="F780" s="1390"/>
      <c r="G780" s="1390"/>
      <c r="H780" s="1390"/>
      <c r="I780" s="1390"/>
      <c r="J780" s="1390"/>
      <c r="K780" s="1390"/>
      <c r="L780" s="1390"/>
      <c r="M780" s="1390"/>
      <c r="N780" s="1390"/>
      <c r="O780" s="1390"/>
      <c r="P780" s="1390"/>
      <c r="Q780" s="1390"/>
      <c r="R780" s="1390"/>
      <c r="S780" s="1390"/>
      <c r="T780" s="1390"/>
      <c r="U780" s="1390"/>
      <c r="V780" s="1390"/>
      <c r="W780" s="1390"/>
      <c r="X780" s="1390"/>
      <c r="Y780" s="1390"/>
      <c r="Z780" s="1390"/>
      <c r="AA780" s="1390"/>
      <c r="AB780" s="1390"/>
      <c r="AC780" s="1390"/>
      <c r="AD780" s="1390"/>
      <c r="AE780" s="1390"/>
      <c r="AF780" s="1390"/>
      <c r="AG780" s="1390"/>
      <c r="AH780" s="1390"/>
      <c r="AI780" s="1390"/>
      <c r="AJ780" s="1390"/>
      <c r="AK780" s="1390"/>
    </row>
    <row r="781" spans="3:37" ht="17.25" customHeight="1" x14ac:dyDescent="0.35">
      <c r="C781" s="1390"/>
      <c r="D781" s="1390"/>
      <c r="E781" s="1390"/>
      <c r="F781" s="1390"/>
      <c r="G781" s="1390"/>
      <c r="H781" s="1390"/>
      <c r="I781" s="1390"/>
      <c r="J781" s="1390"/>
      <c r="K781" s="1390"/>
      <c r="L781" s="1390"/>
      <c r="M781" s="1390"/>
      <c r="N781" s="1390"/>
      <c r="O781" s="1390"/>
      <c r="P781" s="1390"/>
      <c r="Q781" s="1390"/>
      <c r="R781" s="1390"/>
      <c r="S781" s="1390"/>
      <c r="T781" s="1390"/>
      <c r="U781" s="1390"/>
      <c r="V781" s="1390"/>
      <c r="W781" s="1390"/>
      <c r="X781" s="1390"/>
      <c r="Y781" s="1390"/>
      <c r="Z781" s="1390"/>
      <c r="AA781" s="1390"/>
      <c r="AB781" s="1390"/>
      <c r="AC781" s="1390"/>
      <c r="AD781" s="1390"/>
      <c r="AE781" s="1390"/>
      <c r="AF781" s="1390"/>
      <c r="AG781" s="1390"/>
      <c r="AH781" s="1390"/>
      <c r="AI781" s="1390"/>
      <c r="AJ781" s="1390"/>
      <c r="AK781" s="1390"/>
    </row>
    <row r="782" spans="3:37" ht="17.25" customHeight="1" x14ac:dyDescent="0.35">
      <c r="C782" s="1390"/>
      <c r="D782" s="1390"/>
      <c r="E782" s="1390"/>
      <c r="F782" s="1390"/>
      <c r="G782" s="1390"/>
      <c r="H782" s="1390"/>
      <c r="I782" s="1390"/>
      <c r="J782" s="1390"/>
      <c r="K782" s="1390"/>
      <c r="L782" s="1390"/>
      <c r="M782" s="1390"/>
      <c r="N782" s="1390"/>
      <c r="O782" s="1390"/>
      <c r="P782" s="1390"/>
      <c r="Q782" s="1390"/>
      <c r="R782" s="1390"/>
      <c r="S782" s="1390"/>
      <c r="T782" s="1390"/>
      <c r="U782" s="1390"/>
      <c r="V782" s="1390"/>
      <c r="W782" s="1390"/>
      <c r="X782" s="1390"/>
      <c r="Y782" s="1390"/>
      <c r="Z782" s="1390"/>
      <c r="AA782" s="1390"/>
      <c r="AB782" s="1390"/>
      <c r="AC782" s="1390"/>
      <c r="AD782" s="1390"/>
      <c r="AE782" s="1390"/>
      <c r="AF782" s="1390"/>
      <c r="AG782" s="1390"/>
      <c r="AH782" s="1390"/>
      <c r="AI782" s="1390"/>
      <c r="AJ782" s="1390"/>
      <c r="AK782" s="1390"/>
    </row>
    <row r="783" spans="3:37" ht="17.25" customHeight="1" x14ac:dyDescent="0.35">
      <c r="C783" s="1390"/>
      <c r="D783" s="1390"/>
      <c r="E783" s="1390"/>
      <c r="F783" s="1390"/>
      <c r="G783" s="1390"/>
      <c r="H783" s="1390"/>
      <c r="I783" s="1390"/>
      <c r="J783" s="1390"/>
      <c r="K783" s="1390"/>
      <c r="L783" s="1390"/>
      <c r="M783" s="1390"/>
      <c r="N783" s="1390"/>
      <c r="O783" s="1390"/>
      <c r="P783" s="1390"/>
      <c r="Q783" s="1390"/>
      <c r="R783" s="1390"/>
      <c r="S783" s="1390"/>
      <c r="T783" s="1390"/>
      <c r="U783" s="1390"/>
      <c r="V783" s="1390"/>
      <c r="W783" s="1390"/>
      <c r="X783" s="1390"/>
      <c r="Y783" s="1390"/>
      <c r="Z783" s="1390"/>
      <c r="AA783" s="1390"/>
      <c r="AB783" s="1390"/>
      <c r="AC783" s="1390"/>
      <c r="AD783" s="1390"/>
      <c r="AE783" s="1390"/>
      <c r="AF783" s="1390"/>
      <c r="AG783" s="1390"/>
      <c r="AH783" s="1390"/>
      <c r="AI783" s="1390"/>
      <c r="AJ783" s="1390"/>
      <c r="AK783" s="1390"/>
    </row>
    <row r="784" spans="3:37" ht="17.25" customHeight="1" x14ac:dyDescent="0.35">
      <c r="C784" s="1390"/>
      <c r="D784" s="1390"/>
      <c r="E784" s="1390"/>
      <c r="F784" s="1390"/>
      <c r="G784" s="1390"/>
      <c r="H784" s="1390"/>
      <c r="I784" s="1390"/>
      <c r="J784" s="1390"/>
      <c r="K784" s="1390"/>
      <c r="L784" s="1390"/>
      <c r="M784" s="1390"/>
      <c r="N784" s="1390"/>
      <c r="O784" s="1390"/>
      <c r="P784" s="1390"/>
      <c r="Q784" s="1390"/>
      <c r="R784" s="1390"/>
      <c r="S784" s="1390"/>
      <c r="T784" s="1390"/>
      <c r="U784" s="1390"/>
      <c r="V784" s="1390"/>
      <c r="W784" s="1390"/>
      <c r="X784" s="1390"/>
      <c r="Y784" s="1390"/>
      <c r="Z784" s="1390"/>
      <c r="AA784" s="1390"/>
      <c r="AB784" s="1390"/>
      <c r="AC784" s="1390"/>
      <c r="AD784" s="1390"/>
      <c r="AE784" s="1390"/>
      <c r="AF784" s="1390"/>
      <c r="AG784" s="1390"/>
      <c r="AH784" s="1390"/>
      <c r="AI784" s="1390"/>
      <c r="AJ784" s="1390"/>
      <c r="AK784" s="1390"/>
    </row>
    <row r="785" spans="3:37" ht="17.25" customHeight="1" x14ac:dyDescent="0.35">
      <c r="C785" s="1390"/>
      <c r="D785" s="1390"/>
      <c r="E785" s="1390"/>
      <c r="F785" s="1390"/>
      <c r="G785" s="1390"/>
      <c r="H785" s="1390"/>
      <c r="I785" s="1390"/>
      <c r="J785" s="1390"/>
      <c r="K785" s="1390"/>
      <c r="L785" s="1390"/>
      <c r="M785" s="1390"/>
      <c r="N785" s="1390"/>
      <c r="O785" s="1390"/>
      <c r="P785" s="1390"/>
      <c r="Q785" s="1390"/>
      <c r="R785" s="1390"/>
      <c r="S785" s="1390"/>
      <c r="T785" s="1390"/>
      <c r="U785" s="1390"/>
      <c r="V785" s="1390"/>
      <c r="W785" s="1390"/>
      <c r="X785" s="1390"/>
      <c r="Y785" s="1390"/>
      <c r="Z785" s="1390"/>
      <c r="AA785" s="1390"/>
      <c r="AB785" s="1390"/>
      <c r="AC785" s="1390"/>
      <c r="AD785" s="1390"/>
      <c r="AE785" s="1390"/>
      <c r="AF785" s="1390"/>
      <c r="AG785" s="1390"/>
      <c r="AH785" s="1390"/>
      <c r="AI785" s="1390"/>
      <c r="AJ785" s="1390"/>
      <c r="AK785" s="1390"/>
    </row>
    <row r="786" spans="3:37" ht="17.25" customHeight="1" x14ac:dyDescent="0.35">
      <c r="C786" s="1390"/>
      <c r="D786" s="1390"/>
      <c r="E786" s="1390"/>
      <c r="F786" s="1390"/>
      <c r="G786" s="1390"/>
      <c r="H786" s="1390"/>
      <c r="I786" s="1390"/>
      <c r="J786" s="1390"/>
      <c r="K786" s="1390"/>
      <c r="L786" s="1390"/>
      <c r="M786" s="1390"/>
      <c r="N786" s="1390"/>
      <c r="O786" s="1390"/>
      <c r="P786" s="1390"/>
      <c r="Q786" s="1390"/>
      <c r="R786" s="1390"/>
      <c r="S786" s="1390"/>
      <c r="T786" s="1390"/>
      <c r="U786" s="1390"/>
      <c r="V786" s="1390"/>
      <c r="W786" s="1390"/>
      <c r="X786" s="1390"/>
      <c r="Y786" s="1390"/>
      <c r="Z786" s="1390"/>
      <c r="AA786" s="1390"/>
      <c r="AB786" s="1390"/>
      <c r="AC786" s="1390"/>
      <c r="AD786" s="1390"/>
      <c r="AE786" s="1390"/>
      <c r="AF786" s="1390"/>
      <c r="AG786" s="1390"/>
      <c r="AH786" s="1390"/>
      <c r="AI786" s="1390"/>
      <c r="AJ786" s="1390"/>
      <c r="AK786" s="1390"/>
    </row>
    <row r="787" spans="3:37" ht="17.25" customHeight="1" x14ac:dyDescent="0.35">
      <c r="C787" s="1390"/>
      <c r="D787" s="1390"/>
      <c r="E787" s="1390"/>
      <c r="F787" s="1390"/>
      <c r="G787" s="1390"/>
      <c r="H787" s="1390"/>
      <c r="I787" s="1390"/>
      <c r="J787" s="1390"/>
      <c r="K787" s="1390"/>
      <c r="L787" s="1390"/>
      <c r="M787" s="1390"/>
      <c r="N787" s="1390"/>
      <c r="O787" s="1390"/>
      <c r="P787" s="1390"/>
      <c r="Q787" s="1390"/>
      <c r="R787" s="1390"/>
      <c r="S787" s="1390"/>
      <c r="T787" s="1390"/>
      <c r="U787" s="1390"/>
      <c r="V787" s="1390"/>
      <c r="W787" s="1390"/>
      <c r="X787" s="1390"/>
      <c r="Y787" s="1390"/>
      <c r="Z787" s="1390"/>
      <c r="AA787" s="1390"/>
      <c r="AB787" s="1390"/>
      <c r="AC787" s="1390"/>
      <c r="AD787" s="1390"/>
      <c r="AE787" s="1390"/>
      <c r="AF787" s="1390"/>
      <c r="AG787" s="1390"/>
      <c r="AH787" s="1390"/>
      <c r="AI787" s="1390"/>
      <c r="AJ787" s="1390"/>
      <c r="AK787" s="1390"/>
    </row>
    <row r="788" spans="3:37" ht="17.25" customHeight="1" x14ac:dyDescent="0.35">
      <c r="C788" s="1390"/>
      <c r="D788" s="1390"/>
      <c r="E788" s="1390"/>
      <c r="F788" s="1390"/>
      <c r="G788" s="1390"/>
      <c r="H788" s="1390"/>
      <c r="I788" s="1390"/>
      <c r="J788" s="1390"/>
      <c r="K788" s="1390"/>
      <c r="L788" s="1390"/>
      <c r="M788" s="1390"/>
      <c r="N788" s="1390"/>
      <c r="O788" s="1390"/>
      <c r="P788" s="1390"/>
      <c r="Q788" s="1390"/>
      <c r="R788" s="1390"/>
      <c r="S788" s="1390"/>
      <c r="T788" s="1390"/>
      <c r="U788" s="1390"/>
      <c r="V788" s="1390"/>
      <c r="W788" s="1390"/>
      <c r="X788" s="1390"/>
      <c r="Y788" s="1390"/>
      <c r="Z788" s="1390"/>
      <c r="AA788" s="1390"/>
      <c r="AB788" s="1390"/>
      <c r="AC788" s="1390"/>
      <c r="AD788" s="1390"/>
      <c r="AE788" s="1390"/>
      <c r="AF788" s="1390"/>
      <c r="AG788" s="1390"/>
      <c r="AH788" s="1390"/>
      <c r="AI788" s="1390"/>
      <c r="AJ788" s="1390"/>
      <c r="AK788" s="1390"/>
    </row>
    <row r="789" spans="3:37" ht="17.25" customHeight="1" x14ac:dyDescent="0.35">
      <c r="C789" s="1390"/>
      <c r="D789" s="1390"/>
      <c r="E789" s="1390"/>
      <c r="F789" s="1390"/>
      <c r="G789" s="1390"/>
      <c r="H789" s="1390"/>
      <c r="I789" s="1390"/>
      <c r="J789" s="1390"/>
      <c r="K789" s="1390"/>
      <c r="L789" s="1390"/>
      <c r="M789" s="1390"/>
      <c r="N789" s="1390"/>
      <c r="O789" s="1390"/>
      <c r="P789" s="1390"/>
      <c r="Q789" s="1390"/>
      <c r="R789" s="1390"/>
      <c r="S789" s="1390"/>
      <c r="T789" s="1390"/>
      <c r="U789" s="1390"/>
      <c r="V789" s="1390"/>
      <c r="W789" s="1390"/>
      <c r="X789" s="1390"/>
      <c r="Y789" s="1390"/>
      <c r="Z789" s="1390"/>
      <c r="AA789" s="1390"/>
      <c r="AB789" s="1390"/>
      <c r="AC789" s="1390"/>
      <c r="AD789" s="1390"/>
      <c r="AE789" s="1390"/>
      <c r="AF789" s="1390"/>
      <c r="AG789" s="1390"/>
      <c r="AH789" s="1390"/>
      <c r="AI789" s="1390"/>
      <c r="AJ789" s="1390"/>
      <c r="AK789" s="1390"/>
    </row>
    <row r="790" spans="3:37" ht="17.25" customHeight="1" x14ac:dyDescent="0.35">
      <c r="C790" s="1390"/>
      <c r="D790" s="1390"/>
      <c r="E790" s="1390"/>
      <c r="F790" s="1390"/>
      <c r="G790" s="1390"/>
      <c r="H790" s="1390"/>
      <c r="I790" s="1390"/>
      <c r="J790" s="1390"/>
      <c r="K790" s="1390"/>
      <c r="L790" s="1390"/>
      <c r="M790" s="1390"/>
      <c r="N790" s="1390"/>
      <c r="O790" s="1390"/>
      <c r="P790" s="1390"/>
      <c r="Q790" s="1390"/>
      <c r="R790" s="1390"/>
      <c r="S790" s="1390"/>
      <c r="T790" s="1390"/>
      <c r="U790" s="1390"/>
      <c r="V790" s="1390"/>
      <c r="W790" s="1390"/>
      <c r="X790" s="1390"/>
      <c r="Y790" s="1390"/>
      <c r="Z790" s="1390"/>
      <c r="AA790" s="1390"/>
      <c r="AB790" s="1390"/>
      <c r="AC790" s="1390"/>
      <c r="AD790" s="1390"/>
      <c r="AE790" s="1390"/>
      <c r="AF790" s="1390"/>
      <c r="AG790" s="1390"/>
      <c r="AH790" s="1390"/>
      <c r="AI790" s="1390"/>
      <c r="AJ790" s="1390"/>
      <c r="AK790" s="1390"/>
    </row>
    <row r="791" spans="3:37" ht="17.25" customHeight="1" x14ac:dyDescent="0.35">
      <c r="C791" s="1390"/>
      <c r="D791" s="1390"/>
      <c r="E791" s="1390"/>
      <c r="F791" s="1390"/>
      <c r="G791" s="1390"/>
      <c r="H791" s="1390"/>
      <c r="I791" s="1390"/>
      <c r="J791" s="1390"/>
      <c r="K791" s="1390"/>
      <c r="L791" s="1390"/>
      <c r="M791" s="1390"/>
      <c r="N791" s="1390"/>
      <c r="O791" s="1390"/>
      <c r="P791" s="1390"/>
      <c r="Q791" s="1390"/>
      <c r="R791" s="1390"/>
      <c r="S791" s="1390"/>
      <c r="T791" s="1390"/>
      <c r="U791" s="1390"/>
      <c r="V791" s="1390"/>
      <c r="W791" s="1390"/>
      <c r="X791" s="1390"/>
      <c r="Y791" s="1390"/>
      <c r="Z791" s="1390"/>
      <c r="AA791" s="1390"/>
      <c r="AB791" s="1390"/>
      <c r="AC791" s="1390"/>
      <c r="AD791" s="1390"/>
      <c r="AE791" s="1390"/>
      <c r="AF791" s="1390"/>
      <c r="AG791" s="1390"/>
      <c r="AH791" s="1390"/>
      <c r="AI791" s="1390"/>
      <c r="AJ791" s="1390"/>
      <c r="AK791" s="1390"/>
    </row>
    <row r="792" spans="3:37" ht="17.25" customHeight="1" x14ac:dyDescent="0.35">
      <c r="C792" s="1390"/>
      <c r="D792" s="1390"/>
      <c r="E792" s="1390"/>
      <c r="F792" s="1390"/>
      <c r="G792" s="1390"/>
      <c r="H792" s="1390"/>
      <c r="I792" s="1390"/>
      <c r="J792" s="1390"/>
      <c r="K792" s="1390"/>
      <c r="L792" s="1390"/>
      <c r="M792" s="1390"/>
      <c r="N792" s="1390"/>
      <c r="O792" s="1390"/>
      <c r="P792" s="1390"/>
      <c r="Q792" s="1390"/>
      <c r="R792" s="1390"/>
      <c r="S792" s="1390"/>
      <c r="T792" s="1390"/>
      <c r="U792" s="1390"/>
      <c r="V792" s="1390"/>
      <c r="W792" s="1390"/>
      <c r="X792" s="1390"/>
      <c r="Y792" s="1390"/>
      <c r="Z792" s="1390"/>
      <c r="AA792" s="1390"/>
      <c r="AB792" s="1390"/>
      <c r="AC792" s="1390"/>
      <c r="AD792" s="1390"/>
      <c r="AE792" s="1390"/>
      <c r="AF792" s="1390"/>
      <c r="AG792" s="1390"/>
      <c r="AH792" s="1390"/>
      <c r="AI792" s="1390"/>
      <c r="AJ792" s="1390"/>
      <c r="AK792" s="1390"/>
    </row>
    <row r="793" spans="3:37" ht="17.25" customHeight="1" x14ac:dyDescent="0.35">
      <c r="C793" s="1390"/>
      <c r="D793" s="1390"/>
      <c r="E793" s="1390"/>
      <c r="F793" s="1390"/>
      <c r="G793" s="1390"/>
      <c r="H793" s="1390"/>
      <c r="I793" s="1390"/>
      <c r="J793" s="1390"/>
      <c r="K793" s="1390"/>
      <c r="L793" s="1390"/>
      <c r="M793" s="1390"/>
      <c r="N793" s="1390"/>
      <c r="O793" s="1390"/>
      <c r="P793" s="1390"/>
      <c r="Q793" s="1390"/>
      <c r="R793" s="1390"/>
      <c r="S793" s="1390"/>
      <c r="T793" s="1390"/>
      <c r="U793" s="1390"/>
      <c r="V793" s="1390"/>
      <c r="W793" s="1390"/>
      <c r="X793" s="1390"/>
      <c r="Y793" s="1390"/>
      <c r="Z793" s="1390"/>
      <c r="AA793" s="1390"/>
      <c r="AB793" s="1390"/>
      <c r="AC793" s="1390"/>
      <c r="AD793" s="1390"/>
      <c r="AE793" s="1390"/>
      <c r="AF793" s="1390"/>
      <c r="AG793" s="1390"/>
      <c r="AH793" s="1390"/>
      <c r="AI793" s="1390"/>
      <c r="AJ793" s="1390"/>
      <c r="AK793" s="1390"/>
    </row>
    <row r="794" spans="3:37" ht="17.25" customHeight="1" x14ac:dyDescent="0.35">
      <c r="C794" s="1390"/>
      <c r="D794" s="1390"/>
      <c r="E794" s="1390"/>
      <c r="F794" s="1390"/>
      <c r="G794" s="1390"/>
      <c r="H794" s="1390"/>
      <c r="I794" s="1390"/>
      <c r="J794" s="1390"/>
      <c r="K794" s="1390"/>
      <c r="L794" s="1390"/>
      <c r="M794" s="1390"/>
      <c r="N794" s="1390"/>
      <c r="O794" s="1390"/>
      <c r="P794" s="1390"/>
      <c r="Q794" s="1390"/>
      <c r="R794" s="1390"/>
      <c r="S794" s="1390"/>
      <c r="T794" s="1390"/>
      <c r="U794" s="1390"/>
      <c r="V794" s="1390"/>
      <c r="W794" s="1390"/>
      <c r="X794" s="1390"/>
      <c r="Y794" s="1390"/>
      <c r="Z794" s="1390"/>
      <c r="AA794" s="1390"/>
      <c r="AB794" s="1390"/>
      <c r="AC794" s="1390"/>
      <c r="AD794" s="1390"/>
      <c r="AE794" s="1390"/>
      <c r="AF794" s="1390"/>
      <c r="AG794" s="1390"/>
      <c r="AH794" s="1390"/>
      <c r="AI794" s="1390"/>
      <c r="AJ794" s="1390"/>
      <c r="AK794" s="1390"/>
    </row>
    <row r="795" spans="3:37" ht="17.25" customHeight="1" x14ac:dyDescent="0.35">
      <c r="C795" s="1390"/>
      <c r="D795" s="1390"/>
      <c r="E795" s="1390"/>
      <c r="F795" s="1390"/>
      <c r="G795" s="1390"/>
      <c r="H795" s="1390"/>
      <c r="I795" s="1390"/>
      <c r="J795" s="1390"/>
      <c r="K795" s="1390"/>
      <c r="L795" s="1390"/>
      <c r="M795" s="1390"/>
      <c r="N795" s="1390"/>
      <c r="O795" s="1390"/>
      <c r="P795" s="1390"/>
      <c r="Q795" s="1390"/>
      <c r="R795" s="1390"/>
      <c r="S795" s="1390"/>
      <c r="T795" s="1390"/>
      <c r="U795" s="1390"/>
      <c r="V795" s="1390"/>
      <c r="W795" s="1390"/>
      <c r="X795" s="1390"/>
      <c r="Y795" s="1390"/>
      <c r="Z795" s="1390"/>
      <c r="AA795" s="1390"/>
      <c r="AB795" s="1390"/>
      <c r="AC795" s="1390"/>
      <c r="AD795" s="1390"/>
      <c r="AE795" s="1390"/>
      <c r="AF795" s="1390"/>
      <c r="AG795" s="1390"/>
      <c r="AH795" s="1390"/>
      <c r="AI795" s="1390"/>
      <c r="AJ795" s="1390"/>
      <c r="AK795" s="1390"/>
    </row>
    <row r="796" spans="3:37" ht="17.25" customHeight="1" x14ac:dyDescent="0.35">
      <c r="C796" s="1390"/>
      <c r="D796" s="1390"/>
      <c r="E796" s="1390"/>
      <c r="F796" s="1390"/>
      <c r="G796" s="1390"/>
      <c r="H796" s="1390"/>
      <c r="I796" s="1390"/>
      <c r="J796" s="1390"/>
      <c r="K796" s="1390"/>
      <c r="L796" s="1390"/>
      <c r="M796" s="1390"/>
      <c r="N796" s="1390"/>
      <c r="O796" s="1390"/>
      <c r="P796" s="1390"/>
      <c r="Q796" s="1390"/>
      <c r="R796" s="1390"/>
      <c r="S796" s="1390"/>
      <c r="T796" s="1390"/>
      <c r="U796" s="1390"/>
      <c r="V796" s="1390"/>
      <c r="W796" s="1390"/>
      <c r="X796" s="1390"/>
      <c r="Y796" s="1390"/>
      <c r="Z796" s="1390"/>
      <c r="AA796" s="1390"/>
      <c r="AB796" s="1390"/>
      <c r="AC796" s="1390"/>
      <c r="AD796" s="1390"/>
      <c r="AE796" s="1390"/>
      <c r="AF796" s="1390"/>
      <c r="AG796" s="1390"/>
      <c r="AH796" s="1390"/>
      <c r="AI796" s="1390"/>
      <c r="AJ796" s="1390"/>
      <c r="AK796" s="1390"/>
    </row>
    <row r="797" spans="3:37" ht="17.25" customHeight="1" x14ac:dyDescent="0.35">
      <c r="C797" s="1390"/>
      <c r="D797" s="1390"/>
      <c r="E797" s="1390"/>
      <c r="F797" s="1390"/>
      <c r="G797" s="1390"/>
      <c r="H797" s="1390"/>
      <c r="I797" s="1390"/>
      <c r="J797" s="1390"/>
      <c r="K797" s="1390"/>
      <c r="L797" s="1390"/>
      <c r="M797" s="1390"/>
      <c r="N797" s="1390"/>
      <c r="O797" s="1390"/>
      <c r="P797" s="1390"/>
      <c r="Q797" s="1390"/>
      <c r="R797" s="1390"/>
      <c r="S797" s="1390"/>
      <c r="T797" s="1390"/>
      <c r="U797" s="1390"/>
      <c r="V797" s="1390"/>
      <c r="W797" s="1390"/>
      <c r="X797" s="1390"/>
      <c r="Y797" s="1390"/>
      <c r="Z797" s="1390"/>
      <c r="AA797" s="1390"/>
      <c r="AB797" s="1390"/>
      <c r="AC797" s="1390"/>
      <c r="AD797" s="1390"/>
      <c r="AE797" s="1390"/>
      <c r="AF797" s="1390"/>
      <c r="AG797" s="1390"/>
      <c r="AH797" s="1390"/>
      <c r="AI797" s="1390"/>
      <c r="AJ797" s="1390"/>
      <c r="AK797" s="1390"/>
    </row>
    <row r="798" spans="3:37" ht="17.25" customHeight="1" x14ac:dyDescent="0.35">
      <c r="C798" s="1390"/>
      <c r="D798" s="1390"/>
      <c r="E798" s="1390"/>
      <c r="F798" s="1390"/>
      <c r="G798" s="1390"/>
      <c r="H798" s="1390"/>
      <c r="I798" s="1390"/>
      <c r="J798" s="1390"/>
      <c r="K798" s="1390"/>
      <c r="L798" s="1390"/>
      <c r="M798" s="1390"/>
      <c r="N798" s="1390"/>
      <c r="O798" s="1390"/>
      <c r="P798" s="1390"/>
      <c r="Q798" s="1390"/>
      <c r="R798" s="1390"/>
      <c r="S798" s="1390"/>
      <c r="T798" s="1390"/>
      <c r="U798" s="1390"/>
      <c r="V798" s="1390"/>
      <c r="W798" s="1390"/>
      <c r="X798" s="1390"/>
      <c r="Y798" s="1390"/>
      <c r="Z798" s="1390"/>
      <c r="AA798" s="1390"/>
      <c r="AB798" s="1390"/>
      <c r="AC798" s="1390"/>
      <c r="AD798" s="1390"/>
      <c r="AE798" s="1390"/>
      <c r="AF798" s="1390"/>
      <c r="AG798" s="1390"/>
      <c r="AH798" s="1390"/>
      <c r="AI798" s="1390"/>
      <c r="AJ798" s="1390"/>
      <c r="AK798" s="1390"/>
    </row>
    <row r="799" spans="3:37" ht="17.25" customHeight="1" x14ac:dyDescent="0.35">
      <c r="C799" s="1390"/>
      <c r="D799" s="1390"/>
      <c r="E799" s="1390"/>
      <c r="F799" s="1390"/>
      <c r="G799" s="1390"/>
      <c r="H799" s="1390"/>
      <c r="I799" s="1390"/>
      <c r="J799" s="1390"/>
      <c r="K799" s="1390"/>
      <c r="L799" s="1390"/>
      <c r="M799" s="1390"/>
      <c r="N799" s="1390"/>
      <c r="O799" s="1390"/>
      <c r="P799" s="1390"/>
      <c r="Q799" s="1390"/>
      <c r="R799" s="1390"/>
      <c r="S799" s="1390"/>
      <c r="T799" s="1390"/>
      <c r="U799" s="1390"/>
      <c r="V799" s="1390"/>
      <c r="W799" s="1390"/>
      <c r="X799" s="1390"/>
      <c r="Y799" s="1390"/>
      <c r="Z799" s="1390"/>
      <c r="AA799" s="1390"/>
      <c r="AB799" s="1390"/>
      <c r="AC799" s="1390"/>
      <c r="AD799" s="1390"/>
      <c r="AE799" s="1390"/>
      <c r="AF799" s="1390"/>
      <c r="AG799" s="1390"/>
      <c r="AH799" s="1390"/>
      <c r="AI799" s="1390"/>
      <c r="AJ799" s="1390"/>
      <c r="AK799" s="1390"/>
    </row>
    <row r="800" spans="3:37" ht="17.25" customHeight="1" x14ac:dyDescent="0.35">
      <c r="C800" s="1390"/>
      <c r="D800" s="1390"/>
      <c r="E800" s="1390"/>
      <c r="F800" s="1390"/>
      <c r="G800" s="1390"/>
      <c r="H800" s="1390"/>
      <c r="I800" s="1390"/>
      <c r="J800" s="1390"/>
      <c r="K800" s="1390"/>
      <c r="L800" s="1390"/>
      <c r="M800" s="1390"/>
      <c r="N800" s="1390"/>
      <c r="O800" s="1390"/>
      <c r="P800" s="1390"/>
      <c r="Q800" s="1390"/>
      <c r="R800" s="1390"/>
      <c r="S800" s="1390"/>
      <c r="T800" s="1390"/>
      <c r="U800" s="1390"/>
      <c r="V800" s="1390"/>
      <c r="W800" s="1390"/>
      <c r="X800" s="1390"/>
      <c r="Y800" s="1390"/>
      <c r="Z800" s="1390"/>
      <c r="AA800" s="1390"/>
      <c r="AB800" s="1390"/>
      <c r="AC800" s="1390"/>
      <c r="AD800" s="1390"/>
      <c r="AE800" s="1390"/>
      <c r="AF800" s="1390"/>
      <c r="AG800" s="1390"/>
      <c r="AH800" s="1390"/>
      <c r="AI800" s="1390"/>
      <c r="AJ800" s="1390"/>
      <c r="AK800" s="1390"/>
    </row>
    <row r="801" spans="3:37" ht="17.25" customHeight="1" x14ac:dyDescent="0.35">
      <c r="C801" s="1390"/>
      <c r="D801" s="1390"/>
      <c r="E801" s="1390"/>
      <c r="F801" s="1390"/>
      <c r="G801" s="1390"/>
      <c r="H801" s="1390"/>
      <c r="I801" s="1390"/>
      <c r="J801" s="1390"/>
      <c r="K801" s="1390"/>
      <c r="L801" s="1390"/>
      <c r="M801" s="1390"/>
      <c r="N801" s="1390"/>
      <c r="O801" s="1390"/>
      <c r="P801" s="1390"/>
      <c r="Q801" s="1390"/>
      <c r="R801" s="1390"/>
      <c r="S801" s="1390"/>
      <c r="T801" s="1390"/>
      <c r="U801" s="1390"/>
      <c r="V801" s="1390"/>
      <c r="W801" s="1390"/>
      <c r="X801" s="1390"/>
      <c r="Y801" s="1390"/>
      <c r="Z801" s="1390"/>
      <c r="AA801" s="1390"/>
      <c r="AB801" s="1390"/>
      <c r="AC801" s="1390"/>
      <c r="AD801" s="1390"/>
      <c r="AE801" s="1390"/>
      <c r="AF801" s="1390"/>
      <c r="AG801" s="1390"/>
      <c r="AH801" s="1390"/>
      <c r="AI801" s="1390"/>
      <c r="AJ801" s="1390"/>
      <c r="AK801" s="1390"/>
    </row>
    <row r="802" spans="3:37" ht="17.25" customHeight="1" x14ac:dyDescent="0.35">
      <c r="C802" s="1390"/>
      <c r="D802" s="1390"/>
      <c r="E802" s="1390"/>
      <c r="F802" s="1390"/>
      <c r="G802" s="1390"/>
      <c r="H802" s="1390"/>
      <c r="I802" s="1390"/>
      <c r="J802" s="1390"/>
      <c r="K802" s="1390"/>
      <c r="L802" s="1390"/>
      <c r="M802" s="1390"/>
      <c r="N802" s="1390"/>
      <c r="O802" s="1390"/>
      <c r="P802" s="1390"/>
      <c r="Q802" s="1390"/>
      <c r="R802" s="1390"/>
      <c r="S802" s="1390"/>
      <c r="T802" s="1390"/>
      <c r="U802" s="1390"/>
      <c r="V802" s="1390"/>
      <c r="W802" s="1390"/>
      <c r="X802" s="1390"/>
      <c r="Y802" s="1390"/>
      <c r="Z802" s="1390"/>
      <c r="AA802" s="1390"/>
      <c r="AB802" s="1390"/>
      <c r="AC802" s="1390"/>
      <c r="AD802" s="1390"/>
      <c r="AE802" s="1390"/>
      <c r="AF802" s="1390"/>
      <c r="AG802" s="1390"/>
      <c r="AH802" s="1390"/>
      <c r="AI802" s="1390"/>
      <c r="AJ802" s="1390"/>
      <c r="AK802" s="1390"/>
    </row>
    <row r="803" spans="3:37" ht="17.25" customHeight="1" x14ac:dyDescent="0.35">
      <c r="C803" s="1390"/>
      <c r="D803" s="1390"/>
      <c r="E803" s="1390"/>
      <c r="F803" s="1390"/>
      <c r="G803" s="1390"/>
      <c r="H803" s="1390"/>
      <c r="I803" s="1390"/>
      <c r="J803" s="1390"/>
      <c r="K803" s="1390"/>
      <c r="L803" s="1390"/>
      <c r="M803" s="1390"/>
      <c r="N803" s="1390"/>
      <c r="O803" s="1390"/>
      <c r="P803" s="1390"/>
      <c r="Q803" s="1390"/>
      <c r="R803" s="1390"/>
      <c r="S803" s="1390"/>
      <c r="T803" s="1390"/>
      <c r="U803" s="1390"/>
      <c r="V803" s="1390"/>
      <c r="W803" s="1390"/>
      <c r="X803" s="1390"/>
      <c r="Y803" s="1390"/>
      <c r="Z803" s="1390"/>
      <c r="AA803" s="1390"/>
      <c r="AB803" s="1390"/>
      <c r="AC803" s="1390"/>
      <c r="AD803" s="1390"/>
      <c r="AE803" s="1390"/>
      <c r="AF803" s="1390"/>
      <c r="AG803" s="1390"/>
      <c r="AH803" s="1390"/>
      <c r="AI803" s="1390"/>
      <c r="AJ803" s="1390"/>
      <c r="AK803" s="1390"/>
    </row>
    <row r="804" spans="3:37" ht="17.25" customHeight="1" x14ac:dyDescent="0.35">
      <c r="C804" s="1390"/>
      <c r="D804" s="1390"/>
      <c r="E804" s="1390"/>
      <c r="F804" s="1390"/>
      <c r="G804" s="1390"/>
      <c r="H804" s="1390"/>
      <c r="I804" s="1390"/>
      <c r="J804" s="1390"/>
      <c r="K804" s="1390"/>
      <c r="L804" s="1390"/>
      <c r="M804" s="1390"/>
      <c r="N804" s="1390"/>
      <c r="O804" s="1390"/>
      <c r="P804" s="1390"/>
      <c r="Q804" s="1390"/>
      <c r="R804" s="1390"/>
      <c r="S804" s="1390"/>
      <c r="T804" s="1390"/>
      <c r="U804" s="1390"/>
      <c r="V804" s="1390"/>
      <c r="W804" s="1390"/>
      <c r="X804" s="1390"/>
      <c r="Y804" s="1390"/>
      <c r="Z804" s="1390"/>
      <c r="AA804" s="1390"/>
      <c r="AB804" s="1390"/>
      <c r="AC804" s="1390"/>
      <c r="AD804" s="1390"/>
      <c r="AE804" s="1390"/>
      <c r="AF804" s="1390"/>
      <c r="AG804" s="1390"/>
      <c r="AH804" s="1390"/>
      <c r="AI804" s="1390"/>
      <c r="AJ804" s="1390"/>
      <c r="AK804" s="1390"/>
    </row>
    <row r="805" spans="3:37" ht="17.25" customHeight="1" x14ac:dyDescent="0.35">
      <c r="C805" s="1390"/>
      <c r="D805" s="1390"/>
      <c r="E805" s="1390"/>
      <c r="F805" s="1390"/>
      <c r="G805" s="1390"/>
      <c r="H805" s="1390"/>
      <c r="I805" s="1390"/>
      <c r="J805" s="1390"/>
      <c r="K805" s="1390"/>
      <c r="L805" s="1390"/>
      <c r="M805" s="1390"/>
      <c r="N805" s="1390"/>
      <c r="O805" s="1390"/>
      <c r="P805" s="1390"/>
      <c r="Q805" s="1390"/>
      <c r="R805" s="1390"/>
      <c r="S805" s="1390"/>
      <c r="T805" s="1390"/>
      <c r="U805" s="1390"/>
      <c r="V805" s="1390"/>
      <c r="W805" s="1390"/>
      <c r="X805" s="1390"/>
      <c r="Y805" s="1390"/>
      <c r="Z805" s="1390"/>
      <c r="AA805" s="1390"/>
      <c r="AB805" s="1390"/>
      <c r="AC805" s="1390"/>
      <c r="AD805" s="1390"/>
      <c r="AE805" s="1390"/>
      <c r="AF805" s="1390"/>
      <c r="AG805" s="1390"/>
      <c r="AH805" s="1390"/>
      <c r="AI805" s="1390"/>
      <c r="AJ805" s="1390"/>
      <c r="AK805" s="1390"/>
    </row>
    <row r="806" spans="3:37" ht="17.25" customHeight="1" x14ac:dyDescent="0.35">
      <c r="C806" s="1390"/>
      <c r="D806" s="1390"/>
      <c r="E806" s="1390"/>
      <c r="F806" s="1390"/>
      <c r="G806" s="1390"/>
      <c r="H806" s="1390"/>
      <c r="I806" s="1390"/>
      <c r="J806" s="1390"/>
      <c r="K806" s="1390"/>
      <c r="L806" s="1390"/>
      <c r="M806" s="1390"/>
      <c r="N806" s="1390"/>
      <c r="O806" s="1390"/>
      <c r="P806" s="1390"/>
      <c r="Q806" s="1390"/>
      <c r="R806" s="1390"/>
      <c r="S806" s="1390"/>
      <c r="T806" s="1390"/>
      <c r="U806" s="1390"/>
      <c r="V806" s="1390"/>
      <c r="W806" s="1390"/>
      <c r="X806" s="1390"/>
      <c r="Y806" s="1390"/>
      <c r="Z806" s="1390"/>
      <c r="AA806" s="1390"/>
      <c r="AB806" s="1390"/>
      <c r="AC806" s="1390"/>
      <c r="AD806" s="1390"/>
      <c r="AE806" s="1390"/>
      <c r="AF806" s="1390"/>
      <c r="AG806" s="1390"/>
      <c r="AH806" s="1390"/>
      <c r="AI806" s="1390"/>
      <c r="AJ806" s="1390"/>
      <c r="AK806" s="1390"/>
    </row>
    <row r="807" spans="3:37" ht="17.25" customHeight="1" x14ac:dyDescent="0.35">
      <c r="C807" s="1390"/>
      <c r="D807" s="1390"/>
      <c r="E807" s="1390"/>
      <c r="F807" s="1390"/>
      <c r="G807" s="1390"/>
      <c r="H807" s="1390"/>
      <c r="I807" s="1390"/>
      <c r="J807" s="1390"/>
      <c r="K807" s="1390"/>
      <c r="L807" s="1390"/>
      <c r="M807" s="1390"/>
      <c r="N807" s="1390"/>
      <c r="O807" s="1390"/>
      <c r="P807" s="1390"/>
      <c r="Q807" s="1390"/>
      <c r="R807" s="1390"/>
      <c r="S807" s="1390"/>
      <c r="T807" s="1390"/>
      <c r="U807" s="1390"/>
      <c r="V807" s="1390"/>
      <c r="W807" s="1390"/>
      <c r="X807" s="1390"/>
      <c r="Y807" s="1390"/>
      <c r="Z807" s="1390"/>
      <c r="AA807" s="1390"/>
      <c r="AB807" s="1390"/>
      <c r="AC807" s="1390"/>
      <c r="AD807" s="1390"/>
      <c r="AE807" s="1390"/>
      <c r="AF807" s="1390"/>
      <c r="AG807" s="1390"/>
      <c r="AH807" s="1390"/>
      <c r="AI807" s="1390"/>
      <c r="AJ807" s="1390"/>
      <c r="AK807" s="1390"/>
    </row>
    <row r="808" spans="3:37" ht="17.25" customHeight="1" x14ac:dyDescent="0.35">
      <c r="C808" s="1390"/>
      <c r="D808" s="1390"/>
      <c r="E808" s="1390"/>
      <c r="F808" s="1390"/>
      <c r="G808" s="1390"/>
      <c r="H808" s="1390"/>
      <c r="I808" s="1390"/>
      <c r="J808" s="1390"/>
      <c r="K808" s="1390"/>
      <c r="L808" s="1390"/>
      <c r="M808" s="1390"/>
      <c r="N808" s="1390"/>
      <c r="O808" s="1390"/>
      <c r="P808" s="1390"/>
      <c r="Q808" s="1390"/>
      <c r="R808" s="1390"/>
      <c r="S808" s="1390"/>
      <c r="T808" s="1390"/>
      <c r="U808" s="1390"/>
      <c r="V808" s="1390"/>
      <c r="W808" s="1390"/>
      <c r="X808" s="1390"/>
      <c r="Y808" s="1390"/>
      <c r="Z808" s="1390"/>
      <c r="AA808" s="1390"/>
      <c r="AB808" s="1390"/>
      <c r="AC808" s="1390"/>
      <c r="AD808" s="1390"/>
      <c r="AE808" s="1390"/>
      <c r="AF808" s="1390"/>
      <c r="AG808" s="1390"/>
      <c r="AH808" s="1390"/>
      <c r="AI808" s="1390"/>
      <c r="AJ808" s="1390"/>
      <c r="AK808" s="1390"/>
    </row>
    <row r="809" spans="3:37" ht="17.25" customHeight="1" x14ac:dyDescent="0.35">
      <c r="C809" s="1390"/>
      <c r="D809" s="1390"/>
      <c r="E809" s="1390"/>
      <c r="F809" s="1390"/>
      <c r="G809" s="1390"/>
      <c r="H809" s="1390"/>
      <c r="I809" s="1390"/>
      <c r="J809" s="1390"/>
      <c r="K809" s="1390"/>
      <c r="L809" s="1390"/>
      <c r="M809" s="1390"/>
      <c r="N809" s="1390"/>
      <c r="O809" s="1390"/>
      <c r="P809" s="1390"/>
      <c r="Q809" s="1390"/>
      <c r="R809" s="1390"/>
      <c r="S809" s="1390"/>
      <c r="T809" s="1390"/>
      <c r="U809" s="1390"/>
      <c r="V809" s="1390"/>
      <c r="W809" s="1390"/>
      <c r="X809" s="1390"/>
      <c r="Y809" s="1390"/>
      <c r="Z809" s="1390"/>
      <c r="AA809" s="1390"/>
      <c r="AB809" s="1390"/>
      <c r="AC809" s="1390"/>
      <c r="AD809" s="1390"/>
      <c r="AE809" s="1390"/>
      <c r="AF809" s="1390"/>
      <c r="AG809" s="1390"/>
      <c r="AH809" s="1390"/>
      <c r="AI809" s="1390"/>
      <c r="AJ809" s="1390"/>
      <c r="AK809" s="1390"/>
    </row>
    <row r="810" spans="3:37" ht="17.25" customHeight="1" x14ac:dyDescent="0.35">
      <c r="C810" s="1390"/>
      <c r="D810" s="1390"/>
      <c r="E810" s="1390"/>
      <c r="F810" s="1390"/>
      <c r="G810" s="1390"/>
      <c r="H810" s="1390"/>
      <c r="I810" s="1390"/>
      <c r="J810" s="1390"/>
      <c r="K810" s="1390"/>
      <c r="L810" s="1390"/>
      <c r="M810" s="1390"/>
      <c r="N810" s="1390"/>
      <c r="O810" s="1390"/>
      <c r="P810" s="1390"/>
      <c r="Q810" s="1390"/>
      <c r="R810" s="1390"/>
      <c r="S810" s="1390"/>
      <c r="T810" s="1390"/>
      <c r="U810" s="1390"/>
      <c r="V810" s="1390"/>
      <c r="W810" s="1390"/>
      <c r="X810" s="1390"/>
      <c r="Y810" s="1390"/>
      <c r="Z810" s="1390"/>
      <c r="AA810" s="1390"/>
      <c r="AB810" s="1390"/>
      <c r="AC810" s="1390"/>
      <c r="AD810" s="1390"/>
      <c r="AE810" s="1390"/>
      <c r="AF810" s="1390"/>
      <c r="AG810" s="1390"/>
      <c r="AH810" s="1390"/>
      <c r="AI810" s="1390"/>
      <c r="AJ810" s="1390"/>
      <c r="AK810" s="1390"/>
    </row>
    <row r="811" spans="3:37" ht="17.25" customHeight="1" x14ac:dyDescent="0.35">
      <c r="C811" s="1390"/>
      <c r="D811" s="1390"/>
      <c r="E811" s="1390"/>
      <c r="F811" s="1390"/>
      <c r="G811" s="1390"/>
      <c r="H811" s="1390"/>
      <c r="I811" s="1390"/>
      <c r="J811" s="1390"/>
      <c r="K811" s="1390"/>
      <c r="L811" s="1390"/>
      <c r="M811" s="1390"/>
      <c r="N811" s="1390"/>
      <c r="O811" s="1390"/>
      <c r="P811" s="1390"/>
      <c r="Q811" s="1390"/>
      <c r="R811" s="1390"/>
      <c r="S811" s="1390"/>
      <c r="T811" s="1390"/>
      <c r="U811" s="1390"/>
      <c r="V811" s="1390"/>
      <c r="W811" s="1390"/>
      <c r="X811" s="1390"/>
      <c r="Y811" s="1390"/>
      <c r="Z811" s="1390"/>
      <c r="AA811" s="1390"/>
      <c r="AB811" s="1390"/>
      <c r="AC811" s="1390"/>
      <c r="AD811" s="1390"/>
      <c r="AE811" s="1390"/>
      <c r="AF811" s="1390"/>
      <c r="AG811" s="1390"/>
      <c r="AH811" s="1390"/>
      <c r="AI811" s="1390"/>
      <c r="AJ811" s="1390"/>
      <c r="AK811" s="1390"/>
    </row>
    <row r="812" spans="3:37" ht="17.25" customHeight="1" x14ac:dyDescent="0.35">
      <c r="C812" s="1390"/>
      <c r="D812" s="1390"/>
      <c r="E812" s="1390"/>
      <c r="F812" s="1390"/>
      <c r="G812" s="1390"/>
      <c r="H812" s="1390"/>
      <c r="I812" s="1390"/>
      <c r="J812" s="1390"/>
      <c r="K812" s="1390"/>
      <c r="L812" s="1390"/>
      <c r="M812" s="1390"/>
      <c r="N812" s="1390"/>
      <c r="O812" s="1390"/>
      <c r="P812" s="1390"/>
      <c r="Q812" s="1390"/>
      <c r="R812" s="1390"/>
      <c r="S812" s="1390"/>
      <c r="T812" s="1390"/>
      <c r="U812" s="1390"/>
      <c r="V812" s="1390"/>
      <c r="W812" s="1390"/>
      <c r="X812" s="1390"/>
      <c r="Y812" s="1390"/>
      <c r="Z812" s="1390"/>
      <c r="AA812" s="1390"/>
      <c r="AB812" s="1390"/>
      <c r="AC812" s="1390"/>
      <c r="AD812" s="1390"/>
      <c r="AE812" s="1390"/>
      <c r="AF812" s="1390"/>
      <c r="AG812" s="1390"/>
      <c r="AH812" s="1390"/>
      <c r="AI812" s="1390"/>
      <c r="AJ812" s="1390"/>
      <c r="AK812" s="1390"/>
    </row>
    <row r="813" spans="3:37" ht="17.25" customHeight="1" x14ac:dyDescent="0.35">
      <c r="C813" s="1390"/>
      <c r="D813" s="1390"/>
      <c r="E813" s="1390"/>
      <c r="F813" s="1390"/>
      <c r="G813" s="1390"/>
      <c r="H813" s="1390"/>
      <c r="I813" s="1390"/>
      <c r="J813" s="1390"/>
      <c r="K813" s="1390"/>
      <c r="L813" s="1390"/>
      <c r="M813" s="1390"/>
      <c r="N813" s="1390"/>
      <c r="O813" s="1390"/>
      <c r="P813" s="1390"/>
      <c r="Q813" s="1390"/>
      <c r="R813" s="1390"/>
      <c r="S813" s="1390"/>
      <c r="T813" s="1390"/>
      <c r="U813" s="1390"/>
      <c r="V813" s="1390"/>
      <c r="W813" s="1390"/>
      <c r="X813" s="1390"/>
      <c r="Y813" s="1390"/>
      <c r="Z813" s="1390"/>
      <c r="AA813" s="1390"/>
      <c r="AB813" s="1390"/>
      <c r="AC813" s="1390"/>
      <c r="AD813" s="1390"/>
      <c r="AE813" s="1390"/>
      <c r="AF813" s="1390"/>
      <c r="AG813" s="1390"/>
      <c r="AH813" s="1390"/>
      <c r="AI813" s="1390"/>
      <c r="AJ813" s="1390"/>
      <c r="AK813" s="1390"/>
    </row>
    <row r="814" spans="3:37" ht="17.25" customHeight="1" x14ac:dyDescent="0.35">
      <c r="C814" s="1390"/>
      <c r="D814" s="1390"/>
      <c r="E814" s="1390"/>
      <c r="F814" s="1390"/>
      <c r="G814" s="1390"/>
      <c r="H814" s="1390"/>
      <c r="I814" s="1390"/>
      <c r="J814" s="1390"/>
      <c r="K814" s="1390"/>
      <c r="L814" s="1390"/>
      <c r="M814" s="1390"/>
      <c r="N814" s="1390"/>
      <c r="O814" s="1390"/>
      <c r="P814" s="1390"/>
      <c r="Q814" s="1390"/>
      <c r="R814" s="1390"/>
      <c r="S814" s="1390"/>
      <c r="T814" s="1390"/>
      <c r="U814" s="1390"/>
      <c r="V814" s="1390"/>
      <c r="W814" s="1390"/>
      <c r="X814" s="1390"/>
      <c r="Y814" s="1390"/>
      <c r="Z814" s="1390"/>
      <c r="AA814" s="1390"/>
      <c r="AB814" s="1390"/>
      <c r="AC814" s="1390"/>
      <c r="AD814" s="1390"/>
      <c r="AE814" s="1390"/>
      <c r="AF814" s="1390"/>
      <c r="AG814" s="1390"/>
      <c r="AH814" s="1390"/>
      <c r="AI814" s="1390"/>
      <c r="AJ814" s="1390"/>
      <c r="AK814" s="1390"/>
    </row>
    <row r="815" spans="3:37" ht="17.25" customHeight="1" x14ac:dyDescent="0.35">
      <c r="C815" s="1390"/>
      <c r="D815" s="1390"/>
      <c r="E815" s="1390"/>
      <c r="F815" s="1390"/>
      <c r="G815" s="1390"/>
      <c r="H815" s="1390"/>
      <c r="I815" s="1390"/>
      <c r="J815" s="1390"/>
      <c r="K815" s="1390"/>
      <c r="L815" s="1390"/>
      <c r="M815" s="1390"/>
      <c r="N815" s="1390"/>
      <c r="O815" s="1390"/>
      <c r="P815" s="1390"/>
      <c r="Q815" s="1390"/>
      <c r="R815" s="1390"/>
      <c r="S815" s="1390"/>
      <c r="T815" s="1390"/>
      <c r="U815" s="1390"/>
      <c r="V815" s="1390"/>
      <c r="W815" s="1390"/>
      <c r="X815" s="1390"/>
      <c r="Y815" s="1390"/>
      <c r="Z815" s="1390"/>
      <c r="AA815" s="1390"/>
      <c r="AB815" s="1390"/>
      <c r="AC815" s="1390"/>
      <c r="AD815" s="1390"/>
      <c r="AE815" s="1390"/>
      <c r="AF815" s="1390"/>
      <c r="AG815" s="1390"/>
      <c r="AH815" s="1390"/>
      <c r="AI815" s="1390"/>
      <c r="AJ815" s="1390"/>
      <c r="AK815" s="1390"/>
    </row>
    <row r="816" spans="3:37" ht="17.25" customHeight="1" x14ac:dyDescent="0.35">
      <c r="C816" s="1390"/>
      <c r="D816" s="1390"/>
      <c r="E816" s="1390"/>
      <c r="F816" s="1390"/>
      <c r="G816" s="1390"/>
      <c r="H816" s="1390"/>
      <c r="I816" s="1390"/>
      <c r="J816" s="1390"/>
      <c r="K816" s="1390"/>
      <c r="L816" s="1390"/>
      <c r="M816" s="1390"/>
      <c r="N816" s="1390"/>
      <c r="O816" s="1390"/>
      <c r="P816" s="1390"/>
      <c r="Q816" s="1390"/>
      <c r="R816" s="1390"/>
      <c r="S816" s="1390"/>
      <c r="T816" s="1390"/>
      <c r="U816" s="1390"/>
      <c r="V816" s="1390"/>
      <c r="W816" s="1390"/>
      <c r="X816" s="1390"/>
      <c r="Y816" s="1390"/>
      <c r="Z816" s="1390"/>
      <c r="AA816" s="1390"/>
      <c r="AB816" s="1390"/>
      <c r="AC816" s="1390"/>
      <c r="AD816" s="1390"/>
      <c r="AE816" s="1390"/>
      <c r="AF816" s="1390"/>
      <c r="AG816" s="1390"/>
      <c r="AH816" s="1390"/>
      <c r="AI816" s="1390"/>
      <c r="AJ816" s="1390"/>
      <c r="AK816" s="1390"/>
    </row>
    <row r="817" spans="3:37" ht="17.25" customHeight="1" x14ac:dyDescent="0.35">
      <c r="C817" s="1390"/>
      <c r="D817" s="1390"/>
      <c r="E817" s="1390"/>
      <c r="F817" s="1390"/>
      <c r="G817" s="1390"/>
      <c r="H817" s="1390"/>
      <c r="I817" s="1390"/>
      <c r="J817" s="1390"/>
      <c r="K817" s="1390"/>
      <c r="L817" s="1390"/>
      <c r="M817" s="1390"/>
      <c r="N817" s="1390"/>
      <c r="O817" s="1390"/>
      <c r="P817" s="1390"/>
      <c r="Q817" s="1390"/>
      <c r="R817" s="1390"/>
      <c r="S817" s="1390"/>
      <c r="T817" s="1390"/>
      <c r="U817" s="1390"/>
      <c r="V817" s="1390"/>
      <c r="W817" s="1390"/>
      <c r="X817" s="1390"/>
      <c r="Y817" s="1390"/>
      <c r="Z817" s="1390"/>
      <c r="AA817" s="1390"/>
      <c r="AB817" s="1390"/>
      <c r="AC817" s="1390"/>
      <c r="AD817" s="1390"/>
      <c r="AE817" s="1390"/>
      <c r="AF817" s="1390"/>
      <c r="AG817" s="1390"/>
      <c r="AH817" s="1390"/>
      <c r="AI817" s="1390"/>
      <c r="AJ817" s="1390"/>
      <c r="AK817" s="1390"/>
    </row>
    <row r="818" spans="3:37" ht="17.25" customHeight="1" x14ac:dyDescent="0.35">
      <c r="C818" s="1390"/>
      <c r="D818" s="1390"/>
      <c r="E818" s="1390"/>
      <c r="F818" s="1390"/>
      <c r="G818" s="1390"/>
      <c r="H818" s="1390"/>
      <c r="I818" s="1390"/>
      <c r="J818" s="1390"/>
      <c r="K818" s="1390"/>
      <c r="L818" s="1390"/>
      <c r="M818" s="1390"/>
      <c r="N818" s="1390"/>
      <c r="O818" s="1390"/>
      <c r="P818" s="1390"/>
      <c r="Q818" s="1390"/>
      <c r="R818" s="1390"/>
      <c r="S818" s="1390"/>
      <c r="T818" s="1390"/>
      <c r="U818" s="1390"/>
      <c r="V818" s="1390"/>
      <c r="W818" s="1390"/>
      <c r="X818" s="1390"/>
      <c r="Y818" s="1390"/>
      <c r="Z818" s="1390"/>
      <c r="AA818" s="1390"/>
      <c r="AB818" s="1390"/>
      <c r="AC818" s="1390"/>
      <c r="AD818" s="1390"/>
      <c r="AE818" s="1390"/>
      <c r="AF818" s="1390"/>
      <c r="AG818" s="1390"/>
      <c r="AH818" s="1390"/>
      <c r="AI818" s="1390"/>
      <c r="AJ818" s="1390"/>
      <c r="AK818" s="1390"/>
    </row>
    <row r="819" spans="3:37" ht="17.25" customHeight="1" x14ac:dyDescent="0.35">
      <c r="C819" s="1390"/>
      <c r="D819" s="1390"/>
      <c r="E819" s="1390"/>
      <c r="F819" s="1390"/>
      <c r="G819" s="1390"/>
      <c r="H819" s="1390"/>
      <c r="I819" s="1390"/>
      <c r="J819" s="1390"/>
      <c r="K819" s="1390"/>
      <c r="L819" s="1390"/>
      <c r="M819" s="1390"/>
      <c r="N819" s="1390"/>
      <c r="O819" s="1390"/>
      <c r="P819" s="1390"/>
      <c r="Q819" s="1390"/>
      <c r="R819" s="1390"/>
      <c r="S819" s="1390"/>
      <c r="T819" s="1390"/>
      <c r="U819" s="1390"/>
      <c r="V819" s="1390"/>
      <c r="W819" s="1390"/>
      <c r="X819" s="1390"/>
      <c r="Y819" s="1390"/>
      <c r="Z819" s="1390"/>
      <c r="AA819" s="1390"/>
      <c r="AB819" s="1390"/>
      <c r="AC819" s="1390"/>
      <c r="AD819" s="1390"/>
      <c r="AE819" s="1390"/>
      <c r="AF819" s="1390"/>
      <c r="AG819" s="1390"/>
      <c r="AH819" s="1390"/>
      <c r="AI819" s="1390"/>
      <c r="AJ819" s="1390"/>
      <c r="AK819" s="1390"/>
    </row>
    <row r="820" spans="3:37" ht="17.25" customHeight="1" x14ac:dyDescent="0.35">
      <c r="C820" s="1390"/>
      <c r="D820" s="1390"/>
      <c r="E820" s="1390"/>
      <c r="F820" s="1390"/>
      <c r="G820" s="1390"/>
      <c r="H820" s="1390"/>
      <c r="I820" s="1390"/>
      <c r="J820" s="1390"/>
      <c r="K820" s="1390"/>
      <c r="L820" s="1390"/>
      <c r="M820" s="1390"/>
      <c r="N820" s="1390"/>
      <c r="O820" s="1390"/>
      <c r="P820" s="1390"/>
      <c r="Q820" s="1390"/>
      <c r="R820" s="1390"/>
      <c r="S820" s="1390"/>
      <c r="T820" s="1390"/>
      <c r="U820" s="1390"/>
      <c r="V820" s="1390"/>
      <c r="W820" s="1390"/>
      <c r="X820" s="1390"/>
      <c r="Y820" s="1390"/>
      <c r="Z820" s="1390"/>
      <c r="AA820" s="1390"/>
      <c r="AB820" s="1390"/>
      <c r="AC820" s="1390"/>
      <c r="AD820" s="1390"/>
      <c r="AE820" s="1390"/>
      <c r="AF820" s="1390"/>
      <c r="AG820" s="1390"/>
      <c r="AH820" s="1390"/>
      <c r="AI820" s="1390"/>
      <c r="AJ820" s="1390"/>
      <c r="AK820" s="1390"/>
    </row>
    <row r="821" spans="3:37" ht="17.25" customHeight="1" x14ac:dyDescent="0.35">
      <c r="C821" s="1390"/>
      <c r="D821" s="1390"/>
      <c r="E821" s="1390"/>
      <c r="F821" s="1390"/>
      <c r="G821" s="1390"/>
      <c r="H821" s="1390"/>
      <c r="I821" s="1390"/>
      <c r="J821" s="1390"/>
      <c r="K821" s="1390"/>
      <c r="L821" s="1390"/>
      <c r="M821" s="1390"/>
      <c r="N821" s="1390"/>
      <c r="O821" s="1390"/>
      <c r="P821" s="1390"/>
      <c r="Q821" s="1390"/>
      <c r="R821" s="1390"/>
      <c r="S821" s="1390"/>
      <c r="T821" s="1390"/>
      <c r="U821" s="1390"/>
      <c r="V821" s="1390"/>
      <c r="W821" s="1390"/>
      <c r="X821" s="1390"/>
      <c r="Y821" s="1390"/>
      <c r="Z821" s="1390"/>
      <c r="AA821" s="1390"/>
      <c r="AB821" s="1390"/>
      <c r="AC821" s="1390"/>
      <c r="AD821" s="1390"/>
      <c r="AE821" s="1390"/>
      <c r="AF821" s="1390"/>
      <c r="AG821" s="1390"/>
      <c r="AH821" s="1390"/>
      <c r="AI821" s="1390"/>
      <c r="AJ821" s="1390"/>
      <c r="AK821" s="1390"/>
    </row>
    <row r="822" spans="3:37" ht="17.25" customHeight="1" x14ac:dyDescent="0.35">
      <c r="C822" s="1390"/>
      <c r="D822" s="1390"/>
      <c r="E822" s="1390"/>
      <c r="F822" s="1390"/>
      <c r="G822" s="1390"/>
      <c r="H822" s="1390"/>
      <c r="I822" s="1390"/>
      <c r="J822" s="1390"/>
      <c r="K822" s="1390"/>
      <c r="L822" s="1390"/>
      <c r="M822" s="1390"/>
      <c r="N822" s="1390"/>
      <c r="O822" s="1390"/>
      <c r="P822" s="1390"/>
      <c r="Q822" s="1390"/>
      <c r="R822" s="1390"/>
      <c r="S822" s="1390"/>
      <c r="T822" s="1390"/>
      <c r="U822" s="1390"/>
      <c r="V822" s="1390"/>
      <c r="W822" s="1390"/>
      <c r="X822" s="1390"/>
      <c r="Y822" s="1390"/>
      <c r="Z822" s="1390"/>
      <c r="AA822" s="1390"/>
      <c r="AB822" s="1390"/>
      <c r="AC822" s="1390"/>
      <c r="AD822" s="1390"/>
      <c r="AE822" s="1390"/>
      <c r="AF822" s="1390"/>
      <c r="AG822" s="1390"/>
      <c r="AH822" s="1390"/>
      <c r="AI822" s="1390"/>
      <c r="AJ822" s="1390"/>
      <c r="AK822" s="1390"/>
    </row>
    <row r="823" spans="3:37" ht="17.25" customHeight="1" x14ac:dyDescent="0.35">
      <c r="C823" s="1390"/>
      <c r="D823" s="1390"/>
      <c r="E823" s="1390"/>
      <c r="F823" s="1390"/>
      <c r="G823" s="1390"/>
      <c r="H823" s="1390"/>
      <c r="I823" s="1390"/>
      <c r="J823" s="1390"/>
      <c r="K823" s="1390"/>
      <c r="L823" s="1390"/>
      <c r="M823" s="1390"/>
      <c r="N823" s="1390"/>
      <c r="O823" s="1390"/>
      <c r="P823" s="1390"/>
      <c r="Q823" s="1390"/>
      <c r="R823" s="1390"/>
      <c r="S823" s="1390"/>
      <c r="T823" s="1390"/>
      <c r="U823" s="1390"/>
      <c r="V823" s="1390"/>
      <c r="W823" s="1390"/>
      <c r="X823" s="1390"/>
      <c r="Y823" s="1390"/>
      <c r="Z823" s="1390"/>
      <c r="AA823" s="1390"/>
      <c r="AB823" s="1390"/>
      <c r="AC823" s="1390"/>
      <c r="AD823" s="1390"/>
      <c r="AE823" s="1390"/>
      <c r="AF823" s="1390"/>
      <c r="AG823" s="1390"/>
      <c r="AH823" s="1390"/>
      <c r="AI823" s="1390"/>
      <c r="AJ823" s="1390"/>
      <c r="AK823" s="1390"/>
    </row>
    <row r="824" spans="3:37" ht="17.25" customHeight="1" x14ac:dyDescent="0.35">
      <c r="C824" s="1390"/>
      <c r="D824" s="1390"/>
      <c r="E824" s="1390"/>
      <c r="F824" s="1390"/>
      <c r="G824" s="1390"/>
      <c r="H824" s="1390"/>
      <c r="I824" s="1390"/>
      <c r="J824" s="1390"/>
      <c r="K824" s="1390"/>
      <c r="L824" s="1390"/>
      <c r="M824" s="1390"/>
      <c r="N824" s="1390"/>
      <c r="O824" s="1390"/>
      <c r="P824" s="1390"/>
      <c r="Q824" s="1390"/>
      <c r="R824" s="1390"/>
      <c r="S824" s="1390"/>
      <c r="T824" s="1390"/>
      <c r="U824" s="1390"/>
      <c r="V824" s="1390"/>
      <c r="W824" s="1390"/>
      <c r="X824" s="1390"/>
      <c r="Y824" s="1390"/>
      <c r="Z824" s="1390"/>
      <c r="AA824" s="1390"/>
      <c r="AB824" s="1390"/>
      <c r="AC824" s="1390"/>
      <c r="AD824" s="1390"/>
      <c r="AE824" s="1390"/>
      <c r="AF824" s="1390"/>
      <c r="AG824" s="1390"/>
      <c r="AH824" s="1390"/>
      <c r="AI824" s="1390"/>
      <c r="AJ824" s="1390"/>
      <c r="AK824" s="1390"/>
    </row>
    <row r="825" spans="3:37" ht="17.25" customHeight="1" x14ac:dyDescent="0.35">
      <c r="C825" s="1390"/>
      <c r="D825" s="1390"/>
      <c r="E825" s="1390"/>
      <c r="F825" s="1390"/>
      <c r="G825" s="1390"/>
      <c r="H825" s="1390"/>
      <c r="I825" s="1390"/>
      <c r="J825" s="1390"/>
      <c r="K825" s="1390"/>
      <c r="L825" s="1390"/>
      <c r="M825" s="1390"/>
      <c r="N825" s="1390"/>
      <c r="O825" s="1390"/>
      <c r="P825" s="1390"/>
      <c r="Q825" s="1390"/>
      <c r="R825" s="1390"/>
      <c r="S825" s="1390"/>
      <c r="T825" s="1390"/>
      <c r="U825" s="1390"/>
      <c r="V825" s="1390"/>
      <c r="W825" s="1390"/>
      <c r="X825" s="1390"/>
      <c r="Y825" s="1390"/>
      <c r="Z825" s="1390"/>
      <c r="AA825" s="1390"/>
      <c r="AB825" s="1390"/>
      <c r="AC825" s="1390"/>
      <c r="AD825" s="1390"/>
      <c r="AE825" s="1390"/>
      <c r="AF825" s="1390"/>
      <c r="AG825" s="1390"/>
      <c r="AH825" s="1390"/>
      <c r="AI825" s="1390"/>
      <c r="AJ825" s="1390"/>
      <c r="AK825" s="1390"/>
    </row>
    <row r="826" spans="3:37" ht="17.25" customHeight="1" x14ac:dyDescent="0.35">
      <c r="C826" s="1390"/>
      <c r="D826" s="1390"/>
      <c r="E826" s="1390"/>
      <c r="F826" s="1390"/>
      <c r="G826" s="1390"/>
      <c r="H826" s="1390"/>
      <c r="I826" s="1390"/>
      <c r="J826" s="1390"/>
      <c r="K826" s="1390"/>
      <c r="L826" s="1390"/>
      <c r="M826" s="1390"/>
      <c r="N826" s="1390"/>
      <c r="O826" s="1390"/>
      <c r="P826" s="1390"/>
      <c r="Q826" s="1390"/>
      <c r="R826" s="1390"/>
      <c r="S826" s="1390"/>
      <c r="T826" s="1390"/>
      <c r="U826" s="1390"/>
      <c r="V826" s="1390"/>
      <c r="W826" s="1390"/>
      <c r="X826" s="1390"/>
      <c r="Y826" s="1390"/>
      <c r="Z826" s="1390"/>
      <c r="AA826" s="1390"/>
      <c r="AB826" s="1390"/>
      <c r="AC826" s="1390"/>
      <c r="AD826" s="1390"/>
      <c r="AE826" s="1390"/>
      <c r="AF826" s="1390"/>
      <c r="AG826" s="1390"/>
      <c r="AH826" s="1390"/>
      <c r="AI826" s="1390"/>
      <c r="AJ826" s="1390"/>
      <c r="AK826" s="1390"/>
    </row>
    <row r="827" spans="3:37" ht="17.25" customHeight="1" x14ac:dyDescent="0.35">
      <c r="C827" s="1390"/>
      <c r="D827" s="1390"/>
      <c r="E827" s="1390"/>
      <c r="F827" s="1390"/>
      <c r="G827" s="1390"/>
      <c r="H827" s="1390"/>
      <c r="I827" s="1390"/>
      <c r="J827" s="1390"/>
      <c r="K827" s="1390"/>
      <c r="L827" s="1390"/>
      <c r="M827" s="1390"/>
      <c r="N827" s="1390"/>
      <c r="O827" s="1390"/>
      <c r="P827" s="1390"/>
      <c r="Q827" s="1390"/>
      <c r="R827" s="1390"/>
      <c r="S827" s="1390"/>
      <c r="T827" s="1390"/>
      <c r="U827" s="1390"/>
      <c r="V827" s="1390"/>
      <c r="W827" s="1390"/>
      <c r="X827" s="1390"/>
      <c r="Y827" s="1390"/>
      <c r="Z827" s="1390"/>
      <c r="AA827" s="1390"/>
      <c r="AB827" s="1390"/>
      <c r="AC827" s="1390"/>
      <c r="AD827" s="1390"/>
      <c r="AE827" s="1390"/>
      <c r="AF827" s="1390"/>
      <c r="AG827" s="1390"/>
      <c r="AH827" s="1390"/>
      <c r="AI827" s="1390"/>
      <c r="AJ827" s="1390"/>
      <c r="AK827" s="1390"/>
    </row>
    <row r="828" spans="3:37" ht="17.25" customHeight="1" x14ac:dyDescent="0.35">
      <c r="C828" s="1390"/>
      <c r="D828" s="1390"/>
      <c r="E828" s="1390"/>
      <c r="F828" s="1390"/>
      <c r="G828" s="1390"/>
      <c r="H828" s="1390"/>
      <c r="I828" s="1390"/>
      <c r="J828" s="1390"/>
      <c r="K828" s="1390"/>
      <c r="L828" s="1390"/>
      <c r="M828" s="1390"/>
      <c r="N828" s="1390"/>
      <c r="O828" s="1390"/>
      <c r="P828" s="1390"/>
      <c r="Q828" s="1390"/>
      <c r="R828" s="1390"/>
      <c r="S828" s="1390"/>
      <c r="T828" s="1390"/>
      <c r="U828" s="1390"/>
      <c r="V828" s="1390"/>
      <c r="W828" s="1390"/>
      <c r="X828" s="1390"/>
      <c r="Y828" s="1390"/>
      <c r="Z828" s="1390"/>
      <c r="AA828" s="1390"/>
      <c r="AB828" s="1390"/>
      <c r="AC828" s="1390"/>
      <c r="AD828" s="1390"/>
      <c r="AE828" s="1390"/>
      <c r="AF828" s="1390"/>
      <c r="AG828" s="1390"/>
      <c r="AH828" s="1390"/>
      <c r="AI828" s="1390"/>
      <c r="AJ828" s="1390"/>
      <c r="AK828" s="1390"/>
    </row>
    <row r="829" spans="3:37" ht="17.25" customHeight="1" x14ac:dyDescent="0.35">
      <c r="C829" s="1390"/>
      <c r="D829" s="1390"/>
      <c r="E829" s="1390"/>
      <c r="F829" s="1390"/>
      <c r="G829" s="1390"/>
      <c r="H829" s="1390"/>
      <c r="I829" s="1390"/>
      <c r="J829" s="1390"/>
      <c r="K829" s="1390"/>
      <c r="L829" s="1390"/>
      <c r="M829" s="1390"/>
      <c r="N829" s="1390"/>
      <c r="O829" s="1390"/>
      <c r="P829" s="1390"/>
      <c r="Q829" s="1390"/>
      <c r="R829" s="1390"/>
      <c r="S829" s="1390"/>
      <c r="T829" s="1390"/>
      <c r="U829" s="1390"/>
      <c r="V829" s="1390"/>
      <c r="W829" s="1390"/>
      <c r="X829" s="1390"/>
      <c r="Y829" s="1390"/>
      <c r="Z829" s="1390"/>
      <c r="AA829" s="1390"/>
      <c r="AB829" s="1390"/>
      <c r="AC829" s="1390"/>
      <c r="AD829" s="1390"/>
      <c r="AE829" s="1390"/>
      <c r="AF829" s="1390"/>
      <c r="AG829" s="1390"/>
      <c r="AH829" s="1390"/>
      <c r="AI829" s="1390"/>
      <c r="AJ829" s="1390"/>
      <c r="AK829" s="1390"/>
    </row>
    <row r="830" spans="3:37" ht="17.25" customHeight="1" x14ac:dyDescent="0.35">
      <c r="C830" s="1390"/>
      <c r="D830" s="1390"/>
      <c r="E830" s="1390"/>
      <c r="F830" s="1390"/>
      <c r="G830" s="1390"/>
      <c r="H830" s="1390"/>
      <c r="I830" s="1390"/>
      <c r="J830" s="1390"/>
      <c r="K830" s="1390"/>
      <c r="L830" s="1390"/>
      <c r="M830" s="1390"/>
      <c r="N830" s="1390"/>
      <c r="O830" s="1390"/>
      <c r="P830" s="1390"/>
      <c r="Q830" s="1390"/>
      <c r="R830" s="1390"/>
      <c r="S830" s="1390"/>
      <c r="T830" s="1390"/>
      <c r="U830" s="1390"/>
      <c r="V830" s="1390"/>
      <c r="W830" s="1390"/>
      <c r="X830" s="1390"/>
      <c r="Y830" s="1390"/>
      <c r="Z830" s="1390"/>
      <c r="AA830" s="1390"/>
      <c r="AB830" s="1390"/>
      <c r="AC830" s="1390"/>
      <c r="AD830" s="1390"/>
      <c r="AE830" s="1390"/>
      <c r="AF830" s="1390"/>
      <c r="AG830" s="1390"/>
      <c r="AH830" s="1390"/>
      <c r="AI830" s="1390"/>
      <c r="AJ830" s="1390"/>
      <c r="AK830" s="1390"/>
    </row>
    <row r="831" spans="3:37" ht="17.25" customHeight="1" x14ac:dyDescent="0.35">
      <c r="C831" s="1390"/>
      <c r="D831" s="1390"/>
      <c r="E831" s="1390"/>
      <c r="F831" s="1390"/>
      <c r="G831" s="1390"/>
      <c r="H831" s="1390"/>
      <c r="I831" s="1390"/>
      <c r="J831" s="1390"/>
      <c r="K831" s="1390"/>
      <c r="L831" s="1390"/>
      <c r="M831" s="1390"/>
      <c r="N831" s="1390"/>
      <c r="O831" s="1390"/>
      <c r="P831" s="1390"/>
      <c r="Q831" s="1390"/>
      <c r="R831" s="1390"/>
      <c r="S831" s="1390"/>
      <c r="T831" s="1390"/>
      <c r="U831" s="1390"/>
      <c r="V831" s="1390"/>
      <c r="W831" s="1390"/>
      <c r="X831" s="1390"/>
      <c r="Y831" s="1390"/>
      <c r="Z831" s="1390"/>
      <c r="AA831" s="1390"/>
      <c r="AB831" s="1390"/>
      <c r="AC831" s="1390"/>
      <c r="AD831" s="1390"/>
      <c r="AE831" s="1390"/>
      <c r="AF831" s="1390"/>
      <c r="AG831" s="1390"/>
      <c r="AH831" s="1390"/>
      <c r="AI831" s="1390"/>
      <c r="AJ831" s="1390"/>
      <c r="AK831" s="1390"/>
    </row>
    <row r="832" spans="3:37" ht="17.25" customHeight="1" x14ac:dyDescent="0.35">
      <c r="C832" s="1390"/>
      <c r="D832" s="1390"/>
      <c r="E832" s="1390"/>
      <c r="F832" s="1390"/>
      <c r="G832" s="1390"/>
      <c r="H832" s="1390"/>
      <c r="I832" s="1390"/>
      <c r="J832" s="1390"/>
      <c r="K832" s="1390"/>
      <c r="L832" s="1390"/>
      <c r="M832" s="1390"/>
      <c r="N832" s="1390"/>
      <c r="O832" s="1390"/>
      <c r="P832" s="1390"/>
      <c r="Q832" s="1390"/>
      <c r="R832" s="1390"/>
      <c r="S832" s="1390"/>
      <c r="T832" s="1390"/>
      <c r="U832" s="1390"/>
      <c r="V832" s="1390"/>
      <c r="W832" s="1390"/>
      <c r="X832" s="1390"/>
      <c r="Y832" s="1390"/>
      <c r="Z832" s="1390"/>
      <c r="AA832" s="1390"/>
      <c r="AB832" s="1390"/>
      <c r="AC832" s="1390"/>
      <c r="AD832" s="1390"/>
      <c r="AE832" s="1390"/>
      <c r="AF832" s="1390"/>
      <c r="AG832" s="1390"/>
      <c r="AH832" s="1390"/>
      <c r="AI832" s="1390"/>
      <c r="AJ832" s="1390"/>
      <c r="AK832" s="1390"/>
    </row>
    <row r="833" spans="3:37" ht="17.25" customHeight="1" x14ac:dyDescent="0.35">
      <c r="C833" s="1390"/>
      <c r="D833" s="1390"/>
      <c r="E833" s="1390"/>
      <c r="F833" s="1390"/>
      <c r="G833" s="1390"/>
      <c r="H833" s="1390"/>
      <c r="I833" s="1390"/>
      <c r="J833" s="1390"/>
      <c r="K833" s="1390"/>
      <c r="L833" s="1390"/>
      <c r="M833" s="1390"/>
      <c r="N833" s="1390"/>
      <c r="O833" s="1390"/>
      <c r="P833" s="1390"/>
      <c r="Q833" s="1390"/>
      <c r="R833" s="1390"/>
      <c r="S833" s="1390"/>
      <c r="T833" s="1390"/>
      <c r="U833" s="1390"/>
      <c r="V833" s="1390"/>
      <c r="W833" s="1390"/>
      <c r="X833" s="1390"/>
      <c r="Y833" s="1390"/>
      <c r="Z833" s="1390"/>
      <c r="AA833" s="1390"/>
      <c r="AB833" s="1390"/>
      <c r="AC833" s="1390"/>
      <c r="AD833" s="1390"/>
      <c r="AE833" s="1390"/>
      <c r="AF833" s="1390"/>
      <c r="AG833" s="1390"/>
      <c r="AH833" s="1390"/>
      <c r="AI833" s="1390"/>
      <c r="AJ833" s="1390"/>
      <c r="AK833" s="1390"/>
    </row>
    <row r="834" spans="3:37" ht="17.25" customHeight="1" x14ac:dyDescent="0.35">
      <c r="C834" s="1390"/>
      <c r="D834" s="1390"/>
      <c r="E834" s="1390"/>
      <c r="F834" s="1390"/>
      <c r="G834" s="1390"/>
      <c r="H834" s="1390"/>
      <c r="I834" s="1390"/>
      <c r="J834" s="1390"/>
      <c r="K834" s="1390"/>
      <c r="L834" s="1390"/>
      <c r="M834" s="1390"/>
      <c r="N834" s="1390"/>
      <c r="O834" s="1390"/>
      <c r="P834" s="1390"/>
      <c r="Q834" s="1390"/>
      <c r="R834" s="1390"/>
      <c r="S834" s="1390"/>
      <c r="T834" s="1390"/>
      <c r="U834" s="1390"/>
      <c r="V834" s="1390"/>
      <c r="W834" s="1390"/>
      <c r="X834" s="1390"/>
      <c r="Y834" s="1390"/>
      <c r="Z834" s="1390"/>
      <c r="AA834" s="1390"/>
      <c r="AB834" s="1390"/>
      <c r="AC834" s="1390"/>
      <c r="AD834" s="1390"/>
      <c r="AE834" s="1390"/>
      <c r="AF834" s="1390"/>
      <c r="AG834" s="1390"/>
      <c r="AH834" s="1390"/>
      <c r="AI834" s="1390"/>
      <c r="AJ834" s="1390"/>
      <c r="AK834" s="1390"/>
    </row>
    <row r="835" spans="3:37" ht="17.25" customHeight="1" x14ac:dyDescent="0.35">
      <c r="C835" s="1390"/>
      <c r="D835" s="1390"/>
      <c r="E835" s="1390"/>
      <c r="F835" s="1390"/>
      <c r="G835" s="1390"/>
      <c r="H835" s="1390"/>
      <c r="I835" s="1390"/>
      <c r="J835" s="1390"/>
      <c r="K835" s="1390"/>
      <c r="L835" s="1390"/>
      <c r="M835" s="1390"/>
      <c r="N835" s="1390"/>
      <c r="O835" s="1390"/>
      <c r="P835" s="1390"/>
      <c r="Q835" s="1390"/>
      <c r="R835" s="1390"/>
      <c r="S835" s="1390"/>
      <c r="T835" s="1390"/>
      <c r="U835" s="1390"/>
      <c r="V835" s="1390"/>
      <c r="W835" s="1390"/>
      <c r="X835" s="1390"/>
      <c r="Y835" s="1390"/>
      <c r="Z835" s="1390"/>
      <c r="AA835" s="1390"/>
      <c r="AB835" s="1390"/>
      <c r="AC835" s="1390"/>
      <c r="AD835" s="1390"/>
      <c r="AE835" s="1390"/>
      <c r="AF835" s="1390"/>
      <c r="AG835" s="1390"/>
      <c r="AH835" s="1390"/>
      <c r="AI835" s="1390"/>
      <c r="AJ835" s="1390"/>
      <c r="AK835" s="1390"/>
    </row>
    <row r="836" spans="3:37" ht="17.25" customHeight="1" x14ac:dyDescent="0.35">
      <c r="C836" s="1390"/>
      <c r="D836" s="1390"/>
      <c r="E836" s="1390"/>
      <c r="F836" s="1390"/>
      <c r="G836" s="1390"/>
      <c r="H836" s="1390"/>
      <c r="I836" s="1390"/>
      <c r="J836" s="1390"/>
      <c r="K836" s="1390"/>
      <c r="L836" s="1390"/>
      <c r="M836" s="1390"/>
      <c r="N836" s="1390"/>
      <c r="O836" s="1390"/>
      <c r="P836" s="1390"/>
      <c r="Q836" s="1390"/>
      <c r="R836" s="1390"/>
      <c r="S836" s="1390"/>
      <c r="T836" s="1390"/>
      <c r="U836" s="1390"/>
      <c r="V836" s="1390"/>
      <c r="W836" s="1390"/>
      <c r="X836" s="1390"/>
      <c r="Y836" s="1390"/>
      <c r="Z836" s="1390"/>
      <c r="AA836" s="1390"/>
      <c r="AB836" s="1390"/>
      <c r="AC836" s="1390"/>
      <c r="AD836" s="1390"/>
      <c r="AE836" s="1390"/>
      <c r="AF836" s="1390"/>
      <c r="AG836" s="1390"/>
      <c r="AH836" s="1390"/>
      <c r="AI836" s="1390"/>
      <c r="AJ836" s="1390"/>
      <c r="AK836" s="1390"/>
    </row>
    <row r="837" spans="3:37" ht="17.25" customHeight="1" x14ac:dyDescent="0.35">
      <c r="C837" s="1390"/>
      <c r="D837" s="1390"/>
      <c r="E837" s="1390"/>
      <c r="F837" s="1390"/>
      <c r="G837" s="1390"/>
      <c r="H837" s="1390"/>
      <c r="I837" s="1390"/>
      <c r="J837" s="1390"/>
      <c r="K837" s="1390"/>
      <c r="L837" s="1390"/>
      <c r="M837" s="1390"/>
      <c r="N837" s="1390"/>
      <c r="O837" s="1390"/>
      <c r="P837" s="1390"/>
      <c r="Q837" s="1390"/>
      <c r="R837" s="1390"/>
      <c r="S837" s="1390"/>
      <c r="T837" s="1390"/>
      <c r="U837" s="1390"/>
      <c r="V837" s="1390"/>
      <c r="W837" s="1390"/>
      <c r="X837" s="1390"/>
      <c r="Y837" s="1390"/>
      <c r="Z837" s="1390"/>
      <c r="AA837" s="1390"/>
      <c r="AB837" s="1390"/>
      <c r="AC837" s="1390"/>
      <c r="AD837" s="1390"/>
      <c r="AE837" s="1390"/>
      <c r="AF837" s="1390"/>
      <c r="AG837" s="1390"/>
      <c r="AH837" s="1390"/>
      <c r="AI837" s="1390"/>
      <c r="AJ837" s="1390"/>
      <c r="AK837" s="1390"/>
    </row>
    <row r="838" spans="3:37" ht="17.25" customHeight="1" x14ac:dyDescent="0.35">
      <c r="C838" s="1390"/>
      <c r="D838" s="1390"/>
      <c r="E838" s="1390"/>
      <c r="F838" s="1390"/>
      <c r="G838" s="1390"/>
      <c r="H838" s="1390"/>
      <c r="I838" s="1390"/>
      <c r="J838" s="1390"/>
      <c r="K838" s="1390"/>
      <c r="L838" s="1390"/>
      <c r="M838" s="1390"/>
      <c r="N838" s="1390"/>
      <c r="O838" s="1390"/>
      <c r="P838" s="1390"/>
      <c r="Q838" s="1390"/>
      <c r="R838" s="1390"/>
      <c r="S838" s="1390"/>
      <c r="T838" s="1390"/>
      <c r="U838" s="1390"/>
      <c r="V838" s="1390"/>
      <c r="W838" s="1390"/>
      <c r="X838" s="1390"/>
      <c r="Y838" s="1390"/>
      <c r="Z838" s="1390"/>
      <c r="AA838" s="1390"/>
      <c r="AB838" s="1390"/>
      <c r="AC838" s="1390"/>
      <c r="AD838" s="1390"/>
      <c r="AE838" s="1390"/>
      <c r="AF838" s="1390"/>
      <c r="AG838" s="1390"/>
      <c r="AH838" s="1390"/>
      <c r="AI838" s="1390"/>
      <c r="AJ838" s="1390"/>
      <c r="AK838" s="1390"/>
    </row>
    <row r="839" spans="3:37" ht="17.25" customHeight="1" x14ac:dyDescent="0.35">
      <c r="C839" s="1390"/>
      <c r="D839" s="1390"/>
      <c r="E839" s="1390"/>
      <c r="F839" s="1390"/>
      <c r="G839" s="1390"/>
      <c r="H839" s="1390"/>
      <c r="I839" s="1390"/>
      <c r="J839" s="1390"/>
      <c r="K839" s="1390"/>
      <c r="L839" s="1390"/>
      <c r="M839" s="1390"/>
      <c r="N839" s="1390"/>
      <c r="O839" s="1390"/>
      <c r="P839" s="1390"/>
      <c r="Q839" s="1390"/>
      <c r="R839" s="1390"/>
      <c r="S839" s="1390"/>
      <c r="T839" s="1390"/>
      <c r="U839" s="1390"/>
      <c r="V839" s="1390"/>
      <c r="W839" s="1390"/>
      <c r="X839" s="1390"/>
      <c r="Y839" s="1390"/>
      <c r="Z839" s="1390"/>
      <c r="AA839" s="1390"/>
      <c r="AB839" s="1390"/>
      <c r="AC839" s="1390"/>
      <c r="AD839" s="1390"/>
      <c r="AE839" s="1390"/>
      <c r="AF839" s="1390"/>
      <c r="AG839" s="1390"/>
      <c r="AH839" s="1390"/>
      <c r="AI839" s="1390"/>
      <c r="AJ839" s="1390"/>
      <c r="AK839" s="1390"/>
    </row>
    <row r="840" spans="3:37" ht="17.25" customHeight="1" x14ac:dyDescent="0.35">
      <c r="C840" s="1390"/>
      <c r="D840" s="1390"/>
      <c r="E840" s="1390"/>
      <c r="F840" s="1390"/>
      <c r="G840" s="1390"/>
      <c r="H840" s="1390"/>
      <c r="I840" s="1390"/>
      <c r="J840" s="1390"/>
      <c r="K840" s="1390"/>
      <c r="L840" s="1390"/>
      <c r="M840" s="1390"/>
      <c r="N840" s="1390"/>
      <c r="O840" s="1390"/>
      <c r="P840" s="1390"/>
      <c r="Q840" s="1390"/>
      <c r="R840" s="1390"/>
      <c r="S840" s="1390"/>
      <c r="T840" s="1390"/>
      <c r="U840" s="1390"/>
      <c r="V840" s="1390"/>
      <c r="W840" s="1390"/>
      <c r="X840" s="1390"/>
      <c r="Y840" s="1390"/>
      <c r="Z840" s="1390"/>
      <c r="AA840" s="1390"/>
      <c r="AB840" s="1390"/>
      <c r="AC840" s="1390"/>
      <c r="AD840" s="1390"/>
      <c r="AE840" s="1390"/>
      <c r="AF840" s="1390"/>
      <c r="AG840" s="1390"/>
      <c r="AH840" s="1390"/>
      <c r="AI840" s="1390"/>
      <c r="AJ840" s="1390"/>
      <c r="AK840" s="1390"/>
    </row>
    <row r="841" spans="3:37" ht="17.25" customHeight="1" x14ac:dyDescent="0.35">
      <c r="C841" s="1390"/>
      <c r="D841" s="1390"/>
      <c r="E841" s="1390"/>
      <c r="F841" s="1390"/>
      <c r="G841" s="1390"/>
      <c r="H841" s="1390"/>
      <c r="I841" s="1390"/>
      <c r="J841" s="1390"/>
      <c r="K841" s="1390"/>
      <c r="L841" s="1390"/>
      <c r="M841" s="1390"/>
      <c r="N841" s="1390"/>
      <c r="O841" s="1390"/>
      <c r="P841" s="1390"/>
      <c r="Q841" s="1390"/>
      <c r="R841" s="1390"/>
      <c r="S841" s="1390"/>
      <c r="T841" s="1390"/>
      <c r="U841" s="1390"/>
      <c r="V841" s="1390"/>
      <c r="W841" s="1390"/>
      <c r="X841" s="1390"/>
      <c r="Y841" s="1390"/>
      <c r="Z841" s="1390"/>
      <c r="AA841" s="1390"/>
      <c r="AB841" s="1390"/>
      <c r="AC841" s="1390"/>
      <c r="AD841" s="1390"/>
      <c r="AE841" s="1390"/>
      <c r="AF841" s="1390"/>
      <c r="AG841" s="1390"/>
      <c r="AH841" s="1390"/>
      <c r="AI841" s="1390"/>
      <c r="AJ841" s="1390"/>
      <c r="AK841" s="1390"/>
    </row>
    <row r="842" spans="3:37" ht="17.25" customHeight="1" x14ac:dyDescent="0.35">
      <c r="C842" s="1390"/>
      <c r="D842" s="1390"/>
      <c r="E842" s="1390"/>
      <c r="F842" s="1390"/>
      <c r="G842" s="1390"/>
      <c r="H842" s="1390"/>
      <c r="I842" s="1390"/>
      <c r="J842" s="1390"/>
      <c r="K842" s="1390"/>
      <c r="L842" s="1390"/>
      <c r="M842" s="1390"/>
      <c r="N842" s="1390"/>
      <c r="O842" s="1390"/>
      <c r="P842" s="1390"/>
      <c r="Q842" s="1390"/>
      <c r="R842" s="1390"/>
      <c r="S842" s="1390"/>
      <c r="T842" s="1390"/>
      <c r="U842" s="1390"/>
      <c r="V842" s="1390"/>
      <c r="W842" s="1390"/>
      <c r="X842" s="1390"/>
      <c r="Y842" s="1390"/>
      <c r="Z842" s="1390"/>
      <c r="AA842" s="1390"/>
      <c r="AB842" s="1390"/>
      <c r="AC842" s="1390"/>
      <c r="AD842" s="1390"/>
      <c r="AE842" s="1390"/>
      <c r="AF842" s="1390"/>
      <c r="AG842" s="1390"/>
      <c r="AH842" s="1390"/>
      <c r="AI842" s="1390"/>
      <c r="AJ842" s="1390"/>
      <c r="AK842" s="1390"/>
    </row>
    <row r="843" spans="3:37" ht="17.25" customHeight="1" x14ac:dyDescent="0.35">
      <c r="C843" s="1390"/>
      <c r="D843" s="1390"/>
      <c r="E843" s="1390"/>
      <c r="F843" s="1390"/>
      <c r="G843" s="1390"/>
      <c r="H843" s="1390"/>
      <c r="I843" s="1390"/>
      <c r="J843" s="1390"/>
      <c r="K843" s="1390"/>
      <c r="L843" s="1390"/>
      <c r="M843" s="1390"/>
      <c r="N843" s="1390"/>
      <c r="O843" s="1390"/>
      <c r="P843" s="1390"/>
      <c r="Q843" s="1390"/>
      <c r="R843" s="1390"/>
      <c r="S843" s="1390"/>
      <c r="T843" s="1390"/>
      <c r="U843" s="1390"/>
      <c r="V843" s="1390"/>
      <c r="W843" s="1390"/>
      <c r="X843" s="1390"/>
      <c r="Y843" s="1390"/>
      <c r="Z843" s="1390"/>
      <c r="AA843" s="1390"/>
      <c r="AB843" s="1390"/>
      <c r="AC843" s="1390"/>
      <c r="AD843" s="1390"/>
      <c r="AE843" s="1390"/>
      <c r="AF843" s="1390"/>
      <c r="AG843" s="1390"/>
      <c r="AH843" s="1390"/>
      <c r="AI843" s="1390"/>
      <c r="AJ843" s="1390"/>
      <c r="AK843" s="1390"/>
    </row>
    <row r="844" spans="3:37" ht="17.25" customHeight="1" x14ac:dyDescent="0.35">
      <c r="C844" s="1390"/>
      <c r="D844" s="1390"/>
      <c r="E844" s="1390"/>
      <c r="F844" s="1390"/>
      <c r="G844" s="1390"/>
      <c r="H844" s="1390"/>
      <c r="I844" s="1390"/>
      <c r="J844" s="1390"/>
      <c r="K844" s="1390"/>
      <c r="L844" s="1390"/>
      <c r="M844" s="1390"/>
      <c r="N844" s="1390"/>
      <c r="O844" s="1390"/>
      <c r="P844" s="1390"/>
      <c r="Q844" s="1390"/>
      <c r="R844" s="1390"/>
      <c r="S844" s="1390"/>
      <c r="T844" s="1390"/>
      <c r="U844" s="1390"/>
      <c r="V844" s="1390"/>
      <c r="W844" s="1390"/>
      <c r="X844" s="1390"/>
      <c r="Y844" s="1390"/>
      <c r="Z844" s="1390"/>
      <c r="AA844" s="1390"/>
      <c r="AB844" s="1390"/>
      <c r="AC844" s="1390"/>
      <c r="AD844" s="1390"/>
      <c r="AE844" s="1390"/>
      <c r="AF844" s="1390"/>
      <c r="AG844" s="1390"/>
      <c r="AH844" s="1390"/>
      <c r="AI844" s="1390"/>
      <c r="AJ844" s="1390"/>
      <c r="AK844" s="1390"/>
    </row>
    <row r="845" spans="3:37" ht="17.25" customHeight="1" x14ac:dyDescent="0.35">
      <c r="C845" s="1390"/>
      <c r="D845" s="1390"/>
      <c r="E845" s="1390"/>
      <c r="F845" s="1390"/>
      <c r="G845" s="1390"/>
      <c r="H845" s="1390"/>
      <c r="I845" s="1390"/>
      <c r="J845" s="1390"/>
      <c r="K845" s="1390"/>
      <c r="L845" s="1390"/>
      <c r="M845" s="1390"/>
      <c r="N845" s="1390"/>
      <c r="O845" s="1390"/>
      <c r="P845" s="1390"/>
      <c r="Q845" s="1390"/>
      <c r="R845" s="1390"/>
      <c r="S845" s="1390"/>
      <c r="T845" s="1390"/>
      <c r="U845" s="1390"/>
      <c r="V845" s="1390"/>
      <c r="W845" s="1390"/>
      <c r="X845" s="1390"/>
      <c r="Y845" s="1390"/>
      <c r="Z845" s="1390"/>
      <c r="AA845" s="1390"/>
      <c r="AB845" s="1390"/>
      <c r="AC845" s="1390"/>
      <c r="AD845" s="1390"/>
      <c r="AE845" s="1390"/>
      <c r="AF845" s="1390"/>
      <c r="AG845" s="1390"/>
      <c r="AH845" s="1390"/>
      <c r="AI845" s="1390"/>
      <c r="AJ845" s="1390"/>
      <c r="AK845" s="1390"/>
    </row>
    <row r="846" spans="3:37" ht="17.25" customHeight="1" x14ac:dyDescent="0.35">
      <c r="C846" s="1390"/>
      <c r="D846" s="1390"/>
      <c r="E846" s="1390"/>
      <c r="F846" s="1390"/>
      <c r="G846" s="1390"/>
      <c r="H846" s="1390"/>
      <c r="I846" s="1390"/>
      <c r="J846" s="1390"/>
      <c r="K846" s="1390"/>
      <c r="L846" s="1390"/>
      <c r="M846" s="1390"/>
      <c r="N846" s="1390"/>
      <c r="O846" s="1390"/>
      <c r="P846" s="1390"/>
      <c r="Q846" s="1390"/>
      <c r="R846" s="1390"/>
      <c r="S846" s="1390"/>
      <c r="T846" s="1390"/>
      <c r="U846" s="1390"/>
      <c r="V846" s="1390"/>
      <c r="W846" s="1390"/>
      <c r="X846" s="1390"/>
      <c r="Y846" s="1390"/>
      <c r="Z846" s="1390"/>
      <c r="AA846" s="1390"/>
      <c r="AB846" s="1390"/>
      <c r="AC846" s="1390"/>
      <c r="AD846" s="1390"/>
      <c r="AE846" s="1390"/>
      <c r="AF846" s="1390"/>
      <c r="AG846" s="1390"/>
      <c r="AH846" s="1390"/>
      <c r="AI846" s="1390"/>
      <c r="AJ846" s="1390"/>
      <c r="AK846" s="1390"/>
    </row>
    <row r="847" spans="3:37" ht="17.25" customHeight="1" x14ac:dyDescent="0.35">
      <c r="C847" s="1390"/>
      <c r="D847" s="1390"/>
      <c r="E847" s="1390"/>
      <c r="F847" s="1390"/>
      <c r="G847" s="1390"/>
      <c r="H847" s="1390"/>
      <c r="I847" s="1390"/>
      <c r="J847" s="1390"/>
      <c r="K847" s="1390"/>
      <c r="L847" s="1390"/>
      <c r="M847" s="1390"/>
      <c r="N847" s="1390"/>
      <c r="O847" s="1390"/>
      <c r="P847" s="1390"/>
      <c r="Q847" s="1390"/>
      <c r="R847" s="1390"/>
      <c r="S847" s="1390"/>
      <c r="T847" s="1390"/>
      <c r="U847" s="1390"/>
      <c r="V847" s="1390"/>
      <c r="W847" s="1390"/>
      <c r="X847" s="1390"/>
      <c r="Y847" s="1390"/>
      <c r="Z847" s="1390"/>
      <c r="AA847" s="1390"/>
      <c r="AB847" s="1390"/>
      <c r="AC847" s="1390"/>
      <c r="AD847" s="1390"/>
      <c r="AE847" s="1390"/>
      <c r="AF847" s="1390"/>
      <c r="AG847" s="1390"/>
      <c r="AH847" s="1390"/>
      <c r="AI847" s="1390"/>
      <c r="AJ847" s="1390"/>
      <c r="AK847" s="1390"/>
    </row>
    <row r="848" spans="3:37" ht="17.25" customHeight="1" x14ac:dyDescent="0.35">
      <c r="C848" s="1390"/>
      <c r="D848" s="1390"/>
      <c r="E848" s="1390"/>
      <c r="F848" s="1390"/>
      <c r="G848" s="1390"/>
      <c r="H848" s="1390"/>
      <c r="I848" s="1390"/>
      <c r="J848" s="1390"/>
      <c r="K848" s="1390"/>
      <c r="L848" s="1390"/>
      <c r="M848" s="1390"/>
      <c r="N848" s="1390"/>
      <c r="O848" s="1390"/>
      <c r="P848" s="1390"/>
      <c r="Q848" s="1390"/>
      <c r="R848" s="1390"/>
      <c r="S848" s="1390"/>
      <c r="T848" s="1390"/>
      <c r="U848" s="1390"/>
      <c r="V848" s="1390"/>
      <c r="W848" s="1390"/>
      <c r="X848" s="1390"/>
      <c r="Y848" s="1390"/>
      <c r="Z848" s="1390"/>
      <c r="AA848" s="1390"/>
      <c r="AB848" s="1390"/>
      <c r="AC848" s="1390"/>
      <c r="AD848" s="1390"/>
      <c r="AE848" s="1390"/>
      <c r="AF848" s="1390"/>
      <c r="AG848" s="1390"/>
      <c r="AH848" s="1390"/>
      <c r="AI848" s="1390"/>
      <c r="AJ848" s="1390"/>
      <c r="AK848" s="1390"/>
    </row>
    <row r="849" spans="3:37" ht="17.25" customHeight="1" x14ac:dyDescent="0.35">
      <c r="C849" s="1390"/>
      <c r="D849" s="1390"/>
      <c r="E849" s="1390"/>
      <c r="F849" s="1390"/>
      <c r="G849" s="1390"/>
      <c r="H849" s="1390"/>
      <c r="I849" s="1390"/>
      <c r="J849" s="1390"/>
      <c r="K849" s="1390"/>
      <c r="L849" s="1390"/>
      <c r="M849" s="1390"/>
      <c r="N849" s="1390"/>
      <c r="O849" s="1390"/>
      <c r="P849" s="1390"/>
      <c r="Q849" s="1390"/>
      <c r="R849" s="1390"/>
      <c r="S849" s="1390"/>
      <c r="T849" s="1390"/>
      <c r="U849" s="1390"/>
      <c r="V849" s="1390"/>
      <c r="W849" s="1390"/>
      <c r="X849" s="1390"/>
      <c r="Y849" s="1390"/>
      <c r="Z849" s="1390"/>
      <c r="AA849" s="1390"/>
      <c r="AB849" s="1390"/>
      <c r="AC849" s="1390"/>
      <c r="AD849" s="1390"/>
      <c r="AE849" s="1390"/>
      <c r="AF849" s="1390"/>
      <c r="AG849" s="1390"/>
      <c r="AH849" s="1390"/>
      <c r="AI849" s="1390"/>
      <c r="AJ849" s="1390"/>
      <c r="AK849" s="1390"/>
    </row>
    <row r="850" spans="3:37" ht="17.25" customHeight="1" x14ac:dyDescent="0.35">
      <c r="C850" s="1390"/>
      <c r="D850" s="1390"/>
      <c r="E850" s="1390"/>
      <c r="F850" s="1390"/>
      <c r="G850" s="1390"/>
      <c r="H850" s="1390"/>
      <c r="I850" s="1390"/>
      <c r="J850" s="1390"/>
      <c r="K850" s="1390"/>
      <c r="L850" s="1390"/>
      <c r="M850" s="1390"/>
      <c r="N850" s="1390"/>
      <c r="O850" s="1390"/>
      <c r="P850" s="1390"/>
      <c r="Q850" s="1390"/>
      <c r="R850" s="1390"/>
      <c r="S850" s="1390"/>
      <c r="T850" s="1390"/>
      <c r="U850" s="1390"/>
      <c r="V850" s="1390"/>
      <c r="W850" s="1390"/>
      <c r="X850" s="1390"/>
      <c r="Y850" s="1390"/>
      <c r="Z850" s="1390"/>
      <c r="AA850" s="1390"/>
      <c r="AB850" s="1390"/>
      <c r="AC850" s="1390"/>
      <c r="AD850" s="1390"/>
      <c r="AE850" s="1390"/>
      <c r="AF850" s="1390"/>
      <c r="AG850" s="1390"/>
      <c r="AH850" s="1390"/>
      <c r="AI850" s="1390"/>
      <c r="AJ850" s="1390"/>
      <c r="AK850" s="1390"/>
    </row>
    <row r="851" spans="3:37" ht="17.25" customHeight="1" x14ac:dyDescent="0.35">
      <c r="C851" s="1390"/>
      <c r="D851" s="1390"/>
      <c r="E851" s="1390"/>
      <c r="F851" s="1390"/>
      <c r="G851" s="1390"/>
      <c r="H851" s="1390"/>
      <c r="I851" s="1390"/>
      <c r="J851" s="1390"/>
      <c r="K851" s="1390"/>
      <c r="L851" s="1390"/>
      <c r="M851" s="1390"/>
      <c r="N851" s="1390"/>
      <c r="O851" s="1390"/>
      <c r="P851" s="1390"/>
      <c r="Q851" s="1390"/>
      <c r="R851" s="1390"/>
      <c r="S851" s="1390"/>
      <c r="T851" s="1390"/>
      <c r="U851" s="1390"/>
      <c r="V851" s="1390"/>
      <c r="W851" s="1390"/>
      <c r="X851" s="1390"/>
      <c r="Y851" s="1390"/>
      <c r="Z851" s="1390"/>
      <c r="AA851" s="1390"/>
      <c r="AB851" s="1390"/>
      <c r="AC851" s="1390"/>
      <c r="AD851" s="1390"/>
      <c r="AE851" s="1390"/>
      <c r="AF851" s="1390"/>
      <c r="AG851" s="1390"/>
      <c r="AH851" s="1390"/>
      <c r="AI851" s="1390"/>
      <c r="AJ851" s="1390"/>
      <c r="AK851" s="1390"/>
    </row>
    <row r="852" spans="3:37" ht="17.25" customHeight="1" x14ac:dyDescent="0.35">
      <c r="C852" s="1390"/>
      <c r="D852" s="1390"/>
      <c r="E852" s="1390"/>
      <c r="F852" s="1390"/>
      <c r="G852" s="1390"/>
      <c r="H852" s="1390"/>
      <c r="I852" s="1390"/>
      <c r="J852" s="1390"/>
      <c r="K852" s="1390"/>
      <c r="L852" s="1390"/>
      <c r="M852" s="1390"/>
      <c r="N852" s="1390"/>
      <c r="O852" s="1390"/>
      <c r="P852" s="1390"/>
      <c r="Q852" s="1390"/>
      <c r="R852" s="1390"/>
      <c r="S852" s="1390"/>
      <c r="T852" s="1390"/>
      <c r="U852" s="1390"/>
      <c r="V852" s="1390"/>
      <c r="W852" s="1390"/>
      <c r="X852" s="1390"/>
      <c r="Y852" s="1390"/>
      <c r="Z852" s="1390"/>
      <c r="AA852" s="1390"/>
      <c r="AB852" s="1390"/>
      <c r="AC852" s="1390"/>
      <c r="AD852" s="1390"/>
      <c r="AE852" s="1390"/>
      <c r="AF852" s="1390"/>
      <c r="AG852" s="1390"/>
      <c r="AH852" s="1390"/>
      <c r="AI852" s="1390"/>
      <c r="AJ852" s="1390"/>
      <c r="AK852" s="1390"/>
    </row>
    <row r="853" spans="3:37" ht="17.25" customHeight="1" x14ac:dyDescent="0.35">
      <c r="C853" s="1390"/>
      <c r="D853" s="1390"/>
      <c r="E853" s="1390"/>
      <c r="F853" s="1390"/>
      <c r="G853" s="1390"/>
      <c r="H853" s="1390"/>
      <c r="I853" s="1390"/>
      <c r="J853" s="1390"/>
      <c r="K853" s="1390"/>
      <c r="L853" s="1390"/>
      <c r="M853" s="1390"/>
      <c r="N853" s="1390"/>
      <c r="O853" s="1390"/>
      <c r="P853" s="1390"/>
      <c r="Q853" s="1390"/>
      <c r="R853" s="1390"/>
      <c r="S853" s="1390"/>
      <c r="T853" s="1390"/>
      <c r="U853" s="1390"/>
      <c r="V853" s="1390"/>
      <c r="W853" s="1390"/>
      <c r="X853" s="1390"/>
      <c r="Y853" s="1390"/>
      <c r="Z853" s="1390"/>
      <c r="AA853" s="1390"/>
      <c r="AB853" s="1390"/>
      <c r="AC853" s="1390"/>
      <c r="AD853" s="1390"/>
      <c r="AE853" s="1390"/>
      <c r="AF853" s="1390"/>
      <c r="AG853" s="1390"/>
      <c r="AH853" s="1390"/>
      <c r="AI853" s="1390"/>
      <c r="AJ853" s="1390"/>
      <c r="AK853" s="1390"/>
    </row>
    <row r="854" spans="3:37" ht="17.25" customHeight="1" x14ac:dyDescent="0.35">
      <c r="C854" s="1390"/>
      <c r="D854" s="1390"/>
      <c r="E854" s="1390"/>
      <c r="F854" s="1390"/>
      <c r="G854" s="1390"/>
      <c r="H854" s="1390"/>
      <c r="I854" s="1390"/>
      <c r="J854" s="1390"/>
      <c r="K854" s="1390"/>
      <c r="L854" s="1390"/>
      <c r="M854" s="1390"/>
      <c r="N854" s="1390"/>
      <c r="O854" s="1390"/>
      <c r="P854" s="1390"/>
      <c r="Q854" s="1390"/>
      <c r="R854" s="1390"/>
      <c r="S854" s="1390"/>
      <c r="T854" s="1390"/>
      <c r="U854" s="1390"/>
      <c r="V854" s="1390"/>
      <c r="W854" s="1390"/>
      <c r="X854" s="1390"/>
      <c r="Y854" s="1390"/>
      <c r="Z854" s="1390"/>
      <c r="AA854" s="1390"/>
      <c r="AB854" s="1390"/>
      <c r="AC854" s="1390"/>
      <c r="AD854" s="1390"/>
      <c r="AE854" s="1390"/>
      <c r="AF854" s="1390"/>
      <c r="AG854" s="1390"/>
      <c r="AH854" s="1390"/>
      <c r="AI854" s="1390"/>
      <c r="AJ854" s="1390"/>
      <c r="AK854" s="1390"/>
    </row>
    <row r="855" spans="3:37" ht="17.25" customHeight="1" x14ac:dyDescent="0.35">
      <c r="C855" s="1390"/>
      <c r="D855" s="1390"/>
      <c r="E855" s="1390"/>
      <c r="F855" s="1390"/>
      <c r="G855" s="1390"/>
      <c r="H855" s="1390"/>
      <c r="I855" s="1390"/>
      <c r="J855" s="1390"/>
      <c r="K855" s="1390"/>
      <c r="L855" s="1390"/>
      <c r="M855" s="1390"/>
      <c r="N855" s="1390"/>
      <c r="O855" s="1390"/>
      <c r="P855" s="1390"/>
      <c r="Q855" s="1390"/>
      <c r="R855" s="1390"/>
      <c r="S855" s="1390"/>
      <c r="T855" s="1390"/>
      <c r="U855" s="1390"/>
      <c r="V855" s="1390"/>
      <c r="W855" s="1390"/>
      <c r="X855" s="1390"/>
      <c r="Y855" s="1390"/>
      <c r="Z855" s="1390"/>
      <c r="AA855" s="1390"/>
      <c r="AB855" s="1390"/>
      <c r="AC855" s="1390"/>
      <c r="AD855" s="1390"/>
      <c r="AE855" s="1390"/>
      <c r="AF855" s="1390"/>
      <c r="AG855" s="1390"/>
      <c r="AH855" s="1390"/>
      <c r="AI855" s="1390"/>
      <c r="AJ855" s="1390"/>
      <c r="AK855" s="1390"/>
    </row>
    <row r="856" spans="3:37" ht="17.25" customHeight="1" x14ac:dyDescent="0.35">
      <c r="C856" s="1390"/>
      <c r="D856" s="1390"/>
      <c r="E856" s="1390"/>
      <c r="F856" s="1390"/>
      <c r="G856" s="1390"/>
      <c r="H856" s="1390"/>
      <c r="I856" s="1390"/>
      <c r="J856" s="1390"/>
      <c r="K856" s="1390"/>
      <c r="L856" s="1390"/>
      <c r="M856" s="1390"/>
      <c r="N856" s="1390"/>
      <c r="O856" s="1390"/>
      <c r="P856" s="1390"/>
      <c r="Q856" s="1390"/>
      <c r="R856" s="1390"/>
      <c r="S856" s="1390"/>
      <c r="T856" s="1390"/>
      <c r="U856" s="1390"/>
      <c r="V856" s="1390"/>
      <c r="W856" s="1390"/>
      <c r="X856" s="1390"/>
      <c r="Y856" s="1390"/>
      <c r="Z856" s="1390"/>
      <c r="AA856" s="1390"/>
      <c r="AB856" s="1390"/>
      <c r="AC856" s="1390"/>
      <c r="AD856" s="1390"/>
      <c r="AE856" s="1390"/>
      <c r="AF856" s="1390"/>
      <c r="AG856" s="1390"/>
      <c r="AH856" s="1390"/>
      <c r="AI856" s="1390"/>
      <c r="AJ856" s="1390"/>
      <c r="AK856" s="1390"/>
    </row>
    <row r="857" spans="3:37" ht="17.25" customHeight="1" x14ac:dyDescent="0.35">
      <c r="C857" s="1390"/>
      <c r="D857" s="1390"/>
      <c r="E857" s="1390"/>
      <c r="F857" s="1390"/>
      <c r="G857" s="1390"/>
      <c r="H857" s="1390"/>
      <c r="I857" s="1390"/>
      <c r="J857" s="1390"/>
      <c r="K857" s="1390"/>
      <c r="L857" s="1390"/>
      <c r="M857" s="1390"/>
      <c r="N857" s="1390"/>
      <c r="O857" s="1390"/>
      <c r="P857" s="1390"/>
      <c r="Q857" s="1390"/>
      <c r="R857" s="1390"/>
      <c r="S857" s="1390"/>
      <c r="T857" s="1390"/>
      <c r="U857" s="1390"/>
      <c r="V857" s="1390"/>
      <c r="W857" s="1390"/>
      <c r="X857" s="1390"/>
      <c r="Y857" s="1390"/>
      <c r="Z857" s="1390"/>
      <c r="AA857" s="1390"/>
      <c r="AB857" s="1390"/>
      <c r="AC857" s="1390"/>
      <c r="AD857" s="1390"/>
      <c r="AE857" s="1390"/>
      <c r="AF857" s="1390"/>
      <c r="AG857" s="1390"/>
      <c r="AH857" s="1390"/>
      <c r="AI857" s="1390"/>
      <c r="AJ857" s="1390"/>
      <c r="AK857" s="1390"/>
    </row>
    <row r="858" spans="3:37" ht="17.25" customHeight="1" x14ac:dyDescent="0.35">
      <c r="C858" s="1390"/>
      <c r="D858" s="1390"/>
      <c r="E858" s="1390"/>
      <c r="F858" s="1390"/>
      <c r="G858" s="1390"/>
      <c r="H858" s="1390"/>
      <c r="I858" s="1390"/>
      <c r="J858" s="1390"/>
      <c r="K858" s="1390"/>
      <c r="L858" s="1390"/>
      <c r="M858" s="1390"/>
      <c r="N858" s="1390"/>
      <c r="O858" s="1390"/>
      <c r="P858" s="1390"/>
      <c r="Q858" s="1390"/>
      <c r="R858" s="1390"/>
      <c r="S858" s="1390"/>
      <c r="T858" s="1390"/>
      <c r="U858" s="1390"/>
      <c r="V858" s="1390"/>
      <c r="W858" s="1390"/>
      <c r="X858" s="1390"/>
      <c r="Y858" s="1390"/>
      <c r="Z858" s="1390"/>
      <c r="AA858" s="1390"/>
      <c r="AB858" s="1390"/>
      <c r="AC858" s="1390"/>
      <c r="AD858" s="1390"/>
      <c r="AE858" s="1390"/>
      <c r="AF858" s="1390"/>
      <c r="AG858" s="1390"/>
      <c r="AH858" s="1390"/>
      <c r="AI858" s="1390"/>
      <c r="AJ858" s="1390"/>
      <c r="AK858" s="1390"/>
    </row>
    <row r="859" spans="3:37" ht="17.25" customHeight="1" x14ac:dyDescent="0.35">
      <c r="C859" s="1390"/>
      <c r="D859" s="1390"/>
      <c r="E859" s="1390"/>
      <c r="F859" s="1390"/>
      <c r="G859" s="1390"/>
      <c r="H859" s="1390"/>
      <c r="I859" s="1390"/>
      <c r="J859" s="1390"/>
      <c r="K859" s="1390"/>
      <c r="L859" s="1390"/>
      <c r="M859" s="1390"/>
      <c r="N859" s="1390"/>
      <c r="O859" s="1390"/>
      <c r="P859" s="1390"/>
      <c r="Q859" s="1390"/>
      <c r="R859" s="1390"/>
      <c r="S859" s="1390"/>
      <c r="T859" s="1390"/>
      <c r="U859" s="1390"/>
      <c r="V859" s="1390"/>
      <c r="W859" s="1390"/>
      <c r="X859" s="1390"/>
      <c r="Y859" s="1390"/>
      <c r="Z859" s="1390"/>
      <c r="AA859" s="1390"/>
      <c r="AB859" s="1390"/>
      <c r="AC859" s="1390"/>
      <c r="AD859" s="1390"/>
      <c r="AE859" s="1390"/>
      <c r="AF859" s="1390"/>
      <c r="AG859" s="1390"/>
      <c r="AH859" s="1390"/>
      <c r="AI859" s="1390"/>
      <c r="AJ859" s="1390"/>
      <c r="AK859" s="1390"/>
    </row>
    <row r="860" spans="3:37" ht="17.25" customHeight="1" x14ac:dyDescent="0.35">
      <c r="C860" s="1390"/>
      <c r="D860" s="1390"/>
      <c r="E860" s="1390"/>
      <c r="F860" s="1390"/>
      <c r="G860" s="1390"/>
      <c r="H860" s="1390"/>
      <c r="I860" s="1390"/>
      <c r="J860" s="1390"/>
      <c r="K860" s="1390"/>
      <c r="L860" s="1390"/>
      <c r="M860" s="1390"/>
      <c r="N860" s="1390"/>
      <c r="O860" s="1390"/>
      <c r="P860" s="1390"/>
      <c r="Q860" s="1390"/>
      <c r="R860" s="1390"/>
      <c r="S860" s="1390"/>
      <c r="T860" s="1390"/>
      <c r="U860" s="1390"/>
      <c r="V860" s="1390"/>
      <c r="W860" s="1390"/>
      <c r="X860" s="1390"/>
      <c r="Y860" s="1390"/>
      <c r="Z860" s="1390"/>
      <c r="AA860" s="1390"/>
      <c r="AB860" s="1390"/>
      <c r="AC860" s="1390"/>
      <c r="AD860" s="1390"/>
      <c r="AE860" s="1390"/>
      <c r="AF860" s="1390"/>
      <c r="AG860" s="1390"/>
      <c r="AH860" s="1390"/>
      <c r="AI860" s="1390"/>
      <c r="AJ860" s="1390"/>
      <c r="AK860" s="1390"/>
    </row>
    <row r="861" spans="3:37" ht="17.25" customHeight="1" x14ac:dyDescent="0.35">
      <c r="C861" s="1390"/>
      <c r="D861" s="1390"/>
      <c r="E861" s="1390"/>
      <c r="F861" s="1390"/>
      <c r="G861" s="1390"/>
      <c r="H861" s="1390"/>
      <c r="I861" s="1390"/>
      <c r="J861" s="1390"/>
      <c r="K861" s="1390"/>
      <c r="L861" s="1390"/>
      <c r="M861" s="1390"/>
      <c r="N861" s="1390"/>
      <c r="O861" s="1390"/>
      <c r="P861" s="1390"/>
      <c r="Q861" s="1390"/>
      <c r="R861" s="1390"/>
      <c r="S861" s="1390"/>
      <c r="T861" s="1390"/>
      <c r="U861" s="1390"/>
      <c r="V861" s="1390"/>
      <c r="W861" s="1390"/>
      <c r="X861" s="1390"/>
      <c r="Y861" s="1390"/>
      <c r="Z861" s="1390"/>
      <c r="AA861" s="1390"/>
      <c r="AB861" s="1390"/>
      <c r="AC861" s="1390"/>
      <c r="AD861" s="1390"/>
      <c r="AE861" s="1390"/>
      <c r="AF861" s="1390"/>
      <c r="AG861" s="1390"/>
      <c r="AH861" s="1390"/>
      <c r="AI861" s="1390"/>
      <c r="AJ861" s="1390"/>
      <c r="AK861" s="1390"/>
    </row>
    <row r="862" spans="3:37" ht="17.25" customHeight="1" x14ac:dyDescent="0.35">
      <c r="C862" s="1390"/>
      <c r="D862" s="1390"/>
      <c r="E862" s="1390"/>
      <c r="F862" s="1390"/>
      <c r="G862" s="1390"/>
      <c r="H862" s="1390"/>
      <c r="I862" s="1390"/>
      <c r="J862" s="1390"/>
      <c r="K862" s="1390"/>
      <c r="L862" s="1390"/>
      <c r="M862" s="1390"/>
      <c r="N862" s="1390"/>
      <c r="O862" s="1390"/>
      <c r="P862" s="1390"/>
      <c r="Q862" s="1390"/>
      <c r="R862" s="1390"/>
      <c r="S862" s="1390"/>
      <c r="T862" s="1390"/>
      <c r="U862" s="1390"/>
      <c r="V862" s="1390"/>
      <c r="W862" s="1390"/>
      <c r="X862" s="1390"/>
      <c r="Y862" s="1390"/>
      <c r="Z862" s="1390"/>
      <c r="AA862" s="1390"/>
      <c r="AB862" s="1390"/>
      <c r="AC862" s="1390"/>
      <c r="AD862" s="1390"/>
      <c r="AE862" s="1390"/>
      <c r="AF862" s="1390"/>
      <c r="AG862" s="1390"/>
      <c r="AH862" s="1390"/>
      <c r="AI862" s="1390"/>
      <c r="AJ862" s="1390"/>
      <c r="AK862" s="1390"/>
    </row>
    <row r="863" spans="3:37" ht="17.25" customHeight="1" x14ac:dyDescent="0.35">
      <c r="C863" s="1390"/>
      <c r="D863" s="1390"/>
      <c r="E863" s="1390"/>
      <c r="F863" s="1390"/>
      <c r="G863" s="1390"/>
      <c r="H863" s="1390"/>
      <c r="I863" s="1390"/>
      <c r="J863" s="1390"/>
      <c r="K863" s="1390"/>
      <c r="L863" s="1390"/>
      <c r="M863" s="1390"/>
      <c r="N863" s="1390"/>
      <c r="O863" s="1390"/>
      <c r="P863" s="1390"/>
      <c r="Q863" s="1390"/>
      <c r="R863" s="1390"/>
      <c r="S863" s="1390"/>
      <c r="T863" s="1390"/>
      <c r="U863" s="1390"/>
      <c r="V863" s="1390"/>
      <c r="W863" s="1390"/>
      <c r="X863" s="1390"/>
      <c r="Y863" s="1390"/>
      <c r="Z863" s="1390"/>
      <c r="AA863" s="1390"/>
      <c r="AB863" s="1390"/>
      <c r="AC863" s="1390"/>
      <c r="AD863" s="1390"/>
      <c r="AE863" s="1390"/>
      <c r="AF863" s="1390"/>
      <c r="AG863" s="1390"/>
      <c r="AH863" s="1390"/>
      <c r="AI863" s="1390"/>
      <c r="AJ863" s="1390"/>
      <c r="AK863" s="1390"/>
    </row>
    <row r="864" spans="3:37" ht="17.25" customHeight="1" x14ac:dyDescent="0.35">
      <c r="C864" s="1390"/>
      <c r="D864" s="1390"/>
      <c r="E864" s="1390"/>
      <c r="F864" s="1390"/>
      <c r="G864" s="1390"/>
      <c r="H864" s="1390"/>
      <c r="I864" s="1390"/>
      <c r="J864" s="1390"/>
      <c r="K864" s="1390"/>
      <c r="L864" s="1390"/>
      <c r="M864" s="1390"/>
      <c r="N864" s="1390"/>
      <c r="O864" s="1390"/>
      <c r="P864" s="1390"/>
      <c r="Q864" s="1390"/>
      <c r="R864" s="1390"/>
      <c r="S864" s="1390"/>
      <c r="T864" s="1390"/>
      <c r="U864" s="1390"/>
      <c r="V864" s="1390"/>
      <c r="W864" s="1390"/>
      <c r="X864" s="1390"/>
      <c r="Y864" s="1390"/>
      <c r="Z864" s="1390"/>
      <c r="AA864" s="1390"/>
      <c r="AB864" s="1390"/>
      <c r="AC864" s="1390"/>
      <c r="AD864" s="1390"/>
      <c r="AE864" s="1390"/>
      <c r="AF864" s="1390"/>
      <c r="AG864" s="1390"/>
      <c r="AH864" s="1390"/>
      <c r="AI864" s="1390"/>
      <c r="AJ864" s="1390"/>
      <c r="AK864" s="1390"/>
    </row>
    <row r="865" spans="3:37" ht="17.25" customHeight="1" x14ac:dyDescent="0.35">
      <c r="C865" s="1390"/>
      <c r="D865" s="1390"/>
      <c r="E865" s="1390"/>
      <c r="F865" s="1390"/>
      <c r="G865" s="1390"/>
      <c r="H865" s="1390"/>
      <c r="I865" s="1390"/>
      <c r="J865" s="1390"/>
      <c r="K865" s="1390"/>
      <c r="L865" s="1390"/>
      <c r="M865" s="1390"/>
      <c r="N865" s="1390"/>
      <c r="O865" s="1390"/>
      <c r="P865" s="1390"/>
      <c r="Q865" s="1390"/>
      <c r="R865" s="1390"/>
      <c r="S865" s="1390"/>
      <c r="T865" s="1390"/>
      <c r="U865" s="1390"/>
      <c r="V865" s="1390"/>
      <c r="W865" s="1390"/>
      <c r="X865" s="1390"/>
      <c r="Y865" s="1390"/>
      <c r="Z865" s="1390"/>
      <c r="AA865" s="1390"/>
      <c r="AB865" s="1390"/>
      <c r="AC865" s="1390"/>
      <c r="AD865" s="1390"/>
      <c r="AE865" s="1390"/>
      <c r="AF865" s="1390"/>
      <c r="AG865" s="1390"/>
      <c r="AH865" s="1390"/>
      <c r="AI865" s="1390"/>
      <c r="AJ865" s="1390"/>
      <c r="AK865" s="1390"/>
    </row>
    <row r="866" spans="3:37" ht="17.25" customHeight="1" x14ac:dyDescent="0.35">
      <c r="C866" s="1390"/>
      <c r="D866" s="1390"/>
      <c r="E866" s="1390"/>
      <c r="F866" s="1390"/>
      <c r="G866" s="1390"/>
      <c r="H866" s="1390"/>
      <c r="I866" s="1390"/>
      <c r="J866" s="1390"/>
      <c r="K866" s="1390"/>
      <c r="L866" s="1390"/>
      <c r="M866" s="1390"/>
      <c r="N866" s="1390"/>
      <c r="O866" s="1390"/>
      <c r="P866" s="1390"/>
      <c r="Q866" s="1390"/>
      <c r="R866" s="1390"/>
      <c r="S866" s="1390"/>
      <c r="T866" s="1390"/>
      <c r="U866" s="1390"/>
      <c r="V866" s="1390"/>
      <c r="W866" s="1390"/>
      <c r="X866" s="1390"/>
      <c r="Y866" s="1390"/>
      <c r="Z866" s="1390"/>
      <c r="AA866" s="1390"/>
      <c r="AB866" s="1390"/>
      <c r="AC866" s="1390"/>
      <c r="AD866" s="1390"/>
      <c r="AE866" s="1390"/>
      <c r="AF866" s="1390"/>
      <c r="AG866" s="1390"/>
      <c r="AH866" s="1390"/>
      <c r="AI866" s="1390"/>
      <c r="AJ866" s="1390"/>
      <c r="AK866" s="1390"/>
    </row>
    <row r="867" spans="3:37" ht="17.25" customHeight="1" x14ac:dyDescent="0.35">
      <c r="C867" s="1390"/>
      <c r="D867" s="1390"/>
      <c r="E867" s="1390"/>
      <c r="F867" s="1390"/>
      <c r="G867" s="1390"/>
      <c r="H867" s="1390"/>
      <c r="I867" s="1390"/>
      <c r="J867" s="1390"/>
      <c r="K867" s="1390"/>
      <c r="L867" s="1390"/>
      <c r="M867" s="1390"/>
      <c r="N867" s="1390"/>
      <c r="O867" s="1390"/>
      <c r="P867" s="1390"/>
      <c r="Q867" s="1390"/>
      <c r="R867" s="1390"/>
      <c r="S867" s="1390"/>
      <c r="T867" s="1390"/>
      <c r="U867" s="1390"/>
      <c r="V867" s="1390"/>
      <c r="W867" s="1390"/>
      <c r="X867" s="1390"/>
      <c r="Y867" s="1390"/>
      <c r="Z867" s="1390"/>
      <c r="AA867" s="1390"/>
      <c r="AB867" s="1390"/>
      <c r="AC867" s="1390"/>
      <c r="AD867" s="1390"/>
      <c r="AE867" s="1390"/>
      <c r="AF867" s="1390"/>
      <c r="AG867" s="1390"/>
      <c r="AH867" s="1390"/>
      <c r="AI867" s="1390"/>
      <c r="AJ867" s="1390"/>
      <c r="AK867" s="1390"/>
    </row>
    <row r="868" spans="3:37" ht="17.25" customHeight="1" x14ac:dyDescent="0.35">
      <c r="C868" s="1390"/>
      <c r="D868" s="1390"/>
      <c r="E868" s="1390"/>
      <c r="F868" s="1390"/>
      <c r="G868" s="1390"/>
      <c r="H868" s="1390"/>
      <c r="I868" s="1390"/>
      <c r="J868" s="1390"/>
      <c r="K868" s="1390"/>
      <c r="L868" s="1390"/>
      <c r="M868" s="1390"/>
      <c r="N868" s="1390"/>
      <c r="O868" s="1390"/>
      <c r="P868" s="1390"/>
      <c r="Q868" s="1390"/>
      <c r="R868" s="1390"/>
      <c r="S868" s="1390"/>
      <c r="T868" s="1390"/>
      <c r="U868" s="1390"/>
      <c r="V868" s="1390"/>
      <c r="W868" s="1390"/>
      <c r="X868" s="1390"/>
      <c r="Y868" s="1390"/>
      <c r="Z868" s="1390"/>
      <c r="AA868" s="1390"/>
      <c r="AB868" s="1390"/>
      <c r="AC868" s="1390"/>
      <c r="AD868" s="1390"/>
      <c r="AE868" s="1390"/>
      <c r="AF868" s="1390"/>
      <c r="AG868" s="1390"/>
      <c r="AH868" s="1390"/>
      <c r="AI868" s="1390"/>
      <c r="AJ868" s="1390"/>
      <c r="AK868" s="1390"/>
    </row>
    <row r="869" spans="3:37" ht="17.25" customHeight="1" x14ac:dyDescent="0.35">
      <c r="C869" s="1390"/>
      <c r="D869" s="1390"/>
      <c r="E869" s="1390"/>
      <c r="F869" s="1390"/>
      <c r="G869" s="1390"/>
      <c r="H869" s="1390"/>
      <c r="I869" s="1390"/>
      <c r="J869" s="1390"/>
      <c r="K869" s="1390"/>
      <c r="L869" s="1390"/>
      <c r="M869" s="1390"/>
      <c r="N869" s="1390"/>
      <c r="O869" s="1390"/>
      <c r="P869" s="1390"/>
      <c r="Q869" s="1390"/>
      <c r="R869" s="1390"/>
      <c r="S869" s="1390"/>
      <c r="T869" s="1390"/>
      <c r="U869" s="1390"/>
      <c r="V869" s="1390"/>
      <c r="W869" s="1390"/>
      <c r="X869" s="1390"/>
      <c r="Y869" s="1390"/>
      <c r="Z869" s="1390"/>
      <c r="AA869" s="1390"/>
      <c r="AB869" s="1390"/>
      <c r="AC869" s="1390"/>
      <c r="AD869" s="1390"/>
      <c r="AE869" s="1390"/>
      <c r="AF869" s="1390"/>
      <c r="AG869" s="1390"/>
      <c r="AH869" s="1390"/>
      <c r="AI869" s="1390"/>
      <c r="AJ869" s="1390"/>
      <c r="AK869" s="1390"/>
    </row>
    <row r="870" spans="3:37" ht="17.25" customHeight="1" x14ac:dyDescent="0.35">
      <c r="C870" s="1390"/>
      <c r="D870" s="1390"/>
      <c r="E870" s="1390"/>
      <c r="F870" s="1390"/>
      <c r="G870" s="1390"/>
      <c r="H870" s="1390"/>
      <c r="I870" s="1390"/>
      <c r="J870" s="1390"/>
      <c r="K870" s="1390"/>
      <c r="L870" s="1390"/>
      <c r="M870" s="1390"/>
      <c r="N870" s="1390"/>
      <c r="O870" s="1390"/>
      <c r="P870" s="1390"/>
      <c r="Q870" s="1390"/>
      <c r="R870" s="1390"/>
      <c r="S870" s="1390"/>
      <c r="T870" s="1390"/>
      <c r="U870" s="1390"/>
      <c r="V870" s="1390"/>
      <c r="W870" s="1390"/>
      <c r="X870" s="1390"/>
      <c r="Y870" s="1390"/>
      <c r="Z870" s="1390"/>
      <c r="AA870" s="1390"/>
      <c r="AB870" s="1390"/>
      <c r="AC870" s="1390"/>
      <c r="AD870" s="1390"/>
      <c r="AE870" s="1390"/>
      <c r="AF870" s="1390"/>
      <c r="AG870" s="1390"/>
      <c r="AH870" s="1390"/>
      <c r="AI870" s="1390"/>
      <c r="AJ870" s="1390"/>
      <c r="AK870" s="1390"/>
    </row>
    <row r="871" spans="3:37" ht="17.25" customHeight="1" x14ac:dyDescent="0.35">
      <c r="C871" s="1390"/>
      <c r="D871" s="1390"/>
      <c r="E871" s="1390"/>
      <c r="F871" s="1390"/>
      <c r="G871" s="1390"/>
      <c r="H871" s="1390"/>
      <c r="I871" s="1390"/>
      <c r="J871" s="1390"/>
      <c r="K871" s="1390"/>
      <c r="L871" s="1390"/>
      <c r="M871" s="1390"/>
      <c r="N871" s="1390"/>
      <c r="O871" s="1390"/>
      <c r="P871" s="1390"/>
      <c r="Q871" s="1390"/>
      <c r="R871" s="1390"/>
      <c r="S871" s="1390"/>
      <c r="T871" s="1390"/>
      <c r="U871" s="1390"/>
      <c r="V871" s="1390"/>
      <c r="W871" s="1390"/>
      <c r="X871" s="1390"/>
      <c r="Y871" s="1390"/>
      <c r="Z871" s="1390"/>
      <c r="AA871" s="1390"/>
      <c r="AB871" s="1390"/>
      <c r="AC871" s="1390"/>
      <c r="AD871" s="1390"/>
      <c r="AE871" s="1390"/>
      <c r="AF871" s="1390"/>
      <c r="AG871" s="1390"/>
      <c r="AH871" s="1390"/>
      <c r="AI871" s="1390"/>
      <c r="AJ871" s="1390"/>
      <c r="AK871" s="1390"/>
    </row>
    <row r="872" spans="3:37" ht="17.25" customHeight="1" x14ac:dyDescent="0.35">
      <c r="C872" s="1390"/>
      <c r="D872" s="1390"/>
      <c r="E872" s="1390"/>
      <c r="F872" s="1390"/>
      <c r="G872" s="1390"/>
      <c r="H872" s="1390"/>
      <c r="I872" s="1390"/>
      <c r="J872" s="1390"/>
      <c r="K872" s="1390"/>
      <c r="L872" s="1390"/>
      <c r="M872" s="1390"/>
      <c r="N872" s="1390"/>
      <c r="O872" s="1390"/>
      <c r="P872" s="1390"/>
      <c r="Q872" s="1390"/>
      <c r="R872" s="1390"/>
      <c r="S872" s="1390"/>
      <c r="T872" s="1390"/>
      <c r="U872" s="1390"/>
      <c r="V872" s="1390"/>
      <c r="W872" s="1390"/>
      <c r="X872" s="1390"/>
      <c r="Y872" s="1390"/>
      <c r="Z872" s="1390"/>
      <c r="AA872" s="1390"/>
      <c r="AB872" s="1390"/>
      <c r="AC872" s="1390"/>
      <c r="AD872" s="1390"/>
      <c r="AE872" s="1390"/>
      <c r="AF872" s="1390"/>
      <c r="AG872" s="1390"/>
      <c r="AH872" s="1390"/>
      <c r="AI872" s="1390"/>
      <c r="AJ872" s="1390"/>
      <c r="AK872" s="1390"/>
    </row>
    <row r="873" spans="3:37" ht="17.25" customHeight="1" x14ac:dyDescent="0.35">
      <c r="C873" s="1390"/>
      <c r="D873" s="1390"/>
      <c r="E873" s="1390"/>
      <c r="F873" s="1390"/>
      <c r="G873" s="1390"/>
      <c r="H873" s="1390"/>
      <c r="I873" s="1390"/>
      <c r="J873" s="1390"/>
      <c r="K873" s="1390"/>
      <c r="L873" s="1390"/>
      <c r="M873" s="1390"/>
      <c r="N873" s="1390"/>
      <c r="O873" s="1390"/>
      <c r="P873" s="1390"/>
      <c r="Q873" s="1390"/>
      <c r="R873" s="1390"/>
      <c r="S873" s="1390"/>
      <c r="T873" s="1390"/>
      <c r="U873" s="1390"/>
      <c r="V873" s="1390"/>
      <c r="W873" s="1390"/>
      <c r="X873" s="1390"/>
      <c r="Y873" s="1390"/>
      <c r="Z873" s="1390"/>
      <c r="AA873" s="1390"/>
      <c r="AB873" s="1390"/>
      <c r="AC873" s="1390"/>
      <c r="AD873" s="1390"/>
      <c r="AE873" s="1390"/>
      <c r="AF873" s="1390"/>
      <c r="AG873" s="1390"/>
      <c r="AH873" s="1390"/>
      <c r="AI873" s="1390"/>
      <c r="AJ873" s="1390"/>
      <c r="AK873" s="1390"/>
    </row>
    <row r="874" spans="3:37" ht="17.25" customHeight="1" x14ac:dyDescent="0.35">
      <c r="C874" s="1390"/>
      <c r="D874" s="1390"/>
      <c r="E874" s="1390"/>
      <c r="F874" s="1390"/>
      <c r="G874" s="1390"/>
      <c r="H874" s="1390"/>
      <c r="I874" s="1390"/>
      <c r="J874" s="1390"/>
      <c r="K874" s="1390"/>
      <c r="L874" s="1390"/>
      <c r="M874" s="1390"/>
      <c r="N874" s="1390"/>
      <c r="O874" s="1390"/>
      <c r="P874" s="1390"/>
      <c r="Q874" s="1390"/>
      <c r="R874" s="1390"/>
      <c r="S874" s="1390"/>
      <c r="T874" s="1390"/>
      <c r="U874" s="1390"/>
      <c r="V874" s="1390"/>
      <c r="W874" s="1390"/>
      <c r="X874" s="1390"/>
      <c r="Y874" s="1390"/>
      <c r="Z874" s="1390"/>
      <c r="AA874" s="1390"/>
      <c r="AB874" s="1390"/>
      <c r="AC874" s="1390"/>
      <c r="AD874" s="1390"/>
      <c r="AE874" s="1390"/>
      <c r="AF874" s="1390"/>
      <c r="AG874" s="1390"/>
      <c r="AH874" s="1390"/>
      <c r="AI874" s="1390"/>
      <c r="AJ874" s="1390"/>
      <c r="AK874" s="1390"/>
    </row>
    <row r="875" spans="3:37" ht="17.25" customHeight="1" x14ac:dyDescent="0.35">
      <c r="C875" s="1390"/>
      <c r="D875" s="1390"/>
      <c r="E875" s="1390"/>
      <c r="F875" s="1390"/>
      <c r="G875" s="1390"/>
      <c r="H875" s="1390"/>
      <c r="I875" s="1390"/>
      <c r="J875" s="1390"/>
      <c r="K875" s="1390"/>
      <c r="L875" s="1390"/>
      <c r="M875" s="1390"/>
      <c r="N875" s="1390"/>
      <c r="O875" s="1390"/>
      <c r="P875" s="1390"/>
      <c r="Q875" s="1390"/>
      <c r="R875" s="1390"/>
      <c r="S875" s="1390"/>
      <c r="T875" s="1390"/>
      <c r="U875" s="1390"/>
      <c r="V875" s="1390"/>
      <c r="W875" s="1390"/>
      <c r="X875" s="1390"/>
      <c r="Y875" s="1390"/>
      <c r="Z875" s="1390"/>
      <c r="AA875" s="1390"/>
      <c r="AB875" s="1390"/>
      <c r="AC875" s="1390"/>
      <c r="AD875" s="1390"/>
      <c r="AE875" s="1390"/>
      <c r="AF875" s="1390"/>
      <c r="AG875" s="1390"/>
      <c r="AH875" s="1390"/>
      <c r="AI875" s="1390"/>
      <c r="AJ875" s="1390"/>
      <c r="AK875" s="1390"/>
    </row>
    <row r="876" spans="3:37" ht="17.25" customHeight="1" x14ac:dyDescent="0.35">
      <c r="C876" s="1390"/>
      <c r="D876" s="1390"/>
      <c r="E876" s="1390"/>
      <c r="F876" s="1390"/>
      <c r="G876" s="1390"/>
      <c r="H876" s="1390"/>
      <c r="I876" s="1390"/>
      <c r="J876" s="1390"/>
      <c r="K876" s="1390"/>
      <c r="L876" s="1390"/>
      <c r="M876" s="1390"/>
      <c r="N876" s="1390"/>
      <c r="O876" s="1390"/>
      <c r="P876" s="1390"/>
      <c r="Q876" s="1390"/>
      <c r="R876" s="1390"/>
      <c r="S876" s="1390"/>
      <c r="T876" s="1390"/>
      <c r="U876" s="1390"/>
      <c r="V876" s="1390"/>
      <c r="W876" s="1390"/>
      <c r="X876" s="1390"/>
      <c r="Y876" s="1390"/>
      <c r="Z876" s="1390"/>
      <c r="AA876" s="1390"/>
      <c r="AB876" s="1390"/>
      <c r="AC876" s="1390"/>
      <c r="AD876" s="1390"/>
      <c r="AE876" s="1390"/>
      <c r="AF876" s="1390"/>
      <c r="AG876" s="1390"/>
      <c r="AH876" s="1390"/>
      <c r="AI876" s="1390"/>
      <c r="AJ876" s="1390"/>
      <c r="AK876" s="1390"/>
    </row>
    <row r="877" spans="3:37" ht="17.25" customHeight="1" x14ac:dyDescent="0.35">
      <c r="C877" s="1390"/>
      <c r="D877" s="1390"/>
      <c r="E877" s="1390"/>
      <c r="F877" s="1390"/>
      <c r="G877" s="1390"/>
      <c r="H877" s="1390"/>
      <c r="I877" s="1390"/>
      <c r="J877" s="1390"/>
      <c r="K877" s="1390"/>
      <c r="L877" s="1390"/>
      <c r="M877" s="1390"/>
      <c r="N877" s="1390"/>
      <c r="O877" s="1390"/>
      <c r="P877" s="1390"/>
      <c r="Q877" s="1390"/>
      <c r="R877" s="1390"/>
      <c r="S877" s="1390"/>
      <c r="T877" s="1390"/>
      <c r="U877" s="1390"/>
      <c r="V877" s="1390"/>
      <c r="W877" s="1390"/>
      <c r="X877" s="1390"/>
      <c r="Y877" s="1390"/>
      <c r="Z877" s="1390"/>
      <c r="AA877" s="1390"/>
      <c r="AB877" s="1390"/>
      <c r="AC877" s="1390"/>
      <c r="AD877" s="1390"/>
      <c r="AE877" s="1390"/>
      <c r="AF877" s="1390"/>
      <c r="AG877" s="1390"/>
      <c r="AH877" s="1390"/>
      <c r="AI877" s="1390"/>
      <c r="AJ877" s="1390"/>
      <c r="AK877" s="1390"/>
    </row>
    <row r="878" spans="3:37" ht="17.25" customHeight="1" x14ac:dyDescent="0.35">
      <c r="C878" s="1390"/>
      <c r="D878" s="1390"/>
      <c r="E878" s="1390"/>
      <c r="F878" s="1390"/>
      <c r="G878" s="1390"/>
      <c r="H878" s="1390"/>
      <c r="I878" s="1390"/>
      <c r="J878" s="1390"/>
      <c r="K878" s="1390"/>
      <c r="L878" s="1390"/>
      <c r="M878" s="1390"/>
      <c r="N878" s="1390"/>
      <c r="O878" s="1390"/>
      <c r="P878" s="1390"/>
      <c r="Q878" s="1390"/>
      <c r="R878" s="1390"/>
      <c r="S878" s="1390"/>
      <c r="T878" s="1390"/>
      <c r="U878" s="1390"/>
      <c r="V878" s="1390"/>
      <c r="W878" s="1390"/>
      <c r="X878" s="1390"/>
      <c r="Y878" s="1390"/>
      <c r="Z878" s="1390"/>
      <c r="AA878" s="1390"/>
      <c r="AB878" s="1390"/>
      <c r="AC878" s="1390"/>
      <c r="AD878" s="1390"/>
      <c r="AE878" s="1390"/>
      <c r="AF878" s="1390"/>
      <c r="AG878" s="1390"/>
      <c r="AH878" s="1390"/>
      <c r="AI878" s="1390"/>
      <c r="AJ878" s="1390"/>
      <c r="AK878" s="1390"/>
    </row>
    <row r="879" spans="3:37" ht="17.25" customHeight="1" x14ac:dyDescent="0.35">
      <c r="C879" s="1390"/>
      <c r="D879" s="1390"/>
      <c r="E879" s="1390"/>
      <c r="F879" s="1390"/>
      <c r="G879" s="1390"/>
      <c r="H879" s="1390"/>
      <c r="I879" s="1390"/>
      <c r="J879" s="1390"/>
      <c r="K879" s="1390"/>
      <c r="L879" s="1390"/>
      <c r="M879" s="1390"/>
      <c r="N879" s="1390"/>
      <c r="O879" s="1390"/>
      <c r="P879" s="1390"/>
      <c r="Q879" s="1390"/>
      <c r="R879" s="1390"/>
      <c r="S879" s="1390"/>
      <c r="T879" s="1390"/>
      <c r="U879" s="1390"/>
      <c r="V879" s="1390"/>
      <c r="W879" s="1390"/>
      <c r="X879" s="1390"/>
      <c r="Y879" s="1390"/>
      <c r="Z879" s="1390"/>
      <c r="AA879" s="1390"/>
      <c r="AB879" s="1390"/>
      <c r="AC879" s="1390"/>
      <c r="AD879" s="1390"/>
      <c r="AE879" s="1390"/>
      <c r="AF879" s="1390"/>
      <c r="AG879" s="1390"/>
      <c r="AH879" s="1390"/>
      <c r="AI879" s="1390"/>
      <c r="AJ879" s="1390"/>
      <c r="AK879" s="1390"/>
    </row>
    <row r="880" spans="3:37" ht="17.25" customHeight="1" x14ac:dyDescent="0.35">
      <c r="C880" s="1390"/>
      <c r="D880" s="1390"/>
      <c r="E880" s="1390"/>
      <c r="F880" s="1390"/>
      <c r="G880" s="1390"/>
      <c r="H880" s="1390"/>
      <c r="I880" s="1390"/>
      <c r="J880" s="1390"/>
      <c r="K880" s="1390"/>
      <c r="L880" s="1390"/>
      <c r="M880" s="1390"/>
      <c r="N880" s="1390"/>
      <c r="O880" s="1390"/>
      <c r="P880" s="1390"/>
      <c r="Q880" s="1390"/>
      <c r="R880" s="1390"/>
      <c r="S880" s="1390"/>
      <c r="T880" s="1390"/>
      <c r="U880" s="1390"/>
      <c r="V880" s="1390"/>
      <c r="W880" s="1390"/>
      <c r="X880" s="1390"/>
      <c r="Y880" s="1390"/>
      <c r="Z880" s="1390"/>
      <c r="AA880" s="1390"/>
      <c r="AB880" s="1390"/>
      <c r="AC880" s="1390"/>
      <c r="AD880" s="1390"/>
      <c r="AE880" s="1390"/>
      <c r="AF880" s="1390"/>
      <c r="AG880" s="1390"/>
      <c r="AH880" s="1390"/>
      <c r="AI880" s="1390"/>
      <c r="AJ880" s="1390"/>
      <c r="AK880" s="1390"/>
    </row>
    <row r="881" spans="3:37" ht="17.25" customHeight="1" x14ac:dyDescent="0.35">
      <c r="C881" s="1390"/>
      <c r="D881" s="1390"/>
      <c r="E881" s="1390"/>
      <c r="F881" s="1390"/>
      <c r="G881" s="1390"/>
      <c r="H881" s="1390"/>
      <c r="I881" s="1390"/>
      <c r="J881" s="1390"/>
      <c r="K881" s="1390"/>
      <c r="L881" s="1390"/>
      <c r="M881" s="1390"/>
      <c r="N881" s="1390"/>
      <c r="O881" s="1390"/>
      <c r="P881" s="1390"/>
      <c r="Q881" s="1390"/>
      <c r="R881" s="1390"/>
      <c r="S881" s="1390"/>
      <c r="T881" s="1390"/>
      <c r="U881" s="1390"/>
      <c r="V881" s="1390"/>
      <c r="W881" s="1390"/>
      <c r="X881" s="1390"/>
      <c r="Y881" s="1390"/>
      <c r="Z881" s="1390"/>
      <c r="AA881" s="1390"/>
      <c r="AB881" s="1390"/>
      <c r="AC881" s="1390"/>
      <c r="AD881" s="1390"/>
      <c r="AE881" s="1390"/>
      <c r="AF881" s="1390"/>
      <c r="AG881" s="1390"/>
      <c r="AH881" s="1390"/>
      <c r="AI881" s="1390"/>
      <c r="AJ881" s="1390"/>
      <c r="AK881" s="1390"/>
    </row>
    <row r="882" spans="3:37" ht="17.25" customHeight="1" x14ac:dyDescent="0.35">
      <c r="C882" s="1390"/>
      <c r="D882" s="1390"/>
      <c r="E882" s="1390"/>
      <c r="F882" s="1390"/>
      <c r="G882" s="1390"/>
      <c r="H882" s="1390"/>
      <c r="I882" s="1390"/>
      <c r="J882" s="1390"/>
      <c r="K882" s="1390"/>
      <c r="L882" s="1390"/>
      <c r="M882" s="1390"/>
      <c r="N882" s="1390"/>
      <c r="O882" s="1390"/>
      <c r="P882" s="1390"/>
      <c r="Q882" s="1390"/>
      <c r="R882" s="1390"/>
      <c r="S882" s="1390"/>
      <c r="T882" s="1390"/>
      <c r="U882" s="1390"/>
      <c r="V882" s="1390"/>
      <c r="W882" s="1390"/>
      <c r="X882" s="1390"/>
      <c r="Y882" s="1390"/>
      <c r="Z882" s="1390"/>
      <c r="AA882" s="1390"/>
      <c r="AB882" s="1390"/>
      <c r="AC882" s="1390"/>
      <c r="AD882" s="1390"/>
      <c r="AE882" s="1390"/>
      <c r="AF882" s="1390"/>
      <c r="AG882" s="1390"/>
      <c r="AH882" s="1390"/>
      <c r="AI882" s="1390"/>
      <c r="AJ882" s="1390"/>
      <c r="AK882" s="1390"/>
    </row>
    <row r="883" spans="3:37" ht="17.25" customHeight="1" x14ac:dyDescent="0.35">
      <c r="C883" s="1390"/>
      <c r="D883" s="1390"/>
      <c r="E883" s="1390"/>
      <c r="F883" s="1390"/>
      <c r="G883" s="1390"/>
      <c r="H883" s="1390"/>
      <c r="I883" s="1390"/>
      <c r="J883" s="1390"/>
      <c r="K883" s="1390"/>
      <c r="L883" s="1390"/>
      <c r="M883" s="1390"/>
      <c r="N883" s="1390"/>
      <c r="O883" s="1390"/>
      <c r="P883" s="1390"/>
      <c r="Q883" s="1390"/>
      <c r="R883" s="1390"/>
      <c r="S883" s="1390"/>
      <c r="T883" s="1390"/>
      <c r="U883" s="1390"/>
      <c r="V883" s="1390"/>
      <c r="W883" s="1390"/>
      <c r="X883" s="1390"/>
      <c r="Y883" s="1390"/>
      <c r="Z883" s="1390"/>
      <c r="AA883" s="1390"/>
      <c r="AB883" s="1390"/>
      <c r="AC883" s="1390"/>
      <c r="AD883" s="1390"/>
      <c r="AE883" s="1390"/>
      <c r="AF883" s="1390"/>
      <c r="AG883" s="1390"/>
      <c r="AH883" s="1390"/>
      <c r="AI883" s="1390"/>
      <c r="AJ883" s="1390"/>
      <c r="AK883" s="1390"/>
    </row>
    <row r="884" spans="3:37" ht="17.25" customHeight="1" x14ac:dyDescent="0.35">
      <c r="C884" s="1390"/>
      <c r="D884" s="1390"/>
      <c r="E884" s="1390"/>
      <c r="F884" s="1390"/>
      <c r="G884" s="1390"/>
      <c r="H884" s="1390"/>
      <c r="I884" s="1390"/>
      <c r="J884" s="1390"/>
      <c r="K884" s="1390"/>
      <c r="L884" s="1390"/>
      <c r="M884" s="1390"/>
      <c r="N884" s="1390"/>
      <c r="O884" s="1390"/>
      <c r="P884" s="1390"/>
      <c r="Q884" s="1390"/>
      <c r="R884" s="1390"/>
      <c r="S884" s="1390"/>
      <c r="T884" s="1390"/>
      <c r="U884" s="1390"/>
      <c r="V884" s="1390"/>
      <c r="W884" s="1390"/>
      <c r="X884" s="1390"/>
      <c r="Y884" s="1390"/>
      <c r="Z884" s="1390"/>
      <c r="AA884" s="1390"/>
      <c r="AB884" s="1390"/>
      <c r="AC884" s="1390"/>
      <c r="AD884" s="1390"/>
      <c r="AE884" s="1390"/>
      <c r="AF884" s="1390"/>
      <c r="AG884" s="1390"/>
      <c r="AH884" s="1390"/>
      <c r="AI884" s="1390"/>
      <c r="AJ884" s="1390"/>
      <c r="AK884" s="1390"/>
    </row>
    <row r="885" spans="3:37" ht="17.25" customHeight="1" x14ac:dyDescent="0.35">
      <c r="C885" s="1390"/>
      <c r="D885" s="1390"/>
      <c r="E885" s="1390"/>
      <c r="F885" s="1390"/>
      <c r="G885" s="1390"/>
      <c r="H885" s="1390"/>
      <c r="I885" s="1390"/>
      <c r="J885" s="1390"/>
      <c r="K885" s="1390"/>
      <c r="L885" s="1390"/>
      <c r="M885" s="1390"/>
      <c r="N885" s="1390"/>
      <c r="O885" s="1390"/>
      <c r="P885" s="1390"/>
      <c r="Q885" s="1390"/>
      <c r="R885" s="1390"/>
      <c r="S885" s="1390"/>
      <c r="T885" s="1390"/>
      <c r="U885" s="1390"/>
      <c r="V885" s="1390"/>
      <c r="W885" s="1390"/>
      <c r="X885" s="1390"/>
      <c r="Y885" s="1390"/>
      <c r="Z885" s="1390"/>
      <c r="AA885" s="1390"/>
      <c r="AB885" s="1390"/>
      <c r="AC885" s="1390"/>
      <c r="AD885" s="1390"/>
      <c r="AE885" s="1390"/>
      <c r="AF885" s="1390"/>
      <c r="AG885" s="1390"/>
      <c r="AH885" s="1390"/>
      <c r="AI885" s="1390"/>
      <c r="AJ885" s="1390"/>
      <c r="AK885" s="1390"/>
    </row>
    <row r="886" spans="3:37" ht="17.25" customHeight="1" x14ac:dyDescent="0.35">
      <c r="C886" s="1390"/>
      <c r="D886" s="1390"/>
      <c r="E886" s="1390"/>
      <c r="F886" s="1390"/>
      <c r="G886" s="1390"/>
      <c r="H886" s="1390"/>
      <c r="I886" s="1390"/>
      <c r="J886" s="1390"/>
      <c r="K886" s="1390"/>
      <c r="L886" s="1390"/>
      <c r="M886" s="1390"/>
      <c r="N886" s="1390"/>
      <c r="O886" s="1390"/>
      <c r="P886" s="1390"/>
      <c r="Q886" s="1390"/>
      <c r="R886" s="1390"/>
      <c r="S886" s="1390"/>
      <c r="T886" s="1390"/>
      <c r="U886" s="1390"/>
      <c r="V886" s="1390"/>
      <c r="W886" s="1390"/>
      <c r="X886" s="1390"/>
      <c r="Y886" s="1390"/>
      <c r="Z886" s="1390"/>
      <c r="AA886" s="1390"/>
      <c r="AB886" s="1390"/>
      <c r="AC886" s="1390"/>
      <c r="AD886" s="1390"/>
      <c r="AE886" s="1390"/>
      <c r="AF886" s="1390"/>
      <c r="AG886" s="1390"/>
      <c r="AH886" s="1390"/>
      <c r="AI886" s="1390"/>
      <c r="AJ886" s="1390"/>
      <c r="AK886" s="1390"/>
    </row>
    <row r="887" spans="3:37" ht="17.25" customHeight="1" x14ac:dyDescent="0.35">
      <c r="C887" s="1390"/>
      <c r="D887" s="1390"/>
      <c r="E887" s="1390"/>
      <c r="F887" s="1390"/>
      <c r="G887" s="1390"/>
      <c r="H887" s="1390"/>
      <c r="I887" s="1390"/>
      <c r="J887" s="1390"/>
      <c r="K887" s="1390"/>
      <c r="L887" s="1390"/>
      <c r="M887" s="1390"/>
      <c r="N887" s="1390"/>
      <c r="O887" s="1390"/>
      <c r="P887" s="1390"/>
      <c r="Q887" s="1390"/>
      <c r="R887" s="1390"/>
      <c r="S887" s="1390"/>
      <c r="T887" s="1390"/>
      <c r="U887" s="1390"/>
      <c r="V887" s="1390"/>
      <c r="W887" s="1390"/>
      <c r="X887" s="1390"/>
      <c r="Y887" s="1390"/>
      <c r="Z887" s="1390"/>
      <c r="AA887" s="1390"/>
      <c r="AB887" s="1390"/>
      <c r="AC887" s="1390"/>
      <c r="AD887" s="1390"/>
      <c r="AE887" s="1390"/>
      <c r="AF887" s="1390"/>
      <c r="AG887" s="1390"/>
      <c r="AH887" s="1390"/>
      <c r="AI887" s="1390"/>
      <c r="AJ887" s="1390"/>
      <c r="AK887" s="1390"/>
    </row>
    <row r="888" spans="3:37" ht="17.25" customHeight="1" x14ac:dyDescent="0.35">
      <c r="C888" s="1390"/>
      <c r="D888" s="1390"/>
      <c r="E888" s="1390"/>
      <c r="F888" s="1390"/>
      <c r="G888" s="1390"/>
      <c r="H888" s="1390"/>
      <c r="I888" s="1390"/>
      <c r="J888" s="1390"/>
      <c r="K888" s="1390"/>
      <c r="L888" s="1390"/>
      <c r="M888" s="1390"/>
      <c r="N888" s="1390"/>
      <c r="O888" s="1390"/>
      <c r="P888" s="1390"/>
      <c r="Q888" s="1390"/>
      <c r="R888" s="1390"/>
      <c r="S888" s="1390"/>
      <c r="T888" s="1390"/>
      <c r="U888" s="1390"/>
      <c r="V888" s="1390"/>
      <c r="W888" s="1390"/>
      <c r="X888" s="1390"/>
      <c r="Y888" s="1390"/>
      <c r="Z888" s="1390"/>
      <c r="AA888" s="1390"/>
      <c r="AB888" s="1390"/>
      <c r="AC888" s="1390"/>
      <c r="AD888" s="1390"/>
      <c r="AE888" s="1390"/>
      <c r="AF888" s="1390"/>
      <c r="AG888" s="1390"/>
      <c r="AH888" s="1390"/>
      <c r="AI888" s="1390"/>
      <c r="AJ888" s="1390"/>
      <c r="AK888" s="1390"/>
    </row>
    <row r="889" spans="3:37" ht="17.25" customHeight="1" x14ac:dyDescent="0.35">
      <c r="C889" s="1390"/>
      <c r="D889" s="1390"/>
      <c r="E889" s="1390"/>
      <c r="F889" s="1390"/>
      <c r="G889" s="1390"/>
      <c r="H889" s="1390"/>
      <c r="I889" s="1390"/>
      <c r="J889" s="1390"/>
      <c r="K889" s="1390"/>
      <c r="L889" s="1390"/>
      <c r="M889" s="1390"/>
      <c r="N889" s="1390"/>
      <c r="O889" s="1390"/>
      <c r="P889" s="1390"/>
      <c r="Q889" s="1390"/>
      <c r="R889" s="1390"/>
      <c r="S889" s="1390"/>
      <c r="T889" s="1390"/>
      <c r="U889" s="1390"/>
      <c r="V889" s="1390"/>
      <c r="W889" s="1390"/>
      <c r="X889" s="1390"/>
      <c r="Y889" s="1390"/>
      <c r="Z889" s="1390"/>
      <c r="AA889" s="1390"/>
      <c r="AB889" s="1390"/>
      <c r="AC889" s="1390"/>
      <c r="AD889" s="1390"/>
      <c r="AE889" s="1390"/>
      <c r="AF889" s="1390"/>
      <c r="AG889" s="1390"/>
      <c r="AH889" s="1390"/>
      <c r="AI889" s="1390"/>
      <c r="AJ889" s="1390"/>
      <c r="AK889" s="1390"/>
    </row>
    <row r="890" spans="3:37" ht="17.25" customHeight="1" x14ac:dyDescent="0.35">
      <c r="C890" s="1390"/>
      <c r="D890" s="1390"/>
      <c r="E890" s="1390"/>
      <c r="F890" s="1390"/>
      <c r="G890" s="1390"/>
      <c r="H890" s="1390"/>
      <c r="I890" s="1390"/>
      <c r="J890" s="1390"/>
      <c r="K890" s="1390"/>
      <c r="L890" s="1390"/>
      <c r="M890" s="1390"/>
      <c r="N890" s="1390"/>
      <c r="O890" s="1390"/>
      <c r="P890" s="1390"/>
      <c r="Q890" s="1390"/>
      <c r="R890" s="1390"/>
      <c r="S890" s="1390"/>
      <c r="T890" s="1390"/>
      <c r="U890" s="1390"/>
      <c r="V890" s="1390"/>
      <c r="W890" s="1390"/>
      <c r="X890" s="1390"/>
      <c r="Y890" s="1390"/>
      <c r="Z890" s="1390"/>
      <c r="AA890" s="1390"/>
      <c r="AB890" s="1390"/>
      <c r="AC890" s="1390"/>
      <c r="AD890" s="1390"/>
      <c r="AE890" s="1390"/>
      <c r="AF890" s="1390"/>
      <c r="AG890" s="1390"/>
      <c r="AH890" s="1390"/>
      <c r="AI890" s="1390"/>
      <c r="AJ890" s="1390"/>
      <c r="AK890" s="1390"/>
    </row>
    <row r="891" spans="3:37" ht="17.25" customHeight="1" x14ac:dyDescent="0.35">
      <c r="C891" s="1390"/>
      <c r="D891" s="1390"/>
      <c r="E891" s="1390"/>
      <c r="F891" s="1390"/>
      <c r="G891" s="1390"/>
      <c r="H891" s="1390"/>
      <c r="I891" s="1390"/>
      <c r="J891" s="1390"/>
      <c r="K891" s="1390"/>
      <c r="L891" s="1390"/>
      <c r="M891" s="1390"/>
      <c r="N891" s="1390"/>
      <c r="O891" s="1390"/>
      <c r="P891" s="1390"/>
      <c r="Q891" s="1390"/>
      <c r="R891" s="1390"/>
      <c r="S891" s="1390"/>
      <c r="T891" s="1390"/>
      <c r="U891" s="1390"/>
      <c r="V891" s="1390"/>
      <c r="W891" s="1390"/>
      <c r="X891" s="1390"/>
      <c r="Y891" s="1390"/>
      <c r="Z891" s="1390"/>
      <c r="AA891" s="1390"/>
      <c r="AB891" s="1390"/>
      <c r="AC891" s="1390"/>
      <c r="AD891" s="1390"/>
      <c r="AE891" s="1390"/>
      <c r="AF891" s="1390"/>
      <c r="AG891" s="1390"/>
      <c r="AH891" s="1390"/>
      <c r="AI891" s="1390"/>
      <c r="AJ891" s="1390"/>
      <c r="AK891" s="1390"/>
    </row>
    <row r="892" spans="3:37" ht="17.25" customHeight="1" x14ac:dyDescent="0.35">
      <c r="C892" s="1390"/>
      <c r="D892" s="1390"/>
      <c r="E892" s="1390"/>
      <c r="F892" s="1390"/>
      <c r="G892" s="1390"/>
      <c r="H892" s="1390"/>
      <c r="I892" s="1390"/>
      <c r="J892" s="1390"/>
      <c r="K892" s="1390"/>
      <c r="L892" s="1390"/>
      <c r="M892" s="1390"/>
      <c r="N892" s="1390"/>
      <c r="O892" s="1390"/>
      <c r="P892" s="1390"/>
      <c r="Q892" s="1390"/>
      <c r="R892" s="1390"/>
      <c r="S892" s="1390"/>
      <c r="T892" s="1390"/>
      <c r="U892" s="1390"/>
      <c r="V892" s="1390"/>
      <c r="W892" s="1390"/>
      <c r="X892" s="1390"/>
      <c r="Y892" s="1390"/>
      <c r="Z892" s="1390"/>
      <c r="AA892" s="1390"/>
      <c r="AB892" s="1390"/>
      <c r="AC892" s="1390"/>
      <c r="AD892" s="1390"/>
      <c r="AE892" s="1390"/>
      <c r="AF892" s="1390"/>
      <c r="AG892" s="1390"/>
      <c r="AH892" s="1390"/>
      <c r="AI892" s="1390"/>
      <c r="AJ892" s="1390"/>
      <c r="AK892" s="1390"/>
    </row>
    <row r="893" spans="3:37" ht="17.25" customHeight="1" x14ac:dyDescent="0.35">
      <c r="C893" s="1390"/>
      <c r="D893" s="1390"/>
      <c r="E893" s="1390"/>
      <c r="F893" s="1390"/>
      <c r="G893" s="1390"/>
      <c r="H893" s="1390"/>
      <c r="I893" s="1390"/>
      <c r="J893" s="1390"/>
      <c r="K893" s="1390"/>
      <c r="L893" s="1390"/>
      <c r="M893" s="1390"/>
      <c r="N893" s="1390"/>
      <c r="O893" s="1390"/>
      <c r="P893" s="1390"/>
      <c r="Q893" s="1390"/>
      <c r="R893" s="1390"/>
      <c r="S893" s="1390"/>
      <c r="T893" s="1390"/>
      <c r="U893" s="1390"/>
      <c r="V893" s="1390"/>
      <c r="W893" s="1390"/>
      <c r="X893" s="1390"/>
      <c r="Y893" s="1390"/>
      <c r="Z893" s="1390"/>
      <c r="AA893" s="1390"/>
      <c r="AB893" s="1390"/>
      <c r="AC893" s="1390"/>
      <c r="AD893" s="1390"/>
      <c r="AE893" s="1390"/>
      <c r="AF893" s="1390"/>
      <c r="AG893" s="1390"/>
      <c r="AH893" s="1390"/>
      <c r="AI893" s="1390"/>
      <c r="AJ893" s="1390"/>
      <c r="AK893" s="1390"/>
    </row>
    <row r="894" spans="3:37" ht="17.25" customHeight="1" x14ac:dyDescent="0.35">
      <c r="C894" s="1390"/>
      <c r="D894" s="1390"/>
      <c r="E894" s="1390"/>
      <c r="F894" s="1390"/>
      <c r="G894" s="1390"/>
      <c r="H894" s="1390"/>
      <c r="I894" s="1390"/>
      <c r="J894" s="1390"/>
      <c r="K894" s="1390"/>
      <c r="L894" s="1390"/>
      <c r="M894" s="1390"/>
      <c r="N894" s="1390"/>
      <c r="O894" s="1390"/>
      <c r="P894" s="1390"/>
      <c r="Q894" s="1390"/>
      <c r="R894" s="1390"/>
      <c r="S894" s="1390"/>
      <c r="T894" s="1390"/>
      <c r="U894" s="1390"/>
      <c r="V894" s="1390"/>
      <c r="W894" s="1390"/>
      <c r="X894" s="1390"/>
      <c r="Y894" s="1390"/>
      <c r="Z894" s="1390"/>
      <c r="AA894" s="1390"/>
      <c r="AB894" s="1390"/>
      <c r="AC894" s="1390"/>
      <c r="AD894" s="1390"/>
      <c r="AE894" s="1390"/>
      <c r="AF894" s="1390"/>
      <c r="AG894" s="1390"/>
      <c r="AH894" s="1390"/>
      <c r="AI894" s="1390"/>
      <c r="AJ894" s="1390"/>
      <c r="AK894" s="1390"/>
    </row>
    <row r="895" spans="3:37" ht="17.25" customHeight="1" x14ac:dyDescent="0.35">
      <c r="C895" s="1390"/>
      <c r="D895" s="1390"/>
      <c r="E895" s="1390"/>
      <c r="F895" s="1390"/>
      <c r="G895" s="1390"/>
      <c r="H895" s="1390"/>
      <c r="I895" s="1390"/>
      <c r="J895" s="1390"/>
      <c r="K895" s="1390"/>
      <c r="L895" s="1390"/>
      <c r="M895" s="1390"/>
      <c r="N895" s="1390"/>
      <c r="O895" s="1390"/>
      <c r="P895" s="1390"/>
      <c r="Q895" s="1390"/>
      <c r="R895" s="1390"/>
      <c r="S895" s="1390"/>
      <c r="T895" s="1390"/>
      <c r="U895" s="1390"/>
      <c r="V895" s="1390"/>
      <c r="W895" s="1390"/>
      <c r="X895" s="1390"/>
      <c r="Y895" s="1390"/>
      <c r="Z895" s="1390"/>
      <c r="AA895" s="1390"/>
      <c r="AB895" s="1390"/>
      <c r="AC895" s="1390"/>
      <c r="AD895" s="1390"/>
      <c r="AE895" s="1390"/>
      <c r="AF895" s="1390"/>
      <c r="AG895" s="1390"/>
      <c r="AH895" s="1390"/>
      <c r="AI895" s="1390"/>
      <c r="AJ895" s="1390"/>
      <c r="AK895" s="1390"/>
    </row>
    <row r="896" spans="3:37" ht="17.25" customHeight="1" x14ac:dyDescent="0.35">
      <c r="C896" s="1390"/>
      <c r="D896" s="1390"/>
      <c r="E896" s="1390"/>
      <c r="F896" s="1390"/>
      <c r="G896" s="1390"/>
      <c r="H896" s="1390"/>
      <c r="I896" s="1390"/>
      <c r="J896" s="1390"/>
      <c r="K896" s="1390"/>
      <c r="L896" s="1390"/>
      <c r="M896" s="1390"/>
      <c r="N896" s="1390"/>
      <c r="O896" s="1390"/>
      <c r="P896" s="1390"/>
      <c r="Q896" s="1390"/>
      <c r="R896" s="1390"/>
      <c r="S896" s="1390"/>
      <c r="T896" s="1390"/>
      <c r="U896" s="1390"/>
      <c r="V896" s="1390"/>
      <c r="W896" s="1390"/>
      <c r="X896" s="1390"/>
      <c r="Y896" s="1390"/>
      <c r="Z896" s="1390"/>
      <c r="AA896" s="1390"/>
      <c r="AB896" s="1390"/>
      <c r="AC896" s="1390"/>
      <c r="AD896" s="1390"/>
      <c r="AE896" s="1390"/>
      <c r="AF896" s="1390"/>
      <c r="AG896" s="1390"/>
      <c r="AH896" s="1390"/>
      <c r="AI896" s="1390"/>
      <c r="AJ896" s="1390"/>
      <c r="AK896" s="1390"/>
    </row>
    <row r="897" spans="3:37" ht="17.25" customHeight="1" x14ac:dyDescent="0.35">
      <c r="C897" s="1390"/>
      <c r="D897" s="1390"/>
      <c r="E897" s="1390"/>
      <c r="F897" s="1390"/>
      <c r="G897" s="1390"/>
      <c r="H897" s="1390"/>
      <c r="I897" s="1390"/>
      <c r="J897" s="1390"/>
      <c r="K897" s="1390"/>
      <c r="L897" s="1390"/>
      <c r="M897" s="1390"/>
      <c r="N897" s="1390"/>
      <c r="O897" s="1390"/>
      <c r="P897" s="1390"/>
      <c r="Q897" s="1390"/>
      <c r="R897" s="1390"/>
      <c r="S897" s="1390"/>
      <c r="T897" s="1390"/>
      <c r="U897" s="1390"/>
      <c r="V897" s="1390"/>
      <c r="W897" s="1390"/>
      <c r="X897" s="1390"/>
      <c r="Y897" s="1390"/>
      <c r="Z897" s="1390"/>
      <c r="AA897" s="1390"/>
      <c r="AB897" s="1390"/>
      <c r="AC897" s="1390"/>
      <c r="AD897" s="1390"/>
      <c r="AE897" s="1390"/>
      <c r="AF897" s="1390"/>
      <c r="AG897" s="1390"/>
      <c r="AH897" s="1390"/>
      <c r="AI897" s="1390"/>
      <c r="AJ897" s="1390"/>
      <c r="AK897" s="1390"/>
    </row>
    <row r="898" spans="3:37" ht="17.25" customHeight="1" x14ac:dyDescent="0.35">
      <c r="C898" s="1390"/>
      <c r="D898" s="1390"/>
      <c r="E898" s="1390"/>
      <c r="F898" s="1390"/>
      <c r="G898" s="1390"/>
      <c r="H898" s="1390"/>
      <c r="I898" s="1390"/>
      <c r="J898" s="1390"/>
      <c r="K898" s="1390"/>
      <c r="L898" s="1390"/>
      <c r="M898" s="1390"/>
      <c r="N898" s="1390"/>
      <c r="O898" s="1390"/>
      <c r="P898" s="1390"/>
      <c r="Q898" s="1390"/>
      <c r="R898" s="1390"/>
      <c r="S898" s="1390"/>
      <c r="T898" s="1390"/>
      <c r="U898" s="1390"/>
      <c r="V898" s="1390"/>
      <c r="W898" s="1390"/>
      <c r="X898" s="1390"/>
      <c r="Y898" s="1390"/>
      <c r="Z898" s="1390"/>
      <c r="AA898" s="1390"/>
      <c r="AB898" s="1390"/>
      <c r="AC898" s="1390"/>
      <c r="AD898" s="1390"/>
      <c r="AE898" s="1390"/>
      <c r="AF898" s="1390"/>
      <c r="AG898" s="1390"/>
      <c r="AH898" s="1390"/>
      <c r="AI898" s="1390"/>
      <c r="AJ898" s="1390"/>
      <c r="AK898" s="1390"/>
    </row>
    <row r="899" spans="3:37" ht="17.25" customHeight="1" x14ac:dyDescent="0.35">
      <c r="C899" s="1390"/>
      <c r="D899" s="1390"/>
      <c r="E899" s="1390"/>
      <c r="F899" s="1390"/>
      <c r="G899" s="1390"/>
      <c r="H899" s="1390"/>
      <c r="I899" s="1390"/>
      <c r="J899" s="1390"/>
      <c r="K899" s="1390"/>
      <c r="L899" s="1390"/>
      <c r="M899" s="1390"/>
      <c r="N899" s="1390"/>
      <c r="O899" s="1390"/>
      <c r="P899" s="1390"/>
      <c r="Q899" s="1390"/>
      <c r="R899" s="1390"/>
      <c r="S899" s="1390"/>
      <c r="T899" s="1390"/>
      <c r="U899" s="1390"/>
      <c r="V899" s="1390"/>
      <c r="W899" s="1390"/>
      <c r="X899" s="1390"/>
      <c r="Y899" s="1390"/>
      <c r="Z899" s="1390"/>
      <c r="AA899" s="1390"/>
      <c r="AB899" s="1390"/>
      <c r="AC899" s="1390"/>
      <c r="AD899" s="1390"/>
      <c r="AE899" s="1390"/>
      <c r="AF899" s="1390"/>
      <c r="AG899" s="1390"/>
      <c r="AH899" s="1390"/>
      <c r="AI899" s="1390"/>
      <c r="AJ899" s="1390"/>
      <c r="AK899" s="1390"/>
    </row>
    <row r="900" spans="3:37" ht="17.25" customHeight="1" x14ac:dyDescent="0.35">
      <c r="C900" s="1390"/>
      <c r="D900" s="1390"/>
      <c r="E900" s="1390"/>
      <c r="F900" s="1390"/>
      <c r="G900" s="1390"/>
      <c r="H900" s="1390"/>
      <c r="I900" s="1390"/>
      <c r="J900" s="1390"/>
      <c r="K900" s="1390"/>
      <c r="L900" s="1390"/>
      <c r="M900" s="1390"/>
      <c r="N900" s="1390"/>
      <c r="O900" s="1390"/>
      <c r="P900" s="1390"/>
      <c r="Q900" s="1390"/>
      <c r="R900" s="1390"/>
      <c r="S900" s="1390"/>
      <c r="T900" s="1390"/>
      <c r="U900" s="1390"/>
      <c r="V900" s="1390"/>
      <c r="W900" s="1390"/>
      <c r="X900" s="1390"/>
      <c r="Y900" s="1390"/>
      <c r="Z900" s="1390"/>
      <c r="AA900" s="1390"/>
      <c r="AB900" s="1390"/>
      <c r="AC900" s="1390"/>
      <c r="AD900" s="1390"/>
      <c r="AE900" s="1390"/>
      <c r="AF900" s="1390"/>
      <c r="AG900" s="1390"/>
      <c r="AH900" s="1390"/>
      <c r="AI900" s="1390"/>
      <c r="AJ900" s="1390"/>
      <c r="AK900" s="1390"/>
    </row>
    <row r="901" spans="3:37" ht="17.25" customHeight="1" x14ac:dyDescent="0.35">
      <c r="C901" s="1390"/>
      <c r="D901" s="1390"/>
      <c r="E901" s="1390"/>
      <c r="F901" s="1390"/>
      <c r="G901" s="1390"/>
      <c r="H901" s="1390"/>
      <c r="I901" s="1390"/>
      <c r="J901" s="1390"/>
      <c r="K901" s="1390"/>
      <c r="L901" s="1390"/>
      <c r="M901" s="1390"/>
      <c r="N901" s="1390"/>
      <c r="O901" s="1390"/>
      <c r="P901" s="1390"/>
      <c r="Q901" s="1390"/>
      <c r="R901" s="1390"/>
      <c r="S901" s="1390"/>
      <c r="T901" s="1390"/>
      <c r="U901" s="1390"/>
      <c r="V901" s="1390"/>
      <c r="W901" s="1390"/>
      <c r="X901" s="1390"/>
      <c r="Y901" s="1390"/>
      <c r="Z901" s="1390"/>
      <c r="AA901" s="1390"/>
      <c r="AB901" s="1390"/>
      <c r="AC901" s="1390"/>
      <c r="AD901" s="1390"/>
      <c r="AE901" s="1390"/>
      <c r="AF901" s="1390"/>
      <c r="AG901" s="1390"/>
      <c r="AH901" s="1390"/>
      <c r="AI901" s="1390"/>
      <c r="AJ901" s="1390"/>
      <c r="AK901" s="1390"/>
    </row>
    <row r="902" spans="3:37" ht="17.25" customHeight="1" x14ac:dyDescent="0.35">
      <c r="C902" s="1390"/>
      <c r="D902" s="1390"/>
      <c r="E902" s="1390"/>
      <c r="F902" s="1390"/>
      <c r="G902" s="1390"/>
      <c r="H902" s="1390"/>
      <c r="I902" s="1390"/>
      <c r="J902" s="1390"/>
      <c r="K902" s="1390"/>
      <c r="L902" s="1390"/>
      <c r="M902" s="1390"/>
      <c r="N902" s="1390"/>
      <c r="O902" s="1390"/>
      <c r="P902" s="1390"/>
      <c r="Q902" s="1390"/>
      <c r="R902" s="1390"/>
      <c r="S902" s="1390"/>
      <c r="T902" s="1390"/>
      <c r="U902" s="1390"/>
      <c r="V902" s="1390"/>
      <c r="W902" s="1390"/>
      <c r="X902" s="1390"/>
      <c r="Y902" s="1390"/>
      <c r="Z902" s="1390"/>
      <c r="AA902" s="1390"/>
      <c r="AB902" s="1390"/>
      <c r="AC902" s="1390"/>
      <c r="AD902" s="1390"/>
      <c r="AE902" s="1390"/>
      <c r="AF902" s="1390"/>
      <c r="AG902" s="1390"/>
      <c r="AH902" s="1390"/>
      <c r="AI902" s="1390"/>
      <c r="AJ902" s="1390"/>
      <c r="AK902" s="1390"/>
    </row>
    <row r="903" spans="3:37" ht="17.25" customHeight="1" x14ac:dyDescent="0.35">
      <c r="C903" s="1390"/>
      <c r="D903" s="1390"/>
      <c r="E903" s="1390"/>
      <c r="F903" s="1390"/>
      <c r="G903" s="1390"/>
      <c r="H903" s="1390"/>
      <c r="I903" s="1390"/>
      <c r="J903" s="1390"/>
      <c r="K903" s="1390"/>
      <c r="L903" s="1390"/>
      <c r="M903" s="1390"/>
      <c r="N903" s="1390"/>
      <c r="O903" s="1390"/>
      <c r="P903" s="1390"/>
      <c r="Q903" s="1390"/>
      <c r="R903" s="1390"/>
      <c r="S903" s="1390"/>
      <c r="T903" s="1390"/>
      <c r="U903" s="1390"/>
      <c r="V903" s="1390"/>
      <c r="W903" s="1390"/>
      <c r="X903" s="1390"/>
      <c r="Y903" s="1390"/>
      <c r="Z903" s="1390"/>
      <c r="AA903" s="1390"/>
      <c r="AB903" s="1390"/>
      <c r="AC903" s="1390"/>
      <c r="AD903" s="1390"/>
      <c r="AE903" s="1390"/>
      <c r="AF903" s="1390"/>
      <c r="AG903" s="1390"/>
      <c r="AH903" s="1390"/>
      <c r="AI903" s="1390"/>
      <c r="AJ903" s="1390"/>
      <c r="AK903" s="1390"/>
    </row>
    <row r="904" spans="3:37" ht="17.25" customHeight="1" x14ac:dyDescent="0.35">
      <c r="C904" s="1390"/>
      <c r="D904" s="1390"/>
      <c r="E904" s="1390"/>
      <c r="F904" s="1390"/>
      <c r="G904" s="1390"/>
      <c r="H904" s="1390"/>
      <c r="I904" s="1390"/>
      <c r="J904" s="1390"/>
      <c r="K904" s="1390"/>
      <c r="L904" s="1390"/>
      <c r="M904" s="1390"/>
      <c r="N904" s="1390"/>
      <c r="O904" s="1390"/>
      <c r="P904" s="1390"/>
      <c r="Q904" s="1390"/>
      <c r="R904" s="1390"/>
      <c r="S904" s="1390"/>
      <c r="T904" s="1390"/>
      <c r="U904" s="1390"/>
      <c r="V904" s="1390"/>
      <c r="W904" s="1390"/>
      <c r="X904" s="1390"/>
      <c r="Y904" s="1390"/>
      <c r="Z904" s="1390"/>
      <c r="AA904" s="1390"/>
      <c r="AB904" s="1390"/>
      <c r="AC904" s="1390"/>
      <c r="AD904" s="1390"/>
      <c r="AE904" s="1390"/>
      <c r="AF904" s="1390"/>
      <c r="AG904" s="1390"/>
      <c r="AH904" s="1390"/>
      <c r="AI904" s="1390"/>
      <c r="AJ904" s="1390"/>
      <c r="AK904" s="1390"/>
    </row>
    <row r="905" spans="3:37" ht="17.25" customHeight="1" x14ac:dyDescent="0.35">
      <c r="C905" s="1390"/>
      <c r="D905" s="1390"/>
      <c r="E905" s="1390"/>
      <c r="F905" s="1390"/>
      <c r="G905" s="1390"/>
      <c r="H905" s="1390"/>
      <c r="I905" s="1390"/>
      <c r="J905" s="1390"/>
      <c r="K905" s="1390"/>
      <c r="L905" s="1390"/>
      <c r="M905" s="1390"/>
      <c r="N905" s="1390"/>
      <c r="O905" s="1390"/>
      <c r="P905" s="1390"/>
      <c r="Q905" s="1390"/>
      <c r="R905" s="1390"/>
      <c r="S905" s="1390"/>
      <c r="T905" s="1390"/>
      <c r="U905" s="1390"/>
      <c r="V905" s="1390"/>
      <c r="W905" s="1390"/>
      <c r="X905" s="1390"/>
      <c r="Y905" s="1390"/>
      <c r="Z905" s="1390"/>
      <c r="AA905" s="1390"/>
      <c r="AB905" s="1390"/>
      <c r="AC905" s="1390"/>
      <c r="AD905" s="1390"/>
      <c r="AE905" s="1390"/>
      <c r="AF905" s="1390"/>
      <c r="AG905" s="1390"/>
      <c r="AH905" s="1390"/>
      <c r="AI905" s="1390"/>
      <c r="AJ905" s="1390"/>
      <c r="AK905" s="1390"/>
    </row>
    <row r="906" spans="3:37" ht="17.25" customHeight="1" x14ac:dyDescent="0.35">
      <c r="C906" s="1390"/>
      <c r="D906" s="1390"/>
      <c r="E906" s="1390"/>
      <c r="F906" s="1390"/>
      <c r="G906" s="1390"/>
      <c r="H906" s="1390"/>
      <c r="I906" s="1390"/>
      <c r="J906" s="1390"/>
      <c r="K906" s="1390"/>
      <c r="L906" s="1390"/>
      <c r="M906" s="1390"/>
      <c r="N906" s="1390"/>
      <c r="O906" s="1390"/>
      <c r="P906" s="1390"/>
      <c r="Q906" s="1390"/>
      <c r="R906" s="1390"/>
      <c r="S906" s="1390"/>
      <c r="T906" s="1390"/>
      <c r="U906" s="1390"/>
      <c r="V906" s="1390"/>
      <c r="W906" s="1390"/>
      <c r="X906" s="1390"/>
      <c r="Y906" s="1390"/>
      <c r="Z906" s="1390"/>
      <c r="AA906" s="1390"/>
      <c r="AB906" s="1390"/>
      <c r="AC906" s="1390"/>
      <c r="AD906" s="1390"/>
      <c r="AE906" s="1390"/>
      <c r="AF906" s="1390"/>
      <c r="AG906" s="1390"/>
      <c r="AH906" s="1390"/>
      <c r="AI906" s="1390"/>
      <c r="AJ906" s="1390"/>
      <c r="AK906" s="1390"/>
    </row>
    <row r="907" spans="3:37" ht="17.25" customHeight="1" x14ac:dyDescent="0.35">
      <c r="C907" s="1390"/>
      <c r="D907" s="1390"/>
      <c r="E907" s="1390"/>
      <c r="F907" s="1390"/>
      <c r="G907" s="1390"/>
      <c r="H907" s="1390"/>
      <c r="I907" s="1390"/>
      <c r="J907" s="1390"/>
      <c r="K907" s="1390"/>
      <c r="L907" s="1390"/>
      <c r="M907" s="1390"/>
      <c r="N907" s="1390"/>
      <c r="O907" s="1390"/>
      <c r="P907" s="1390"/>
      <c r="Q907" s="1390"/>
      <c r="R907" s="1390"/>
      <c r="S907" s="1390"/>
      <c r="T907" s="1390"/>
      <c r="U907" s="1390"/>
      <c r="V907" s="1390"/>
      <c r="W907" s="1390"/>
      <c r="X907" s="1390"/>
      <c r="Y907" s="1390"/>
      <c r="Z907" s="1390"/>
      <c r="AA907" s="1390"/>
      <c r="AB907" s="1390"/>
      <c r="AC907" s="1390"/>
      <c r="AD907" s="1390"/>
      <c r="AE907" s="1390"/>
      <c r="AF907" s="1390"/>
      <c r="AG907" s="1390"/>
      <c r="AH907" s="1390"/>
      <c r="AI907" s="1390"/>
      <c r="AJ907" s="1390"/>
      <c r="AK907" s="1390"/>
    </row>
    <row r="908" spans="3:37" ht="17.25" customHeight="1" x14ac:dyDescent="0.35">
      <c r="C908" s="1390"/>
      <c r="D908" s="1390"/>
      <c r="E908" s="1390"/>
      <c r="F908" s="1390"/>
      <c r="G908" s="1390"/>
      <c r="H908" s="1390"/>
      <c r="I908" s="1390"/>
      <c r="J908" s="1390"/>
      <c r="K908" s="1390"/>
      <c r="L908" s="1390"/>
      <c r="M908" s="1390"/>
      <c r="N908" s="1390"/>
      <c r="O908" s="1390"/>
      <c r="P908" s="1390"/>
      <c r="Q908" s="1390"/>
      <c r="R908" s="1390"/>
      <c r="S908" s="1390"/>
      <c r="T908" s="1390"/>
      <c r="U908" s="1390"/>
      <c r="V908" s="1390"/>
      <c r="W908" s="1390"/>
      <c r="X908" s="1390"/>
      <c r="Y908" s="1390"/>
      <c r="Z908" s="1390"/>
      <c r="AA908" s="1390"/>
      <c r="AB908" s="1390"/>
      <c r="AC908" s="1390"/>
      <c r="AD908" s="1390"/>
      <c r="AE908" s="1390"/>
      <c r="AF908" s="1390"/>
      <c r="AG908" s="1390"/>
      <c r="AH908" s="1390"/>
      <c r="AI908" s="1390"/>
      <c r="AJ908" s="1390"/>
      <c r="AK908" s="1390"/>
    </row>
    <row r="909" spans="3:37" ht="17.25" customHeight="1" x14ac:dyDescent="0.35">
      <c r="C909" s="1390"/>
      <c r="D909" s="1390"/>
      <c r="E909" s="1390"/>
      <c r="F909" s="1390"/>
      <c r="G909" s="1390"/>
      <c r="H909" s="1390"/>
      <c r="I909" s="1390"/>
      <c r="J909" s="1390"/>
      <c r="K909" s="1390"/>
      <c r="L909" s="1390"/>
      <c r="M909" s="1390"/>
      <c r="N909" s="1390"/>
      <c r="O909" s="1390"/>
      <c r="P909" s="1390"/>
      <c r="Q909" s="1390"/>
      <c r="R909" s="1390"/>
      <c r="S909" s="1390"/>
      <c r="T909" s="1390"/>
      <c r="U909" s="1390"/>
      <c r="V909" s="1390"/>
      <c r="W909" s="1390"/>
      <c r="X909" s="1390"/>
      <c r="Y909" s="1390"/>
      <c r="Z909" s="1390"/>
      <c r="AA909" s="1390"/>
      <c r="AB909" s="1390"/>
      <c r="AC909" s="1390"/>
      <c r="AD909" s="1390"/>
      <c r="AE909" s="1390"/>
      <c r="AF909" s="1390"/>
      <c r="AG909" s="1390"/>
      <c r="AH909" s="1390"/>
      <c r="AI909" s="1390"/>
      <c r="AJ909" s="1390"/>
      <c r="AK909" s="1390"/>
    </row>
    <row r="910" spans="3:37" ht="17.25" customHeight="1" x14ac:dyDescent="0.35">
      <c r="C910" s="1390"/>
      <c r="D910" s="1390"/>
      <c r="E910" s="1390"/>
      <c r="F910" s="1390"/>
      <c r="G910" s="1390"/>
      <c r="H910" s="1390"/>
      <c r="I910" s="1390"/>
      <c r="J910" s="1390"/>
      <c r="K910" s="1390"/>
      <c r="L910" s="1390"/>
      <c r="M910" s="1390"/>
      <c r="N910" s="1390"/>
      <c r="O910" s="1390"/>
      <c r="P910" s="1390"/>
      <c r="Q910" s="1390"/>
      <c r="R910" s="1390"/>
      <c r="S910" s="1390"/>
      <c r="T910" s="1390"/>
      <c r="U910" s="1390"/>
      <c r="V910" s="1390"/>
      <c r="W910" s="1390"/>
      <c r="X910" s="1390"/>
      <c r="Y910" s="1390"/>
      <c r="Z910" s="1390"/>
      <c r="AA910" s="1390"/>
      <c r="AB910" s="1390"/>
      <c r="AC910" s="1390"/>
      <c r="AD910" s="1390"/>
      <c r="AE910" s="1390"/>
      <c r="AF910" s="1390"/>
      <c r="AG910" s="1390"/>
      <c r="AH910" s="1390"/>
      <c r="AI910" s="1390"/>
      <c r="AJ910" s="1390"/>
      <c r="AK910" s="1390"/>
    </row>
    <row r="911" spans="3:37" ht="17.25" customHeight="1" x14ac:dyDescent="0.35">
      <c r="C911" s="1390"/>
      <c r="D911" s="1390"/>
      <c r="E911" s="1390"/>
      <c r="F911" s="1390"/>
      <c r="G911" s="1390"/>
      <c r="H911" s="1390"/>
      <c r="I911" s="1390"/>
      <c r="J911" s="1390"/>
      <c r="K911" s="1390"/>
      <c r="L911" s="1390"/>
      <c r="M911" s="1390"/>
      <c r="N911" s="1390"/>
      <c r="O911" s="1390"/>
      <c r="P911" s="1390"/>
      <c r="Q911" s="1390"/>
      <c r="R911" s="1390"/>
      <c r="S911" s="1390"/>
      <c r="T911" s="1390"/>
      <c r="U911" s="1390"/>
      <c r="V911" s="1390"/>
      <c r="W911" s="1390"/>
      <c r="X911" s="1390"/>
      <c r="Y911" s="1390"/>
      <c r="Z911" s="1390"/>
      <c r="AA911" s="1390"/>
      <c r="AB911" s="1390"/>
      <c r="AC911" s="1390"/>
      <c r="AD911" s="1390"/>
      <c r="AE911" s="1390"/>
      <c r="AF911" s="1390"/>
      <c r="AG911" s="1390"/>
      <c r="AH911" s="1390"/>
      <c r="AI911" s="1390"/>
      <c r="AJ911" s="1390"/>
      <c r="AK911" s="1390"/>
    </row>
    <row r="912" spans="3:37" ht="17.25" customHeight="1" x14ac:dyDescent="0.35">
      <c r="C912" s="1390"/>
      <c r="D912" s="1390"/>
      <c r="E912" s="1390"/>
      <c r="F912" s="1390"/>
      <c r="G912" s="1390"/>
      <c r="H912" s="1390"/>
      <c r="I912" s="1390"/>
      <c r="J912" s="1390"/>
      <c r="K912" s="1390"/>
      <c r="L912" s="1390"/>
      <c r="M912" s="1390"/>
      <c r="N912" s="1390"/>
      <c r="O912" s="1390"/>
      <c r="P912" s="1390"/>
      <c r="Q912" s="1390"/>
      <c r="R912" s="1390"/>
      <c r="S912" s="1390"/>
      <c r="T912" s="1390"/>
      <c r="U912" s="1390"/>
      <c r="V912" s="1390"/>
      <c r="W912" s="1390"/>
      <c r="X912" s="1390"/>
      <c r="Y912" s="1390"/>
      <c r="Z912" s="1390"/>
      <c r="AA912" s="1390"/>
      <c r="AB912" s="1390"/>
      <c r="AC912" s="1390"/>
      <c r="AD912" s="1390"/>
      <c r="AE912" s="1390"/>
      <c r="AF912" s="1390"/>
      <c r="AG912" s="1390"/>
      <c r="AH912" s="1390"/>
      <c r="AI912" s="1390"/>
      <c r="AJ912" s="1390"/>
      <c r="AK912" s="1390"/>
    </row>
    <row r="913" spans="3:37" ht="17.25" customHeight="1" x14ac:dyDescent="0.35">
      <c r="C913" s="1390"/>
      <c r="D913" s="1390"/>
      <c r="E913" s="1390"/>
      <c r="F913" s="1390"/>
      <c r="G913" s="1390"/>
      <c r="H913" s="1390"/>
      <c r="I913" s="1390"/>
      <c r="J913" s="1390"/>
      <c r="K913" s="1390"/>
      <c r="L913" s="1390"/>
      <c r="M913" s="1390"/>
      <c r="N913" s="1390"/>
      <c r="O913" s="1390"/>
      <c r="P913" s="1390"/>
      <c r="Q913" s="1390"/>
      <c r="R913" s="1390"/>
      <c r="S913" s="1390"/>
      <c r="T913" s="1390"/>
      <c r="U913" s="1390"/>
      <c r="V913" s="1390"/>
      <c r="W913" s="1390"/>
      <c r="X913" s="1390"/>
      <c r="Y913" s="1390"/>
      <c r="Z913" s="1390"/>
      <c r="AA913" s="1390"/>
      <c r="AB913" s="1390"/>
      <c r="AC913" s="1390"/>
      <c r="AD913" s="1390"/>
      <c r="AE913" s="1390"/>
      <c r="AF913" s="1390"/>
      <c r="AG913" s="1390"/>
      <c r="AH913" s="1390"/>
      <c r="AI913" s="1390"/>
      <c r="AJ913" s="1390"/>
      <c r="AK913" s="1390"/>
    </row>
    <row r="914" spans="3:37" ht="17.25" customHeight="1" x14ac:dyDescent="0.35">
      <c r="C914" s="1390"/>
      <c r="D914" s="1390"/>
      <c r="E914" s="1390"/>
      <c r="F914" s="1390"/>
      <c r="G914" s="1390"/>
      <c r="H914" s="1390"/>
      <c r="I914" s="1390"/>
      <c r="J914" s="1390"/>
      <c r="K914" s="1390"/>
      <c r="L914" s="1390"/>
      <c r="M914" s="1390"/>
      <c r="N914" s="1390"/>
      <c r="O914" s="1390"/>
      <c r="P914" s="1390"/>
      <c r="Q914" s="1390"/>
      <c r="R914" s="1390"/>
      <c r="S914" s="1390"/>
      <c r="T914" s="1390"/>
      <c r="U914" s="1390"/>
      <c r="V914" s="1390"/>
      <c r="W914" s="1390"/>
      <c r="X914" s="1390"/>
      <c r="Y914" s="1390"/>
      <c r="Z914" s="1390"/>
      <c r="AA914" s="1390"/>
      <c r="AB914" s="1390"/>
      <c r="AC914" s="1390"/>
      <c r="AD914" s="1390"/>
      <c r="AE914" s="1390"/>
      <c r="AF914" s="1390"/>
      <c r="AG914" s="1390"/>
      <c r="AH914" s="1390"/>
      <c r="AI914" s="1390"/>
      <c r="AJ914" s="1390"/>
      <c r="AK914" s="1390"/>
    </row>
    <row r="915" spans="3:37" ht="17.25" customHeight="1" x14ac:dyDescent="0.35">
      <c r="C915" s="1390"/>
      <c r="D915" s="1390"/>
      <c r="E915" s="1390"/>
      <c r="F915" s="1390"/>
      <c r="G915" s="1390"/>
      <c r="H915" s="1390"/>
      <c r="I915" s="1390"/>
      <c r="J915" s="1390"/>
      <c r="K915" s="1390"/>
      <c r="L915" s="1390"/>
      <c r="M915" s="1390"/>
      <c r="N915" s="1390"/>
      <c r="O915" s="1390"/>
      <c r="P915" s="1390"/>
      <c r="Q915" s="1390"/>
      <c r="R915" s="1390"/>
      <c r="S915" s="1390"/>
      <c r="T915" s="1390"/>
      <c r="U915" s="1390"/>
      <c r="V915" s="1390"/>
      <c r="W915" s="1390"/>
      <c r="X915" s="1390"/>
      <c r="Y915" s="1390"/>
      <c r="Z915" s="1390"/>
      <c r="AA915" s="1390"/>
      <c r="AB915" s="1390"/>
      <c r="AC915" s="1390"/>
      <c r="AD915" s="1390"/>
      <c r="AE915" s="1390"/>
      <c r="AF915" s="1390"/>
      <c r="AG915" s="1390"/>
      <c r="AH915" s="1390"/>
      <c r="AI915" s="1390"/>
      <c r="AJ915" s="1390"/>
      <c r="AK915" s="1390"/>
    </row>
    <row r="916" spans="3:37" ht="17.25" customHeight="1" x14ac:dyDescent="0.35">
      <c r="C916" s="1390"/>
      <c r="D916" s="1390"/>
      <c r="E916" s="1390"/>
      <c r="F916" s="1390"/>
      <c r="G916" s="1390"/>
      <c r="H916" s="1390"/>
      <c r="I916" s="1390"/>
      <c r="J916" s="1390"/>
      <c r="K916" s="1390"/>
      <c r="L916" s="1390"/>
      <c r="M916" s="1390"/>
      <c r="N916" s="1390"/>
      <c r="O916" s="1390"/>
      <c r="P916" s="1390"/>
      <c r="Q916" s="1390"/>
      <c r="R916" s="1390"/>
      <c r="S916" s="1390"/>
      <c r="T916" s="1390"/>
      <c r="U916" s="1390"/>
      <c r="V916" s="1390"/>
      <c r="W916" s="1390"/>
      <c r="X916" s="1390"/>
      <c r="Y916" s="1390"/>
      <c r="Z916" s="1390"/>
      <c r="AA916" s="1390"/>
      <c r="AB916" s="1390"/>
      <c r="AC916" s="1390"/>
      <c r="AD916" s="1390"/>
      <c r="AE916" s="1390"/>
      <c r="AF916" s="1390"/>
      <c r="AG916" s="1390"/>
      <c r="AH916" s="1390"/>
      <c r="AI916" s="1390"/>
      <c r="AJ916" s="1390"/>
      <c r="AK916" s="1390"/>
    </row>
    <row r="917" spans="3:37" ht="17.25" customHeight="1" x14ac:dyDescent="0.35">
      <c r="C917" s="1390"/>
      <c r="D917" s="1390"/>
      <c r="E917" s="1390"/>
      <c r="F917" s="1390"/>
      <c r="G917" s="1390"/>
      <c r="H917" s="1390"/>
      <c r="I917" s="1390"/>
      <c r="J917" s="1390"/>
      <c r="K917" s="1390"/>
      <c r="L917" s="1390"/>
      <c r="M917" s="1390"/>
      <c r="N917" s="1390"/>
      <c r="O917" s="1390"/>
      <c r="P917" s="1390"/>
      <c r="Q917" s="1390"/>
      <c r="R917" s="1390"/>
      <c r="S917" s="1390"/>
      <c r="T917" s="1390"/>
      <c r="U917" s="1390"/>
      <c r="V917" s="1390"/>
      <c r="W917" s="1390"/>
      <c r="X917" s="1390"/>
      <c r="Y917" s="1390"/>
      <c r="Z917" s="1390"/>
      <c r="AA917" s="1390"/>
      <c r="AB917" s="1390"/>
      <c r="AC917" s="1390"/>
      <c r="AD917" s="1390"/>
      <c r="AE917" s="1390"/>
      <c r="AF917" s="1390"/>
      <c r="AG917" s="1390"/>
      <c r="AH917" s="1390"/>
      <c r="AI917" s="1390"/>
      <c r="AJ917" s="1390"/>
      <c r="AK917" s="1390"/>
    </row>
    <row r="918" spans="3:37" ht="17.25" customHeight="1" x14ac:dyDescent="0.35">
      <c r="C918" s="1390"/>
      <c r="D918" s="1390"/>
      <c r="E918" s="1390"/>
      <c r="F918" s="1390"/>
      <c r="G918" s="1390"/>
      <c r="H918" s="1390"/>
      <c r="I918" s="1390"/>
      <c r="J918" s="1390"/>
      <c r="K918" s="1390"/>
      <c r="L918" s="1390"/>
      <c r="M918" s="1390"/>
      <c r="N918" s="1390"/>
      <c r="O918" s="1390"/>
      <c r="P918" s="1390"/>
      <c r="Q918" s="1390"/>
      <c r="R918" s="1390"/>
      <c r="S918" s="1390"/>
      <c r="T918" s="1390"/>
      <c r="U918" s="1390"/>
      <c r="V918" s="1390"/>
      <c r="W918" s="1390"/>
      <c r="X918" s="1390"/>
      <c r="Y918" s="1390"/>
      <c r="Z918" s="1390"/>
      <c r="AA918" s="1390"/>
      <c r="AB918" s="1390"/>
      <c r="AC918" s="1390"/>
      <c r="AD918" s="1390"/>
      <c r="AE918" s="1390"/>
      <c r="AF918" s="1390"/>
      <c r="AG918" s="1390"/>
      <c r="AH918" s="1390"/>
      <c r="AI918" s="1390"/>
      <c r="AJ918" s="1390"/>
      <c r="AK918" s="1390"/>
    </row>
    <row r="919" spans="3:37" ht="17.25" customHeight="1" x14ac:dyDescent="0.35">
      <c r="C919" s="1390"/>
      <c r="D919" s="1390"/>
      <c r="E919" s="1390"/>
      <c r="F919" s="1390"/>
      <c r="G919" s="1390"/>
      <c r="H919" s="1390"/>
      <c r="I919" s="1390"/>
      <c r="J919" s="1390"/>
      <c r="K919" s="1390"/>
      <c r="L919" s="1390"/>
      <c r="M919" s="1390"/>
      <c r="N919" s="1390"/>
      <c r="O919" s="1390"/>
      <c r="P919" s="1390"/>
      <c r="Q919" s="1390"/>
      <c r="R919" s="1390"/>
      <c r="S919" s="1390"/>
      <c r="T919" s="1390"/>
      <c r="U919" s="1390"/>
      <c r="V919" s="1390"/>
      <c r="W919" s="1390"/>
      <c r="X919" s="1390"/>
      <c r="Y919" s="1390"/>
      <c r="Z919" s="1390"/>
      <c r="AA919" s="1390"/>
      <c r="AB919" s="1390"/>
      <c r="AC919" s="1390"/>
      <c r="AD919" s="1390"/>
      <c r="AE919" s="1390"/>
      <c r="AF919" s="1390"/>
      <c r="AG919" s="1390"/>
      <c r="AH919" s="1390"/>
      <c r="AI919" s="1390"/>
      <c r="AJ919" s="1390"/>
      <c r="AK919" s="1390"/>
    </row>
    <row r="920" spans="3:37" ht="17.25" customHeight="1" x14ac:dyDescent="0.35">
      <c r="C920" s="1390"/>
      <c r="D920" s="1390"/>
      <c r="E920" s="1390"/>
      <c r="F920" s="1390"/>
      <c r="G920" s="1390"/>
      <c r="H920" s="1390"/>
      <c r="I920" s="1390"/>
      <c r="J920" s="1390"/>
      <c r="K920" s="1390"/>
      <c r="L920" s="1390"/>
      <c r="M920" s="1390"/>
      <c r="N920" s="1390"/>
      <c r="O920" s="1390"/>
      <c r="P920" s="1390"/>
      <c r="Q920" s="1390"/>
      <c r="R920" s="1390"/>
      <c r="S920" s="1390"/>
      <c r="T920" s="1390"/>
      <c r="U920" s="1390"/>
      <c r="V920" s="1390"/>
      <c r="W920" s="1390"/>
      <c r="X920" s="1390"/>
      <c r="Y920" s="1390"/>
      <c r="Z920" s="1390"/>
      <c r="AA920" s="1390"/>
      <c r="AB920" s="1390"/>
      <c r="AC920" s="1390"/>
      <c r="AD920" s="1390"/>
      <c r="AE920" s="1390"/>
      <c r="AF920" s="1390"/>
      <c r="AG920" s="1390"/>
      <c r="AH920" s="1390"/>
      <c r="AI920" s="1390"/>
      <c r="AJ920" s="1390"/>
      <c r="AK920" s="1390"/>
    </row>
    <row r="921" spans="3:37" ht="17.25" customHeight="1" x14ac:dyDescent="0.35">
      <c r="C921" s="1390"/>
      <c r="D921" s="1390"/>
      <c r="E921" s="1390"/>
      <c r="F921" s="1390"/>
      <c r="G921" s="1390"/>
      <c r="H921" s="1390"/>
      <c r="I921" s="1390"/>
      <c r="J921" s="1390"/>
      <c r="K921" s="1390"/>
      <c r="L921" s="1390"/>
      <c r="M921" s="1390"/>
      <c r="N921" s="1390"/>
      <c r="O921" s="1390"/>
      <c r="P921" s="1390"/>
      <c r="Q921" s="1390"/>
      <c r="R921" s="1390"/>
      <c r="S921" s="1390"/>
      <c r="T921" s="1390"/>
      <c r="U921" s="1390"/>
      <c r="V921" s="1390"/>
      <c r="W921" s="1390"/>
      <c r="X921" s="1390"/>
      <c r="Y921" s="1390"/>
      <c r="Z921" s="1390"/>
      <c r="AA921" s="1390"/>
      <c r="AB921" s="1390"/>
      <c r="AC921" s="1390"/>
      <c r="AD921" s="1390"/>
      <c r="AE921" s="1390"/>
      <c r="AF921" s="1390"/>
      <c r="AG921" s="1390"/>
      <c r="AH921" s="1390"/>
      <c r="AI921" s="1390"/>
      <c r="AJ921" s="1390"/>
      <c r="AK921" s="1390"/>
    </row>
    <row r="922" spans="3:37" ht="17.25" customHeight="1" x14ac:dyDescent="0.35">
      <c r="C922" s="1390"/>
      <c r="D922" s="1390"/>
      <c r="E922" s="1390"/>
      <c r="F922" s="1390"/>
      <c r="G922" s="1390"/>
      <c r="H922" s="1390"/>
      <c r="I922" s="1390"/>
      <c r="J922" s="1390"/>
      <c r="K922" s="1390"/>
      <c r="L922" s="1390"/>
      <c r="M922" s="1390"/>
      <c r="N922" s="1390"/>
      <c r="O922" s="1390"/>
      <c r="P922" s="1390"/>
      <c r="Q922" s="1390"/>
      <c r="R922" s="1390"/>
      <c r="S922" s="1390"/>
      <c r="T922" s="1390"/>
      <c r="U922" s="1390"/>
      <c r="V922" s="1390"/>
      <c r="W922" s="1390"/>
      <c r="X922" s="1390"/>
      <c r="Y922" s="1390"/>
      <c r="Z922" s="1390"/>
      <c r="AA922" s="1390"/>
      <c r="AB922" s="1390"/>
      <c r="AC922" s="1390"/>
      <c r="AD922" s="1390"/>
      <c r="AE922" s="1390"/>
      <c r="AF922" s="1390"/>
      <c r="AG922" s="1390"/>
      <c r="AH922" s="1390"/>
      <c r="AI922" s="1390"/>
      <c r="AJ922" s="1390"/>
      <c r="AK922" s="1390"/>
    </row>
    <row r="923" spans="3:37" ht="17.25" customHeight="1" x14ac:dyDescent="0.35">
      <c r="C923" s="1390"/>
      <c r="D923" s="1390"/>
      <c r="E923" s="1390"/>
      <c r="F923" s="1390"/>
      <c r="G923" s="1390"/>
      <c r="H923" s="1390"/>
      <c r="I923" s="1390"/>
      <c r="J923" s="1390"/>
      <c r="K923" s="1390"/>
      <c r="L923" s="1390"/>
      <c r="M923" s="1390"/>
      <c r="N923" s="1390"/>
      <c r="O923" s="1390"/>
      <c r="P923" s="1390"/>
      <c r="Q923" s="1390"/>
      <c r="R923" s="1390"/>
      <c r="S923" s="1390"/>
      <c r="T923" s="1390"/>
      <c r="U923" s="1390"/>
      <c r="V923" s="1390"/>
      <c r="W923" s="1390"/>
      <c r="X923" s="1390"/>
      <c r="Y923" s="1390"/>
      <c r="Z923" s="1390"/>
      <c r="AA923" s="1390"/>
      <c r="AB923" s="1390"/>
      <c r="AC923" s="1390"/>
      <c r="AD923" s="1390"/>
      <c r="AE923" s="1390"/>
      <c r="AF923" s="1390"/>
      <c r="AG923" s="1390"/>
      <c r="AH923" s="1390"/>
      <c r="AI923" s="1390"/>
      <c r="AJ923" s="1390"/>
      <c r="AK923" s="1390"/>
    </row>
    <row r="924" spans="3:37" ht="17.25" customHeight="1" x14ac:dyDescent="0.35">
      <c r="C924" s="1390"/>
      <c r="D924" s="1390"/>
      <c r="E924" s="1390"/>
      <c r="F924" s="1390"/>
      <c r="G924" s="1390"/>
      <c r="H924" s="1390"/>
      <c r="I924" s="1390"/>
      <c r="J924" s="1390"/>
      <c r="K924" s="1390"/>
      <c r="L924" s="1390"/>
      <c r="M924" s="1390"/>
      <c r="N924" s="1390"/>
      <c r="O924" s="1390"/>
      <c r="P924" s="1390"/>
      <c r="Q924" s="1390"/>
      <c r="R924" s="1390"/>
      <c r="S924" s="1390"/>
      <c r="T924" s="1390"/>
      <c r="U924" s="1390"/>
      <c r="V924" s="1390"/>
      <c r="W924" s="1390"/>
      <c r="X924" s="1390"/>
      <c r="Y924" s="1390"/>
      <c r="Z924" s="1390"/>
      <c r="AA924" s="1390"/>
      <c r="AB924" s="1390"/>
      <c r="AC924" s="1390"/>
      <c r="AD924" s="1390"/>
      <c r="AE924" s="1390"/>
      <c r="AF924" s="1390"/>
      <c r="AG924" s="1390"/>
      <c r="AH924" s="1390"/>
      <c r="AI924" s="1390"/>
      <c r="AJ924" s="1390"/>
      <c r="AK924" s="1390"/>
    </row>
    <row r="925" spans="3:37" ht="17.25" customHeight="1" x14ac:dyDescent="0.35">
      <c r="C925" s="1390"/>
      <c r="D925" s="1390"/>
      <c r="E925" s="1390"/>
      <c r="F925" s="1390"/>
      <c r="G925" s="1390"/>
      <c r="H925" s="1390"/>
      <c r="I925" s="1390"/>
      <c r="J925" s="1390"/>
      <c r="K925" s="1390"/>
      <c r="L925" s="1390"/>
      <c r="M925" s="1390"/>
      <c r="N925" s="1390"/>
      <c r="O925" s="1390"/>
      <c r="P925" s="1390"/>
      <c r="Q925" s="1390"/>
      <c r="R925" s="1390"/>
      <c r="S925" s="1390"/>
      <c r="T925" s="1390"/>
      <c r="U925" s="1390"/>
      <c r="V925" s="1390"/>
      <c r="W925" s="1390"/>
      <c r="X925" s="1390"/>
      <c r="Y925" s="1390"/>
      <c r="Z925" s="1390"/>
      <c r="AA925" s="1390"/>
      <c r="AB925" s="1390"/>
      <c r="AC925" s="1390"/>
      <c r="AD925" s="1390"/>
      <c r="AE925" s="1390"/>
      <c r="AF925" s="1390"/>
      <c r="AG925" s="1390"/>
      <c r="AH925" s="1390"/>
      <c r="AI925" s="1390"/>
      <c r="AJ925" s="1390"/>
      <c r="AK925" s="1390"/>
    </row>
    <row r="926" spans="3:37" ht="17.25" customHeight="1" x14ac:dyDescent="0.35">
      <c r="C926" s="1390"/>
      <c r="D926" s="1390"/>
      <c r="E926" s="1390"/>
      <c r="F926" s="1390"/>
      <c r="G926" s="1390"/>
      <c r="H926" s="1390"/>
      <c r="I926" s="1390"/>
      <c r="J926" s="1390"/>
      <c r="K926" s="1390"/>
      <c r="L926" s="1390"/>
      <c r="M926" s="1390"/>
      <c r="N926" s="1390"/>
      <c r="O926" s="1390"/>
      <c r="P926" s="1390"/>
      <c r="Q926" s="1390"/>
      <c r="R926" s="1390"/>
      <c r="S926" s="1390"/>
      <c r="T926" s="1390"/>
      <c r="U926" s="1390"/>
      <c r="V926" s="1390"/>
      <c r="W926" s="1390"/>
      <c r="X926" s="1390"/>
      <c r="Y926" s="1390"/>
      <c r="Z926" s="1390"/>
      <c r="AA926" s="1390"/>
      <c r="AB926" s="1390"/>
      <c r="AC926" s="1390"/>
      <c r="AD926" s="1390"/>
      <c r="AE926" s="1390"/>
      <c r="AF926" s="1390"/>
      <c r="AG926" s="1390"/>
      <c r="AH926" s="1390"/>
      <c r="AI926" s="1390"/>
      <c r="AJ926" s="1390"/>
      <c r="AK926" s="1390"/>
    </row>
    <row r="927" spans="3:37" ht="17.25" customHeight="1" x14ac:dyDescent="0.35">
      <c r="C927" s="1390"/>
      <c r="D927" s="1390"/>
      <c r="E927" s="1390"/>
      <c r="F927" s="1390"/>
      <c r="G927" s="1390"/>
      <c r="H927" s="1390"/>
      <c r="I927" s="1390"/>
      <c r="J927" s="1390"/>
      <c r="K927" s="1390"/>
      <c r="L927" s="1390"/>
      <c r="M927" s="1390"/>
      <c r="N927" s="1390"/>
      <c r="O927" s="1390"/>
      <c r="P927" s="1390"/>
      <c r="Q927" s="1390"/>
      <c r="R927" s="1390"/>
      <c r="S927" s="1390"/>
      <c r="T927" s="1390"/>
      <c r="U927" s="1390"/>
      <c r="V927" s="1390"/>
      <c r="W927" s="1390"/>
      <c r="X927" s="1390"/>
      <c r="Y927" s="1390"/>
      <c r="Z927" s="1390"/>
      <c r="AA927" s="1390"/>
      <c r="AB927" s="1390"/>
      <c r="AC927" s="1390"/>
      <c r="AD927" s="1390"/>
      <c r="AE927" s="1390"/>
      <c r="AF927" s="1390"/>
      <c r="AG927" s="1390"/>
      <c r="AH927" s="1390"/>
      <c r="AI927" s="1390"/>
      <c r="AJ927" s="1390"/>
      <c r="AK927" s="1390"/>
    </row>
    <row r="928" spans="3:37" ht="17.25" customHeight="1" x14ac:dyDescent="0.35">
      <c r="C928" s="1390"/>
      <c r="D928" s="1390"/>
      <c r="E928" s="1390"/>
      <c r="F928" s="1390"/>
      <c r="G928" s="1390"/>
      <c r="H928" s="1390"/>
      <c r="I928" s="1390"/>
      <c r="J928" s="1390"/>
      <c r="K928" s="1390"/>
      <c r="L928" s="1390"/>
      <c r="M928" s="1390"/>
      <c r="N928" s="1390"/>
      <c r="O928" s="1390"/>
      <c r="P928" s="1390"/>
      <c r="Q928" s="1390"/>
      <c r="R928" s="1390"/>
      <c r="S928" s="1390"/>
      <c r="T928" s="1390"/>
      <c r="U928" s="1390"/>
      <c r="V928" s="1390"/>
      <c r="W928" s="1390"/>
      <c r="X928" s="1390"/>
      <c r="Y928" s="1390"/>
      <c r="Z928" s="1390"/>
      <c r="AA928" s="1390"/>
      <c r="AB928" s="1390"/>
      <c r="AC928" s="1390"/>
      <c r="AD928" s="1390"/>
      <c r="AE928" s="1390"/>
      <c r="AF928" s="1390"/>
      <c r="AG928" s="1390"/>
      <c r="AH928" s="1390"/>
      <c r="AI928" s="1390"/>
      <c r="AJ928" s="1390"/>
      <c r="AK928" s="1390"/>
    </row>
    <row r="929" spans="3:37" ht="17.25" customHeight="1" x14ac:dyDescent="0.35">
      <c r="C929" s="1390"/>
      <c r="D929" s="1390"/>
      <c r="E929" s="1390"/>
      <c r="F929" s="1390"/>
      <c r="G929" s="1390"/>
      <c r="H929" s="1390"/>
      <c r="I929" s="1390"/>
      <c r="J929" s="1390"/>
      <c r="K929" s="1390"/>
      <c r="L929" s="1390"/>
      <c r="M929" s="1390"/>
      <c r="N929" s="1390"/>
      <c r="O929" s="1390"/>
      <c r="P929" s="1390"/>
      <c r="Q929" s="1390"/>
      <c r="R929" s="1390"/>
      <c r="S929" s="1390"/>
      <c r="T929" s="1390"/>
      <c r="U929" s="1390"/>
      <c r="V929" s="1390"/>
      <c r="W929" s="1390"/>
      <c r="X929" s="1390"/>
      <c r="Y929" s="1390"/>
      <c r="Z929" s="1390"/>
      <c r="AA929" s="1390"/>
      <c r="AB929" s="1390"/>
      <c r="AC929" s="1390"/>
      <c r="AD929" s="1390"/>
      <c r="AE929" s="1390"/>
      <c r="AF929" s="1390"/>
      <c r="AG929" s="1390"/>
      <c r="AH929" s="1390"/>
      <c r="AI929" s="1390"/>
      <c r="AJ929" s="1390"/>
      <c r="AK929" s="1390"/>
    </row>
    <row r="930" spans="3:37" ht="17.25" customHeight="1" x14ac:dyDescent="0.35">
      <c r="C930" s="1390"/>
      <c r="D930" s="1390"/>
      <c r="E930" s="1390"/>
      <c r="F930" s="1390"/>
      <c r="G930" s="1390"/>
      <c r="H930" s="1390"/>
      <c r="I930" s="1390"/>
      <c r="J930" s="1390"/>
      <c r="K930" s="1390"/>
      <c r="L930" s="1390"/>
      <c r="M930" s="1390"/>
      <c r="N930" s="1390"/>
      <c r="O930" s="1390"/>
      <c r="P930" s="1390"/>
      <c r="Q930" s="1390"/>
      <c r="R930" s="1390"/>
      <c r="S930" s="1390"/>
      <c r="T930" s="1390"/>
      <c r="U930" s="1390"/>
      <c r="V930" s="1390"/>
      <c r="W930" s="1390"/>
      <c r="X930" s="1390"/>
      <c r="Y930" s="1390"/>
      <c r="Z930" s="1390"/>
      <c r="AA930" s="1390"/>
      <c r="AB930" s="1390"/>
      <c r="AC930" s="1390"/>
      <c r="AD930" s="1390"/>
      <c r="AE930" s="1390"/>
      <c r="AF930" s="1390"/>
      <c r="AG930" s="1390"/>
      <c r="AH930" s="1390"/>
      <c r="AI930" s="1390"/>
      <c r="AJ930" s="1390"/>
      <c r="AK930" s="1390"/>
    </row>
    <row r="931" spans="3:37" ht="17.25" customHeight="1" x14ac:dyDescent="0.35">
      <c r="C931" s="1390"/>
      <c r="D931" s="1390"/>
      <c r="E931" s="1390"/>
      <c r="F931" s="1390"/>
      <c r="G931" s="1390"/>
      <c r="H931" s="1390"/>
      <c r="I931" s="1390"/>
      <c r="J931" s="1390"/>
      <c r="K931" s="1390"/>
      <c r="L931" s="1390"/>
      <c r="M931" s="1390"/>
      <c r="N931" s="1390"/>
      <c r="O931" s="1390"/>
      <c r="P931" s="1390"/>
      <c r="Q931" s="1390"/>
      <c r="R931" s="1390"/>
      <c r="S931" s="1390"/>
      <c r="T931" s="1390"/>
      <c r="U931" s="1390"/>
      <c r="V931" s="1390"/>
      <c r="W931" s="1390"/>
      <c r="X931" s="1390"/>
      <c r="Y931" s="1390"/>
      <c r="Z931" s="1390"/>
      <c r="AA931" s="1390"/>
      <c r="AB931" s="1390"/>
      <c r="AC931" s="1390"/>
      <c r="AD931" s="1390"/>
      <c r="AE931" s="1390"/>
      <c r="AF931" s="1390"/>
      <c r="AG931" s="1390"/>
      <c r="AH931" s="1390"/>
      <c r="AI931" s="1390"/>
      <c r="AJ931" s="1390"/>
      <c r="AK931" s="1390"/>
    </row>
    <row r="932" spans="3:37" ht="17.25" customHeight="1" x14ac:dyDescent="0.35">
      <c r="C932" s="1390"/>
      <c r="D932" s="1390"/>
      <c r="E932" s="1390"/>
      <c r="F932" s="1390"/>
      <c r="G932" s="1390"/>
      <c r="H932" s="1390"/>
      <c r="I932" s="1390"/>
      <c r="J932" s="1390"/>
      <c r="K932" s="1390"/>
      <c r="L932" s="1390"/>
      <c r="M932" s="1390"/>
      <c r="N932" s="1390"/>
      <c r="O932" s="1390"/>
      <c r="P932" s="1390"/>
      <c r="Q932" s="1390"/>
      <c r="R932" s="1390"/>
      <c r="S932" s="1390"/>
      <c r="T932" s="1390"/>
      <c r="U932" s="1390"/>
      <c r="V932" s="1390"/>
      <c r="W932" s="1390"/>
      <c r="X932" s="1390"/>
      <c r="Y932" s="1390"/>
      <c r="Z932" s="1390"/>
      <c r="AA932" s="1390"/>
      <c r="AB932" s="1390"/>
      <c r="AC932" s="1390"/>
      <c r="AD932" s="1390"/>
      <c r="AE932" s="1390"/>
      <c r="AF932" s="1390"/>
      <c r="AG932" s="1390"/>
      <c r="AH932" s="1390"/>
      <c r="AI932" s="1390"/>
      <c r="AJ932" s="1390"/>
      <c r="AK932" s="1390"/>
    </row>
    <row r="933" spans="3:37" ht="17.25" customHeight="1" x14ac:dyDescent="0.35">
      <c r="C933" s="1390"/>
      <c r="D933" s="1390"/>
      <c r="E933" s="1390"/>
      <c r="F933" s="1390"/>
      <c r="G933" s="1390"/>
      <c r="H933" s="1390"/>
      <c r="I933" s="1390"/>
      <c r="J933" s="1390"/>
      <c r="K933" s="1390"/>
      <c r="L933" s="1390"/>
      <c r="M933" s="1390"/>
      <c r="N933" s="1390"/>
      <c r="O933" s="1390"/>
      <c r="P933" s="1390"/>
      <c r="Q933" s="1390"/>
      <c r="R933" s="1390"/>
      <c r="S933" s="1390"/>
      <c r="T933" s="1390"/>
      <c r="U933" s="1390"/>
      <c r="V933" s="1390"/>
      <c r="W933" s="1390"/>
      <c r="X933" s="1390"/>
      <c r="Y933" s="1390"/>
      <c r="Z933" s="1390"/>
      <c r="AA933" s="1390"/>
      <c r="AB933" s="1390"/>
      <c r="AC933" s="1390"/>
      <c r="AD933" s="1390"/>
      <c r="AE933" s="1390"/>
      <c r="AF933" s="1390"/>
      <c r="AG933" s="1390"/>
      <c r="AH933" s="1390"/>
      <c r="AI933" s="1390"/>
      <c r="AJ933" s="1390"/>
      <c r="AK933" s="1390"/>
    </row>
    <row r="934" spans="3:37" ht="17.25" customHeight="1" x14ac:dyDescent="0.35">
      <c r="C934" s="1390"/>
      <c r="D934" s="1390"/>
      <c r="E934" s="1390"/>
      <c r="F934" s="1390"/>
      <c r="G934" s="1390"/>
      <c r="H934" s="1390"/>
      <c r="I934" s="1390"/>
      <c r="J934" s="1390"/>
      <c r="K934" s="1390"/>
      <c r="L934" s="1390"/>
      <c r="M934" s="1390"/>
      <c r="N934" s="1390"/>
      <c r="O934" s="1390"/>
      <c r="P934" s="1390"/>
      <c r="Q934" s="1390"/>
      <c r="R934" s="1390"/>
      <c r="S934" s="1390"/>
      <c r="T934" s="1390"/>
      <c r="U934" s="1390"/>
      <c r="V934" s="1390"/>
      <c r="W934" s="1390"/>
      <c r="X934" s="1390"/>
      <c r="Y934" s="1390"/>
      <c r="Z934" s="1390"/>
      <c r="AA934" s="1390"/>
      <c r="AB934" s="1390"/>
      <c r="AC934" s="1390"/>
      <c r="AD934" s="1390"/>
      <c r="AE934" s="1390"/>
      <c r="AF934" s="1390"/>
      <c r="AG934" s="1390"/>
      <c r="AH934" s="1390"/>
      <c r="AI934" s="1390"/>
      <c r="AJ934" s="1390"/>
      <c r="AK934" s="1390"/>
    </row>
    <row r="935" spans="3:37" ht="17.25" customHeight="1" x14ac:dyDescent="0.35">
      <c r="C935" s="1390"/>
      <c r="D935" s="1390"/>
      <c r="E935" s="1390"/>
      <c r="F935" s="1390"/>
      <c r="G935" s="1390"/>
      <c r="H935" s="1390"/>
      <c r="I935" s="1390"/>
      <c r="J935" s="1390"/>
      <c r="K935" s="1390"/>
      <c r="L935" s="1390"/>
      <c r="M935" s="1390"/>
      <c r="N935" s="1390"/>
      <c r="O935" s="1390"/>
      <c r="P935" s="1390"/>
      <c r="Q935" s="1390"/>
      <c r="R935" s="1390"/>
      <c r="S935" s="1390"/>
      <c r="T935" s="1390"/>
      <c r="U935" s="1390"/>
      <c r="V935" s="1390"/>
      <c r="W935" s="1390"/>
      <c r="X935" s="1390"/>
      <c r="Y935" s="1390"/>
      <c r="Z935" s="1390"/>
      <c r="AA935" s="1390"/>
      <c r="AB935" s="1390"/>
      <c r="AC935" s="1390"/>
      <c r="AD935" s="1390"/>
      <c r="AE935" s="1390"/>
      <c r="AF935" s="1390"/>
      <c r="AG935" s="1390"/>
      <c r="AH935" s="1390"/>
      <c r="AI935" s="1390"/>
      <c r="AJ935" s="1390"/>
      <c r="AK935" s="1390"/>
    </row>
    <row r="936" spans="3:37" ht="17.25" customHeight="1" x14ac:dyDescent="0.35">
      <c r="C936" s="1390"/>
      <c r="D936" s="1390"/>
      <c r="E936" s="1390"/>
      <c r="F936" s="1390"/>
      <c r="G936" s="1390"/>
      <c r="H936" s="1390"/>
      <c r="I936" s="1390"/>
      <c r="J936" s="1390"/>
      <c r="K936" s="1390"/>
      <c r="L936" s="1390"/>
      <c r="M936" s="1390"/>
      <c r="N936" s="1390"/>
      <c r="O936" s="1390"/>
      <c r="P936" s="1390"/>
      <c r="Q936" s="1390"/>
      <c r="R936" s="1390"/>
      <c r="S936" s="1390"/>
      <c r="T936" s="1390"/>
      <c r="U936" s="1390"/>
      <c r="V936" s="1390"/>
      <c r="W936" s="1390"/>
      <c r="X936" s="1390"/>
      <c r="Y936" s="1390"/>
      <c r="Z936" s="1390"/>
      <c r="AA936" s="1390"/>
      <c r="AB936" s="1390"/>
      <c r="AC936" s="1390"/>
      <c r="AD936" s="1390"/>
      <c r="AE936" s="1390"/>
      <c r="AF936" s="1390"/>
      <c r="AG936" s="1390"/>
      <c r="AH936" s="1390"/>
      <c r="AI936" s="1390"/>
      <c r="AJ936" s="1390"/>
      <c r="AK936" s="1390"/>
    </row>
    <row r="937" spans="3:37" ht="17.25" customHeight="1" x14ac:dyDescent="0.35">
      <c r="C937" s="1390"/>
      <c r="D937" s="1390"/>
      <c r="E937" s="1390"/>
      <c r="F937" s="1390"/>
      <c r="G937" s="1390"/>
      <c r="H937" s="1390"/>
      <c r="I937" s="1390"/>
      <c r="J937" s="1390"/>
      <c r="K937" s="1390"/>
      <c r="L937" s="1390"/>
      <c r="M937" s="1390"/>
      <c r="N937" s="1390"/>
      <c r="O937" s="1390"/>
      <c r="P937" s="1390"/>
      <c r="Q937" s="1390"/>
      <c r="R937" s="1390"/>
      <c r="S937" s="1390"/>
      <c r="T937" s="1390"/>
      <c r="U937" s="1390"/>
      <c r="V937" s="1390"/>
      <c r="W937" s="1390"/>
      <c r="X937" s="1390"/>
      <c r="Y937" s="1390"/>
      <c r="Z937" s="1390"/>
      <c r="AA937" s="1390"/>
      <c r="AB937" s="1390"/>
      <c r="AC937" s="1390"/>
      <c r="AD937" s="1390"/>
      <c r="AE937" s="1390"/>
      <c r="AF937" s="1390"/>
      <c r="AG937" s="1390"/>
      <c r="AH937" s="1390"/>
      <c r="AI937" s="1390"/>
      <c r="AJ937" s="1390"/>
      <c r="AK937" s="1390"/>
    </row>
    <row r="938" spans="3:37" ht="17.25" customHeight="1" x14ac:dyDescent="0.35">
      <c r="C938" s="1390"/>
      <c r="D938" s="1390"/>
      <c r="E938" s="1390"/>
      <c r="F938" s="1390"/>
      <c r="G938" s="1390"/>
      <c r="H938" s="1390"/>
      <c r="I938" s="1390"/>
      <c r="J938" s="1390"/>
      <c r="K938" s="1390"/>
      <c r="L938" s="1390"/>
      <c r="M938" s="1390"/>
      <c r="N938" s="1390"/>
      <c r="O938" s="1390"/>
      <c r="P938" s="1390"/>
      <c r="Q938" s="1390"/>
      <c r="R938" s="1390"/>
      <c r="S938" s="1390"/>
      <c r="T938" s="1390"/>
      <c r="U938" s="1390"/>
      <c r="V938" s="1390"/>
      <c r="W938" s="1390"/>
      <c r="X938" s="1390"/>
      <c r="Y938" s="1390"/>
      <c r="Z938" s="1390"/>
      <c r="AA938" s="1390"/>
      <c r="AB938" s="1390"/>
      <c r="AC938" s="1390"/>
      <c r="AD938" s="1390"/>
      <c r="AE938" s="1390"/>
      <c r="AF938" s="1390"/>
      <c r="AG938" s="1390"/>
      <c r="AH938" s="1390"/>
      <c r="AI938" s="1390"/>
      <c r="AJ938" s="1390"/>
      <c r="AK938" s="1390"/>
    </row>
    <row r="939" spans="3:37" ht="17.25" customHeight="1" x14ac:dyDescent="0.35">
      <c r="C939" s="1390"/>
      <c r="D939" s="1390"/>
      <c r="E939" s="1390"/>
      <c r="F939" s="1390"/>
      <c r="G939" s="1390"/>
      <c r="H939" s="1390"/>
      <c r="I939" s="1390"/>
      <c r="J939" s="1390"/>
      <c r="K939" s="1390"/>
      <c r="L939" s="1390"/>
      <c r="M939" s="1390"/>
      <c r="N939" s="1390"/>
      <c r="O939" s="1390"/>
      <c r="P939" s="1390"/>
      <c r="Q939" s="1390"/>
      <c r="R939" s="1390"/>
      <c r="S939" s="1390"/>
      <c r="T939" s="1390"/>
      <c r="U939" s="1390"/>
      <c r="V939" s="1390"/>
      <c r="W939" s="1390"/>
      <c r="X939" s="1390"/>
      <c r="Y939" s="1390"/>
      <c r="Z939" s="1390"/>
      <c r="AA939" s="1390"/>
      <c r="AB939" s="1390"/>
      <c r="AC939" s="1390"/>
      <c r="AD939" s="1390"/>
      <c r="AE939" s="1390"/>
      <c r="AF939" s="1390"/>
      <c r="AG939" s="1390"/>
      <c r="AH939" s="1390"/>
      <c r="AI939" s="1390"/>
      <c r="AJ939" s="1390"/>
      <c r="AK939" s="1390"/>
    </row>
    <row r="940" spans="3:37" ht="17.25" customHeight="1" x14ac:dyDescent="0.35">
      <c r="C940" s="1390"/>
      <c r="D940" s="1390"/>
      <c r="E940" s="1390"/>
      <c r="F940" s="1390"/>
      <c r="G940" s="1390"/>
      <c r="H940" s="1390"/>
      <c r="I940" s="1390"/>
      <c r="J940" s="1390"/>
      <c r="K940" s="1390"/>
      <c r="L940" s="1390"/>
      <c r="M940" s="1390"/>
      <c r="N940" s="1390"/>
      <c r="O940" s="1390"/>
      <c r="P940" s="1390"/>
      <c r="Q940" s="1390"/>
      <c r="R940" s="1390"/>
      <c r="S940" s="1390"/>
      <c r="T940" s="1390"/>
      <c r="U940" s="1390"/>
      <c r="V940" s="1390"/>
      <c r="W940" s="1390"/>
      <c r="X940" s="1390"/>
      <c r="Y940" s="1390"/>
      <c r="Z940" s="1390"/>
      <c r="AA940" s="1390"/>
      <c r="AB940" s="1390"/>
      <c r="AC940" s="1390"/>
      <c r="AD940" s="1390"/>
      <c r="AE940" s="1390"/>
      <c r="AF940" s="1390"/>
      <c r="AG940" s="1390"/>
      <c r="AH940" s="1390"/>
      <c r="AI940" s="1390"/>
      <c r="AJ940" s="1390"/>
      <c r="AK940" s="1390"/>
    </row>
    <row r="941" spans="3:37" ht="17.25" customHeight="1" x14ac:dyDescent="0.35">
      <c r="C941" s="1390"/>
      <c r="D941" s="1390"/>
      <c r="E941" s="1390"/>
      <c r="F941" s="1390"/>
      <c r="G941" s="1390"/>
      <c r="H941" s="1390"/>
      <c r="I941" s="1390"/>
      <c r="J941" s="1390"/>
      <c r="K941" s="1390"/>
      <c r="L941" s="1390"/>
      <c r="M941" s="1390"/>
      <c r="N941" s="1390"/>
      <c r="O941" s="1390"/>
      <c r="P941" s="1390"/>
      <c r="Q941" s="1390"/>
      <c r="R941" s="1390"/>
      <c r="S941" s="1390"/>
      <c r="T941" s="1390"/>
      <c r="U941" s="1390"/>
      <c r="V941" s="1390"/>
      <c r="W941" s="1390"/>
      <c r="X941" s="1390"/>
      <c r="Y941" s="1390"/>
      <c r="Z941" s="1390"/>
      <c r="AA941" s="1390"/>
      <c r="AB941" s="1390"/>
      <c r="AC941" s="1390"/>
      <c r="AD941" s="1390"/>
      <c r="AE941" s="1390"/>
      <c r="AF941" s="1390"/>
      <c r="AG941" s="1390"/>
      <c r="AH941" s="1390"/>
      <c r="AI941" s="1390"/>
      <c r="AJ941" s="1390"/>
      <c r="AK941" s="1390"/>
    </row>
    <row r="942" spans="3:37" ht="17.25" customHeight="1" x14ac:dyDescent="0.35">
      <c r="C942" s="1390"/>
      <c r="D942" s="1390"/>
      <c r="E942" s="1390"/>
      <c r="F942" s="1390"/>
      <c r="G942" s="1390"/>
      <c r="H942" s="1390"/>
      <c r="I942" s="1390"/>
      <c r="J942" s="1390"/>
      <c r="K942" s="1390"/>
      <c r="L942" s="1390"/>
      <c r="M942" s="1390"/>
      <c r="N942" s="1390"/>
      <c r="O942" s="1390"/>
      <c r="P942" s="1390"/>
      <c r="Q942" s="1390"/>
      <c r="R942" s="1390"/>
      <c r="S942" s="1390"/>
      <c r="T942" s="1390"/>
      <c r="U942" s="1390"/>
      <c r="V942" s="1390"/>
      <c r="W942" s="1390"/>
      <c r="X942" s="1390"/>
      <c r="Y942" s="1390"/>
      <c r="Z942" s="1390"/>
      <c r="AA942" s="1390"/>
      <c r="AB942" s="1390"/>
      <c r="AC942" s="1390"/>
      <c r="AD942" s="1390"/>
      <c r="AE942" s="1390"/>
      <c r="AF942" s="1390"/>
      <c r="AG942" s="1390"/>
      <c r="AH942" s="1390"/>
      <c r="AI942" s="1390"/>
      <c r="AJ942" s="1390"/>
      <c r="AK942" s="1390"/>
    </row>
    <row r="943" spans="3:37" ht="17.25" customHeight="1" x14ac:dyDescent="0.35">
      <c r="C943" s="1390"/>
      <c r="D943" s="1390"/>
      <c r="E943" s="1390"/>
      <c r="F943" s="1390"/>
      <c r="G943" s="1390"/>
      <c r="H943" s="1390"/>
      <c r="I943" s="1390"/>
      <c r="J943" s="1390"/>
      <c r="K943" s="1390"/>
      <c r="L943" s="1390"/>
      <c r="M943" s="1390"/>
      <c r="N943" s="1390"/>
      <c r="O943" s="1390"/>
      <c r="P943" s="1390"/>
      <c r="Q943" s="1390"/>
      <c r="R943" s="1390"/>
      <c r="S943" s="1390"/>
      <c r="T943" s="1390"/>
      <c r="U943" s="1390"/>
      <c r="V943" s="1390"/>
      <c r="W943" s="1390"/>
      <c r="X943" s="1390"/>
      <c r="Y943" s="1390"/>
      <c r="Z943" s="1390"/>
      <c r="AA943" s="1390"/>
      <c r="AB943" s="1390"/>
      <c r="AC943" s="1390"/>
      <c r="AD943" s="1390"/>
      <c r="AE943" s="1390"/>
      <c r="AF943" s="1390"/>
      <c r="AG943" s="1390"/>
      <c r="AH943" s="1390"/>
      <c r="AI943" s="1390"/>
      <c r="AJ943" s="1390"/>
      <c r="AK943" s="1390"/>
    </row>
    <row r="944" spans="3:37" ht="17.25" customHeight="1" x14ac:dyDescent="0.35">
      <c r="C944" s="1390"/>
      <c r="D944" s="1390"/>
      <c r="E944" s="1390"/>
      <c r="F944" s="1390"/>
      <c r="G944" s="1390"/>
      <c r="H944" s="1390"/>
      <c r="I944" s="1390"/>
      <c r="J944" s="1390"/>
      <c r="K944" s="1390"/>
      <c r="L944" s="1390"/>
      <c r="M944" s="1390"/>
      <c r="N944" s="1390"/>
      <c r="O944" s="1390"/>
      <c r="P944" s="1390"/>
      <c r="Q944" s="1390"/>
      <c r="R944" s="1390"/>
      <c r="S944" s="1390"/>
      <c r="T944" s="1390"/>
      <c r="U944" s="1390"/>
      <c r="V944" s="1390"/>
      <c r="W944" s="1390"/>
      <c r="X944" s="1390"/>
      <c r="Y944" s="1390"/>
      <c r="Z944" s="1390"/>
      <c r="AA944" s="1390"/>
      <c r="AB944" s="1390"/>
      <c r="AC944" s="1390"/>
      <c r="AD944" s="1390"/>
      <c r="AE944" s="1390"/>
      <c r="AF944" s="1390"/>
      <c r="AG944" s="1390"/>
      <c r="AH944" s="1390"/>
      <c r="AI944" s="1390"/>
      <c r="AJ944" s="1390"/>
      <c r="AK944" s="1390"/>
    </row>
    <row r="945" spans="3:37" ht="17.25" customHeight="1" x14ac:dyDescent="0.35">
      <c r="C945" s="1390"/>
      <c r="D945" s="1390"/>
      <c r="E945" s="1390"/>
      <c r="F945" s="1390"/>
      <c r="G945" s="1390"/>
      <c r="H945" s="1390"/>
      <c r="I945" s="1390"/>
      <c r="J945" s="1390"/>
      <c r="K945" s="1390"/>
      <c r="L945" s="1390"/>
      <c r="M945" s="1390"/>
      <c r="N945" s="1390"/>
      <c r="O945" s="1390"/>
      <c r="P945" s="1390"/>
      <c r="Q945" s="1390"/>
      <c r="R945" s="1390"/>
      <c r="S945" s="1390"/>
      <c r="T945" s="1390"/>
      <c r="U945" s="1390"/>
      <c r="V945" s="1390"/>
      <c r="W945" s="1390"/>
      <c r="X945" s="1390"/>
      <c r="Y945" s="1390"/>
      <c r="Z945" s="1390"/>
      <c r="AA945" s="1390"/>
      <c r="AB945" s="1390"/>
      <c r="AC945" s="1390"/>
      <c r="AD945" s="1390"/>
      <c r="AE945" s="1390"/>
      <c r="AF945" s="1390"/>
      <c r="AG945" s="1390"/>
      <c r="AH945" s="1390"/>
      <c r="AI945" s="1390"/>
      <c r="AJ945" s="1390"/>
      <c r="AK945" s="1390"/>
    </row>
  </sheetData>
  <pageMargins left="0.3" right="0.3" top="0.3" bottom="0.3" header="0.3" footer="0.3"/>
  <pageSetup scale="28" fitToHeight="0" orientation="landscape" r:id="rId1"/>
  <headerFoot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68DCD-E2AF-402F-9791-09463280D32C}">
  <sheetPr>
    <pageSetUpPr fitToPage="1"/>
  </sheetPr>
  <dimension ref="A1:AF22"/>
  <sheetViews>
    <sheetView view="pageBreakPreview" zoomScale="85" zoomScaleNormal="100" zoomScaleSheetLayoutView="85" workbookViewId="0">
      <selection activeCell="U1" sqref="U1"/>
    </sheetView>
  </sheetViews>
  <sheetFormatPr defaultRowHeight="14.5" x14ac:dyDescent="0.35"/>
  <cols>
    <col min="1" max="1" width="9.81640625" bestFit="1" customWidth="1"/>
    <col min="2" max="2" width="8.7265625" style="2304"/>
    <col min="6" max="6" width="9.81640625" bestFit="1" customWidth="1"/>
    <col min="7" max="7" width="8.7265625" style="2304"/>
    <col min="9" max="9" width="9.81640625" bestFit="1" customWidth="1"/>
  </cols>
  <sheetData>
    <row r="1" spans="1:32" s="460" customFormat="1" ht="12" x14ac:dyDescent="0.3">
      <c r="A1" s="460" t="s">
        <v>4</v>
      </c>
      <c r="I1" s="2319">
        <f ca="1">TODAY()</f>
        <v>45797</v>
      </c>
      <c r="Q1" s="731"/>
      <c r="R1" s="731"/>
      <c r="S1" s="731"/>
      <c r="T1" s="1067"/>
      <c r="U1" s="1067"/>
      <c r="V1" s="1067"/>
      <c r="W1" s="1067"/>
      <c r="X1" s="1067"/>
      <c r="Y1" s="1067"/>
      <c r="Z1" s="731"/>
      <c r="AA1" s="731"/>
      <c r="AE1" s="1067"/>
      <c r="AF1" s="1067"/>
    </row>
    <row r="2" spans="1:32" s="460" customFormat="1" ht="11.5" x14ac:dyDescent="0.25">
      <c r="A2" s="470" t="s">
        <v>195</v>
      </c>
      <c r="B2" s="470"/>
      <c r="T2" s="794"/>
      <c r="U2" s="794"/>
      <c r="V2" s="794"/>
      <c r="W2" s="794"/>
      <c r="X2" s="794"/>
      <c r="Y2" s="794"/>
      <c r="AB2" s="732"/>
      <c r="AE2" s="794"/>
      <c r="AF2" s="794"/>
    </row>
    <row r="3" spans="1:32" s="541" customFormat="1" ht="12" x14ac:dyDescent="0.3">
      <c r="A3" s="733" t="str">
        <f>+'FA Base'!B3</f>
        <v>(USD in mm)</v>
      </c>
      <c r="B3" s="733"/>
      <c r="J3" s="1173"/>
      <c r="T3" s="1068"/>
      <c r="U3" s="1068"/>
      <c r="V3" s="1068"/>
      <c r="W3" s="1068"/>
      <c r="X3" s="1068"/>
      <c r="Y3" s="1068"/>
      <c r="AE3" s="1068"/>
      <c r="AF3" s="1068"/>
    </row>
    <row r="4" spans="1:32" x14ac:dyDescent="0.35">
      <c r="A4" s="2362" t="s">
        <v>196</v>
      </c>
      <c r="B4" s="2362"/>
      <c r="C4" s="2362"/>
      <c r="D4" s="2362"/>
      <c r="F4" s="2362" t="s">
        <v>197</v>
      </c>
      <c r="G4" s="2362"/>
      <c r="H4" s="2362"/>
      <c r="I4" s="2362"/>
    </row>
    <row r="5" spans="1:32" x14ac:dyDescent="0.35">
      <c r="A5" t="s">
        <v>198</v>
      </c>
      <c r="B5" s="2303">
        <v>2.75E-2</v>
      </c>
      <c r="F5" t="s">
        <v>198</v>
      </c>
      <c r="G5" s="2318">
        <v>3.125E-2</v>
      </c>
      <c r="H5" t="s">
        <v>199</v>
      </c>
    </row>
    <row r="6" spans="1:32" x14ac:dyDescent="0.35">
      <c r="A6" t="s">
        <v>200</v>
      </c>
      <c r="B6" s="2317">
        <v>4.5999999999999999E-2</v>
      </c>
      <c r="C6" s="628"/>
      <c r="F6" t="s">
        <v>200</v>
      </c>
      <c r="G6" s="2317">
        <f>+B6</f>
        <v>4.5999999999999999E-2</v>
      </c>
      <c r="H6" s="628"/>
    </row>
    <row r="7" spans="1:32" x14ac:dyDescent="0.35">
      <c r="A7" t="s">
        <v>201</v>
      </c>
      <c r="B7" s="623">
        <v>564.72374372000002</v>
      </c>
      <c r="D7" s="623"/>
      <c r="F7" t="s">
        <v>201</v>
      </c>
      <c r="G7" s="623">
        <v>2185</v>
      </c>
    </row>
    <row r="8" spans="1:32" x14ac:dyDescent="0.35">
      <c r="B8" s="623"/>
      <c r="D8" s="623"/>
    </row>
    <row r="9" spans="1:32" x14ac:dyDescent="0.35">
      <c r="A9" t="s">
        <v>202</v>
      </c>
      <c r="B9" s="623">
        <v>100</v>
      </c>
      <c r="C9" s="2305">
        <v>4.3200000000000002E-2</v>
      </c>
      <c r="D9" s="623">
        <f>+B9*(C9+$G$5)/360*365</f>
        <v>7.5484027777777776</v>
      </c>
      <c r="F9" t="s">
        <v>202</v>
      </c>
      <c r="G9" s="623">
        <v>100</v>
      </c>
      <c r="H9" s="2305">
        <v>4.3200000000000002E-2</v>
      </c>
      <c r="I9" s="623">
        <f>+G9*(H9+$G$5)/360*365</f>
        <v>7.5484027777777776</v>
      </c>
    </row>
    <row r="10" spans="1:32" x14ac:dyDescent="0.35">
      <c r="A10" t="s">
        <v>203</v>
      </c>
      <c r="B10" s="623">
        <v>150</v>
      </c>
      <c r="C10" s="2305">
        <v>3.8600000000000002E-2</v>
      </c>
      <c r="D10" s="623">
        <f>+B10*(C10+$G$5)/360*365</f>
        <v>10.623020833333332</v>
      </c>
      <c r="F10" t="s">
        <v>203</v>
      </c>
      <c r="G10" s="623">
        <v>150</v>
      </c>
      <c r="H10" s="2305">
        <v>3.8600000000000002E-2</v>
      </c>
      <c r="I10" s="623">
        <f t="shared" ref="I10:I14" si="0">+G10*(H10+$G$5)/360*365</f>
        <v>10.623020833333332</v>
      </c>
    </row>
    <row r="11" spans="1:32" x14ac:dyDescent="0.35">
      <c r="A11" t="s">
        <v>204</v>
      </c>
      <c r="B11" s="623">
        <v>150</v>
      </c>
      <c r="C11" s="2305">
        <v>3.7600000000000001E-2</v>
      </c>
      <c r="D11" s="623">
        <f>+B11*(C11+$G$5)/360*365</f>
        <v>10.4709375</v>
      </c>
      <c r="F11" t="s">
        <v>204</v>
      </c>
      <c r="G11" s="623">
        <v>150</v>
      </c>
      <c r="H11" s="2305">
        <v>3.7600000000000001E-2</v>
      </c>
      <c r="I11" s="623">
        <f t="shared" si="0"/>
        <v>10.4709375</v>
      </c>
    </row>
    <row r="12" spans="1:32" x14ac:dyDescent="0.35">
      <c r="A12" t="s">
        <v>205</v>
      </c>
      <c r="B12" s="623">
        <v>160</v>
      </c>
      <c r="C12" s="2305">
        <v>3.7199999999999997E-2</v>
      </c>
      <c r="D12" s="623">
        <f>+B12*(C12+$G$5)/360*365</f>
        <v>11.104111111111111</v>
      </c>
      <c r="F12" t="s">
        <v>205</v>
      </c>
      <c r="G12" s="623">
        <v>160</v>
      </c>
      <c r="H12" s="2305">
        <v>3.7199999999999997E-2</v>
      </c>
      <c r="I12" s="623">
        <f t="shared" si="0"/>
        <v>11.104111111111111</v>
      </c>
    </row>
    <row r="13" spans="1:32" x14ac:dyDescent="0.35">
      <c r="A13" s="2306"/>
      <c r="B13" s="2315"/>
      <c r="C13" s="2307"/>
      <c r="D13" s="2315"/>
      <c r="F13" t="s">
        <v>206</v>
      </c>
      <c r="G13" s="623">
        <v>275</v>
      </c>
      <c r="H13" s="2305">
        <v>3.9370000000000002E-2</v>
      </c>
      <c r="I13" s="623">
        <f t="shared" si="0"/>
        <v>19.690229166666665</v>
      </c>
      <c r="J13" s="2308"/>
    </row>
    <row r="14" spans="1:32" ht="16" x14ac:dyDescent="0.5">
      <c r="A14" t="s">
        <v>207</v>
      </c>
      <c r="B14" s="624">
        <f>B7-SUM(B9:B13)</f>
        <v>4.7237437200000159</v>
      </c>
      <c r="C14" s="2303">
        <f>+B6</f>
        <v>4.5999999999999999E-2</v>
      </c>
      <c r="D14" s="624">
        <f>+B14*(C14+$G$5)/360*365</f>
        <v>0.36997738573625127</v>
      </c>
      <c r="F14" t="s">
        <v>207</v>
      </c>
      <c r="G14" s="2314">
        <f>G7-SUM(G9:G13)</f>
        <v>1350</v>
      </c>
      <c r="H14" s="2303">
        <f>+G6</f>
        <v>4.5999999999999999E-2</v>
      </c>
      <c r="I14" s="2314">
        <f t="shared" si="0"/>
        <v>105.73593749999999</v>
      </c>
    </row>
    <row r="15" spans="1:32" x14ac:dyDescent="0.35">
      <c r="B15" s="638">
        <f>SUM(B9:B14)</f>
        <v>564.72374372000002</v>
      </c>
      <c r="D15" s="638">
        <f>SUM(D9:D14)</f>
        <v>40.116449607958465</v>
      </c>
      <c r="G15" s="638">
        <f>SUM(G9:G14)</f>
        <v>2185</v>
      </c>
      <c r="I15" s="638">
        <f>SUM(I9:I14)</f>
        <v>165.17263888888886</v>
      </c>
      <c r="J15" s="2309"/>
    </row>
    <row r="16" spans="1:32" x14ac:dyDescent="0.35">
      <c r="B16" s="623"/>
      <c r="D16" s="623"/>
      <c r="G16" s="623"/>
      <c r="I16" s="623"/>
    </row>
    <row r="17" spans="1:10" x14ac:dyDescent="0.35">
      <c r="B17" s="623"/>
      <c r="F17" t="s">
        <v>208</v>
      </c>
      <c r="G17" s="2316">
        <v>125</v>
      </c>
      <c r="H17" s="2303">
        <f>+G6</f>
        <v>4.5999999999999999E-2</v>
      </c>
      <c r="I17" s="2314">
        <f>+G17*H17</f>
        <v>5.75</v>
      </c>
    </row>
    <row r="18" spans="1:10" x14ac:dyDescent="0.35">
      <c r="F18" s="622" t="s">
        <v>209</v>
      </c>
      <c r="G18" s="623"/>
      <c r="I18" s="623">
        <f>+I15-I17</f>
        <v>159.42263888888886</v>
      </c>
      <c r="J18" s="2310"/>
    </row>
    <row r="19" spans="1:10" x14ac:dyDescent="0.35">
      <c r="G19" s="623"/>
      <c r="I19" s="623"/>
      <c r="J19" s="2310"/>
    </row>
    <row r="20" spans="1:10" x14ac:dyDescent="0.35">
      <c r="F20" t="s">
        <v>52</v>
      </c>
      <c r="G20" s="623">
        <f>+G15-G17</f>
        <v>2060</v>
      </c>
      <c r="I20" s="623">
        <f>+G7-G17</f>
        <v>2060</v>
      </c>
    </row>
    <row r="21" spans="1:10" s="628" customFormat="1" x14ac:dyDescent="0.35">
      <c r="B21" s="2311"/>
      <c r="F21" s="2312" t="s">
        <v>47</v>
      </c>
      <c r="G21" s="2311"/>
      <c r="I21" s="2313">
        <f>+I18/I20</f>
        <v>7.7389630528586828E-2</v>
      </c>
    </row>
    <row r="22" spans="1:10" x14ac:dyDescent="0.35">
      <c r="A22" t="s">
        <v>210</v>
      </c>
    </row>
  </sheetData>
  <mergeCells count="2">
    <mergeCell ref="A4:D4"/>
    <mergeCell ref="F4:I4"/>
  </mergeCells>
  <printOptions horizontalCentered="1"/>
  <pageMargins left="0.3" right="0.3" top="0.3" bottom="0.3" header="0.3" footer="0.3"/>
  <pageSetup fitToHeight="0" orientation="portrait" r:id="rId1"/>
  <headerFoot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69198-24E7-4DCC-91FF-F36B991013BF}">
  <sheetPr>
    <pageSetUpPr fitToPage="1"/>
  </sheetPr>
  <dimension ref="A1"/>
  <sheetViews>
    <sheetView view="pageBreakPreview" zoomScale="60" zoomScaleNormal="100" workbookViewId="0">
      <selection activeCell="U1" sqref="U1"/>
    </sheetView>
  </sheetViews>
  <sheetFormatPr defaultRowHeight="14.5" x14ac:dyDescent="0.35"/>
  <sheetData>
    <row r="1" spans="1:1" ht="61.5" x14ac:dyDescent="1.35">
      <c r="A1" s="2329" t="s">
        <v>211</v>
      </c>
    </row>
  </sheetData>
  <printOptions horizontalCentered="1"/>
  <pageMargins left="0.7" right="0.7" top="0.75" bottom="0.75" header="0.3" footer="0.3"/>
  <pageSetup fitToHeight="0"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D747D-3CEE-4CF4-9B91-83A356331BFC}">
  <sheetPr>
    <pageSetUpPr fitToPage="1"/>
  </sheetPr>
  <dimension ref="A1:AB111"/>
  <sheetViews>
    <sheetView view="pageBreakPreview" zoomScale="70" zoomScaleNormal="100" zoomScaleSheetLayoutView="70" workbookViewId="0">
      <pane xSplit="3" ySplit="5" topLeftCell="D55" activePane="bottomRight" state="frozen"/>
      <selection pane="topRight" activeCell="C7" sqref="C7"/>
      <selection pane="bottomLeft" activeCell="C7" sqref="C7"/>
      <selection pane="bottomRight" activeCell="E87" sqref="E87"/>
    </sheetView>
  </sheetViews>
  <sheetFormatPr defaultColWidth="9.1796875" defaultRowHeight="10" outlineLevelRow="1" x14ac:dyDescent="0.2"/>
  <cols>
    <col min="1" max="1" width="1.453125" style="1" customWidth="1"/>
    <col min="2" max="2" width="16.54296875" style="1" customWidth="1"/>
    <col min="3" max="3" width="3.453125" style="1" customWidth="1"/>
    <col min="4" max="20" width="11.81640625" style="1" customWidth="1"/>
    <col min="21" max="21" width="14.1796875" style="1" bestFit="1" customWidth="1"/>
    <col min="22" max="22" width="10.453125" style="1" bestFit="1" customWidth="1"/>
    <col min="23" max="16384" width="9.1796875" style="1"/>
  </cols>
  <sheetData>
    <row r="1" spans="1:22" ht="10.5" x14ac:dyDescent="0.25">
      <c r="B1" s="1" t="s">
        <v>766</v>
      </c>
      <c r="G1" s="394"/>
      <c r="H1" s="394"/>
      <c r="I1" s="395" t="s">
        <v>767</v>
      </c>
      <c r="J1" s="394"/>
      <c r="K1" s="394"/>
      <c r="L1" s="394"/>
      <c r="P1" s="2"/>
      <c r="R1" s="2"/>
      <c r="S1" s="2"/>
      <c r="T1" s="2375">
        <v>45657</v>
      </c>
    </row>
    <row r="2" spans="1:22" ht="10.5" x14ac:dyDescent="0.25">
      <c r="B2" s="3" t="s">
        <v>768</v>
      </c>
      <c r="C2" s="3"/>
    </row>
    <row r="3" spans="1:22" s="4" customFormat="1" x14ac:dyDescent="0.2">
      <c r="B3" s="5" t="s">
        <v>6</v>
      </c>
      <c r="C3" s="5"/>
      <c r="F3" s="56"/>
      <c r="G3" s="6"/>
      <c r="H3" s="6"/>
      <c r="I3" s="6">
        <f>+T1</f>
        <v>45657</v>
      </c>
      <c r="J3" s="6">
        <v>46022</v>
      </c>
      <c r="K3" s="6">
        <f t="shared" ref="K3:R3" si="0">+J3+365.25</f>
        <v>46387.25</v>
      </c>
      <c r="L3" s="6">
        <f t="shared" si="0"/>
        <v>46752.5</v>
      </c>
      <c r="M3" s="6">
        <f t="shared" si="0"/>
        <v>47117.75</v>
      </c>
      <c r="N3" s="6">
        <f t="shared" si="0"/>
        <v>47483</v>
      </c>
      <c r="O3" s="6">
        <f t="shared" si="0"/>
        <v>47848.25</v>
      </c>
      <c r="P3" s="6">
        <f t="shared" si="0"/>
        <v>48213.5</v>
      </c>
      <c r="Q3" s="6">
        <f t="shared" si="0"/>
        <v>48578.75</v>
      </c>
      <c r="R3" s="6">
        <f t="shared" si="0"/>
        <v>48944</v>
      </c>
      <c r="S3" s="6">
        <f t="shared" ref="S3" si="1">+R3+365.25</f>
        <v>49309.25</v>
      </c>
      <c r="T3" s="6">
        <f t="shared" ref="T3" si="2">+S3+365.25</f>
        <v>49674.5</v>
      </c>
    </row>
    <row r="4" spans="1:22" ht="10.5" x14ac:dyDescent="0.25">
      <c r="D4" s="7" t="s">
        <v>7</v>
      </c>
      <c r="E4" s="8"/>
      <c r="F4" s="8"/>
      <c r="G4" s="8"/>
      <c r="H4" s="8"/>
      <c r="I4" s="8"/>
      <c r="J4" s="8"/>
      <c r="K4" s="8"/>
      <c r="L4" s="8"/>
      <c r="M4" s="8"/>
      <c r="N4" s="8"/>
      <c r="O4" s="8"/>
      <c r="P4" s="8"/>
      <c r="Q4" s="8"/>
      <c r="R4" s="8"/>
      <c r="S4" s="8"/>
      <c r="T4" s="8"/>
    </row>
    <row r="5" spans="1:22" ht="13.5" x14ac:dyDescent="0.55000000000000004">
      <c r="D5" s="9" t="s">
        <v>8</v>
      </c>
      <c r="E5" s="9" t="s">
        <v>9</v>
      </c>
      <c r="F5" s="9" t="s">
        <v>10</v>
      </c>
      <c r="G5" s="9" t="s">
        <v>11</v>
      </c>
      <c r="H5" s="9" t="s">
        <v>12</v>
      </c>
      <c r="I5" s="98" t="s">
        <v>13</v>
      </c>
      <c r="J5" s="9" t="s">
        <v>14</v>
      </c>
      <c r="K5" s="9" t="s">
        <v>15</v>
      </c>
      <c r="L5" s="9" t="s">
        <v>16</v>
      </c>
      <c r="M5" s="9" t="s">
        <v>17</v>
      </c>
      <c r="N5" s="9" t="s">
        <v>18</v>
      </c>
      <c r="O5" s="9" t="s">
        <v>19</v>
      </c>
      <c r="P5" s="9" t="s">
        <v>20</v>
      </c>
      <c r="Q5" s="9" t="s">
        <v>21</v>
      </c>
      <c r="R5" s="9" t="s">
        <v>22</v>
      </c>
      <c r="S5" s="9" t="s">
        <v>23</v>
      </c>
      <c r="T5" s="9" t="s">
        <v>24</v>
      </c>
    </row>
    <row r="6" spans="1:22" ht="10.5" x14ac:dyDescent="0.25">
      <c r="A6" s="1" t="s">
        <v>26</v>
      </c>
      <c r="B6" s="11" t="s">
        <v>27</v>
      </c>
      <c r="C6" s="3"/>
      <c r="H6" s="1131"/>
      <c r="I6" s="1153"/>
    </row>
    <row r="7" spans="1:22" x14ac:dyDescent="0.2">
      <c r="G7" s="692"/>
      <c r="H7" s="1131"/>
      <c r="I7" s="1181" t="s">
        <v>769</v>
      </c>
      <c r="K7" s="88"/>
      <c r="L7" s="88"/>
      <c r="U7" s="57"/>
    </row>
    <row r="8" spans="1:22" x14ac:dyDescent="0.2">
      <c r="B8" s="1" t="s">
        <v>28</v>
      </c>
      <c r="D8" s="70">
        <f>+'FA - Historical Financials'!AG12</f>
        <v>481.76699999999994</v>
      </c>
      <c r="E8" s="70">
        <f>+'FA - Historical Financials'!AH12</f>
        <v>509.15399999999994</v>
      </c>
      <c r="F8" s="70">
        <f>+'FA - Historical Financials'!AI12</f>
        <v>712.29500000000007</v>
      </c>
      <c r="G8" s="70">
        <f>+'FA - Historical Financials'!AJ12</f>
        <v>810.02300000000002</v>
      </c>
      <c r="H8" s="1132">
        <f>+'FA - Historical Financials'!AK12</f>
        <v>763.76100000000008</v>
      </c>
      <c r="I8" s="1154">
        <f>+'FA - Historical Financials'!AL12</f>
        <v>761.31163923597103</v>
      </c>
      <c r="J8" s="70">
        <f>+'FA - Historical Financials'!AM12</f>
        <v>813.60603217465678</v>
      </c>
      <c r="K8" s="49">
        <f t="shared" ref="K8:R8" si="3">+J8*(1+K9)</f>
        <v>878.69451474862933</v>
      </c>
      <c r="L8" s="49">
        <f t="shared" si="3"/>
        <v>948.99007592851979</v>
      </c>
      <c r="M8" s="49">
        <f t="shared" si="3"/>
        <v>1024.9092820028015</v>
      </c>
      <c r="N8" s="49">
        <f t="shared" si="3"/>
        <v>1106.9020245630256</v>
      </c>
      <c r="O8" s="49">
        <f t="shared" si="3"/>
        <v>1184.3851662824375</v>
      </c>
      <c r="P8" s="49">
        <f t="shared" si="3"/>
        <v>1255.4482762593839</v>
      </c>
      <c r="Q8" s="49">
        <f t="shared" si="3"/>
        <v>1318.2206900723531</v>
      </c>
      <c r="R8" s="49">
        <f t="shared" si="3"/>
        <v>1384.1317245759708</v>
      </c>
      <c r="S8" s="49">
        <f t="shared" ref="S8" si="4">+R8*(1+S9)</f>
        <v>1453.3383108047694</v>
      </c>
      <c r="T8" s="49">
        <f t="shared" ref="T8" si="5">+S8*(1+T9)</f>
        <v>1526.0052263450079</v>
      </c>
      <c r="U8" s="57"/>
    </row>
    <row r="9" spans="1:22" s="12" customFormat="1" x14ac:dyDescent="0.2">
      <c r="B9" s="13" t="s">
        <v>29</v>
      </c>
      <c r="C9" s="14"/>
      <c r="D9" s="15">
        <f>+'FA - Historical Financials'!AG13</f>
        <v>7.8E-2</v>
      </c>
      <c r="E9" s="15">
        <f>IFERROR(IF(OR(E8&lt;0, D8&lt;0), "NM", E8/D8-1),"N/A")</f>
        <v>5.684698204733829E-2</v>
      </c>
      <c r="F9" s="15">
        <f>IFERROR(IF(OR(F8&lt;0, E8&lt;0), "NM", F8/E8-1),"N/A")</f>
        <v>0.39897751957168204</v>
      </c>
      <c r="G9" s="15">
        <f>IFERROR(IF(OR(G8&lt;0, F8&lt;0), "NM", G8/F8-1),"N/A")</f>
        <v>0.13720158080570544</v>
      </c>
      <c r="H9" s="1133">
        <f t="shared" ref="H9" si="6">IFERROR(IF(OR(H8&lt;0, G8&lt;0), "NM", H8/G8-1),"N/A")</f>
        <v>-5.7111958549325048E-2</v>
      </c>
      <c r="I9" s="1155">
        <f t="shared" ref="I9" si="7">IFERROR(IF(OR(I8&lt;0, H8&lt;0), "NM", I8/H8-1),"N/A")</f>
        <v>-3.2069728148321763E-3</v>
      </c>
      <c r="J9" s="15">
        <f t="shared" ref="J9" si="8">IFERROR(IF(OR(J8&lt;0, I8&lt;0), "NM", J8/I8-1),"N/A")</f>
        <v>6.8689863971036713E-2</v>
      </c>
      <c r="K9" s="59">
        <v>0.08</v>
      </c>
      <c r="L9" s="59">
        <v>0.08</v>
      </c>
      <c r="M9" s="59">
        <v>0.08</v>
      </c>
      <c r="N9" s="59">
        <v>0.08</v>
      </c>
      <c r="O9" s="59">
        <v>7.0000000000000007E-2</v>
      </c>
      <c r="P9" s="59">
        <v>0.06</v>
      </c>
      <c r="Q9" s="59">
        <v>0.05</v>
      </c>
      <c r="R9" s="59">
        <f>+Q9</f>
        <v>0.05</v>
      </c>
      <c r="S9" s="59">
        <f t="shared" ref="S9:T9" si="9">+R9</f>
        <v>0.05</v>
      </c>
      <c r="T9" s="59">
        <f t="shared" si="9"/>
        <v>0.05</v>
      </c>
      <c r="V9" s="1"/>
    </row>
    <row r="10" spans="1:22" s="12" customFormat="1" x14ac:dyDescent="0.2">
      <c r="B10" s="13" t="s">
        <v>30</v>
      </c>
      <c r="C10" s="14"/>
      <c r="D10" s="15">
        <f>+'FA - Historical Financials'!AG29</f>
        <v>8.2981677786642408E-2</v>
      </c>
      <c r="E10" s="15">
        <f>+'FA - Historical Financials'!AH29</f>
        <v>5.6178009511735218E-2</v>
      </c>
      <c r="F10" s="15">
        <f>+'FA - Historical Financials'!AI29</f>
        <v>0.35038711273995687</v>
      </c>
      <c r="G10" s="15">
        <f>+'FA - Historical Financials'!AJ29</f>
        <v>9.9651127692880204E-2</v>
      </c>
      <c r="H10" s="1133">
        <f>+'FA - Historical Financials'!AK29</f>
        <v>-5.8039743669590776E-2</v>
      </c>
      <c r="I10" s="1155">
        <f>+'FA - Historical Financials'!AL29</f>
        <v>-1.3823882078294126E-2</v>
      </c>
      <c r="J10" s="15">
        <f>+'FA - Historical Financials'!AM29</f>
        <v>6.5860468374287551E-2</v>
      </c>
      <c r="K10" s="15">
        <f t="shared" ref="K10:S10" si="10">+K9</f>
        <v>0.08</v>
      </c>
      <c r="L10" s="15">
        <f t="shared" si="10"/>
        <v>0.08</v>
      </c>
      <c r="M10" s="15">
        <f t="shared" si="10"/>
        <v>0.08</v>
      </c>
      <c r="N10" s="15">
        <f t="shared" si="10"/>
        <v>0.08</v>
      </c>
      <c r="O10" s="15">
        <f t="shared" si="10"/>
        <v>7.0000000000000007E-2</v>
      </c>
      <c r="P10" s="15">
        <f t="shared" si="10"/>
        <v>0.06</v>
      </c>
      <c r="Q10" s="15">
        <f t="shared" si="10"/>
        <v>0.05</v>
      </c>
      <c r="R10" s="15">
        <f t="shared" si="10"/>
        <v>0.05</v>
      </c>
      <c r="S10" s="15">
        <f t="shared" si="10"/>
        <v>0.05</v>
      </c>
      <c r="T10" s="15">
        <f t="shared" ref="T10" si="11">+T9</f>
        <v>0.05</v>
      </c>
      <c r="V10" s="1"/>
    </row>
    <row r="11" spans="1:22" s="12" customFormat="1" x14ac:dyDescent="0.2">
      <c r="B11" s="13"/>
      <c r="C11" s="14"/>
      <c r="D11" s="33"/>
      <c r="E11" s="33"/>
      <c r="F11" s="16"/>
      <c r="G11" s="16"/>
      <c r="H11" s="1131"/>
      <c r="I11" s="1156" t="s">
        <v>31</v>
      </c>
      <c r="J11" s="16"/>
      <c r="K11" s="16"/>
      <c r="L11" s="16"/>
      <c r="M11" s="16"/>
      <c r="N11" s="16"/>
      <c r="O11" s="16"/>
      <c r="P11" s="16"/>
      <c r="Q11" s="16"/>
      <c r="R11" s="16"/>
      <c r="S11" s="16"/>
      <c r="T11" s="16"/>
    </row>
    <row r="12" spans="1:22" s="12" customFormat="1" x14ac:dyDescent="0.2">
      <c r="B12" s="13"/>
      <c r="C12" s="14"/>
      <c r="D12" s="33"/>
      <c r="E12" s="33"/>
      <c r="F12" s="16"/>
      <c r="G12" s="16"/>
      <c r="H12" s="1131"/>
      <c r="I12" s="1156"/>
      <c r="J12" s="16"/>
      <c r="K12" s="16"/>
      <c r="L12" s="16"/>
      <c r="M12" s="16"/>
      <c r="N12" s="16"/>
      <c r="O12" s="16"/>
      <c r="P12" s="16"/>
      <c r="Q12" s="16"/>
      <c r="R12" s="16"/>
      <c r="S12" s="16"/>
      <c r="T12" s="16"/>
    </row>
    <row r="13" spans="1:22" s="12" customFormat="1" x14ac:dyDescent="0.2">
      <c r="B13" s="13"/>
      <c r="C13" s="14"/>
      <c r="D13" s="33"/>
      <c r="E13" s="33"/>
      <c r="F13" s="16"/>
      <c r="G13" s="16"/>
      <c r="H13" s="1131"/>
      <c r="I13" s="1181" t="s">
        <v>770</v>
      </c>
      <c r="J13" s="16"/>
      <c r="K13" s="16"/>
      <c r="L13" s="16"/>
      <c r="M13" s="16"/>
      <c r="N13" s="16"/>
      <c r="O13" s="16"/>
      <c r="P13" s="16"/>
      <c r="Q13" s="16"/>
      <c r="R13" s="16"/>
      <c r="S13" s="16"/>
      <c r="T13" s="16"/>
    </row>
    <row r="14" spans="1:22" s="12" customFormat="1" x14ac:dyDescent="0.2">
      <c r="B14" s="18" t="s">
        <v>233</v>
      </c>
      <c r="C14" s="14"/>
      <c r="D14" s="40">
        <f>+D20+D19</f>
        <v>123.773</v>
      </c>
      <c r="E14" s="40">
        <f t="shared" ref="E14:H14" si="12">+E20+E19</f>
        <v>146.798</v>
      </c>
      <c r="F14" s="40">
        <f t="shared" si="12"/>
        <v>226.29399999999998</v>
      </c>
      <c r="G14" s="49">
        <f t="shared" si="12"/>
        <v>248.91000000000003</v>
      </c>
      <c r="H14" s="1134">
        <f t="shared" si="12"/>
        <v>237.55599999999998</v>
      </c>
      <c r="I14" s="1157">
        <f t="shared" ref="I14" si="13">+I20+I19</f>
        <v>236.67831961798552</v>
      </c>
      <c r="J14" s="49">
        <f t="shared" ref="J14:S14" si="14">+J20+J19</f>
        <v>261.69315281504203</v>
      </c>
      <c r="K14" s="49">
        <f t="shared" si="14"/>
        <v>289.5534184517669</v>
      </c>
      <c r="L14" s="49">
        <f t="shared" si="14"/>
        <v>319.64250533942982</v>
      </c>
      <c r="M14" s="49">
        <f t="shared" si="14"/>
        <v>352.13871917810582</v>
      </c>
      <c r="N14" s="49">
        <f t="shared" si="14"/>
        <v>387.23463012387577</v>
      </c>
      <c r="O14" s="49">
        <f t="shared" si="14"/>
        <v>420.4002659676284</v>
      </c>
      <c r="P14" s="49">
        <f t="shared" si="14"/>
        <v>450.81789198432728</v>
      </c>
      <c r="Q14" s="49">
        <f t="shared" si="14"/>
        <v>477.68679496574464</v>
      </c>
      <c r="R14" s="49">
        <f t="shared" si="14"/>
        <v>505.89914309623282</v>
      </c>
      <c r="S14" s="49">
        <f t="shared" si="14"/>
        <v>535.52210863324547</v>
      </c>
      <c r="T14" s="49">
        <f t="shared" ref="T14" si="15">+T20+T19</f>
        <v>566.62622244710883</v>
      </c>
    </row>
    <row r="15" spans="1:22" s="12" customFormat="1" ht="11.25" customHeight="1" x14ac:dyDescent="0.2">
      <c r="B15" s="13" t="s">
        <v>29</v>
      </c>
      <c r="C15" s="14"/>
      <c r="D15" s="15"/>
      <c r="E15" s="15">
        <f t="shared" ref="E15" si="16">IF(OR(E14&lt;0, D14&lt;0), "NM", E14/D14-1)</f>
        <v>0.18602603152545383</v>
      </c>
      <c r="F15" s="15">
        <f t="shared" ref="F15" si="17">IF(OR(F14&lt;0, E14&lt;0), "NM", F14/E14-1)</f>
        <v>0.54153326339595886</v>
      </c>
      <c r="G15" s="15">
        <f t="shared" ref="G15" si="18">IF(OR(G14&lt;0, F14&lt;0), "NM", G14/F14-1)</f>
        <v>9.9940784996509269E-2</v>
      </c>
      <c r="H15" s="1133">
        <f t="shared" ref="H15" si="19">IF(OR(H14&lt;0, G14&lt;0), "NM", H14/G14-1)</f>
        <v>-4.5614880880639808E-2</v>
      </c>
      <c r="I15" s="1155">
        <f t="shared" ref="I15" si="20">IF(OR(I14&lt;0, H14&lt;0), "NM", I14/H14-1)</f>
        <v>-3.6946251915946915E-3</v>
      </c>
      <c r="J15" s="15">
        <f t="shared" ref="J15" si="21">IF(OR(J14&lt;0, I14&lt;0), "NM", J14/I14-1)</f>
        <v>0.10569127428922132</v>
      </c>
      <c r="K15" s="15">
        <f t="shared" ref="K15" si="22">IF(OR(K14&lt;0, J14&lt;0), "NM", K14/J14-1)</f>
        <v>0.10646157660997657</v>
      </c>
      <c r="L15" s="15">
        <f t="shared" ref="L15" si="23">IF(OR(L14&lt;0, K14&lt;0), "NM", L14/K14-1)</f>
        <v>0.10391549527734245</v>
      </c>
      <c r="M15" s="15">
        <f t="shared" ref="M15" si="24">IF(OR(M14&lt;0, L14&lt;0), "NM", M14/L14-1)</f>
        <v>0.10166424457275514</v>
      </c>
      <c r="N15" s="15">
        <f t="shared" ref="N15" si="25">IF(OR(N14&lt;0, M14&lt;0), "NM", N14/M14-1)</f>
        <v>9.9665015615675756E-2</v>
      </c>
      <c r="O15" s="15">
        <f t="shared" ref="O15" si="26">IF(OR(O14&lt;0, N14&lt;0), "NM", O14/N14-1)</f>
        <v>8.5647391177651189E-2</v>
      </c>
      <c r="P15" s="15">
        <f t="shared" ref="P15" si="27">IF(OR(P14&lt;0, O14&lt;0), "NM", P14/O14-1)</f>
        <v>7.2353964730938358E-2</v>
      </c>
      <c r="Q15" s="15">
        <f t="shared" ref="Q15" si="28">IF(OR(Q14&lt;0, P14&lt;0), "NM", Q14/P14-1)</f>
        <v>5.9600347411125965E-2</v>
      </c>
      <c r="R15" s="15">
        <f t="shared" ref="R15" si="29">IF(OR(R14&lt;0, Q14&lt;0), "NM", R14/Q14-1)</f>
        <v>5.9060347549509506E-2</v>
      </c>
      <c r="S15" s="15">
        <f t="shared" ref="S15" si="30">IF(OR(S14&lt;0, R14&lt;0), "NM", S14/R14-1)</f>
        <v>5.8555081464879422E-2</v>
      </c>
      <c r="T15" s="15">
        <f t="shared" ref="T15" si="31">IF(OR(T14&lt;0, S14&lt;0), "NM", T14/S14-1)</f>
        <v>5.8081848185963736E-2</v>
      </c>
    </row>
    <row r="16" spans="1:22" s="12" customFormat="1" x14ac:dyDescent="0.2">
      <c r="B16" s="13" t="s">
        <v>33</v>
      </c>
      <c r="C16" s="14"/>
      <c r="D16" s="19">
        <f t="shared" ref="D16:S16" si="32">+D14/D$8</f>
        <v>0.25691464961277966</v>
      </c>
      <c r="E16" s="19">
        <f t="shared" si="32"/>
        <v>0.28831748351186481</v>
      </c>
      <c r="F16" s="19">
        <f t="shared" si="32"/>
        <v>0.31769702159919688</v>
      </c>
      <c r="G16" s="19">
        <f t="shared" si="32"/>
        <v>0.30728757084675373</v>
      </c>
      <c r="H16" s="1135">
        <f t="shared" si="32"/>
        <v>0.31103447282592322</v>
      </c>
      <c r="I16" s="1158">
        <f t="shared" ref="I16" si="33">+I14/I$8</f>
        <v>0.31088230813797701</v>
      </c>
      <c r="J16" s="19">
        <f t="shared" si="32"/>
        <v>0.32164603317354012</v>
      </c>
      <c r="K16" s="19">
        <f t="shared" si="32"/>
        <v>0.32952683053290743</v>
      </c>
      <c r="L16" s="19">
        <f t="shared" si="32"/>
        <v>0.33682386512491419</v>
      </c>
      <c r="M16" s="19">
        <f t="shared" si="32"/>
        <v>0.34358037863603158</v>
      </c>
      <c r="N16" s="19">
        <f t="shared" si="32"/>
        <v>0.34983640966484392</v>
      </c>
      <c r="O16" s="19">
        <f t="shared" si="32"/>
        <v>0.35495232288934003</v>
      </c>
      <c r="P16" s="19">
        <f t="shared" si="32"/>
        <v>0.3590891799441886</v>
      </c>
      <c r="Q16" s="19">
        <f t="shared" si="32"/>
        <v>0.36237239982898906</v>
      </c>
      <c r="R16" s="19">
        <f t="shared" si="32"/>
        <v>0.36549927590975145</v>
      </c>
      <c r="S16" s="19">
        <f t="shared" si="32"/>
        <v>0.36847725312952512</v>
      </c>
      <c r="T16" s="19">
        <f t="shared" ref="T16" si="34">+T14/T$8</f>
        <v>0.37131342191026201</v>
      </c>
    </row>
    <row r="17" spans="2:24" s="12" customFormat="1" x14ac:dyDescent="0.2">
      <c r="B17" s="13" t="s">
        <v>34</v>
      </c>
      <c r="C17" s="14"/>
      <c r="D17" s="19"/>
      <c r="E17" s="19">
        <f t="shared" ref="E17:S17" si="35">(E14-D14)/(E8-D8)</f>
        <v>0.84072735239347152</v>
      </c>
      <c r="F17" s="19">
        <f t="shared" si="35"/>
        <v>0.39133409799105018</v>
      </c>
      <c r="G17" s="19">
        <f t="shared" si="35"/>
        <v>0.2314178127046502</v>
      </c>
      <c r="H17" s="1135">
        <f t="shared" si="35"/>
        <v>0.24542821322035485</v>
      </c>
      <c r="I17" s="1158">
        <f t="shared" ref="I17" si="36">(I14-H14)/(I8-H8)</f>
        <v>0.35833038354494134</v>
      </c>
      <c r="J17" s="19">
        <f t="shared" si="35"/>
        <v>0.47834637312619643</v>
      </c>
      <c r="K17" s="19">
        <f t="shared" si="35"/>
        <v>0.42803679752499835</v>
      </c>
      <c r="L17" s="19">
        <f t="shared" si="35"/>
        <v>0.42803679752499851</v>
      </c>
      <c r="M17" s="19">
        <f t="shared" si="35"/>
        <v>0.42803679752499879</v>
      </c>
      <c r="N17" s="19">
        <f t="shared" si="35"/>
        <v>0.4280367975249984</v>
      </c>
      <c r="O17" s="19">
        <f t="shared" si="35"/>
        <v>0.42803679752499824</v>
      </c>
      <c r="P17" s="19">
        <f t="shared" si="35"/>
        <v>0.42803679752499801</v>
      </c>
      <c r="Q17" s="19">
        <f t="shared" si="35"/>
        <v>0.42803679752499885</v>
      </c>
      <c r="R17" s="19">
        <f t="shared" si="35"/>
        <v>0.42803679752499851</v>
      </c>
      <c r="S17" s="19">
        <f t="shared" si="35"/>
        <v>0.42803679752499868</v>
      </c>
      <c r="T17" s="19">
        <f t="shared" ref="T17" si="37">(T14-S14)/(T8-S8)</f>
        <v>0.42803679752500023</v>
      </c>
    </row>
    <row r="18" spans="2:24" s="12" customFormat="1" x14ac:dyDescent="0.2">
      <c r="B18" s="18"/>
      <c r="C18" s="14"/>
      <c r="D18" s="40"/>
      <c r="E18" s="40"/>
      <c r="F18" s="40"/>
      <c r="G18" s="49"/>
      <c r="H18" s="1134"/>
      <c r="I18" s="1157"/>
      <c r="J18" s="49"/>
      <c r="K18" s="49"/>
      <c r="L18" s="49"/>
      <c r="M18" s="49"/>
      <c r="N18" s="49"/>
      <c r="O18" s="49"/>
      <c r="P18" s="49"/>
      <c r="Q18" s="49"/>
      <c r="R18" s="49"/>
      <c r="S18" s="49"/>
      <c r="T18" s="49"/>
    </row>
    <row r="19" spans="2:24" s="1011" customFormat="1" ht="11.5" x14ac:dyDescent="0.35">
      <c r="B19" s="18" t="s">
        <v>37</v>
      </c>
      <c r="C19" s="1012"/>
      <c r="D19" s="54">
        <f>+'FA - Historical Financials'!AG90</f>
        <v>1.216</v>
      </c>
      <c r="E19" s="54">
        <f>+'FA - Historical Financials'!AH90</f>
        <v>5.8519999999999994</v>
      </c>
      <c r="F19" s="54">
        <f>+'FA - Historical Financials'!AI90</f>
        <v>9.5300000000000011</v>
      </c>
      <c r="G19" s="54">
        <f>+'FA - Historical Financials'!AJ90</f>
        <v>7.8559999999999999</v>
      </c>
      <c r="H19" s="1136">
        <f>+'FA - Historical Financials'!AK90</f>
        <v>15.265000000000001</v>
      </c>
      <c r="I19" s="1159">
        <f>+'FA - Historical Financials'!AL90</f>
        <v>19.798999999999999</v>
      </c>
      <c r="J19" s="1511">
        <f>+'FA - Historical Financials'!AM90</f>
        <v>22.810907589198173</v>
      </c>
      <c r="K19" s="1015">
        <f t="shared" ref="K19" si="38">+J19/J8*K8</f>
        <v>24.635780196334025</v>
      </c>
      <c r="L19" s="1015">
        <f t="shared" ref="L19" si="39">+K19/K8*L8</f>
        <v>26.606642612040748</v>
      </c>
      <c r="M19" s="1015">
        <f t="shared" ref="M19" si="40">+L19/L8*M8</f>
        <v>28.735174021004013</v>
      </c>
      <c r="N19" s="1015">
        <f t="shared" ref="N19" si="41">+M19/M8*N8</f>
        <v>31.033987942684334</v>
      </c>
      <c r="O19" s="1015">
        <f t="shared" ref="O19" si="42">+N19/N8*O8</f>
        <v>33.206367098672239</v>
      </c>
      <c r="P19" s="1015">
        <f t="shared" ref="P19" si="43">+O19/O8*P8</f>
        <v>35.198749124592574</v>
      </c>
      <c r="Q19" s="1015">
        <f t="shared" ref="Q19" si="44">+P19/P8*Q8</f>
        <v>36.958686580822203</v>
      </c>
      <c r="R19" s="1015">
        <f t="shared" ref="R19" si="45">+Q19/Q8*R8</f>
        <v>38.806620909863312</v>
      </c>
      <c r="S19" s="1015">
        <f t="shared" ref="S19" si="46">+R19/R8*S8</f>
        <v>40.746951955356479</v>
      </c>
      <c r="T19" s="1015">
        <f t="shared" ref="T19" si="47">+S19/S8*T8</f>
        <v>42.784299553124306</v>
      </c>
    </row>
    <row r="20" spans="2:24" s="12" customFormat="1" x14ac:dyDescent="0.2">
      <c r="B20" s="22" t="s">
        <v>188</v>
      </c>
      <c r="C20" s="14"/>
      <c r="D20" s="70">
        <f>+'FA - Historical Financials'!AG91</f>
        <v>122.557</v>
      </c>
      <c r="E20" s="70">
        <f>+'FA - Historical Financials'!AH91</f>
        <v>140.946</v>
      </c>
      <c r="F20" s="70">
        <f>+'FA - Historical Financials'!AI91</f>
        <v>216.76399999999998</v>
      </c>
      <c r="G20" s="70">
        <f>+'FA - Historical Financials'!AJ91</f>
        <v>241.05400000000003</v>
      </c>
      <c r="H20" s="1132">
        <f>+'FA - Historical Financials'!AK91</f>
        <v>222.291</v>
      </c>
      <c r="I20" s="1154">
        <f>+'FA - Historical Financials'!AL91</f>
        <v>216.87931961798552</v>
      </c>
      <c r="J20" s="49">
        <f>+'FA - Historical Financials'!AM91</f>
        <v>238.88224522584386</v>
      </c>
      <c r="K20" s="49">
        <f t="shared" ref="K20:T20" si="48">+J20+(K8-J8)*K23</f>
        <v>264.91763825543291</v>
      </c>
      <c r="L20" s="49">
        <f t="shared" si="48"/>
        <v>293.03586272738909</v>
      </c>
      <c r="M20" s="49">
        <f t="shared" si="48"/>
        <v>323.4035451571018</v>
      </c>
      <c r="N20" s="49">
        <f t="shared" si="48"/>
        <v>356.20064218119143</v>
      </c>
      <c r="O20" s="49">
        <f t="shared" si="48"/>
        <v>387.19389886895618</v>
      </c>
      <c r="P20" s="49">
        <f t="shared" si="48"/>
        <v>415.61914285973472</v>
      </c>
      <c r="Q20" s="49">
        <f t="shared" si="48"/>
        <v>440.72810838492245</v>
      </c>
      <c r="R20" s="49">
        <f t="shared" si="48"/>
        <v>467.09252218636954</v>
      </c>
      <c r="S20" s="49">
        <f t="shared" si="48"/>
        <v>494.77515667788902</v>
      </c>
      <c r="T20" s="49">
        <f t="shared" si="48"/>
        <v>523.84192289398447</v>
      </c>
      <c r="V20" s="33"/>
      <c r="W20" s="33"/>
      <c r="X20" s="33"/>
    </row>
    <row r="21" spans="2:24" s="12" customFormat="1" x14ac:dyDescent="0.2">
      <c r="B21" s="24" t="s">
        <v>29</v>
      </c>
      <c r="C21" s="14"/>
      <c r="D21" s="15"/>
      <c r="E21" s="15">
        <f>IFERROR(IF(OR(E20&lt;0, D20&lt;0), "NM", E20/D20-1),"N/A")</f>
        <v>0.1500444691041718</v>
      </c>
      <c r="F21" s="15">
        <f>IFERROR(IF(OR(F20&lt;0, E20&lt;0), "NM", F20/E20-1),"N/A")</f>
        <v>0.53792232486200375</v>
      </c>
      <c r="G21" s="15">
        <f>IFERROR(IF(OR(G20&lt;0, F20&lt;0), "NM", G20/F20-1),"N/A")</f>
        <v>0.11205735269694261</v>
      </c>
      <c r="H21" s="1133">
        <f t="shared" ref="H21" si="49">IFERROR(IF(OR(H20&lt;0, G20&lt;0), "NM", H20/G20-1),"N/A")</f>
        <v>-7.7837331054452674E-2</v>
      </c>
      <c r="I21" s="1155">
        <f t="shared" ref="I21" si="50">IFERROR(IF(OR(I20&lt;0, H20&lt;0), "NM", I20/H20-1),"N/A")</f>
        <v>-2.4345026933229374E-2</v>
      </c>
      <c r="J21" s="15">
        <f t="shared" ref="J21" si="51">IFERROR(IF(OR(J20&lt;0, I20&lt;0), "NM", J20/I20-1),"N/A")</f>
        <v>0.10145239134194362</v>
      </c>
      <c r="K21" s="15">
        <f t="shared" ref="K21" si="52">IFERROR(IF(OR(K20&lt;0, J20&lt;0), "NM", K20/J20-1),"N/A")</f>
        <v>0.10898839721208531</v>
      </c>
      <c r="L21" s="15">
        <f t="shared" ref="L21" si="53">IFERROR(IF(OR(L20&lt;0, K20&lt;0), "NM", L20/K20-1),"N/A")</f>
        <v>0.10613949549423607</v>
      </c>
      <c r="M21" s="15">
        <f t="shared" ref="M21" si="54">IFERROR(IF(OR(M20&lt;0, L20&lt;0), "NM", M20/L20-1),"N/A")</f>
        <v>0.1036312830350179</v>
      </c>
      <c r="N21" s="15">
        <f t="shared" ref="N21" si="55">IFERROR(IF(OR(N20&lt;0, M20&lt;0), "NM", N20/M20-1),"N/A")</f>
        <v>0.10141229901532944</v>
      </c>
      <c r="O21" s="15">
        <f t="shared" ref="O21" si="56">IFERROR(IF(OR(O20&lt;0, N20&lt;0), "NM", O20/N20-1),"N/A")</f>
        <v>8.701067044118127E-2</v>
      </c>
      <c r="P21" s="15">
        <f t="shared" ref="P21" si="57">IFERROR(IF(OR(P20&lt;0, O20&lt;0), "NM", P20/O20-1),"N/A")</f>
        <v>7.3413460475003411E-2</v>
      </c>
      <c r="Q21" s="15">
        <f t="shared" ref="Q21" si="58">IFERROR(IF(OR(Q20&lt;0, P20&lt;0), "NM", Q20/P20-1),"N/A")</f>
        <v>6.0413399999868611E-2</v>
      </c>
      <c r="R21" s="15">
        <f t="shared" ref="R21" si="59">IFERROR(IF(OR(R20&lt;0, Q20&lt;0), "NM", R20/Q20-1),"N/A")</f>
        <v>5.9820132412387483E-2</v>
      </c>
      <c r="S21" s="15">
        <f t="shared" ref="S21" si="60">IFERROR(IF(OR(S20&lt;0, R20&lt;0), "NM", S20/R20-1),"N/A")</f>
        <v>5.9265848149189893E-2</v>
      </c>
      <c r="T21" s="15">
        <f t="shared" ref="T21" si="61">IFERROR(IF(OR(T20&lt;0, S20&lt;0), "NM", T20/S20-1),"N/A")</f>
        <v>5.8747424610525956E-2</v>
      </c>
    </row>
    <row r="22" spans="2:24" s="12" customFormat="1" x14ac:dyDescent="0.2">
      <c r="B22" s="24" t="s">
        <v>33</v>
      </c>
      <c r="C22" s="14"/>
      <c r="D22" s="15">
        <f>+IFERROR(D20/D$8,"N/A")</f>
        <v>0.25439060790797213</v>
      </c>
      <c r="E22" s="15">
        <f>+IFERROR(E20/E$8,"N/A")</f>
        <v>0.27682390789427169</v>
      </c>
      <c r="F22" s="15">
        <f>+IFERROR(F20/F$8,"N/A")</f>
        <v>0.30431773352332947</v>
      </c>
      <c r="G22" s="15">
        <f>+IFERROR(G20/G$8,"N/A")</f>
        <v>0.29758908080387841</v>
      </c>
      <c r="H22" s="1133">
        <f t="shared" ref="H22:I22" si="62">+IFERROR(H20/H$8,"N/A")</f>
        <v>0.29104785397526184</v>
      </c>
      <c r="I22" s="1155">
        <f t="shared" si="62"/>
        <v>0.28487587531912545</v>
      </c>
      <c r="J22" s="15">
        <f t="shared" ref="J22" si="63">+IFERROR(J20/J$8,"N/A")</f>
        <v>0.2936092356485418</v>
      </c>
      <c r="K22" s="15">
        <f t="shared" ref="K22:T22" si="64">+IFERROR(K20/K$8,"N/A")</f>
        <v>0.30149003300790905</v>
      </c>
      <c r="L22" s="15">
        <f t="shared" si="64"/>
        <v>0.30878706759991581</v>
      </c>
      <c r="M22" s="15">
        <f t="shared" si="64"/>
        <v>0.3155435811110332</v>
      </c>
      <c r="N22" s="15">
        <f t="shared" si="64"/>
        <v>0.32179961213984554</v>
      </c>
      <c r="O22" s="15">
        <f t="shared" si="64"/>
        <v>0.32691552536434165</v>
      </c>
      <c r="P22" s="15">
        <f t="shared" si="64"/>
        <v>0.33105238241919022</v>
      </c>
      <c r="Q22" s="15">
        <f t="shared" si="64"/>
        <v>0.33433560230399073</v>
      </c>
      <c r="R22" s="15">
        <f t="shared" si="64"/>
        <v>0.33746247838475307</v>
      </c>
      <c r="S22" s="15">
        <f t="shared" si="64"/>
        <v>0.34044045560452674</v>
      </c>
      <c r="T22" s="15">
        <f t="shared" si="64"/>
        <v>0.34327662438526363</v>
      </c>
      <c r="U22" s="59"/>
    </row>
    <row r="23" spans="2:24" s="12" customFormat="1" x14ac:dyDescent="0.2">
      <c r="B23" s="24" t="s">
        <v>34</v>
      </c>
      <c r="C23" s="14"/>
      <c r="D23" s="15"/>
      <c r="E23" s="16">
        <f t="shared" ref="E23:H23" si="65">(E20-D20)/(E8-D8)</f>
        <v>0.67144995800927432</v>
      </c>
      <c r="F23" s="16">
        <f t="shared" si="65"/>
        <v>0.37322844723615584</v>
      </c>
      <c r="G23" s="16">
        <f t="shared" si="65"/>
        <v>0.24854698755730253</v>
      </c>
      <c r="H23" s="1137">
        <f t="shared" si="65"/>
        <v>0.40558125459340399</v>
      </c>
      <c r="I23" s="1160">
        <f t="shared" ref="I23" si="66">(I20-H20)/(I8-H8)</f>
        <v>2.2094256025856276</v>
      </c>
      <c r="J23" s="15">
        <f t="shared" ref="J23" si="67">(J20-I20)/(J8-I8)</f>
        <v>0.42075114312267448</v>
      </c>
      <c r="K23" s="59">
        <v>0.4</v>
      </c>
      <c r="L23" s="59">
        <v>0.4</v>
      </c>
      <c r="M23" s="59">
        <v>0.4</v>
      </c>
      <c r="N23" s="59">
        <v>0.4</v>
      </c>
      <c r="O23" s="59">
        <v>0.4</v>
      </c>
      <c r="P23" s="59">
        <v>0.4</v>
      </c>
      <c r="Q23" s="59">
        <v>0.4</v>
      </c>
      <c r="R23" s="59">
        <v>0.4</v>
      </c>
      <c r="S23" s="59">
        <v>0.4</v>
      </c>
      <c r="T23" s="59">
        <v>0.4</v>
      </c>
      <c r="U23" s="59"/>
    </row>
    <row r="24" spans="2:24" x14ac:dyDescent="0.2">
      <c r="F24" s="20"/>
      <c r="G24" s="20"/>
      <c r="H24" s="1138"/>
      <c r="I24" s="1161"/>
      <c r="J24" s="20"/>
      <c r="K24" s="20"/>
      <c r="L24" s="20"/>
      <c r="M24" s="20"/>
      <c r="N24" s="20"/>
      <c r="O24" s="20"/>
      <c r="P24" s="20"/>
      <c r="Q24" s="20"/>
      <c r="R24" s="20"/>
      <c r="S24" s="20"/>
      <c r="T24" s="20"/>
    </row>
    <row r="25" spans="2:24" x14ac:dyDescent="0.2">
      <c r="B25" s="1" t="s">
        <v>40</v>
      </c>
      <c r="D25" s="70">
        <f>+'FA - Historical Financials'!AG96</f>
        <v>19.844999999999999</v>
      </c>
      <c r="E25" s="70">
        <f>+'FA - Historical Financials'!AH96</f>
        <v>20.418000000000003</v>
      </c>
      <c r="F25" s="70">
        <f>+'FA - Historical Financials'!AI96</f>
        <v>25.45</v>
      </c>
      <c r="G25" s="70">
        <f>+'FA - Historical Financials'!AJ96</f>
        <v>29.896999999999998</v>
      </c>
      <c r="H25" s="1132">
        <f>+'FA - Historical Financials'!AK96</f>
        <v>27.802999999999997</v>
      </c>
      <c r="I25" s="1154">
        <f>+'FA - Historical Financials'!AL96</f>
        <v>30.099225569438843</v>
      </c>
      <c r="J25" s="70">
        <f>+'FA - Historical Financials'!AM96</f>
        <v>28.476211126112993</v>
      </c>
      <c r="K25" s="49">
        <f t="shared" ref="K25:T25" si="68">+K26*K$8</f>
        <v>30.754308016202028</v>
      </c>
      <c r="L25" s="49">
        <f t="shared" si="68"/>
        <v>33.214652657498199</v>
      </c>
      <c r="M25" s="49">
        <f t="shared" si="68"/>
        <v>35.87182487009806</v>
      </c>
      <c r="N25" s="49">
        <f t="shared" si="68"/>
        <v>38.741570859705902</v>
      </c>
      <c r="O25" s="49">
        <f t="shared" si="68"/>
        <v>41.453480819885314</v>
      </c>
      <c r="P25" s="49">
        <f t="shared" si="68"/>
        <v>43.940689669078438</v>
      </c>
      <c r="Q25" s="49">
        <f t="shared" si="68"/>
        <v>46.137724152532364</v>
      </c>
      <c r="R25" s="49">
        <f t="shared" si="68"/>
        <v>48.444610360158983</v>
      </c>
      <c r="S25" s="49">
        <f t="shared" si="68"/>
        <v>50.866840878166933</v>
      </c>
      <c r="T25" s="49">
        <f t="shared" si="68"/>
        <v>53.410182922075286</v>
      </c>
    </row>
    <row r="26" spans="2:24" s="12" customFormat="1" x14ac:dyDescent="0.2">
      <c r="B26" s="13" t="s">
        <v>41</v>
      </c>
      <c r="C26" s="14"/>
      <c r="D26" s="19">
        <f>+D25/D$8</f>
        <v>4.1192111539395601E-2</v>
      </c>
      <c r="E26" s="19">
        <f>+E25/E$8</f>
        <v>4.0101815953522912E-2</v>
      </c>
      <c r="F26" s="19">
        <f>+F25/F$8</f>
        <v>3.5729578334819136E-2</v>
      </c>
      <c r="G26" s="19">
        <f>+G25/G$8</f>
        <v>3.6908828514745876E-2</v>
      </c>
      <c r="H26" s="1133">
        <f t="shared" ref="H26:I26" si="69">+H25/H$8</f>
        <v>3.6402749027509909E-2</v>
      </c>
      <c r="I26" s="1155">
        <f t="shared" si="69"/>
        <v>3.9536011297089196E-2</v>
      </c>
      <c r="J26" s="15">
        <f t="shared" ref="J26" si="70">+J25/J$8</f>
        <v>3.500000000000001E-2</v>
      </c>
      <c r="K26" s="59">
        <v>3.5000000000000003E-2</v>
      </c>
      <c r="L26" s="59">
        <v>3.5000000000000003E-2</v>
      </c>
      <c r="M26" s="59">
        <v>3.5000000000000003E-2</v>
      </c>
      <c r="N26" s="59">
        <v>3.5000000000000003E-2</v>
      </c>
      <c r="O26" s="59">
        <v>3.5000000000000003E-2</v>
      </c>
      <c r="P26" s="59">
        <v>3.5000000000000003E-2</v>
      </c>
      <c r="Q26" s="59">
        <v>3.5000000000000003E-2</v>
      </c>
      <c r="R26" s="59">
        <v>3.5000000000000003E-2</v>
      </c>
      <c r="S26" s="59">
        <v>3.5000000000000003E-2</v>
      </c>
      <c r="T26" s="59">
        <v>3.5000000000000003E-2</v>
      </c>
    </row>
    <row r="27" spans="2:24" x14ac:dyDescent="0.2">
      <c r="F27" s="20"/>
      <c r="G27" s="20"/>
      <c r="H27" s="1138"/>
      <c r="I27" s="1161"/>
      <c r="J27" s="20"/>
      <c r="K27" s="20"/>
      <c r="L27" s="20"/>
      <c r="M27" s="20"/>
      <c r="N27" s="20"/>
      <c r="O27" s="20"/>
      <c r="P27" s="20"/>
      <c r="Q27" s="20"/>
      <c r="R27" s="20"/>
      <c r="S27" s="20"/>
      <c r="T27" s="20"/>
    </row>
    <row r="28" spans="2:24" ht="11.25" customHeight="1" x14ac:dyDescent="0.2">
      <c r="B28" s="21" t="s">
        <v>42</v>
      </c>
      <c r="D28" s="40">
        <f t="shared" ref="D28:R28" si="71">+D20-D25</f>
        <v>102.712</v>
      </c>
      <c r="E28" s="40">
        <f t="shared" si="71"/>
        <v>120.52799999999999</v>
      </c>
      <c r="F28" s="40">
        <f t="shared" si="71"/>
        <v>191.31399999999999</v>
      </c>
      <c r="G28" s="49">
        <f t="shared" si="71"/>
        <v>211.15700000000004</v>
      </c>
      <c r="H28" s="1134">
        <f t="shared" si="71"/>
        <v>194.488</v>
      </c>
      <c r="I28" s="1157">
        <f t="shared" ref="I28" si="72">+I20-I25</f>
        <v>186.78009404854669</v>
      </c>
      <c r="J28" s="49">
        <f t="shared" si="71"/>
        <v>210.40603409973087</v>
      </c>
      <c r="K28" s="49">
        <f t="shared" si="71"/>
        <v>234.16333023923087</v>
      </c>
      <c r="L28" s="49">
        <f t="shared" si="71"/>
        <v>259.82121006989087</v>
      </c>
      <c r="M28" s="49">
        <f t="shared" si="71"/>
        <v>287.53172028700374</v>
      </c>
      <c r="N28" s="49">
        <f t="shared" si="71"/>
        <v>317.45907132148551</v>
      </c>
      <c r="O28" s="49">
        <f t="shared" si="71"/>
        <v>345.74041804907085</v>
      </c>
      <c r="P28" s="49">
        <f t="shared" si="71"/>
        <v>371.67845319065628</v>
      </c>
      <c r="Q28" s="49">
        <f t="shared" si="71"/>
        <v>394.59038423239008</v>
      </c>
      <c r="R28" s="49">
        <f t="shared" si="71"/>
        <v>418.64791182621053</v>
      </c>
      <c r="S28" s="49">
        <f t="shared" ref="S28:T28" si="73">+S20-S25</f>
        <v>443.90831579972206</v>
      </c>
      <c r="T28" s="49">
        <f t="shared" si="73"/>
        <v>470.43173997190917</v>
      </c>
    </row>
    <row r="29" spans="2:24" s="12" customFormat="1" ht="11.25" customHeight="1" x14ac:dyDescent="0.2">
      <c r="B29" s="13" t="s">
        <v>29</v>
      </c>
      <c r="C29" s="14"/>
      <c r="D29" s="15"/>
      <c r="E29" s="15">
        <f t="shared" ref="E29:R29" si="74">IF(OR(E28&lt;0, D28&lt;0), "NM", E28/D28-1)</f>
        <v>0.17345587662590534</v>
      </c>
      <c r="F29" s="15">
        <f t="shared" si="74"/>
        <v>0.58729921677950347</v>
      </c>
      <c r="G29" s="15">
        <f t="shared" si="74"/>
        <v>0.10371953960504743</v>
      </c>
      <c r="H29" s="1133">
        <f t="shared" si="74"/>
        <v>-7.8941261715216759E-2</v>
      </c>
      <c r="I29" s="1155">
        <f t="shared" ref="I29" si="75">IF(OR(I28&lt;0, H28&lt;0), "NM", I28/H28-1)</f>
        <v>-3.9631781659810961E-2</v>
      </c>
      <c r="J29" s="15">
        <f t="shared" si="74"/>
        <v>0.12649067434907435</v>
      </c>
      <c r="K29" s="15">
        <f t="shared" si="74"/>
        <v>0.11291166739181646</v>
      </c>
      <c r="L29" s="15">
        <f t="shared" si="74"/>
        <v>0.10957257827024769</v>
      </c>
      <c r="M29" s="15">
        <f t="shared" si="74"/>
        <v>0.10665222523464823</v>
      </c>
      <c r="N29" s="15">
        <f t="shared" si="74"/>
        <v>0.10408365033468092</v>
      </c>
      <c r="O29" s="15">
        <f t="shared" si="74"/>
        <v>8.9086591886817779E-2</v>
      </c>
      <c r="P29" s="15">
        <f t="shared" si="74"/>
        <v>7.5021703531069628E-2</v>
      </c>
      <c r="Q29" s="15">
        <f t="shared" si="74"/>
        <v>6.164449632484037E-2</v>
      </c>
      <c r="R29" s="15">
        <f t="shared" si="74"/>
        <v>6.0968357454073141E-2</v>
      </c>
      <c r="S29" s="15">
        <f t="shared" ref="S29" si="76">IF(OR(S28&lt;0, R28&lt;0), "NM", S28/R28-1)</f>
        <v>6.0338062749009103E-2</v>
      </c>
      <c r="T29" s="15">
        <f t="shared" ref="T29" si="77">IF(OR(T28&lt;0, S28&lt;0), "NM", T28/S28-1)</f>
        <v>5.9749779916611567E-2</v>
      </c>
    </row>
    <row r="30" spans="2:24" s="12" customFormat="1" x14ac:dyDescent="0.2">
      <c r="B30" s="13" t="s">
        <v>33</v>
      </c>
      <c r="C30" s="14"/>
      <c r="D30" s="19">
        <f t="shared" ref="D30:Q30" si="78">+D28/D$8</f>
        <v>0.21319849636857655</v>
      </c>
      <c r="E30" s="19">
        <f t="shared" si="78"/>
        <v>0.23672209194074878</v>
      </c>
      <c r="F30" s="19">
        <f t="shared" ref="F30" si="79">+F28/F$8</f>
        <v>0.26858815518851031</v>
      </c>
      <c r="G30" s="19">
        <f t="shared" si="78"/>
        <v>0.26068025228913255</v>
      </c>
      <c r="H30" s="1135">
        <f t="shared" si="78"/>
        <v>0.25464510494775194</v>
      </c>
      <c r="I30" s="1158">
        <f t="shared" ref="I30" si="80">+I28/I$8</f>
        <v>0.24533986402203631</v>
      </c>
      <c r="J30" s="19">
        <f t="shared" si="78"/>
        <v>0.25860923564854177</v>
      </c>
      <c r="K30" s="19">
        <f t="shared" si="78"/>
        <v>0.26649003300790908</v>
      </c>
      <c r="L30" s="19">
        <f t="shared" si="78"/>
        <v>0.27378706759991578</v>
      </c>
      <c r="M30" s="19">
        <f t="shared" si="78"/>
        <v>0.28054358111103317</v>
      </c>
      <c r="N30" s="19">
        <f t="shared" si="78"/>
        <v>0.28679961213984551</v>
      </c>
      <c r="O30" s="19">
        <f t="shared" si="78"/>
        <v>0.29191552536434162</v>
      </c>
      <c r="P30" s="19">
        <f t="shared" si="78"/>
        <v>0.29605238241919024</v>
      </c>
      <c r="Q30" s="19">
        <f t="shared" si="78"/>
        <v>0.2993356023039907</v>
      </c>
      <c r="R30" s="19">
        <f t="shared" ref="R30:S30" si="81">+R28/R$8</f>
        <v>0.30246247838475304</v>
      </c>
      <c r="S30" s="19">
        <f t="shared" si="81"/>
        <v>0.30544045560452676</v>
      </c>
      <c r="T30" s="19">
        <f t="shared" ref="T30" si="82">+T28/T$8</f>
        <v>0.3082766243852636</v>
      </c>
    </row>
    <row r="31" spans="2:24" x14ac:dyDescent="0.2">
      <c r="F31" s="20"/>
      <c r="G31" s="20"/>
      <c r="H31" s="1138"/>
      <c r="I31" s="1161"/>
      <c r="J31" s="20"/>
      <c r="K31" s="20"/>
      <c r="L31" s="20"/>
      <c r="M31" s="20"/>
      <c r="N31" s="20"/>
      <c r="O31" s="20"/>
      <c r="P31" s="20"/>
      <c r="Q31" s="20"/>
      <c r="R31" s="20"/>
      <c r="S31" s="20"/>
      <c r="T31" s="20"/>
    </row>
    <row r="32" spans="2:24" x14ac:dyDescent="0.2">
      <c r="B32" s="1" t="s">
        <v>260</v>
      </c>
      <c r="D32" s="70">
        <f>+'FA - Historical Financials'!AG103</f>
        <v>14.879</v>
      </c>
      <c r="E32" s="70">
        <f>+'FA - Historical Financials'!AH103</f>
        <v>10.895</v>
      </c>
      <c r="F32" s="70">
        <f>+'FA - Historical Financials'!AI103</f>
        <v>15.949999999999996</v>
      </c>
      <c r="G32" s="70">
        <f>+'FA - Historical Financials'!AJ103</f>
        <v>22.301999999999996</v>
      </c>
      <c r="H32" s="1132">
        <f>+'FA - Historical Financials'!AK103</f>
        <v>26.813999999999993</v>
      </c>
      <c r="I32" s="1154">
        <f>+'FA - Historical Financials'!AL103</f>
        <v>29.762999999999995</v>
      </c>
      <c r="J32" s="70">
        <f>+'FA - Historical Financials'!AM103</f>
        <v>32.327999999999946</v>
      </c>
      <c r="K32" s="49">
        <f t="shared" ref="K32:R32" si="83">($S$32-$H$32)/11+J32</f>
        <v>34.514621898015122</v>
      </c>
      <c r="L32" s="49">
        <f t="shared" si="83"/>
        <v>36.701243796030298</v>
      </c>
      <c r="M32" s="49">
        <f t="shared" si="83"/>
        <v>38.887865694045473</v>
      </c>
      <c r="N32" s="49">
        <f t="shared" si="83"/>
        <v>41.074487592060649</v>
      </c>
      <c r="O32" s="49">
        <f t="shared" si="83"/>
        <v>43.261109490075825</v>
      </c>
      <c r="P32" s="49">
        <f t="shared" si="83"/>
        <v>45.447731388091</v>
      </c>
      <c r="Q32" s="49">
        <f t="shared" si="83"/>
        <v>47.634353286106176</v>
      </c>
      <c r="R32" s="49">
        <f t="shared" si="83"/>
        <v>49.820975184121352</v>
      </c>
      <c r="S32" s="49">
        <f>S25</f>
        <v>50.866840878166933</v>
      </c>
      <c r="T32" s="49">
        <f t="shared" ref="T32" si="84">T25</f>
        <v>53.410182922075286</v>
      </c>
    </row>
    <row r="33" spans="1:20" s="12" customFormat="1" x14ac:dyDescent="0.2">
      <c r="B33" s="13" t="s">
        <v>41</v>
      </c>
      <c r="C33" s="14"/>
      <c r="D33" s="19">
        <f>+D32/D$8</f>
        <v>3.0884224116637299E-2</v>
      </c>
      <c r="E33" s="19">
        <f>+E32/E$8</f>
        <v>2.1398241003704185E-2</v>
      </c>
      <c r="F33" s="19">
        <f>+F32/F$8</f>
        <v>2.239240764009293E-2</v>
      </c>
      <c r="G33" s="19">
        <f>+G32/G$8</f>
        <v>2.7532551544832671E-2</v>
      </c>
      <c r="H33" s="1135">
        <f t="shared" ref="H33:I33" si="85">+H32/H$8</f>
        <v>3.5107841327326209E-2</v>
      </c>
      <c r="I33" s="1158">
        <f t="shared" si="85"/>
        <v>3.9094371432268168E-2</v>
      </c>
      <c r="J33" s="19">
        <f t="shared" ref="J33" si="86">+J32/J$8</f>
        <v>3.9734218677793795E-2</v>
      </c>
      <c r="K33" s="19">
        <f t="shared" ref="K33:R33" si="87">+K32/K$8</f>
        <v>3.9279432520287004E-2</v>
      </c>
      <c r="L33" s="19">
        <f t="shared" si="87"/>
        <v>3.8674001685550526E-2</v>
      </c>
      <c r="M33" s="19">
        <f t="shared" si="87"/>
        <v>3.7942739300842021E-2</v>
      </c>
      <c r="N33" s="19">
        <f t="shared" si="87"/>
        <v>3.7107609057157272E-2</v>
      </c>
      <c r="O33" s="19">
        <f t="shared" si="87"/>
        <v>3.6526216911230251E-2</v>
      </c>
      <c r="P33" s="19">
        <f t="shared" si="87"/>
        <v>3.620040128096938E-2</v>
      </c>
      <c r="Q33" s="19">
        <f t="shared" si="87"/>
        <v>3.613534034539518E-2</v>
      </c>
      <c r="R33" s="19">
        <f t="shared" si="87"/>
        <v>3.5994388611664853E-2</v>
      </c>
      <c r="S33" s="19">
        <f t="shared" ref="S33:T33" si="88">+S32/S$8</f>
        <v>3.5000000000000003E-2</v>
      </c>
      <c r="T33" s="19">
        <f t="shared" si="88"/>
        <v>3.5000000000000003E-2</v>
      </c>
    </row>
    <row r="34" spans="1:20" x14ac:dyDescent="0.2">
      <c r="F34" s="20"/>
      <c r="G34" s="20"/>
      <c r="H34" s="1138"/>
      <c r="I34" s="1161"/>
      <c r="J34" s="20"/>
      <c r="K34" s="20"/>
      <c r="L34" s="20"/>
      <c r="M34" s="20"/>
      <c r="N34" s="20"/>
      <c r="O34" s="20"/>
      <c r="P34" s="20"/>
      <c r="Q34" s="20"/>
      <c r="R34" s="20"/>
      <c r="S34" s="20"/>
      <c r="T34" s="20"/>
    </row>
    <row r="35" spans="1:20" x14ac:dyDescent="0.2">
      <c r="B35" s="1" t="s">
        <v>44</v>
      </c>
      <c r="D35" s="70">
        <f>+'FA - Historical Financials'!AG105</f>
        <v>51.018999999999998</v>
      </c>
      <c r="E35" s="70">
        <f>+'FA - Historical Financials'!AH105</f>
        <v>51.873000000000005</v>
      </c>
      <c r="F35" s="70">
        <f>+'FA - Historical Financials'!AI105</f>
        <v>24.972000000000001</v>
      </c>
      <c r="G35" s="70">
        <f>+'FA - Historical Financials'!AJ105</f>
        <v>9.1989999999999998</v>
      </c>
      <c r="H35" s="1132">
        <f>+'FA - Historical Financials'!AK105</f>
        <v>33.04</v>
      </c>
      <c r="I35" s="1154">
        <f>+'FA - Historical Financials'!AL105</f>
        <v>36.113999999999997</v>
      </c>
      <c r="J35" s="70">
        <f>Rates!H70</f>
        <v>36.747631780425998</v>
      </c>
      <c r="K35" s="70">
        <f>Rates!I70</f>
        <v>41.106871254646357</v>
      </c>
      <c r="L35" s="70">
        <f>Rates!J70</f>
        <v>39.704342429251462</v>
      </c>
      <c r="M35" s="70">
        <f>Rates!K70</f>
        <v>43.561038097824976</v>
      </c>
      <c r="N35" s="70">
        <f>Rates!L70</f>
        <v>47.726269419884353</v>
      </c>
      <c r="O35" s="70">
        <f>Rates!M70</f>
        <v>51.662413019230478</v>
      </c>
      <c r="P35" s="70">
        <f>Rates!N70</f>
        <v>55.272419006059359</v>
      </c>
      <c r="Q35" s="70">
        <f>Rates!O70</f>
        <v>58.461257627758194</v>
      </c>
      <c r="R35" s="70">
        <f>Rates!P70</f>
        <v>61.809538180541963</v>
      </c>
      <c r="S35" s="70">
        <f>Rates!Q70</f>
        <v>65.325232760964951</v>
      </c>
      <c r="T35" s="70">
        <f>Rates!R70</f>
        <v>69.016712070409071</v>
      </c>
    </row>
    <row r="36" spans="1:20" s="12" customFormat="1" outlineLevel="1" x14ac:dyDescent="0.2">
      <c r="B36" s="13" t="s">
        <v>45</v>
      </c>
      <c r="C36" s="14"/>
      <c r="D36" s="16"/>
      <c r="E36" s="16">
        <f>+E35/AVERAGE(E60)</f>
        <v>8.2178955039447429E-2</v>
      </c>
      <c r="F36" s="16">
        <f t="shared" ref="F36:T36" si="89">+F35/AVERAGE(F60)</f>
        <v>9.5582212491675006E-2</v>
      </c>
      <c r="G36" s="19">
        <f t="shared" si="89"/>
        <v>5.6422429126951994E-2</v>
      </c>
      <c r="H36" s="1135">
        <f t="shared" si="89"/>
        <v>9.5856470601888108E-2</v>
      </c>
      <c r="I36" s="1158">
        <f>+I35/AVERAGE(H60:I60)</f>
        <v>0.12859977943347539</v>
      </c>
      <c r="J36" s="19">
        <f t="shared" si="89"/>
        <v>7.6915786993051918E-2</v>
      </c>
      <c r="K36" s="19">
        <f t="shared" si="89"/>
        <v>7.7584247552084887E-2</v>
      </c>
      <c r="L36" s="19">
        <f t="shared" si="89"/>
        <v>6.7746558492378733E-2</v>
      </c>
      <c r="M36" s="19">
        <f t="shared" si="89"/>
        <v>6.734780547421651E-2</v>
      </c>
      <c r="N36" s="19">
        <f t="shared" si="89"/>
        <v>6.6993519618090761E-2</v>
      </c>
      <c r="O36" s="19">
        <f t="shared" si="89"/>
        <v>6.6713877943509844E-2</v>
      </c>
      <c r="P36" s="19">
        <f t="shared" si="89"/>
        <v>6.6494072705300028E-2</v>
      </c>
      <c r="Q36" s="19">
        <f t="shared" si="89"/>
        <v>6.632349572845872E-2</v>
      </c>
      <c r="R36" s="19">
        <f t="shared" si="89"/>
        <v>6.6164127281703733E-2</v>
      </c>
      <c r="S36" s="19">
        <f t="shared" si="89"/>
        <v>6.6015069551575434E-2</v>
      </c>
      <c r="T36" s="19">
        <f t="shared" si="89"/>
        <v>6.5875514209633737E-2</v>
      </c>
    </row>
    <row r="37" spans="1:20" x14ac:dyDescent="0.2">
      <c r="D37" s="34"/>
      <c r="E37" s="34"/>
      <c r="F37" s="20"/>
      <c r="G37" s="20"/>
      <c r="H37" s="1138"/>
      <c r="I37" s="1161"/>
      <c r="J37" s="20"/>
      <c r="K37" s="20"/>
      <c r="L37" s="20"/>
      <c r="M37" s="20"/>
      <c r="N37" s="20"/>
      <c r="O37" s="20"/>
      <c r="P37" s="20"/>
      <c r="Q37" s="20"/>
      <c r="R37" s="20"/>
      <c r="S37" s="20"/>
      <c r="T37" s="20"/>
    </row>
    <row r="38" spans="1:20" x14ac:dyDescent="0.2">
      <c r="B38" s="1" t="s">
        <v>46</v>
      </c>
      <c r="D38" s="49">
        <f t="shared" ref="D38:G38" si="90">+MAX((D20-D35-D32)*D39,0)</f>
        <v>14.164750000000003</v>
      </c>
      <c r="E38" s="49">
        <f t="shared" si="90"/>
        <v>19.544499999999999</v>
      </c>
      <c r="F38" s="49">
        <f t="shared" si="90"/>
        <v>43.960499999999996</v>
      </c>
      <c r="G38" s="49">
        <f t="shared" si="90"/>
        <v>52.388250000000006</v>
      </c>
      <c r="H38" s="1134">
        <f>+MAX((H20-H35-H32)*H39,0)</f>
        <v>40.609250000000003</v>
      </c>
      <c r="I38" s="1157">
        <f t="shared" ref="I38" si="91">+MAX((I20-I35-I32)*I39,0)</f>
        <v>37.750579904496377</v>
      </c>
      <c r="J38" s="49">
        <f t="shared" ref="J38:R38" si="92">+MAX((J20-J35-J32)*J39,0)</f>
        <v>42.451653361354481</v>
      </c>
      <c r="K38" s="49">
        <f t="shared" si="92"/>
        <v>47.324036275692855</v>
      </c>
      <c r="L38" s="49">
        <f t="shared" si="92"/>
        <v>54.157569125526834</v>
      </c>
      <c r="M38" s="49">
        <f t="shared" si="92"/>
        <v>60.238660341307842</v>
      </c>
      <c r="N38" s="49">
        <f t="shared" si="92"/>
        <v>66.849971292311608</v>
      </c>
      <c r="O38" s="49">
        <f t="shared" si="92"/>
        <v>73.067594089912461</v>
      </c>
      <c r="P38" s="49">
        <f t="shared" si="92"/>
        <v>78.724748116396086</v>
      </c>
      <c r="Q38" s="49">
        <f t="shared" si="92"/>
        <v>83.658124367764515</v>
      </c>
      <c r="R38" s="49">
        <f t="shared" si="92"/>
        <v>88.865502205426566</v>
      </c>
      <c r="S38" s="49">
        <f t="shared" ref="S38:T38" si="93">+MAX((S20-S35-S32)*S39,0)</f>
        <v>94.64577075968927</v>
      </c>
      <c r="T38" s="49">
        <f t="shared" si="93"/>
        <v>100.35375697537502</v>
      </c>
    </row>
    <row r="39" spans="1:20" x14ac:dyDescent="0.2">
      <c r="B39" s="13" t="s">
        <v>47</v>
      </c>
      <c r="C39" s="14"/>
      <c r="D39" s="86">
        <v>0.25</v>
      </c>
      <c r="E39" s="86">
        <f t="shared" ref="E39:R39" si="94">+D39</f>
        <v>0.25</v>
      </c>
      <c r="F39" s="86">
        <f t="shared" si="94"/>
        <v>0.25</v>
      </c>
      <c r="G39" s="86">
        <f t="shared" si="94"/>
        <v>0.25</v>
      </c>
      <c r="H39" s="1139">
        <f t="shared" si="94"/>
        <v>0.25</v>
      </c>
      <c r="I39" s="1162">
        <f t="shared" ref="I39" si="95">+H39</f>
        <v>0.25</v>
      </c>
      <c r="J39" s="86">
        <f t="shared" si="94"/>
        <v>0.25</v>
      </c>
      <c r="K39" s="86">
        <f t="shared" si="94"/>
        <v>0.25</v>
      </c>
      <c r="L39" s="86">
        <f t="shared" si="94"/>
        <v>0.25</v>
      </c>
      <c r="M39" s="86">
        <f t="shared" si="94"/>
        <v>0.25</v>
      </c>
      <c r="N39" s="86">
        <f t="shared" si="94"/>
        <v>0.25</v>
      </c>
      <c r="O39" s="86">
        <f t="shared" si="94"/>
        <v>0.25</v>
      </c>
      <c r="P39" s="86">
        <f t="shared" si="94"/>
        <v>0.25</v>
      </c>
      <c r="Q39" s="86">
        <f t="shared" si="94"/>
        <v>0.25</v>
      </c>
      <c r="R39" s="86">
        <f t="shared" si="94"/>
        <v>0.25</v>
      </c>
      <c r="S39" s="86">
        <f t="shared" ref="S39" si="96">+R39</f>
        <v>0.25</v>
      </c>
      <c r="T39" s="86">
        <f t="shared" ref="T39" si="97">+S39</f>
        <v>0.25</v>
      </c>
    </row>
    <row r="40" spans="1:20" x14ac:dyDescent="0.2">
      <c r="F40" s="20"/>
      <c r="G40" s="20"/>
      <c r="H40" s="1138"/>
      <c r="I40" s="1161"/>
      <c r="J40" s="20"/>
      <c r="K40" s="20"/>
      <c r="L40" s="20"/>
      <c r="M40" s="20"/>
      <c r="N40" s="20"/>
      <c r="O40" s="20"/>
      <c r="P40" s="20"/>
      <c r="Q40" s="20"/>
      <c r="R40" s="20"/>
      <c r="S40" s="20"/>
      <c r="T40" s="20"/>
    </row>
    <row r="41" spans="1:20" x14ac:dyDescent="0.2">
      <c r="B41" s="1" t="s">
        <v>48</v>
      </c>
      <c r="D41" s="40">
        <f t="shared" ref="D41:R41" si="98">+D28-D35-D38</f>
        <v>37.52825</v>
      </c>
      <c r="E41" s="40">
        <f t="shared" si="98"/>
        <v>49.110499999999988</v>
      </c>
      <c r="F41" s="40">
        <f t="shared" si="98"/>
        <v>122.38149999999999</v>
      </c>
      <c r="G41" s="40">
        <f t="shared" si="98"/>
        <v>149.56975000000003</v>
      </c>
      <c r="H41" s="1140">
        <f t="shared" si="98"/>
        <v>120.83875</v>
      </c>
      <c r="I41" s="1163">
        <f t="shared" ref="I41" si="99">+I28-I35-I38</f>
        <v>112.91551414405031</v>
      </c>
      <c r="J41" s="40">
        <f t="shared" si="98"/>
        <v>131.2067489579504</v>
      </c>
      <c r="K41" s="40">
        <f t="shared" si="98"/>
        <v>145.73242270889165</v>
      </c>
      <c r="L41" s="40">
        <f t="shared" si="98"/>
        <v>165.95929851511258</v>
      </c>
      <c r="M41" s="40">
        <f t="shared" si="98"/>
        <v>183.73202184787093</v>
      </c>
      <c r="N41" s="40">
        <f t="shared" si="98"/>
        <v>202.88283060928953</v>
      </c>
      <c r="O41" s="40">
        <f t="shared" si="98"/>
        <v>221.01041093992791</v>
      </c>
      <c r="P41" s="40">
        <f t="shared" si="98"/>
        <v>237.68128606820085</v>
      </c>
      <c r="Q41" s="40">
        <f t="shared" si="98"/>
        <v>252.47100223686738</v>
      </c>
      <c r="R41" s="40">
        <f t="shared" si="98"/>
        <v>267.97287144024199</v>
      </c>
      <c r="S41" s="40">
        <f t="shared" ref="S41:T41" si="100">+S28-S35-S38</f>
        <v>283.93731227906778</v>
      </c>
      <c r="T41" s="40">
        <f t="shared" si="100"/>
        <v>301.06127092612508</v>
      </c>
    </row>
    <row r="42" spans="1:20" s="12" customFormat="1" x14ac:dyDescent="0.2">
      <c r="B42" s="13" t="s">
        <v>29</v>
      </c>
      <c r="C42" s="14"/>
      <c r="D42" s="15"/>
      <c r="E42" s="15">
        <f t="shared" ref="E42:R42" si="101">IF(OR(E41&lt;0, D41&lt;0), "NM", E41/D41-1)</f>
        <v>0.30862750061620203</v>
      </c>
      <c r="F42" s="15">
        <f t="shared" si="101"/>
        <v>1.4919620040520871</v>
      </c>
      <c r="G42" s="15">
        <f t="shared" si="101"/>
        <v>0.22215980356508158</v>
      </c>
      <c r="H42" s="1133">
        <f t="shared" si="101"/>
        <v>-0.19209098096373112</v>
      </c>
      <c r="I42" s="1155">
        <f t="shared" ref="I42" si="102">IF(OR(I41&lt;0, H41&lt;0), "NM", I41/H41-1)</f>
        <v>-6.5568667798613478E-2</v>
      </c>
      <c r="J42" s="15">
        <f t="shared" si="101"/>
        <v>0.16199044881082791</v>
      </c>
      <c r="K42" s="15">
        <f t="shared" si="101"/>
        <v>0.11070828190092952</v>
      </c>
      <c r="L42" s="15">
        <f t="shared" si="101"/>
        <v>0.13879461708136986</v>
      </c>
      <c r="M42" s="15">
        <f t="shared" si="101"/>
        <v>0.10709085596152912</v>
      </c>
      <c r="N42" s="15">
        <f t="shared" si="101"/>
        <v>0.10423228661400885</v>
      </c>
      <c r="O42" s="15">
        <f t="shared" si="101"/>
        <v>8.9349997120004465E-2</v>
      </c>
      <c r="P42" s="15">
        <f t="shared" si="101"/>
        <v>7.5430270716089431E-2</v>
      </c>
      <c r="Q42" s="15">
        <f t="shared" si="101"/>
        <v>6.2224992187322359E-2</v>
      </c>
      <c r="R42" s="15">
        <f t="shared" si="101"/>
        <v>6.1400592804835563E-2</v>
      </c>
      <c r="S42" s="15">
        <f t="shared" ref="S42" si="103">IF(OR(S41&lt;0, R41&lt;0), "NM", S41/R41-1)</f>
        <v>5.9574839620979647E-2</v>
      </c>
      <c r="T42" s="15">
        <f t="shared" ref="T42" si="104">IF(OR(T41&lt;0, S41&lt;0), "NM", T41/S41-1)</f>
        <v>6.0308941116646864E-2</v>
      </c>
    </row>
    <row r="43" spans="1:20" x14ac:dyDescent="0.2">
      <c r="D43" s="15"/>
      <c r="E43" s="15"/>
      <c r="F43" s="15"/>
      <c r="G43" s="15"/>
      <c r="H43" s="1140"/>
      <c r="I43" s="1161"/>
      <c r="J43" s="20"/>
      <c r="K43" s="20"/>
      <c r="L43" s="20"/>
      <c r="M43" s="20"/>
      <c r="N43" s="20"/>
      <c r="O43" s="20"/>
      <c r="P43" s="20"/>
      <c r="Q43" s="20"/>
      <c r="R43" s="20"/>
      <c r="S43" s="20"/>
      <c r="T43" s="20"/>
    </row>
    <row r="44" spans="1:20" ht="10.5" hidden="1" outlineLevel="1" x14ac:dyDescent="0.25">
      <c r="B44" s="26" t="s">
        <v>494</v>
      </c>
      <c r="D44" s="15"/>
      <c r="E44" s="15"/>
      <c r="F44" s="15"/>
      <c r="G44" s="15"/>
      <c r="H44" s="1141"/>
      <c r="I44" s="1161"/>
      <c r="J44" s="20"/>
      <c r="K44" s="20"/>
      <c r="L44" s="20"/>
      <c r="M44" s="20"/>
      <c r="N44" s="20"/>
      <c r="O44" s="20"/>
      <c r="P44" s="20"/>
      <c r="Q44" s="20"/>
      <c r="R44" s="20"/>
      <c r="S44" s="20"/>
      <c r="T44" s="20"/>
    </row>
    <row r="45" spans="1:20" hidden="1" outlineLevel="1" x14ac:dyDescent="0.2">
      <c r="B45" s="1" t="str">
        <f>+'FA - Detailed Disclosure'!A259</f>
        <v>Federal</v>
      </c>
      <c r="D45" s="15"/>
      <c r="E45" s="40">
        <f>+'FA - Detailed Disclosure'!AJ259</f>
        <v>197.6</v>
      </c>
      <c r="F45" s="40">
        <f>+'FA - Detailed Disclosure'!AK259</f>
        <v>120.1</v>
      </c>
      <c r="G45" s="40">
        <f>+'FA - Detailed Disclosure'!AL259</f>
        <v>10.97</v>
      </c>
      <c r="H45" s="1141"/>
      <c r="I45" s="1161"/>
      <c r="J45" s="20"/>
      <c r="K45" s="20"/>
      <c r="L45" s="20"/>
      <c r="M45" s="20"/>
      <c r="N45" s="20"/>
      <c r="O45" s="20"/>
      <c r="P45" s="20"/>
      <c r="Q45" s="20"/>
      <c r="R45" s="20"/>
      <c r="S45" s="20"/>
      <c r="T45" s="20"/>
    </row>
    <row r="46" spans="1:20" hidden="1" outlineLevel="1" x14ac:dyDescent="0.2">
      <c r="B46" s="1" t="str">
        <f>+'FA - Detailed Disclosure'!A260</f>
        <v>State</v>
      </c>
      <c r="D46" s="15"/>
      <c r="E46" s="40">
        <f>+'FA - Detailed Disclosure'!AJ260</f>
        <v>166.2</v>
      </c>
      <c r="F46" s="40">
        <f>+'FA - Detailed Disclosure'!AK260</f>
        <v>147.5</v>
      </c>
      <c r="G46" s="40">
        <f>+'FA - Detailed Disclosure'!AL260</f>
        <v>125.989</v>
      </c>
      <c r="H46" s="1141"/>
      <c r="I46" s="1161"/>
      <c r="J46" s="20"/>
      <c r="K46" s="20"/>
      <c r="L46" s="20"/>
      <c r="M46" s="20"/>
      <c r="N46" s="20"/>
      <c r="O46" s="20"/>
      <c r="P46" s="20"/>
      <c r="Q46" s="20"/>
      <c r="R46" s="20"/>
      <c r="S46" s="20"/>
      <c r="T46" s="20"/>
    </row>
    <row r="47" spans="1:20" s="82" customFormat="1" ht="11.5" hidden="1" outlineLevel="1" x14ac:dyDescent="0.35">
      <c r="A47" s="1"/>
      <c r="B47" s="1" t="str">
        <f>+'FA - Detailed Disclosure'!A261</f>
        <v xml:space="preserve">Foreign Income </v>
      </c>
      <c r="D47" s="50"/>
      <c r="E47" s="53">
        <f>+'FA - Detailed Disclosure'!AJ261</f>
        <v>36</v>
      </c>
      <c r="F47" s="53">
        <f>+'FA - Detailed Disclosure'!AK261</f>
        <v>25.1</v>
      </c>
      <c r="G47" s="53">
        <f>+'FA - Detailed Disclosure'!AL261</f>
        <v>24.207000000000001</v>
      </c>
      <c r="H47" s="1142"/>
      <c r="I47" s="1164"/>
      <c r="J47" s="60"/>
      <c r="K47" s="60"/>
      <c r="L47" s="60"/>
      <c r="M47" s="60"/>
      <c r="N47" s="60"/>
      <c r="O47" s="60"/>
      <c r="P47" s="60"/>
      <c r="Q47" s="60"/>
      <c r="R47" s="60"/>
      <c r="S47" s="60"/>
      <c r="T47" s="60"/>
    </row>
    <row r="48" spans="1:20" s="3" customFormat="1" ht="10.5" hidden="1" outlineLevel="1" x14ac:dyDescent="0.25">
      <c r="B48" s="32" t="str">
        <f>+'FA - Detailed Disclosure'!A262</f>
        <v>Total NOLs</v>
      </c>
      <c r="C48" s="32"/>
      <c r="D48" s="619"/>
      <c r="E48" s="51">
        <f>+'FA - Detailed Disclosure'!AJ262</f>
        <v>399.79999999999995</v>
      </c>
      <c r="F48" s="51">
        <f>+'FA - Detailed Disclosure'!AK262</f>
        <v>292.70000000000005</v>
      </c>
      <c r="G48" s="51">
        <f>+'FA - Detailed Disclosure'!AL262</f>
        <v>161.166</v>
      </c>
      <c r="H48" s="1143"/>
      <c r="I48" s="1165"/>
      <c r="J48" s="93"/>
      <c r="K48" s="93"/>
      <c r="L48" s="93"/>
      <c r="M48" s="93"/>
      <c r="N48" s="93"/>
      <c r="O48" s="93"/>
      <c r="P48" s="93"/>
      <c r="Q48" s="93"/>
      <c r="R48" s="93"/>
      <c r="S48" s="93"/>
      <c r="T48" s="93"/>
    </row>
    <row r="49" spans="2:20" hidden="1" outlineLevel="1" x14ac:dyDescent="0.2">
      <c r="D49" s="15"/>
      <c r="E49" s="15"/>
      <c r="F49" s="15"/>
      <c r="G49" s="15"/>
      <c r="H49" s="1141"/>
      <c r="I49" s="1161"/>
      <c r="J49" s="20"/>
      <c r="K49" s="20"/>
      <c r="L49" s="20"/>
      <c r="M49" s="20"/>
      <c r="N49" s="20"/>
      <c r="O49" s="20"/>
      <c r="P49" s="20"/>
      <c r="Q49" s="20"/>
      <c r="R49" s="20"/>
      <c r="S49" s="20"/>
      <c r="T49" s="20"/>
    </row>
    <row r="50" spans="2:20" hidden="1" outlineLevel="1" x14ac:dyDescent="0.2">
      <c r="B50" s="1" t="s">
        <v>771</v>
      </c>
      <c r="D50" s="15"/>
      <c r="E50" s="15"/>
      <c r="F50" s="40">
        <f>+F48-E48</f>
        <v>-107.09999999999991</v>
      </c>
      <c r="G50" s="64">
        <f>+G48-F48</f>
        <v>-131.53400000000005</v>
      </c>
      <c r="H50" s="1144"/>
      <c r="I50" s="1166"/>
      <c r="J50" s="20"/>
      <c r="K50" s="20"/>
      <c r="L50" s="20"/>
      <c r="M50" s="20"/>
      <c r="N50" s="20"/>
      <c r="O50" s="20"/>
      <c r="P50" s="20"/>
      <c r="Q50" s="20"/>
      <c r="R50" s="20"/>
      <c r="S50" s="20"/>
      <c r="T50" s="20"/>
    </row>
    <row r="51" spans="2:20" hidden="1" outlineLevel="1" x14ac:dyDescent="0.2">
      <c r="B51" s="1" t="s">
        <v>772</v>
      </c>
      <c r="D51" s="15"/>
      <c r="E51" s="15"/>
      <c r="F51" s="40">
        <f>+F53</f>
        <v>33.599499999999992</v>
      </c>
      <c r="G51" s="64">
        <f>+G53</f>
        <v>34.913249999999998</v>
      </c>
      <c r="H51" s="1144"/>
      <c r="I51" s="1166"/>
      <c r="J51" s="20"/>
      <c r="K51" s="20"/>
      <c r="L51" s="20"/>
      <c r="M51" s="20"/>
      <c r="N51" s="20"/>
      <c r="O51" s="20"/>
      <c r="P51" s="20"/>
      <c r="Q51" s="20"/>
      <c r="R51" s="20"/>
      <c r="S51" s="20"/>
      <c r="T51" s="20"/>
    </row>
    <row r="52" spans="2:20" hidden="1" outlineLevel="1" x14ac:dyDescent="0.2">
      <c r="D52" s="15"/>
      <c r="E52" s="15"/>
      <c r="F52" s="15"/>
      <c r="G52" s="15"/>
      <c r="H52" s="1141"/>
      <c r="I52" s="1161"/>
      <c r="J52" s="20"/>
      <c r="K52" s="20"/>
      <c r="L52" s="20"/>
      <c r="M52" s="20"/>
      <c r="N52" s="20"/>
      <c r="O52" s="20"/>
      <c r="P52" s="20"/>
      <c r="Q52" s="20"/>
      <c r="R52" s="20"/>
      <c r="S52" s="20"/>
      <c r="T52" s="20"/>
    </row>
    <row r="53" spans="2:20" collapsed="1" x14ac:dyDescent="0.2">
      <c r="B53" s="1" t="s">
        <v>240</v>
      </c>
      <c r="D53" s="70">
        <f>+'FA - Historical Financials'!AG120</f>
        <v>8.9157499999999992</v>
      </c>
      <c r="E53" s="70">
        <f>+'FA - Historical Financials'!AH120</f>
        <v>14.479499999999996</v>
      </c>
      <c r="F53" s="70">
        <f>+'FA - Historical Financials'!AI120</f>
        <v>33.599499999999992</v>
      </c>
      <c r="G53" s="70">
        <f>+'FA - Historical Financials'!AJ120</f>
        <v>34.913249999999998</v>
      </c>
      <c r="H53" s="1145">
        <f>+H38-40</f>
        <v>0.60925000000000296</v>
      </c>
      <c r="I53" s="1167">
        <v>0</v>
      </c>
      <c r="J53" s="61">
        <v>0</v>
      </c>
      <c r="K53" s="61">
        <v>0</v>
      </c>
      <c r="L53" s="61">
        <v>0</v>
      </c>
      <c r="M53" s="61">
        <v>0</v>
      </c>
      <c r="N53" s="61">
        <v>0</v>
      </c>
      <c r="O53" s="61">
        <v>0</v>
      </c>
      <c r="P53" s="61">
        <v>0</v>
      </c>
      <c r="Q53" s="61">
        <v>0</v>
      </c>
      <c r="R53" s="61">
        <v>0</v>
      </c>
      <c r="S53" s="61">
        <v>0</v>
      </c>
      <c r="T53" s="61">
        <v>0</v>
      </c>
    </row>
    <row r="54" spans="2:20" x14ac:dyDescent="0.2">
      <c r="B54" s="1" t="s">
        <v>37</v>
      </c>
      <c r="D54" s="70">
        <f>+'FA - Historical Financials'!AG122</f>
        <v>1.216</v>
      </c>
      <c r="E54" s="70">
        <f>+'FA - Historical Financials'!AH122</f>
        <v>5.8520000000000003</v>
      </c>
      <c r="F54" s="70">
        <f>+'FA - Historical Financials'!AI122</f>
        <v>9.5299999999999994</v>
      </c>
      <c r="G54" s="70">
        <f>+'FA - Historical Financials'!AJ122</f>
        <v>7.8559999999999999</v>
      </c>
      <c r="H54" s="1132">
        <f>+'FA - Historical Financials'!AK122</f>
        <v>15.265000000000001</v>
      </c>
      <c r="I54" s="1154">
        <f>+'FA - Historical Financials'!AL122</f>
        <v>14.798999999999999</v>
      </c>
      <c r="J54" s="61">
        <v>0</v>
      </c>
      <c r="K54" s="61">
        <v>0</v>
      </c>
      <c r="L54" s="61">
        <v>0</v>
      </c>
      <c r="M54" s="61">
        <v>0</v>
      </c>
      <c r="N54" s="61">
        <v>0</v>
      </c>
      <c r="O54" s="61">
        <v>0</v>
      </c>
      <c r="P54" s="61">
        <v>0</v>
      </c>
      <c r="Q54" s="61">
        <v>0</v>
      </c>
      <c r="R54" s="61">
        <v>0</v>
      </c>
      <c r="S54" s="61">
        <v>0</v>
      </c>
      <c r="T54" s="61">
        <v>0</v>
      </c>
    </row>
    <row r="55" spans="2:20" ht="11.5" x14ac:dyDescent="0.35">
      <c r="B55" s="1" t="s">
        <v>50</v>
      </c>
      <c r="D55" s="50">
        <f>+D56-D41-D54-D53</f>
        <v>4.0780000000000012</v>
      </c>
      <c r="E55" s="50">
        <f t="shared" ref="E55:H55" si="105">+E56-E41-E54-E53</f>
        <v>-36.224999999999987</v>
      </c>
      <c r="F55" s="50">
        <f t="shared" si="105"/>
        <v>-42.283999999999992</v>
      </c>
      <c r="G55" s="50">
        <f t="shared" si="105"/>
        <v>-8.5680000000000121</v>
      </c>
      <c r="H55" s="1146">
        <f t="shared" si="105"/>
        <v>-0.31799999999999784</v>
      </c>
      <c r="I55" s="1164">
        <v>0</v>
      </c>
      <c r="J55" s="60">
        <f t="shared" ref="J55:S55" si="106">+I55/(I8-H8)*(J8-I8)</f>
        <v>0</v>
      </c>
      <c r="K55" s="60">
        <f t="shared" si="106"/>
        <v>0</v>
      </c>
      <c r="L55" s="60">
        <f t="shared" si="106"/>
        <v>0</v>
      </c>
      <c r="M55" s="60">
        <f t="shared" si="106"/>
        <v>0</v>
      </c>
      <c r="N55" s="60">
        <f t="shared" si="106"/>
        <v>0</v>
      </c>
      <c r="O55" s="60">
        <f t="shared" si="106"/>
        <v>0</v>
      </c>
      <c r="P55" s="60">
        <f t="shared" si="106"/>
        <v>0</v>
      </c>
      <c r="Q55" s="60">
        <f t="shared" si="106"/>
        <v>0</v>
      </c>
      <c r="R55" s="60">
        <f t="shared" si="106"/>
        <v>0</v>
      </c>
      <c r="S55" s="60">
        <f t="shared" si="106"/>
        <v>0</v>
      </c>
      <c r="T55" s="60">
        <f t="shared" ref="T55" si="107">+S55/(S8-R8)*(T8-S8)</f>
        <v>0</v>
      </c>
    </row>
    <row r="56" spans="2:20" x14ac:dyDescent="0.2">
      <c r="B56" s="22" t="s">
        <v>51</v>
      </c>
      <c r="C56" s="22"/>
      <c r="D56" s="70">
        <f>+'FA - Historical Financials'!AG124</f>
        <v>51.738</v>
      </c>
      <c r="E56" s="70">
        <f>+'FA - Historical Financials'!AH124</f>
        <v>33.216999999999999</v>
      </c>
      <c r="F56" s="70">
        <f>+'FA - Historical Financials'!AI124</f>
        <v>123.22699999999999</v>
      </c>
      <c r="G56" s="70">
        <f>+'FA - Historical Financials'!AJ124</f>
        <v>183.77100000000002</v>
      </c>
      <c r="H56" s="1132">
        <f>+'FA - Historical Financials'!AK124</f>
        <v>136.39500000000001</v>
      </c>
      <c r="I56" s="1166">
        <f t="shared" ref="I56:R56" si="108">I41+I55+I54+I53</f>
        <v>127.7145141440503</v>
      </c>
      <c r="J56" s="64">
        <f t="shared" si="108"/>
        <v>131.2067489579504</v>
      </c>
      <c r="K56" s="64">
        <f t="shared" si="108"/>
        <v>145.73242270889165</v>
      </c>
      <c r="L56" s="64">
        <f t="shared" si="108"/>
        <v>165.95929851511258</v>
      </c>
      <c r="M56" s="64">
        <f t="shared" si="108"/>
        <v>183.73202184787093</v>
      </c>
      <c r="N56" s="64">
        <f t="shared" si="108"/>
        <v>202.88283060928953</v>
      </c>
      <c r="O56" s="64">
        <f t="shared" si="108"/>
        <v>221.01041093992791</v>
      </c>
      <c r="P56" s="64">
        <f t="shared" si="108"/>
        <v>237.68128606820085</v>
      </c>
      <c r="Q56" s="64">
        <f t="shared" si="108"/>
        <v>252.47100223686738</v>
      </c>
      <c r="R56" s="64">
        <f t="shared" si="108"/>
        <v>267.97287144024199</v>
      </c>
      <c r="S56" s="64">
        <f t="shared" ref="S56:T56" si="109">S41+S55+S54+S53</f>
        <v>283.93731227906778</v>
      </c>
      <c r="T56" s="64">
        <f t="shared" si="109"/>
        <v>301.06127092612508</v>
      </c>
    </row>
    <row r="57" spans="2:20" x14ac:dyDescent="0.2">
      <c r="D57" s="15"/>
      <c r="E57" s="15"/>
      <c r="F57" s="20"/>
      <c r="G57" s="693"/>
      <c r="H57" s="1138"/>
      <c r="I57" s="1161"/>
      <c r="J57" s="20"/>
      <c r="K57" s="20"/>
      <c r="L57" s="20"/>
      <c r="M57" s="20"/>
      <c r="N57" s="20"/>
      <c r="O57" s="20"/>
      <c r="P57" s="20"/>
      <c r="Q57" s="15"/>
      <c r="R57" s="15"/>
      <c r="S57" s="15"/>
      <c r="T57" s="15"/>
    </row>
    <row r="58" spans="2:20" x14ac:dyDescent="0.2">
      <c r="B58" s="1" t="s">
        <v>201</v>
      </c>
      <c r="D58" s="70">
        <f>+'FA - Historical Financials'!AG126</f>
        <v>540.83900000000006</v>
      </c>
      <c r="E58" s="70">
        <f>+'FA - Historical Financials'!AH126</f>
        <v>785.30500000000006</v>
      </c>
      <c r="F58" s="70">
        <f>+'FA - Historical Financials'!AI126</f>
        <v>554.84500000000003</v>
      </c>
      <c r="G58" s="70">
        <f>+'FA - Historical Financials'!AJ126</f>
        <v>556.649</v>
      </c>
      <c r="H58" s="1132">
        <f>+'FA - Historical Financials'!AK126</f>
        <v>558.45600000000002</v>
      </c>
      <c r="I58" s="1157">
        <f>+H58</f>
        <v>558.45600000000002</v>
      </c>
      <c r="J58" s="49">
        <f t="shared" ref="J58:R58" si="110">+J60-J59</f>
        <v>577.76449045168772</v>
      </c>
      <c r="K58" s="49">
        <f t="shared" si="110"/>
        <v>629.83527651086581</v>
      </c>
      <c r="L58" s="49">
        <f t="shared" si="110"/>
        <v>686.07172545477817</v>
      </c>
      <c r="M58" s="49">
        <f t="shared" si="110"/>
        <v>746.80709031420361</v>
      </c>
      <c r="N58" s="49">
        <f t="shared" si="110"/>
        <v>812.40128436238285</v>
      </c>
      <c r="O58" s="49">
        <f t="shared" si="110"/>
        <v>874.38779773791236</v>
      </c>
      <c r="P58" s="49">
        <f t="shared" si="110"/>
        <v>931.23828571946945</v>
      </c>
      <c r="Q58" s="49">
        <f t="shared" si="110"/>
        <v>981.4562167698449</v>
      </c>
      <c r="R58" s="49">
        <f t="shared" si="110"/>
        <v>1034.185044372739</v>
      </c>
      <c r="S58" s="49">
        <f t="shared" ref="S58:T58" si="111">+S60-S59</f>
        <v>1089.5503133557781</v>
      </c>
      <c r="T58" s="49">
        <f t="shared" si="111"/>
        <v>1147.6838457879689</v>
      </c>
    </row>
    <row r="59" spans="2:20" s="72" customFormat="1" ht="11.5" x14ac:dyDescent="0.35">
      <c r="B59" s="1" t="s">
        <v>208</v>
      </c>
      <c r="D59" s="54">
        <f>+'FA - Historical Financials'!AG127</f>
        <v>-81.945999999999998</v>
      </c>
      <c r="E59" s="54">
        <f>+'FA - Historical Financials'!AH127</f>
        <v>-154.08500000000001</v>
      </c>
      <c r="F59" s="54">
        <f>+'FA - Historical Financials'!AI127</f>
        <v>-293.58299999999997</v>
      </c>
      <c r="G59" s="54">
        <f>+'FA - Historical Financials'!AJ127</f>
        <v>-393.61099999999999</v>
      </c>
      <c r="H59" s="1136">
        <f>+'FA - Historical Financials'!AK127</f>
        <v>-213.774</v>
      </c>
      <c r="I59" s="1164">
        <f>+H59-I56</f>
        <v>-341.48851414405033</v>
      </c>
      <c r="J59" s="60">
        <v>-100</v>
      </c>
      <c r="K59" s="60">
        <f t="shared" ref="K59:T59" si="112">+J59</f>
        <v>-100</v>
      </c>
      <c r="L59" s="60">
        <f t="shared" si="112"/>
        <v>-100</v>
      </c>
      <c r="M59" s="60">
        <f t="shared" si="112"/>
        <v>-100</v>
      </c>
      <c r="N59" s="60">
        <f t="shared" si="112"/>
        <v>-100</v>
      </c>
      <c r="O59" s="60">
        <f t="shared" si="112"/>
        <v>-100</v>
      </c>
      <c r="P59" s="60">
        <f t="shared" si="112"/>
        <v>-100</v>
      </c>
      <c r="Q59" s="60">
        <f t="shared" si="112"/>
        <v>-100</v>
      </c>
      <c r="R59" s="60">
        <f t="shared" si="112"/>
        <v>-100</v>
      </c>
      <c r="S59" s="60">
        <f t="shared" si="112"/>
        <v>-100</v>
      </c>
      <c r="T59" s="60">
        <f t="shared" si="112"/>
        <v>-100</v>
      </c>
    </row>
    <row r="60" spans="2:20" x14ac:dyDescent="0.2">
      <c r="B60" s="22" t="s">
        <v>52</v>
      </c>
      <c r="D60" s="70">
        <f>+'FA - Historical Financials'!AG128</f>
        <v>458.89300000000003</v>
      </c>
      <c r="E60" s="70">
        <f>+'FA - Historical Financials'!AH128</f>
        <v>631.22</v>
      </c>
      <c r="F60" s="70">
        <f>+'FA - Historical Financials'!AI128</f>
        <v>261.26200000000006</v>
      </c>
      <c r="G60" s="70">
        <f>+'FA - Historical Financials'!AJ128</f>
        <v>163.03800000000001</v>
      </c>
      <c r="H60" s="1134">
        <f>+H59+H58</f>
        <v>344.68200000000002</v>
      </c>
      <c r="I60" s="1157">
        <f>+I59+I58</f>
        <v>216.96748585594969</v>
      </c>
      <c r="J60" s="49">
        <f t="shared" ref="J60:R60" si="113">+J61*J20</f>
        <v>477.76449045168772</v>
      </c>
      <c r="K60" s="49">
        <f t="shared" si="113"/>
        <v>529.83527651086581</v>
      </c>
      <c r="L60" s="49">
        <f t="shared" si="113"/>
        <v>586.07172545477817</v>
      </c>
      <c r="M60" s="49">
        <f t="shared" si="113"/>
        <v>646.80709031420361</v>
      </c>
      <c r="N60" s="49">
        <f t="shared" si="113"/>
        <v>712.40128436238285</v>
      </c>
      <c r="O60" s="49">
        <f t="shared" si="113"/>
        <v>774.38779773791236</v>
      </c>
      <c r="P60" s="49">
        <f t="shared" si="113"/>
        <v>831.23828571946945</v>
      </c>
      <c r="Q60" s="49">
        <f t="shared" si="113"/>
        <v>881.4562167698449</v>
      </c>
      <c r="R60" s="49">
        <f t="shared" si="113"/>
        <v>934.18504437273907</v>
      </c>
      <c r="S60" s="49">
        <f t="shared" ref="S60:T60" si="114">+S61*S20</f>
        <v>989.55031335577803</v>
      </c>
      <c r="T60" s="49">
        <f t="shared" si="114"/>
        <v>1047.6838457879689</v>
      </c>
    </row>
    <row r="61" spans="2:20" x14ac:dyDescent="0.2">
      <c r="B61" s="24" t="s">
        <v>53</v>
      </c>
      <c r="C61" s="13"/>
      <c r="D61" s="35">
        <f t="shared" ref="D61:I61" si="115">+IF(OR(D60&lt;0,D20&lt; 0),"NM",D60/D20)</f>
        <v>3.7443230496830049</v>
      </c>
      <c r="E61" s="35">
        <f t="shared" si="115"/>
        <v>4.4784527407659676</v>
      </c>
      <c r="F61" s="35">
        <f t="shared" si="115"/>
        <v>1.2052831651012164</v>
      </c>
      <c r="G61" s="35">
        <f t="shared" si="115"/>
        <v>0.67635467571581465</v>
      </c>
      <c r="H61" s="1147">
        <f t="shared" si="115"/>
        <v>1.550589092675817</v>
      </c>
      <c r="I61" s="1168">
        <f t="shared" si="115"/>
        <v>1.0004065221069462</v>
      </c>
      <c r="J61" s="116">
        <v>2</v>
      </c>
      <c r="K61" s="587">
        <f t="shared" ref="K61:R61" si="116">+J61</f>
        <v>2</v>
      </c>
      <c r="L61" s="587">
        <f t="shared" si="116"/>
        <v>2</v>
      </c>
      <c r="M61" s="587">
        <f t="shared" si="116"/>
        <v>2</v>
      </c>
      <c r="N61" s="587">
        <f t="shared" si="116"/>
        <v>2</v>
      </c>
      <c r="O61" s="587">
        <f t="shared" si="116"/>
        <v>2</v>
      </c>
      <c r="P61" s="587">
        <f t="shared" si="116"/>
        <v>2</v>
      </c>
      <c r="Q61" s="587">
        <f t="shared" si="116"/>
        <v>2</v>
      </c>
      <c r="R61" s="587">
        <f t="shared" si="116"/>
        <v>2</v>
      </c>
      <c r="S61" s="587">
        <f t="shared" ref="S61" si="117">+R61</f>
        <v>2</v>
      </c>
      <c r="T61" s="587">
        <f t="shared" ref="T61" si="118">+S61</f>
        <v>2</v>
      </c>
    </row>
    <row r="62" spans="2:20" x14ac:dyDescent="0.2">
      <c r="B62" s="13"/>
      <c r="C62" s="13"/>
      <c r="D62" s="35"/>
      <c r="E62" s="35"/>
      <c r="F62" s="39"/>
      <c r="G62" s="39"/>
      <c r="H62" s="1148"/>
      <c r="I62" s="1169"/>
      <c r="J62" s="38"/>
      <c r="K62" s="38"/>
      <c r="L62" s="38"/>
      <c r="M62" s="38"/>
      <c r="N62" s="38"/>
      <c r="O62" s="38"/>
      <c r="P62" s="38"/>
      <c r="Q62" s="38"/>
      <c r="R62" s="38"/>
      <c r="S62" s="38"/>
      <c r="T62" s="38"/>
    </row>
    <row r="63" spans="2:20" x14ac:dyDescent="0.2">
      <c r="B63" s="22" t="s">
        <v>54</v>
      </c>
      <c r="C63" s="22"/>
      <c r="E63" s="37"/>
      <c r="F63" s="37"/>
      <c r="G63" s="37"/>
      <c r="H63" s="1140"/>
      <c r="I63" s="1163">
        <f t="shared" ref="I63:R63" si="119">+I56+(I60-H60)</f>
        <v>0</v>
      </c>
      <c r="J63" s="40">
        <f t="shared" si="119"/>
        <v>392.0037535536884</v>
      </c>
      <c r="K63" s="40">
        <f t="shared" si="119"/>
        <v>197.80320876806974</v>
      </c>
      <c r="L63" s="40">
        <f t="shared" si="119"/>
        <v>222.19574745902494</v>
      </c>
      <c r="M63" s="40">
        <f t="shared" si="119"/>
        <v>244.46738670729636</v>
      </c>
      <c r="N63" s="40">
        <f t="shared" si="119"/>
        <v>268.47702465746875</v>
      </c>
      <c r="O63" s="40">
        <f t="shared" si="119"/>
        <v>282.99692431545742</v>
      </c>
      <c r="P63" s="40">
        <f t="shared" si="119"/>
        <v>294.53177404975793</v>
      </c>
      <c r="Q63" s="40">
        <f t="shared" si="119"/>
        <v>302.68893328724283</v>
      </c>
      <c r="R63" s="40">
        <f t="shared" si="119"/>
        <v>320.70169904313616</v>
      </c>
      <c r="S63" s="40">
        <f t="shared" ref="S63" si="120">+S56+(S60-R60)</f>
        <v>339.30258126210674</v>
      </c>
      <c r="T63" s="40">
        <f t="shared" ref="T63" si="121">+T56+(T60-S60)</f>
        <v>359.19480335831599</v>
      </c>
    </row>
    <row r="64" spans="2:20" s="12" customFormat="1" x14ac:dyDescent="0.2">
      <c r="B64" s="24" t="s">
        <v>55</v>
      </c>
      <c r="C64" s="25"/>
      <c r="E64" s="19"/>
      <c r="F64" s="19"/>
      <c r="G64" s="19"/>
      <c r="H64" s="1135"/>
      <c r="I64" s="1158">
        <f t="shared" ref="I64:R64" si="122">+I63/$D$87</f>
        <v>0</v>
      </c>
      <c r="J64" s="19">
        <f t="shared" si="122"/>
        <v>0.14524446209938707</v>
      </c>
      <c r="K64" s="19">
        <f t="shared" si="122"/>
        <v>7.3289657046909498E-2</v>
      </c>
      <c r="L64" s="19">
        <f t="shared" si="122"/>
        <v>8.2327532652151744E-2</v>
      </c>
      <c r="M64" s="19">
        <f t="shared" si="122"/>
        <v>9.0579576754693067E-2</v>
      </c>
      <c r="N64" s="19">
        <f t="shared" si="122"/>
        <v>9.9475580728278001E-2</v>
      </c>
      <c r="O64" s="19">
        <f t="shared" si="122"/>
        <v>0.10485546547796012</v>
      </c>
      <c r="P64" s="19">
        <f t="shared" si="122"/>
        <v>0.10912933538320398</v>
      </c>
      <c r="Q64" s="19">
        <f t="shared" si="122"/>
        <v>0.11215171002877042</v>
      </c>
      <c r="R64" s="19">
        <f t="shared" si="122"/>
        <v>0.11882576467600141</v>
      </c>
      <c r="S64" s="19">
        <f t="shared" ref="S64:T64" si="123">+S63/$D$87</f>
        <v>0.12571772708191345</v>
      </c>
      <c r="T64" s="19">
        <f t="shared" si="123"/>
        <v>0.13308815420699391</v>
      </c>
    </row>
    <row r="65" spans="1:28" x14ac:dyDescent="0.2">
      <c r="H65" s="1141"/>
      <c r="I65" s="1153"/>
    </row>
    <row r="66" spans="1:28" x14ac:dyDescent="0.2">
      <c r="B66" s="22" t="s">
        <v>56</v>
      </c>
      <c r="C66" s="22"/>
      <c r="E66" s="37"/>
      <c r="F66" s="37"/>
      <c r="G66" s="37"/>
      <c r="H66" s="1140"/>
      <c r="I66" s="1163">
        <f t="shared" ref="I66:R66" si="124">+H66+I63</f>
        <v>0</v>
      </c>
      <c r="J66" s="40">
        <f t="shared" si="124"/>
        <v>392.0037535536884</v>
      </c>
      <c r="K66" s="40">
        <f t="shared" si="124"/>
        <v>589.80696232175819</v>
      </c>
      <c r="L66" s="40">
        <f t="shared" si="124"/>
        <v>812.00270978078311</v>
      </c>
      <c r="M66" s="40">
        <f t="shared" si="124"/>
        <v>1056.4700964880794</v>
      </c>
      <c r="N66" s="40">
        <f t="shared" si="124"/>
        <v>1324.9471211455482</v>
      </c>
      <c r="O66" s="40">
        <f t="shared" si="124"/>
        <v>1607.9440454610055</v>
      </c>
      <c r="P66" s="40">
        <f t="shared" si="124"/>
        <v>1902.4758195107634</v>
      </c>
      <c r="Q66" s="40">
        <f t="shared" si="124"/>
        <v>2205.1647527980062</v>
      </c>
      <c r="R66" s="40">
        <f t="shared" si="124"/>
        <v>2525.8664518411424</v>
      </c>
      <c r="S66" s="40">
        <f t="shared" ref="S66" si="125">+R66+S63</f>
        <v>2865.1690331032491</v>
      </c>
      <c r="T66" s="40">
        <f t="shared" ref="T66" si="126">+S66+T63</f>
        <v>3224.3638364615654</v>
      </c>
    </row>
    <row r="67" spans="1:28" s="12" customFormat="1" x14ac:dyDescent="0.2">
      <c r="B67" s="24" t="s">
        <v>55</v>
      </c>
      <c r="C67" s="25"/>
      <c r="E67" s="19"/>
      <c r="F67" s="19"/>
      <c r="G67" s="19"/>
      <c r="H67" s="1135"/>
      <c r="I67" s="1158">
        <f t="shared" ref="I67:R67" si="127">+I66/$D$87</f>
        <v>0</v>
      </c>
      <c r="J67" s="19">
        <f t="shared" si="127"/>
        <v>0.14524446209938707</v>
      </c>
      <c r="K67" s="19">
        <f t="shared" si="127"/>
        <v>0.21853411914629658</v>
      </c>
      <c r="L67" s="19">
        <f t="shared" si="127"/>
        <v>0.30086165179844832</v>
      </c>
      <c r="M67" s="19">
        <f t="shared" si="127"/>
        <v>0.3914412285531414</v>
      </c>
      <c r="N67" s="19">
        <f t="shared" si="127"/>
        <v>0.4909168092814194</v>
      </c>
      <c r="O67" s="19">
        <f t="shared" si="127"/>
        <v>0.59577227475937944</v>
      </c>
      <c r="P67" s="19">
        <f t="shared" si="127"/>
        <v>0.70490161014258346</v>
      </c>
      <c r="Q67" s="19">
        <f t="shared" si="127"/>
        <v>0.8170533201713539</v>
      </c>
      <c r="R67" s="19">
        <f t="shared" si="127"/>
        <v>0.93587908484735527</v>
      </c>
      <c r="S67" s="19">
        <f t="shared" ref="S67:T67" si="128">+S66/$D$87</f>
        <v>1.0615968119292687</v>
      </c>
      <c r="T67" s="19">
        <f t="shared" si="128"/>
        <v>1.1946849661362626</v>
      </c>
    </row>
    <row r="68" spans="1:28" x14ac:dyDescent="0.2">
      <c r="H68" s="1141"/>
      <c r="I68" s="1153"/>
      <c r="V68" s="55"/>
      <c r="W68" s="55"/>
      <c r="X68" s="55"/>
      <c r="Y68" s="55"/>
      <c r="Z68" s="55"/>
      <c r="AA68" s="55"/>
      <c r="AB68" s="55"/>
    </row>
    <row r="69" spans="1:28" x14ac:dyDescent="0.2">
      <c r="B69" s="1" t="s">
        <v>57</v>
      </c>
      <c r="G69" s="41"/>
      <c r="H69" s="1149"/>
      <c r="I69" s="1170">
        <f>+(D87-I66)/SUM('FA - Historical Financials'!U124:X124)</f>
        <v>20.084716311273503</v>
      </c>
      <c r="J69" s="1022"/>
      <c r="V69" s="55"/>
      <c r="W69" s="55"/>
      <c r="X69" s="55"/>
      <c r="Y69" s="55"/>
      <c r="Z69" s="55"/>
      <c r="AA69" s="55"/>
      <c r="AB69" s="55"/>
    </row>
    <row r="70" spans="1:28" x14ac:dyDescent="0.2">
      <c r="B70" s="1" t="s">
        <v>58</v>
      </c>
      <c r="C70" s="41"/>
      <c r="D70" s="41"/>
      <c r="E70" s="41"/>
      <c r="F70" s="41"/>
      <c r="G70" s="41"/>
      <c r="H70" s="1149"/>
      <c r="I70" s="1170">
        <f>+($D$89+I$60-$D$88-I$66)/I$8</f>
        <v>3.8300890979970426</v>
      </c>
      <c r="J70" s="41">
        <f t="shared" ref="J70:T70" si="129">+($D$87+J$60-J$66)/J$8</f>
        <v>3.4226450524400875</v>
      </c>
      <c r="K70" s="41">
        <f t="shared" si="129"/>
        <v>3.0032647224434319</v>
      </c>
      <c r="L70" s="41">
        <f t="shared" si="129"/>
        <v>2.60592075951305</v>
      </c>
      <c r="M70" s="41">
        <f t="shared" si="129"/>
        <v>2.2336229730621824</v>
      </c>
      <c r="N70" s="41">
        <f t="shared" si="129"/>
        <v>1.884880541076325</v>
      </c>
      <c r="O70" s="41">
        <f t="shared" si="129"/>
        <v>1.5749671045711811</v>
      </c>
      <c r="P70" s="41">
        <f t="shared" si="129"/>
        <v>1.2964981678244909</v>
      </c>
      <c r="Q70" s="41">
        <f t="shared" si="129"/>
        <v>1.0432360818554272</v>
      </c>
      <c r="R70" s="41">
        <f t="shared" si="129"/>
        <v>0.79995458281313581</v>
      </c>
      <c r="S70" s="41">
        <f t="shared" si="129"/>
        <v>0.56649246627004113</v>
      </c>
      <c r="T70" s="41">
        <f t="shared" si="129"/>
        <v>0.34222945247523823</v>
      </c>
      <c r="U70" s="41"/>
      <c r="V70" s="23"/>
      <c r="W70" s="23"/>
      <c r="X70" s="23"/>
      <c r="Y70" s="23"/>
      <c r="Z70" s="23"/>
      <c r="AA70" s="23"/>
      <c r="AB70" s="23"/>
    </row>
    <row r="71" spans="1:28" x14ac:dyDescent="0.2">
      <c r="B71" s="1" t="s">
        <v>59</v>
      </c>
      <c r="C71" s="41"/>
      <c r="D71" s="41"/>
      <c r="E71" s="41"/>
      <c r="F71" s="41"/>
      <c r="G71" s="41"/>
      <c r="H71" s="1149"/>
      <c r="I71" s="1170">
        <f t="shared" ref="I71:T71" si="130">+($D$87+I$60-I$66)/I$20</f>
        <v>13.444764649538946</v>
      </c>
      <c r="J71" s="41">
        <f t="shared" si="130"/>
        <v>11.657143702853702</v>
      </c>
      <c r="K71" s="41">
        <f t="shared" si="130"/>
        <v>9.9614063273681968</v>
      </c>
      <c r="L71" s="41">
        <f t="shared" si="130"/>
        <v>8.439215993622657</v>
      </c>
      <c r="M71" s="41">
        <f t="shared" si="130"/>
        <v>7.0786512759903593</v>
      </c>
      <c r="N71" s="41">
        <f t="shared" si="130"/>
        <v>5.8573114135924005</v>
      </c>
      <c r="O71" s="41">
        <f t="shared" si="130"/>
        <v>4.8176577200361095</v>
      </c>
      <c r="P71" s="41">
        <f t="shared" si="130"/>
        <v>3.9162931205938856</v>
      </c>
      <c r="Q71" s="41">
        <f t="shared" si="130"/>
        <v>3.1203260276985909</v>
      </c>
      <c r="R71" s="41">
        <f t="shared" si="130"/>
        <v>2.3704993415625868</v>
      </c>
      <c r="S71" s="41">
        <f t="shared" si="130"/>
        <v>1.6639986727315044</v>
      </c>
      <c r="T71" s="41">
        <f t="shared" si="130"/>
        <v>0.99694948086867063</v>
      </c>
      <c r="U71" s="41"/>
      <c r="V71" s="23"/>
      <c r="W71" s="23"/>
      <c r="X71" s="23"/>
      <c r="Y71" s="23"/>
      <c r="Z71" s="23"/>
      <c r="AA71" s="23"/>
      <c r="AB71" s="23"/>
    </row>
    <row r="72" spans="1:28" x14ac:dyDescent="0.2">
      <c r="B72" s="1" t="s">
        <v>60</v>
      </c>
      <c r="C72" s="41"/>
      <c r="D72" s="41"/>
      <c r="E72" s="41"/>
      <c r="F72" s="41"/>
      <c r="G72" s="41"/>
      <c r="H72" s="1149"/>
      <c r="I72" s="1170">
        <f t="shared" ref="I72:T72" si="131">+($D$87+I$60-I$66)/I$28</f>
        <v>15.611360645626778</v>
      </c>
      <c r="J72" s="41">
        <f t="shared" si="131"/>
        <v>13.234813690457566</v>
      </c>
      <c r="K72" s="41">
        <f t="shared" si="131"/>
        <v>11.269707495418032</v>
      </c>
      <c r="L72" s="41">
        <f t="shared" si="131"/>
        <v>9.5180564310695424</v>
      </c>
      <c r="M72" s="41">
        <f t="shared" si="131"/>
        <v>7.9617682365655771</v>
      </c>
      <c r="N72" s="41">
        <f t="shared" si="131"/>
        <v>6.5721167717522704</v>
      </c>
      <c r="O72" s="41">
        <f t="shared" si="131"/>
        <v>5.3952837986450177</v>
      </c>
      <c r="P72" s="41">
        <f t="shared" si="131"/>
        <v>4.3792863858421409</v>
      </c>
      <c r="Q72" s="41">
        <f t="shared" si="131"/>
        <v>3.485172073838271</v>
      </c>
      <c r="R72" s="41">
        <f t="shared" si="131"/>
        <v>2.6448060172129471</v>
      </c>
      <c r="S72" s="41">
        <f t="shared" si="131"/>
        <v>1.8546739826878569</v>
      </c>
      <c r="T72" s="41">
        <f t="shared" si="131"/>
        <v>1.1101375368881119</v>
      </c>
      <c r="U72" s="41"/>
      <c r="V72" s="23"/>
      <c r="W72" s="23"/>
      <c r="X72" s="23"/>
      <c r="Y72" s="23"/>
      <c r="Z72" s="23"/>
      <c r="AA72" s="23"/>
      <c r="AB72" s="23"/>
    </row>
    <row r="73" spans="1:28" hidden="1" outlineLevel="1" x14ac:dyDescent="0.2">
      <c r="B73" s="1" t="s">
        <v>773</v>
      </c>
      <c r="C73" s="41"/>
      <c r="D73" s="41"/>
      <c r="E73" s="41"/>
      <c r="F73" s="41"/>
      <c r="G73" s="41"/>
      <c r="H73" s="1149"/>
      <c r="I73" s="1170">
        <f>+($D$87-I66)/156.4</f>
        <v>17.256546827109975</v>
      </c>
      <c r="J73" s="41">
        <f>+($D$87-J66)/180.7</f>
        <v>12.766575374689054</v>
      </c>
      <c r="K73" s="41"/>
      <c r="L73" s="41"/>
      <c r="M73" s="41"/>
      <c r="N73" s="41"/>
      <c r="O73" s="41"/>
      <c r="P73" s="41"/>
      <c r="Q73" s="41"/>
      <c r="R73" s="41"/>
      <c r="S73" s="41"/>
      <c r="T73" s="41"/>
      <c r="U73" s="41"/>
      <c r="V73" s="23"/>
      <c r="W73" s="23"/>
      <c r="X73" s="23"/>
      <c r="Y73" s="23"/>
      <c r="Z73" s="23"/>
      <c r="AA73" s="23"/>
      <c r="AB73" s="23"/>
    </row>
    <row r="74" spans="1:28" collapsed="1" x14ac:dyDescent="0.2">
      <c r="B74" s="1" t="s">
        <v>61</v>
      </c>
      <c r="C74" s="41"/>
      <c r="D74" s="41"/>
      <c r="E74" s="41"/>
      <c r="F74" s="41"/>
      <c r="G74" s="41"/>
      <c r="H74" s="1149"/>
      <c r="I74" s="1170">
        <f t="shared" ref="I74:S74" si="132">+($D$87-I66)/(I20-I32-I35-I38)</f>
        <v>23.831191737874367</v>
      </c>
      <c r="J74" s="41">
        <f>+($D$87-J66)/(J20-J32-J35-J38)</f>
        <v>18.114097548172278</v>
      </c>
      <c r="K74" s="41">
        <f t="shared" si="132"/>
        <v>14.855854286190382</v>
      </c>
      <c r="L74" s="41">
        <f t="shared" si="132"/>
        <v>11.613773441995377</v>
      </c>
      <c r="M74" s="41">
        <f t="shared" si="132"/>
        <v>9.0885920435254128</v>
      </c>
      <c r="N74" s="41">
        <f t="shared" si="132"/>
        <v>6.8510465851288149</v>
      </c>
      <c r="O74" s="41">
        <f t="shared" si="132"/>
        <v>4.9770348122520751</v>
      </c>
      <c r="P74" s="41">
        <f t="shared" si="132"/>
        <v>3.3722902615565173</v>
      </c>
      <c r="Q74" s="41">
        <f t="shared" si="132"/>
        <v>1.9673688785698358</v>
      </c>
      <c r="R74" s="41">
        <f t="shared" si="132"/>
        <v>0.64913630758089713</v>
      </c>
      <c r="S74" s="41">
        <f t="shared" si="132"/>
        <v>-0.58549934141749815</v>
      </c>
      <c r="T74" s="41">
        <f t="shared" ref="T74" si="133">+($D$87-T66)/(T20-T32-T35-T38)</f>
        <v>-1.7452922824819213</v>
      </c>
      <c r="U74" s="41"/>
      <c r="V74" s="23"/>
      <c r="W74" s="23"/>
      <c r="X74" s="23"/>
      <c r="Y74" s="23"/>
      <c r="Z74" s="23"/>
      <c r="AA74" s="23"/>
      <c r="AB74" s="23"/>
    </row>
    <row r="75" spans="1:28" x14ac:dyDescent="0.2">
      <c r="B75" s="1" t="s">
        <v>62</v>
      </c>
      <c r="D75" s="90">
        <f t="shared" ref="D75:S75" si="134">+($D$87-D66)/D41</f>
        <v>71.917127064544715</v>
      </c>
      <c r="E75" s="90">
        <f t="shared" si="134"/>
        <v>54.956148354425245</v>
      </c>
      <c r="F75" s="90">
        <f t="shared" si="134"/>
        <v>22.053365286093083</v>
      </c>
      <c r="G75" s="90">
        <f t="shared" si="134"/>
        <v>18.044584040288896</v>
      </c>
      <c r="H75" s="1182">
        <f t="shared" si="134"/>
        <v>22.334920907076583</v>
      </c>
      <c r="I75" s="1170">
        <f t="shared" si="134"/>
        <v>23.902153253421741</v>
      </c>
      <c r="J75" s="41">
        <f t="shared" si="134"/>
        <v>17.582328565626163</v>
      </c>
      <c r="K75" s="41">
        <f t="shared" si="134"/>
        <v>14.472530698616856</v>
      </c>
      <c r="L75" s="41">
        <f t="shared" si="134"/>
        <v>11.369783018258483</v>
      </c>
      <c r="M75" s="41">
        <f t="shared" si="134"/>
        <v>8.9393988633721317</v>
      </c>
      <c r="N75" s="41">
        <f t="shared" si="134"/>
        <v>6.772267512673106</v>
      </c>
      <c r="O75" s="41">
        <f t="shared" si="134"/>
        <v>4.9363279931438635</v>
      </c>
      <c r="P75" s="41">
        <f t="shared" si="134"/>
        <v>3.350907921377968</v>
      </c>
      <c r="Q75" s="41">
        <f t="shared" si="134"/>
        <v>1.9557064636625126</v>
      </c>
      <c r="R75" s="41">
        <f t="shared" si="134"/>
        <v>0.64580220747251982</v>
      </c>
      <c r="S75" s="41">
        <f t="shared" si="134"/>
        <v>-0.58549934141749815</v>
      </c>
      <c r="T75" s="41">
        <f t="shared" ref="T75" si="135">+($D$87-T66)/T41</f>
        <v>-1.7452922824819213</v>
      </c>
      <c r="U75" s="41"/>
      <c r="V75" s="41"/>
      <c r="W75" s="41"/>
      <c r="X75" s="41"/>
      <c r="Y75" s="41"/>
      <c r="Z75" s="41"/>
      <c r="AA75" s="41"/>
      <c r="AB75" s="41"/>
    </row>
    <row r="76" spans="1:28" ht="7.5" customHeight="1" x14ac:dyDescent="0.2">
      <c r="E76" s="41"/>
      <c r="F76" s="41"/>
      <c r="G76" s="41"/>
      <c r="H76" s="41"/>
      <c r="I76" s="41"/>
      <c r="J76" s="41"/>
      <c r="K76" s="41"/>
      <c r="L76" s="41"/>
      <c r="M76" s="41"/>
      <c r="N76" s="41"/>
      <c r="O76" s="41"/>
      <c r="P76" s="41"/>
      <c r="Q76" s="41"/>
      <c r="R76" s="41"/>
      <c r="S76" s="41"/>
      <c r="T76" s="41"/>
    </row>
    <row r="77" spans="1:28" ht="14.5" x14ac:dyDescent="0.35">
      <c r="A77" s="1" t="s">
        <v>26</v>
      </c>
      <c r="B77" s="11" t="s">
        <v>65</v>
      </c>
      <c r="C77" s="3"/>
      <c r="U77"/>
      <c r="V77"/>
      <c r="W77"/>
      <c r="X77"/>
    </row>
    <row r="78" spans="1:28" ht="8.25" customHeight="1" x14ac:dyDescent="0.35">
      <c r="U78"/>
      <c r="V78"/>
      <c r="W78"/>
      <c r="X78"/>
    </row>
    <row r="79" spans="1:28" ht="14.5" x14ac:dyDescent="0.35">
      <c r="B79" s="26" t="s">
        <v>66</v>
      </c>
      <c r="C79" s="26"/>
      <c r="U79"/>
      <c r="V79"/>
      <c r="W79"/>
      <c r="X79"/>
    </row>
    <row r="80" spans="1:28" ht="14.5" x14ac:dyDescent="0.35">
      <c r="B80" s="1" t="s">
        <v>67</v>
      </c>
      <c r="S80" s="91">
        <v>15</v>
      </c>
      <c r="U80"/>
      <c r="V80"/>
      <c r="W80"/>
      <c r="X80"/>
    </row>
    <row r="81" spans="1:24" ht="16.5" x14ac:dyDescent="0.55000000000000004">
      <c r="B81" s="22" t="s">
        <v>68</v>
      </c>
      <c r="C81" s="22"/>
      <c r="D81" s="37"/>
      <c r="S81" s="52">
        <f>+T41*S80</f>
        <v>4515.9190638918762</v>
      </c>
      <c r="T81" s="42"/>
      <c r="U81"/>
      <c r="V81"/>
      <c r="W81"/>
      <c r="X81"/>
    </row>
    <row r="82" spans="1:24" x14ac:dyDescent="0.2">
      <c r="B82" s="22" t="s">
        <v>69</v>
      </c>
      <c r="C82" s="22"/>
      <c r="E82" s="37"/>
      <c r="I82" s="40">
        <f>-$D$87+I66</f>
        <v>-2698.9239237600004</v>
      </c>
      <c r="J82" s="40">
        <f>+J63</f>
        <v>392.0037535536884</v>
      </c>
      <c r="K82" s="40">
        <f t="shared" ref="K82:R82" si="136">+K63</f>
        <v>197.80320876806974</v>
      </c>
      <c r="L82" s="40">
        <f t="shared" si="136"/>
        <v>222.19574745902494</v>
      </c>
      <c r="M82" s="40">
        <f t="shared" si="136"/>
        <v>244.46738670729636</v>
      </c>
      <c r="N82" s="40">
        <f t="shared" si="136"/>
        <v>268.47702465746875</v>
      </c>
      <c r="O82" s="40">
        <f t="shared" si="136"/>
        <v>282.99692431545742</v>
      </c>
      <c r="P82" s="40">
        <f t="shared" si="136"/>
        <v>294.53177404975793</v>
      </c>
      <c r="Q82" s="40">
        <f t="shared" si="136"/>
        <v>302.68893328724283</v>
      </c>
      <c r="R82" s="40">
        <f t="shared" si="136"/>
        <v>320.70169904313616</v>
      </c>
      <c r="S82" s="40">
        <f>+S63+S81</f>
        <v>4855.2216451539825</v>
      </c>
      <c r="T82" s="40"/>
    </row>
    <row r="83" spans="1:24" ht="10.5" x14ac:dyDescent="0.25">
      <c r="B83" s="27" t="s">
        <v>70</v>
      </c>
      <c r="C83" s="28"/>
      <c r="D83" s="28"/>
      <c r="E83" s="28"/>
      <c r="F83" s="28"/>
      <c r="G83" s="28"/>
      <c r="H83" s="28"/>
      <c r="I83" s="29">
        <f>XIRR(I82:S82,I3:S3)</f>
        <v>0.13946427702903746</v>
      </c>
      <c r="T83" s="41"/>
    </row>
    <row r="84" spans="1:24" ht="7.5" customHeight="1" x14ac:dyDescent="0.2"/>
    <row r="85" spans="1:24" ht="10.5" x14ac:dyDescent="0.25">
      <c r="B85" s="30" t="s">
        <v>71</v>
      </c>
      <c r="C85" s="31"/>
      <c r="D85" s="43"/>
      <c r="E85" s="44"/>
    </row>
    <row r="86" spans="1:24" ht="10.5" x14ac:dyDescent="0.25">
      <c r="D86" s="45" t="s">
        <v>72</v>
      </c>
      <c r="E86" s="45" t="s">
        <v>73</v>
      </c>
    </row>
    <row r="87" spans="1:24" x14ac:dyDescent="0.2">
      <c r="B87" s="1" t="s">
        <v>74</v>
      </c>
      <c r="D87" s="52">
        <f>+E87*E90</f>
        <v>2698.9239237600004</v>
      </c>
      <c r="E87" s="67">
        <f>+'PF FA STER Simple'!E82</f>
        <v>18.73</v>
      </c>
    </row>
    <row r="88" spans="1:24" ht="11.5" x14ac:dyDescent="0.35">
      <c r="B88" s="1" t="s">
        <v>52</v>
      </c>
      <c r="D88" s="54">
        <f>+'FA - Historical Financials'!Y128</f>
        <v>252.45200000000006</v>
      </c>
      <c r="E88" s="46">
        <f>+D88/E$90</f>
        <v>1.7519671148835512</v>
      </c>
      <c r="F88" s="982"/>
    </row>
    <row r="89" spans="1:24" ht="10.5" x14ac:dyDescent="0.25">
      <c r="B89" s="32" t="s">
        <v>76</v>
      </c>
      <c r="C89" s="32"/>
      <c r="D89" s="65">
        <f>+D87+D88</f>
        <v>2951.3759237600007</v>
      </c>
      <c r="E89" s="63">
        <f>+D89/E$90</f>
        <v>20.481967114883552</v>
      </c>
    </row>
    <row r="90" spans="1:24" x14ac:dyDescent="0.2">
      <c r="A90" s="1" t="s">
        <v>26</v>
      </c>
      <c r="B90" s="13" t="s">
        <v>77</v>
      </c>
      <c r="C90" s="13"/>
      <c r="D90" s="40"/>
      <c r="E90" s="1010">
        <f>+'FA - Historical Financials'!Y109</f>
        <v>144.09631200000001</v>
      </c>
      <c r="F90" s="652"/>
    </row>
    <row r="93" spans="1:24" x14ac:dyDescent="0.2">
      <c r="G93" s="96"/>
      <c r="H93" s="96"/>
      <c r="I93" s="96">
        <f>+I83</f>
        <v>0.13946427702903746</v>
      </c>
    </row>
    <row r="94" spans="1:24" x14ac:dyDescent="0.2">
      <c r="H94" s="1" t="s">
        <v>774</v>
      </c>
      <c r="I94" s="40">
        <f>+SUM('FA - Historical Financials'!U124:X124)</f>
        <v>134.37700000000004</v>
      </c>
    </row>
    <row r="97" spans="4:12" x14ac:dyDescent="0.2">
      <c r="D97" s="1">
        <f t="shared" ref="D97:L97" si="137">+$E$87/D75</f>
        <v>0.26043865716702036</v>
      </c>
      <c r="E97" s="1">
        <f t="shared" si="137"/>
        <v>0.34081718899231772</v>
      </c>
      <c r="F97" s="1">
        <f t="shared" si="137"/>
        <v>0.84930348529669497</v>
      </c>
      <c r="G97" s="1">
        <f t="shared" si="137"/>
        <v>1.0379845807573478</v>
      </c>
      <c r="H97" s="1">
        <f t="shared" si="137"/>
        <v>0.8385971044144418</v>
      </c>
      <c r="I97" s="1">
        <f t="shared" si="137"/>
        <v>0.78361140945821206</v>
      </c>
      <c r="J97" s="1">
        <f t="shared" si="137"/>
        <v>1.0652741433019037</v>
      </c>
      <c r="K97" s="1">
        <f t="shared" si="137"/>
        <v>1.2941758694483221</v>
      </c>
      <c r="L97" s="1">
        <f t="shared" si="137"/>
        <v>1.6473489397222365</v>
      </c>
    </row>
    <row r="100" spans="4:12" x14ac:dyDescent="0.2">
      <c r="E100" s="1" t="s">
        <v>775</v>
      </c>
    </row>
    <row r="101" spans="4:12" x14ac:dyDescent="0.2">
      <c r="E101" s="1" t="s">
        <v>776</v>
      </c>
      <c r="F101" s="1">
        <v>89.557839999999999</v>
      </c>
      <c r="G101" s="1022">
        <f>+F101/E90</f>
        <v>0.62151375532775599</v>
      </c>
    </row>
    <row r="102" spans="4:12" x14ac:dyDescent="0.2">
      <c r="E102" s="1" t="s">
        <v>777</v>
      </c>
      <c r="F102" s="1">
        <v>3.7995380000000001</v>
      </c>
    </row>
    <row r="103" spans="4:12" x14ac:dyDescent="0.2">
      <c r="E103" s="1" t="s">
        <v>778</v>
      </c>
      <c r="F103" s="1">
        <v>0.71629799999999999</v>
      </c>
    </row>
    <row r="104" spans="4:12" x14ac:dyDescent="0.2">
      <c r="E104" s="1" t="s">
        <v>779</v>
      </c>
      <c r="F104" s="1">
        <v>0.55995399999999995</v>
      </c>
    </row>
    <row r="105" spans="4:12" x14ac:dyDescent="0.2">
      <c r="F105" s="1">
        <f>+SUM(F101:F104)</f>
        <v>94.633629999999997</v>
      </c>
    </row>
    <row r="106" spans="4:12" x14ac:dyDescent="0.2">
      <c r="F106" s="1022">
        <f>+F105/E90</f>
        <v>0.65673873735227861</v>
      </c>
    </row>
    <row r="108" spans="4:12" x14ac:dyDescent="0.2">
      <c r="F108" s="40">
        <f>+'FA - Historical Financials'!Q109</f>
        <v>152.35730699999999</v>
      </c>
    </row>
    <row r="109" spans="4:12" x14ac:dyDescent="0.2">
      <c r="E109" s="1" t="s">
        <v>780</v>
      </c>
      <c r="F109" s="40">
        <f>+F108-F105</f>
        <v>57.723676999999995</v>
      </c>
      <c r="G109" s="1022">
        <f>+F109/E90</f>
        <v>0.40059093948219848</v>
      </c>
    </row>
    <row r="110" spans="4:12" x14ac:dyDescent="0.2">
      <c r="F110" s="40">
        <f>+'FA - Historical Financials'!U109-'FA - Historical Financials'!Q109</f>
        <v>-7.1396499999999889</v>
      </c>
    </row>
    <row r="111" spans="4:12" x14ac:dyDescent="0.2">
      <c r="F111" s="1022">
        <f>+F110/F109</f>
        <v>-0.12368668059728748</v>
      </c>
    </row>
  </sheetData>
  <printOptions horizontalCentered="1"/>
  <pageMargins left="0.3" right="0.3" top="0.3" bottom="0.3" header="0.3" footer="0.3"/>
  <pageSetup scale="60" fitToHeight="0" orientation="landscape" r:id="rId1"/>
  <headerFooter>
    <oddFooter>Page &amp;P</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41B91-5CD9-4832-A40E-7C753D2A2F6F}">
  <sheetPr>
    <pageSetUpPr fitToPage="1"/>
  </sheetPr>
  <dimension ref="A1:BH1304"/>
  <sheetViews>
    <sheetView view="pageBreakPreview" zoomScale="70" zoomScaleNormal="100" zoomScaleSheetLayoutView="70" workbookViewId="0">
      <pane xSplit="2" ySplit="5" topLeftCell="K175" activePane="bottomRight" state="frozen"/>
      <selection activeCell="U1" sqref="U1"/>
      <selection pane="topRight" activeCell="U1" sqref="U1"/>
      <selection pane="bottomLeft" activeCell="U1" sqref="U1"/>
      <selection pane="bottomRight" activeCell="T188" sqref="A188:XFD203"/>
    </sheetView>
  </sheetViews>
  <sheetFormatPr defaultColWidth="9.1796875" defaultRowHeight="11.5" outlineLevelRow="1" outlineLevelCol="1" x14ac:dyDescent="0.25"/>
  <cols>
    <col min="1" max="1" width="25.54296875" style="460" customWidth="1"/>
    <col min="2" max="2" width="4.7265625" style="460" customWidth="1"/>
    <col min="3" max="6" width="9.1796875" style="460" hidden="1" customWidth="1" outlineLevel="1"/>
    <col min="7" max="7" width="11.81640625" style="460" customWidth="1" collapsed="1"/>
    <col min="8" max="20" width="11.81640625" style="460" customWidth="1"/>
    <col min="21" max="23" width="12.26953125" style="460" customWidth="1"/>
    <col min="24" max="24" width="11.81640625" style="460" customWidth="1"/>
    <col min="25" max="30" width="12.26953125" style="460" customWidth="1"/>
    <col min="31" max="31" width="9.54296875" style="460" customWidth="1"/>
    <col min="32" max="32" width="9.1796875" style="460" hidden="1" customWidth="1" outlineLevel="1"/>
    <col min="33" max="33" width="11.81640625" style="460" customWidth="1" collapsed="1"/>
    <col min="34" max="39" width="11.81640625" style="460" customWidth="1"/>
    <col min="40" max="40" width="11.1796875" style="460" bestFit="1" customWidth="1"/>
    <col min="41" max="41" width="9.26953125" style="460" bestFit="1" customWidth="1"/>
    <col min="42" max="42" width="11" style="460" bestFit="1" customWidth="1"/>
    <col min="43" max="43" width="10.54296875" style="460" bestFit="1" customWidth="1"/>
    <col min="44" max="44" width="9.26953125" style="460" bestFit="1" customWidth="1"/>
    <col min="45" max="16384" width="9.1796875" style="460"/>
  </cols>
  <sheetData>
    <row r="1" spans="1:41" ht="12" x14ac:dyDescent="0.3">
      <c r="A1" s="460" t="str">
        <f>+'FA Base'!B1</f>
        <v>FA - Standalone</v>
      </c>
      <c r="AI1" s="731"/>
      <c r="AJ1" s="731"/>
      <c r="AK1" s="731"/>
      <c r="AL1" s="731"/>
      <c r="AM1" s="731">
        <f>+'FA Base'!T1</f>
        <v>45657</v>
      </c>
    </row>
    <row r="2" spans="1:41" x14ac:dyDescent="0.25">
      <c r="A2" s="470" t="s">
        <v>212</v>
      </c>
      <c r="B2" s="470"/>
      <c r="AI2" s="732"/>
      <c r="AJ2" s="732"/>
      <c r="AK2" s="732"/>
      <c r="AL2" s="732"/>
      <c r="AM2" s="732"/>
    </row>
    <row r="3" spans="1:41" s="541" customFormat="1" ht="12" x14ac:dyDescent="0.3">
      <c r="A3" s="733" t="str">
        <f>+'FA Base'!B3</f>
        <v>(USD in mm)</v>
      </c>
      <c r="B3" s="733"/>
    </row>
    <row r="4" spans="1:41" x14ac:dyDescent="0.25">
      <c r="C4" s="734"/>
      <c r="D4" s="735"/>
      <c r="E4" s="735"/>
      <c r="F4" s="735"/>
      <c r="G4" s="734" t="s">
        <v>7</v>
      </c>
      <c r="H4" s="734"/>
      <c r="I4" s="734"/>
      <c r="J4" s="734"/>
      <c r="K4" s="734"/>
      <c r="L4" s="734"/>
      <c r="M4" s="734"/>
      <c r="N4" s="734"/>
      <c r="O4" s="734"/>
      <c r="P4" s="734"/>
      <c r="Q4" s="734"/>
      <c r="R4" s="734"/>
      <c r="S4" s="734"/>
      <c r="T4" s="734"/>
      <c r="U4" s="734"/>
      <c r="V4" s="734"/>
      <c r="W4" s="734"/>
      <c r="X4" s="734"/>
      <c r="Y4" s="734"/>
      <c r="Z4" s="734"/>
      <c r="AA4" s="734"/>
      <c r="AB4" s="1070"/>
      <c r="AC4" s="734"/>
      <c r="AD4" s="734"/>
      <c r="AE4" s="736"/>
      <c r="AF4" s="734"/>
      <c r="AG4" s="734" t="s">
        <v>7</v>
      </c>
      <c r="AH4" s="735"/>
      <c r="AI4" s="735"/>
      <c r="AJ4" s="734"/>
      <c r="AK4" s="734"/>
      <c r="AL4" s="734"/>
      <c r="AM4" s="734"/>
    </row>
    <row r="5" spans="1:41" ht="14.5" x14ac:dyDescent="0.55000000000000004">
      <c r="C5" s="737" t="s">
        <v>86</v>
      </c>
      <c r="D5" s="737" t="s">
        <v>87</v>
      </c>
      <c r="E5" s="737" t="s">
        <v>88</v>
      </c>
      <c r="F5" s="738" t="s">
        <v>89</v>
      </c>
      <c r="G5" s="737" t="s">
        <v>90</v>
      </c>
      <c r="H5" s="737" t="s">
        <v>91</v>
      </c>
      <c r="I5" s="737" t="s">
        <v>92</v>
      </c>
      <c r="J5" s="738" t="s">
        <v>93</v>
      </c>
      <c r="K5" s="737" t="s">
        <v>94</v>
      </c>
      <c r="L5" s="737" t="s">
        <v>95</v>
      </c>
      <c r="M5" s="737" t="s">
        <v>96</v>
      </c>
      <c r="N5" s="738" t="s">
        <v>97</v>
      </c>
      <c r="O5" s="737" t="s">
        <v>98</v>
      </c>
      <c r="P5" s="737" t="s">
        <v>99</v>
      </c>
      <c r="Q5" s="737" t="s">
        <v>100</v>
      </c>
      <c r="R5" s="737" t="s">
        <v>101</v>
      </c>
      <c r="S5" s="983" t="s">
        <v>102</v>
      </c>
      <c r="T5" s="737" t="s">
        <v>103</v>
      </c>
      <c r="U5" s="737" t="s">
        <v>104</v>
      </c>
      <c r="V5" s="737" t="s">
        <v>105</v>
      </c>
      <c r="W5" s="983" t="s">
        <v>106</v>
      </c>
      <c r="X5" s="737" t="s">
        <v>107</v>
      </c>
      <c r="Y5" s="739" t="s">
        <v>108</v>
      </c>
      <c r="Z5" s="738" t="s">
        <v>109</v>
      </c>
      <c r="AA5" s="737" t="s">
        <v>110</v>
      </c>
      <c r="AB5" s="737" t="s">
        <v>111</v>
      </c>
      <c r="AC5" s="737" t="s">
        <v>112</v>
      </c>
      <c r="AD5" s="737" t="s">
        <v>113</v>
      </c>
      <c r="AE5" s="736"/>
      <c r="AF5" s="737" t="s">
        <v>114</v>
      </c>
      <c r="AG5" s="737" t="s">
        <v>115</v>
      </c>
      <c r="AH5" s="737" t="s">
        <v>116</v>
      </c>
      <c r="AI5" s="737" t="s">
        <v>117</v>
      </c>
      <c r="AJ5" s="737" t="s">
        <v>118</v>
      </c>
      <c r="AK5" s="739" t="s">
        <v>119</v>
      </c>
      <c r="AL5" s="737" t="s">
        <v>13</v>
      </c>
      <c r="AM5" s="737" t="s">
        <v>14</v>
      </c>
    </row>
    <row r="6" spans="1:41" ht="14.5" x14ac:dyDescent="0.55000000000000004">
      <c r="A6" s="740" t="s">
        <v>120</v>
      </c>
      <c r="B6" s="470"/>
      <c r="C6" s="741"/>
      <c r="D6" s="741"/>
      <c r="E6" s="741"/>
      <c r="F6" s="742"/>
      <c r="G6" s="741"/>
      <c r="H6" s="741"/>
      <c r="I6" s="741"/>
      <c r="J6" s="742"/>
      <c r="K6" s="741"/>
      <c r="L6" s="741"/>
      <c r="M6" s="741"/>
      <c r="N6" s="742"/>
      <c r="O6" s="741"/>
      <c r="P6" s="741"/>
      <c r="Q6" s="741"/>
      <c r="R6" s="741"/>
      <c r="S6" s="984"/>
      <c r="T6" s="741"/>
      <c r="U6" s="741"/>
      <c r="V6" s="741"/>
      <c r="W6" s="984"/>
      <c r="X6" s="741"/>
      <c r="Y6" s="743"/>
      <c r="Z6" s="742"/>
      <c r="AA6" s="741"/>
      <c r="AB6" s="741"/>
      <c r="AC6" s="741"/>
      <c r="AD6" s="741"/>
      <c r="AE6" s="736"/>
      <c r="AF6" s="741"/>
      <c r="AG6" s="741"/>
      <c r="AH6" s="741"/>
      <c r="AI6" s="741"/>
      <c r="AJ6" s="741"/>
      <c r="AK6" s="743"/>
      <c r="AL6" s="741"/>
      <c r="AM6" s="741"/>
    </row>
    <row r="7" spans="1:41" ht="11.25" customHeight="1" x14ac:dyDescent="0.3">
      <c r="C7" s="744"/>
      <c r="D7" s="744"/>
      <c r="E7" s="744"/>
      <c r="F7" s="745"/>
      <c r="G7" s="744"/>
      <c r="H7" s="744"/>
      <c r="I7" s="744"/>
      <c r="J7" s="745"/>
      <c r="K7" s="744"/>
      <c r="L7" s="744"/>
      <c r="M7" s="744"/>
      <c r="N7" s="745"/>
      <c r="O7" s="744"/>
      <c r="P7" s="744"/>
      <c r="Q7" s="744"/>
      <c r="R7" s="744"/>
      <c r="S7" s="985"/>
      <c r="T7" s="744"/>
      <c r="U7" s="744"/>
      <c r="V7" s="1396"/>
      <c r="W7" s="985"/>
      <c r="X7" s="744"/>
      <c r="Y7" s="792"/>
      <c r="Z7" s="745"/>
      <c r="AA7" s="744"/>
      <c r="AB7" s="744"/>
      <c r="AC7" s="744"/>
      <c r="AD7" s="744"/>
      <c r="AE7" s="736"/>
      <c r="AF7" s="744"/>
      <c r="AG7" s="744"/>
      <c r="AH7" s="744"/>
      <c r="AI7" s="744"/>
      <c r="AJ7" s="747"/>
      <c r="AK7" s="1178"/>
      <c r="AL7" s="749"/>
      <c r="AM7" s="749"/>
    </row>
    <row r="8" spans="1:41" ht="11.25" customHeight="1" x14ac:dyDescent="0.3">
      <c r="A8" s="748" t="s">
        <v>28</v>
      </c>
      <c r="C8" s="744"/>
      <c r="D8" s="744"/>
      <c r="E8" s="744"/>
      <c r="F8" s="745"/>
      <c r="G8" s="744"/>
      <c r="H8" s="744"/>
      <c r="I8" s="744"/>
      <c r="J8" s="745"/>
      <c r="K8" s="744"/>
      <c r="L8" s="744"/>
      <c r="M8" s="744"/>
      <c r="N8" s="745"/>
      <c r="O8" s="744"/>
      <c r="P8" s="744"/>
      <c r="Q8" s="744"/>
      <c r="R8" s="744"/>
      <c r="S8" s="985"/>
      <c r="T8" s="744"/>
      <c r="U8" s="744"/>
      <c r="V8" s="1396"/>
      <c r="W8" s="985"/>
      <c r="X8" s="744"/>
      <c r="Y8" s="792"/>
      <c r="Z8" s="745"/>
      <c r="AA8" s="744"/>
      <c r="AB8" s="744"/>
      <c r="AC8" s="744"/>
      <c r="AD8" s="744"/>
      <c r="AE8" s="736"/>
      <c r="AF8" s="744"/>
      <c r="AG8" s="744"/>
      <c r="AH8" s="744"/>
      <c r="AI8" s="744"/>
      <c r="AJ8" s="747"/>
      <c r="AK8" s="1178"/>
      <c r="AL8" s="1264" t="str">
        <f>+Upside!I7</f>
        <v>G = 750-800</v>
      </c>
      <c r="AM8" s="1264"/>
    </row>
    <row r="9" spans="1:41" x14ac:dyDescent="0.25">
      <c r="A9" s="512" t="s">
        <v>213</v>
      </c>
      <c r="B9" s="470"/>
      <c r="C9" s="750"/>
      <c r="D9" s="750"/>
      <c r="E9" s="750"/>
      <c r="F9" s="751"/>
      <c r="G9" s="736">
        <f>+'FA - Detailed Disclosure'!G97</f>
        <v>98.267999999999986</v>
      </c>
      <c r="H9" s="736">
        <f>+'FA - Detailed Disclosure'!H97</f>
        <v>94.208999999999989</v>
      </c>
      <c r="I9" s="736">
        <f>+'FA - Detailed Disclosure'!I97</f>
        <v>125.75699999999999</v>
      </c>
      <c r="J9" s="752">
        <f>+'FA - Detailed Disclosure'!J97</f>
        <v>144.17900000000003</v>
      </c>
      <c r="K9" s="736">
        <f>+'FA - Detailed Disclosure'!K97</f>
        <v>116.52399999999999</v>
      </c>
      <c r="L9" s="736">
        <f>+'FA - Detailed Disclosure'!L97</f>
        <v>146.29999999999998</v>
      </c>
      <c r="M9" s="736">
        <f>+'FA - Detailed Disclosure'!M97</f>
        <v>158.97199999999998</v>
      </c>
      <c r="N9" s="752">
        <f>+'FA - Detailed Disclosure'!N97</f>
        <v>182.61700000000002</v>
      </c>
      <c r="O9" s="736">
        <f>+'FA - Detailed Disclosure'!O97</f>
        <v>160.08799999999999</v>
      </c>
      <c r="P9" s="736">
        <f>+'FA - Detailed Disclosure'!P97</f>
        <v>170.59100000000001</v>
      </c>
      <c r="Q9" s="736">
        <f>+'FA - Detailed Disclosure'!Q97</f>
        <v>176.09100000000001</v>
      </c>
      <c r="R9" s="736">
        <f>+'FA - Detailed Disclosure'!R97</f>
        <v>188.095</v>
      </c>
      <c r="S9" s="986">
        <f>+'FA - Detailed Disclosure'!S97</f>
        <v>152.05600000000001</v>
      </c>
      <c r="T9" s="736">
        <f>+'FA - Detailed Disclosure'!T97</f>
        <v>162.68199999999999</v>
      </c>
      <c r="U9" s="736">
        <f>+'FA - Detailed Disclosure'!U97</f>
        <v>176.04599999999999</v>
      </c>
      <c r="V9" s="736">
        <f>+'FA - Detailed Disclosure'!V97</f>
        <v>182.29</v>
      </c>
      <c r="W9" s="986">
        <f>+'FA - Detailed Disclosure'!W97</f>
        <v>149.12700000000001</v>
      </c>
      <c r="X9" s="736">
        <f>+'FA - Detailed Disclosure'!X97</f>
        <v>162.37799999999999</v>
      </c>
      <c r="Y9" s="754">
        <f>+'FA - Detailed Disclosure'!Y97</f>
        <v>174.905</v>
      </c>
      <c r="Z9" s="752">
        <f>+V9*(1+Z26)+Z166+Z164</f>
        <v>187.7587</v>
      </c>
      <c r="AA9" s="736">
        <f t="shared" ref="AA9:AD9" si="0">+W9*(1+AA26)+AA166+AA164</f>
        <v>156.58335000000002</v>
      </c>
      <c r="AB9" s="736">
        <f t="shared" si="0"/>
        <v>172.12067999999999</v>
      </c>
      <c r="AC9" s="736">
        <f t="shared" si="0"/>
        <v>187.14835000000002</v>
      </c>
      <c r="AD9" s="736">
        <f t="shared" si="0"/>
        <v>202.77939600000002</v>
      </c>
      <c r="AE9" s="750"/>
      <c r="AF9" s="750"/>
      <c r="AG9" s="736">
        <v>423.16399999999999</v>
      </c>
      <c r="AH9" s="736">
        <f>SUM(G9:J9)</f>
        <v>462.41300000000001</v>
      </c>
      <c r="AI9" s="736">
        <f>+SUM(K9:N9)</f>
        <v>604.41300000000001</v>
      </c>
      <c r="AJ9" s="736">
        <f>+SUM(O9:R9)</f>
        <v>694.86500000000001</v>
      </c>
      <c r="AK9" s="754">
        <f>SUM(S9:V9)</f>
        <v>673.07399999999996</v>
      </c>
      <c r="AL9" s="736">
        <f>+SUM(W9:Z9)</f>
        <v>674.16869999999994</v>
      </c>
      <c r="AM9" s="736">
        <f>+SUM(AA9:AD9)</f>
        <v>718.63177600000006</v>
      </c>
    </row>
    <row r="10" spans="1:41" x14ac:dyDescent="0.25">
      <c r="A10" s="512" t="s">
        <v>214</v>
      </c>
      <c r="B10" s="470"/>
      <c r="C10" s="750"/>
      <c r="D10" s="750"/>
      <c r="E10" s="750"/>
      <c r="F10" s="751"/>
      <c r="G10" s="736">
        <f>+'FA - Detailed Disclosure'!G98</f>
        <v>13.509999999999998</v>
      </c>
      <c r="H10" s="736">
        <f>+'FA - Detailed Disclosure'!H98</f>
        <v>11.499000000000001</v>
      </c>
      <c r="I10" s="736">
        <f>+'FA - Detailed Disclosure'!I98</f>
        <v>11.991</v>
      </c>
      <c r="J10" s="752">
        <f>+'FA - Detailed Disclosure'!J98</f>
        <v>13.482999999999997</v>
      </c>
      <c r="K10" s="736">
        <f>+'FA - Detailed Disclosure'!K98</f>
        <v>16.562000000000001</v>
      </c>
      <c r="L10" s="736">
        <f>+'FA - Detailed Disclosure'!L98</f>
        <v>30.08</v>
      </c>
      <c r="M10" s="736">
        <f>+'FA - Detailed Disclosure'!M98</f>
        <v>35.594999999999999</v>
      </c>
      <c r="N10" s="752">
        <f>+'FA - Detailed Disclosure'!N98</f>
        <v>31.771999999999998</v>
      </c>
      <c r="O10" s="736">
        <f>+'FA - Detailed Disclosure'!O98</f>
        <v>31.741</v>
      </c>
      <c r="P10" s="736">
        <f>+'FA - Detailed Disclosure'!P98</f>
        <v>33.043999999999997</v>
      </c>
      <c r="Q10" s="736">
        <f>+'FA - Detailed Disclosure'!Q98</f>
        <v>31.628</v>
      </c>
      <c r="R10" s="736">
        <f>+'FA - Detailed Disclosure'!R98</f>
        <v>26.187000000000001</v>
      </c>
      <c r="S10" s="986">
        <f>+'FA - Detailed Disclosure'!S98</f>
        <v>24.847999999999999</v>
      </c>
      <c r="T10" s="736">
        <f>+'FA - Detailed Disclosure'!T98</f>
        <v>24.113</v>
      </c>
      <c r="U10" s="736">
        <f>+'FA - Detailed Disclosure'!U98</f>
        <v>25.805</v>
      </c>
      <c r="V10" s="736">
        <f>+'FA - Detailed Disclosure'!V98</f>
        <v>22.065000000000001</v>
      </c>
      <c r="W10" s="986">
        <f>+'FA - Detailed Disclosure'!W98</f>
        <v>22.023</v>
      </c>
      <c r="X10" s="736">
        <f>+'FA - Detailed Disclosure'!X98</f>
        <v>24.187000000000001</v>
      </c>
      <c r="Y10" s="754">
        <f>+'FA - Detailed Disclosure'!Y98</f>
        <v>26.623999999999999</v>
      </c>
      <c r="Z10" s="752">
        <f>+V10*(1+Z27)+Z174+Z172</f>
        <v>22.471939235971025</v>
      </c>
      <c r="AA10" s="736">
        <f t="shared" ref="AA10:AD10" si="1">+W10*(1+AA27)+AA174+AA172</f>
        <v>23.579016954873026</v>
      </c>
      <c r="AB10" s="736">
        <f t="shared" si="1"/>
        <v>26.015519501480998</v>
      </c>
      <c r="AC10" s="736">
        <f t="shared" si="1"/>
        <v>29.394212025046183</v>
      </c>
      <c r="AD10" s="736">
        <f t="shared" si="1"/>
        <v>24.708757078276363</v>
      </c>
      <c r="AE10" s="750"/>
      <c r="AF10" s="750"/>
      <c r="AG10" s="736">
        <v>62.948</v>
      </c>
      <c r="AH10" s="736">
        <f>SUM(G10:J10)</f>
        <v>50.482999999999997</v>
      </c>
      <c r="AI10" s="736">
        <f>+SUM(K10:N10)</f>
        <v>114.00899999999999</v>
      </c>
      <c r="AJ10" s="736">
        <f>+SUM(O10:R10)</f>
        <v>122.6</v>
      </c>
      <c r="AK10" s="754">
        <f>SUM(S10:V10)</f>
        <v>96.830999999999989</v>
      </c>
      <c r="AL10" s="736">
        <f>+SUM(W10:Z10)</f>
        <v>95.305939235971024</v>
      </c>
      <c r="AM10" s="736">
        <f t="shared" ref="AM10:AM12" si="2">+SUM(AA10:AD10)</f>
        <v>103.69750555967657</v>
      </c>
    </row>
    <row r="11" spans="1:41" ht="13" x14ac:dyDescent="0.4">
      <c r="A11" s="512" t="s">
        <v>215</v>
      </c>
      <c r="B11" s="470"/>
      <c r="C11" s="755"/>
      <c r="D11" s="755"/>
      <c r="E11" s="755"/>
      <c r="F11" s="756"/>
      <c r="G11" s="757">
        <f>+'FA - Detailed Disclosure'!G99</f>
        <v>-0.93900000000000028</v>
      </c>
      <c r="H11" s="757">
        <f>+'FA - Detailed Disclosure'!H99</f>
        <v>-0.71499999999999997</v>
      </c>
      <c r="I11" s="757">
        <f>+'FA - Detailed Disclosure'!I99</f>
        <v>-0.97</v>
      </c>
      <c r="J11" s="758">
        <f>+'FA - Detailed Disclosure'!J99</f>
        <v>-1.1179999999999994</v>
      </c>
      <c r="K11" s="757">
        <f>+'FA - Detailed Disclosure'!K99</f>
        <v>-1.016</v>
      </c>
      <c r="L11" s="757">
        <f>+'FA - Detailed Disclosure'!L99</f>
        <v>-1.554</v>
      </c>
      <c r="M11" s="757">
        <f>+'FA - Detailed Disclosure'!M99</f>
        <v>-1.7</v>
      </c>
      <c r="N11" s="758">
        <f>+'FA - Detailed Disclosure'!N99</f>
        <v>-1.857</v>
      </c>
      <c r="O11" s="757">
        <f>+'FA - Detailed Disclosure'!O99</f>
        <v>-1.948</v>
      </c>
      <c r="P11" s="757">
        <f>+'FA - Detailed Disclosure'!P99</f>
        <v>-2.0739999999999998</v>
      </c>
      <c r="Q11" s="757">
        <f>+'FA - Detailed Disclosure'!Q99</f>
        <v>-1.7330000000000001</v>
      </c>
      <c r="R11" s="757">
        <f>+'FA - Detailed Disclosure'!R99</f>
        <v>-1.6870000000000001</v>
      </c>
      <c r="S11" s="987">
        <f>+'FA - Detailed Disclosure'!S99</f>
        <v>-1.3839999999999999</v>
      </c>
      <c r="T11" s="757">
        <f>+'FA - Detailed Disclosure'!T99</f>
        <v>-1.48</v>
      </c>
      <c r="U11" s="757">
        <f>+'FA - Detailed Disclosure'!U99</f>
        <v>-1.4870000000000001</v>
      </c>
      <c r="V11" s="757">
        <f>+'FA - Detailed Disclosure'!V99</f>
        <v>-1.7929999999999999</v>
      </c>
      <c r="W11" s="987">
        <f>+'FA - Detailed Disclosure'!W99</f>
        <v>-1.734</v>
      </c>
      <c r="X11" s="757">
        <f>+'FA - Detailed Disclosure'!X99</f>
        <v>-2.0190000000000001</v>
      </c>
      <c r="Y11" s="760">
        <f>+'FA - Detailed Disclosure'!Y99</f>
        <v>-2.4099999999999966</v>
      </c>
      <c r="Z11" s="1491">
        <v>-2</v>
      </c>
      <c r="AA11" s="759">
        <f>+W11/SUM(W9:W10)*SUM(AA9:AA10)</f>
        <v>-1.8253084680090554</v>
      </c>
      <c r="AB11" s="759">
        <f t="shared" ref="AB11:AD11" si="3">+X11/SUM(X9:X10)*SUM(AB9:AB10)</f>
        <v>-2.1442231222013248</v>
      </c>
      <c r="AC11" s="759">
        <f t="shared" si="3"/>
        <v>-2.58954083273554</v>
      </c>
      <c r="AD11" s="759">
        <f t="shared" si="3"/>
        <v>-2.1641769620738756</v>
      </c>
      <c r="AE11" s="755"/>
      <c r="AF11" s="755"/>
      <c r="AG11" s="757">
        <v>-4.3449999999999998</v>
      </c>
      <c r="AH11" s="757">
        <f>SUM(G11:J11)</f>
        <v>-3.742</v>
      </c>
      <c r="AI11" s="757">
        <f>+SUM(K11:N11)</f>
        <v>-6.1270000000000007</v>
      </c>
      <c r="AJ11" s="757">
        <f>+SUM(O11:R11)</f>
        <v>-7.4420000000000011</v>
      </c>
      <c r="AK11" s="760">
        <f>SUM(S11:V11)</f>
        <v>-6.1440000000000001</v>
      </c>
      <c r="AL11" s="757">
        <f>+SUM(W11:Z11)</f>
        <v>-8.1629999999999967</v>
      </c>
      <c r="AM11" s="757">
        <f t="shared" si="2"/>
        <v>-8.7232493850197965</v>
      </c>
    </row>
    <row r="12" spans="1:41" s="761" customFormat="1" x14ac:dyDescent="0.25">
      <c r="A12" s="505" t="s">
        <v>216</v>
      </c>
      <c r="C12" s="762">
        <v>109.687</v>
      </c>
      <c r="D12" s="762">
        <v>121.621</v>
      </c>
      <c r="E12" s="762">
        <v>123.76900000000001</v>
      </c>
      <c r="F12" s="763">
        <f>+AG12-SUM(C12:E12)</f>
        <v>126.68999999999994</v>
      </c>
      <c r="G12" s="762">
        <f>36.785+74.054</f>
        <v>110.839</v>
      </c>
      <c r="H12" s="762">
        <v>104.99299999999999</v>
      </c>
      <c r="I12" s="762">
        <v>136.77799999999999</v>
      </c>
      <c r="J12" s="763">
        <f>+AH12-SUM(G12:I12)</f>
        <v>156.54399999999993</v>
      </c>
      <c r="K12" s="762">
        <v>132.07</v>
      </c>
      <c r="L12" s="762">
        <v>174.82599999999999</v>
      </c>
      <c r="M12" s="762">
        <v>192.86699999999999</v>
      </c>
      <c r="N12" s="763">
        <f>+AI12-SUM(K12:M12)</f>
        <v>212.53200000000015</v>
      </c>
      <c r="O12" s="762">
        <v>189.881</v>
      </c>
      <c r="P12" s="762">
        <v>201.56100000000001</v>
      </c>
      <c r="Q12" s="762">
        <f>+SUM(Q9:Q11)</f>
        <v>205.98599999999999</v>
      </c>
      <c r="R12" s="762">
        <f t="shared" ref="R12:S12" si="4">+SUM(R9:R11)</f>
        <v>212.595</v>
      </c>
      <c r="S12" s="988">
        <f t="shared" si="4"/>
        <v>175.52</v>
      </c>
      <c r="T12" s="762">
        <f t="shared" ref="T12" si="5">+SUM(T9:T11)</f>
        <v>185.315</v>
      </c>
      <c r="U12" s="762">
        <f t="shared" ref="U12:V12" si="6">+SUM(U9:U11)</f>
        <v>200.364</v>
      </c>
      <c r="V12" s="762">
        <f t="shared" si="6"/>
        <v>202.56199999999998</v>
      </c>
      <c r="W12" s="988">
        <f t="shared" ref="W12:X12" si="7">+SUM(W9:W11)</f>
        <v>169.416</v>
      </c>
      <c r="X12" s="762">
        <f t="shared" si="7"/>
        <v>184.54599999999999</v>
      </c>
      <c r="Y12" s="764">
        <f t="shared" ref="Y12" si="8">+SUM(Y9:Y11)</f>
        <v>199.119</v>
      </c>
      <c r="Z12" s="763">
        <f t="shared" ref="Z12" si="9">+SUM(Z9:Z11)</f>
        <v>208.23063923597104</v>
      </c>
      <c r="AA12" s="762">
        <f t="shared" ref="AA12:AD12" si="10">+SUM(AA9:AA11)</f>
        <v>178.33705848686398</v>
      </c>
      <c r="AB12" s="762">
        <f t="shared" si="10"/>
        <v>195.99197637927966</v>
      </c>
      <c r="AC12" s="762">
        <f t="shared" si="10"/>
        <v>213.95302119231067</v>
      </c>
      <c r="AD12" s="762">
        <f t="shared" si="10"/>
        <v>225.32397611620252</v>
      </c>
      <c r="AE12" s="762"/>
      <c r="AF12" s="762">
        <f>+AG12/(1+AG13)</f>
        <v>446.90816326530603</v>
      </c>
      <c r="AG12" s="762">
        <f>+SUM(AG9:AG11)</f>
        <v>481.76699999999994</v>
      </c>
      <c r="AH12" s="762">
        <f>+SUM(AH9:AH11)</f>
        <v>509.15399999999994</v>
      </c>
      <c r="AI12" s="762">
        <f>+SUM(AI9:AI11)</f>
        <v>712.29500000000007</v>
      </c>
      <c r="AJ12" s="762">
        <f>+SUM(AJ9:AJ11)</f>
        <v>810.02300000000002</v>
      </c>
      <c r="AK12" s="764">
        <f>+SUM(S12:V12)</f>
        <v>763.76100000000008</v>
      </c>
      <c r="AL12" s="762">
        <f>+SUM(W12:Z12)</f>
        <v>761.31163923597103</v>
      </c>
      <c r="AM12" s="762">
        <f t="shared" si="2"/>
        <v>813.60603217465678</v>
      </c>
      <c r="AO12" s="765"/>
    </row>
    <row r="13" spans="1:41" s="470" customFormat="1" hidden="1" outlineLevel="1" x14ac:dyDescent="0.25">
      <c r="A13" s="766" t="s">
        <v>29</v>
      </c>
      <c r="C13" s="767"/>
      <c r="D13" s="767"/>
      <c r="E13" s="767"/>
      <c r="F13" s="768"/>
      <c r="G13" s="769">
        <f t="shared" ref="G13" si="11">+G12/C12-1</f>
        <v>1.0502611977718512E-2</v>
      </c>
      <c r="H13" s="769">
        <f t="shared" ref="H13" si="12">+H12/D12-1</f>
        <v>-0.13671980990125066</v>
      </c>
      <c r="I13" s="769">
        <f t="shared" ref="I13" si="13">+I12/E12-1</f>
        <v>0.10510709466829327</v>
      </c>
      <c r="J13" s="770">
        <f t="shared" ref="J13" si="14">+J12/F12-1</f>
        <v>0.23564606519851616</v>
      </c>
      <c r="K13" s="769">
        <f t="shared" ref="K13" si="15">+K12/G12-1</f>
        <v>0.19154810130008393</v>
      </c>
      <c r="L13" s="769">
        <f t="shared" ref="L13" si="16">+L12/H12-1</f>
        <v>0.66512053184498021</v>
      </c>
      <c r="M13" s="769">
        <f t="shared" ref="M13" si="17">+M12/I12-1</f>
        <v>0.41007325739519507</v>
      </c>
      <c r="N13" s="770">
        <f t="shared" ref="N13" si="18">+N12/J12-1</f>
        <v>0.35765024529844802</v>
      </c>
      <c r="O13" s="769">
        <f t="shared" ref="O13" si="19">+O12/K12-1</f>
        <v>0.43772999167108351</v>
      </c>
      <c r="P13" s="769">
        <f t="shared" ref="P13" si="20">+P12/L12-1</f>
        <v>0.15292347820118302</v>
      </c>
      <c r="Q13" s="769">
        <f t="shared" ref="Q13" si="21">+Q12/M12-1</f>
        <v>6.8020967817200351E-2</v>
      </c>
      <c r="R13" s="769">
        <f t="shared" ref="R13" si="22">+R12/N12-1</f>
        <v>2.9642594997381089E-4</v>
      </c>
      <c r="S13" s="989">
        <f t="shared" ref="S13" si="23">+S12/O12-1</f>
        <v>-7.5631579778914104E-2</v>
      </c>
      <c r="T13" s="769">
        <f t="shared" ref="T13" si="24">+T12/P12-1</f>
        <v>-8.06009098982442E-2</v>
      </c>
      <c r="U13" s="769">
        <f t="shared" ref="U13" si="25">+U12/Q12-1</f>
        <v>-2.7293117007951895E-2</v>
      </c>
      <c r="V13" s="769">
        <f t="shared" ref="V13" si="26">+V12/R12-1</f>
        <v>-4.7193019591241669E-2</v>
      </c>
      <c r="W13" s="989">
        <f t="shared" ref="W13" si="27">+W12/S12-1</f>
        <v>-3.4776663628076632E-2</v>
      </c>
      <c r="X13" s="769">
        <f t="shared" ref="X13" si="28">+X12/T12-1</f>
        <v>-4.1496910665623776E-3</v>
      </c>
      <c r="Y13" s="772"/>
      <c r="Z13" s="763"/>
      <c r="AA13" s="762"/>
      <c r="AB13" s="762"/>
      <c r="AC13" s="762"/>
      <c r="AD13" s="762"/>
      <c r="AE13" s="767"/>
      <c r="AF13" s="771"/>
      <c r="AG13" s="771">
        <v>7.8E-2</v>
      </c>
      <c r="AH13" s="769">
        <f t="shared" ref="AH13" si="29">+AH12/AG12-1</f>
        <v>5.684698204733829E-2</v>
      </c>
      <c r="AI13" s="769">
        <f t="shared" ref="AI13:AK13" si="30">+AI12/AH12-1</f>
        <v>0.39897751957168204</v>
      </c>
      <c r="AJ13" s="769">
        <f t="shared" si="30"/>
        <v>0.13720158080570544</v>
      </c>
      <c r="AK13" s="772">
        <f t="shared" si="30"/>
        <v>-5.7111958549325048E-2</v>
      </c>
      <c r="AL13" s="769"/>
      <c r="AM13" s="769"/>
    </row>
    <row r="14" spans="1:41" s="470" customFormat="1" hidden="1" outlineLevel="1" x14ac:dyDescent="0.25">
      <c r="A14" s="766" t="s">
        <v>217</v>
      </c>
      <c r="C14" s="767"/>
      <c r="D14" s="767"/>
      <c r="E14" s="767"/>
      <c r="F14" s="768"/>
      <c r="G14" s="775">
        <f>+'FA - Detailed Disclosure'!G135</f>
        <v>1.0502611977718512E-2</v>
      </c>
      <c r="H14" s="773">
        <f>+'FA - Detailed Disclosure'!H135</f>
        <v>-0.13671980990125066</v>
      </c>
      <c r="I14" s="773">
        <f>+'FA - Detailed Disclosure'!I135</f>
        <v>0.10510709466829327</v>
      </c>
      <c r="J14" s="774">
        <f>+'FA - Detailed Disclosure'!J135</f>
        <v>0.23564606519851594</v>
      </c>
      <c r="K14" s="775">
        <f>+'FA - Detailed Disclosure'!K135</f>
        <v>0.19154810130008393</v>
      </c>
      <c r="L14" s="773">
        <f>+'FA - Detailed Disclosure'!L135</f>
        <v>0.59799999999999998</v>
      </c>
      <c r="M14" s="773">
        <f>+'FA - Detailed Disclosure'!M135</f>
        <v>0.34499999999999997</v>
      </c>
      <c r="N14" s="774">
        <f>+'FA - Detailed Disclosure'!N135</f>
        <v>0.30299999999999999</v>
      </c>
      <c r="O14" s="773">
        <f>+'FA - Detailed Disclosure'!O135</f>
        <v>0.32600000000000001</v>
      </c>
      <c r="P14" s="773">
        <f>+'FA - Detailed Disclosure'!P135</f>
        <v>0.105</v>
      </c>
      <c r="Q14" s="773">
        <f>+(Q12-'FA - Detailed Disclosure'!Q179)/'FA - Historical Financials'!M12-1</f>
        <v>2.4467638320708085E-2</v>
      </c>
      <c r="R14" s="769">
        <f>+R13-2.6%</f>
        <v>-2.5703574050026191E-2</v>
      </c>
      <c r="S14" s="989">
        <f>+S13</f>
        <v>-7.5631579778914104E-2</v>
      </c>
      <c r="T14" s="769">
        <f>+T13</f>
        <v>-8.06009098982442E-2</v>
      </c>
      <c r="U14" s="769">
        <f>+U13-U185/Q12</f>
        <v>-3.1424465740390019E-2</v>
      </c>
      <c r="V14" s="769">
        <f>+V13-V185/R12</f>
        <v>-5.7273219031491907E-2</v>
      </c>
      <c r="W14" s="989">
        <f>+W13-W185/S12</f>
        <v>-5.0780537830446733E-2</v>
      </c>
      <c r="X14" s="769">
        <f t="shared" ref="X14" si="31">+X13-X185/T12</f>
        <v>-2.1957207997194004E-2</v>
      </c>
      <c r="Y14" s="772"/>
      <c r="Z14" s="763"/>
      <c r="AA14" s="762"/>
      <c r="AB14" s="762"/>
      <c r="AC14" s="762"/>
      <c r="AD14" s="762"/>
      <c r="AE14" s="767"/>
      <c r="AF14" s="771"/>
      <c r="AG14" s="771">
        <v>7.8E-2</v>
      </c>
      <c r="AH14" s="769">
        <f>+AH13</f>
        <v>5.684698204733829E-2</v>
      </c>
      <c r="AI14" s="769">
        <v>0.35099999999999998</v>
      </c>
      <c r="AJ14" s="777">
        <f>+SUMPRODUCT(O14:R14,K12:N12)/AI12</f>
        <v>8.5172180065843262E-2</v>
      </c>
      <c r="AK14" s="776">
        <f>+SUMPRODUCT(S14:V14,O12:R12)/AJ12</f>
        <v>-6.0808149892040086E-2</v>
      </c>
      <c r="AL14" s="777"/>
      <c r="AM14" s="777"/>
    </row>
    <row r="15" spans="1:41" s="470" customFormat="1" hidden="1" outlineLevel="1" x14ac:dyDescent="0.25">
      <c r="A15" s="766" t="s">
        <v>218</v>
      </c>
      <c r="C15" s="767"/>
      <c r="D15" s="767"/>
      <c r="E15" s="767"/>
      <c r="F15" s="768"/>
      <c r="G15" s="769"/>
      <c r="H15" s="769"/>
      <c r="I15" s="769"/>
      <c r="J15" s="770"/>
      <c r="K15" s="769"/>
      <c r="L15" s="769"/>
      <c r="M15" s="769">
        <f>+M13-JPM!V12</f>
        <v>0.40714881048121765</v>
      </c>
      <c r="N15" s="770">
        <f>+N13-JPM!W12</f>
        <v>0.35713920686835809</v>
      </c>
      <c r="O15" s="769">
        <f>+O13-JPM!Z12</f>
        <v>0.44500643598091921</v>
      </c>
      <c r="P15" s="769">
        <f>+P13-JPM!AA12</f>
        <v>0.16550741880498337</v>
      </c>
      <c r="Q15" s="769">
        <v>8.5999999999999993E-2</v>
      </c>
      <c r="R15" s="769">
        <f>216.3/N12-1</f>
        <v>1.7729094912765309E-2</v>
      </c>
      <c r="S15" s="989">
        <f>+S29</f>
        <v>-6.4308698605968884E-2</v>
      </c>
      <c r="T15" s="769">
        <f>+T29</f>
        <v>-7.5262575597461856E-2</v>
      </c>
      <c r="U15" s="769">
        <f>+U13+U164/Q153+U172/Q153</f>
        <v>-2.9802996320138161E-2</v>
      </c>
      <c r="V15" s="769">
        <f>+V29-V399</f>
        <v>-6.4825471831469694E-2</v>
      </c>
      <c r="W15" s="989">
        <f t="shared" ref="W15:X15" si="32">+W29-W399</f>
        <v>-5.4216814881382573E-2</v>
      </c>
      <c r="X15" s="769">
        <f t="shared" si="32"/>
        <v>-2.1846653156967249E-2</v>
      </c>
      <c r="Y15" s="772"/>
      <c r="Z15" s="763"/>
      <c r="AA15" s="762"/>
      <c r="AB15" s="762"/>
      <c r="AC15" s="762"/>
      <c r="AD15" s="762"/>
      <c r="AE15" s="767"/>
      <c r="AF15" s="771"/>
      <c r="AG15" s="769"/>
      <c r="AH15" s="769"/>
      <c r="AI15" s="777">
        <f>+AI13+AI14-AI29</f>
        <v>0.39959040683172514</v>
      </c>
      <c r="AJ15" s="777">
        <f>+SUMPRODUCT(O15:R15,K12:N12)/AI12</f>
        <v>0.15170899978239333</v>
      </c>
      <c r="AK15" s="776">
        <f>+SUMPRODUCT(S15:V15,O12:R12)/AJ12</f>
        <v>-5.8395343322364013E-2</v>
      </c>
      <c r="AL15" s="777"/>
      <c r="AM15" s="777"/>
    </row>
    <row r="16" spans="1:41" s="470" customFormat="1" hidden="1" outlineLevel="1" x14ac:dyDescent="0.25">
      <c r="A16" s="766" t="s">
        <v>219</v>
      </c>
      <c r="C16" s="767"/>
      <c r="D16" s="769">
        <f t="shared" ref="D16:V16" si="33">+D12/C12-1</f>
        <v>0.10880049595667662</v>
      </c>
      <c r="E16" s="769">
        <f t="shared" si="33"/>
        <v>1.7661423602831849E-2</v>
      </c>
      <c r="F16" s="770">
        <f t="shared" si="33"/>
        <v>2.3600416905686705E-2</v>
      </c>
      <c r="G16" s="769">
        <f t="shared" si="33"/>
        <v>-0.12511642592154038</v>
      </c>
      <c r="H16" s="769">
        <f t="shared" si="33"/>
        <v>-5.2743168018477338E-2</v>
      </c>
      <c r="I16" s="769">
        <f t="shared" si="33"/>
        <v>0.30273446801215309</v>
      </c>
      <c r="J16" s="770">
        <f t="shared" si="33"/>
        <v>0.14451154425419244</v>
      </c>
      <c r="K16" s="769">
        <f t="shared" si="33"/>
        <v>-0.15633943172526543</v>
      </c>
      <c r="L16" s="769">
        <f t="shared" si="33"/>
        <v>0.32373741197849637</v>
      </c>
      <c r="M16" s="769">
        <f t="shared" si="33"/>
        <v>0.10319403292416451</v>
      </c>
      <c r="N16" s="770">
        <f t="shared" si="33"/>
        <v>0.10196145530339651</v>
      </c>
      <c r="O16" s="769">
        <f t="shared" si="33"/>
        <v>-0.10657689195038933</v>
      </c>
      <c r="P16" s="769">
        <f t="shared" si="33"/>
        <v>6.1512210279069501E-2</v>
      </c>
      <c r="Q16" s="769">
        <f t="shared" si="33"/>
        <v>2.195365174810604E-2</v>
      </c>
      <c r="R16" s="769">
        <f t="shared" si="33"/>
        <v>3.2084704785762197E-2</v>
      </c>
      <c r="S16" s="989">
        <f t="shared" si="33"/>
        <v>-0.17439262447376458</v>
      </c>
      <c r="T16" s="769">
        <f t="shared" ref="T16" si="34">+T12/S12-1</f>
        <v>5.5805606198723767E-2</v>
      </c>
      <c r="U16" s="769">
        <f t="shared" ref="U16" si="35">+U12/T12-1</f>
        <v>8.1207673420931936E-2</v>
      </c>
      <c r="V16" s="769">
        <f t="shared" si="33"/>
        <v>1.0970034537142404E-2</v>
      </c>
      <c r="W16" s="989">
        <f t="shared" ref="W16" si="36">+W12/V12-1</f>
        <v>-0.16363385037667477</v>
      </c>
      <c r="X16" s="769">
        <f t="shared" ref="X16" si="37">+X12/W12-1</f>
        <v>8.9306795107900072E-2</v>
      </c>
      <c r="Y16" s="772"/>
      <c r="Z16" s="763"/>
      <c r="AA16" s="762"/>
      <c r="AB16" s="762"/>
      <c r="AC16" s="762"/>
      <c r="AD16" s="762"/>
      <c r="AE16" s="767"/>
      <c r="AF16" s="769"/>
      <c r="AG16" s="769"/>
      <c r="AH16" s="769">
        <f>+AH12/AG12-1</f>
        <v>5.684698204733829E-2</v>
      </c>
      <c r="AI16" s="769">
        <f>+AI12/AH12-1</f>
        <v>0.39897751957168204</v>
      </c>
      <c r="AJ16" s="769">
        <f>+AJ12/AI12-1</f>
        <v>0.13720158080570544</v>
      </c>
      <c r="AK16" s="776">
        <f>+AK12/AJ12-1</f>
        <v>-5.7111958549325048E-2</v>
      </c>
      <c r="AL16" s="777"/>
      <c r="AM16" s="777"/>
    </row>
    <row r="17" spans="1:39" ht="12" collapsed="1" x14ac:dyDescent="0.3">
      <c r="A17" s="778"/>
      <c r="B17" s="470"/>
      <c r="C17" s="744"/>
      <c r="D17" s="689"/>
      <c r="E17" s="689"/>
      <c r="F17" s="779"/>
      <c r="G17" s="689"/>
      <c r="H17" s="689"/>
      <c r="I17" s="689"/>
      <c r="J17" s="779"/>
      <c r="K17" s="689"/>
      <c r="L17" s="689"/>
      <c r="M17" s="689"/>
      <c r="N17" s="779"/>
      <c r="O17" s="689"/>
      <c r="P17" s="780"/>
      <c r="Q17" s="780"/>
      <c r="R17" s="780"/>
      <c r="S17" s="990"/>
      <c r="T17" s="780"/>
      <c r="U17" s="780"/>
      <c r="V17" s="780"/>
      <c r="W17" s="990"/>
      <c r="X17" s="780"/>
      <c r="Y17" s="1006"/>
      <c r="Z17" s="763"/>
      <c r="AA17" s="762"/>
      <c r="AB17" s="762"/>
      <c r="AC17" s="762"/>
      <c r="AD17" s="762"/>
      <c r="AE17" s="744"/>
      <c r="AF17" s="689"/>
      <c r="AG17" s="689"/>
      <c r="AH17" s="689"/>
      <c r="AI17" s="689"/>
      <c r="AJ17" s="689"/>
      <c r="AK17" s="781"/>
      <c r="AL17" s="689"/>
      <c r="AM17" s="689"/>
    </row>
    <row r="18" spans="1:39" ht="12" x14ac:dyDescent="0.3">
      <c r="A18" s="782" t="s">
        <v>29</v>
      </c>
      <c r="B18" s="470"/>
      <c r="C18" s="736"/>
      <c r="D18" s="736"/>
      <c r="E18" s="736"/>
      <c r="F18" s="752"/>
      <c r="G18" s="689"/>
      <c r="H18" s="689"/>
      <c r="I18" s="689"/>
      <c r="J18" s="779"/>
      <c r="K18" s="689"/>
      <c r="L18" s="689"/>
      <c r="M18" s="689"/>
      <c r="N18" s="779"/>
      <c r="O18" s="689"/>
      <c r="P18" s="689"/>
      <c r="Q18" s="689"/>
      <c r="R18" s="689"/>
      <c r="S18" s="991"/>
      <c r="T18" s="689"/>
      <c r="U18" s="736"/>
      <c r="V18" s="736"/>
      <c r="W18" s="986"/>
      <c r="X18" s="689"/>
      <c r="Y18" s="754"/>
      <c r="Z18" s="752"/>
      <c r="AA18" s="736"/>
      <c r="AB18" s="736"/>
      <c r="AC18" s="736"/>
      <c r="AD18" s="736"/>
      <c r="AE18" s="736"/>
      <c r="AF18" s="689"/>
      <c r="AG18" s="689"/>
      <c r="AH18" s="689"/>
      <c r="AI18" s="689"/>
      <c r="AJ18" s="689"/>
      <c r="AK18" s="781"/>
      <c r="AL18" s="689"/>
      <c r="AM18" s="689"/>
    </row>
    <row r="19" spans="1:39" ht="12" x14ac:dyDescent="0.3">
      <c r="A19" s="778" t="s">
        <v>213</v>
      </c>
      <c r="B19" s="470"/>
      <c r="C19" s="736"/>
      <c r="D19" s="736"/>
      <c r="E19" s="736"/>
      <c r="F19" s="752"/>
      <c r="G19" s="689"/>
      <c r="H19" s="689"/>
      <c r="I19" s="689"/>
      <c r="J19" s="779"/>
      <c r="K19" s="689">
        <f t="shared" ref="K19:S22" si="38">+K9/G9-1</f>
        <v>0.18577766923108241</v>
      </c>
      <c r="L19" s="689">
        <f t="shared" si="38"/>
        <v>0.55293018713710995</v>
      </c>
      <c r="M19" s="689">
        <f t="shared" si="38"/>
        <v>0.2641204863347566</v>
      </c>
      <c r="N19" s="779">
        <f t="shared" si="38"/>
        <v>0.26659915799110823</v>
      </c>
      <c r="O19" s="689">
        <f t="shared" si="38"/>
        <v>0.373862895197556</v>
      </c>
      <c r="P19" s="689">
        <f t="shared" si="38"/>
        <v>0.16603554340396465</v>
      </c>
      <c r="Q19" s="689">
        <f t="shared" si="38"/>
        <v>0.10768563017386734</v>
      </c>
      <c r="R19" s="689">
        <f t="shared" si="38"/>
        <v>2.9997207269859771E-2</v>
      </c>
      <c r="S19" s="991">
        <f t="shared" si="38"/>
        <v>-5.017240517715249E-2</v>
      </c>
      <c r="T19" s="689">
        <f t="shared" ref="T19:T22" si="39">+T9/P9-1</f>
        <v>-4.636235205843231E-2</v>
      </c>
      <c r="U19" s="689">
        <f t="shared" ref="U19:U22" si="40">+U9/Q9-1</f>
        <v>-2.5554968737762085E-4</v>
      </c>
      <c r="V19" s="689">
        <f t="shared" ref="V19:V22" si="41">+V9/R9-1</f>
        <v>-3.0862064382360055E-2</v>
      </c>
      <c r="W19" s="991">
        <f t="shared" ref="W19:W22" si="42">+W9/S9-1</f>
        <v>-1.9262640079970583E-2</v>
      </c>
      <c r="X19" s="689">
        <f t="shared" ref="X19:X22" si="43">+X9/T9-1</f>
        <v>-1.8686763132983453E-3</v>
      </c>
      <c r="Y19" s="781">
        <f t="shared" ref="Y19:Y22" si="44">+Y9/U9-1</f>
        <v>-6.4812605796211731E-3</v>
      </c>
      <c r="Z19" s="1492">
        <f t="shared" ref="Z19:Z22" si="45">+Z9/V9-1</f>
        <v>3.0000000000000027E-2</v>
      </c>
      <c r="AA19" s="1118">
        <f t="shared" ref="AA19:AA22" si="46">+AA9/W9-1</f>
        <v>5.0000000000000044E-2</v>
      </c>
      <c r="AB19" s="1118">
        <f t="shared" ref="AB19:AB22" si="47">+AB9/X9-1</f>
        <v>6.0000000000000053E-2</v>
      </c>
      <c r="AC19" s="1118">
        <f t="shared" ref="AC19:AC22" si="48">+AC9/Y9-1</f>
        <v>7.0000000000000062E-2</v>
      </c>
      <c r="AD19" s="1118">
        <f t="shared" ref="AD19:AD22" si="49">+AD9/Z9-1</f>
        <v>8.0000000000000071E-2</v>
      </c>
      <c r="AE19" s="736"/>
      <c r="AF19" s="689"/>
      <c r="AG19" s="689"/>
      <c r="AH19" s="689">
        <f t="shared" ref="AH19:AK22" si="50">+AH9/AG9-1</f>
        <v>9.2751273737841755E-2</v>
      </c>
      <c r="AI19" s="689">
        <f t="shared" si="50"/>
        <v>0.30708479216631024</v>
      </c>
      <c r="AJ19" s="689">
        <f t="shared" si="50"/>
        <v>0.1496526381795229</v>
      </c>
      <c r="AK19" s="781">
        <f t="shared" ref="AK19:AK20" si="51">+AK9/AJ9-1</f>
        <v>-3.1360048354716508E-2</v>
      </c>
      <c r="AL19" s="689">
        <f t="shared" ref="AL19:AL22" si="52">+AL9/AK9-1</f>
        <v>1.626418491874615E-3</v>
      </c>
      <c r="AM19" s="689">
        <f t="shared" ref="AM19:AM22" si="53">+AM9/AL9-1</f>
        <v>6.5952447807203329E-2</v>
      </c>
    </row>
    <row r="20" spans="1:39" s="789" customFormat="1" ht="13.5" x14ac:dyDescent="0.45">
      <c r="A20" s="778" t="s">
        <v>214</v>
      </c>
      <c r="B20" s="783"/>
      <c r="C20" s="784"/>
      <c r="D20" s="784"/>
      <c r="E20" s="784"/>
      <c r="F20" s="785"/>
      <c r="G20" s="786"/>
      <c r="H20" s="786"/>
      <c r="I20" s="786"/>
      <c r="J20" s="787"/>
      <c r="K20" s="786">
        <f t="shared" si="38"/>
        <v>0.22590673575129561</v>
      </c>
      <c r="L20" s="786">
        <f t="shared" si="38"/>
        <v>1.6158796417079744</v>
      </c>
      <c r="M20" s="786">
        <f t="shared" si="38"/>
        <v>1.9684763572679511</v>
      </c>
      <c r="N20" s="787">
        <f t="shared" si="38"/>
        <v>1.3564488615293335</v>
      </c>
      <c r="O20" s="786">
        <f t="shared" si="38"/>
        <v>0.91649559231976796</v>
      </c>
      <c r="P20" s="786">
        <f t="shared" si="38"/>
        <v>9.8537234042553212E-2</v>
      </c>
      <c r="Q20" s="786">
        <f t="shared" si="38"/>
        <v>-0.11144823711195384</v>
      </c>
      <c r="R20" s="786">
        <f t="shared" si="38"/>
        <v>-0.1757837089260984</v>
      </c>
      <c r="S20" s="992">
        <f t="shared" si="38"/>
        <v>-0.21716392048139632</v>
      </c>
      <c r="T20" s="786">
        <f t="shared" si="39"/>
        <v>-0.27027599564217397</v>
      </c>
      <c r="U20" s="786">
        <f t="shared" si="40"/>
        <v>-0.1841090173264196</v>
      </c>
      <c r="V20" s="786">
        <f t="shared" si="41"/>
        <v>-0.15740634666055675</v>
      </c>
      <c r="W20" s="992">
        <f t="shared" si="42"/>
        <v>-0.11369124275595621</v>
      </c>
      <c r="X20" s="786">
        <f t="shared" si="43"/>
        <v>3.0688840044790222E-3</v>
      </c>
      <c r="Y20" s="788">
        <f t="shared" si="44"/>
        <v>3.1738035264483599E-2</v>
      </c>
      <c r="Z20" s="1493">
        <f t="shared" si="45"/>
        <v>1.8442748061229253E-2</v>
      </c>
      <c r="AA20" s="1119">
        <f t="shared" si="46"/>
        <v>7.0654177672116791E-2</v>
      </c>
      <c r="AB20" s="1119">
        <f t="shared" si="47"/>
        <v>7.5599268263157882E-2</v>
      </c>
      <c r="AC20" s="1119">
        <f t="shared" si="48"/>
        <v>0.10404943002727562</v>
      </c>
      <c r="AD20" s="1119">
        <f t="shared" si="49"/>
        <v>9.9538264980925328E-2</v>
      </c>
      <c r="AE20" s="784"/>
      <c r="AF20" s="786"/>
      <c r="AG20" s="786"/>
      <c r="AH20" s="786">
        <f t="shared" si="50"/>
        <v>-0.19802058842218984</v>
      </c>
      <c r="AI20" s="786">
        <f t="shared" si="50"/>
        <v>1.2583642018105103</v>
      </c>
      <c r="AJ20" s="786">
        <f t="shared" si="50"/>
        <v>7.5353700146479685E-2</v>
      </c>
      <c r="AK20" s="788">
        <f t="shared" si="51"/>
        <v>-0.21018760195758568</v>
      </c>
      <c r="AL20" s="786">
        <f t="shared" si="52"/>
        <v>-1.5749716144922266E-2</v>
      </c>
      <c r="AM20" s="786">
        <f t="shared" si="53"/>
        <v>8.804872383586293E-2</v>
      </c>
    </row>
    <row r="21" spans="1:39" ht="12" hidden="1" outlineLevel="1" x14ac:dyDescent="0.3">
      <c r="A21" s="778" t="s">
        <v>215</v>
      </c>
      <c r="C21" s="736"/>
      <c r="D21" s="736"/>
      <c r="E21" s="736"/>
      <c r="F21" s="752"/>
      <c r="G21" s="786"/>
      <c r="H21" s="786"/>
      <c r="I21" s="786"/>
      <c r="J21" s="787"/>
      <c r="K21" s="786">
        <f t="shared" si="38"/>
        <v>8.2002129925452305E-2</v>
      </c>
      <c r="L21" s="786">
        <f t="shared" si="38"/>
        <v>1.1734265734265734</v>
      </c>
      <c r="M21" s="786">
        <f t="shared" si="38"/>
        <v>0.75257731958762886</v>
      </c>
      <c r="N21" s="787">
        <f t="shared" si="38"/>
        <v>0.66100178890876649</v>
      </c>
      <c r="O21" s="786">
        <f t="shared" si="38"/>
        <v>0.91732283464566922</v>
      </c>
      <c r="P21" s="786">
        <f t="shared" si="38"/>
        <v>0.33462033462033447</v>
      </c>
      <c r="Q21" s="786">
        <f t="shared" si="38"/>
        <v>1.9411764705882462E-2</v>
      </c>
      <c r="R21" s="786">
        <f t="shared" si="38"/>
        <v>-9.1545503500269243E-2</v>
      </c>
      <c r="S21" s="992">
        <f t="shared" si="38"/>
        <v>-0.28952772073921973</v>
      </c>
      <c r="T21" s="786">
        <f t="shared" si="39"/>
        <v>-0.2864030858244937</v>
      </c>
      <c r="U21" s="786">
        <f t="shared" si="40"/>
        <v>-0.14195037507212926</v>
      </c>
      <c r="V21" s="786">
        <f t="shared" si="41"/>
        <v>6.2833432128037936E-2</v>
      </c>
      <c r="W21" s="992">
        <f t="shared" si="42"/>
        <v>0.25289017341040476</v>
      </c>
      <c r="X21" s="786">
        <f t="shared" si="43"/>
        <v>0.3641891891891893</v>
      </c>
      <c r="Y21" s="788">
        <f t="shared" si="44"/>
        <v>0.62071284465366272</v>
      </c>
      <c r="Z21" s="787">
        <f t="shared" si="45"/>
        <v>0.11544896820970441</v>
      </c>
      <c r="AA21" s="786">
        <f t="shared" si="46"/>
        <v>5.2657709347782911E-2</v>
      </c>
      <c r="AB21" s="786">
        <f t="shared" si="47"/>
        <v>6.2022348787184045E-2</v>
      </c>
      <c r="AC21" s="786">
        <f t="shared" si="48"/>
        <v>7.4498270844624015E-2</v>
      </c>
      <c r="AD21" s="786">
        <f t="shared" si="49"/>
        <v>8.2088481036937777E-2</v>
      </c>
      <c r="AE21" s="736"/>
      <c r="AF21" s="786"/>
      <c r="AG21" s="786"/>
      <c r="AH21" s="786">
        <f t="shared" si="50"/>
        <v>-0.13878020713463746</v>
      </c>
      <c r="AI21" s="786">
        <f t="shared" si="50"/>
        <v>0.63735970069481573</v>
      </c>
      <c r="AJ21" s="786">
        <f t="shared" si="50"/>
        <v>0.2146237963114086</v>
      </c>
      <c r="AK21" s="781">
        <f t="shared" si="50"/>
        <v>-0.17441547970975557</v>
      </c>
      <c r="AL21" s="689">
        <f t="shared" si="52"/>
        <v>0.32861328124999933</v>
      </c>
      <c r="AM21" s="689">
        <f t="shared" si="53"/>
        <v>6.8632780230283075E-2</v>
      </c>
    </row>
    <row r="22" spans="1:39" s="470" customFormat="1" collapsed="1" x14ac:dyDescent="0.25">
      <c r="A22" s="766" t="s">
        <v>216</v>
      </c>
      <c r="C22" s="767"/>
      <c r="D22" s="767"/>
      <c r="E22" s="767"/>
      <c r="F22" s="768"/>
      <c r="G22" s="769">
        <f t="shared" ref="G22" si="54">+G12/C12-1</f>
        <v>1.0502611977718512E-2</v>
      </c>
      <c r="H22" s="769">
        <f t="shared" ref="H22" si="55">+H12/D12-1</f>
        <v>-0.13671980990125066</v>
      </c>
      <c r="I22" s="769">
        <f t="shared" ref="I22" si="56">+I12/E12-1</f>
        <v>0.10510709466829327</v>
      </c>
      <c r="J22" s="770">
        <f t="shared" ref="J22" si="57">+J12/F12-1</f>
        <v>0.23564606519851616</v>
      </c>
      <c r="K22" s="769">
        <f t="shared" si="38"/>
        <v>0.19154810130008393</v>
      </c>
      <c r="L22" s="769">
        <f t="shared" si="38"/>
        <v>0.66512053184498021</v>
      </c>
      <c r="M22" s="769">
        <f t="shared" si="38"/>
        <v>0.41007325739519507</v>
      </c>
      <c r="N22" s="770">
        <f t="shared" si="38"/>
        <v>0.35765024529844802</v>
      </c>
      <c r="O22" s="769">
        <f t="shared" si="38"/>
        <v>0.43772999167108351</v>
      </c>
      <c r="P22" s="769">
        <f t="shared" si="38"/>
        <v>0.15292347820118302</v>
      </c>
      <c r="Q22" s="769">
        <f t="shared" si="38"/>
        <v>6.8020967817200351E-2</v>
      </c>
      <c r="R22" s="769">
        <f t="shared" si="38"/>
        <v>2.9642594997381089E-4</v>
      </c>
      <c r="S22" s="989">
        <f t="shared" si="38"/>
        <v>-7.5631579778914104E-2</v>
      </c>
      <c r="T22" s="769">
        <f t="shared" si="39"/>
        <v>-8.06009098982442E-2</v>
      </c>
      <c r="U22" s="769">
        <f t="shared" si="40"/>
        <v>-2.7293117007951895E-2</v>
      </c>
      <c r="V22" s="769">
        <f t="shared" si="41"/>
        <v>-4.7193019591241669E-2</v>
      </c>
      <c r="W22" s="989">
        <f t="shared" si="42"/>
        <v>-3.4776663628076632E-2</v>
      </c>
      <c r="X22" s="769">
        <f t="shared" si="43"/>
        <v>-4.1496910665623776E-3</v>
      </c>
      <c r="Y22" s="772">
        <f t="shared" si="44"/>
        <v>-6.2136910822303548E-3</v>
      </c>
      <c r="Z22" s="770">
        <f t="shared" si="45"/>
        <v>2.7984712018893187E-2</v>
      </c>
      <c r="AA22" s="769">
        <f t="shared" si="46"/>
        <v>5.2657709347782911E-2</v>
      </c>
      <c r="AB22" s="769">
        <f t="shared" si="47"/>
        <v>6.2022348787184045E-2</v>
      </c>
      <c r="AC22" s="769">
        <f t="shared" si="48"/>
        <v>7.4498270844624015E-2</v>
      </c>
      <c r="AD22" s="769">
        <f t="shared" si="49"/>
        <v>8.2088481036937999E-2</v>
      </c>
      <c r="AE22" s="767"/>
      <c r="AF22" s="769"/>
      <c r="AG22" s="769">
        <f>+AG13</f>
        <v>7.8E-2</v>
      </c>
      <c r="AH22" s="769">
        <f t="shared" si="50"/>
        <v>5.684698204733829E-2</v>
      </c>
      <c r="AI22" s="769">
        <f t="shared" si="50"/>
        <v>0.39897751957168204</v>
      </c>
      <c r="AJ22" s="769">
        <f t="shared" si="50"/>
        <v>0.13720158080570544</v>
      </c>
      <c r="AK22" s="772">
        <f>+AK12/AJ12-1</f>
        <v>-5.7111958549325048E-2</v>
      </c>
      <c r="AL22" s="769">
        <f t="shared" si="52"/>
        <v>-3.2069728148321763E-3</v>
      </c>
      <c r="AM22" s="769">
        <f t="shared" si="53"/>
        <v>6.8689863971036713E-2</v>
      </c>
    </row>
    <row r="23" spans="1:39" s="470" customFormat="1" x14ac:dyDescent="0.25">
      <c r="A23" s="766" t="s">
        <v>123</v>
      </c>
      <c r="C23" s="767"/>
      <c r="D23" s="767"/>
      <c r="E23" s="767"/>
      <c r="F23" s="768"/>
      <c r="G23" s="769">
        <f t="shared" ref="G23:AC23" si="58">+G12/F12-1</f>
        <v>-0.12511642592154038</v>
      </c>
      <c r="H23" s="769">
        <f t="shared" si="58"/>
        <v>-5.2743168018477338E-2</v>
      </c>
      <c r="I23" s="769">
        <f t="shared" si="58"/>
        <v>0.30273446801215309</v>
      </c>
      <c r="J23" s="770">
        <f t="shared" si="58"/>
        <v>0.14451154425419244</v>
      </c>
      <c r="K23" s="769">
        <f t="shared" si="58"/>
        <v>-0.15633943172526543</v>
      </c>
      <c r="L23" s="769">
        <f t="shared" si="58"/>
        <v>0.32373741197849637</v>
      </c>
      <c r="M23" s="769">
        <f t="shared" si="58"/>
        <v>0.10319403292416451</v>
      </c>
      <c r="N23" s="770">
        <f t="shared" si="58"/>
        <v>0.10196145530339651</v>
      </c>
      <c r="O23" s="769">
        <f t="shared" si="58"/>
        <v>-0.10657689195038933</v>
      </c>
      <c r="P23" s="769">
        <f t="shared" si="58"/>
        <v>6.1512210279069501E-2</v>
      </c>
      <c r="Q23" s="769">
        <f t="shared" si="58"/>
        <v>2.195365174810604E-2</v>
      </c>
      <c r="R23" s="769">
        <f t="shared" si="58"/>
        <v>3.2084704785762197E-2</v>
      </c>
      <c r="S23" s="989">
        <f t="shared" si="58"/>
        <v>-0.17439262447376458</v>
      </c>
      <c r="T23" s="769">
        <f t="shared" si="58"/>
        <v>5.5805606198723767E-2</v>
      </c>
      <c r="U23" s="769">
        <f t="shared" si="58"/>
        <v>8.1207673420931936E-2</v>
      </c>
      <c r="V23" s="769">
        <f t="shared" si="58"/>
        <v>1.0970034537142404E-2</v>
      </c>
      <c r="W23" s="989">
        <f t="shared" si="58"/>
        <v>-0.16363385037667477</v>
      </c>
      <c r="X23" s="769">
        <f t="shared" si="58"/>
        <v>8.9306795107900072E-2</v>
      </c>
      <c r="Y23" s="772">
        <f t="shared" si="58"/>
        <v>7.8966761674596153E-2</v>
      </c>
      <c r="Z23" s="770">
        <f t="shared" si="58"/>
        <v>4.5759767957708863E-2</v>
      </c>
      <c r="AA23" s="769">
        <f t="shared" si="58"/>
        <v>-0.14355995284263168</v>
      </c>
      <c r="AB23" s="769">
        <f t="shared" si="58"/>
        <v>9.8997471654025837E-2</v>
      </c>
      <c r="AC23" s="769">
        <f t="shared" si="58"/>
        <v>9.1641735263045421E-2</v>
      </c>
      <c r="AD23" s="769">
        <f>+AD12/AC12-1</f>
        <v>5.3146970585057129E-2</v>
      </c>
      <c r="AE23" s="767"/>
      <c r="AF23" s="769"/>
      <c r="AG23" s="769"/>
      <c r="AH23" s="769"/>
      <c r="AI23" s="769"/>
      <c r="AJ23" s="769"/>
      <c r="AK23" s="772"/>
      <c r="AL23" s="769"/>
      <c r="AM23" s="769"/>
    </row>
    <row r="24" spans="1:39" s="470" customFormat="1" x14ac:dyDescent="0.25">
      <c r="A24" s="766"/>
      <c r="C24" s="767"/>
      <c r="D24" s="767"/>
      <c r="E24" s="767"/>
      <c r="F24" s="768"/>
      <c r="G24" s="769"/>
      <c r="H24" s="769"/>
      <c r="I24" s="769"/>
      <c r="J24" s="770"/>
      <c r="K24" s="769"/>
      <c r="L24" s="769"/>
      <c r="M24" s="769"/>
      <c r="N24" s="770"/>
      <c r="O24" s="769"/>
      <c r="P24" s="769"/>
      <c r="Q24" s="769"/>
      <c r="R24" s="769"/>
      <c r="S24" s="989"/>
      <c r="T24" s="769"/>
      <c r="U24" s="769"/>
      <c r="V24" s="769"/>
      <c r="W24" s="989"/>
      <c r="X24" s="769"/>
      <c r="Y24" s="772"/>
      <c r="Z24" s="770"/>
      <c r="AA24" s="769"/>
      <c r="AB24" s="769"/>
      <c r="AC24" s="769"/>
      <c r="AD24" s="769"/>
      <c r="AE24" s="767"/>
      <c r="AF24" s="769"/>
      <c r="AG24" s="769"/>
      <c r="AH24" s="769"/>
      <c r="AI24" s="769"/>
      <c r="AJ24" s="769"/>
      <c r="AK24" s="812"/>
      <c r="AL24" s="767"/>
      <c r="AM24" s="767"/>
    </row>
    <row r="25" spans="1:39" ht="12" x14ac:dyDescent="0.3">
      <c r="A25" s="782" t="s">
        <v>220</v>
      </c>
      <c r="B25" s="470"/>
      <c r="C25" s="736"/>
      <c r="D25" s="736"/>
      <c r="E25" s="736"/>
      <c r="F25" s="752"/>
      <c r="G25" s="690"/>
      <c r="H25" s="689"/>
      <c r="I25" s="689"/>
      <c r="J25" s="779"/>
      <c r="K25" s="690"/>
      <c r="L25" s="689"/>
      <c r="M25" s="689"/>
      <c r="N25" s="779"/>
      <c r="O25" s="689"/>
      <c r="P25" s="689"/>
      <c r="Q25" s="689"/>
      <c r="R25" s="689"/>
      <c r="S25" s="991"/>
      <c r="T25" s="689"/>
      <c r="U25" s="736"/>
      <c r="V25" s="736"/>
      <c r="W25" s="986"/>
      <c r="X25" s="689"/>
      <c r="Y25" s="754"/>
      <c r="Z25" s="752"/>
      <c r="AA25" s="736"/>
      <c r="AB25" s="736"/>
      <c r="AC25" s="736"/>
      <c r="AD25" s="736"/>
      <c r="AE25" s="736"/>
      <c r="AF25" s="736"/>
      <c r="AG25" s="736"/>
      <c r="AH25" s="736"/>
      <c r="AI25" s="736"/>
      <c r="AJ25" s="689"/>
      <c r="AK25" s="781"/>
      <c r="AL25" s="689"/>
      <c r="AM25" s="689"/>
    </row>
    <row r="26" spans="1:39" ht="12" x14ac:dyDescent="0.3">
      <c r="A26" s="778" t="s">
        <v>213</v>
      </c>
      <c r="B26" s="470"/>
      <c r="C26" s="736"/>
      <c r="D26" s="736"/>
      <c r="E26" s="736"/>
      <c r="F26" s="752"/>
      <c r="G26" s="689"/>
      <c r="H26" s="689"/>
      <c r="I26" s="689"/>
      <c r="J26" s="779"/>
      <c r="K26" s="689">
        <f t="shared" ref="K26" si="59">+K168</f>
        <v>0.18577766923108241</v>
      </c>
      <c r="L26" s="689">
        <f>+L168</f>
        <v>0.55293018713710995</v>
      </c>
      <c r="M26" s="689">
        <f t="shared" ref="M26:P26" si="60">+M168</f>
        <v>0.2641204863347566</v>
      </c>
      <c r="N26" s="779">
        <f t="shared" si="60"/>
        <v>0.26222958960736298</v>
      </c>
      <c r="O26" s="689">
        <f t="shared" si="60"/>
        <v>0.31550581854381932</v>
      </c>
      <c r="P26" s="689">
        <f t="shared" si="60"/>
        <v>0.10930280246069723</v>
      </c>
      <c r="Q26" s="689">
        <f>+Q168</f>
        <v>5.5179528470422623E-2</v>
      </c>
      <c r="R26" s="689">
        <f>+R168</f>
        <v>5.8044979383065076E-4</v>
      </c>
      <c r="S26" s="991">
        <f>+S168</f>
        <v>-5.0047473889360705E-2</v>
      </c>
      <c r="T26" s="689">
        <f t="shared" ref="T26:U26" si="61">+T168</f>
        <v>-4.6514763381421242E-2</v>
      </c>
      <c r="U26" s="689">
        <f t="shared" si="61"/>
        <v>-5.559625420947234E-3</v>
      </c>
      <c r="V26" s="689">
        <f>+V168</f>
        <v>-4.2552965256918096E-2</v>
      </c>
      <c r="W26" s="991">
        <f t="shared" ref="W26:X26" si="62">+W168</f>
        <v>-3.8038617351502046E-2</v>
      </c>
      <c r="X26" s="689">
        <f t="shared" si="62"/>
        <v>-2.2184384258860934E-2</v>
      </c>
      <c r="Y26" s="781">
        <f t="shared" ref="Y26" si="63">+Y168</f>
        <v>-2.4720811606057547E-2</v>
      </c>
      <c r="Z26" s="942">
        <v>0.03</v>
      </c>
      <c r="AA26" s="941">
        <v>0.05</v>
      </c>
      <c r="AB26" s="941">
        <v>0.06</v>
      </c>
      <c r="AC26" s="941">
        <v>7.0000000000000007E-2</v>
      </c>
      <c r="AD26" s="941">
        <v>0.08</v>
      </c>
      <c r="AE26" s="736"/>
      <c r="AF26" s="689"/>
      <c r="AG26" s="689"/>
      <c r="AH26" s="689"/>
      <c r="AI26" s="690" t="s">
        <v>126</v>
      </c>
      <c r="AJ26" s="689">
        <f>+'FA - Detailed Disclosure'!AL148/'FA - Detailed Disclosure'!AK97-1</f>
        <v>0.10133799239923702</v>
      </c>
      <c r="AK26" s="781">
        <f>+SUMPRODUCT(S26:V26,O9:R9)/AJ9</f>
        <v>-3.5877472602591921E-2</v>
      </c>
      <c r="AL26" s="689">
        <f>+SUMPRODUCT(W26:Z26,S9:V9)/AK9</f>
        <v>-1.229627054380353E-2</v>
      </c>
      <c r="AM26" s="689">
        <f>+SUMPRODUCT(AA26:AD26,W9:Z9)/AL9</f>
        <v>6.5952447807203163E-2</v>
      </c>
    </row>
    <row r="27" spans="1:39" s="789" customFormat="1" ht="13.5" x14ac:dyDescent="0.45">
      <c r="A27" s="778" t="s">
        <v>214</v>
      </c>
      <c r="B27" s="783"/>
      <c r="C27" s="784"/>
      <c r="D27" s="784"/>
      <c r="E27" s="784"/>
      <c r="F27" s="785"/>
      <c r="G27" s="786"/>
      <c r="H27" s="786"/>
      <c r="I27" s="786"/>
      <c r="J27" s="787"/>
      <c r="K27" s="786">
        <f t="shared" ref="K27" si="64">+K176</f>
        <v>0.17008843448732835</v>
      </c>
      <c r="L27" s="786">
        <f>+L176</f>
        <v>0.9601704496043133</v>
      </c>
      <c r="M27" s="786">
        <f t="shared" ref="M27:P27" si="65">+M176</f>
        <v>1.1978984238178634</v>
      </c>
      <c r="N27" s="787">
        <f t="shared" si="65"/>
        <v>0.75791737743825593</v>
      </c>
      <c r="O27" s="786">
        <f t="shared" si="65"/>
        <v>0.49148653544257925</v>
      </c>
      <c r="P27" s="786">
        <f t="shared" si="65"/>
        <v>0.17101063829787222</v>
      </c>
      <c r="Q27" s="786">
        <f>+Q176</f>
        <v>-1.8401460879337028E-2</v>
      </c>
      <c r="R27" s="786">
        <f>+R176</f>
        <v>-6.6410676066977037E-2</v>
      </c>
      <c r="S27" s="992">
        <f>+S176</f>
        <v>-0.15172804889575009</v>
      </c>
      <c r="T27" s="786">
        <f t="shared" ref="T27:U27" si="66">+T176</f>
        <v>-0.23816729209538789</v>
      </c>
      <c r="U27" s="786">
        <f t="shared" si="66"/>
        <v>-0.1978310357910712</v>
      </c>
      <c r="V27" s="786">
        <f>+V176</f>
        <v>-0.18169320655286969</v>
      </c>
      <c r="W27" s="992">
        <f t="shared" ref="W27:X27" si="67">+W176</f>
        <v>-0.11662910495814549</v>
      </c>
      <c r="X27" s="786">
        <f t="shared" si="67"/>
        <v>4.7277402231162835E-3</v>
      </c>
      <c r="Y27" s="788">
        <f t="shared" ref="Y27" si="68">+Y176</f>
        <v>2.3367564425498921E-2</v>
      </c>
      <c r="Z27" s="1494">
        <v>0.03</v>
      </c>
      <c r="AA27" s="1117">
        <v>0.05</v>
      </c>
      <c r="AB27" s="1117">
        <v>0.06</v>
      </c>
      <c r="AC27" s="1117">
        <v>7.0000000000000007E-2</v>
      </c>
      <c r="AD27" s="1117">
        <v>0.08</v>
      </c>
      <c r="AE27" s="784"/>
      <c r="AF27" s="786"/>
      <c r="AG27" s="786"/>
      <c r="AH27" s="786"/>
      <c r="AI27" s="790" t="s">
        <v>126</v>
      </c>
      <c r="AJ27" s="786">
        <f>+'FA - Detailed Disclosure'!AL154/'FA - Detailed Disclosure'!AK98-1</f>
        <v>9.404520695734564E-2</v>
      </c>
      <c r="AK27" s="788">
        <f>+SUMPRODUCT(S27:V27,O10:R10)/AJ10</f>
        <v>-0.19331973898858074</v>
      </c>
      <c r="AL27" s="786">
        <f>+SUMPRODUCT(W27:Z27,S10:V10)/AK10</f>
        <v>-1.568764135452486E-2</v>
      </c>
      <c r="AM27" s="786">
        <f>+SUMPRODUCT(AA27:AD27,W10:Z10)/AL10</f>
        <v>6.5198509019387799E-2</v>
      </c>
    </row>
    <row r="28" spans="1:39" ht="12" hidden="1" outlineLevel="1" x14ac:dyDescent="0.3">
      <c r="A28" s="778" t="s">
        <v>215</v>
      </c>
      <c r="B28" s="470"/>
      <c r="C28" s="736"/>
      <c r="D28" s="736"/>
      <c r="E28" s="736"/>
      <c r="F28" s="752"/>
      <c r="G28" s="786"/>
      <c r="H28" s="786"/>
      <c r="I28" s="786"/>
      <c r="J28" s="787"/>
      <c r="K28" s="786">
        <f>+'FA - Historical Financials'!K11/'FA - Historical Financials'!G11-1</f>
        <v>8.2002129925452305E-2</v>
      </c>
      <c r="L28" s="786">
        <f>+'FA - Historical Financials'!L11/'FA - Historical Financials'!H11-1</f>
        <v>1.1734265734265734</v>
      </c>
      <c r="M28" s="786">
        <f>+'FA - Historical Financials'!M11/'FA - Historical Financials'!I11-1</f>
        <v>0.75257731958762886</v>
      </c>
      <c r="N28" s="787">
        <f>+'FA - Historical Financials'!N11/'FA - Historical Financials'!J11-1</f>
        <v>0.66100178890876649</v>
      </c>
      <c r="O28" s="786">
        <f>+'FA - Historical Financials'!O11/'FA - Historical Financials'!K11-1</f>
        <v>0.91732283464566922</v>
      </c>
      <c r="P28" s="786">
        <f>+'FA - Historical Financials'!P11/'FA - Historical Financials'!L11-1</f>
        <v>0.33462033462033447</v>
      </c>
      <c r="Q28" s="786">
        <f>+'FA - Detailed Disclosure'!Q160/'FA - Detailed Disclosure'!M99-1</f>
        <v>-3.4705882352941142E-2</v>
      </c>
      <c r="R28" s="786">
        <f>+'FA - Detailed Disclosure'!R160/'FA - Detailed Disclosure'!N99-1</f>
        <v>-0.15024232633279477</v>
      </c>
      <c r="S28" s="992">
        <f>+'FA - Detailed Disclosure'!S160/'FA - Detailed Disclosure'!O99-1</f>
        <v>-0.31673511293634493</v>
      </c>
      <c r="T28" s="786">
        <f>+'FA - Detailed Disclosure'!T160/'FA - Detailed Disclosure'!P99-1</f>
        <v>-0.30617164898746374</v>
      </c>
      <c r="U28" s="786">
        <f>+'FA - Detailed Disclosure'!U160/'FA - Detailed Disclosure'!Q99-1</f>
        <v>-0.15291402192729364</v>
      </c>
      <c r="V28" s="786">
        <f>+'FA - Detailed Disclosure'!V160/'FA - Detailed Disclosure'!R99-1</f>
        <v>5.5720213396561968E-2</v>
      </c>
      <c r="W28" s="786">
        <f>+'FA - Detailed Disclosure'!W160/'FA - Detailed Disclosure'!S99-1</f>
        <v>0.24566473988439319</v>
      </c>
      <c r="X28" s="786">
        <f>+'FA - Detailed Disclosure'!X160/'FA - Detailed Disclosure'!T99-1</f>
        <v>0.34932432432432448</v>
      </c>
      <c r="Y28" s="788"/>
      <c r="Z28" s="942"/>
      <c r="AA28" s="941"/>
      <c r="AB28" s="941"/>
      <c r="AC28" s="941"/>
      <c r="AD28" s="941"/>
      <c r="AE28" s="736"/>
      <c r="AF28" s="786"/>
      <c r="AG28" s="786"/>
      <c r="AH28" s="786"/>
      <c r="AI28" s="786"/>
      <c r="AJ28" s="786">
        <f>+'FA - Detailed Disclosure'!AL160/'FA - Detailed Disclosure'!AK99-1</f>
        <v>0.16174310429247596</v>
      </c>
      <c r="AK28" s="781">
        <f>+SUMPRODUCT(S28:V28,O11:R11)/AJ11</f>
        <v>-0.19121203977425416</v>
      </c>
      <c r="AL28" s="689">
        <f>+SUMPRODUCT(W28:Z28,S11:V11)/AK11</f>
        <v>0.1394856770833334</v>
      </c>
      <c r="AM28" s="689">
        <f>+SUMPRODUCT(AA28:AD28,W11:Z11)/AL11</f>
        <v>0</v>
      </c>
    </row>
    <row r="29" spans="1:39" s="470" customFormat="1" collapsed="1" x14ac:dyDescent="0.25">
      <c r="A29" s="766" t="s">
        <v>216</v>
      </c>
      <c r="C29" s="767"/>
      <c r="D29" s="767"/>
      <c r="E29" s="767"/>
      <c r="F29" s="768"/>
      <c r="G29" s="769">
        <f>+G13-G399</f>
        <v>7.7305631828704403E-3</v>
      </c>
      <c r="H29" s="769">
        <f>+H13-H399</f>
        <v>-0.13268348470213548</v>
      </c>
      <c r="I29" s="773">
        <f>+I13-I399</f>
        <v>0.10297242943574247</v>
      </c>
      <c r="J29" s="774">
        <f>+J13-J399</f>
        <v>0.23371278158281353</v>
      </c>
      <c r="K29" s="769">
        <v>0.192</v>
      </c>
      <c r="L29" s="769">
        <f>+'FA - Detailed Disclosure'!L166/'FA - Detailed Disclosure'!H100-1</f>
        <v>0.59330622041469439</v>
      </c>
      <c r="M29" s="773">
        <f>+'FA - Detailed Disclosure'!M166/'FA - Detailed Disclosure'!I100-1</f>
        <v>0.34251853368231733</v>
      </c>
      <c r="N29" s="774">
        <f>+'FA - Detailed Disclosure'!N166/'FA - Detailed Disclosure'!J100-1</f>
        <v>0.30207481602616504</v>
      </c>
      <c r="O29" s="773">
        <f>+'FA - Detailed Disclosure'!O166/'FA - Detailed Disclosure'!K100-1</f>
        <v>0.33294465056409495</v>
      </c>
      <c r="P29" s="773">
        <f>+'FA - Detailed Disclosure'!P166/'FA - Detailed Disclosure'!L100-1</f>
        <v>0.11791724343061083</v>
      </c>
      <c r="Q29" s="773">
        <f>+'FA - Detailed Disclosure'!Q166/'FA - Detailed Disclosure'!M100-1</f>
        <v>4.2303763733557265E-2</v>
      </c>
      <c r="R29" s="769">
        <f>+'FA - Detailed Disclosure'!R166/'FA - Detailed Disclosure'!N100-1</f>
        <v>-8.116424820732937E-3</v>
      </c>
      <c r="S29" s="989">
        <f>+'FA - Detailed Disclosure'!S166/'FA - Detailed Disclosure'!O100-1</f>
        <v>-6.4308698605968884E-2</v>
      </c>
      <c r="T29" s="769">
        <f>+'FA - Detailed Disclosure'!T166/'FA - Detailed Disclosure'!P100-1</f>
        <v>-7.5262575597461856E-2</v>
      </c>
      <c r="U29" s="769">
        <f>+'FA - Detailed Disclosure'!U166/'FA - Detailed Disclosure'!Q100-1</f>
        <v>-3.3842105774178677E-2</v>
      </c>
      <c r="V29" s="769">
        <f>+SUMPRODUCT(V26:V27,R9:R10)/SUM(R9:R10)</f>
        <v>-5.9557032321893612E-2</v>
      </c>
      <c r="W29" s="989">
        <v>-5.0999999999999997E-2</v>
      </c>
      <c r="X29" s="769">
        <v>-2.1999999999999999E-2</v>
      </c>
      <c r="Y29" s="772">
        <v>-1.7999999999999999E-2</v>
      </c>
      <c r="Z29" s="1495">
        <f>+SUMPRODUCT(Z26:Z27,V9:V10)/SUM(V9:V10)</f>
        <v>0.03</v>
      </c>
      <c r="AA29" s="1120">
        <f t="shared" ref="AA29:AD29" si="69">+SUMPRODUCT(AA26:AA27,W9:W10)/SUM(W9:W10)</f>
        <v>0.05</v>
      </c>
      <c r="AB29" s="1120">
        <f t="shared" si="69"/>
        <v>5.9999999999999991E-2</v>
      </c>
      <c r="AC29" s="1120">
        <f t="shared" si="69"/>
        <v>7.0000000000000007E-2</v>
      </c>
      <c r="AD29" s="1120">
        <f t="shared" si="69"/>
        <v>0.08</v>
      </c>
      <c r="AE29" s="767"/>
      <c r="AF29" s="771"/>
      <c r="AG29" s="769">
        <f>+AG22-AG399</f>
        <v>8.2981677786642408E-2</v>
      </c>
      <c r="AH29" s="769">
        <f>+SUMPRODUCT(G29:J29,C12:F12)/AG12</f>
        <v>5.6178009511735218E-2</v>
      </c>
      <c r="AI29" s="769">
        <f>+JPM!X13</f>
        <v>0.35038711273995687</v>
      </c>
      <c r="AJ29" s="777">
        <f>+'FA - Detailed Disclosure'!AL166/'FA - Detailed Disclosure'!AK100-1</f>
        <v>9.9651127692880204E-2</v>
      </c>
      <c r="AK29" s="776">
        <f>+SUMPRODUCT(S29:V29,O12:R12)/AJ12</f>
        <v>-5.8039743669590776E-2</v>
      </c>
      <c r="AL29" s="777">
        <f>+SUMPRODUCT(W29:Z29,S12:V12)/AK12</f>
        <v>-1.3823882078294126E-2</v>
      </c>
      <c r="AM29" s="777">
        <f>+SUMPRODUCT(AA29:AD29,W12:Z12)/AL12</f>
        <v>6.5860468374287551E-2</v>
      </c>
    </row>
    <row r="30" spans="1:39" s="470" customFormat="1" x14ac:dyDescent="0.25">
      <c r="A30" s="766" t="s">
        <v>123</v>
      </c>
      <c r="C30" s="767"/>
      <c r="D30" s="767"/>
      <c r="E30" s="767"/>
      <c r="F30" s="768"/>
      <c r="G30" s="769">
        <f t="shared" ref="G30" si="70">+G23+G416-G186/F12</f>
        <v>-0.12588171614834517</v>
      </c>
      <c r="H30" s="769">
        <f t="shared" ref="H30" si="71">+H23+H416-H186/G12</f>
        <v>-5.5420978967437244E-2</v>
      </c>
      <c r="I30" s="773">
        <f t="shared" ref="I30" si="72">+I23+I416-I186/H12</f>
        <v>0.30597153695106238</v>
      </c>
      <c r="J30" s="774">
        <f t="shared" ref="J30" si="73">+J23+J416-J186/I12</f>
        <v>0.14596437372187154</v>
      </c>
      <c r="K30" s="769">
        <f t="shared" ref="K30" si="74">+K23+K416-K186/J12</f>
        <v>-0.15305567888309818</v>
      </c>
      <c r="L30" s="773">
        <f t="shared" ref="L30:N30" si="75">+L23+L416-L186/K12</f>
        <v>0.32451184840929903</v>
      </c>
      <c r="M30" s="773">
        <f t="shared" si="75"/>
        <v>0.10093241923959298</v>
      </c>
      <c r="N30" s="774">
        <f t="shared" si="75"/>
        <v>9.5792553216010198E-2</v>
      </c>
      <c r="O30" s="773">
        <f>+O23+O416-O186/N12</f>
        <v>-0.13676968244761434</v>
      </c>
      <c r="P30" s="773">
        <f t="shared" ref="P30:AD30" si="76">+P23+P416-P186/O12</f>
        <v>5.3707182079853463E-2</v>
      </c>
      <c r="Q30" s="773">
        <f t="shared" si="76"/>
        <v>1.4435582631464874E-2</v>
      </c>
      <c r="R30" s="769">
        <f t="shared" si="76"/>
        <v>3.1589291606284514E-2</v>
      </c>
      <c r="S30" s="989">
        <f t="shared" si="76"/>
        <v>-0.17058059880775103</v>
      </c>
      <c r="T30" s="769">
        <f t="shared" si="76"/>
        <v>5.8204218436535463E-2</v>
      </c>
      <c r="U30" s="769">
        <f t="shared" si="76"/>
        <v>7.7221021472540952E-2</v>
      </c>
      <c r="V30" s="769">
        <f t="shared" si="76"/>
        <v>3.103360230935469E-3</v>
      </c>
      <c r="W30" s="989">
        <f t="shared" si="76"/>
        <v>-0.16199250982173832</v>
      </c>
      <c r="X30" s="769">
        <f t="shared" si="76"/>
        <v>8.8630375042550891E-2</v>
      </c>
      <c r="Y30" s="772">
        <f t="shared" si="76"/>
        <v>8.1542601044661295E-2</v>
      </c>
      <c r="Z30" s="1495">
        <f t="shared" si="76"/>
        <v>4.4154548698592505E-2</v>
      </c>
      <c r="AA30" s="1120">
        <f t="shared" si="76"/>
        <v>-0.1461432245706891</v>
      </c>
      <c r="AB30" s="1120">
        <f t="shared" si="76"/>
        <v>9.8997471654025837E-2</v>
      </c>
      <c r="AC30" s="1120">
        <f t="shared" si="76"/>
        <v>9.1641735263045421E-2</v>
      </c>
      <c r="AD30" s="1120">
        <f t="shared" si="76"/>
        <v>5.3146970585057129E-2</v>
      </c>
      <c r="AE30" s="767"/>
      <c r="AF30" s="771"/>
      <c r="AG30" s="769"/>
      <c r="AH30" s="769"/>
      <c r="AI30" s="769"/>
      <c r="AJ30" s="777"/>
      <c r="AK30" s="776"/>
      <c r="AL30" s="777"/>
      <c r="AM30" s="777"/>
    </row>
    <row r="31" spans="1:39" s="470" customFormat="1" ht="12" x14ac:dyDescent="0.3">
      <c r="A31" s="766"/>
      <c r="C31" s="767"/>
      <c r="D31" s="767"/>
      <c r="E31" s="767"/>
      <c r="F31" s="768"/>
      <c r="G31" s="769"/>
      <c r="H31" s="769"/>
      <c r="I31" s="773"/>
      <c r="J31" s="774"/>
      <c r="K31" s="769"/>
      <c r="L31" s="769"/>
      <c r="M31" s="773"/>
      <c r="N31" s="774"/>
      <c r="O31" s="773"/>
      <c r="P31" s="773"/>
      <c r="Q31" s="773"/>
      <c r="R31" s="767"/>
      <c r="S31" s="993"/>
      <c r="T31" s="767"/>
      <c r="U31" s="767"/>
      <c r="V31" s="767"/>
      <c r="W31" s="993"/>
      <c r="X31" s="767"/>
      <c r="Y31" s="812"/>
      <c r="Z31" s="768"/>
      <c r="AA31" s="767"/>
      <c r="AB31" s="767"/>
      <c r="AC31" s="767"/>
      <c r="AD31" s="767"/>
      <c r="AE31" s="767"/>
      <c r="AF31" s="769"/>
      <c r="AG31" s="769"/>
      <c r="AH31" s="769"/>
      <c r="AI31" s="769"/>
      <c r="AJ31" s="689"/>
      <c r="AK31" s="781"/>
      <c r="AL31" s="767"/>
      <c r="AM31" s="767"/>
    </row>
    <row r="32" spans="1:39" ht="12" hidden="1" outlineLevel="1" x14ac:dyDescent="0.3">
      <c r="A32" s="778" t="s">
        <v>221</v>
      </c>
      <c r="B32" s="470"/>
      <c r="C32" s="736"/>
      <c r="D32" s="736"/>
      <c r="E32" s="736"/>
      <c r="F32" s="752"/>
      <c r="G32" s="690" t="s">
        <v>126</v>
      </c>
      <c r="H32" s="689" t="s">
        <v>126</v>
      </c>
      <c r="I32" s="689" t="s">
        <v>126</v>
      </c>
      <c r="J32" s="779" t="s">
        <v>126</v>
      </c>
      <c r="K32" s="690" t="s">
        <v>126</v>
      </c>
      <c r="L32" s="689">
        <f>+('FA - Detailed Disclosure'!L150+'FA - Detailed Disclosure'!L163)/'FA - Historical Financials'!H10-1</f>
        <v>1.5810940081746239</v>
      </c>
      <c r="M32" s="689">
        <f>+('FA - Detailed Disclosure'!M150+'FA - Detailed Disclosure'!M163)/'FA - Historical Financials'!I10-1</f>
        <v>1.9351180051705446</v>
      </c>
      <c r="N32" s="779">
        <f>+('FA - Detailed Disclosure'!N150+'FA - Detailed Disclosure'!N163)/'FA - Historical Financials'!J10-1</f>
        <v>1.3505154639175263</v>
      </c>
      <c r="O32" s="689">
        <f>+('FA - Detailed Disclosure'!O150+'FA - Detailed Disclosure'!O163)/'FA - Historical Financials'!K10-1</f>
        <v>0.97451998550899632</v>
      </c>
      <c r="P32" s="689">
        <f>+('FA - Detailed Disclosure'!P150+'FA - Detailed Disclosure'!P163)/'FA - Historical Financials'!L10-1</f>
        <v>0.17101063829787222</v>
      </c>
      <c r="Q32" s="689">
        <f>+'FA - Detailed Disclosure'!Q152/'FA - Historical Financials'!M10-1</f>
        <v>-1.8401460879337028E-2</v>
      </c>
      <c r="R32" s="689">
        <f>+'FA - Detailed Disclosure'!R152/'FA - Historical Financials'!N10-1</f>
        <v>-6.6410676066977037E-2</v>
      </c>
      <c r="S32" s="991">
        <f>+'FA - Detailed Disclosure'!S152/'FA - Historical Financials'!O10-1</f>
        <v>-0.15172804889575009</v>
      </c>
      <c r="T32" s="991">
        <f>+'FA - Detailed Disclosure'!T152/'FA - Historical Financials'!P10-1</f>
        <v>-0.23816729209538789</v>
      </c>
      <c r="U32" s="991">
        <f>+'FA - Detailed Disclosure'!U152/'FA - Historical Financials'!Q10-1</f>
        <v>-0.1978310357910712</v>
      </c>
      <c r="V32" s="991">
        <f>+'FA - Detailed Disclosure'!V152/'FA - Historical Financials'!R10-1</f>
        <v>-0.18169320655286969</v>
      </c>
      <c r="W32" s="991">
        <f>+'FA - Detailed Disclosure'!W152/'FA - Historical Financials'!S10-1</f>
        <v>-0.11662910495814549</v>
      </c>
      <c r="X32" s="991">
        <f>+'FA - Detailed Disclosure'!X152/'FA - Historical Financials'!T10-1</f>
        <v>4.7277402231162835E-3</v>
      </c>
      <c r="Y32" s="2265"/>
      <c r="Z32" s="752"/>
      <c r="AA32" s="736"/>
      <c r="AB32" s="736"/>
      <c r="AC32" s="736"/>
      <c r="AD32" s="736"/>
      <c r="AE32" s="736"/>
      <c r="AF32" s="689"/>
      <c r="AG32" s="690" t="s">
        <v>126</v>
      </c>
      <c r="AH32" s="690" t="s">
        <v>126</v>
      </c>
      <c r="AI32" s="690" t="s">
        <v>126</v>
      </c>
      <c r="AJ32" s="689"/>
      <c r="AK32" s="781"/>
      <c r="AL32" s="689"/>
      <c r="AM32" s="689"/>
    </row>
    <row r="33" spans="1:39" s="470" customFormat="1" ht="12" hidden="1" outlineLevel="1" x14ac:dyDescent="0.3">
      <c r="A33" s="766"/>
      <c r="C33" s="767"/>
      <c r="D33" s="767"/>
      <c r="E33" s="767"/>
      <c r="F33" s="768"/>
      <c r="G33" s="769"/>
      <c r="H33" s="769"/>
      <c r="I33" s="769"/>
      <c r="J33" s="770"/>
      <c r="K33" s="769"/>
      <c r="L33" s="769"/>
      <c r="M33" s="769"/>
      <c r="N33" s="770"/>
      <c r="O33" s="769"/>
      <c r="P33" s="769"/>
      <c r="Q33" s="769"/>
      <c r="R33" s="767"/>
      <c r="S33" s="993"/>
      <c r="T33" s="767"/>
      <c r="U33" s="767"/>
      <c r="V33" s="767"/>
      <c r="W33" s="993"/>
      <c r="X33" s="767"/>
      <c r="Y33" s="812"/>
      <c r="Z33" s="768"/>
      <c r="AA33" s="767"/>
      <c r="AB33" s="767"/>
      <c r="AC33" s="767"/>
      <c r="AD33" s="767"/>
      <c r="AE33" s="767"/>
      <c r="AF33" s="769"/>
      <c r="AG33" s="769"/>
      <c r="AH33" s="769"/>
      <c r="AI33" s="769"/>
      <c r="AJ33" s="689"/>
      <c r="AK33" s="781"/>
      <c r="AL33" s="767"/>
      <c r="AM33" s="767"/>
    </row>
    <row r="34" spans="1:39" ht="12" collapsed="1" x14ac:dyDescent="0.3">
      <c r="A34" s="782" t="s">
        <v>222</v>
      </c>
      <c r="B34" s="470"/>
      <c r="C34" s="736"/>
      <c r="D34" s="736"/>
      <c r="E34" s="736"/>
      <c r="F34" s="752"/>
      <c r="G34" s="736"/>
      <c r="H34" s="736"/>
      <c r="I34" s="736"/>
      <c r="J34" s="752"/>
      <c r="K34" s="736"/>
      <c r="L34" s="736"/>
      <c r="M34" s="736"/>
      <c r="N34" s="752"/>
      <c r="O34" s="736"/>
      <c r="P34" s="736"/>
      <c r="Q34" s="769"/>
      <c r="R34" s="736"/>
      <c r="S34" s="986"/>
      <c r="T34" s="736"/>
      <c r="U34" s="736"/>
      <c r="V34" s="736"/>
      <c r="W34" s="986"/>
      <c r="X34" s="736"/>
      <c r="Y34" s="754"/>
      <c r="Z34" s="752"/>
      <c r="AA34" s="736"/>
      <c r="AB34" s="736"/>
      <c r="AC34" s="736"/>
      <c r="AD34" s="736"/>
      <c r="AE34" s="736"/>
      <c r="AF34" s="736"/>
      <c r="AG34" s="736"/>
      <c r="AH34" s="736"/>
      <c r="AI34" s="736"/>
      <c r="AJ34" s="689"/>
      <c r="AK34" s="781"/>
      <c r="AL34" s="689"/>
      <c r="AM34" s="689"/>
    </row>
    <row r="35" spans="1:39" ht="12" x14ac:dyDescent="0.3">
      <c r="A35" s="778" t="str">
        <f>+'FA - Detailed Disclosure'!A131</f>
        <v>Change in Existing Customers</v>
      </c>
      <c r="B35" s="470"/>
      <c r="C35" s="736"/>
      <c r="D35" s="736"/>
      <c r="E35" s="736"/>
      <c r="F35" s="752"/>
      <c r="G35" s="689"/>
      <c r="H35" s="689"/>
      <c r="I35" s="689"/>
      <c r="J35" s="779"/>
      <c r="K35" s="689">
        <f>+'FA - Detailed Disclosure'!K131</f>
        <v>9.5634208175822591E-2</v>
      </c>
      <c r="L35" s="689">
        <f>+'FA - Detailed Disclosure'!L131</f>
        <v>0.46955511319802273</v>
      </c>
      <c r="M35" s="689">
        <f>+'FA - Detailed Disclosure'!M131</f>
        <v>0.29171357966924505</v>
      </c>
      <c r="N35" s="779">
        <f>+'FA - Detailed Disclosure'!N131</f>
        <v>0.25296402289452169</v>
      </c>
      <c r="O35" s="689">
        <f>+'FA - Detailed Disclosure'!O131</f>
        <v>0.25668206254259107</v>
      </c>
      <c r="P35" s="689">
        <f>+'FA - Detailed Disclosure'!P131</f>
        <v>5.4911740816583343E-2</v>
      </c>
      <c r="Q35" s="689">
        <f>+'FA - Detailed Disclosure'!Q131</f>
        <v>-2.375211933612283E-2</v>
      </c>
      <c r="R35" s="689">
        <f>+'FA - Detailed Disclosure'!R131</f>
        <v>-6.4395008751623337E-2</v>
      </c>
      <c r="S35" s="991">
        <f>+'FA - Detailed Disclosure'!S131</f>
        <v>-0.11776323065498912</v>
      </c>
      <c r="T35" s="689">
        <f>+'FA - Detailed Disclosure'!T131</f>
        <v>-0.127236915871622</v>
      </c>
      <c r="U35" s="689">
        <f>+'FA - Detailed Disclosure'!U131</f>
        <v>-7.9000514598079399E-2</v>
      </c>
      <c r="V35" s="689">
        <f>+'FA - Detailed Disclosure'!V131</f>
        <v>-9.6314588772078241E-2</v>
      </c>
      <c r="W35" s="991">
        <f>+'FA - Detailed Disclosure'!W131</f>
        <v>-0.10178053783044672</v>
      </c>
      <c r="X35" s="689">
        <f>+'FA - Detailed Disclosure'!X131</f>
        <v>-6.1946415562690482E-2</v>
      </c>
      <c r="Y35" s="781">
        <f>+'FA - Detailed Disclosure'!Y131</f>
        <v>-5.2683715637539694E-2</v>
      </c>
      <c r="Z35" s="752"/>
      <c r="AA35" s="736"/>
      <c r="AB35" s="736"/>
      <c r="AC35" s="736"/>
      <c r="AD35" s="736"/>
      <c r="AE35" s="736"/>
      <c r="AF35" s="689"/>
      <c r="AG35" s="689"/>
      <c r="AH35" s="689"/>
      <c r="AI35" s="689">
        <f>+'FA - Detailed Disclosure'!AK131</f>
        <v>0.27378749847786721</v>
      </c>
      <c r="AJ35" s="689">
        <f>+'FA - Detailed Disclosure'!AL131</f>
        <v>3.5424929277897477E-2</v>
      </c>
      <c r="AK35" s="781">
        <f>+'FA - Detailed Disclosure'!AM131</f>
        <v>-0.10463406594627556</v>
      </c>
      <c r="AL35" s="689"/>
      <c r="AM35" s="689"/>
    </row>
    <row r="36" spans="1:39" ht="12" x14ac:dyDescent="0.3">
      <c r="A36" s="778" t="str">
        <f>+'FA - Detailed Disclosure'!A132</f>
        <v>New Customer Contribution</v>
      </c>
      <c r="B36" s="470"/>
      <c r="C36" s="736"/>
      <c r="D36" s="736"/>
      <c r="E36" s="736"/>
      <c r="F36" s="752"/>
      <c r="G36" s="689"/>
      <c r="H36" s="689"/>
      <c r="I36" s="689"/>
      <c r="J36" s="779"/>
      <c r="K36" s="689">
        <f>+'FA - Detailed Disclosure'!K132</f>
        <v>9.5913893124261268E-2</v>
      </c>
      <c r="L36" s="689">
        <f>+'FA - Detailed Disclosure'!L132</f>
        <v>0.12756088501138171</v>
      </c>
      <c r="M36" s="689">
        <f>+'FA - Detailed Disclosure'!M132</f>
        <v>5.3729400927049649E-2</v>
      </c>
      <c r="N36" s="779">
        <f>+'FA - Detailed Disclosure'!N132</f>
        <v>4.9621831561733352E-2</v>
      </c>
      <c r="O36" s="689">
        <f>+'FA - Detailed Disclosure'!O132</f>
        <v>6.8986143711668141E-2</v>
      </c>
      <c r="P36" s="689">
        <f>+'FA - Detailed Disclosure'!P132</f>
        <v>5.0535961470261938E-2</v>
      </c>
      <c r="Q36" s="689">
        <f>+'FA - Detailed Disclosure'!Q132</f>
        <v>4.8219757656830876E-2</v>
      </c>
      <c r="R36" s="689">
        <f>+'FA - Detailed Disclosure'!R132</f>
        <v>3.9052942615700227E-2</v>
      </c>
      <c r="S36" s="991">
        <f>+'FA - Detailed Disclosure'!S132</f>
        <v>4.2131650876075018E-2</v>
      </c>
      <c r="T36" s="689">
        <f>+'FA - Detailed Disclosure'!T132</f>
        <v>4.6636005973377789E-2</v>
      </c>
      <c r="U36" s="689">
        <f>+'FA - Detailed Disclosure'!U132</f>
        <v>4.7576048857689367E-2</v>
      </c>
      <c r="V36" s="689">
        <f>+'FA - Detailed Disclosure'!V132</f>
        <v>3.9041369740586564E-2</v>
      </c>
      <c r="W36" s="991">
        <f>+'FA - Detailed Disclosure'!W132</f>
        <v>5.0999999999999997E-2</v>
      </c>
      <c r="X36" s="689">
        <f>+'FA - Detailed Disclosure'!X132</f>
        <v>0.04</v>
      </c>
      <c r="Y36" s="781">
        <f>+'FA - Detailed Disclosure'!Y132</f>
        <v>0.03</v>
      </c>
      <c r="Z36" s="752"/>
      <c r="AA36" s="736"/>
      <c r="AB36" s="736"/>
      <c r="AC36" s="736"/>
      <c r="AD36" s="736"/>
      <c r="AE36" s="736"/>
      <c r="AF36" s="689"/>
      <c r="AG36" s="689"/>
      <c r="AH36" s="689"/>
      <c r="AI36" s="689">
        <f>+'FA - Detailed Disclosure'!AK132</f>
        <v>7.6874580185955485E-2</v>
      </c>
      <c r="AJ36" s="689">
        <f>+'FA - Detailed Disclosure'!AL132</f>
        <v>4.9903481001551363E-2</v>
      </c>
      <c r="AK36" s="781">
        <f>+'FA - Detailed Disclosure'!AM132</f>
        <v>4.3825916054235498E-2</v>
      </c>
      <c r="AL36" s="689"/>
      <c r="AM36" s="689"/>
    </row>
    <row r="37" spans="1:39" ht="12" x14ac:dyDescent="0.3">
      <c r="A37" s="778" t="str">
        <f>+'FA - Detailed Disclosure'!A133</f>
        <v>Acquisition Contribution</v>
      </c>
      <c r="B37" s="470"/>
      <c r="C37" s="736"/>
      <c r="D37" s="736"/>
      <c r="E37" s="736"/>
      <c r="F37" s="752"/>
      <c r="G37" s="786"/>
      <c r="H37" s="786"/>
      <c r="I37" s="786"/>
      <c r="J37" s="787"/>
      <c r="K37" s="786">
        <f>+'FA - Detailed Disclosure'!K133</f>
        <v>0</v>
      </c>
      <c r="L37" s="786">
        <f>+'FA - Detailed Disclosure'!L133</f>
        <v>6.8004533635575709E-2</v>
      </c>
      <c r="M37" s="786">
        <f>+'FA - Detailed Disclosure'!M133</f>
        <v>6.4630276798900405E-2</v>
      </c>
      <c r="N37" s="787">
        <f>+'FA - Detailed Disclosure'!N133</f>
        <v>5.5064390842191335E-2</v>
      </c>
      <c r="O37" s="786">
        <f>+'FA - Detailed Disclosure'!O133</f>
        <v>0.11206178541682442</v>
      </c>
      <c r="P37" s="786">
        <f>+'FA - Detailed Disclosure'!P133</f>
        <v>4.7475775914337687E-2</v>
      </c>
      <c r="Q37" s="786">
        <f>+'FA - Detailed Disclosure'!Q133</f>
        <v>4.3553329496492404E-2</v>
      </c>
      <c r="R37" s="786">
        <f>+'FA - Detailed Disclosure'!R133</f>
        <v>2.5638492085897652E-2</v>
      </c>
      <c r="S37" s="992">
        <f>+'FA - Detailed Disclosure'!S133</f>
        <v>0</v>
      </c>
      <c r="T37" s="786">
        <f>+'FA - Detailed Disclosure'!T133</f>
        <v>0</v>
      </c>
      <c r="U37" s="786">
        <f>+'FA - Detailed Disclosure'!U133</f>
        <v>4.1313487324381266E-3</v>
      </c>
      <c r="V37" s="786">
        <f>+'FA - Detailed Disclosure'!V133</f>
        <v>1.0080199440250241E-2</v>
      </c>
      <c r="W37" s="992">
        <f>+'FA - Detailed Disclosure'!W133</f>
        <v>1.6003874202370101E-2</v>
      </c>
      <c r="X37" s="786">
        <f>+'FA - Detailed Disclosure'!X133</f>
        <v>1.7807516930631626E-2</v>
      </c>
      <c r="Y37" s="788">
        <f>+'FA - Detailed Disclosure'!Y133</f>
        <v>1.6470024555309336E-2</v>
      </c>
      <c r="Z37" s="752"/>
      <c r="AA37" s="736"/>
      <c r="AB37" s="736"/>
      <c r="AC37" s="736"/>
      <c r="AD37" s="736"/>
      <c r="AE37" s="736"/>
      <c r="AF37" s="786"/>
      <c r="AG37" s="786"/>
      <c r="AH37" s="786"/>
      <c r="AI37" s="786">
        <f>+'FA - Detailed Disclosure'!AK133</f>
        <v>4.8315440907858921E-2</v>
      </c>
      <c r="AJ37" s="786">
        <f>+'FA - Detailed Disclosure'!AL133</f>
        <v>5.187317052625668E-2</v>
      </c>
      <c r="AK37" s="788">
        <f>+'FA - Detailed Disclosure'!AM133</f>
        <v>3.6961913427149594E-3</v>
      </c>
      <c r="AL37" s="689"/>
      <c r="AM37" s="689"/>
    </row>
    <row r="38" spans="1:39" s="470" customFormat="1" x14ac:dyDescent="0.25">
      <c r="A38" s="766" t="s">
        <v>216</v>
      </c>
      <c r="C38" s="767"/>
      <c r="D38" s="767"/>
      <c r="E38" s="767"/>
      <c r="F38" s="768"/>
      <c r="G38" s="769">
        <f>+G22</f>
        <v>1.0502611977718512E-2</v>
      </c>
      <c r="H38" s="769">
        <f>+H22</f>
        <v>-0.13671980990125066</v>
      </c>
      <c r="I38" s="769">
        <f>+I22</f>
        <v>0.10510709466829327</v>
      </c>
      <c r="J38" s="770">
        <f>+J22</f>
        <v>0.23564606519851616</v>
      </c>
      <c r="K38" s="769">
        <f>+'FA - Detailed Disclosure'!K134</f>
        <v>0.19154810130008385</v>
      </c>
      <c r="L38" s="769">
        <f>+'FA - Detailed Disclosure'!L134</f>
        <v>0.66512053184498021</v>
      </c>
      <c r="M38" s="769">
        <f>+'FA - Detailed Disclosure'!M134</f>
        <v>0.41007325739519512</v>
      </c>
      <c r="N38" s="770">
        <f>+'FA - Detailed Disclosure'!N134</f>
        <v>0.35765024529844641</v>
      </c>
      <c r="O38" s="769">
        <f>+'FA - Detailed Disclosure'!O134</f>
        <v>0.43772999167108362</v>
      </c>
      <c r="P38" s="769">
        <f>+'FA - Detailed Disclosure'!P134</f>
        <v>0.15292347820118296</v>
      </c>
      <c r="Q38" s="769">
        <f>+'FA - Detailed Disclosure'!Q134</f>
        <v>6.8020967817200462E-2</v>
      </c>
      <c r="R38" s="769">
        <f>+'FA - Detailed Disclosure'!R134</f>
        <v>2.9642594997453644E-4</v>
      </c>
      <c r="S38" s="989">
        <f t="shared" ref="S38:Z38" si="77">+S22</f>
        <v>-7.5631579778914104E-2</v>
      </c>
      <c r="T38" s="769">
        <f t="shared" si="77"/>
        <v>-8.06009098982442E-2</v>
      </c>
      <c r="U38" s="769">
        <f t="shared" si="77"/>
        <v>-2.7293117007951895E-2</v>
      </c>
      <c r="V38" s="769">
        <f t="shared" si="77"/>
        <v>-4.7193019591241669E-2</v>
      </c>
      <c r="W38" s="989">
        <f t="shared" si="77"/>
        <v>-3.4776663628076632E-2</v>
      </c>
      <c r="X38" s="769">
        <f t="shared" ref="X38:Y38" si="78">+X22</f>
        <v>-4.1496910665623776E-3</v>
      </c>
      <c r="Y38" s="772">
        <f t="shared" si="78"/>
        <v>-6.2136910822303548E-3</v>
      </c>
      <c r="Z38" s="1495">
        <f t="shared" si="77"/>
        <v>2.7984712018893187E-2</v>
      </c>
      <c r="AA38" s="1120">
        <f t="shared" ref="AA38:AD38" si="79">+AA22</f>
        <v>5.2657709347782911E-2</v>
      </c>
      <c r="AB38" s="1120">
        <f t="shared" si="79"/>
        <v>6.2022348787184045E-2</v>
      </c>
      <c r="AC38" s="1120">
        <f t="shared" si="79"/>
        <v>7.4498270844624015E-2</v>
      </c>
      <c r="AD38" s="1120">
        <f t="shared" si="79"/>
        <v>8.2088481036937999E-2</v>
      </c>
      <c r="AE38" s="767"/>
      <c r="AF38" s="769"/>
      <c r="AG38" s="769">
        <f>+AG22</f>
        <v>7.8E-2</v>
      </c>
      <c r="AH38" s="769">
        <f>+AH22</f>
        <v>5.684698204733829E-2</v>
      </c>
      <c r="AI38" s="769">
        <f>+'FA - Detailed Disclosure'!AK134</f>
        <v>0.39897751957168165</v>
      </c>
      <c r="AJ38" s="769">
        <f>+'FA - Detailed Disclosure'!AL134</f>
        <v>0.13720158080570552</v>
      </c>
      <c r="AK38" s="772">
        <f>+'FA - Detailed Disclosure'!AM134</f>
        <v>-5.7111958549325104E-2</v>
      </c>
      <c r="AL38" s="769">
        <f>+AL22</f>
        <v>-3.2069728148321763E-3</v>
      </c>
      <c r="AM38" s="769">
        <f>+AM22</f>
        <v>6.8689863971036713E-2</v>
      </c>
    </row>
    <row r="39" spans="1:39" x14ac:dyDescent="0.25">
      <c r="A39" s="766"/>
      <c r="B39" s="470"/>
      <c r="C39" s="744"/>
      <c r="D39" s="744"/>
      <c r="E39" s="744"/>
      <c r="F39" s="745"/>
      <c r="G39" s="744"/>
      <c r="H39" s="744"/>
      <c r="I39" s="744"/>
      <c r="J39" s="745"/>
      <c r="K39" s="744"/>
      <c r="L39" s="744"/>
      <c r="M39" s="744"/>
      <c r="N39" s="745"/>
      <c r="O39" s="744"/>
      <c r="P39" s="744"/>
      <c r="Q39" s="744"/>
      <c r="R39" s="744"/>
      <c r="S39" s="985"/>
      <c r="T39" s="744"/>
      <c r="U39" s="744"/>
      <c r="V39" s="744"/>
      <c r="W39" s="985"/>
      <c r="X39" s="744"/>
      <c r="Y39" s="792"/>
      <c r="Z39" s="745"/>
      <c r="AA39" s="744"/>
      <c r="AB39" s="744"/>
      <c r="AC39" s="744"/>
      <c r="AD39" s="744"/>
      <c r="AE39" s="744"/>
      <c r="AF39" s="744"/>
      <c r="AG39" s="744"/>
      <c r="AH39" s="744"/>
      <c r="AI39" s="744"/>
      <c r="AJ39" s="744"/>
      <c r="AK39" s="776"/>
      <c r="AL39" s="744"/>
      <c r="AM39" s="744"/>
    </row>
    <row r="40" spans="1:39" s="794" customFormat="1" x14ac:dyDescent="0.25">
      <c r="A40" s="793" t="s">
        <v>223</v>
      </c>
      <c r="C40" s="736"/>
      <c r="D40" s="736"/>
      <c r="E40" s="736"/>
      <c r="F40" s="752"/>
      <c r="G40" s="736">
        <f>+'FA - Detailed Disclosure'!G9-'FA - Detailed Disclosure'!G12+'FA - Detailed Disclosure'!G61</f>
        <v>53.928999999999981</v>
      </c>
      <c r="H40" s="736">
        <f>+'FA - Detailed Disclosure'!H9-'FA - Detailed Disclosure'!H12+'FA - Detailed Disclosure'!H61</f>
        <v>52.614999999999995</v>
      </c>
      <c r="I40" s="736">
        <f>+'FA - Detailed Disclosure'!I9-'FA - Detailed Disclosure'!I12+'FA - Detailed Disclosure'!I61</f>
        <v>69.322999999999993</v>
      </c>
      <c r="J40" s="752">
        <f>+'FA - Detailed Disclosure'!J9-'FA - Detailed Disclosure'!J12+'FA - Detailed Disclosure'!J61</f>
        <v>72.991000000000014</v>
      </c>
      <c r="K40" s="736">
        <f>+'FA - Detailed Disclosure'!K9-'FA - Detailed Disclosure'!K12+'FA - Detailed Disclosure'!K61</f>
        <v>66.158000000000001</v>
      </c>
      <c r="L40" s="736">
        <f>+'FA - Detailed Disclosure'!L9-'FA - Detailed Disclosure'!L12+'FA - Detailed Disclosure'!L61</f>
        <v>89.998999999999995</v>
      </c>
      <c r="M40" s="736">
        <f>+'FA - Detailed Disclosure'!M9-'FA - Detailed Disclosure'!M12+'FA - Detailed Disclosure'!M61</f>
        <v>98.718999999999994</v>
      </c>
      <c r="N40" s="752">
        <f>+'FA - Detailed Disclosure'!N9-'FA - Detailed Disclosure'!N12+'FA - Detailed Disclosure'!N61</f>
        <v>105.41200000000001</v>
      </c>
      <c r="O40" s="736">
        <f>+'FA - Detailed Disclosure'!O9-'FA - Detailed Disclosure'!O12+'FA - Detailed Disclosure'!O61</f>
        <v>93.724000000000004</v>
      </c>
      <c r="P40" s="736">
        <f>+'FA - Detailed Disclosure'!P9-'FA - Detailed Disclosure'!P12+'FA - Detailed Disclosure'!P61</f>
        <v>101.54600000000001</v>
      </c>
      <c r="Q40" s="736">
        <f>+'FA - Detailed Disclosure'!Q9-'FA - Detailed Disclosure'!Q12+'FA - Detailed Disclosure'!Q61</f>
        <v>101.97799999999999</v>
      </c>
      <c r="R40" s="736">
        <f>+'FA - Detailed Disclosure'!R9-'FA - Detailed Disclosure'!R12+'FA - Detailed Disclosure'!R61</f>
        <v>104.95</v>
      </c>
      <c r="S40" s="986">
        <f>+'FA - Detailed Disclosure'!S9-'FA - Detailed Disclosure'!S12+'FA - Detailed Disclosure'!S61</f>
        <v>84.734000000000009</v>
      </c>
      <c r="T40" s="736">
        <f>+'FA - Detailed Disclosure'!T9-'FA - Detailed Disclosure'!T12+'FA - Detailed Disclosure'!T61</f>
        <v>92.631</v>
      </c>
      <c r="U40" s="736">
        <f>+'FA - Detailed Disclosure'!U9-'FA - Detailed Disclosure'!U12+'FA - Detailed Disclosure'!U61</f>
        <v>99.284000000000006</v>
      </c>
      <c r="V40" s="736">
        <f>+'FA - Detailed Disclosure'!V9-'FA - Detailed Disclosure'!V12+'FA - Detailed Disclosure'!V61</f>
        <v>101.61400000000002</v>
      </c>
      <c r="W40" s="986">
        <f>+'FA - Detailed Disclosure'!W9-'FA - Detailed Disclosure'!W12+'FA - Detailed Disclosure'!W61</f>
        <v>82.581000000000003</v>
      </c>
      <c r="X40" s="736">
        <f>+'FA - Detailed Disclosure'!X9-'FA - Detailed Disclosure'!X12+'FA - Detailed Disclosure'!X61</f>
        <v>92.61</v>
      </c>
      <c r="Y40" s="754">
        <f>+'FA - Detailed Disclosure'!Y9-'FA - Detailed Disclosure'!Y12+'FA - Detailed Disclosure'!Y61</f>
        <v>98.653999999999996</v>
      </c>
      <c r="Z40" s="752">
        <f>Z42*Z12</f>
        <v>104.11531961798552</v>
      </c>
      <c r="AA40" s="736">
        <f t="shared" ref="AA40:AD40" si="80">AA42*AA12</f>
        <v>87.818189546092299</v>
      </c>
      <c r="AB40" s="736">
        <f t="shared" si="80"/>
        <v>99.201123785368111</v>
      </c>
      <c r="AC40" s="736">
        <f t="shared" si="80"/>
        <v>107.15058082548038</v>
      </c>
      <c r="AD40" s="736">
        <f t="shared" si="80"/>
        <v>112.66198805810126</v>
      </c>
      <c r="AE40" s="736"/>
      <c r="AF40" s="736"/>
      <c r="AG40" s="736">
        <f>+'FA - Detailed Disclosure'!AI9-'FA - Detailed Disclosure'!AI12+'FA - Detailed Disclosure'!AI61</f>
        <v>236.61399999999998</v>
      </c>
      <c r="AH40" s="736">
        <f>SUM(G40:J40)</f>
        <v>248.85799999999998</v>
      </c>
      <c r="AI40" s="736">
        <f>+SUM(K40:N40)</f>
        <v>360.28800000000001</v>
      </c>
      <c r="AJ40" s="736">
        <f>SUM(O40:R40)</f>
        <v>402.19799999999998</v>
      </c>
      <c r="AK40" s="754">
        <f>SUM(S40:V40)</f>
        <v>378.26300000000003</v>
      </c>
      <c r="AL40" s="736">
        <f>+SUM(W40:Z40)</f>
        <v>377.96031961798553</v>
      </c>
      <c r="AM40" s="736">
        <f>+SUM(AA40:AD40)</f>
        <v>406.83188221504207</v>
      </c>
    </row>
    <row r="41" spans="1:39" ht="12" x14ac:dyDescent="0.3">
      <c r="A41" s="778" t="s">
        <v>29</v>
      </c>
      <c r="B41" s="470"/>
      <c r="C41" s="744"/>
      <c r="D41" s="744"/>
      <c r="E41" s="744"/>
      <c r="F41" s="745"/>
      <c r="G41" s="689"/>
      <c r="H41" s="689"/>
      <c r="I41" s="689"/>
      <c r="J41" s="779"/>
      <c r="K41" s="689">
        <f t="shared" ref="K41" si="81">+K40/G40-1</f>
        <v>0.22676111183222436</v>
      </c>
      <c r="L41" s="689">
        <f t="shared" ref="L41" si="82">+L40/H40-1</f>
        <v>0.71051981374132867</v>
      </c>
      <c r="M41" s="689">
        <f t="shared" ref="M41" si="83">+M40/I40-1</f>
        <v>0.42404396809139833</v>
      </c>
      <c r="N41" s="779">
        <f t="shared" ref="N41" si="84">+N40/J40-1</f>
        <v>0.44417804934854965</v>
      </c>
      <c r="O41" s="689">
        <f t="shared" ref="O41" si="85">+O40/K40-1</f>
        <v>0.41666918588832802</v>
      </c>
      <c r="P41" s="689">
        <f t="shared" ref="P41" si="86">+P40/L40-1</f>
        <v>0.12830142557139546</v>
      </c>
      <c r="Q41" s="689">
        <f t="shared" ref="Q41" si="87">+Q40/M40-1</f>
        <v>3.3012895187350066E-2</v>
      </c>
      <c r="R41" s="689">
        <f t="shared" ref="R41" si="88">+R40/N40-1</f>
        <v>-4.382802716958234E-3</v>
      </c>
      <c r="S41" s="991">
        <f t="shared" ref="S41" si="89">+S40/O40-1</f>
        <v>-9.5919935128675582E-2</v>
      </c>
      <c r="T41" s="799">
        <f t="shared" ref="T41" si="90">+T40/P40-1</f>
        <v>-8.7792724479546225E-2</v>
      </c>
      <c r="U41" s="799">
        <f t="shared" ref="U41" si="91">+U40/Q40-1</f>
        <v>-2.6417462589970242E-2</v>
      </c>
      <c r="V41" s="799">
        <f t="shared" ref="V41:W41" si="92">+V40/R40-1</f>
        <v>-3.1786565030966996E-2</v>
      </c>
      <c r="W41" s="994">
        <f t="shared" si="92"/>
        <v>-2.5408926759034167E-2</v>
      </c>
      <c r="X41" s="799">
        <f t="shared" ref="X41:Y41" si="93">+X40/T40-1</f>
        <v>-2.2670596236684659E-4</v>
      </c>
      <c r="Y41" s="1456">
        <f t="shared" si="93"/>
        <v>-6.3454333024456355E-3</v>
      </c>
      <c r="Z41" s="779">
        <f t="shared" ref="Z41" si="94">+Z40/V40-1</f>
        <v>2.461589562447597E-2</v>
      </c>
      <c r="AA41" s="689">
        <f t="shared" ref="AA41" si="95">+AA40/W40-1</f>
        <v>6.3418819656970715E-2</v>
      </c>
      <c r="AB41" s="689">
        <f t="shared" ref="AB41" si="96">+AB40/X40-1</f>
        <v>7.1170756779701083E-2</v>
      </c>
      <c r="AC41" s="689">
        <f t="shared" ref="AC41" si="97">+AC40/Y40-1</f>
        <v>8.6125051447284218E-2</v>
      </c>
      <c r="AD41" s="689">
        <f t="shared" ref="AD41" si="98">+AD40/Z40-1</f>
        <v>8.2088481036937999E-2</v>
      </c>
      <c r="AE41" s="744"/>
      <c r="AF41" s="689"/>
      <c r="AG41" s="689"/>
      <c r="AH41" s="689">
        <f t="shared" ref="AH41" si="99">+AH40/AG40-1</f>
        <v>5.1746726736372262E-2</v>
      </c>
      <c r="AI41" s="689">
        <f t="shared" ref="AI41" si="100">+AI40/AH40-1</f>
        <v>0.44776539231208168</v>
      </c>
      <c r="AJ41" s="689">
        <f t="shared" ref="AJ41" si="101">+AJ40/AI40-1</f>
        <v>0.11632360778044215</v>
      </c>
      <c r="AK41" s="781">
        <f t="shared" ref="AK41" si="102">+AK40/AJ40-1</f>
        <v>-5.9510489858228932E-2</v>
      </c>
      <c r="AL41" s="689">
        <f t="shared" ref="AL41" si="103">+AL40/AK40-1</f>
        <v>-8.0018500888134891E-4</v>
      </c>
      <c r="AM41" s="689">
        <f t="shared" ref="AM41" si="104">+AM40/AL40-1</f>
        <v>7.6387814007136567E-2</v>
      </c>
    </row>
    <row r="42" spans="1:39" ht="12" x14ac:dyDescent="0.3">
      <c r="A42" s="778" t="s">
        <v>33</v>
      </c>
      <c r="B42" s="470"/>
      <c r="C42" s="744"/>
      <c r="D42" s="744"/>
      <c r="E42" s="744"/>
      <c r="F42" s="745"/>
      <c r="G42" s="689">
        <f>+G40/G$12</f>
        <v>0.48655256723716367</v>
      </c>
      <c r="H42" s="689">
        <f t="shared" ref="H42:P42" si="105">+H40/H$12</f>
        <v>0.50112864667168289</v>
      </c>
      <c r="I42" s="689">
        <f t="shared" si="105"/>
        <v>0.50682858354413718</v>
      </c>
      <c r="J42" s="779">
        <f t="shared" si="105"/>
        <v>0.46626507563368796</v>
      </c>
      <c r="K42" s="689">
        <f t="shared" si="105"/>
        <v>0.50093132429772091</v>
      </c>
      <c r="L42" s="689">
        <f t="shared" si="105"/>
        <v>0.51479185018246709</v>
      </c>
      <c r="M42" s="689">
        <f t="shared" si="105"/>
        <v>0.51185013506717059</v>
      </c>
      <c r="N42" s="779">
        <f t="shared" si="105"/>
        <v>0.49598178156701078</v>
      </c>
      <c r="O42" s="689">
        <f t="shared" si="105"/>
        <v>0.49359335583865688</v>
      </c>
      <c r="P42" s="689">
        <f t="shared" si="105"/>
        <v>0.50379785772049157</v>
      </c>
      <c r="Q42" s="689">
        <f t="shared" ref="Q42:R42" si="106">+Q40/Q$12</f>
        <v>0.49507248065402504</v>
      </c>
      <c r="R42" s="689">
        <f t="shared" si="106"/>
        <v>0.49366165714151322</v>
      </c>
      <c r="S42" s="991">
        <f t="shared" ref="S42:T42" si="107">+S40/S$12</f>
        <v>0.48275979945305381</v>
      </c>
      <c r="T42" s="799">
        <f t="shared" si="107"/>
        <v>0.49985700024282981</v>
      </c>
      <c r="U42" s="799">
        <f t="shared" ref="U42:V42" si="108">+U40/U$12</f>
        <v>0.49551815695434309</v>
      </c>
      <c r="V42" s="799">
        <f t="shared" si="108"/>
        <v>0.50164394111432564</v>
      </c>
      <c r="W42" s="994">
        <f t="shared" ref="W42:X42" si="109">+W40/W$12</f>
        <v>0.4874451055390282</v>
      </c>
      <c r="X42" s="799">
        <f t="shared" si="109"/>
        <v>0.50182610297703556</v>
      </c>
      <c r="Y42" s="1456">
        <f t="shared" ref="Y42" si="110">+Y40/Y$12</f>
        <v>0.49545246812207772</v>
      </c>
      <c r="Z42" s="1496">
        <v>0.5</v>
      </c>
      <c r="AA42" s="795">
        <f>+AVERAGEA(K42,O42,S42)</f>
        <v>0.49242815986314392</v>
      </c>
      <c r="AB42" s="795">
        <f t="shared" ref="AB42:AC42" si="111">+AVERAGEA(L42,P42,T42)</f>
        <v>0.50614890271526281</v>
      </c>
      <c r="AC42" s="795">
        <f t="shared" si="111"/>
        <v>0.50081359089184618</v>
      </c>
      <c r="AD42" s="795">
        <v>0.5</v>
      </c>
      <c r="AE42" s="780"/>
      <c r="AF42" s="689"/>
      <c r="AG42" s="689">
        <f t="shared" ref="AG42:AI42" si="112">+AG40/AG$12</f>
        <v>0.49113783218858909</v>
      </c>
      <c r="AH42" s="689">
        <f t="shared" si="112"/>
        <v>0.48876764201007949</v>
      </c>
      <c r="AI42" s="689">
        <f t="shared" si="112"/>
        <v>0.50581290055384354</v>
      </c>
      <c r="AJ42" s="689">
        <f t="shared" ref="AJ42:AK42" si="113">+AJ40/AJ$12</f>
        <v>0.49652664183609596</v>
      </c>
      <c r="AK42" s="781">
        <f t="shared" si="113"/>
        <v>0.49526357067197724</v>
      </c>
      <c r="AL42" s="689">
        <f t="shared" ref="AL42:AM42" si="114">+AL40/AL$12</f>
        <v>0.49645939998670569</v>
      </c>
      <c r="AM42" s="689">
        <f t="shared" si="114"/>
        <v>0.50003547924495662</v>
      </c>
    </row>
    <row r="43" spans="1:39" x14ac:dyDescent="0.25">
      <c r="A43" s="513"/>
      <c r="B43" s="470"/>
      <c r="C43" s="744"/>
      <c r="D43" s="744"/>
      <c r="E43" s="744"/>
      <c r="F43" s="745"/>
      <c r="G43" s="750"/>
      <c r="H43" s="750"/>
      <c r="I43" s="750"/>
      <c r="J43" s="751"/>
      <c r="K43" s="750"/>
      <c r="L43" s="750"/>
      <c r="M43" s="750"/>
      <c r="N43" s="751"/>
      <c r="O43" s="750"/>
      <c r="P43" s="744"/>
      <c r="Q43" s="744"/>
      <c r="R43" s="744"/>
      <c r="S43" s="985"/>
      <c r="T43" s="744"/>
      <c r="U43" s="744"/>
      <c r="V43" s="744"/>
      <c r="W43" s="985"/>
      <c r="X43" s="744"/>
      <c r="Y43" s="792"/>
      <c r="Z43" s="745"/>
      <c r="AA43" s="744"/>
      <c r="AB43" s="744"/>
      <c r="AC43" s="744"/>
      <c r="AD43" s="744"/>
      <c r="AE43" s="744"/>
      <c r="AF43" s="744"/>
      <c r="AG43" s="744"/>
      <c r="AH43" s="744"/>
      <c r="AI43" s="744"/>
      <c r="AJ43" s="744"/>
      <c r="AK43" s="792"/>
      <c r="AL43" s="744"/>
      <c r="AM43" s="744"/>
    </row>
    <row r="44" spans="1:39" x14ac:dyDescent="0.25">
      <c r="A44" s="796" t="s">
        <v>224</v>
      </c>
      <c r="C44" s="744"/>
      <c r="D44" s="744"/>
      <c r="E44" s="744"/>
      <c r="F44" s="745"/>
      <c r="G44" s="750"/>
      <c r="H44" s="750"/>
      <c r="I44" s="750"/>
      <c r="J44" s="751"/>
      <c r="K44" s="750"/>
      <c r="L44" s="750"/>
      <c r="M44" s="750"/>
      <c r="N44" s="751"/>
      <c r="O44" s="750"/>
      <c r="P44" s="744"/>
      <c r="Q44" s="744"/>
      <c r="R44" s="744"/>
      <c r="S44" s="985"/>
      <c r="T44" s="744"/>
      <c r="U44" s="744"/>
      <c r="V44" s="744"/>
      <c r="W44" s="985"/>
      <c r="X44" s="744"/>
      <c r="Y44" s="792"/>
      <c r="Z44" s="745"/>
      <c r="AA44" s="744"/>
      <c r="AB44" s="744"/>
      <c r="AC44" s="744"/>
      <c r="AD44" s="744"/>
      <c r="AE44" s="744"/>
      <c r="AF44" s="744"/>
      <c r="AG44" s="744"/>
      <c r="AH44" s="744"/>
      <c r="AI44" s="744"/>
      <c r="AJ44" s="744"/>
      <c r="AK44" s="792"/>
      <c r="AL44" s="744"/>
      <c r="AM44" s="744"/>
    </row>
    <row r="45" spans="1:39" s="794" customFormat="1" x14ac:dyDescent="0.25">
      <c r="A45" s="793" t="s">
        <v>225</v>
      </c>
      <c r="C45" s="736"/>
      <c r="D45" s="736"/>
      <c r="E45" s="736"/>
      <c r="F45" s="752"/>
      <c r="G45" s="736">
        <f>+'FA - Detailed Disclosure'!G13-'FA - Detailed Disclosure'!G62</f>
        <v>8.1080000000000023</v>
      </c>
      <c r="H45" s="736">
        <f>+'FA - Detailed Disclosure'!H13-'FA - Detailed Disclosure'!H62</f>
        <v>7.1559999999999997</v>
      </c>
      <c r="I45" s="736">
        <f>+'FA - Detailed Disclosure'!I13-'FA - Detailed Disclosure'!I62</f>
        <v>8.2929999999999993</v>
      </c>
      <c r="J45" s="752">
        <f>+'FA - Detailed Disclosure'!J13-'FA - Detailed Disclosure'!J62</f>
        <v>11.654</v>
      </c>
      <c r="K45" s="736">
        <f>+'FA - Detailed Disclosure'!K13-'FA - Detailed Disclosure'!K62</f>
        <v>10.499000000000001</v>
      </c>
      <c r="L45" s="736">
        <f>+'FA - Detailed Disclosure'!L13-'FA - Detailed Disclosure'!L62</f>
        <v>11.613</v>
      </c>
      <c r="M45" s="736">
        <f>+'FA - Detailed Disclosure'!M13-'FA - Detailed Disclosure'!M62</f>
        <v>11.258000000000001</v>
      </c>
      <c r="N45" s="752">
        <f>+'FA - Detailed Disclosure'!N13-'FA - Detailed Disclosure'!N62</f>
        <v>11.678000000000001</v>
      </c>
      <c r="O45" s="736">
        <f>+'FA - Detailed Disclosure'!O13-'FA - Detailed Disclosure'!O62</f>
        <v>13.568999999999999</v>
      </c>
      <c r="P45" s="736">
        <f>+'FA - Detailed Disclosure'!P13-'FA - Detailed Disclosure'!P62</f>
        <v>12.634</v>
      </c>
      <c r="Q45" s="736">
        <f>+'FA - Detailed Disclosure'!Q13-'FA - Detailed Disclosure'!Q62</f>
        <v>12.848000000000001</v>
      </c>
      <c r="R45" s="736">
        <f>+'FA - Detailed Disclosure'!R13-'FA - Detailed Disclosure'!R62</f>
        <v>11.529</v>
      </c>
      <c r="S45" s="986">
        <f>+'FA - Detailed Disclosure'!S13-'FA - Detailed Disclosure'!S62</f>
        <v>12.167</v>
      </c>
      <c r="T45" s="736">
        <f>+'FA - Detailed Disclosure'!T13-'FA - Detailed Disclosure'!T62</f>
        <v>12.075000000000001</v>
      </c>
      <c r="U45" s="736">
        <f>+U47-U46</f>
        <v>10.993000000000009</v>
      </c>
      <c r="V45" s="736">
        <f>+V47-V46</f>
        <v>9.8800000000000239</v>
      </c>
      <c r="W45" s="986">
        <f>+'FA - Detailed Disclosure'!W13-'FA - Detailed Disclosure'!W62</f>
        <v>11.811999999999999</v>
      </c>
      <c r="X45" s="736">
        <f>+'FA - Detailed Disclosure'!X13-'FA - Detailed Disclosure'!X62</f>
        <v>12.994</v>
      </c>
      <c r="Y45" s="754">
        <f>+'FA - Detailed Disclosure'!Y13-'FA - Detailed Disclosure'!Y62</f>
        <v>12.206000000000001</v>
      </c>
      <c r="Z45" s="752">
        <f t="shared" ref="Z45" si="115">+Z225</f>
        <v>11.4</v>
      </c>
      <c r="AA45" s="736">
        <f t="shared" ref="AA45:AD45" si="116">+AA225</f>
        <v>12.4026</v>
      </c>
      <c r="AB45" s="736">
        <f t="shared" si="116"/>
        <v>13.643700000000001</v>
      </c>
      <c r="AC45" s="736">
        <f t="shared" si="116"/>
        <v>12.816300000000002</v>
      </c>
      <c r="AD45" s="736">
        <f t="shared" si="116"/>
        <v>11.97</v>
      </c>
      <c r="AE45" s="736"/>
      <c r="AF45" s="736"/>
      <c r="AG45" s="736">
        <f>+'FA - Detailed Disclosure'!AI13-'FA - Detailed Disclosure'!AI62</f>
        <v>33.146999999999998</v>
      </c>
      <c r="AH45" s="736">
        <f>SUM(G45:J45)</f>
        <v>35.210999999999999</v>
      </c>
      <c r="AI45" s="736">
        <f>+SUM(K45:N45)</f>
        <v>45.048000000000002</v>
      </c>
      <c r="AJ45" s="736">
        <f>SUM(O45:R45)</f>
        <v>50.58</v>
      </c>
      <c r="AK45" s="754">
        <f>SUM(S45:V45)</f>
        <v>45.115000000000038</v>
      </c>
      <c r="AL45" s="736">
        <f>+SUM(W45:Z45)</f>
        <v>48.411999999999999</v>
      </c>
      <c r="AM45" s="736">
        <f t="shared" ref="AM45:AM47" si="117">+SUM(AA45:AD45)</f>
        <v>50.832599999999999</v>
      </c>
    </row>
    <row r="46" spans="1:39" s="794" customFormat="1" ht="13" x14ac:dyDescent="0.4">
      <c r="A46" s="793" t="s">
        <v>226</v>
      </c>
      <c r="C46" s="736"/>
      <c r="D46" s="736"/>
      <c r="E46" s="736"/>
      <c r="F46" s="752"/>
      <c r="G46" s="757">
        <f>+'FA - Detailed Disclosure'!G14-'FA - Detailed Disclosure'!G63-G65</f>
        <v>18.610000000000007</v>
      </c>
      <c r="H46" s="757">
        <f>+'FA - Detailed Disclosure'!H14-'FA - Detailed Disclosure'!H63-H65</f>
        <v>13.803999999999998</v>
      </c>
      <c r="I46" s="757">
        <f>+'FA - Detailed Disclosure'!I14-'FA - Detailed Disclosure'!I63-I65</f>
        <v>17.742999999999999</v>
      </c>
      <c r="J46" s="758">
        <f>+'FA - Detailed Disclosure'!J14-'FA - Detailed Disclosure'!J63-J65</f>
        <v>16.692</v>
      </c>
      <c r="K46" s="757">
        <f>+'FA - Detailed Disclosure'!K14-'FA - Detailed Disclosure'!K63-K65</f>
        <v>19.068999999999999</v>
      </c>
      <c r="L46" s="757">
        <f>+'FA - Detailed Disclosure'!L14-'FA - Detailed Disclosure'!L63-L65</f>
        <v>22.064</v>
      </c>
      <c r="M46" s="757">
        <f>+'FA - Detailed Disclosure'!M14-'FA - Detailed Disclosure'!M63-M65</f>
        <v>23.516999999999999</v>
      </c>
      <c r="N46" s="758">
        <f>+'FA - Detailed Disclosure'!N14-'FA - Detailed Disclosure'!N63-N65</f>
        <v>24.296000000000003</v>
      </c>
      <c r="O46" s="757">
        <f>+'FA - Detailed Disclosure'!O14-'FA - Detailed Disclosure'!O63-O65</f>
        <v>26.555</v>
      </c>
      <c r="P46" s="757">
        <f>+'FA - Detailed Disclosure'!P14-'FA - Detailed Disclosure'!P63-P65</f>
        <v>28.077999999999999</v>
      </c>
      <c r="Q46" s="757">
        <f>+'FA - Detailed Disclosure'!Q14-'FA - Detailed Disclosure'!Q63-Q65</f>
        <v>24.942</v>
      </c>
      <c r="R46" s="757">
        <f>+'FA - Detailed Disclosure'!R14-'FA - Detailed Disclosure'!R63-R65</f>
        <v>23.133000000000003</v>
      </c>
      <c r="S46" s="987">
        <f>+'FA - Detailed Disclosure'!S14-'FA - Detailed Disclosure'!S63-S65</f>
        <v>24.006999999999998</v>
      </c>
      <c r="T46" s="757">
        <f>+'FA - Detailed Disclosure'!T14-'FA - Detailed Disclosure'!T63-T65</f>
        <v>24.585000000000001</v>
      </c>
      <c r="U46" s="1271">
        <v>23.5</v>
      </c>
      <c r="V46" s="1271">
        <v>23.5</v>
      </c>
      <c r="W46" s="987">
        <f>+'FA - Detailed Disclosure'!W14-'FA - Detailed Disclosure'!W63-W65</f>
        <v>24.210999999999999</v>
      </c>
      <c r="X46" s="757">
        <f>+'FA - Detailed Disclosure'!X14-'FA - Detailed Disclosure'!X63-X65</f>
        <v>23.853000000000002</v>
      </c>
      <c r="Y46" s="760">
        <f>+'FA - Detailed Disclosure'!Y14-'FA - Detailed Disclosure'!Y63-Y65</f>
        <v>22.401999999999997</v>
      </c>
      <c r="Z46" s="758">
        <f t="shared" ref="Z46" si="118">+Z226</f>
        <v>22.401999999999997</v>
      </c>
      <c r="AA46" s="757">
        <f t="shared" ref="AA46:AD46" si="119">+AA226</f>
        <v>23.401999999999997</v>
      </c>
      <c r="AB46" s="757">
        <f t="shared" si="119"/>
        <v>23.870039999999999</v>
      </c>
      <c r="AC46" s="757">
        <f t="shared" si="119"/>
        <v>23.511989400000001</v>
      </c>
      <c r="AD46" s="757">
        <f t="shared" si="119"/>
        <v>23.522099999999998</v>
      </c>
      <c r="AE46" s="736"/>
      <c r="AF46" s="757"/>
      <c r="AG46" s="757">
        <f>+'FA - Detailed Disclosure'!AI14-'FA - Detailed Disclosure'!AI63-AG65</f>
        <v>79.694000000000003</v>
      </c>
      <c r="AH46" s="757">
        <f>SUM(G46:J46)</f>
        <v>66.84899999999999</v>
      </c>
      <c r="AI46" s="757">
        <f>+SUM(K46:N46)</f>
        <v>88.945999999999998</v>
      </c>
      <c r="AJ46" s="757">
        <f>SUM(O46:R46)</f>
        <v>102.708</v>
      </c>
      <c r="AK46" s="760">
        <f>SUM(S46:V46)</f>
        <v>95.591999999999999</v>
      </c>
      <c r="AL46" s="757">
        <f>+SUM(W46:Z46)</f>
        <v>92.867999999999995</v>
      </c>
      <c r="AM46" s="757">
        <f t="shared" si="117"/>
        <v>94.306129399999989</v>
      </c>
    </row>
    <row r="47" spans="1:39" x14ac:dyDescent="0.25">
      <c r="A47" s="474" t="s">
        <v>227</v>
      </c>
      <c r="C47" s="744"/>
      <c r="D47" s="744"/>
      <c r="E47" s="744"/>
      <c r="F47" s="745"/>
      <c r="G47" s="736">
        <f>+SUM(G45:G46)</f>
        <v>26.718000000000011</v>
      </c>
      <c r="H47" s="736">
        <f t="shared" ref="H47:S47" si="120">+SUM(H45:H46)</f>
        <v>20.959999999999997</v>
      </c>
      <c r="I47" s="736">
        <f t="shared" si="120"/>
        <v>26.035999999999998</v>
      </c>
      <c r="J47" s="752">
        <f t="shared" si="120"/>
        <v>28.346</v>
      </c>
      <c r="K47" s="736">
        <f t="shared" si="120"/>
        <v>29.567999999999998</v>
      </c>
      <c r="L47" s="736">
        <f t="shared" si="120"/>
        <v>33.677</v>
      </c>
      <c r="M47" s="736">
        <f t="shared" si="120"/>
        <v>34.774999999999999</v>
      </c>
      <c r="N47" s="752">
        <f t="shared" si="120"/>
        <v>35.974000000000004</v>
      </c>
      <c r="O47" s="736">
        <f t="shared" si="120"/>
        <v>40.123999999999995</v>
      </c>
      <c r="P47" s="736">
        <f t="shared" si="120"/>
        <v>40.712000000000003</v>
      </c>
      <c r="Q47" s="736">
        <f t="shared" si="120"/>
        <v>37.79</v>
      </c>
      <c r="R47" s="736">
        <f t="shared" si="120"/>
        <v>34.662000000000006</v>
      </c>
      <c r="S47" s="986">
        <f t="shared" si="120"/>
        <v>36.173999999999999</v>
      </c>
      <c r="T47" s="736">
        <f>+SUM(T45:T46)</f>
        <v>36.660000000000004</v>
      </c>
      <c r="U47" s="736">
        <f>+U40-U75</f>
        <v>34.493000000000009</v>
      </c>
      <c r="V47" s="736">
        <f>+V40-V75</f>
        <v>33.380000000000024</v>
      </c>
      <c r="W47" s="986">
        <f t="shared" ref="W47:X47" si="121">+SUM(W45:W46)</f>
        <v>36.022999999999996</v>
      </c>
      <c r="X47" s="736">
        <f t="shared" si="121"/>
        <v>36.847000000000001</v>
      </c>
      <c r="Y47" s="754">
        <f t="shared" ref="Y47" si="122">+SUM(Y45:Y46)</f>
        <v>34.607999999999997</v>
      </c>
      <c r="Z47" s="752">
        <f t="shared" ref="Z47" si="123">+SUM(Z45:Z46)</f>
        <v>33.802</v>
      </c>
      <c r="AA47" s="736">
        <f t="shared" ref="AA47:AD47" si="124">+SUM(AA45:AA46)</f>
        <v>35.804599999999994</v>
      </c>
      <c r="AB47" s="736">
        <f t="shared" si="124"/>
        <v>37.513739999999999</v>
      </c>
      <c r="AC47" s="736">
        <f t="shared" si="124"/>
        <v>36.328289400000003</v>
      </c>
      <c r="AD47" s="736">
        <f t="shared" si="124"/>
        <v>35.492100000000001</v>
      </c>
      <c r="AE47" s="744"/>
      <c r="AF47" s="736"/>
      <c r="AG47" s="736">
        <f>+SUM(AG45:AG46)</f>
        <v>112.84100000000001</v>
      </c>
      <c r="AH47" s="736">
        <f>SUM(G47:J47)</f>
        <v>102.06000000000002</v>
      </c>
      <c r="AI47" s="736">
        <f>+SUM(K47:N47)</f>
        <v>133.994</v>
      </c>
      <c r="AJ47" s="736">
        <f>SUM(O47:R47)</f>
        <v>153.28800000000001</v>
      </c>
      <c r="AK47" s="754">
        <f>SUM(S47:V47)</f>
        <v>140.70700000000005</v>
      </c>
      <c r="AL47" s="736">
        <f>+SUM(W47:Z47)</f>
        <v>141.28</v>
      </c>
      <c r="AM47" s="736">
        <f t="shared" si="117"/>
        <v>145.13872939999999</v>
      </c>
    </row>
    <row r="48" spans="1:39" s="794" customFormat="1" ht="13" x14ac:dyDescent="0.4">
      <c r="A48" s="793"/>
      <c r="C48" s="736"/>
      <c r="D48" s="736"/>
      <c r="E48" s="736"/>
      <c r="F48" s="752"/>
      <c r="G48" s="757"/>
      <c r="H48" s="757"/>
      <c r="I48" s="757"/>
      <c r="J48" s="758"/>
      <c r="K48" s="757"/>
      <c r="L48" s="757"/>
      <c r="M48" s="757"/>
      <c r="N48" s="758"/>
      <c r="O48" s="1392"/>
      <c r="P48" s="1392"/>
      <c r="Q48" s="1392"/>
      <c r="R48" s="1392"/>
      <c r="S48" s="1393"/>
      <c r="T48" s="1392"/>
      <c r="U48" s="1392"/>
      <c r="V48" s="1397"/>
      <c r="W48" s="987"/>
      <c r="X48" s="1392"/>
      <c r="Y48" s="2266"/>
      <c r="Z48" s="758"/>
      <c r="AA48" s="757"/>
      <c r="AB48" s="757"/>
      <c r="AC48" s="757"/>
      <c r="AD48" s="757"/>
      <c r="AE48" s="736"/>
      <c r="AF48" s="757"/>
      <c r="AG48" s="757"/>
      <c r="AH48" s="757"/>
      <c r="AI48" s="757"/>
      <c r="AJ48" s="757"/>
      <c r="AK48" s="760"/>
      <c r="AL48" s="757"/>
      <c r="AM48" s="757"/>
    </row>
    <row r="49" spans="1:43" ht="12" outlineLevel="1" x14ac:dyDescent="0.3">
      <c r="A49" s="782" t="s">
        <v>29</v>
      </c>
      <c r="C49" s="744"/>
      <c r="D49" s="744"/>
      <c r="E49" s="744"/>
      <c r="F49" s="745"/>
      <c r="G49" s="750"/>
      <c r="H49" s="750"/>
      <c r="I49" s="750"/>
      <c r="J49" s="751"/>
      <c r="K49" s="750"/>
      <c r="L49" s="750"/>
      <c r="M49" s="750"/>
      <c r="N49" s="751"/>
      <c r="O49" s="750"/>
      <c r="P49" s="744"/>
      <c r="Q49" s="744"/>
      <c r="R49" s="744"/>
      <c r="S49" s="985"/>
      <c r="T49" s="744"/>
      <c r="U49" s="736"/>
      <c r="V49" s="736"/>
      <c r="W49" s="985"/>
      <c r="X49" s="744"/>
      <c r="Y49" s="754"/>
      <c r="Z49" s="745"/>
      <c r="AA49" s="744"/>
      <c r="AB49" s="744"/>
      <c r="AC49" s="744"/>
      <c r="AD49" s="744"/>
      <c r="AE49" s="744"/>
      <c r="AF49" s="750"/>
      <c r="AG49" s="750"/>
      <c r="AH49" s="750"/>
      <c r="AI49" s="750"/>
      <c r="AJ49" s="744"/>
      <c r="AK49" s="792"/>
      <c r="AL49" s="744"/>
      <c r="AM49" s="744"/>
    </row>
    <row r="50" spans="1:43" ht="12" outlineLevel="1" x14ac:dyDescent="0.3">
      <c r="A50" s="778" t="str">
        <f>+A45</f>
        <v xml:space="preserve">Product and Technology </v>
      </c>
      <c r="C50" s="744"/>
      <c r="D50" s="744"/>
      <c r="E50" s="744"/>
      <c r="F50" s="745"/>
      <c r="G50" s="689"/>
      <c r="H50" s="689"/>
      <c r="I50" s="689"/>
      <c r="J50" s="779"/>
      <c r="K50" s="689">
        <f t="shared" ref="K50:Z52" si="125">+K45/G45-1</f>
        <v>0.29489393191909197</v>
      </c>
      <c r="L50" s="689">
        <f t="shared" si="125"/>
        <v>0.62283398546674129</v>
      </c>
      <c r="M50" s="689">
        <f t="shared" si="125"/>
        <v>0.35753044736524808</v>
      </c>
      <c r="N50" s="779">
        <f t="shared" si="125"/>
        <v>2.0593787540759134E-3</v>
      </c>
      <c r="O50" s="689">
        <f t="shared" si="125"/>
        <v>0.29240880083817489</v>
      </c>
      <c r="P50" s="689">
        <f t="shared" si="125"/>
        <v>8.791871178851296E-2</v>
      </c>
      <c r="Q50" s="689">
        <f t="shared" si="125"/>
        <v>0.14123290104814346</v>
      </c>
      <c r="R50" s="689">
        <f t="shared" si="125"/>
        <v>-1.27590340811784E-2</v>
      </c>
      <c r="S50" s="991">
        <f t="shared" si="125"/>
        <v>-0.1033237526715306</v>
      </c>
      <c r="T50" s="799">
        <f t="shared" si="125"/>
        <v>-4.4245686243469917E-2</v>
      </c>
      <c r="U50" s="799">
        <f t="shared" si="125"/>
        <v>-0.14438044831880381</v>
      </c>
      <c r="V50" s="799">
        <f t="shared" si="125"/>
        <v>-0.1430306184404524</v>
      </c>
      <c r="W50" s="994">
        <f t="shared" si="125"/>
        <v>-2.9177282814169536E-2</v>
      </c>
      <c r="X50" s="799">
        <f t="shared" ref="X50:X52" si="126">+X45/T45-1</f>
        <v>7.6107660455486448E-2</v>
      </c>
      <c r="Y50" s="1456">
        <f t="shared" ref="Y50:Y52" si="127">+Y45/U45-1</f>
        <v>0.11034294551077872</v>
      </c>
      <c r="Z50" s="913">
        <f t="shared" si="125"/>
        <v>0.15384615384615108</v>
      </c>
      <c r="AA50" s="799">
        <f t="shared" ref="AA50:AA52" si="128">+AA45/W45-1</f>
        <v>5.0000000000000044E-2</v>
      </c>
      <c r="AB50" s="799">
        <f t="shared" ref="AB50:AB52" si="129">+AB45/X45-1</f>
        <v>5.0000000000000044E-2</v>
      </c>
      <c r="AC50" s="799">
        <f t="shared" ref="AC50:AC52" si="130">+AC45/Y45-1</f>
        <v>5.0000000000000044E-2</v>
      </c>
      <c r="AD50" s="799">
        <f t="shared" ref="AD50:AD52" si="131">+AD45/Z45-1</f>
        <v>5.0000000000000044E-2</v>
      </c>
      <c r="AE50" s="736"/>
      <c r="AF50" s="689"/>
      <c r="AG50" s="689"/>
      <c r="AH50" s="689">
        <f t="shared" ref="AH50:AJ52" si="132">+AH45/AG45-1</f>
        <v>6.2268078559145623E-2</v>
      </c>
      <c r="AI50" s="689">
        <f t="shared" si="132"/>
        <v>0.27937292323421659</v>
      </c>
      <c r="AJ50" s="689">
        <f t="shared" si="132"/>
        <v>0.12280234416622271</v>
      </c>
      <c r="AK50" s="781">
        <f t="shared" ref="AK50:AK52" si="133">+AK45/AJ45-1</f>
        <v>-0.1080466587584018</v>
      </c>
      <c r="AL50" s="689">
        <f t="shared" ref="AL50:AL52" si="134">+AL45/AK45-1</f>
        <v>7.307990690457622E-2</v>
      </c>
      <c r="AM50" s="689">
        <f t="shared" ref="AM50:AM52" si="135">+AM45/AL45-1</f>
        <v>5.0000000000000044E-2</v>
      </c>
    </row>
    <row r="51" spans="1:43" ht="12" outlineLevel="1" x14ac:dyDescent="0.3">
      <c r="A51" s="778" t="str">
        <f>+A46</f>
        <v>SG&amp;A</v>
      </c>
      <c r="C51" s="744"/>
      <c r="D51" s="744"/>
      <c r="E51" s="744"/>
      <c r="F51" s="745"/>
      <c r="G51" s="786"/>
      <c r="H51" s="786"/>
      <c r="I51" s="786"/>
      <c r="J51" s="787"/>
      <c r="K51" s="786">
        <f t="shared" si="125"/>
        <v>2.4664159054271551E-2</v>
      </c>
      <c r="L51" s="786">
        <f t="shared" si="125"/>
        <v>0.59837728194726192</v>
      </c>
      <c r="M51" s="786">
        <f t="shared" si="125"/>
        <v>0.32542411091698131</v>
      </c>
      <c r="N51" s="787">
        <f t="shared" si="125"/>
        <v>0.45554756769710059</v>
      </c>
      <c r="O51" s="786">
        <f t="shared" si="125"/>
        <v>0.39257433530861618</v>
      </c>
      <c r="P51" s="786">
        <f t="shared" si="125"/>
        <v>0.27257070340826672</v>
      </c>
      <c r="Q51" s="786">
        <f t="shared" si="125"/>
        <v>6.0594463579538349E-2</v>
      </c>
      <c r="R51" s="786">
        <f t="shared" si="125"/>
        <v>-4.7867961804412218E-2</v>
      </c>
      <c r="S51" s="992">
        <f t="shared" si="125"/>
        <v>-9.5951798154773171E-2</v>
      </c>
      <c r="T51" s="800">
        <f t="shared" si="125"/>
        <v>-0.12440344753899846</v>
      </c>
      <c r="U51" s="800">
        <f t="shared" si="125"/>
        <v>-5.7814128778766793E-2</v>
      </c>
      <c r="V51" s="800">
        <f t="shared" si="125"/>
        <v>1.5864781913283998E-2</v>
      </c>
      <c r="W51" s="995">
        <f t="shared" si="125"/>
        <v>8.4975215562128614E-3</v>
      </c>
      <c r="X51" s="800">
        <f t="shared" si="126"/>
        <v>-2.9774252593044559E-2</v>
      </c>
      <c r="Y51" s="1457">
        <f t="shared" si="127"/>
        <v>-4.672340425531929E-2</v>
      </c>
      <c r="Z51" s="1097">
        <f t="shared" si="125"/>
        <v>-4.672340425531929E-2</v>
      </c>
      <c r="AA51" s="800">
        <f t="shared" si="128"/>
        <v>-3.3414563628103022E-2</v>
      </c>
      <c r="AB51" s="800">
        <f t="shared" si="129"/>
        <v>7.1437555024522759E-4</v>
      </c>
      <c r="AC51" s="800">
        <f t="shared" si="130"/>
        <v>4.9548674225515787E-2</v>
      </c>
      <c r="AD51" s="800">
        <f t="shared" si="131"/>
        <v>5.0000000000000044E-2</v>
      </c>
      <c r="AE51" s="736"/>
      <c r="AF51" s="786"/>
      <c r="AG51" s="786"/>
      <c r="AH51" s="786">
        <f t="shared" si="132"/>
        <v>-0.16117900971214916</v>
      </c>
      <c r="AI51" s="786">
        <f t="shared" si="132"/>
        <v>0.33055094317042899</v>
      </c>
      <c r="AJ51" s="786">
        <f t="shared" si="132"/>
        <v>0.15472309041440879</v>
      </c>
      <c r="AK51" s="788">
        <f t="shared" si="133"/>
        <v>-6.9283794835845347E-2</v>
      </c>
      <c r="AL51" s="786">
        <f t="shared" si="134"/>
        <v>-2.8496108460959069E-2</v>
      </c>
      <c r="AM51" s="786">
        <f t="shared" si="135"/>
        <v>1.548573674462661E-2</v>
      </c>
    </row>
    <row r="52" spans="1:43" ht="12" outlineLevel="1" x14ac:dyDescent="0.3">
      <c r="A52" s="798" t="str">
        <f>+A47</f>
        <v>Total Adj. Opex ex-D&amp;A</v>
      </c>
      <c r="C52" s="744"/>
      <c r="D52" s="744"/>
      <c r="E52" s="744"/>
      <c r="F52" s="745"/>
      <c r="G52" s="689"/>
      <c r="H52" s="689"/>
      <c r="I52" s="689"/>
      <c r="J52" s="779"/>
      <c r="K52" s="689">
        <f t="shared" si="125"/>
        <v>0.10666966090276175</v>
      </c>
      <c r="L52" s="689">
        <f t="shared" si="125"/>
        <v>0.60672709923664137</v>
      </c>
      <c r="M52" s="689">
        <f t="shared" si="125"/>
        <v>0.33565063757873714</v>
      </c>
      <c r="N52" s="779">
        <f t="shared" si="125"/>
        <v>0.26910322444083845</v>
      </c>
      <c r="O52" s="689">
        <f t="shared" si="125"/>
        <v>0.35700757575757569</v>
      </c>
      <c r="P52" s="689">
        <f t="shared" si="125"/>
        <v>0.2088962793598006</v>
      </c>
      <c r="Q52" s="689">
        <f t="shared" si="125"/>
        <v>8.6700215672178338E-2</v>
      </c>
      <c r="R52" s="689">
        <f t="shared" si="125"/>
        <v>-3.6470784455439942E-2</v>
      </c>
      <c r="S52" s="991">
        <f t="shared" si="125"/>
        <v>-9.8444821054730292E-2</v>
      </c>
      <c r="T52" s="799">
        <f t="shared" si="125"/>
        <v>-9.9528394576537615E-2</v>
      </c>
      <c r="U52" s="799">
        <f t="shared" si="125"/>
        <v>-8.7245302990208828E-2</v>
      </c>
      <c r="V52" s="799">
        <f t="shared" si="125"/>
        <v>-3.6985748081472036E-2</v>
      </c>
      <c r="W52" s="994">
        <f t="shared" si="125"/>
        <v>-4.1742688118538984E-3</v>
      </c>
      <c r="X52" s="799">
        <f t="shared" si="126"/>
        <v>5.1009274413529315E-3</v>
      </c>
      <c r="Y52" s="1456">
        <f t="shared" si="127"/>
        <v>3.3340097990892659E-3</v>
      </c>
      <c r="Z52" s="913">
        <f t="shared" si="125"/>
        <v>1.2642300778908711E-2</v>
      </c>
      <c r="AA52" s="799">
        <f t="shared" si="128"/>
        <v>-6.0627932154457831E-3</v>
      </c>
      <c r="AB52" s="799">
        <f t="shared" si="129"/>
        <v>1.8094824544738985E-2</v>
      </c>
      <c r="AC52" s="799">
        <f t="shared" si="130"/>
        <v>4.9707853675450941E-2</v>
      </c>
      <c r="AD52" s="799">
        <f t="shared" si="131"/>
        <v>5.0000000000000044E-2</v>
      </c>
      <c r="AE52" s="736"/>
      <c r="AF52" s="689"/>
      <c r="AG52" s="689"/>
      <c r="AH52" s="689">
        <f t="shared" si="132"/>
        <v>-9.5541514165950248E-2</v>
      </c>
      <c r="AI52" s="689">
        <f t="shared" si="132"/>
        <v>0.31289437585733859</v>
      </c>
      <c r="AJ52" s="689">
        <f t="shared" si="132"/>
        <v>0.14399152200844823</v>
      </c>
      <c r="AK52" s="781">
        <f t="shared" si="133"/>
        <v>-8.2074265434997962E-2</v>
      </c>
      <c r="AL52" s="689">
        <f t="shared" si="134"/>
        <v>4.0722920679139296E-3</v>
      </c>
      <c r="AM52" s="689">
        <f t="shared" si="135"/>
        <v>2.7312637315968225E-2</v>
      </c>
    </row>
    <row r="53" spans="1:43" ht="12" outlineLevel="1" x14ac:dyDescent="0.3">
      <c r="A53" s="798"/>
      <c r="C53" s="744"/>
      <c r="D53" s="744"/>
      <c r="E53" s="744"/>
      <c r="F53" s="745"/>
      <c r="G53" s="689"/>
      <c r="H53" s="689"/>
      <c r="I53" s="689"/>
      <c r="J53" s="779"/>
      <c r="K53" s="689"/>
      <c r="L53" s="689"/>
      <c r="M53" s="689"/>
      <c r="N53" s="779"/>
      <c r="O53" s="689"/>
      <c r="P53" s="689"/>
      <c r="Q53" s="689"/>
      <c r="R53" s="689"/>
      <c r="S53" s="991"/>
      <c r="T53" s="799"/>
      <c r="U53" s="799"/>
      <c r="V53" s="799"/>
      <c r="W53" s="994"/>
      <c r="X53" s="799"/>
      <c r="Y53" s="1456"/>
      <c r="Z53" s="913"/>
      <c r="AA53" s="799"/>
      <c r="AB53" s="799"/>
      <c r="AC53" s="799"/>
      <c r="AD53" s="799"/>
      <c r="AE53" s="736"/>
      <c r="AF53" s="689"/>
      <c r="AG53" s="689"/>
      <c r="AH53" s="689"/>
      <c r="AI53" s="689"/>
      <c r="AJ53" s="689"/>
      <c r="AK53" s="781"/>
      <c r="AL53" s="689"/>
      <c r="AM53" s="689"/>
    </row>
    <row r="54" spans="1:43" ht="12" outlineLevel="1" x14ac:dyDescent="0.3">
      <c r="A54" s="782" t="s">
        <v>228</v>
      </c>
      <c r="C54" s="744"/>
      <c r="D54" s="744"/>
      <c r="E54" s="744"/>
      <c r="F54" s="745"/>
      <c r="G54" s="750"/>
      <c r="H54" s="750"/>
      <c r="I54" s="750"/>
      <c r="J54" s="751"/>
      <c r="K54" s="750"/>
      <c r="L54" s="750"/>
      <c r="M54" s="750"/>
      <c r="N54" s="751"/>
      <c r="O54" s="750"/>
      <c r="P54" s="744"/>
      <c r="Q54" s="744"/>
      <c r="R54" s="744"/>
      <c r="S54" s="985"/>
      <c r="T54" s="736"/>
      <c r="U54" s="736"/>
      <c r="V54" s="736"/>
      <c r="W54" s="986"/>
      <c r="X54" s="736"/>
      <c r="Y54" s="754"/>
      <c r="Z54" s="752"/>
      <c r="AA54" s="736"/>
      <c r="AB54" s="736"/>
      <c r="AC54" s="736"/>
      <c r="AD54" s="736"/>
      <c r="AE54" s="736"/>
      <c r="AF54" s="750"/>
      <c r="AG54" s="750"/>
      <c r="AH54" s="750"/>
      <c r="AI54" s="750"/>
      <c r="AJ54" s="744"/>
      <c r="AK54" s="792"/>
      <c r="AL54" s="744"/>
      <c r="AM54" s="744"/>
    </row>
    <row r="55" spans="1:43" ht="12" outlineLevel="1" x14ac:dyDescent="0.3">
      <c r="A55" s="778" t="str">
        <f>+A50</f>
        <v xml:space="preserve">Product and Technology </v>
      </c>
      <c r="C55" s="744"/>
      <c r="D55" s="744"/>
      <c r="E55" s="744"/>
      <c r="F55" s="745"/>
      <c r="G55" s="689"/>
      <c r="H55" s="689">
        <f t="shared" ref="H55:Z55" si="136">+H45/G45-1</f>
        <v>-0.11741489886531853</v>
      </c>
      <c r="I55" s="689">
        <f t="shared" si="136"/>
        <v>0.15888764673001665</v>
      </c>
      <c r="J55" s="779">
        <f t="shared" si="136"/>
        <v>0.40528156276377669</v>
      </c>
      <c r="K55" s="689">
        <f t="shared" si="136"/>
        <v>-9.9107602539900364E-2</v>
      </c>
      <c r="L55" s="689">
        <f t="shared" si="136"/>
        <v>0.10610534336603483</v>
      </c>
      <c r="M55" s="689">
        <f t="shared" si="136"/>
        <v>-3.0569189701196819E-2</v>
      </c>
      <c r="N55" s="779">
        <f t="shared" si="136"/>
        <v>3.7306804050452946E-2</v>
      </c>
      <c r="O55" s="689">
        <f t="shared" si="136"/>
        <v>0.16192841239938338</v>
      </c>
      <c r="P55" s="689">
        <f t="shared" si="136"/>
        <v>-6.8907067580514347E-2</v>
      </c>
      <c r="Q55" s="689">
        <f t="shared" si="136"/>
        <v>1.6938420136140664E-2</v>
      </c>
      <c r="R55" s="689">
        <f t="shared" si="136"/>
        <v>-0.10266189290161898</v>
      </c>
      <c r="S55" s="991">
        <f t="shared" si="136"/>
        <v>5.5338711076416081E-2</v>
      </c>
      <c r="T55" s="799">
        <f t="shared" si="136"/>
        <v>-7.561436672967714E-3</v>
      </c>
      <c r="U55" s="799">
        <f t="shared" si="136"/>
        <v>-8.9606625258798478E-2</v>
      </c>
      <c r="V55" s="799">
        <f t="shared" si="136"/>
        <v>-0.10124624761211543</v>
      </c>
      <c r="W55" s="994">
        <f t="shared" si="136"/>
        <v>0.19554655870445048</v>
      </c>
      <c r="X55" s="799">
        <f t="shared" ref="X55:X57" si="137">+X45/W45-1</f>
        <v>0.10006772773450723</v>
      </c>
      <c r="Y55" s="1456">
        <f t="shared" ref="Y55:Y57" si="138">+Y45/X45-1</f>
        <v>-6.0643373864860628E-2</v>
      </c>
      <c r="Z55" s="913">
        <f t="shared" si="136"/>
        <v>-6.6033098476159346E-2</v>
      </c>
      <c r="AA55" s="799">
        <f t="shared" ref="AA55:AA57" si="139">+AA45/Z45-1</f>
        <v>8.7947368421052552E-2</v>
      </c>
      <c r="AB55" s="799">
        <f t="shared" ref="AB55:AB57" si="140">+AB45/AA45-1</f>
        <v>0.10006772773450745</v>
      </c>
      <c r="AC55" s="799">
        <f t="shared" ref="AC55:AC57" si="141">+AC45/AB45-1</f>
        <v>-6.0643373864860628E-2</v>
      </c>
      <c r="AD55" s="799">
        <f t="shared" ref="AD55:AD57" si="142">+AD45/AC45-1</f>
        <v>-6.6033098476159346E-2</v>
      </c>
      <c r="AE55" s="736"/>
      <c r="AF55" s="689"/>
      <c r="AG55" s="689"/>
      <c r="AH55" s="689">
        <f t="shared" ref="AH55:AJ57" si="143">+AH45/AG45-1</f>
        <v>6.2268078559145623E-2</v>
      </c>
      <c r="AI55" s="689">
        <f t="shared" si="143"/>
        <v>0.27937292323421659</v>
      </c>
      <c r="AJ55" s="689">
        <f t="shared" si="143"/>
        <v>0.12280234416622271</v>
      </c>
      <c r="AK55" s="781">
        <f t="shared" ref="AK55:AK57" si="144">+AK45/AJ45-1</f>
        <v>-0.1080466587584018</v>
      </c>
      <c r="AL55" s="689">
        <f t="shared" ref="AL55:AL57" si="145">+AL45/AK45-1</f>
        <v>7.307990690457622E-2</v>
      </c>
      <c r="AM55" s="689">
        <f t="shared" ref="AM55:AM57" si="146">+AM45/AL45-1</f>
        <v>5.0000000000000044E-2</v>
      </c>
    </row>
    <row r="56" spans="1:43" ht="12" outlineLevel="1" x14ac:dyDescent="0.3">
      <c r="A56" s="778" t="str">
        <f>+A51</f>
        <v>SG&amp;A</v>
      </c>
      <c r="C56" s="744"/>
      <c r="D56" s="744"/>
      <c r="E56" s="744"/>
      <c r="F56" s="745"/>
      <c r="G56" s="786"/>
      <c r="H56" s="786">
        <f t="shared" ref="H56:Z56" si="147">+H46/G46-1</f>
        <v>-0.25824825362708259</v>
      </c>
      <c r="I56" s="786">
        <f t="shared" si="147"/>
        <v>0.28535207186322809</v>
      </c>
      <c r="J56" s="787">
        <f t="shared" si="147"/>
        <v>-5.9234627740517354E-2</v>
      </c>
      <c r="K56" s="786">
        <f t="shared" si="147"/>
        <v>0.142403546609154</v>
      </c>
      <c r="L56" s="786">
        <f t="shared" si="147"/>
        <v>0.15706119880434222</v>
      </c>
      <c r="M56" s="786">
        <f t="shared" si="147"/>
        <v>6.5853879622915112E-2</v>
      </c>
      <c r="N56" s="787">
        <f t="shared" si="147"/>
        <v>3.3124973423481086E-2</v>
      </c>
      <c r="O56" s="786">
        <f t="shared" si="147"/>
        <v>9.2978268027658739E-2</v>
      </c>
      <c r="P56" s="786">
        <f t="shared" si="147"/>
        <v>5.7352664281679511E-2</v>
      </c>
      <c r="Q56" s="786">
        <f t="shared" si="147"/>
        <v>-0.11168886672839939</v>
      </c>
      <c r="R56" s="786">
        <f t="shared" si="147"/>
        <v>-7.2528265576136564E-2</v>
      </c>
      <c r="S56" s="992">
        <f t="shared" si="147"/>
        <v>3.7781524229455465E-2</v>
      </c>
      <c r="T56" s="800">
        <f t="shared" si="147"/>
        <v>2.407631107593633E-2</v>
      </c>
      <c r="U56" s="800">
        <f t="shared" si="147"/>
        <v>-4.4132601179581066E-2</v>
      </c>
      <c r="V56" s="800">
        <f t="shared" si="147"/>
        <v>0</v>
      </c>
      <c r="W56" s="995">
        <f t="shared" si="147"/>
        <v>3.0255319148936088E-2</v>
      </c>
      <c r="X56" s="800">
        <f t="shared" si="137"/>
        <v>-1.4786667217380423E-2</v>
      </c>
      <c r="Y56" s="1457">
        <f t="shared" si="138"/>
        <v>-6.0830922735085946E-2</v>
      </c>
      <c r="Z56" s="1097">
        <f t="shared" si="147"/>
        <v>0</v>
      </c>
      <c r="AA56" s="800">
        <f t="shared" si="139"/>
        <v>4.4638871529327773E-2</v>
      </c>
      <c r="AB56" s="800">
        <f t="shared" si="140"/>
        <v>2.0000000000000018E-2</v>
      </c>
      <c r="AC56" s="800">
        <f t="shared" si="141"/>
        <v>-1.4999999999999902E-2</v>
      </c>
      <c r="AD56" s="800">
        <f t="shared" si="142"/>
        <v>4.3001890771510176E-4</v>
      </c>
      <c r="AE56" s="736"/>
      <c r="AF56" s="786"/>
      <c r="AG56" s="786"/>
      <c r="AH56" s="786">
        <f t="shared" si="143"/>
        <v>-0.16117900971214916</v>
      </c>
      <c r="AI56" s="786">
        <f t="shared" si="143"/>
        <v>0.33055094317042899</v>
      </c>
      <c r="AJ56" s="786">
        <f t="shared" si="143"/>
        <v>0.15472309041440879</v>
      </c>
      <c r="AK56" s="788">
        <f t="shared" si="144"/>
        <v>-6.9283794835845347E-2</v>
      </c>
      <c r="AL56" s="786">
        <f t="shared" si="145"/>
        <v>-2.8496108460959069E-2</v>
      </c>
      <c r="AM56" s="786">
        <f t="shared" si="146"/>
        <v>1.548573674462661E-2</v>
      </c>
    </row>
    <row r="57" spans="1:43" ht="12" outlineLevel="1" x14ac:dyDescent="0.3">
      <c r="A57" s="798" t="str">
        <f>+A52</f>
        <v>Total Adj. Opex ex-D&amp;A</v>
      </c>
      <c r="C57" s="744"/>
      <c r="D57" s="744"/>
      <c r="E57" s="744"/>
      <c r="F57" s="745"/>
      <c r="G57" s="689"/>
      <c r="H57" s="689">
        <f t="shared" ref="H57:Z57" si="148">+H47/G47-1</f>
        <v>-0.215510142974774</v>
      </c>
      <c r="I57" s="689">
        <f t="shared" si="148"/>
        <v>0.24217557251908395</v>
      </c>
      <c r="J57" s="779">
        <f t="shared" si="148"/>
        <v>8.8723306191427431E-2</v>
      </c>
      <c r="K57" s="689">
        <f t="shared" si="148"/>
        <v>4.31101389966837E-2</v>
      </c>
      <c r="L57" s="689">
        <f t="shared" si="148"/>
        <v>0.13896780303030321</v>
      </c>
      <c r="M57" s="689">
        <f t="shared" si="148"/>
        <v>3.2603854262553078E-2</v>
      </c>
      <c r="N57" s="779">
        <f t="shared" si="148"/>
        <v>3.4478792235801636E-2</v>
      </c>
      <c r="O57" s="689">
        <f t="shared" si="148"/>
        <v>0.11536109412353346</v>
      </c>
      <c r="P57" s="689">
        <f t="shared" si="148"/>
        <v>1.4654570830425984E-2</v>
      </c>
      <c r="Q57" s="689">
        <f t="shared" si="148"/>
        <v>-7.1772450383179476E-2</v>
      </c>
      <c r="R57" s="689">
        <f t="shared" si="148"/>
        <v>-8.2773220428684624E-2</v>
      </c>
      <c r="S57" s="991">
        <f t="shared" si="148"/>
        <v>4.3621256707633504E-2</v>
      </c>
      <c r="T57" s="799">
        <f t="shared" si="148"/>
        <v>1.3435063858019625E-2</v>
      </c>
      <c r="U57" s="799">
        <f t="shared" si="148"/>
        <v>-5.9110747408619546E-2</v>
      </c>
      <c r="V57" s="799">
        <f t="shared" si="148"/>
        <v>-3.2267416577276165E-2</v>
      </c>
      <c r="W57" s="994">
        <f t="shared" si="148"/>
        <v>7.9179149191131559E-2</v>
      </c>
      <c r="X57" s="799">
        <f t="shared" si="137"/>
        <v>2.2874274768897696E-2</v>
      </c>
      <c r="Y57" s="1456">
        <f t="shared" si="138"/>
        <v>-6.0764784107254388E-2</v>
      </c>
      <c r="Z57" s="913">
        <f t="shared" si="148"/>
        <v>-2.328941285251962E-2</v>
      </c>
      <c r="AA57" s="799">
        <f t="shared" si="139"/>
        <v>5.9245015087864505E-2</v>
      </c>
      <c r="AB57" s="799">
        <f t="shared" si="140"/>
        <v>4.7735207208012609E-2</v>
      </c>
      <c r="AC57" s="799">
        <f t="shared" si="141"/>
        <v>-3.1600437599663356E-2</v>
      </c>
      <c r="AD57" s="799">
        <f t="shared" si="142"/>
        <v>-2.3017582545463933E-2</v>
      </c>
      <c r="AE57" s="736"/>
      <c r="AF57" s="689"/>
      <c r="AG57" s="689"/>
      <c r="AH57" s="689">
        <f t="shared" si="143"/>
        <v>-9.5541514165950248E-2</v>
      </c>
      <c r="AI57" s="689">
        <f t="shared" si="143"/>
        <v>0.31289437585733859</v>
      </c>
      <c r="AJ57" s="689">
        <f t="shared" si="143"/>
        <v>0.14399152200844823</v>
      </c>
      <c r="AK57" s="781">
        <f t="shared" si="144"/>
        <v>-8.2074265434997962E-2</v>
      </c>
      <c r="AL57" s="689">
        <f t="shared" si="145"/>
        <v>4.0722920679139296E-3</v>
      </c>
      <c r="AM57" s="689">
        <f t="shared" si="146"/>
        <v>2.7312637315968225E-2</v>
      </c>
    </row>
    <row r="58" spans="1:43" ht="12" outlineLevel="1" x14ac:dyDescent="0.3">
      <c r="A58" s="798"/>
      <c r="C58" s="744"/>
      <c r="D58" s="744"/>
      <c r="E58" s="744"/>
      <c r="F58" s="745"/>
      <c r="G58" s="689"/>
      <c r="H58" s="689"/>
      <c r="I58" s="689"/>
      <c r="J58" s="779"/>
      <c r="K58" s="689"/>
      <c r="L58" s="689"/>
      <c r="M58" s="689"/>
      <c r="N58" s="779"/>
      <c r="O58" s="689"/>
      <c r="P58" s="689"/>
      <c r="Q58" s="689"/>
      <c r="R58" s="689"/>
      <c r="S58" s="991"/>
      <c r="T58" s="689"/>
      <c r="U58" s="799"/>
      <c r="V58" s="799"/>
      <c r="W58" s="991"/>
      <c r="X58" s="689"/>
      <c r="Y58" s="1456"/>
      <c r="Z58" s="779"/>
      <c r="AA58" s="689"/>
      <c r="AB58" s="689"/>
      <c r="AC58" s="689"/>
      <c r="AD58" s="689"/>
      <c r="AE58" s="744"/>
      <c r="AF58" s="689"/>
      <c r="AG58" s="689"/>
      <c r="AJ58" s="689"/>
      <c r="AK58" s="781"/>
      <c r="AL58" s="689"/>
      <c r="AM58" s="689"/>
    </row>
    <row r="59" spans="1:43" ht="12" x14ac:dyDescent="0.3">
      <c r="A59" s="782" t="s">
        <v>229</v>
      </c>
      <c r="C59" s="744"/>
      <c r="D59" s="744"/>
      <c r="E59" s="744"/>
      <c r="F59" s="745"/>
      <c r="G59" s="750"/>
      <c r="H59" s="750"/>
      <c r="I59" s="750"/>
      <c r="J59" s="751"/>
      <c r="K59" s="750"/>
      <c r="L59" s="750"/>
      <c r="M59" s="750"/>
      <c r="N59" s="751"/>
      <c r="O59" s="750"/>
      <c r="P59" s="744"/>
      <c r="Q59" s="744"/>
      <c r="R59" s="744"/>
      <c r="S59" s="985"/>
      <c r="T59" s="744"/>
      <c r="U59" s="736"/>
      <c r="V59" s="736"/>
      <c r="W59" s="985"/>
      <c r="X59" s="744"/>
      <c r="Y59" s="754"/>
      <c r="Z59" s="745"/>
      <c r="AA59" s="744"/>
      <c r="AB59" s="744"/>
      <c r="AC59" s="744"/>
      <c r="AD59" s="744"/>
      <c r="AE59" s="744"/>
      <c r="AF59" s="750"/>
      <c r="AG59" s="750"/>
      <c r="AH59" s="750"/>
      <c r="AI59" s="750"/>
      <c r="AJ59" s="744"/>
      <c r="AK59" s="792"/>
      <c r="AL59" s="744"/>
      <c r="AM59" s="744"/>
      <c r="AP59" s="460" t="e">
        <f>+AP52/AO52-1</f>
        <v>#DIV/0!</v>
      </c>
      <c r="AQ59" s="460" t="e">
        <f>+AQ52/AP52-1</f>
        <v>#DIV/0!</v>
      </c>
    </row>
    <row r="60" spans="1:43" ht="12" x14ac:dyDescent="0.3">
      <c r="A60" s="778" t="s">
        <v>230</v>
      </c>
      <c r="C60" s="744"/>
      <c r="D60" s="744"/>
      <c r="E60" s="744"/>
      <c r="F60" s="745"/>
      <c r="G60" s="689">
        <f t="shared" ref="G60:Z60" si="149">+G45/G$12</f>
        <v>7.3151147159393373E-2</v>
      </c>
      <c r="H60" s="689">
        <f t="shared" si="149"/>
        <v>6.8156924747364109E-2</v>
      </c>
      <c r="I60" s="689">
        <f t="shared" si="149"/>
        <v>6.063109564403632E-2</v>
      </c>
      <c r="J60" s="779">
        <f t="shared" si="149"/>
        <v>7.444552330335244E-2</v>
      </c>
      <c r="K60" s="689">
        <f t="shared" si="149"/>
        <v>7.9495721965624294E-2</v>
      </c>
      <c r="L60" s="689">
        <f t="shared" si="149"/>
        <v>6.6426046469060668E-2</v>
      </c>
      <c r="M60" s="689">
        <f t="shared" si="149"/>
        <v>5.8371831365656136E-2</v>
      </c>
      <c r="N60" s="779">
        <f t="shared" si="149"/>
        <v>5.4947019742909269E-2</v>
      </c>
      <c r="O60" s="689">
        <f t="shared" si="149"/>
        <v>7.1460546342182726E-2</v>
      </c>
      <c r="P60" s="689">
        <f t="shared" si="149"/>
        <v>6.2680776539112235E-2</v>
      </c>
      <c r="Q60" s="689">
        <f t="shared" si="149"/>
        <v>6.237317099220336E-2</v>
      </c>
      <c r="R60" s="689">
        <f t="shared" si="149"/>
        <v>5.4229873703520781E-2</v>
      </c>
      <c r="S60" s="994">
        <f t="shared" si="149"/>
        <v>6.9319735642661806E-2</v>
      </c>
      <c r="T60" s="799">
        <f t="shared" si="149"/>
        <v>6.5159323314356643E-2</v>
      </c>
      <c r="U60" s="799">
        <f t="shared" si="149"/>
        <v>5.4865145435307787E-2</v>
      </c>
      <c r="V60" s="799">
        <f t="shared" si="149"/>
        <v>4.8775189818426087E-2</v>
      </c>
      <c r="W60" s="994">
        <f t="shared" si="149"/>
        <v>6.9721868064409498E-2</v>
      </c>
      <c r="X60" s="799">
        <f t="shared" ref="X60:Y60" si="150">+X45/X$12</f>
        <v>7.0410629328189173E-2</v>
      </c>
      <c r="Y60" s="1456">
        <f t="shared" si="150"/>
        <v>6.1300026617248989E-2</v>
      </c>
      <c r="Z60" s="913">
        <f t="shared" si="149"/>
        <v>5.4746986523348744E-2</v>
      </c>
      <c r="AA60" s="799">
        <f t="shared" ref="AA60:AD60" si="151">+AA45/AA$12</f>
        <v>6.9545836996708993E-2</v>
      </c>
      <c r="AB60" s="799">
        <f t="shared" si="151"/>
        <v>6.961356404507596E-2</v>
      </c>
      <c r="AC60" s="799">
        <f t="shared" si="151"/>
        <v>5.990240253948146E-2</v>
      </c>
      <c r="AD60" s="799">
        <f t="shared" si="151"/>
        <v>5.3123507787857051E-2</v>
      </c>
      <c r="AE60" s="744"/>
      <c r="AF60" s="689"/>
      <c r="AG60" s="689">
        <f t="shared" ref="AG60:AL62" si="152">+AG45/AG$12</f>
        <v>6.8802969070110659E-2</v>
      </c>
      <c r="AH60" s="689">
        <f t="shared" si="152"/>
        <v>6.9155893894578074E-2</v>
      </c>
      <c r="AI60" s="689">
        <f t="shared" si="152"/>
        <v>6.3243459521686932E-2</v>
      </c>
      <c r="AJ60" s="689">
        <f t="shared" si="152"/>
        <v>6.2442671380936093E-2</v>
      </c>
      <c r="AK60" s="781">
        <f t="shared" si="152"/>
        <v>5.9069525676225983E-2</v>
      </c>
      <c r="AL60" s="689">
        <f t="shared" si="152"/>
        <v>6.3590253327250837E-2</v>
      </c>
      <c r="AM60" s="689">
        <f t="shared" ref="AM60" si="153">+AM45/AM$12</f>
        <v>6.2478150345237078E-2</v>
      </c>
      <c r="AQ60" s="460" t="e">
        <f>+AQ52/AO52-1</f>
        <v>#DIV/0!</v>
      </c>
    </row>
    <row r="61" spans="1:43" ht="12" x14ac:dyDescent="0.3">
      <c r="A61" s="778" t="s">
        <v>226</v>
      </c>
      <c r="C61" s="744"/>
      <c r="D61" s="744"/>
      <c r="E61" s="744"/>
      <c r="F61" s="745"/>
      <c r="G61" s="786">
        <f t="shared" ref="G61:Z61" si="154">+G46/G$12</f>
        <v>0.1679011900143452</v>
      </c>
      <c r="H61" s="786">
        <f t="shared" si="154"/>
        <v>0.13147543169544634</v>
      </c>
      <c r="I61" s="786">
        <f t="shared" si="154"/>
        <v>0.12972115398675224</v>
      </c>
      <c r="J61" s="787">
        <f t="shared" si="154"/>
        <v>0.10662816843826661</v>
      </c>
      <c r="K61" s="786">
        <f t="shared" si="154"/>
        <v>0.14438555311577195</v>
      </c>
      <c r="L61" s="786">
        <f t="shared" si="154"/>
        <v>0.12620548431011405</v>
      </c>
      <c r="M61" s="786">
        <f t="shared" si="154"/>
        <v>0.12193376782964427</v>
      </c>
      <c r="N61" s="787">
        <f t="shared" si="154"/>
        <v>0.11431690286639182</v>
      </c>
      <c r="O61" s="786">
        <f t="shared" si="154"/>
        <v>0.13985074862677149</v>
      </c>
      <c r="P61" s="786">
        <f t="shared" si="154"/>
        <v>0.13930274209792567</v>
      </c>
      <c r="Q61" s="786">
        <f t="shared" si="154"/>
        <v>0.12108589904168245</v>
      </c>
      <c r="R61" s="786">
        <f t="shared" si="154"/>
        <v>0.1088125308685529</v>
      </c>
      <c r="S61" s="995">
        <f t="shared" si="154"/>
        <v>0.13677643573381948</v>
      </c>
      <c r="T61" s="800">
        <f t="shared" si="154"/>
        <v>0.13266600113320562</v>
      </c>
      <c r="U61" s="800">
        <f t="shared" si="154"/>
        <v>0.11728653849993012</v>
      </c>
      <c r="V61" s="800">
        <f t="shared" si="154"/>
        <v>0.11601386242236945</v>
      </c>
      <c r="W61" s="995">
        <f t="shared" si="154"/>
        <v>0.1429085800632762</v>
      </c>
      <c r="X61" s="800">
        <f t="shared" ref="X61:Y61" si="155">+X46/X$12</f>
        <v>0.12925232733302267</v>
      </c>
      <c r="Y61" s="1457">
        <f t="shared" si="155"/>
        <v>0.11250558711122494</v>
      </c>
      <c r="Z61" s="1097">
        <f t="shared" si="154"/>
        <v>0.10758263088561916</v>
      </c>
      <c r="AA61" s="800">
        <f t="shared" ref="AA61:AD61" si="156">+AA46/AA$12</f>
        <v>0.13122342713600241</v>
      </c>
      <c r="AB61" s="800">
        <f t="shared" si="156"/>
        <v>0.12179090410215154</v>
      </c>
      <c r="AC61" s="800">
        <f t="shared" si="156"/>
        <v>0.10989323389299728</v>
      </c>
      <c r="AD61" s="800">
        <f t="shared" si="156"/>
        <v>0.10439235275996259</v>
      </c>
      <c r="AE61" s="744"/>
      <c r="AF61" s="786"/>
      <c r="AG61" s="786">
        <f t="shared" si="152"/>
        <v>0.16542021350569883</v>
      </c>
      <c r="AH61" s="786">
        <f t="shared" si="152"/>
        <v>0.13129426460363661</v>
      </c>
      <c r="AI61" s="786">
        <f t="shared" si="152"/>
        <v>0.12487241943295964</v>
      </c>
      <c r="AJ61" s="786">
        <f t="shared" si="152"/>
        <v>0.12679639960840616</v>
      </c>
      <c r="AK61" s="788">
        <f t="shared" si="152"/>
        <v>0.12515957216982798</v>
      </c>
      <c r="AL61" s="786">
        <f t="shared" si="152"/>
        <v>0.12198421147639285</v>
      </c>
      <c r="AM61" s="786">
        <f t="shared" ref="AM61" si="157">+AM46/AM$12</f>
        <v>0.11591129572617929</v>
      </c>
    </row>
    <row r="62" spans="1:43" ht="12" x14ac:dyDescent="0.3">
      <c r="A62" s="798" t="str">
        <f>+A57</f>
        <v>Total Adj. Opex ex-D&amp;A</v>
      </c>
      <c r="C62" s="744"/>
      <c r="D62" s="744"/>
      <c r="E62" s="744"/>
      <c r="F62" s="745"/>
      <c r="G62" s="689">
        <f t="shared" ref="G62:Z62" si="158">+G47/G$12</f>
        <v>0.24105233717373858</v>
      </c>
      <c r="H62" s="689">
        <f t="shared" si="158"/>
        <v>0.19963235644281047</v>
      </c>
      <c r="I62" s="689">
        <f t="shared" si="158"/>
        <v>0.19035224963078856</v>
      </c>
      <c r="J62" s="779">
        <f t="shared" si="158"/>
        <v>0.18107369174161905</v>
      </c>
      <c r="K62" s="689">
        <f t="shared" si="158"/>
        <v>0.22388127508139621</v>
      </c>
      <c r="L62" s="689">
        <f t="shared" si="158"/>
        <v>0.19263153077917472</v>
      </c>
      <c r="M62" s="689">
        <f t="shared" si="158"/>
        <v>0.1803055991953004</v>
      </c>
      <c r="N62" s="779">
        <f t="shared" si="158"/>
        <v>0.16926392260930109</v>
      </c>
      <c r="O62" s="689">
        <f t="shared" si="158"/>
        <v>0.21131129496895421</v>
      </c>
      <c r="P62" s="689">
        <f t="shared" si="158"/>
        <v>0.20198351863703792</v>
      </c>
      <c r="Q62" s="689">
        <f t="shared" si="158"/>
        <v>0.18345907003388581</v>
      </c>
      <c r="R62" s="689">
        <f t="shared" si="158"/>
        <v>0.1630424045720737</v>
      </c>
      <c r="S62" s="991">
        <f t="shared" si="158"/>
        <v>0.20609617137648129</v>
      </c>
      <c r="T62" s="689">
        <f t="shared" si="158"/>
        <v>0.19782532444756229</v>
      </c>
      <c r="U62" s="799">
        <f t="shared" si="158"/>
        <v>0.17215168393523791</v>
      </c>
      <c r="V62" s="799">
        <f t="shared" si="158"/>
        <v>0.16478905224079554</v>
      </c>
      <c r="W62" s="991">
        <f t="shared" si="158"/>
        <v>0.21263044812768567</v>
      </c>
      <c r="X62" s="689">
        <f t="shared" ref="X62:Y62" si="159">+X47/X$12</f>
        <v>0.19966295666121187</v>
      </c>
      <c r="Y62" s="1456">
        <f t="shared" si="159"/>
        <v>0.17380561372847392</v>
      </c>
      <c r="Z62" s="779">
        <f t="shared" si="158"/>
        <v>0.1623296174089679</v>
      </c>
      <c r="AA62" s="689">
        <f t="shared" ref="AA62:AD62" si="160">+AA47/AA$12</f>
        <v>0.2007692641327114</v>
      </c>
      <c r="AB62" s="689">
        <f t="shared" si="160"/>
        <v>0.1914044681472275</v>
      </c>
      <c r="AC62" s="689">
        <f t="shared" si="160"/>
        <v>0.16979563643247875</v>
      </c>
      <c r="AD62" s="689">
        <f t="shared" si="160"/>
        <v>0.15751586054781966</v>
      </c>
      <c r="AE62" s="744"/>
      <c r="AF62" s="689"/>
      <c r="AG62" s="689">
        <f t="shared" si="152"/>
        <v>0.23422318257580951</v>
      </c>
      <c r="AH62" s="689">
        <f t="shared" si="152"/>
        <v>0.20045015849821474</v>
      </c>
      <c r="AI62" s="689">
        <f t="shared" si="152"/>
        <v>0.18811587895464657</v>
      </c>
      <c r="AJ62" s="689">
        <f t="shared" si="152"/>
        <v>0.18923907098934228</v>
      </c>
      <c r="AK62" s="781">
        <f t="shared" si="152"/>
        <v>0.18422909784605399</v>
      </c>
      <c r="AL62" s="689">
        <f t="shared" si="152"/>
        <v>0.1855744648036437</v>
      </c>
      <c r="AM62" s="689">
        <f t="shared" ref="AM62" si="161">+AM47/AM$12</f>
        <v>0.17838944607141638</v>
      </c>
      <c r="AO62" s="460">
        <v>35.299999999999997</v>
      </c>
      <c r="AP62" s="460">
        <v>23.4</v>
      </c>
      <c r="AQ62" s="460">
        <v>18.8</v>
      </c>
    </row>
    <row r="63" spans="1:43" ht="12" x14ac:dyDescent="0.3">
      <c r="A63" s="798"/>
      <c r="C63" s="744"/>
      <c r="D63" s="744"/>
      <c r="E63" s="744"/>
      <c r="F63" s="745"/>
      <c r="G63" s="689"/>
      <c r="H63" s="689"/>
      <c r="I63" s="689"/>
      <c r="J63" s="779"/>
      <c r="K63" s="689"/>
      <c r="L63" s="689"/>
      <c r="M63" s="689"/>
      <c r="N63" s="779"/>
      <c r="O63" s="689"/>
      <c r="P63" s="689"/>
      <c r="Q63" s="689"/>
      <c r="R63" s="689"/>
      <c r="S63" s="991"/>
      <c r="T63" s="689"/>
      <c r="U63" s="689"/>
      <c r="V63" s="689"/>
      <c r="W63" s="991"/>
      <c r="X63" s="689"/>
      <c r="Y63" s="781"/>
      <c r="Z63" s="779"/>
      <c r="AA63" s="689"/>
      <c r="AB63" s="689"/>
      <c r="AC63" s="689"/>
      <c r="AD63" s="689"/>
      <c r="AE63" s="744"/>
      <c r="AF63" s="689"/>
      <c r="AG63" s="689"/>
      <c r="AH63" s="689"/>
      <c r="AI63" s="689"/>
      <c r="AJ63" s="689"/>
      <c r="AK63" s="1178"/>
      <c r="AL63" s="749"/>
      <c r="AM63" s="749"/>
    </row>
    <row r="64" spans="1:43" x14ac:dyDescent="0.25">
      <c r="A64" s="1395" t="s">
        <v>231</v>
      </c>
      <c r="C64" s="744"/>
      <c r="D64" s="744"/>
      <c r="E64" s="744"/>
      <c r="F64" s="745"/>
      <c r="G64" s="736"/>
      <c r="H64" s="736"/>
      <c r="I64" s="736"/>
      <c r="J64" s="752"/>
      <c r="K64" s="736"/>
      <c r="L64" s="736"/>
      <c r="M64" s="736"/>
      <c r="N64" s="752"/>
      <c r="O64" s="736"/>
      <c r="P64" s="736"/>
      <c r="Q64" s="736"/>
      <c r="R64" s="736"/>
      <c r="S64" s="986"/>
      <c r="T64" s="736"/>
      <c r="U64" s="1391"/>
      <c r="V64" s="1073"/>
      <c r="W64" s="986"/>
      <c r="X64" s="736"/>
      <c r="Y64" s="2267"/>
      <c r="Z64" s="752"/>
      <c r="AA64" s="736"/>
      <c r="AB64" s="736"/>
      <c r="AC64" s="736"/>
      <c r="AD64" s="736"/>
      <c r="AE64" s="744"/>
      <c r="AF64" s="736"/>
      <c r="AG64" s="736"/>
      <c r="AH64" s="736"/>
      <c r="AI64" s="736"/>
      <c r="AJ64" s="736"/>
      <c r="AK64" s="754"/>
      <c r="AL64" s="736"/>
      <c r="AM64" s="736"/>
    </row>
    <row r="65" spans="1:43" s="794" customFormat="1" x14ac:dyDescent="0.25">
      <c r="A65" s="821" t="s">
        <v>232</v>
      </c>
      <c r="C65" s="736"/>
      <c r="D65" s="736"/>
      <c r="E65" s="736"/>
      <c r="F65" s="752"/>
      <c r="G65" s="736">
        <f>+SUM('FA - Detailed Disclosure'!G73:G75)-'FA - Detailed Disclosure'!G22</f>
        <v>0.85199999999999676</v>
      </c>
      <c r="H65" s="736">
        <f>+SUM('FA - Detailed Disclosure'!H73:H75)-'FA - Detailed Disclosure'!H22</f>
        <v>0.76500000000000001</v>
      </c>
      <c r="I65" s="736">
        <f>+SUM('FA - Detailed Disclosure'!I73:I75)-'FA - Detailed Disclosure'!I22</f>
        <v>0.71199999999999997</v>
      </c>
      <c r="J65" s="752">
        <f>+SUM('FA - Detailed Disclosure'!J73:J75)-'FA - Detailed Disclosure'!J22</f>
        <v>3.504</v>
      </c>
      <c r="K65" s="736">
        <f>+SUM('FA - Detailed Disclosure'!K73:K75)-'FA - Detailed Disclosure'!K22</f>
        <v>4.4340000000000002</v>
      </c>
      <c r="L65" s="736">
        <f>+SUM('FA - Detailed Disclosure'!L73:L75)-'FA - Detailed Disclosure'!L22</f>
        <v>0.45500000000000002</v>
      </c>
      <c r="M65" s="736">
        <f>+SUM('FA - Detailed Disclosure'!M73:M75)-'FA - Detailed Disclosure'!M22</f>
        <v>2.4010000000000002</v>
      </c>
      <c r="N65" s="752">
        <f>+SUM('FA - Detailed Disclosure'!N73:N75)-'FA - Detailed Disclosure'!N22</f>
        <v>2.8359999999999999</v>
      </c>
      <c r="O65" s="736">
        <f>+SUM('FA - Detailed Disclosure'!O73:O75)-'FA - Detailed Disclosure'!O22</f>
        <v>0.60899999999999999</v>
      </c>
      <c r="P65" s="736">
        <f>+SUM('FA - Detailed Disclosure'!P73:P75)-'FA - Detailed Disclosure'!P22</f>
        <v>1.7040000000000002</v>
      </c>
      <c r="Q65" s="736">
        <f>+SUM('FA - Detailed Disclosure'!Q73:Q75)-'FA - Detailed Disclosure'!Q22</f>
        <v>1.764</v>
      </c>
      <c r="R65" s="736">
        <f>+SUM('FA - Detailed Disclosure'!R73:R75)-'FA - Detailed Disclosure'!R22</f>
        <v>4.4530000000000003</v>
      </c>
      <c r="S65" s="986">
        <f>+SUM('FA - Detailed Disclosure'!S73:S75)-'FA - Detailed Disclosure'!S22</f>
        <v>3.3490000000000002</v>
      </c>
      <c r="T65" s="736">
        <f>+SUM('FA - Detailed Disclosure'!T73:T75)-'FA - Detailed Disclosure'!T22</f>
        <v>2.677</v>
      </c>
      <c r="U65" s="736">
        <f>+SUM('FA - Detailed Disclosure'!U73:U75)-'FA - Detailed Disclosure'!U22</f>
        <v>4.3709999999999996</v>
      </c>
      <c r="V65" s="736">
        <f>+SUM('FA - Detailed Disclosure'!V73:V75)-'FA - Detailed Disclosure'!V22</f>
        <v>0.90500000000000003</v>
      </c>
      <c r="W65" s="986">
        <f>+SUM('FA - Detailed Disclosure'!W73:W75)-'FA - Detailed Disclosure'!W22</f>
        <v>12.711</v>
      </c>
      <c r="X65" s="736">
        <f>+SUM('FA - Detailed Disclosure'!X73:X75)-'FA - Detailed Disclosure'!X22</f>
        <v>10.831999999999999</v>
      </c>
      <c r="Y65" s="754">
        <f>+SUM('FA - Detailed Disclosure'!Y73:Y75)-'FA - Detailed Disclosure'!Y22</f>
        <v>15.260999999999999</v>
      </c>
      <c r="Z65" s="752"/>
      <c r="AA65" s="736"/>
      <c r="AB65" s="736"/>
      <c r="AC65" s="736"/>
      <c r="AD65" s="736"/>
      <c r="AE65" s="736"/>
      <c r="AF65" s="736"/>
      <c r="AG65" s="736">
        <f>+SUM('FA - Detailed Disclosure'!AI73:AI75)-'FA - Detailed Disclosure'!AI22</f>
        <v>4.4369999999999994</v>
      </c>
      <c r="AH65" s="736">
        <f>SUM(G65:J65)</f>
        <v>5.8329999999999966</v>
      </c>
      <c r="AI65" s="736">
        <f>+SUM(K65:N65)</f>
        <v>10.126000000000001</v>
      </c>
      <c r="AJ65" s="736">
        <f>SUM(O65:R65)</f>
        <v>8.5300000000000011</v>
      </c>
      <c r="AK65" s="754">
        <f>+SUM(S65:V65)</f>
        <v>11.301999999999998</v>
      </c>
      <c r="AL65" s="736"/>
      <c r="AM65" s="736"/>
    </row>
    <row r="66" spans="1:43" x14ac:dyDescent="0.25">
      <c r="A66" s="474"/>
      <c r="C66" s="744"/>
      <c r="D66" s="744"/>
      <c r="E66" s="744"/>
      <c r="F66" s="745"/>
      <c r="G66" s="736"/>
      <c r="H66" s="736"/>
      <c r="I66" s="736"/>
      <c r="J66" s="752"/>
      <c r="K66" s="736"/>
      <c r="L66" s="736"/>
      <c r="M66" s="736"/>
      <c r="N66" s="752"/>
      <c r="O66" s="736"/>
      <c r="P66" s="736"/>
      <c r="Q66" s="736"/>
      <c r="R66" s="736"/>
      <c r="S66" s="986"/>
      <c r="T66" s="736"/>
      <c r="U66" s="1391"/>
      <c r="V66" s="1073"/>
      <c r="W66" s="986"/>
      <c r="X66" s="736"/>
      <c r="Y66" s="2267"/>
      <c r="Z66" s="752"/>
      <c r="AA66" s="736"/>
      <c r="AB66" s="736"/>
      <c r="AC66" s="736"/>
      <c r="AD66" s="736"/>
      <c r="AE66" s="744"/>
      <c r="AF66" s="736"/>
      <c r="AG66" s="736"/>
      <c r="AH66" s="736"/>
      <c r="AI66" s="736"/>
      <c r="AJ66" s="736"/>
      <c r="AK66" s="754"/>
      <c r="AL66" s="736"/>
      <c r="AM66" s="736"/>
    </row>
    <row r="67" spans="1:43" ht="12" x14ac:dyDescent="0.3">
      <c r="A67" s="796" t="s">
        <v>233</v>
      </c>
      <c r="C67" s="744"/>
      <c r="D67" s="744"/>
      <c r="E67" s="744"/>
      <c r="F67" s="745"/>
      <c r="G67" s="689"/>
      <c r="H67" s="689"/>
      <c r="I67" s="689"/>
      <c r="J67" s="779"/>
      <c r="K67" s="689"/>
      <c r="L67" s="689"/>
      <c r="M67" s="689"/>
      <c r="N67" s="779"/>
      <c r="O67" s="689"/>
      <c r="P67" s="689"/>
      <c r="Q67" s="689"/>
      <c r="R67" s="689"/>
      <c r="S67" s="991"/>
      <c r="T67" s="689"/>
      <c r="U67" s="689"/>
      <c r="V67" s="689"/>
      <c r="W67" s="991"/>
      <c r="X67" s="689"/>
      <c r="Y67" s="781"/>
      <c r="Z67" s="779"/>
      <c r="AA67" s="689"/>
      <c r="AB67" s="689"/>
      <c r="AC67" s="689"/>
      <c r="AD67" s="689"/>
      <c r="AE67" s="744"/>
      <c r="AF67" s="689"/>
      <c r="AG67" s="689"/>
      <c r="AH67" s="689"/>
      <c r="AI67" s="689"/>
      <c r="AJ67" s="689"/>
      <c r="AK67" s="1178"/>
      <c r="AL67" s="1264" t="str">
        <f>+'FA Base'!I13</f>
        <v>G = 228-248</v>
      </c>
      <c r="AM67" s="1264"/>
    </row>
    <row r="68" spans="1:43" x14ac:dyDescent="0.25">
      <c r="A68" s="512" t="s">
        <v>213</v>
      </c>
      <c r="C68" s="744"/>
      <c r="D68" s="744"/>
      <c r="E68" s="744"/>
      <c r="F68" s="745"/>
      <c r="G68" s="850"/>
      <c r="H68" s="850"/>
      <c r="I68" s="850"/>
      <c r="J68" s="968"/>
      <c r="K68" s="850">
        <f t="shared" ref="K68:U68" si="162">+K304</f>
        <v>33.847000000000001</v>
      </c>
      <c r="L68" s="850">
        <f t="shared" si="162"/>
        <v>49.207999999999998</v>
      </c>
      <c r="M68" s="850">
        <f t="shared" si="162"/>
        <v>53.222999999999999</v>
      </c>
      <c r="N68" s="968">
        <f t="shared" si="162"/>
        <v>62.194999999999993</v>
      </c>
      <c r="O68" s="850">
        <f t="shared" si="162"/>
        <v>46.819000000000003</v>
      </c>
      <c r="P68" s="850">
        <f t="shared" si="162"/>
        <v>52.954000000000001</v>
      </c>
      <c r="Q68" s="850">
        <f t="shared" si="162"/>
        <v>57.204999999999998</v>
      </c>
      <c r="R68" s="850">
        <f t="shared" si="162"/>
        <v>64.676999999999992</v>
      </c>
      <c r="S68" s="1122">
        <f t="shared" si="162"/>
        <v>44.655999999999999</v>
      </c>
      <c r="T68" s="850">
        <f t="shared" si="162"/>
        <v>52.323999999999998</v>
      </c>
      <c r="U68" s="877">
        <f t="shared" si="162"/>
        <v>60.188000000000002</v>
      </c>
      <c r="V68" s="877">
        <f t="shared" ref="V68" si="163">+V304</f>
        <v>64.477000000000004</v>
      </c>
      <c r="W68" s="1122">
        <f t="shared" ref="W68:X68" si="164">+W304</f>
        <v>43.668999999999997</v>
      </c>
      <c r="X68" s="850">
        <f t="shared" si="164"/>
        <v>51.594000000000001</v>
      </c>
      <c r="Y68" s="1268">
        <f t="shared" ref="Y68" si="165">+Y304</f>
        <v>58.637</v>
      </c>
      <c r="Z68" s="968"/>
      <c r="AA68" s="850"/>
      <c r="AB68" s="850"/>
      <c r="AC68" s="850"/>
      <c r="AD68" s="850"/>
      <c r="AE68" s="850"/>
      <c r="AF68" s="850"/>
      <c r="AG68" s="850"/>
      <c r="AH68" s="850">
        <f t="shared" ref="AH68:AJ70" si="166">+AH304</f>
        <v>141.773</v>
      </c>
      <c r="AI68" s="850">
        <f t="shared" si="166"/>
        <v>198.47300000000001</v>
      </c>
      <c r="AJ68" s="877">
        <f t="shared" si="166"/>
        <v>221.655</v>
      </c>
      <c r="AK68" s="1268">
        <f t="shared" ref="AK68:AK75" si="167">SUM(S68:V68)</f>
        <v>221.64500000000001</v>
      </c>
      <c r="AL68" s="1123"/>
      <c r="AM68" s="1123"/>
    </row>
    <row r="69" spans="1:43" x14ac:dyDescent="0.25">
      <c r="A69" s="512" t="s">
        <v>214</v>
      </c>
      <c r="C69" s="744"/>
      <c r="D69" s="744"/>
      <c r="E69" s="744"/>
      <c r="F69" s="745"/>
      <c r="G69" s="850"/>
      <c r="H69" s="850"/>
      <c r="I69" s="850"/>
      <c r="J69" s="968"/>
      <c r="K69" s="850">
        <f t="shared" ref="K69:U69" si="168">+K305</f>
        <v>2.7429999999999999</v>
      </c>
      <c r="L69" s="850">
        <f t="shared" si="168"/>
        <v>7.1139999999999999</v>
      </c>
      <c r="M69" s="850">
        <f t="shared" si="168"/>
        <v>10.721</v>
      </c>
      <c r="N69" s="968">
        <f t="shared" si="168"/>
        <v>6.6769999999999996</v>
      </c>
      <c r="O69" s="850">
        <f t="shared" si="168"/>
        <v>6.7809999999999997</v>
      </c>
      <c r="P69" s="850">
        <f t="shared" si="168"/>
        <v>7.88</v>
      </c>
      <c r="Q69" s="850">
        <f t="shared" si="168"/>
        <v>6.9829999999999997</v>
      </c>
      <c r="R69" s="850">
        <f t="shared" si="168"/>
        <v>5.6110000000000007</v>
      </c>
      <c r="S69" s="1122">
        <f t="shared" si="168"/>
        <v>3.9039999999999999</v>
      </c>
      <c r="T69" s="850">
        <f t="shared" si="168"/>
        <v>3.6469999999999998</v>
      </c>
      <c r="U69" s="877">
        <f t="shared" si="168"/>
        <v>4.6029999999999998</v>
      </c>
      <c r="V69" s="877">
        <f t="shared" ref="V69" si="169">+V305</f>
        <v>3.7569999999999997</v>
      </c>
      <c r="W69" s="1122">
        <f t="shared" ref="W69:X69" si="170">+W305</f>
        <v>2.8889999999999998</v>
      </c>
      <c r="X69" s="850">
        <f t="shared" si="170"/>
        <v>4.1669999999999998</v>
      </c>
      <c r="Y69" s="1268">
        <f t="shared" ref="Y69" si="171">+Y305</f>
        <v>5.4089999999999998</v>
      </c>
      <c r="Z69" s="968"/>
      <c r="AA69" s="850"/>
      <c r="AB69" s="850"/>
      <c r="AC69" s="850"/>
      <c r="AD69" s="850"/>
      <c r="AE69" s="850"/>
      <c r="AF69" s="850"/>
      <c r="AG69" s="850"/>
      <c r="AH69" s="850">
        <f t="shared" si="166"/>
        <v>5.0249999999999995</v>
      </c>
      <c r="AI69" s="850">
        <f t="shared" si="166"/>
        <v>27.821000000000002</v>
      </c>
      <c r="AJ69" s="877">
        <f t="shared" si="166"/>
        <v>27.254999999999999</v>
      </c>
      <c r="AK69" s="1268">
        <f t="shared" si="167"/>
        <v>15.911</v>
      </c>
      <c r="AL69" s="1123"/>
      <c r="AM69" s="1123"/>
    </row>
    <row r="70" spans="1:43" s="802" customFormat="1" ht="13" x14ac:dyDescent="0.4">
      <c r="A70" s="512" t="s">
        <v>215</v>
      </c>
      <c r="C70" s="803"/>
      <c r="D70" s="803"/>
      <c r="E70" s="803"/>
      <c r="F70" s="823"/>
      <c r="G70" s="857"/>
      <c r="H70" s="857"/>
      <c r="I70" s="857"/>
      <c r="J70" s="873"/>
      <c r="K70" s="857">
        <f t="shared" ref="K70:U70" si="172">+K306</f>
        <v>0</v>
      </c>
      <c r="L70" s="857">
        <f t="shared" si="172"/>
        <v>0</v>
      </c>
      <c r="M70" s="857">
        <f t="shared" si="172"/>
        <v>0</v>
      </c>
      <c r="N70" s="873">
        <f t="shared" si="172"/>
        <v>0</v>
      </c>
      <c r="O70" s="857">
        <f t="shared" si="172"/>
        <v>0</v>
      </c>
      <c r="P70" s="857">
        <f t="shared" si="172"/>
        <v>0</v>
      </c>
      <c r="Q70" s="857">
        <f t="shared" si="172"/>
        <v>0</v>
      </c>
      <c r="R70" s="857">
        <f t="shared" si="172"/>
        <v>0</v>
      </c>
      <c r="S70" s="1124">
        <f t="shared" si="172"/>
        <v>0</v>
      </c>
      <c r="T70" s="857">
        <f t="shared" si="172"/>
        <v>0</v>
      </c>
      <c r="U70" s="872">
        <f t="shared" si="172"/>
        <v>0</v>
      </c>
      <c r="V70" s="872">
        <f t="shared" ref="V70" si="173">+V306</f>
        <v>0</v>
      </c>
      <c r="W70" s="1124">
        <f t="shared" ref="W70:X70" si="174">+W306</f>
        <v>0</v>
      </c>
      <c r="X70" s="857">
        <f t="shared" si="174"/>
        <v>0</v>
      </c>
      <c r="Y70" s="1269">
        <f t="shared" ref="Y70" si="175">+Y306</f>
        <v>0</v>
      </c>
      <c r="Z70" s="873"/>
      <c r="AA70" s="857"/>
      <c r="AB70" s="857"/>
      <c r="AC70" s="857"/>
      <c r="AD70" s="857"/>
      <c r="AE70" s="857"/>
      <c r="AF70" s="857"/>
      <c r="AG70" s="857"/>
      <c r="AH70" s="857">
        <f t="shared" si="166"/>
        <v>0</v>
      </c>
      <c r="AI70" s="857">
        <f t="shared" si="166"/>
        <v>0</v>
      </c>
      <c r="AJ70" s="872">
        <f t="shared" si="166"/>
        <v>0</v>
      </c>
      <c r="AK70" s="1269">
        <f t="shared" si="167"/>
        <v>0</v>
      </c>
      <c r="AL70" s="1125"/>
      <c r="AM70" s="1125"/>
    </row>
    <row r="71" spans="1:43" ht="12" hidden="1" outlineLevel="1" x14ac:dyDescent="0.3">
      <c r="A71" s="778"/>
      <c r="B71" s="470"/>
      <c r="C71" s="744"/>
      <c r="D71" s="744"/>
      <c r="E71" s="744"/>
      <c r="F71" s="745"/>
      <c r="G71" s="744"/>
      <c r="H71" s="744"/>
      <c r="I71" s="744"/>
      <c r="J71" s="745"/>
      <c r="K71" s="744"/>
      <c r="L71" s="744"/>
      <c r="M71" s="744"/>
      <c r="N71" s="745"/>
      <c r="O71" s="744"/>
      <c r="P71" s="744"/>
      <c r="Q71" s="801"/>
      <c r="R71" s="744"/>
      <c r="S71" s="985"/>
      <c r="T71" s="744"/>
      <c r="U71" s="744"/>
      <c r="V71" s="744"/>
      <c r="W71" s="985"/>
      <c r="X71" s="744"/>
      <c r="Y71" s="792"/>
      <c r="Z71" s="745"/>
      <c r="AA71" s="744"/>
      <c r="AB71" s="744"/>
      <c r="AC71" s="744"/>
      <c r="AD71" s="744"/>
      <c r="AE71" s="744"/>
      <c r="AF71" s="744"/>
      <c r="AG71" s="744"/>
      <c r="AH71" s="744"/>
      <c r="AI71" s="744"/>
      <c r="AJ71" s="747"/>
      <c r="AK71" s="746">
        <f t="shared" si="167"/>
        <v>0</v>
      </c>
      <c r="AL71" s="749"/>
      <c r="AM71" s="749"/>
      <c r="AP71" s="460">
        <f>+AP62/AO62-1</f>
        <v>-0.33711048158640222</v>
      </c>
      <c r="AQ71" s="460">
        <f>+AQ62/AP62-1</f>
        <v>-0.19658119658119655</v>
      </c>
    </row>
    <row r="72" spans="1:43" hidden="1" outlineLevel="1" x14ac:dyDescent="0.25">
      <c r="A72" s="512" t="s">
        <v>37</v>
      </c>
      <c r="B72" s="470"/>
      <c r="C72" s="750">
        <v>0.35399999999999998</v>
      </c>
      <c r="D72" s="750">
        <v>0.32400000000000001</v>
      </c>
      <c r="E72" s="750">
        <v>0.27400000000000002</v>
      </c>
      <c r="F72" s="751">
        <v>0.26400000000000001</v>
      </c>
      <c r="G72" s="750">
        <v>4.2569999999999997</v>
      </c>
      <c r="H72" s="750">
        <v>0.52</v>
      </c>
      <c r="I72" s="750">
        <v>0.53</v>
      </c>
      <c r="J72" s="752">
        <f>+AH72-SUM(G72:I72)</f>
        <v>0.54500000000000082</v>
      </c>
      <c r="K72" s="750">
        <v>0.56200000000000006</v>
      </c>
      <c r="L72" s="750">
        <v>2.6640000000000001</v>
      </c>
      <c r="M72" s="750">
        <v>1.343</v>
      </c>
      <c r="N72" s="752">
        <f>+AI72-SUM(K72:M72)</f>
        <v>4.9609999999999994</v>
      </c>
      <c r="O72" s="736">
        <f t="shared" ref="O72:Q72" si="176">+O90</f>
        <v>1.859</v>
      </c>
      <c r="P72" s="736">
        <f t="shared" si="176"/>
        <v>1.9430000000000001</v>
      </c>
      <c r="Q72" s="736">
        <f t="shared" si="176"/>
        <v>2.0219999999999998</v>
      </c>
      <c r="R72" s="736">
        <f>+R90</f>
        <v>2.032</v>
      </c>
      <c r="S72" s="986">
        <f t="shared" ref="S72:T72" si="177">+S90</f>
        <v>2.0579999999999998</v>
      </c>
      <c r="T72" s="736">
        <f t="shared" si="177"/>
        <v>3.601</v>
      </c>
      <c r="U72" s="736">
        <f t="shared" ref="U72:V72" si="178">+U90</f>
        <v>4.79</v>
      </c>
      <c r="V72" s="736">
        <f t="shared" si="178"/>
        <v>4.8159999999999998</v>
      </c>
      <c r="W72" s="986">
        <f t="shared" ref="W72:X72" si="179">+W90</f>
        <v>4.7510000000000003</v>
      </c>
      <c r="X72" s="736">
        <f t="shared" si="179"/>
        <v>5.048</v>
      </c>
      <c r="Y72" s="754">
        <f t="shared" ref="Y72" si="180">+Y90</f>
        <v>5</v>
      </c>
      <c r="Z72" s="1089"/>
      <c r="AA72" s="753"/>
      <c r="AB72" s="753"/>
      <c r="AC72" s="753"/>
      <c r="AD72" s="753"/>
      <c r="AE72" s="744"/>
      <c r="AF72" s="750"/>
      <c r="AG72" s="750">
        <v>1.216</v>
      </c>
      <c r="AH72" s="750">
        <v>5.8520000000000003</v>
      </c>
      <c r="AI72" s="750">
        <v>9.5299999999999994</v>
      </c>
      <c r="AJ72" s="736">
        <f>+SUM(O72:R72)</f>
        <v>7.8559999999999999</v>
      </c>
      <c r="AK72" s="754">
        <f t="shared" si="167"/>
        <v>15.265000000000001</v>
      </c>
      <c r="AL72" s="736"/>
      <c r="AM72" s="736"/>
      <c r="AQ72" s="460">
        <f>+AQ62/AO62-1</f>
        <v>-0.46742209631728038</v>
      </c>
    </row>
    <row r="73" spans="1:43" hidden="1" outlineLevel="1" x14ac:dyDescent="0.25">
      <c r="A73" s="512" t="s">
        <v>234</v>
      </c>
      <c r="B73" s="470"/>
      <c r="C73" s="750">
        <v>0</v>
      </c>
      <c r="D73" s="750">
        <v>0</v>
      </c>
      <c r="E73" s="750">
        <v>0.34899999999999998</v>
      </c>
      <c r="F73" s="751">
        <v>0.84899999999999998</v>
      </c>
      <c r="G73" s="750">
        <f>9.916-9.423</f>
        <v>0.49300000000000033</v>
      </c>
      <c r="H73" s="750">
        <v>7.5999999999999998E-2</v>
      </c>
      <c r="I73" s="750">
        <v>5.6000000000000001E-2</v>
      </c>
      <c r="J73" s="752">
        <f>+AH73-SUM(G73:I73)</f>
        <v>0.56799999999999928</v>
      </c>
      <c r="K73" s="750">
        <v>3.984</v>
      </c>
      <c r="L73" s="750">
        <v>0.38200000000000001</v>
      </c>
      <c r="M73" s="750">
        <v>2.1440000000000001</v>
      </c>
      <c r="N73" s="752">
        <f>+AI73-SUM(K73:M73)</f>
        <v>2.8040000000000003</v>
      </c>
      <c r="O73" s="736">
        <f>+'FA - Detailed Disclosure'!O73</f>
        <v>1.498</v>
      </c>
      <c r="P73" s="736">
        <f>+'FA - Detailed Disclosure'!P73</f>
        <v>1.179</v>
      </c>
      <c r="Q73" s="736">
        <f>+'FA - Detailed Disclosure'!Q73</f>
        <v>1.9079999999999999</v>
      </c>
      <c r="R73" s="736">
        <f>+'FA - Detailed Disclosure'!R73</f>
        <v>1.4330000000000001</v>
      </c>
      <c r="S73" s="986">
        <f>+'FA - Detailed Disclosure'!S73</f>
        <v>1.071</v>
      </c>
      <c r="T73" s="736">
        <f>+'FA - Detailed Disclosure'!T73</f>
        <v>1.19</v>
      </c>
      <c r="U73" s="736">
        <f>+'FA - Detailed Disclosure'!U73</f>
        <v>1.571</v>
      </c>
      <c r="V73" s="736">
        <f>+'FA - Detailed Disclosure'!V73</f>
        <v>0.53200000000000003</v>
      </c>
      <c r="W73" s="986">
        <f>+'FA - Detailed Disclosure'!W73</f>
        <v>11.992000000000001</v>
      </c>
      <c r="X73" s="736">
        <f>+'FA - Detailed Disclosure'!X73</f>
        <v>9.8729999999999993</v>
      </c>
      <c r="Y73" s="754">
        <f>+'FA - Detailed Disclosure'!Y73</f>
        <v>13.218</v>
      </c>
      <c r="Z73" s="751"/>
      <c r="AA73" s="750"/>
      <c r="AB73" s="750"/>
      <c r="AC73" s="750"/>
      <c r="AD73" s="750"/>
      <c r="AE73" s="744"/>
      <c r="AF73" s="750"/>
      <c r="AG73" s="750">
        <v>1.198</v>
      </c>
      <c r="AH73" s="750">
        <f>10.616-9.423</f>
        <v>1.1929999999999996</v>
      </c>
      <c r="AI73" s="750">
        <v>9.3140000000000001</v>
      </c>
      <c r="AJ73" s="736">
        <f>+SUM(O73:R73)</f>
        <v>6.0179999999999998</v>
      </c>
      <c r="AK73" s="754">
        <f t="shared" si="167"/>
        <v>4.3639999999999999</v>
      </c>
      <c r="AL73" s="736"/>
      <c r="AM73" s="736"/>
    </row>
    <row r="74" spans="1:43" s="802" customFormat="1" ht="13" hidden="1" outlineLevel="1" x14ac:dyDescent="0.4">
      <c r="A74" s="512" t="s">
        <v>235</v>
      </c>
      <c r="C74" s="755">
        <v>1.349</v>
      </c>
      <c r="D74" s="755">
        <v>0.76</v>
      </c>
      <c r="E74" s="755">
        <v>-0.2</v>
      </c>
      <c r="F74" s="756">
        <v>1.33</v>
      </c>
      <c r="G74" s="755">
        <f>0.327+0.032</f>
        <v>0.35899999999999999</v>
      </c>
      <c r="H74" s="755">
        <f>0.262+0.427</f>
        <v>0.68900000000000006</v>
      </c>
      <c r="I74" s="755">
        <f>0.026+0.63</f>
        <v>0.65600000000000003</v>
      </c>
      <c r="J74" s="758">
        <f>+AH74-SUM(G74:I74)</f>
        <v>2.9360000000000004</v>
      </c>
      <c r="K74" s="755">
        <v>0.45</v>
      </c>
      <c r="L74" s="755">
        <v>7.2999999999999995E-2</v>
      </c>
      <c r="M74" s="755">
        <f>0.063+0.194</f>
        <v>0.25700000000000001</v>
      </c>
      <c r="N74" s="758">
        <f>+AI74-SUM(K74:M74)</f>
        <v>3.1999999999999917E-2</v>
      </c>
      <c r="O74" s="757">
        <f>+SUM('FA - Detailed Disclosure'!O73:O75)-'FA - Historical Financials'!O73</f>
        <v>-0.88900000000000001</v>
      </c>
      <c r="P74" s="757">
        <f>+SUM('FA - Detailed Disclosure'!P73:P75)-'FA - Historical Financials'!P73</f>
        <v>0.52500000000000013</v>
      </c>
      <c r="Q74" s="757">
        <f>+SUM('FA - Detailed Disclosure'!Q73:Q75)-'FA - Historical Financials'!Q73</f>
        <v>-0.14399999999999991</v>
      </c>
      <c r="R74" s="757">
        <f>+SUM('FA - Detailed Disclosure'!R73:R75)-'FA - Historical Financials'!R73</f>
        <v>3.0200000000000005</v>
      </c>
      <c r="S74" s="987">
        <f>+SUM('FA - Detailed Disclosure'!S73:S75)-'FA - Historical Financials'!S73</f>
        <v>2.2780000000000005</v>
      </c>
      <c r="T74" s="757">
        <f>+SUM('FA - Detailed Disclosure'!T73:T75)-'FA - Historical Financials'!T73</f>
        <v>1.4870000000000001</v>
      </c>
      <c r="U74" s="757">
        <f>+SUM('FA - Detailed Disclosure'!U73:U75)-'FA - Historical Financials'!U73</f>
        <v>2.8</v>
      </c>
      <c r="V74" s="757">
        <f>+SUM('FA - Detailed Disclosure'!V73:V75)-'FA - Historical Financials'!V73</f>
        <v>0.373</v>
      </c>
      <c r="W74" s="987">
        <f>+SUM('FA - Detailed Disclosure'!W73:W75)-'FA - Historical Financials'!W73</f>
        <v>0.71899999999999942</v>
      </c>
      <c r="X74" s="757">
        <f>+SUM('FA - Detailed Disclosure'!X73:X75)-'FA - Historical Financials'!X73</f>
        <v>0.95899999999999963</v>
      </c>
      <c r="Y74" s="760">
        <f>+SUM('FA - Detailed Disclosure'!Y73:Y75)-'FA - Historical Financials'!Y73</f>
        <v>2.0429999999999993</v>
      </c>
      <c r="Z74" s="756"/>
      <c r="AA74" s="755"/>
      <c r="AB74" s="755"/>
      <c r="AC74" s="755"/>
      <c r="AD74" s="755"/>
      <c r="AE74" s="803"/>
      <c r="AF74" s="755"/>
      <c r="AG74" s="755">
        <v>3.2389999999999999</v>
      </c>
      <c r="AH74" s="755">
        <f>3.74+0.9</f>
        <v>4.6400000000000006</v>
      </c>
      <c r="AI74" s="755">
        <f>0.584+0.228</f>
        <v>0.81199999999999994</v>
      </c>
      <c r="AJ74" s="803">
        <f>+SUM(O74:R74)</f>
        <v>2.5120000000000005</v>
      </c>
      <c r="AK74" s="804">
        <f t="shared" si="167"/>
        <v>6.9380000000000006</v>
      </c>
      <c r="AL74" s="803"/>
      <c r="AM74" s="803"/>
    </row>
    <row r="75" spans="1:43" collapsed="1" x14ac:dyDescent="0.25">
      <c r="A75" s="474" t="s">
        <v>233</v>
      </c>
      <c r="C75" s="736">
        <f>+'FA - Detailed Disclosure'!C76</f>
        <v>25.092000000000002</v>
      </c>
      <c r="D75" s="736">
        <f>+'FA - Detailed Disclosure'!D76</f>
        <v>33.361999999999995</v>
      </c>
      <c r="E75" s="736">
        <f>+'FA - Detailed Disclosure'!E76</f>
        <v>33.490999999999993</v>
      </c>
      <c r="F75" s="752">
        <f>+'FA - Detailed Disclosure'!F76</f>
        <v>31.828000000000003</v>
      </c>
      <c r="G75" s="736">
        <f>+'FA - Detailed Disclosure'!G76</f>
        <v>27.210999999999999</v>
      </c>
      <c r="H75" s="736">
        <f>+'FA - Detailed Disclosure'!H76</f>
        <v>31.655000000000005</v>
      </c>
      <c r="I75" s="736">
        <f>+'FA - Detailed Disclosure'!I76</f>
        <v>43.287000000000006</v>
      </c>
      <c r="J75" s="752">
        <f>+'FA - Detailed Disclosure'!J76</f>
        <v>44.644999999999996</v>
      </c>
      <c r="K75" s="736">
        <f>+'FA - Detailed Disclosure'!K76</f>
        <v>36.590000000000003</v>
      </c>
      <c r="L75" s="736">
        <f>+'FA - Detailed Disclosure'!L76</f>
        <v>56.322000000000003</v>
      </c>
      <c r="M75" s="736">
        <f>+'FA - Detailed Disclosure'!M76</f>
        <v>63.943999999999996</v>
      </c>
      <c r="N75" s="752">
        <f>+'FA - Detailed Disclosure'!N76</f>
        <v>69.438000000000002</v>
      </c>
      <c r="O75" s="736">
        <f>+'FA - Detailed Disclosure'!O76</f>
        <v>53.599999999999994</v>
      </c>
      <c r="P75" s="736">
        <f>+'FA - Detailed Disclosure'!P76</f>
        <v>60.833999999999996</v>
      </c>
      <c r="Q75" s="736">
        <f>+'FA - Detailed Disclosure'!Q76</f>
        <v>64.188000000000002</v>
      </c>
      <c r="R75" s="736">
        <f>+'FA - Detailed Disclosure'!R76</f>
        <v>70.287999999999997</v>
      </c>
      <c r="S75" s="986">
        <f>+'FA - Detailed Disclosure'!S76</f>
        <v>48.559999999999995</v>
      </c>
      <c r="T75" s="736">
        <f>+'FA - Detailed Disclosure'!T76</f>
        <v>55.970999999999997</v>
      </c>
      <c r="U75" s="736">
        <f>+'FA - Detailed Disclosure'!U76</f>
        <v>64.790999999999997</v>
      </c>
      <c r="V75" s="736">
        <f>+'FA - Detailed Disclosure'!V76</f>
        <v>68.233999999999995</v>
      </c>
      <c r="W75" s="986">
        <f>+'FA - Detailed Disclosure'!W76</f>
        <v>46.558</v>
      </c>
      <c r="X75" s="736">
        <f>+'FA - Detailed Disclosure'!X76</f>
        <v>55.761000000000003</v>
      </c>
      <c r="Y75" s="754">
        <f>+'FA - Detailed Disclosure'!Y76</f>
        <v>64.046000000000006</v>
      </c>
      <c r="Z75" s="752">
        <f>+Z40-Z47</f>
        <v>70.313319617985513</v>
      </c>
      <c r="AA75" s="736">
        <f t="shared" ref="AA75:AD75" si="181">+AA40-AA47</f>
        <v>52.013589546092305</v>
      </c>
      <c r="AB75" s="736">
        <f t="shared" si="181"/>
        <v>61.687383785368112</v>
      </c>
      <c r="AC75" s="736">
        <f t="shared" si="181"/>
        <v>70.822291425480373</v>
      </c>
      <c r="AD75" s="736">
        <f t="shared" si="181"/>
        <v>77.169888058101265</v>
      </c>
      <c r="AE75" s="744"/>
      <c r="AF75" s="736"/>
      <c r="AG75" s="736">
        <f>+'FA - Detailed Disclosure'!AI76</f>
        <v>123.773</v>
      </c>
      <c r="AH75" s="736">
        <f>SUM(G75:J75)</f>
        <v>146.798</v>
      </c>
      <c r="AI75" s="736">
        <f>+SUM(K75:N75)</f>
        <v>226.29399999999998</v>
      </c>
      <c r="AJ75" s="736">
        <f>SUM(O75:R75)</f>
        <v>248.91000000000003</v>
      </c>
      <c r="AK75" s="754">
        <f t="shared" si="167"/>
        <v>237.55599999999998</v>
      </c>
      <c r="AL75" s="736">
        <f>+SUM(W75:Z75)</f>
        <v>236.67831961798552</v>
      </c>
      <c r="AM75" s="736">
        <f>+SUM(AA75:AD75)</f>
        <v>261.69315281504203</v>
      </c>
      <c r="AO75" s="844"/>
      <c r="AQ75" s="460">
        <f>+AQ62/AO62-1</f>
        <v>-0.46742209631728038</v>
      </c>
    </row>
    <row r="76" spans="1:43" x14ac:dyDescent="0.25">
      <c r="A76" s="512"/>
      <c r="C76" s="736"/>
      <c r="D76" s="736"/>
      <c r="E76" s="736"/>
      <c r="F76" s="752"/>
      <c r="G76" s="736"/>
      <c r="H76" s="736"/>
      <c r="I76" s="736"/>
      <c r="J76" s="752"/>
      <c r="K76" s="736"/>
      <c r="L76" s="736"/>
      <c r="M76" s="736"/>
      <c r="N76" s="752"/>
      <c r="O76" s="736"/>
      <c r="P76" s="736"/>
      <c r="Q76" s="736"/>
      <c r="R76" s="736"/>
      <c r="S76" s="986"/>
      <c r="T76" s="736"/>
      <c r="U76" s="736"/>
      <c r="V76" s="736"/>
      <c r="W76" s="986"/>
      <c r="X76" s="736"/>
      <c r="Y76" s="754"/>
      <c r="Z76" s="752"/>
      <c r="AA76" s="736"/>
      <c r="AB76" s="736"/>
      <c r="AC76" s="736"/>
      <c r="AD76" s="736"/>
      <c r="AE76" s="744"/>
      <c r="AF76" s="736"/>
      <c r="AG76" s="736"/>
      <c r="AH76" s="736"/>
      <c r="AI76" s="736"/>
      <c r="AJ76" s="736"/>
      <c r="AK76" s="754"/>
      <c r="AL76" s="736"/>
      <c r="AM76" s="736"/>
      <c r="AO76" s="844"/>
    </row>
    <row r="77" spans="1:43" ht="12" x14ac:dyDescent="0.3">
      <c r="A77" s="782" t="s">
        <v>29</v>
      </c>
      <c r="C77" s="690"/>
      <c r="D77" s="690"/>
      <c r="E77" s="690"/>
      <c r="F77" s="791"/>
      <c r="G77" s="690"/>
      <c r="H77" s="690"/>
      <c r="I77" s="690"/>
      <c r="J77" s="791"/>
      <c r="K77" s="690"/>
      <c r="L77" s="690"/>
      <c r="M77" s="690"/>
      <c r="N77" s="791"/>
      <c r="O77" s="690"/>
      <c r="P77" s="690"/>
      <c r="Q77" s="690"/>
      <c r="R77" s="690"/>
      <c r="S77" s="996"/>
      <c r="T77" s="690"/>
      <c r="U77" s="806"/>
      <c r="V77" s="806"/>
      <c r="W77" s="996"/>
      <c r="X77" s="690"/>
      <c r="Y77" s="808"/>
      <c r="Z77" s="791"/>
      <c r="AA77" s="690"/>
      <c r="AB77" s="690"/>
      <c r="AC77" s="690"/>
      <c r="AD77" s="690"/>
      <c r="AE77" s="744"/>
      <c r="AF77" s="690"/>
      <c r="AG77" s="690"/>
      <c r="AH77" s="690"/>
      <c r="AI77" s="690"/>
      <c r="AJ77" s="690"/>
      <c r="AK77" s="805"/>
      <c r="AL77" s="690"/>
      <c r="AM77" s="690"/>
    </row>
    <row r="78" spans="1:43" ht="12" x14ac:dyDescent="0.3">
      <c r="A78" s="778" t="s">
        <v>213</v>
      </c>
      <c r="C78" s="690"/>
      <c r="D78" s="690"/>
      <c r="E78" s="690"/>
      <c r="F78" s="791"/>
      <c r="G78" s="690"/>
      <c r="H78" s="690"/>
      <c r="I78" s="690"/>
      <c r="J78" s="791"/>
      <c r="K78" s="690"/>
      <c r="L78" s="690"/>
      <c r="M78" s="690"/>
      <c r="N78" s="791"/>
      <c r="O78" s="690">
        <f t="shared" ref="O78:T78" si="182">+O68/K68-1</f>
        <v>0.38325405501226117</v>
      </c>
      <c r="P78" s="690">
        <f t="shared" si="182"/>
        <v>7.6125833197854043E-2</v>
      </c>
      <c r="Q78" s="690">
        <f t="shared" si="182"/>
        <v>7.4817278244368124E-2</v>
      </c>
      <c r="R78" s="690">
        <f t="shared" si="182"/>
        <v>3.9906744915186199E-2</v>
      </c>
      <c r="S78" s="996">
        <f t="shared" si="182"/>
        <v>-4.6199192635468567E-2</v>
      </c>
      <c r="T78" s="690">
        <f t="shared" si="182"/>
        <v>-1.1897118253578642E-2</v>
      </c>
      <c r="U78" s="806">
        <f>+U68/Q68-1</f>
        <v>5.2145791451796208E-2</v>
      </c>
      <c r="V78" s="806">
        <f t="shared" ref="V78:V79" si="183">+V68/R68-1</f>
        <v>-3.092289376439683E-3</v>
      </c>
      <c r="W78" s="997">
        <f t="shared" ref="W78:W79" si="184">+W68/S68-1</f>
        <v>-2.2102293084915847E-2</v>
      </c>
      <c r="X78" s="690">
        <f t="shared" ref="X78:X79" si="185">+X68/T68-1</f>
        <v>-1.3951532757434437E-2</v>
      </c>
      <c r="Y78" s="808">
        <f t="shared" ref="Y78:Y79" si="186">+Y68/U68-1</f>
        <v>-2.5769256330165469E-2</v>
      </c>
      <c r="Z78" s="791"/>
      <c r="AA78" s="690"/>
      <c r="AB78" s="690"/>
      <c r="AC78" s="690"/>
      <c r="AD78" s="690"/>
      <c r="AE78" s="744"/>
      <c r="AF78" s="690"/>
      <c r="AG78" s="690"/>
      <c r="AH78" s="690"/>
      <c r="AI78" s="690">
        <f t="shared" ref="AI78" si="187">+AI68/AH68-1</f>
        <v>0.39993510753105332</v>
      </c>
      <c r="AJ78" s="690">
        <f>+AJ68/AI68-1</f>
        <v>0.11680178160253529</v>
      </c>
      <c r="AK78" s="805">
        <f t="shared" ref="AK78:AK79" si="188">+AK68/AJ68-1</f>
        <v>-4.5115156436792425E-5</v>
      </c>
      <c r="AL78" s="690"/>
      <c r="AM78" s="690"/>
    </row>
    <row r="79" spans="1:43" s="789" customFormat="1" ht="12" x14ac:dyDescent="0.3">
      <c r="A79" s="778" t="s">
        <v>214</v>
      </c>
      <c r="C79" s="1126"/>
      <c r="D79" s="1126"/>
      <c r="E79" s="1126"/>
      <c r="F79" s="1127"/>
      <c r="G79" s="1126"/>
      <c r="H79" s="1126"/>
      <c r="I79" s="1126"/>
      <c r="J79" s="1127"/>
      <c r="K79" s="1126"/>
      <c r="L79" s="1126"/>
      <c r="M79" s="1126"/>
      <c r="N79" s="1127"/>
      <c r="O79" s="1126">
        <f t="shared" ref="O79:U79" si="189">+O69/K69-1</f>
        <v>1.4721108275610644</v>
      </c>
      <c r="P79" s="1126">
        <f t="shared" si="189"/>
        <v>0.10767500702839472</v>
      </c>
      <c r="Q79" s="1126">
        <f t="shared" si="189"/>
        <v>-0.34866150545658059</v>
      </c>
      <c r="R79" s="1126">
        <f t="shared" si="189"/>
        <v>-0.15965253856522377</v>
      </c>
      <c r="S79" s="1128">
        <f t="shared" si="189"/>
        <v>-0.42427370594307623</v>
      </c>
      <c r="T79" s="1126">
        <f t="shared" si="189"/>
        <v>-0.53718274111675135</v>
      </c>
      <c r="U79" s="1129">
        <f t="shared" si="189"/>
        <v>-0.34082772447372189</v>
      </c>
      <c r="V79" s="1129">
        <f t="shared" si="183"/>
        <v>-0.33042238460167539</v>
      </c>
      <c r="W79" s="1415">
        <f t="shared" si="184"/>
        <v>-0.25998975409836067</v>
      </c>
      <c r="X79" s="1126">
        <f t="shared" si="185"/>
        <v>0.14258294488620793</v>
      </c>
      <c r="Y79" s="1458">
        <f t="shared" si="186"/>
        <v>0.17510319356941118</v>
      </c>
      <c r="Z79" s="1127"/>
      <c r="AA79" s="1126"/>
      <c r="AB79" s="1126"/>
      <c r="AC79" s="1126"/>
      <c r="AD79" s="1126"/>
      <c r="AE79" s="869"/>
      <c r="AF79" s="1126"/>
      <c r="AG79" s="1126"/>
      <c r="AH79" s="1126"/>
      <c r="AI79" s="1126">
        <f t="shared" ref="AI79:AJ79" si="190">+AI69/AH69-1</f>
        <v>4.5365174129353241</v>
      </c>
      <c r="AJ79" s="1126">
        <f t="shared" si="190"/>
        <v>-2.0344344200424191E-2</v>
      </c>
      <c r="AK79" s="1270">
        <f t="shared" si="188"/>
        <v>-0.4162172078517703</v>
      </c>
      <c r="AL79" s="1126"/>
      <c r="AM79" s="1126"/>
    </row>
    <row r="80" spans="1:43" ht="12" hidden="1" outlineLevel="1" x14ac:dyDescent="0.3">
      <c r="A80" s="778" t="s">
        <v>215</v>
      </c>
      <c r="C80" s="690"/>
      <c r="D80" s="690"/>
      <c r="E80" s="690"/>
      <c r="F80" s="791"/>
      <c r="G80" s="690"/>
      <c r="H80" s="690"/>
      <c r="I80" s="690"/>
      <c r="J80" s="791"/>
      <c r="K80" s="690"/>
      <c r="L80" s="690"/>
      <c r="M80" s="690"/>
      <c r="N80" s="791"/>
      <c r="O80" s="690"/>
      <c r="P80" s="690"/>
      <c r="Q80" s="690"/>
      <c r="R80" s="690"/>
      <c r="S80" s="996"/>
      <c r="T80" s="690"/>
      <c r="U80" s="806"/>
      <c r="V80" s="806"/>
      <c r="W80" s="997"/>
      <c r="X80" s="690"/>
      <c r="Y80" s="808"/>
      <c r="Z80" s="791"/>
      <c r="AA80" s="690"/>
      <c r="AB80" s="690"/>
      <c r="AC80" s="690"/>
      <c r="AD80" s="690"/>
      <c r="AE80" s="744"/>
      <c r="AF80" s="690"/>
      <c r="AG80" s="690"/>
      <c r="AH80" s="690"/>
      <c r="AI80" s="690"/>
      <c r="AJ80" s="690"/>
      <c r="AK80" s="805"/>
      <c r="AL80" s="690"/>
      <c r="AM80" s="690"/>
    </row>
    <row r="81" spans="1:39" ht="12" collapsed="1" x14ac:dyDescent="0.3">
      <c r="A81" s="798" t="str">
        <f>+A75</f>
        <v>Adj. EBITDA</v>
      </c>
      <c r="C81" s="690"/>
      <c r="D81" s="690"/>
      <c r="E81" s="690"/>
      <c r="F81" s="791"/>
      <c r="G81" s="690">
        <f t="shared" ref="G81:Z81" si="191">IF(OR(G75&lt;0, C75&lt;0), "NM", G75/C75-1)</f>
        <v>8.4449226845209502E-2</v>
      </c>
      <c r="H81" s="690">
        <f t="shared" si="191"/>
        <v>-5.1165997242371253E-2</v>
      </c>
      <c r="I81" s="690">
        <f t="shared" si="191"/>
        <v>0.29249649159475721</v>
      </c>
      <c r="J81" s="791">
        <f t="shared" si="191"/>
        <v>0.40269573960035165</v>
      </c>
      <c r="K81" s="690">
        <f t="shared" si="191"/>
        <v>0.3446767851236634</v>
      </c>
      <c r="L81" s="690">
        <f t="shared" si="191"/>
        <v>0.77924498499447137</v>
      </c>
      <c r="M81" s="690">
        <f t="shared" si="191"/>
        <v>0.47721024788042565</v>
      </c>
      <c r="N81" s="791">
        <f t="shared" si="191"/>
        <v>0.55533654384589548</v>
      </c>
      <c r="O81" s="690">
        <f t="shared" si="191"/>
        <v>0.46488111505875884</v>
      </c>
      <c r="P81" s="690">
        <f t="shared" si="191"/>
        <v>8.0110791520187297E-2</v>
      </c>
      <c r="Q81" s="690">
        <f t="shared" si="191"/>
        <v>3.8158388590017189E-3</v>
      </c>
      <c r="R81" s="690">
        <f t="shared" si="191"/>
        <v>1.2241135977418605E-2</v>
      </c>
      <c r="S81" s="996">
        <f t="shared" si="191"/>
        <v>-9.4029850746268684E-2</v>
      </c>
      <c r="T81" s="690">
        <f t="shared" si="191"/>
        <v>-7.9938849985205618E-2</v>
      </c>
      <c r="U81" s="806">
        <f t="shared" si="191"/>
        <v>9.3942793045427297E-3</v>
      </c>
      <c r="V81" s="806">
        <f t="shared" ref="V81" si="192">IF(OR(V75&lt;0, R75&lt;0), "NM", V75/R75-1)</f>
        <v>-2.9222626906442062E-2</v>
      </c>
      <c r="W81" s="997">
        <f t="shared" ref="W81" si="193">IF(OR(W75&lt;0, S75&lt;0), "NM", W75/S75-1)</f>
        <v>-4.1227347611202503E-2</v>
      </c>
      <c r="X81" s="690">
        <f t="shared" ref="X81" si="194">IF(OR(X75&lt;0, T75&lt;0), "NM", X75/T75-1)</f>
        <v>-3.7519429704667706E-3</v>
      </c>
      <c r="Y81" s="808">
        <f t="shared" ref="Y81" si="195">IF(OR(Y75&lt;0, U75&lt;0), "NM", Y75/U75-1)</f>
        <v>-1.1498510595607248E-2</v>
      </c>
      <c r="Z81" s="791">
        <f t="shared" si="191"/>
        <v>3.0473365448097978E-2</v>
      </c>
      <c r="AA81" s="690">
        <f t="shared" ref="AA81" si="196">IF(OR(AA75&lt;0, W75&lt;0), "NM", AA75/W75-1)</f>
        <v>0.11717834842760233</v>
      </c>
      <c r="AB81" s="690">
        <f t="shared" ref="AB81" si="197">IF(OR(AB75&lt;0, X75&lt;0), "NM", AB75/X75-1)</f>
        <v>0.1062818777526966</v>
      </c>
      <c r="AC81" s="690">
        <f t="shared" ref="AC81" si="198">IF(OR(AC75&lt;0, Y75&lt;0), "NM", AC75/Y75-1)</f>
        <v>0.10580350725229315</v>
      </c>
      <c r="AD81" s="690">
        <f t="shared" ref="AD81" si="199">IF(OR(AD75&lt;0, Z75&lt;0), "NM", AD75/Z75-1)</f>
        <v>9.7514503331199709E-2</v>
      </c>
      <c r="AE81" s="744"/>
      <c r="AF81" s="690"/>
      <c r="AG81" s="690"/>
      <c r="AH81" s="690">
        <f>IF(OR(AH75&lt;0, AG75&lt;0), "NM", AH75/AG75-1)</f>
        <v>0.18602603152545383</v>
      </c>
      <c r="AI81" s="690">
        <f>IF(OR(AI75&lt;0, AH75&lt;0), "NM", AI75/AH75-1)</f>
        <v>0.54153326339595886</v>
      </c>
      <c r="AJ81" s="690">
        <f>IF(OR(AJ75&lt;0, AI75&lt;0), "NM", AJ75/AI75-1)</f>
        <v>9.9940784996509269E-2</v>
      </c>
      <c r="AK81" s="805">
        <f t="shared" ref="AK81" si="200">IF(OR(AK75&lt;0, AJ75&lt;0), "NM", AK75/AJ75-1)</f>
        <v>-4.5614880880639808E-2</v>
      </c>
      <c r="AL81" s="690">
        <f>IF(OR(AL75&lt;0, AK75&lt;0), "NM", AL75/AK75-1)</f>
        <v>-3.6946251915946915E-3</v>
      </c>
      <c r="AM81" s="690">
        <f t="shared" ref="AM81" si="201">IF(OR(AM75&lt;0, AL75&lt;0), "NM", AM75/AL75-1)</f>
        <v>0.10569127428922132</v>
      </c>
    </row>
    <row r="82" spans="1:39" ht="12" x14ac:dyDescent="0.3">
      <c r="A82" s="778"/>
      <c r="C82" s="690"/>
      <c r="D82" s="690"/>
      <c r="E82" s="690"/>
      <c r="F82" s="791"/>
      <c r="G82" s="690"/>
      <c r="H82" s="690"/>
      <c r="I82" s="690"/>
      <c r="J82" s="791"/>
      <c r="K82" s="690"/>
      <c r="L82" s="690"/>
      <c r="M82" s="690"/>
      <c r="N82" s="791"/>
      <c r="O82" s="690"/>
      <c r="P82" s="690"/>
      <c r="Q82" s="690"/>
      <c r="R82" s="690"/>
      <c r="S82" s="996"/>
      <c r="T82" s="690"/>
      <c r="U82" s="806"/>
      <c r="V82" s="806"/>
      <c r="W82" s="996"/>
      <c r="X82" s="690"/>
      <c r="Y82" s="808"/>
      <c r="Z82" s="791"/>
      <c r="AA82" s="690"/>
      <c r="AB82" s="690"/>
      <c r="AC82" s="690"/>
      <c r="AD82" s="690"/>
      <c r="AE82" s="744"/>
      <c r="AF82" s="690"/>
      <c r="AG82" s="690"/>
      <c r="AH82" s="690"/>
      <c r="AI82" s="690"/>
      <c r="AJ82" s="690"/>
      <c r="AK82" s="805"/>
      <c r="AL82" s="690"/>
      <c r="AM82" s="690"/>
    </row>
    <row r="83" spans="1:39" ht="12" x14ac:dyDescent="0.3">
      <c r="A83" s="782" t="s">
        <v>33</v>
      </c>
      <c r="C83" s="690"/>
      <c r="D83" s="690"/>
      <c r="E83" s="690"/>
      <c r="F83" s="791"/>
      <c r="G83" s="690"/>
      <c r="H83" s="690"/>
      <c r="I83" s="690"/>
      <c r="J83" s="791"/>
      <c r="K83" s="690"/>
      <c r="L83" s="690"/>
      <c r="M83" s="690"/>
      <c r="N83" s="791"/>
      <c r="O83" s="690"/>
      <c r="P83" s="690"/>
      <c r="Q83" s="690"/>
      <c r="R83" s="690"/>
      <c r="S83" s="996"/>
      <c r="T83" s="690"/>
      <c r="U83" s="806"/>
      <c r="V83" s="806"/>
      <c r="W83" s="996"/>
      <c r="X83" s="690"/>
      <c r="Y83" s="808"/>
      <c r="Z83" s="791"/>
      <c r="AA83" s="690"/>
      <c r="AB83" s="690"/>
      <c r="AC83" s="690"/>
      <c r="AD83" s="690"/>
      <c r="AE83" s="744"/>
      <c r="AF83" s="690"/>
      <c r="AG83" s="690"/>
      <c r="AH83" s="690"/>
      <c r="AI83" s="690"/>
      <c r="AJ83" s="690"/>
      <c r="AK83" s="805"/>
      <c r="AL83" s="690"/>
      <c r="AM83" s="690"/>
    </row>
    <row r="84" spans="1:39" ht="12" x14ac:dyDescent="0.3">
      <c r="A84" s="778" t="s">
        <v>213</v>
      </c>
      <c r="C84" s="690"/>
      <c r="D84" s="690"/>
      <c r="E84" s="690"/>
      <c r="F84" s="791"/>
      <c r="G84" s="690"/>
      <c r="H84" s="690"/>
      <c r="I84" s="690"/>
      <c r="J84" s="791"/>
      <c r="K84" s="690">
        <f t="shared" ref="K84:W84" si="202">+K68/K9</f>
        <v>0.29047234904397384</v>
      </c>
      <c r="L84" s="690">
        <f t="shared" si="202"/>
        <v>0.33634996582365007</v>
      </c>
      <c r="M84" s="690">
        <f t="shared" si="202"/>
        <v>0.33479480663261457</v>
      </c>
      <c r="N84" s="791">
        <f t="shared" si="202"/>
        <v>0.34057617855949879</v>
      </c>
      <c r="O84" s="690">
        <f t="shared" si="202"/>
        <v>0.2924578981560142</v>
      </c>
      <c r="P84" s="690">
        <f t="shared" si="202"/>
        <v>0.31041496913670708</v>
      </c>
      <c r="Q84" s="690">
        <f t="shared" si="202"/>
        <v>0.32486044147628212</v>
      </c>
      <c r="R84" s="690">
        <f t="shared" si="202"/>
        <v>0.34385284032005098</v>
      </c>
      <c r="S84" s="996">
        <f t="shared" si="202"/>
        <v>0.29368127531961907</v>
      </c>
      <c r="T84" s="690">
        <f t="shared" si="202"/>
        <v>0.32163361650336242</v>
      </c>
      <c r="U84" s="806">
        <f t="shared" si="202"/>
        <v>0.34188791565840748</v>
      </c>
      <c r="V84" s="806">
        <f t="shared" si="202"/>
        <v>0.35370563388008125</v>
      </c>
      <c r="W84" s="997">
        <f t="shared" si="202"/>
        <v>0.29283094275349197</v>
      </c>
      <c r="X84" s="690">
        <f t="shared" ref="X84:Y84" si="203">+X68/X9</f>
        <v>0.31774008794294795</v>
      </c>
      <c r="Y84" s="808">
        <f t="shared" si="203"/>
        <v>0.3352505645922072</v>
      </c>
      <c r="Z84" s="807"/>
      <c r="AA84" s="806"/>
      <c r="AB84" s="806"/>
      <c r="AC84" s="806"/>
      <c r="AD84" s="806"/>
      <c r="AE84" s="744"/>
      <c r="AF84" s="690"/>
      <c r="AG84" s="690"/>
      <c r="AH84" s="690">
        <f t="shared" ref="AH84:AK85" si="204">+AH68/AH9</f>
        <v>0.3065938890126359</v>
      </c>
      <c r="AI84" s="690">
        <f t="shared" si="204"/>
        <v>0.32837314882373481</v>
      </c>
      <c r="AJ84" s="690">
        <f t="shared" si="204"/>
        <v>0.31899001964410351</v>
      </c>
      <c r="AK84" s="805">
        <f t="shared" si="204"/>
        <v>0.3293025729711741</v>
      </c>
      <c r="AL84" s="690"/>
      <c r="AM84" s="690"/>
    </row>
    <row r="85" spans="1:39" s="789" customFormat="1" ht="12" x14ac:dyDescent="0.3">
      <c r="A85" s="778" t="s">
        <v>214</v>
      </c>
      <c r="C85" s="1126"/>
      <c r="D85" s="1126"/>
      <c r="E85" s="1126"/>
      <c r="F85" s="1127"/>
      <c r="G85" s="1126"/>
      <c r="H85" s="1126"/>
      <c r="I85" s="1126"/>
      <c r="J85" s="1127"/>
      <c r="K85" s="1126">
        <f t="shared" ref="K85:W85" si="205">+K69/K10</f>
        <v>0.16562009419152274</v>
      </c>
      <c r="L85" s="1126">
        <f t="shared" si="205"/>
        <v>0.23650265957446809</v>
      </c>
      <c r="M85" s="1126">
        <f t="shared" si="205"/>
        <v>0.30119398791965163</v>
      </c>
      <c r="N85" s="1127">
        <f t="shared" si="205"/>
        <v>0.21015359435981368</v>
      </c>
      <c r="O85" s="1126">
        <f t="shared" si="205"/>
        <v>0.21363536120475093</v>
      </c>
      <c r="P85" s="1126">
        <f t="shared" si="205"/>
        <v>0.23846991889601746</v>
      </c>
      <c r="Q85" s="1126">
        <f t="shared" si="205"/>
        <v>0.22078538004299986</v>
      </c>
      <c r="R85" s="1126">
        <f t="shared" si="205"/>
        <v>0.21426662084240272</v>
      </c>
      <c r="S85" s="1128">
        <f t="shared" si="205"/>
        <v>0.15711526078557631</v>
      </c>
      <c r="T85" s="1126">
        <f t="shared" si="205"/>
        <v>0.15124621573425123</v>
      </c>
      <c r="U85" s="1129">
        <f t="shared" si="205"/>
        <v>0.1783762836659562</v>
      </c>
      <c r="V85" s="1129">
        <f t="shared" si="205"/>
        <v>0.17026965782914114</v>
      </c>
      <c r="W85" s="1415">
        <f t="shared" si="205"/>
        <v>0.13118103800572128</v>
      </c>
      <c r="X85" s="1126">
        <f t="shared" ref="X85:Y85" si="206">+X69/X10</f>
        <v>0.1722826311655021</v>
      </c>
      <c r="Y85" s="1458">
        <f t="shared" si="206"/>
        <v>0.20316256009615385</v>
      </c>
      <c r="Z85" s="1497"/>
      <c r="AA85" s="1129"/>
      <c r="AB85" s="1129"/>
      <c r="AC85" s="1129"/>
      <c r="AD85" s="1129"/>
      <c r="AE85" s="869"/>
      <c r="AF85" s="1126"/>
      <c r="AG85" s="1126"/>
      <c r="AH85" s="1126">
        <f t="shared" si="204"/>
        <v>9.9538458490977158E-2</v>
      </c>
      <c r="AI85" s="1126">
        <f t="shared" si="204"/>
        <v>0.24402459454955314</v>
      </c>
      <c r="AJ85" s="1126">
        <f t="shared" si="204"/>
        <v>0.2223083197389886</v>
      </c>
      <c r="AK85" s="1270">
        <f t="shared" si="204"/>
        <v>0.16431721246295092</v>
      </c>
      <c r="AL85" s="1126"/>
      <c r="AM85" s="1126"/>
    </row>
    <row r="86" spans="1:39" ht="12" hidden="1" outlineLevel="1" x14ac:dyDescent="0.3">
      <c r="A86" s="778" t="s">
        <v>215</v>
      </c>
      <c r="C86" s="690"/>
      <c r="D86" s="690"/>
      <c r="E86" s="690"/>
      <c r="F86" s="791"/>
      <c r="G86" s="690"/>
      <c r="H86" s="690"/>
      <c r="I86" s="690"/>
      <c r="J86" s="791"/>
      <c r="K86" s="690"/>
      <c r="L86" s="690"/>
      <c r="M86" s="690"/>
      <c r="N86" s="791"/>
      <c r="O86" s="690"/>
      <c r="P86" s="690"/>
      <c r="Q86" s="690"/>
      <c r="R86" s="690"/>
      <c r="S86" s="996"/>
      <c r="T86" s="690"/>
      <c r="U86" s="806"/>
      <c r="V86" s="806"/>
      <c r="W86" s="997"/>
      <c r="X86" s="690"/>
      <c r="Y86" s="808"/>
      <c r="Z86" s="807"/>
      <c r="AA86" s="806"/>
      <c r="AB86" s="806"/>
      <c r="AC86" s="806"/>
      <c r="AD86" s="806"/>
      <c r="AE86" s="744"/>
      <c r="AF86" s="690"/>
      <c r="AG86" s="690"/>
      <c r="AH86" s="690"/>
      <c r="AI86" s="690"/>
      <c r="AJ86" s="690"/>
      <c r="AK86" s="805"/>
      <c r="AL86" s="690"/>
      <c r="AM86" s="690"/>
    </row>
    <row r="87" spans="1:39" ht="12" collapsed="1" x14ac:dyDescent="0.3">
      <c r="A87" s="798" t="str">
        <f>+A81</f>
        <v>Adj. EBITDA</v>
      </c>
      <c r="C87" s="690">
        <f t="shared" ref="C87:U87" si="207">+C75/C$12</f>
        <v>0.22876001713967931</v>
      </c>
      <c r="D87" s="690">
        <f t="shared" si="207"/>
        <v>0.27431117981269681</v>
      </c>
      <c r="E87" s="690">
        <f t="shared" si="207"/>
        <v>0.27059279787345775</v>
      </c>
      <c r="F87" s="791">
        <f t="shared" si="207"/>
        <v>0.25122740547793843</v>
      </c>
      <c r="G87" s="690">
        <f t="shared" si="207"/>
        <v>0.24550023006342531</v>
      </c>
      <c r="H87" s="690">
        <f t="shared" si="207"/>
        <v>0.30149629022887248</v>
      </c>
      <c r="I87" s="690">
        <f t="shared" si="207"/>
        <v>0.31647633391334873</v>
      </c>
      <c r="J87" s="791">
        <f t="shared" si="207"/>
        <v>0.28519138389206877</v>
      </c>
      <c r="K87" s="690">
        <f t="shared" si="207"/>
        <v>0.2770500492163247</v>
      </c>
      <c r="L87" s="690">
        <f t="shared" si="207"/>
        <v>0.32216031940329243</v>
      </c>
      <c r="M87" s="690">
        <f t="shared" si="207"/>
        <v>0.33154453587187027</v>
      </c>
      <c r="N87" s="791">
        <f t="shared" si="207"/>
        <v>0.32671785895770966</v>
      </c>
      <c r="O87" s="690">
        <f t="shared" si="207"/>
        <v>0.28228206086970259</v>
      </c>
      <c r="P87" s="690">
        <f t="shared" si="207"/>
        <v>0.30181433908345362</v>
      </c>
      <c r="Q87" s="690">
        <f t="shared" si="207"/>
        <v>0.31161341062013925</v>
      </c>
      <c r="R87" s="690">
        <f t="shared" si="207"/>
        <v>0.33061925256943953</v>
      </c>
      <c r="S87" s="996">
        <f t="shared" si="207"/>
        <v>0.27666362807657241</v>
      </c>
      <c r="T87" s="690">
        <f t="shared" si="207"/>
        <v>0.30203167579526752</v>
      </c>
      <c r="U87" s="806">
        <f t="shared" si="207"/>
        <v>0.32336647301910521</v>
      </c>
      <c r="V87" s="806">
        <f t="shared" ref="V87:W87" si="208">+V75/V$12</f>
        <v>0.3368548888735301</v>
      </c>
      <c r="W87" s="997">
        <f t="shared" si="208"/>
        <v>0.27481465741134248</v>
      </c>
      <c r="X87" s="690">
        <f t="shared" ref="X87:Y87" si="209">+X75/X$12</f>
        <v>0.30215230890943184</v>
      </c>
      <c r="Y87" s="808">
        <f t="shared" si="209"/>
        <v>0.32164685439360385</v>
      </c>
      <c r="Z87" s="807">
        <f>+Z75/Z$12</f>
        <v>0.33767038259103205</v>
      </c>
      <c r="AA87" s="806">
        <f t="shared" ref="AA87:AD87" si="210">+AA75/AA$12</f>
        <v>0.29165889573043252</v>
      </c>
      <c r="AB87" s="806">
        <f t="shared" si="210"/>
        <v>0.3147444345680353</v>
      </c>
      <c r="AC87" s="806">
        <f t="shared" si="210"/>
        <v>0.33101795445936744</v>
      </c>
      <c r="AD87" s="806">
        <f t="shared" si="210"/>
        <v>0.34248413945218037</v>
      </c>
      <c r="AE87" s="744"/>
      <c r="AF87" s="690"/>
      <c r="AG87" s="690">
        <f t="shared" ref="AG87:AL87" si="211">+AG75/AG$12</f>
        <v>0.25691464961277966</v>
      </c>
      <c r="AH87" s="690">
        <f t="shared" si="211"/>
        <v>0.28831748351186481</v>
      </c>
      <c r="AI87" s="690">
        <f t="shared" si="211"/>
        <v>0.31769702159919688</v>
      </c>
      <c r="AJ87" s="690">
        <f t="shared" si="211"/>
        <v>0.30728757084675373</v>
      </c>
      <c r="AK87" s="805">
        <f t="shared" ref="AK87" si="212">+AK75/AK$12</f>
        <v>0.31103447282592322</v>
      </c>
      <c r="AL87" s="690">
        <f t="shared" si="211"/>
        <v>0.31088230813797701</v>
      </c>
      <c r="AM87" s="690">
        <f t="shared" ref="AM87" si="213">+AM75/AM$12</f>
        <v>0.32164603317354012</v>
      </c>
    </row>
    <row r="88" spans="1:39" ht="12" hidden="1" outlineLevel="1" x14ac:dyDescent="0.3">
      <c r="A88" s="778" t="s">
        <v>236</v>
      </c>
      <c r="C88" s="806"/>
      <c r="D88" s="806"/>
      <c r="E88" s="806"/>
      <c r="F88" s="807"/>
      <c r="G88" s="806">
        <f t="shared" ref="G88:J88" si="214">IF(OR(G75&lt;0,C75&lt;0),"NM",(G75-C75)/(G$12-C$12))</f>
        <v>1.8394097222222172</v>
      </c>
      <c r="H88" s="806">
        <f t="shared" si="214"/>
        <v>0.10265816694731718</v>
      </c>
      <c r="I88" s="806">
        <f t="shared" si="214"/>
        <v>0.75301714197863201</v>
      </c>
      <c r="J88" s="807">
        <f t="shared" si="214"/>
        <v>0.42932270382528304</v>
      </c>
      <c r="K88" s="806">
        <f>IF(OR(K75&lt;0,G75&lt;0),"NM",(K75-G75)/(K$12-G$12))</f>
        <v>0.44175969101785162</v>
      </c>
      <c r="L88" s="806">
        <f t="shared" ref="L88" si="215">IF(OR(L75&lt;0,H75&lt;0),"NM",(L75-H75)/(L$12-H$12))</f>
        <v>0.35322841636475588</v>
      </c>
      <c r="M88" s="806">
        <f t="shared" ref="M88" si="216">IF(OR(M75&lt;0,I75&lt;0),"NM",(M75-I75)/(M$12-I$12))</f>
        <v>0.36828968246893312</v>
      </c>
      <c r="N88" s="807">
        <f t="shared" ref="N88" si="217">IF(OR(N75&lt;0,J75&lt;0),"NM",(N75-J75)/(N$12-J$12))</f>
        <v>0.44282703436450499</v>
      </c>
      <c r="O88" s="806">
        <f t="shared" ref="O88" si="218">IF(OR(O75&lt;0,K75&lt;0),"NM",(O75-K75)/(O$12-K$12))</f>
        <v>0.29423466122364239</v>
      </c>
      <c r="P88" s="806">
        <f t="shared" ref="P88" si="219">IF(OR(P75&lt;0,L75&lt;0),"NM",(P75-L75)/(P$12-L$12))</f>
        <v>0.16876753319618445</v>
      </c>
      <c r="Q88" s="806">
        <f t="shared" ref="Q88" si="220">IF(OR(Q75&lt;0,M75&lt;0),"NM",(Q75-M75)/(Q$12-M$12))</f>
        <v>1.8598978580685026E-2</v>
      </c>
      <c r="R88" s="806">
        <f t="shared" ref="R88" si="221">IF(OR(R75&lt;0,N75&lt;0),"NM",(R75-N75)/(R$12-N$12))</f>
        <v>13.492063492096367</v>
      </c>
      <c r="S88" s="997">
        <f t="shared" ref="S88" si="222">IF(OR(S75&lt;0,O75&lt;0),"NM",(S75-O75)/(S$12-O$12))</f>
        <v>0.35095049091288927</v>
      </c>
      <c r="T88" s="806">
        <f t="shared" ref="T88" si="223">IF(OR(T75&lt;0,P75&lt;0),"NM",(T75-P75)/(T$12-P$12))</f>
        <v>0.29933522097747117</v>
      </c>
      <c r="U88" s="806">
        <f t="shared" ref="U88" si="224">IF(OR(U75&lt;0,Q75&lt;0),"NM",(U75-Q75)/(U$12-Q$12))</f>
        <v>-0.10725720384204837</v>
      </c>
      <c r="V88" s="806">
        <f t="shared" ref="V88" si="225">IF(OR(V75&lt;0,R75&lt;0),"NM",(V75-R75)/(V$12-R$12))</f>
        <v>0.20472440944881878</v>
      </c>
      <c r="W88" s="806">
        <f t="shared" ref="W88" si="226">IF(OR(W75&lt;0,S75&lt;0),"NM",(W75-S75)/(W$12-S$12))</f>
        <v>0.32798165137614532</v>
      </c>
      <c r="X88" s="806">
        <f t="shared" ref="X88" si="227">IF(OR(X75&lt;0,T75&lt;0),"NM",(X75-T75)/(X$12-T$12))</f>
        <v>0.27308192457736313</v>
      </c>
      <c r="Y88" s="808"/>
      <c r="Z88" s="807"/>
      <c r="AA88" s="806"/>
      <c r="AB88" s="806"/>
      <c r="AC88" s="806"/>
      <c r="AD88" s="806"/>
      <c r="AE88" s="744"/>
      <c r="AF88" s="806"/>
      <c r="AG88" s="806"/>
      <c r="AH88" s="806">
        <f>IF(OR(AH75&lt;0,AG75&lt;0),"NM",(AH75-AG75)/(AH$12-AG$12))</f>
        <v>0.84072735239347152</v>
      </c>
      <c r="AI88" s="806">
        <f>IF(OR(AI75&lt;0,AH75&lt;0),"NM",(AI75-AH75)/(AI$12-AH$12))</f>
        <v>0.39133409799105018</v>
      </c>
      <c r="AJ88" s="806">
        <f>IF(OR(AJ75&lt;0,AI75&lt;0),"NM",(AJ75-AI75)/(AJ$12-AI$12))</f>
        <v>0.2314178127046502</v>
      </c>
      <c r="AK88" s="808">
        <f t="shared" ref="AK88" si="228">IF(OR(AK75&lt;0,AJ75&lt;0),"NM",(AK75-AJ75)/(AK$12-AJ$12))</f>
        <v>0.24542821322035485</v>
      </c>
      <c r="AL88" s="806"/>
      <c r="AM88" s="806"/>
    </row>
    <row r="89" spans="1:39" ht="12" collapsed="1" x14ac:dyDescent="0.3">
      <c r="A89" s="798"/>
      <c r="B89" s="470"/>
      <c r="C89" s="744"/>
      <c r="D89" s="744"/>
      <c r="E89" s="744"/>
      <c r="F89" s="745"/>
      <c r="G89" s="806"/>
      <c r="H89" s="806"/>
      <c r="I89" s="806"/>
      <c r="J89" s="807"/>
      <c r="K89" s="806"/>
      <c r="L89" s="806"/>
      <c r="M89" s="806"/>
      <c r="N89" s="807"/>
      <c r="O89" s="806"/>
      <c r="P89" s="806"/>
      <c r="Q89" s="806"/>
      <c r="R89" s="806"/>
      <c r="S89" s="997"/>
      <c r="T89" s="806"/>
      <c r="U89" s="806"/>
      <c r="V89" s="806"/>
      <c r="W89" s="997"/>
      <c r="X89" s="806"/>
      <c r="Y89" s="808"/>
      <c r="Z89" s="807"/>
      <c r="AA89" s="806"/>
      <c r="AB89" s="806"/>
      <c r="AC89" s="806"/>
      <c r="AD89" s="806"/>
      <c r="AE89" s="744"/>
      <c r="AF89" s="806"/>
      <c r="AG89" s="806"/>
      <c r="AH89" s="750"/>
      <c r="AI89" s="806"/>
      <c r="AJ89" s="806"/>
      <c r="AK89" s="808"/>
      <c r="AL89" s="806"/>
      <c r="AM89" s="806"/>
    </row>
    <row r="90" spans="1:39" s="809" customFormat="1" ht="13" x14ac:dyDescent="0.4">
      <c r="A90" s="793" t="str">
        <f>+A72</f>
        <v>SBC</v>
      </c>
      <c r="C90" s="757">
        <f>+'FA - Detailed Disclosure'!C72</f>
        <v>0.35399999999999998</v>
      </c>
      <c r="D90" s="757">
        <f>+'FA - Detailed Disclosure'!D72</f>
        <v>0.32400000000000001</v>
      </c>
      <c r="E90" s="757">
        <f>+'FA - Detailed Disclosure'!E72</f>
        <v>0.27400000000000002</v>
      </c>
      <c r="F90" s="758">
        <f>+'FA - Detailed Disclosure'!F72</f>
        <v>0.26400000000000001</v>
      </c>
      <c r="G90" s="757">
        <f>+'FA - Detailed Disclosure'!G72</f>
        <v>4.2569999999999997</v>
      </c>
      <c r="H90" s="757">
        <f>+'FA - Detailed Disclosure'!H72</f>
        <v>0.52</v>
      </c>
      <c r="I90" s="757">
        <f>+'FA - Detailed Disclosure'!I72</f>
        <v>0.53</v>
      </c>
      <c r="J90" s="758">
        <f>+'FA - Detailed Disclosure'!J72</f>
        <v>0.54500000000000004</v>
      </c>
      <c r="K90" s="757">
        <f>+'FA - Detailed Disclosure'!K72</f>
        <v>0.56200000000000006</v>
      </c>
      <c r="L90" s="757">
        <f>+'FA - Detailed Disclosure'!L72</f>
        <v>2.6640000000000001</v>
      </c>
      <c r="M90" s="757">
        <f>+'FA - Detailed Disclosure'!M72</f>
        <v>1.343</v>
      </c>
      <c r="N90" s="758">
        <f>+'FA - Detailed Disclosure'!N72</f>
        <v>4.9610000000000003</v>
      </c>
      <c r="O90" s="757">
        <f>+'FA - Detailed Disclosure'!O72</f>
        <v>1.859</v>
      </c>
      <c r="P90" s="757">
        <f>+'FA - Detailed Disclosure'!P72</f>
        <v>1.9430000000000001</v>
      </c>
      <c r="Q90" s="757">
        <f>+'FA - Detailed Disclosure'!Q72</f>
        <v>2.0219999999999998</v>
      </c>
      <c r="R90" s="757">
        <f>+'FA - Detailed Disclosure'!R72</f>
        <v>2.032</v>
      </c>
      <c r="S90" s="987">
        <f>+'FA - Detailed Disclosure'!S72</f>
        <v>2.0579999999999998</v>
      </c>
      <c r="T90" s="757">
        <f>+'FA - Detailed Disclosure'!T72</f>
        <v>3.601</v>
      </c>
      <c r="U90" s="757">
        <f>+'FA - Detailed Disclosure'!U72</f>
        <v>4.79</v>
      </c>
      <c r="V90" s="757">
        <f>+'FA - Detailed Disclosure'!V72</f>
        <v>4.8159999999999998</v>
      </c>
      <c r="W90" s="987">
        <f>+'FA - Detailed Disclosure'!W72</f>
        <v>4.7510000000000003</v>
      </c>
      <c r="X90" s="757">
        <f>+'FA - Detailed Disclosure'!X72</f>
        <v>5.048</v>
      </c>
      <c r="Y90" s="1106">
        <v>5</v>
      </c>
      <c r="Z90" s="1498">
        <f>+Y90</f>
        <v>5</v>
      </c>
      <c r="AA90" s="810">
        <f>+Z90</f>
        <v>5</v>
      </c>
      <c r="AB90" s="810">
        <f t="shared" ref="AB90:AD90" si="229">+AA90/AA12*AB12</f>
        <v>5.4949873582701301</v>
      </c>
      <c r="AC90" s="810">
        <f t="shared" si="229"/>
        <v>5.9985575350305025</v>
      </c>
      <c r="AD90" s="810">
        <f t="shared" si="229"/>
        <v>6.3173626958975415</v>
      </c>
      <c r="AE90" s="757"/>
      <c r="AF90" s="757"/>
      <c r="AG90" s="757">
        <f>+'FA - Detailed Disclosure'!AI72</f>
        <v>1.216</v>
      </c>
      <c r="AH90" s="757">
        <f>SUM(G90:J90)</f>
        <v>5.8519999999999994</v>
      </c>
      <c r="AI90" s="757">
        <f>+SUM(K90:N90)</f>
        <v>9.5300000000000011</v>
      </c>
      <c r="AJ90" s="757">
        <f>SUM(O90:R90)</f>
        <v>7.8559999999999999</v>
      </c>
      <c r="AK90" s="760">
        <f>SUM(S90:V90)</f>
        <v>15.265000000000001</v>
      </c>
      <c r="AL90" s="757">
        <f>+SUM(W90:Z90)</f>
        <v>19.798999999999999</v>
      </c>
      <c r="AM90" s="757">
        <f t="shared" ref="AM90:AM91" si="230">+SUM(AA90:AD90)</f>
        <v>22.810907589198173</v>
      </c>
    </row>
    <row r="91" spans="1:39" x14ac:dyDescent="0.25">
      <c r="A91" s="474" t="s">
        <v>188</v>
      </c>
      <c r="C91" s="736">
        <f>+C75-C90</f>
        <v>24.738000000000003</v>
      </c>
      <c r="D91" s="736">
        <f t="shared" ref="D91:P91" si="231">+D75-D90</f>
        <v>33.037999999999997</v>
      </c>
      <c r="E91" s="736">
        <f t="shared" si="231"/>
        <v>33.216999999999992</v>
      </c>
      <c r="F91" s="752">
        <f t="shared" si="231"/>
        <v>31.564000000000004</v>
      </c>
      <c r="G91" s="736">
        <f t="shared" si="231"/>
        <v>22.954000000000001</v>
      </c>
      <c r="H91" s="736">
        <f t="shared" si="231"/>
        <v>31.135000000000005</v>
      </c>
      <c r="I91" s="736">
        <f t="shared" si="231"/>
        <v>42.757000000000005</v>
      </c>
      <c r="J91" s="752">
        <f t="shared" si="231"/>
        <v>44.099999999999994</v>
      </c>
      <c r="K91" s="736">
        <f t="shared" si="231"/>
        <v>36.028000000000006</v>
      </c>
      <c r="L91" s="736">
        <f t="shared" si="231"/>
        <v>53.658000000000001</v>
      </c>
      <c r="M91" s="736">
        <f t="shared" si="231"/>
        <v>62.600999999999999</v>
      </c>
      <c r="N91" s="752">
        <f t="shared" si="231"/>
        <v>64.477000000000004</v>
      </c>
      <c r="O91" s="736">
        <f t="shared" si="231"/>
        <v>51.740999999999993</v>
      </c>
      <c r="P91" s="736">
        <f t="shared" si="231"/>
        <v>58.890999999999998</v>
      </c>
      <c r="Q91" s="736">
        <f t="shared" ref="Q91:R91" si="232">+Q75-Q90</f>
        <v>62.166000000000004</v>
      </c>
      <c r="R91" s="736">
        <f t="shared" si="232"/>
        <v>68.256</v>
      </c>
      <c r="S91" s="986">
        <f t="shared" ref="S91:T91" si="233">+S75-S90</f>
        <v>46.501999999999995</v>
      </c>
      <c r="T91" s="736">
        <f t="shared" si="233"/>
        <v>52.37</v>
      </c>
      <c r="U91" s="736">
        <f t="shared" ref="U91" si="234">+U75-U90</f>
        <v>60.000999999999998</v>
      </c>
      <c r="V91" s="736">
        <f t="shared" ref="V91:Z91" si="235">+V75-V90</f>
        <v>63.417999999999992</v>
      </c>
      <c r="W91" s="986">
        <f t="shared" ref="W91:X91" si="236">+W75-W90</f>
        <v>41.807000000000002</v>
      </c>
      <c r="X91" s="736">
        <f t="shared" si="236"/>
        <v>50.713000000000001</v>
      </c>
      <c r="Y91" s="754">
        <f t="shared" ref="Y91" si="237">+Y75-Y90</f>
        <v>59.046000000000006</v>
      </c>
      <c r="Z91" s="752">
        <f t="shared" si="235"/>
        <v>65.313319617985513</v>
      </c>
      <c r="AA91" s="736">
        <f t="shared" ref="AA91:AD91" si="238">+AA75-AA90</f>
        <v>47.013589546092305</v>
      </c>
      <c r="AB91" s="736">
        <f t="shared" si="238"/>
        <v>56.192396427097982</v>
      </c>
      <c r="AC91" s="736">
        <f t="shared" si="238"/>
        <v>64.823733890449873</v>
      </c>
      <c r="AD91" s="736">
        <f t="shared" si="238"/>
        <v>70.852525362203721</v>
      </c>
      <c r="AE91" s="744"/>
      <c r="AF91" s="736"/>
      <c r="AG91" s="736">
        <f t="shared" ref="AG91:AI91" si="239">+AG75-AG90</f>
        <v>122.557</v>
      </c>
      <c r="AH91" s="736">
        <f t="shared" si="239"/>
        <v>140.946</v>
      </c>
      <c r="AI91" s="736">
        <f t="shared" si="239"/>
        <v>216.76399999999998</v>
      </c>
      <c r="AJ91" s="736">
        <f t="shared" ref="AJ91:AK91" si="240">+AJ75-AJ90</f>
        <v>241.05400000000003</v>
      </c>
      <c r="AK91" s="754">
        <f t="shared" si="240"/>
        <v>222.291</v>
      </c>
      <c r="AL91" s="736">
        <f t="shared" ref="AL91" si="241">+AL75-AL90</f>
        <v>216.87931961798552</v>
      </c>
      <c r="AM91" s="736">
        <f t="shared" si="230"/>
        <v>238.88224522584386</v>
      </c>
    </row>
    <row r="92" spans="1:39" ht="12" x14ac:dyDescent="0.3">
      <c r="A92" s="798" t="s">
        <v>29</v>
      </c>
      <c r="C92" s="690"/>
      <c r="D92" s="690"/>
      <c r="E92" s="690"/>
      <c r="F92" s="791"/>
      <c r="G92" s="690">
        <f t="shared" ref="G92" si="242">IF(OR(G91&lt;0, C91&lt;0), "NM", G91/C91-1)</f>
        <v>-7.2115773304228359E-2</v>
      </c>
      <c r="H92" s="690">
        <f t="shared" ref="H92" si="243">IF(OR(H91&lt;0, D91&lt;0), "NM", H91/D91-1)</f>
        <v>-5.7600339003571421E-2</v>
      </c>
      <c r="I92" s="690">
        <f t="shared" ref="I92" si="244">IF(OR(I91&lt;0, E91&lt;0), "NM", I91/E91-1)</f>
        <v>0.28720233615317503</v>
      </c>
      <c r="J92" s="791">
        <f t="shared" ref="J92" si="245">IF(OR(J91&lt;0, F91&lt;0), "NM", J91/F91-1)</f>
        <v>0.39716132302623208</v>
      </c>
      <c r="K92" s="690">
        <f t="shared" ref="K92" si="246">IF(OR(K91&lt;0, G91&lt;0), "NM", K91/G91-1)</f>
        <v>0.56957393046963523</v>
      </c>
      <c r="L92" s="690">
        <f t="shared" ref="L92" si="247">IF(OR(L91&lt;0, H91&lt;0), "NM", L91/H91-1)</f>
        <v>0.72339810502649726</v>
      </c>
      <c r="M92" s="690">
        <f t="shared" ref="M92" si="248">IF(OR(M91&lt;0, I91&lt;0), "NM", M91/I91-1)</f>
        <v>0.4641111396964237</v>
      </c>
      <c r="N92" s="791">
        <f t="shared" ref="N92" si="249">IF(OR(N91&lt;0, J91&lt;0), "NM", N91/J91-1)</f>
        <v>0.46206349206349229</v>
      </c>
      <c r="O92" s="690">
        <f t="shared" ref="O92" si="250">IF(OR(O91&lt;0, K91&lt;0), "NM", O91/K91-1)</f>
        <v>0.43613300766070795</v>
      </c>
      <c r="P92" s="690">
        <f t="shared" ref="P92" si="251">IF(OR(P91&lt;0, L91&lt;0), "NM", P91/L91-1)</f>
        <v>9.7525066159752427E-2</v>
      </c>
      <c r="Q92" s="690">
        <f t="shared" ref="Q92" si="252">IF(OR(Q91&lt;0, M91&lt;0), "NM", Q91/M91-1)</f>
        <v>-6.9487707864090975E-3</v>
      </c>
      <c r="R92" s="806">
        <f t="shared" ref="R92" si="253">IF(OR(R91&lt;0, N91&lt;0), "NM", R91/N91-1)</f>
        <v>5.8610046993501586E-2</v>
      </c>
      <c r="S92" s="997">
        <f t="shared" ref="S92" si="254">IF(OR(S91&lt;0, O91&lt;0), "NM", S91/O91-1)</f>
        <v>-0.10125432442357118</v>
      </c>
      <c r="T92" s="806">
        <f t="shared" ref="T92" si="255">IF(OR(T91&lt;0, P91&lt;0), "NM", T91/P91-1)</f>
        <v>-0.11072999269837502</v>
      </c>
      <c r="U92" s="806">
        <f t="shared" ref="U92" si="256">IF(OR(U91&lt;0, Q91&lt;0), "NM", U91/Q91-1)</f>
        <v>-3.482611073577202E-2</v>
      </c>
      <c r="V92" s="690">
        <f t="shared" ref="V92" si="257">IF(OR(V91&lt;0, R91&lt;0), "NM", V91/R91-1)</f>
        <v>-7.0880215658696843E-2</v>
      </c>
      <c r="W92" s="996">
        <f t="shared" ref="W92" si="258">IF(OR(W91&lt;0, S91&lt;0), "NM", W91/S91-1)</f>
        <v>-0.1009633994236806</v>
      </c>
      <c r="X92" s="806">
        <f t="shared" ref="X92" si="259">IF(OR(X91&lt;0, T91&lt;0), "NM", X91/T91-1)</f>
        <v>-3.1640252052701823E-2</v>
      </c>
      <c r="Y92" s="808">
        <f t="shared" ref="Y92" si="260">IF(OR(Y91&lt;0, U91&lt;0), "NM", Y91/U91-1)</f>
        <v>-1.5916401393309965E-2</v>
      </c>
      <c r="Z92" s="791">
        <f t="shared" ref="Z92" si="261">IF(OR(Z91&lt;0, V91&lt;0), "NM", Z91/V91-1)</f>
        <v>2.9886146172782624E-2</v>
      </c>
      <c r="AA92" s="690">
        <f t="shared" ref="AA92" si="262">IF(OR(AA91&lt;0, W91&lt;0), "NM", AA91/W91-1)</f>
        <v>0.1245387027553353</v>
      </c>
      <c r="AB92" s="690">
        <f t="shared" ref="AB92" si="263">IF(OR(AB91&lt;0, X91&lt;0), "NM", AB91/X91-1)</f>
        <v>0.10804717581484002</v>
      </c>
      <c r="AC92" s="690">
        <f t="shared" ref="AC92" si="264">IF(OR(AC91&lt;0, Y91&lt;0), "NM", AC91/Y91-1)</f>
        <v>9.7851402134774057E-2</v>
      </c>
      <c r="AD92" s="690">
        <f t="shared" ref="AD92" si="265">IF(OR(AD91&lt;0, Z91&lt;0), "NM", AD91/Z91-1)</f>
        <v>8.480974136082442E-2</v>
      </c>
      <c r="AE92" s="744"/>
      <c r="AF92" s="690"/>
      <c r="AG92" s="690"/>
      <c r="AH92" s="690">
        <f t="shared" ref="AH92:AJ92" si="266">IF(OR(AH91&lt;0, AG91&lt;0), "NM", AH91/AG91-1)</f>
        <v>0.1500444691041718</v>
      </c>
      <c r="AI92" s="690">
        <f t="shared" si="266"/>
        <v>0.53792232486200375</v>
      </c>
      <c r="AJ92" s="690">
        <f t="shared" si="266"/>
        <v>0.11205735269694261</v>
      </c>
      <c r="AK92" s="805">
        <f t="shared" ref="AK92" si="267">IF(OR(AK91&lt;0, AJ91&lt;0), "NM", AK91/AJ91-1)</f>
        <v>-7.7837331054452674E-2</v>
      </c>
      <c r="AL92" s="690">
        <f t="shared" ref="AL92" si="268">IF(OR(AL91&lt;0, AK91&lt;0), "NM", AL91/AK91-1)</f>
        <v>-2.4345026933229374E-2</v>
      </c>
      <c r="AM92" s="690">
        <f t="shared" ref="AM92" si="269">IF(OR(AM91&lt;0, AL91&lt;0), "NM", AM91/AL91-1)</f>
        <v>0.10145239134194362</v>
      </c>
    </row>
    <row r="93" spans="1:39" ht="12" x14ac:dyDescent="0.3">
      <c r="A93" s="798" t="s">
        <v>33</v>
      </c>
      <c r="C93" s="690">
        <f t="shared" ref="C93:P93" si="270">+C91/C$12</f>
        <v>0.22553265200069292</v>
      </c>
      <c r="D93" s="690">
        <f t="shared" si="270"/>
        <v>0.27164716619662721</v>
      </c>
      <c r="E93" s="690">
        <f t="shared" si="270"/>
        <v>0.26837899635611495</v>
      </c>
      <c r="F93" s="791">
        <f t="shared" si="270"/>
        <v>0.24914357881442906</v>
      </c>
      <c r="G93" s="690">
        <f t="shared" si="270"/>
        <v>0.20709317117621054</v>
      </c>
      <c r="H93" s="690">
        <f t="shared" si="270"/>
        <v>0.2965435790957493</v>
      </c>
      <c r="I93" s="690">
        <f t="shared" si="270"/>
        <v>0.31260144175232862</v>
      </c>
      <c r="J93" s="791">
        <f t="shared" si="270"/>
        <v>0.28170993458708105</v>
      </c>
      <c r="K93" s="690">
        <f t="shared" si="270"/>
        <v>0.27279473006738858</v>
      </c>
      <c r="L93" s="690">
        <f t="shared" si="270"/>
        <v>0.30692231132669057</v>
      </c>
      <c r="M93" s="690">
        <f t="shared" si="270"/>
        <v>0.32458118807260966</v>
      </c>
      <c r="N93" s="791">
        <f t="shared" si="270"/>
        <v>0.30337549169066286</v>
      </c>
      <c r="O93" s="690">
        <f t="shared" si="270"/>
        <v>0.27249171849737464</v>
      </c>
      <c r="P93" s="690">
        <f t="shared" si="270"/>
        <v>0.29217457742321179</v>
      </c>
      <c r="Q93" s="690">
        <f t="shared" ref="Q93:R93" si="271">+Q91/Q$12</f>
        <v>0.30179720951909356</v>
      </c>
      <c r="R93" s="806">
        <f t="shared" si="271"/>
        <v>0.32106117265222606</v>
      </c>
      <c r="S93" s="997">
        <f t="shared" ref="S93:T93" si="272">+S91/S$12</f>
        <v>0.2649384685505925</v>
      </c>
      <c r="T93" s="806">
        <f t="shared" si="272"/>
        <v>0.2825998974718722</v>
      </c>
      <c r="U93" s="806">
        <f t="shared" ref="U93" si="273">+U91/U$12</f>
        <v>0.29945998283124708</v>
      </c>
      <c r="V93" s="690">
        <f t="shared" ref="V93:Z93" si="274">+V91/V$12</f>
        <v>0.31307945221709893</v>
      </c>
      <c r="W93" s="996">
        <f t="shared" ref="W93:X93" si="275">+W91/W$12</f>
        <v>0.24677126127402371</v>
      </c>
      <c r="X93" s="806">
        <f t="shared" si="275"/>
        <v>0.27479869517627042</v>
      </c>
      <c r="Y93" s="808">
        <f t="shared" ref="Y93" si="276">+Y91/Y$12</f>
        <v>0.29653624214665603</v>
      </c>
      <c r="Z93" s="791">
        <f t="shared" si="274"/>
        <v>0.31365854639658086</v>
      </c>
      <c r="AA93" s="690">
        <f t="shared" ref="AA93:AD93" si="277">+AA91/AA$12</f>
        <v>0.26362209820543414</v>
      </c>
      <c r="AB93" s="690">
        <f t="shared" si="277"/>
        <v>0.28670763704303692</v>
      </c>
      <c r="AC93" s="690">
        <f t="shared" si="277"/>
        <v>0.30298115693436906</v>
      </c>
      <c r="AD93" s="690">
        <f t="shared" si="277"/>
        <v>0.31444734192718199</v>
      </c>
      <c r="AE93" s="744"/>
      <c r="AF93" s="690"/>
      <c r="AG93" s="690">
        <f>+AG91/AG$12</f>
        <v>0.25439060790797213</v>
      </c>
      <c r="AH93" s="690">
        <f>+AH91/AH$12</f>
        <v>0.27682390789427169</v>
      </c>
      <c r="AI93" s="690">
        <f>+AI91/AI$12</f>
        <v>0.30431773352332947</v>
      </c>
      <c r="AJ93" s="690">
        <f>+AJ91/AJ$12</f>
        <v>0.29758908080387841</v>
      </c>
      <c r="AK93" s="805">
        <f t="shared" ref="AK93:AL93" si="278">+AK91/AK$12</f>
        <v>0.29104785397526184</v>
      </c>
      <c r="AL93" s="690">
        <f t="shared" si="278"/>
        <v>0.28487587531912545</v>
      </c>
      <c r="AM93" s="690">
        <f t="shared" ref="AM93" si="279">+AM91/AM$12</f>
        <v>0.2936092356485418</v>
      </c>
    </row>
    <row r="94" spans="1:39" ht="12" hidden="1" outlineLevel="1" x14ac:dyDescent="0.3">
      <c r="A94" s="798" t="s">
        <v>236</v>
      </c>
      <c r="C94" s="806"/>
      <c r="D94" s="806"/>
      <c r="E94" s="806"/>
      <c r="F94" s="807"/>
      <c r="G94" s="806">
        <f t="shared" ref="G94:P94" si="280">IF(OR(G91&lt;0,C91&lt;0),"NM",(G91-C91)/(G$12-C$12))</f>
        <v>-1.5486111111111118</v>
      </c>
      <c r="H94" s="806">
        <f t="shared" si="280"/>
        <v>0.11444551359153185</v>
      </c>
      <c r="I94" s="806">
        <f t="shared" si="280"/>
        <v>0.73333845799062369</v>
      </c>
      <c r="J94" s="807">
        <f t="shared" si="280"/>
        <v>0.41991022978495335</v>
      </c>
      <c r="K94" s="806">
        <f t="shared" si="280"/>
        <v>0.61579765437332246</v>
      </c>
      <c r="L94" s="806">
        <f t="shared" si="280"/>
        <v>0.32252659917231102</v>
      </c>
      <c r="M94" s="806">
        <f t="shared" si="280"/>
        <v>0.3537948617375955</v>
      </c>
      <c r="N94" s="807">
        <f t="shared" si="280"/>
        <v>0.36395298992641151</v>
      </c>
      <c r="O94" s="806">
        <f t="shared" si="280"/>
        <v>0.27179948452716585</v>
      </c>
      <c r="P94" s="806">
        <f t="shared" si="280"/>
        <v>0.19573592668786213</v>
      </c>
      <c r="Q94" s="806">
        <f t="shared" ref="Q94" si="281">IF(OR(Q91&lt;0,M91&lt;0),"NM",(Q91-M91)/(Q$12-M$12))</f>
        <v>-3.3158015092613395E-2</v>
      </c>
      <c r="R94" s="806">
        <f t="shared" ref="R94" si="282">IF(OR(R91&lt;0,N91&lt;0),"NM",(R91-N91)/(R$12-N$12))</f>
        <v>59.984126984273487</v>
      </c>
      <c r="S94" s="997">
        <f t="shared" ref="S94" si="283">IF(OR(S91&lt;0,O91&lt;0),"NM",(S91-O91)/(S$12-O$12))</f>
        <v>0.36480746466123537</v>
      </c>
      <c r="T94" s="806">
        <f t="shared" ref="T94" si="284">IF(OR(T91&lt;0,P91&lt;0),"NM",(T91-P91)/(T$12-P$12))</f>
        <v>0.40139111165825414</v>
      </c>
      <c r="U94" s="806">
        <f t="shared" ref="U94" si="285">IF(OR(U91&lt;0,Q91&lt;0),"NM",(U91-Q91)/(U$12-Q$12))</f>
        <v>0.38509427250089145</v>
      </c>
      <c r="V94" s="806">
        <f t="shared" ref="V94" si="286">IF(OR(V91&lt;0,R91&lt;0),"NM",(V91-R91)/(V$12-R$12))</f>
        <v>0.48220871125286563</v>
      </c>
      <c r="W94" s="997"/>
      <c r="X94" s="806"/>
      <c r="Y94" s="808"/>
      <c r="Z94" s="807"/>
      <c r="AA94" s="806"/>
      <c r="AB94" s="806"/>
      <c r="AC94" s="806"/>
      <c r="AD94" s="806"/>
      <c r="AE94" s="744"/>
      <c r="AF94" s="806"/>
      <c r="AG94" s="806"/>
      <c r="AH94" s="806">
        <f>IF(OR(AH91&lt;0,AG91&lt;0),"NM",(AH91-AG91)/(AH$12-AG$12))</f>
        <v>0.67144995800927432</v>
      </c>
      <c r="AI94" s="806">
        <f>IF(OR(AI91&lt;0,AH91&lt;0),"NM",(AI91-AH91)/(AI$12-AH$12))</f>
        <v>0.37322844723615584</v>
      </c>
      <c r="AJ94" s="806">
        <f>IF(OR(AJ91&lt;0,AI91&lt;0),"NM",(AJ91-AI91)/(AJ$12-AI$12))</f>
        <v>0.24854698755730253</v>
      </c>
      <c r="AK94" s="808">
        <f t="shared" ref="AK94" si="287">IF(OR(AK91&lt;0,AJ91&lt;0),"NM",(AK91-AJ91)/(AK$12-AJ$12))</f>
        <v>0.40558125459340399</v>
      </c>
      <c r="AL94" s="806"/>
      <c r="AM94" s="806"/>
    </row>
    <row r="95" spans="1:39" ht="13" collapsed="1" x14ac:dyDescent="0.4">
      <c r="A95" s="512"/>
      <c r="B95" s="470"/>
      <c r="C95" s="755"/>
      <c r="D95" s="755"/>
      <c r="E95" s="755"/>
      <c r="F95" s="756"/>
      <c r="G95" s="755"/>
      <c r="H95" s="755"/>
      <c r="I95" s="755"/>
      <c r="J95" s="758"/>
      <c r="K95" s="755"/>
      <c r="L95" s="755"/>
      <c r="M95" s="755"/>
      <c r="N95" s="758"/>
      <c r="O95" s="755"/>
      <c r="P95" s="755"/>
      <c r="Q95" s="755"/>
      <c r="R95" s="757"/>
      <c r="S95" s="987"/>
      <c r="T95" s="757"/>
      <c r="U95" s="806"/>
      <c r="V95" s="803"/>
      <c r="W95" s="996"/>
      <c r="X95" s="757"/>
      <c r="Y95" s="808"/>
      <c r="Z95" s="823"/>
      <c r="AA95" s="803"/>
      <c r="AB95" s="803"/>
      <c r="AC95" s="803"/>
      <c r="AD95" s="803"/>
      <c r="AE95" s="803"/>
      <c r="AF95" s="755"/>
      <c r="AG95" s="755"/>
      <c r="AH95" s="755"/>
      <c r="AI95" s="755"/>
      <c r="AJ95" s="747"/>
      <c r="AK95" s="746"/>
      <c r="AL95" s="747"/>
      <c r="AM95" s="747"/>
    </row>
    <row r="96" spans="1:39" x14ac:dyDescent="0.25">
      <c r="A96" s="512" t="s">
        <v>40</v>
      </c>
      <c r="C96" s="744"/>
      <c r="D96" s="744"/>
      <c r="E96" s="744"/>
      <c r="F96" s="745"/>
      <c r="G96" s="744">
        <f>+('FA - Detailed Disclosure'!G326+'FA - Detailed Disclosure'!G327+'FA - Detailed Disclosure'!G343)*-1</f>
        <v>5.2080000000000002</v>
      </c>
      <c r="H96" s="744">
        <f>+('FA - Detailed Disclosure'!H326+'FA - Detailed Disclosure'!H327+'FA - Detailed Disclosure'!H343)*-1</f>
        <v>5.1120000000000001</v>
      </c>
      <c r="I96" s="744">
        <f>+('FA - Detailed Disclosure'!I326+'FA - Detailed Disclosure'!I327+'FA - Detailed Disclosure'!I343)*-1</f>
        <v>5.2480000000000002</v>
      </c>
      <c r="J96" s="745">
        <f>+('FA - Detailed Disclosure'!J326+'FA - Detailed Disclosure'!J327+'FA - Detailed Disclosure'!J343)*-1</f>
        <v>4.8500000000000005</v>
      </c>
      <c r="K96" s="744">
        <f>+('FA - Detailed Disclosure'!K326+'FA - Detailed Disclosure'!K327+'FA - Detailed Disclosure'!K343)*-1</f>
        <v>5.4379999999999997</v>
      </c>
      <c r="L96" s="744">
        <f>+('FA - Detailed Disclosure'!L326+'FA - Detailed Disclosure'!L327+'FA - Detailed Disclosure'!L343)*-1</f>
        <v>6.81</v>
      </c>
      <c r="M96" s="744">
        <f>+('FA - Detailed Disclosure'!M326+'FA - Detailed Disclosure'!M327+'FA - Detailed Disclosure'!M343)*-1</f>
        <v>6.7470000000000008</v>
      </c>
      <c r="N96" s="745">
        <f>+('FA - Detailed Disclosure'!N326+'FA - Detailed Disclosure'!N327+'FA - Detailed Disclosure'!N343)*-1</f>
        <v>6.4549999999999992</v>
      </c>
      <c r="O96" s="744">
        <f>+('FA - Detailed Disclosure'!O326+'FA - Detailed Disclosure'!O327+'FA - Detailed Disclosure'!O343)*-1</f>
        <v>7.7899999999999991</v>
      </c>
      <c r="P96" s="744">
        <f>+('FA - Detailed Disclosure'!P326+'FA - Detailed Disclosure'!P327+'FA - Detailed Disclosure'!P343)*-1</f>
        <v>8.07</v>
      </c>
      <c r="Q96" s="744">
        <f>+('FA - Detailed Disclosure'!Q326+'FA - Detailed Disclosure'!Q327+'FA - Detailed Disclosure'!Q343)*-1</f>
        <v>7.1650000000000009</v>
      </c>
      <c r="R96" s="736">
        <f>+('FA - Detailed Disclosure'!R326+'FA - Detailed Disclosure'!R327+'FA - Detailed Disclosure'!R343)*-1</f>
        <v>6.8719999999999999</v>
      </c>
      <c r="S96" s="986">
        <f>+('FA - Detailed Disclosure'!S326+'FA - Detailed Disclosure'!S327+'FA - Detailed Disclosure'!S343)*-1</f>
        <v>6.1349999999999998</v>
      </c>
      <c r="T96" s="736">
        <f>+('FA - Detailed Disclosure'!T326+'FA - Detailed Disclosure'!T327+'FA - Detailed Disclosure'!T343)*-1</f>
        <v>7.0609999999999991</v>
      </c>
      <c r="U96" s="736">
        <f>+('FA - Detailed Disclosure'!U326+'FA - Detailed Disclosure'!U327+'FA - Detailed Disclosure'!U343)*-1</f>
        <v>7.4799999999999986</v>
      </c>
      <c r="V96" s="744">
        <f>+('FA - Detailed Disclosure'!V326+'FA - Detailed Disclosure'!V327+'FA - Detailed Disclosure'!V343)*-1</f>
        <v>7.1270000000000016</v>
      </c>
      <c r="W96" s="985">
        <f>+('FA - Detailed Disclosure'!W326+'FA - Detailed Disclosure'!W327+'FA - Detailed Disclosure'!W343)*-1</f>
        <v>6.4559999999999995</v>
      </c>
      <c r="X96" s="736">
        <f>+('FA - Detailed Disclosure'!X326+'FA - Detailed Disclosure'!X327+'FA - Detailed Disclosure'!X343)*-1</f>
        <v>7.4080000000000004</v>
      </c>
      <c r="Y96" s="754">
        <f>+('FA - Detailed Disclosure'!Y326+'FA - Detailed Disclosure'!Y327+'FA - Detailed Disclosure'!Y343)*-1</f>
        <v>7.9059999999999997</v>
      </c>
      <c r="Z96" s="745">
        <f>+Z97*Z12</f>
        <v>8.329225569438842</v>
      </c>
      <c r="AA96" s="744">
        <f t="shared" ref="AA96:AD96" si="288">+AA97*AA12</f>
        <v>6.2417970470402402</v>
      </c>
      <c r="AB96" s="744">
        <f t="shared" si="288"/>
        <v>6.8597191732747884</v>
      </c>
      <c r="AC96" s="744">
        <f t="shared" si="288"/>
        <v>7.4883557417308744</v>
      </c>
      <c r="AD96" s="744">
        <f t="shared" si="288"/>
        <v>7.8863391640670892</v>
      </c>
      <c r="AE96" s="744"/>
      <c r="AF96" s="744"/>
      <c r="AG96" s="744">
        <f>+('FA - Detailed Disclosure'!AI326+'FA - Detailed Disclosure'!AI327+'FA - Detailed Disclosure'!AI343)*-1</f>
        <v>19.844999999999999</v>
      </c>
      <c r="AH96" s="744">
        <f>SUM(G96:J96)</f>
        <v>20.418000000000003</v>
      </c>
      <c r="AI96" s="744">
        <f>+SUM(K96:N96)</f>
        <v>25.45</v>
      </c>
      <c r="AJ96" s="744">
        <f>+SUM(O96:R96)</f>
        <v>29.896999999999998</v>
      </c>
      <c r="AK96" s="792">
        <f>SUM(S96:V96)</f>
        <v>27.802999999999997</v>
      </c>
      <c r="AL96" s="744">
        <f>+SUM(W96:Z96)</f>
        <v>30.099225569438843</v>
      </c>
      <c r="AM96" s="744">
        <f>+SUM(AA96:AD96)</f>
        <v>28.476211126112993</v>
      </c>
    </row>
    <row r="97" spans="1:39" ht="12" x14ac:dyDescent="0.3">
      <c r="A97" s="778" t="s">
        <v>33</v>
      </c>
      <c r="C97" s="744"/>
      <c r="D97" s="744"/>
      <c r="E97" s="744"/>
      <c r="F97" s="745"/>
      <c r="G97" s="689">
        <f t="shared" ref="G97:O97" si="289">+G96/G$12</f>
        <v>4.6987071337706042E-2</v>
      </c>
      <c r="H97" s="689">
        <f t="shared" si="289"/>
        <v>4.8688960216395384E-2</v>
      </c>
      <c r="I97" s="689">
        <f t="shared" si="289"/>
        <v>3.8368743511383412E-2</v>
      </c>
      <c r="J97" s="779">
        <f t="shared" si="289"/>
        <v>3.0981704824202799E-2</v>
      </c>
      <c r="K97" s="689">
        <f t="shared" si="289"/>
        <v>4.117513439842508E-2</v>
      </c>
      <c r="L97" s="689">
        <f t="shared" si="289"/>
        <v>3.8953016141763809E-2</v>
      </c>
      <c r="M97" s="689">
        <f t="shared" si="289"/>
        <v>3.498265644200408E-2</v>
      </c>
      <c r="N97" s="779">
        <f t="shared" si="289"/>
        <v>3.0371896937872858E-2</v>
      </c>
      <c r="O97" s="689">
        <f t="shared" si="289"/>
        <v>4.1025695040578042E-2</v>
      </c>
      <c r="P97" s="689">
        <f t="shared" ref="P97:R97" si="290">+P96/P$12</f>
        <v>4.0037507255867952E-2</v>
      </c>
      <c r="Q97" s="689">
        <f t="shared" si="290"/>
        <v>3.4783917353606565E-2</v>
      </c>
      <c r="R97" s="799">
        <f t="shared" si="290"/>
        <v>3.2324372633410946E-2</v>
      </c>
      <c r="S97" s="994">
        <f t="shared" ref="S97:T97" si="291">+S96/S$12</f>
        <v>3.4953281677301731E-2</v>
      </c>
      <c r="T97" s="799">
        <f t="shared" si="291"/>
        <v>3.8102690014299972E-2</v>
      </c>
      <c r="U97" s="799">
        <f t="shared" ref="U97:V97" si="292">+U96/U$12</f>
        <v>3.7332055658701159E-2</v>
      </c>
      <c r="V97" s="799">
        <f t="shared" si="292"/>
        <v>3.518428925464797E-2</v>
      </c>
      <c r="W97" s="994">
        <f t="shared" ref="W97" si="293">+W96/W$12</f>
        <v>3.8107380648817107E-2</v>
      </c>
      <c r="X97" s="799">
        <f t="shared" ref="X97" si="294">+X96/X$12</f>
        <v>4.0141753275606089E-2</v>
      </c>
      <c r="Y97" s="1456">
        <f t="shared" ref="Y97" si="295">+Y96/Y$12</f>
        <v>3.9704900084873866E-2</v>
      </c>
      <c r="Z97" s="1496">
        <v>0.04</v>
      </c>
      <c r="AA97" s="795">
        <v>3.5000000000000003E-2</v>
      </c>
      <c r="AB97" s="795">
        <f t="shared" ref="AB97:AD97" si="296">+AA97</f>
        <v>3.5000000000000003E-2</v>
      </c>
      <c r="AC97" s="795">
        <f t="shared" si="296"/>
        <v>3.5000000000000003E-2</v>
      </c>
      <c r="AD97" s="795">
        <f t="shared" si="296"/>
        <v>3.5000000000000003E-2</v>
      </c>
      <c r="AE97" s="744"/>
      <c r="AF97" s="689"/>
      <c r="AG97" s="689">
        <f t="shared" ref="AG97:AI97" si="297">+AG96/AG$12</f>
        <v>4.1192111539395601E-2</v>
      </c>
      <c r="AH97" s="689">
        <f t="shared" si="297"/>
        <v>4.0101815953522912E-2</v>
      </c>
      <c r="AI97" s="689">
        <f t="shared" si="297"/>
        <v>3.5729578334819136E-2</v>
      </c>
      <c r="AJ97" s="689">
        <f t="shared" ref="AJ97:AM97" si="298">+AJ96/AJ$12</f>
        <v>3.6908828514745876E-2</v>
      </c>
      <c r="AK97" s="781">
        <f t="shared" si="298"/>
        <v>3.6402749027509909E-2</v>
      </c>
      <c r="AL97" s="689">
        <f t="shared" si="298"/>
        <v>3.9536011297089196E-2</v>
      </c>
      <c r="AM97" s="689">
        <f t="shared" si="298"/>
        <v>3.500000000000001E-2</v>
      </c>
    </row>
    <row r="98" spans="1:39" ht="12" x14ac:dyDescent="0.3">
      <c r="A98" s="505"/>
      <c r="B98" s="470"/>
      <c r="C98" s="744"/>
      <c r="D98" s="744"/>
      <c r="E98" s="744"/>
      <c r="F98" s="745"/>
      <c r="G98" s="744"/>
      <c r="H98" s="744"/>
      <c r="I98" s="744"/>
      <c r="J98" s="745"/>
      <c r="K98" s="744"/>
      <c r="L98" s="744"/>
      <c r="M98" s="744"/>
      <c r="N98" s="745"/>
      <c r="O98" s="744"/>
      <c r="P98" s="744"/>
      <c r="Q98" s="744"/>
      <c r="R98" s="736"/>
      <c r="S98" s="986"/>
      <c r="T98" s="736"/>
      <c r="U98" s="806"/>
      <c r="V98" s="744"/>
      <c r="W98" s="985"/>
      <c r="X98" s="736"/>
      <c r="Y98" s="808"/>
      <c r="Z98" s="745"/>
      <c r="AA98" s="744"/>
      <c r="AB98" s="744"/>
      <c r="AC98" s="744"/>
      <c r="AD98" s="744"/>
      <c r="AE98" s="744"/>
      <c r="AF98" s="744"/>
      <c r="AG98" s="744"/>
      <c r="AH98" s="744"/>
      <c r="AI98" s="744"/>
      <c r="AJ98" s="744"/>
      <c r="AK98" s="792"/>
      <c r="AL98" s="744"/>
      <c r="AM98" s="744"/>
    </row>
    <row r="99" spans="1:39" s="813" customFormat="1" x14ac:dyDescent="0.25">
      <c r="A99" s="513" t="s">
        <v>42</v>
      </c>
      <c r="B99" s="811"/>
      <c r="C99" s="767"/>
      <c r="D99" s="767"/>
      <c r="E99" s="767"/>
      <c r="F99" s="768"/>
      <c r="G99" s="767">
        <f t="shared" ref="G99:V99" si="299">+G91-G96</f>
        <v>17.746000000000002</v>
      </c>
      <c r="H99" s="767">
        <f t="shared" si="299"/>
        <v>26.023000000000003</v>
      </c>
      <c r="I99" s="767">
        <f t="shared" si="299"/>
        <v>37.509000000000007</v>
      </c>
      <c r="J99" s="768">
        <f t="shared" si="299"/>
        <v>39.249999999999993</v>
      </c>
      <c r="K99" s="767">
        <f t="shared" si="299"/>
        <v>30.590000000000007</v>
      </c>
      <c r="L99" s="767">
        <f t="shared" si="299"/>
        <v>46.847999999999999</v>
      </c>
      <c r="M99" s="767">
        <f t="shared" si="299"/>
        <v>55.853999999999999</v>
      </c>
      <c r="N99" s="768">
        <f t="shared" si="299"/>
        <v>58.022000000000006</v>
      </c>
      <c r="O99" s="767">
        <f t="shared" si="299"/>
        <v>43.950999999999993</v>
      </c>
      <c r="P99" s="767">
        <f t="shared" si="299"/>
        <v>50.820999999999998</v>
      </c>
      <c r="Q99" s="767">
        <f t="shared" si="299"/>
        <v>55.001000000000005</v>
      </c>
      <c r="R99" s="762">
        <f t="shared" si="299"/>
        <v>61.384</v>
      </c>
      <c r="S99" s="988">
        <f t="shared" ref="S99:T99" si="300">+S91-S96</f>
        <v>40.366999999999997</v>
      </c>
      <c r="T99" s="762">
        <f t="shared" si="300"/>
        <v>45.308999999999997</v>
      </c>
      <c r="U99" s="762">
        <f t="shared" ref="U99" si="301">+U91-U96</f>
        <v>52.521000000000001</v>
      </c>
      <c r="V99" s="767">
        <f t="shared" si="299"/>
        <v>56.29099999999999</v>
      </c>
      <c r="W99" s="993">
        <f t="shared" ref="W99:X99" si="302">+W91-W96</f>
        <v>35.350999999999999</v>
      </c>
      <c r="X99" s="762">
        <f t="shared" si="302"/>
        <v>43.305</v>
      </c>
      <c r="Y99" s="764">
        <f t="shared" ref="Y99" si="303">+Y91-Y96</f>
        <v>51.140000000000008</v>
      </c>
      <c r="Z99" s="768">
        <f t="shared" ref="Z99" si="304">+Z91-Z96</f>
        <v>56.984094048546673</v>
      </c>
      <c r="AA99" s="767">
        <f t="shared" ref="AA99:AD99" si="305">+AA91-AA96</f>
        <v>40.771792499052069</v>
      </c>
      <c r="AB99" s="767">
        <f t="shared" si="305"/>
        <v>49.332677253823192</v>
      </c>
      <c r="AC99" s="767">
        <f t="shared" si="305"/>
        <v>57.335378148719002</v>
      </c>
      <c r="AD99" s="767">
        <f t="shared" si="305"/>
        <v>62.966186198136633</v>
      </c>
      <c r="AE99" s="777"/>
      <c r="AF99" s="767"/>
      <c r="AG99" s="767">
        <f>+AG91-AG96</f>
        <v>102.712</v>
      </c>
      <c r="AH99" s="767">
        <f>+AH91-AH96</f>
        <v>120.52799999999999</v>
      </c>
      <c r="AI99" s="767">
        <f>+AI91-AI96</f>
        <v>191.31399999999999</v>
      </c>
      <c r="AJ99" s="767">
        <f>+AJ91-AJ96</f>
        <v>211.15700000000004</v>
      </c>
      <c r="AK99" s="812">
        <f>+AK91-AK96</f>
        <v>194.488</v>
      </c>
      <c r="AL99" s="767">
        <f t="shared" ref="AL99" si="306">+AL91-AL96</f>
        <v>186.78009404854669</v>
      </c>
      <c r="AM99" s="767">
        <f>+SUM(AA99:AD99)</f>
        <v>210.40603409973087</v>
      </c>
    </row>
    <row r="100" spans="1:39" s="813" customFormat="1" x14ac:dyDescent="0.25">
      <c r="A100" s="814" t="s">
        <v>29</v>
      </c>
      <c r="B100" s="811"/>
      <c r="C100" s="769"/>
      <c r="D100" s="769"/>
      <c r="E100" s="769"/>
      <c r="F100" s="770"/>
      <c r="G100" s="777"/>
      <c r="H100" s="777"/>
      <c r="I100" s="777"/>
      <c r="J100" s="815"/>
      <c r="K100" s="777">
        <f t="shared" ref="K100" si="307">IF(OR(K99&lt;0, G99&lt;0), "NM", K99/G99-1)</f>
        <v>0.72376873661670249</v>
      </c>
      <c r="L100" s="777">
        <f t="shared" ref="L100" si="308">IF(OR(L99&lt;0, H99&lt;0), "NM", L99/H99-1)</f>
        <v>0.80025362179610315</v>
      </c>
      <c r="M100" s="777">
        <f t="shared" ref="M100" si="309">IF(OR(M99&lt;0, I99&lt;0), "NM", M99/I99-1)</f>
        <v>0.48908262017115867</v>
      </c>
      <c r="N100" s="815">
        <f t="shared" ref="N100" si="310">IF(OR(N99&lt;0, J99&lt;0), "NM", N99/J99-1)</f>
        <v>0.4782675159235672</v>
      </c>
      <c r="O100" s="777">
        <f t="shared" ref="O100" si="311">IF(OR(O99&lt;0, K99&lt;0), "NM", O99/K99-1)</f>
        <v>0.43677672441974447</v>
      </c>
      <c r="P100" s="777">
        <f t="shared" ref="P100" si="312">IF(OR(P99&lt;0, L99&lt;0), "NM", P99/L99-1)</f>
        <v>8.4806181693989124E-2</v>
      </c>
      <c r="Q100" s="777">
        <f t="shared" ref="Q100" si="313">IF(OR(Q99&lt;0, M99&lt;0), "NM", Q99/M99-1)</f>
        <v>-1.5271959036058158E-2</v>
      </c>
      <c r="R100" s="775">
        <f t="shared" ref="R100" si="314">IF(OR(R99&lt;0, N99&lt;0), "NM", R99/N99-1)</f>
        <v>5.7943538657750482E-2</v>
      </c>
      <c r="S100" s="998">
        <f t="shared" ref="S100" si="315">IF(OR(S99&lt;0, O99&lt;0), "NM", S99/O99-1)</f>
        <v>-8.1545357329753543E-2</v>
      </c>
      <c r="T100" s="775">
        <f t="shared" ref="T100" si="316">IF(OR(T99&lt;0, P99&lt;0), "NM", T99/P99-1)</f>
        <v>-0.10845910155250782</v>
      </c>
      <c r="U100" s="775">
        <f t="shared" ref="U100" si="317">IF(OR(U99&lt;0, Q99&lt;0), "NM", U99/Q99-1)</f>
        <v>-4.509008927110425E-2</v>
      </c>
      <c r="V100" s="777">
        <f t="shared" ref="V100:W100" si="318">IF(OR(V99&lt;0, R99&lt;0), "NM", V99/R99-1)</f>
        <v>-8.2969503453668936E-2</v>
      </c>
      <c r="W100" s="1416">
        <f t="shared" si="318"/>
        <v>-0.12425991527733049</v>
      </c>
      <c r="X100" s="775">
        <f t="shared" ref="X100" si="319">IF(OR(X99&lt;0, T99&lt;0), "NM", X99/T99-1)</f>
        <v>-4.4229623253658201E-2</v>
      </c>
      <c r="Y100" s="2268">
        <f t="shared" ref="Y100" si="320">IF(OR(Y99&lt;0, U99&lt;0), "NM", Y99/U99-1)</f>
        <v>-2.6294244207078932E-2</v>
      </c>
      <c r="Z100" s="815">
        <f t="shared" ref="Z100" si="321">IF(OR(Z99&lt;0, V99&lt;0), "NM", Z99/V99-1)</f>
        <v>1.2312697385846505E-2</v>
      </c>
      <c r="AA100" s="777">
        <f t="shared" ref="AA100" si="322">IF(OR(AA99&lt;0, W99&lt;0), "NM", AA99/W99-1)</f>
        <v>0.1533419846412285</v>
      </c>
      <c r="AB100" s="777">
        <f t="shared" ref="AB100" si="323">IF(OR(AB99&lt;0, X99&lt;0), "NM", AB99/X99-1)</f>
        <v>0.13919125398506393</v>
      </c>
      <c r="AC100" s="777">
        <f t="shared" ref="AC100" si="324">IF(OR(AC99&lt;0, Y99&lt;0), "NM", AC99/Y99-1)</f>
        <v>0.12114544678762207</v>
      </c>
      <c r="AD100" s="777">
        <f t="shared" ref="AD100" si="325">IF(OR(AD99&lt;0, Z99&lt;0), "NM", AD99/Z99-1)</f>
        <v>0.10497827945625682</v>
      </c>
      <c r="AE100" s="769"/>
      <c r="AF100" s="777"/>
      <c r="AG100" s="777"/>
      <c r="AH100" s="777">
        <f t="shared" ref="AH100" si="326">IF(OR(AH99&lt;0, AG99&lt;0), "NM", AH99/AG99-1)</f>
        <v>0.17345587662590534</v>
      </c>
      <c r="AI100" s="777">
        <f t="shared" ref="AI100:AJ100" si="327">IF(OR(AI99&lt;0, AH99&lt;0), "NM", AI99/AH99-1)</f>
        <v>0.58729921677950347</v>
      </c>
      <c r="AJ100" s="777">
        <f t="shared" si="327"/>
        <v>0.10371953960504743</v>
      </c>
      <c r="AK100" s="776">
        <f t="shared" ref="AK100" si="328">IF(OR(AK99&lt;0, AJ99&lt;0), "NM", AK99/AJ99-1)</f>
        <v>-7.8941261715216759E-2</v>
      </c>
      <c r="AL100" s="777">
        <f t="shared" ref="AL100" si="329">IF(OR(AL99&lt;0, AK99&lt;0), "NM", AL99/AK99-1)</f>
        <v>-3.9631781659810961E-2</v>
      </c>
      <c r="AM100" s="777">
        <f t="shared" ref="AM100" si="330">IF(OR(AM99&lt;0, AL99&lt;0), "NM", AM99/AL99-1)</f>
        <v>0.12649067434907435</v>
      </c>
    </row>
    <row r="101" spans="1:39" s="813" customFormat="1" x14ac:dyDescent="0.25">
      <c r="A101" s="814" t="s">
        <v>33</v>
      </c>
      <c r="B101" s="811"/>
      <c r="C101" s="769"/>
      <c r="D101" s="769"/>
      <c r="E101" s="769"/>
      <c r="F101" s="770"/>
      <c r="G101" s="769">
        <f t="shared" ref="G101:H101" si="331">+G99/G$12</f>
        <v>0.16010609983850452</v>
      </c>
      <c r="H101" s="769">
        <f t="shared" si="331"/>
        <v>0.24785461887935389</v>
      </c>
      <c r="I101" s="769">
        <f t="shared" ref="I101:O101" si="332">+I99/I$12</f>
        <v>0.27423269824094526</v>
      </c>
      <c r="J101" s="770">
        <f t="shared" si="332"/>
        <v>0.25072822976287823</v>
      </c>
      <c r="K101" s="769">
        <f t="shared" si="332"/>
        <v>0.23161959566896348</v>
      </c>
      <c r="L101" s="769">
        <f t="shared" si="332"/>
        <v>0.26796929518492674</v>
      </c>
      <c r="M101" s="769">
        <f t="shared" si="332"/>
        <v>0.28959853163060556</v>
      </c>
      <c r="N101" s="770">
        <f t="shared" si="332"/>
        <v>0.27300359475279001</v>
      </c>
      <c r="O101" s="769">
        <f t="shared" si="332"/>
        <v>0.23146602345679659</v>
      </c>
      <c r="P101" s="769">
        <f t="shared" ref="P101:R101" si="333">+P99/P$12</f>
        <v>0.25213707016734388</v>
      </c>
      <c r="Q101" s="769">
        <f t="shared" ref="Q101" si="334">+Q99/Q$12</f>
        <v>0.26701329216548703</v>
      </c>
      <c r="R101" s="773">
        <f t="shared" si="333"/>
        <v>0.28873680001881513</v>
      </c>
      <c r="S101" s="999">
        <f t="shared" ref="S101:T101" si="335">+S99/S$12</f>
        <v>0.22998518687329075</v>
      </c>
      <c r="T101" s="773">
        <f t="shared" si="335"/>
        <v>0.24449720745757222</v>
      </c>
      <c r="U101" s="773">
        <f t="shared" ref="U101" si="336">+U99/U$12</f>
        <v>0.26212792717254596</v>
      </c>
      <c r="V101" s="769">
        <f t="shared" ref="V101:Z101" si="337">+V99/V$12</f>
        <v>0.27789516296245098</v>
      </c>
      <c r="W101" s="989">
        <f t="shared" ref="W101:X101" si="338">+W99/W$12</f>
        <v>0.20866388062520658</v>
      </c>
      <c r="X101" s="773">
        <f t="shared" si="338"/>
        <v>0.23465694190066433</v>
      </c>
      <c r="Y101" s="1466">
        <f t="shared" ref="Y101" si="339">+Y99/Y$12</f>
        <v>0.25683134206178221</v>
      </c>
      <c r="Z101" s="770">
        <f t="shared" si="337"/>
        <v>0.27365854639658088</v>
      </c>
      <c r="AA101" s="769">
        <f t="shared" ref="AA101:AD101" si="340">+AA99/AA$12</f>
        <v>0.22862209820543414</v>
      </c>
      <c r="AB101" s="769">
        <f t="shared" si="340"/>
        <v>0.25170763704303695</v>
      </c>
      <c r="AC101" s="769">
        <f t="shared" si="340"/>
        <v>0.26798115693436908</v>
      </c>
      <c r="AD101" s="769">
        <f t="shared" si="340"/>
        <v>0.27944734192718201</v>
      </c>
      <c r="AE101" s="769"/>
      <c r="AF101" s="769"/>
      <c r="AG101" s="769">
        <f t="shared" ref="AG101:AI101" si="341">+AG99/AG$12</f>
        <v>0.21319849636857655</v>
      </c>
      <c r="AH101" s="769">
        <f t="shared" si="341"/>
        <v>0.23672209194074878</v>
      </c>
      <c r="AI101" s="769">
        <f t="shared" si="341"/>
        <v>0.26858815518851031</v>
      </c>
      <c r="AJ101" s="769">
        <f t="shared" ref="AJ101:AK101" si="342">+AJ99/AJ$12</f>
        <v>0.26068025228913255</v>
      </c>
      <c r="AK101" s="772">
        <f t="shared" si="342"/>
        <v>0.25464510494775194</v>
      </c>
      <c r="AL101" s="769">
        <f t="shared" ref="AL101:AM101" si="343">+AL99/AL$12</f>
        <v>0.24533986402203631</v>
      </c>
      <c r="AM101" s="769">
        <f t="shared" si="343"/>
        <v>0.25860923564854177</v>
      </c>
    </row>
    <row r="102" spans="1:39" s="817" customFormat="1" ht="12" x14ac:dyDescent="0.3">
      <c r="A102" s="798"/>
      <c r="B102" s="816"/>
      <c r="C102" s="767"/>
      <c r="D102" s="689"/>
      <c r="E102" s="750"/>
      <c r="F102" s="745"/>
      <c r="G102" s="689"/>
      <c r="H102" s="689"/>
      <c r="I102" s="736"/>
      <c r="J102" s="779"/>
      <c r="K102" s="689"/>
      <c r="L102" s="689"/>
      <c r="M102" s="736"/>
      <c r="N102" s="779"/>
      <c r="O102" s="767"/>
      <c r="P102" s="689"/>
      <c r="Q102" s="689"/>
      <c r="R102" s="799"/>
      <c r="S102" s="994"/>
      <c r="T102" s="799"/>
      <c r="U102" s="799"/>
      <c r="V102" s="799"/>
      <c r="W102" s="991"/>
      <c r="X102" s="799"/>
      <c r="Y102" s="1456"/>
      <c r="Z102" s="779"/>
      <c r="AA102" s="689"/>
      <c r="AB102" s="689"/>
      <c r="AC102" s="689"/>
      <c r="AD102" s="689"/>
      <c r="AE102" s="689"/>
      <c r="AF102" s="689"/>
      <c r="AG102" s="689"/>
      <c r="AH102" s="689"/>
      <c r="AI102" s="689"/>
      <c r="AJ102" s="689"/>
      <c r="AK102" s="781"/>
      <c r="AL102" s="689"/>
      <c r="AM102" s="689"/>
    </row>
    <row r="103" spans="1:39" s="820" customFormat="1" ht="13.5" x14ac:dyDescent="0.45">
      <c r="A103" s="794" t="s">
        <v>43</v>
      </c>
      <c r="B103" s="818"/>
      <c r="C103" s="757">
        <f>+'FA - Detailed Disclosure'!C70-'FA - Detailed Disclosure'!C85</f>
        <v>3.51</v>
      </c>
      <c r="D103" s="757">
        <f>+'FA - Detailed Disclosure'!D70-'FA - Detailed Disclosure'!D85</f>
        <v>3.7450000000000001</v>
      </c>
      <c r="E103" s="757">
        <f>+'FA - Detailed Disclosure'!E70-'FA - Detailed Disclosure'!E85</f>
        <v>3.7939999999999996</v>
      </c>
      <c r="F103" s="758">
        <f>+'FA - Detailed Disclosure'!F70-'FA - Detailed Disclosure'!F85</f>
        <v>3.83</v>
      </c>
      <c r="G103" s="757">
        <f>+'FA - Detailed Disclosure'!G70-'FA - Detailed Disclosure'!G85</f>
        <v>2.9529999999999994</v>
      </c>
      <c r="H103" s="757">
        <f>+'FA - Detailed Disclosure'!H70-'FA - Detailed Disclosure'!H85</f>
        <v>2.4370000000000047</v>
      </c>
      <c r="I103" s="757">
        <f>+'FA - Detailed Disclosure'!I70-'FA - Detailed Disclosure'!I85</f>
        <v>2.5330000000000013</v>
      </c>
      <c r="J103" s="758">
        <f>+'FA - Detailed Disclosure'!J70-'FA - Detailed Disclosure'!J85</f>
        <v>2.9719999999999942</v>
      </c>
      <c r="K103" s="757">
        <f>+'FA - Detailed Disclosure'!K70-'FA - Detailed Disclosure'!K85</f>
        <v>3.2509999999999977</v>
      </c>
      <c r="L103" s="757">
        <f>+'FA - Detailed Disclosure'!L70-'FA - Detailed Disclosure'!L85</f>
        <v>4.1319999999999979</v>
      </c>
      <c r="M103" s="757">
        <f>+'FA - Detailed Disclosure'!M70-'FA - Detailed Disclosure'!M85</f>
        <v>4.0629999999999988</v>
      </c>
      <c r="N103" s="758">
        <f>+'FA - Detailed Disclosure'!N70-'FA - Detailed Disclosure'!N85</f>
        <v>4.5040000000000013</v>
      </c>
      <c r="O103" s="757">
        <f>+'FA - Detailed Disclosure'!O70-'FA - Detailed Disclosure'!O85</f>
        <v>4.9190000000000005</v>
      </c>
      <c r="P103" s="757">
        <f>+'FA - Detailed Disclosure'!P70-'FA - Detailed Disclosure'!P85</f>
        <v>5.3779999999999966</v>
      </c>
      <c r="Q103" s="757">
        <f>+'FA - Detailed Disclosure'!Q70-'FA - Detailed Disclosure'!Q85</f>
        <v>5.8170000000000002</v>
      </c>
      <c r="R103" s="757">
        <f>+'FA - Detailed Disclosure'!R70-'FA - Detailed Disclosure'!R85</f>
        <v>6.1879999999999988</v>
      </c>
      <c r="S103" s="987">
        <f>+'FA - Detailed Disclosure'!S70-'FA - Detailed Disclosure'!S85</f>
        <v>6.3810000000000002</v>
      </c>
      <c r="T103" s="757">
        <f>+'FA - Detailed Disclosure'!T70-'FA - Detailed Disclosure'!T85</f>
        <v>6.5859999999999985</v>
      </c>
      <c r="U103" s="757">
        <f>+'FA - Detailed Disclosure'!U70-'FA - Detailed Disclosure'!U85</f>
        <v>6.7589999999999968</v>
      </c>
      <c r="V103" s="757">
        <f>+'FA - Detailed Disclosure'!V70-'FA - Detailed Disclosure'!V85</f>
        <v>7.0879999999999974</v>
      </c>
      <c r="W103" s="987">
        <f>+'FA - Detailed Disclosure'!W70-'FA - Detailed Disclosure'!W85</f>
        <v>7.1969999999999992</v>
      </c>
      <c r="X103" s="757">
        <f>+'FA - Detailed Disclosure'!X70-'FA - Detailed Disclosure'!X85</f>
        <v>7.3620000000000019</v>
      </c>
      <c r="Y103" s="760">
        <f>+'FA - Detailed Disclosure'!Y70-'FA - Detailed Disclosure'!Y85</f>
        <v>7.5219999999999985</v>
      </c>
      <c r="Z103" s="1491">
        <f t="shared" ref="Z103" si="344">Y103+Y103-X103</f>
        <v>7.6819999999999951</v>
      </c>
      <c r="AA103" s="759">
        <f t="shared" ref="AA103" si="345">Z103+Z103-Y103</f>
        <v>7.8419999999999916</v>
      </c>
      <c r="AB103" s="759">
        <f t="shared" ref="AB103" si="346">AA103+AA103-Z103</f>
        <v>8.0019999999999882</v>
      </c>
      <c r="AC103" s="759">
        <f t="shared" ref="AC103" si="347">AB103+AB103-AA103</f>
        <v>8.1619999999999848</v>
      </c>
      <c r="AD103" s="759">
        <f t="shared" ref="AD103" si="348">AC103+AC103-AB103</f>
        <v>8.3219999999999814</v>
      </c>
      <c r="AE103" s="819"/>
      <c r="AF103" s="757"/>
      <c r="AG103" s="757">
        <f>+SUM(C103:F103)</f>
        <v>14.879</v>
      </c>
      <c r="AH103" s="757">
        <f>SUM(G103:J103)</f>
        <v>10.895</v>
      </c>
      <c r="AI103" s="757">
        <f>+SUM(K103:N103)</f>
        <v>15.949999999999996</v>
      </c>
      <c r="AJ103" s="757">
        <f>SUM(O103:R103)</f>
        <v>22.301999999999996</v>
      </c>
      <c r="AK103" s="760">
        <f>SUM(S103:V103)</f>
        <v>26.813999999999993</v>
      </c>
      <c r="AL103" s="757">
        <f>+SUM(W103:Z103)</f>
        <v>29.762999999999995</v>
      </c>
      <c r="AM103" s="757">
        <f t="shared" ref="AM103:AM106" si="349">+SUM(AA103:AD103)</f>
        <v>32.327999999999946</v>
      </c>
    </row>
    <row r="104" spans="1:39" s="820" customFormat="1" ht="12" x14ac:dyDescent="0.3">
      <c r="A104" s="821" t="s">
        <v>237</v>
      </c>
      <c r="B104" s="818"/>
      <c r="C104" s="736">
        <f t="shared" ref="C104:Z104" si="350">+C91-C103</f>
        <v>21.228000000000002</v>
      </c>
      <c r="D104" s="736">
        <f t="shared" si="350"/>
        <v>29.292999999999996</v>
      </c>
      <c r="E104" s="736">
        <f t="shared" si="350"/>
        <v>29.422999999999991</v>
      </c>
      <c r="F104" s="752">
        <f t="shared" si="350"/>
        <v>27.734000000000002</v>
      </c>
      <c r="G104" s="736">
        <f t="shared" si="350"/>
        <v>20.001000000000001</v>
      </c>
      <c r="H104" s="736">
        <f t="shared" si="350"/>
        <v>28.698</v>
      </c>
      <c r="I104" s="736">
        <f t="shared" si="350"/>
        <v>40.224000000000004</v>
      </c>
      <c r="J104" s="752">
        <f t="shared" si="350"/>
        <v>41.128</v>
      </c>
      <c r="K104" s="736">
        <f t="shared" si="350"/>
        <v>32.777000000000008</v>
      </c>
      <c r="L104" s="736">
        <f t="shared" si="350"/>
        <v>49.526000000000003</v>
      </c>
      <c r="M104" s="736">
        <f t="shared" si="350"/>
        <v>58.537999999999997</v>
      </c>
      <c r="N104" s="752">
        <f t="shared" si="350"/>
        <v>59.972999999999999</v>
      </c>
      <c r="O104" s="736">
        <f t="shared" si="350"/>
        <v>46.821999999999989</v>
      </c>
      <c r="P104" s="736">
        <f t="shared" si="350"/>
        <v>53.513000000000005</v>
      </c>
      <c r="Q104" s="736">
        <f t="shared" si="350"/>
        <v>56.349000000000004</v>
      </c>
      <c r="R104" s="736">
        <f t="shared" si="350"/>
        <v>62.067999999999998</v>
      </c>
      <c r="S104" s="986">
        <f t="shared" ref="S104:T104" si="351">+S91-S103</f>
        <v>40.120999999999995</v>
      </c>
      <c r="T104" s="736">
        <f t="shared" si="351"/>
        <v>45.783999999999999</v>
      </c>
      <c r="U104" s="736">
        <f t="shared" ref="U104" si="352">+U91-U103</f>
        <v>53.242000000000004</v>
      </c>
      <c r="V104" s="736">
        <f t="shared" si="350"/>
        <v>56.33</v>
      </c>
      <c r="W104" s="986">
        <f t="shared" si="350"/>
        <v>34.61</v>
      </c>
      <c r="X104" s="736">
        <f t="shared" ref="X104:Y104" si="353">+X91-X103</f>
        <v>43.350999999999999</v>
      </c>
      <c r="Y104" s="754">
        <f t="shared" si="353"/>
        <v>51.524000000000008</v>
      </c>
      <c r="Z104" s="752">
        <f t="shared" si="350"/>
        <v>57.631319617985518</v>
      </c>
      <c r="AA104" s="736">
        <f t="shared" ref="AA104:AD104" si="354">+AA91-AA103</f>
        <v>39.171589546092314</v>
      </c>
      <c r="AB104" s="736">
        <f t="shared" si="354"/>
        <v>48.190396427097994</v>
      </c>
      <c r="AC104" s="736">
        <f t="shared" si="354"/>
        <v>56.661733890449888</v>
      </c>
      <c r="AD104" s="736">
        <f t="shared" si="354"/>
        <v>62.53052536220374</v>
      </c>
      <c r="AE104" s="799"/>
      <c r="AF104" s="736"/>
      <c r="AG104" s="736">
        <f t="shared" ref="AG104:AL104" si="355">+AG91-AG103</f>
        <v>107.678</v>
      </c>
      <c r="AH104" s="736">
        <f t="shared" si="355"/>
        <v>130.05099999999999</v>
      </c>
      <c r="AI104" s="736">
        <f t="shared" si="355"/>
        <v>200.81399999999999</v>
      </c>
      <c r="AJ104" s="736">
        <f t="shared" si="355"/>
        <v>218.75200000000004</v>
      </c>
      <c r="AK104" s="754">
        <f t="shared" si="355"/>
        <v>195.477</v>
      </c>
      <c r="AL104" s="736">
        <f t="shared" si="355"/>
        <v>187.11631961798551</v>
      </c>
      <c r="AM104" s="736">
        <f t="shared" si="349"/>
        <v>206.55424522584394</v>
      </c>
    </row>
    <row r="105" spans="1:39" s="820" customFormat="1" ht="13.5" x14ac:dyDescent="0.45">
      <c r="A105" s="794" t="s">
        <v>44</v>
      </c>
      <c r="B105" s="818"/>
      <c r="C105" s="757"/>
      <c r="D105" s="757"/>
      <c r="E105" s="757"/>
      <c r="F105" s="758"/>
      <c r="G105" s="757">
        <f>+'FA - Detailed Disclosure'!G21</f>
        <v>17.319000000000003</v>
      </c>
      <c r="H105" s="757">
        <f>+'FA - Detailed Disclosure'!H21</f>
        <v>13.663</v>
      </c>
      <c r="I105" s="757">
        <f>+'FA - Detailed Disclosure'!I21</f>
        <v>11.629999999999999</v>
      </c>
      <c r="J105" s="758">
        <f>+'FA - Detailed Disclosure'!J21</f>
        <v>9.261000000000001</v>
      </c>
      <c r="K105" s="757">
        <f>+'FA - Detailed Disclosure'!K21</f>
        <v>6.7169999999999996</v>
      </c>
      <c r="L105" s="757">
        <f>+'FA - Detailed Disclosure'!L21</f>
        <v>10.452</v>
      </c>
      <c r="M105" s="757">
        <f>+'FA - Detailed Disclosure'!M21</f>
        <v>4.7060000000000004</v>
      </c>
      <c r="N105" s="758">
        <f>+'FA - Detailed Disclosure'!N21</f>
        <v>3.0970000000000013</v>
      </c>
      <c r="O105" s="757">
        <f>+'FA - Detailed Disclosure'!O21</f>
        <v>-0.85</v>
      </c>
      <c r="P105" s="757">
        <f>+'FA - Detailed Disclosure'!P21</f>
        <v>3.1120000000000001</v>
      </c>
      <c r="Q105" s="757">
        <f>+'FA - Detailed Disclosure'!Q21</f>
        <v>1.74</v>
      </c>
      <c r="R105" s="757">
        <f>+'FA - Detailed Disclosure'!R21</f>
        <v>5.1970000000000001</v>
      </c>
      <c r="S105" s="1000">
        <f>+'FA - Detailed Disclosure'!S21</f>
        <v>8.6809999999999992</v>
      </c>
      <c r="T105" s="1025">
        <f>+'FA - Detailed Disclosure'!T21</f>
        <v>3.887</v>
      </c>
      <c r="U105" s="1025">
        <f>+'FA - Detailed Disclosure'!U21</f>
        <v>7.5570000000000004</v>
      </c>
      <c r="V105" s="1025">
        <f>+'FA - Detailed Disclosure'!V21</f>
        <v>12.914999999999999</v>
      </c>
      <c r="W105" s="1000">
        <f>+'FA - Detailed Disclosure'!W21</f>
        <v>3.57</v>
      </c>
      <c r="X105" s="1025">
        <f>+'FA - Detailed Disclosure'!X21</f>
        <v>7.3529999999999998</v>
      </c>
      <c r="Y105" s="1459">
        <f>+'FA - Detailed Disclosure'!Y21</f>
        <v>17.190999999999999</v>
      </c>
      <c r="Z105" s="1499">
        <v>8</v>
      </c>
      <c r="AA105" s="822">
        <v>7.3293098683526967</v>
      </c>
      <c r="AB105" s="822">
        <v>7.0883271026863071</v>
      </c>
      <c r="AC105" s="822">
        <v>6.7974713976338821</v>
      </c>
      <c r="AD105" s="822">
        <v>6.4605015616226265</v>
      </c>
      <c r="AE105" s="819"/>
      <c r="AF105" s="757"/>
      <c r="AG105" s="757">
        <f>+'FA - Detailed Disclosure'!AI21</f>
        <v>51.018999999999998</v>
      </c>
      <c r="AH105" s="757">
        <f>SUM(G105:J105)</f>
        <v>51.873000000000005</v>
      </c>
      <c r="AI105" s="757">
        <f>+SUM(K105:N105)</f>
        <v>24.972000000000001</v>
      </c>
      <c r="AJ105" s="757">
        <f>+SUM(O105:R105)</f>
        <v>9.1989999999999998</v>
      </c>
      <c r="AK105" s="760">
        <f>SUM(S105:V105)</f>
        <v>33.04</v>
      </c>
      <c r="AL105" s="757">
        <f>+SUM(W105:Z105)</f>
        <v>36.113999999999997</v>
      </c>
      <c r="AM105" s="757">
        <f t="shared" si="349"/>
        <v>27.675609930295515</v>
      </c>
    </row>
    <row r="106" spans="1:39" s="817" customFormat="1" ht="12" x14ac:dyDescent="0.3">
      <c r="A106" s="474" t="s">
        <v>142</v>
      </c>
      <c r="B106" s="816"/>
      <c r="C106" s="736"/>
      <c r="D106" s="736"/>
      <c r="E106" s="736"/>
      <c r="F106" s="752"/>
      <c r="G106" s="736">
        <f>+G104-G105</f>
        <v>2.6819999999999986</v>
      </c>
      <c r="H106" s="736">
        <f t="shared" ref="H106:Z106" si="356">+H104-H105</f>
        <v>15.035</v>
      </c>
      <c r="I106" s="736">
        <f t="shared" si="356"/>
        <v>28.594000000000005</v>
      </c>
      <c r="J106" s="752">
        <f t="shared" si="356"/>
        <v>31.866999999999997</v>
      </c>
      <c r="K106" s="736">
        <f t="shared" si="356"/>
        <v>26.060000000000009</v>
      </c>
      <c r="L106" s="736">
        <f t="shared" si="356"/>
        <v>39.074000000000005</v>
      </c>
      <c r="M106" s="736">
        <f t="shared" si="356"/>
        <v>53.831999999999994</v>
      </c>
      <c r="N106" s="752">
        <f t="shared" si="356"/>
        <v>56.875999999999998</v>
      </c>
      <c r="O106" s="736">
        <f t="shared" si="356"/>
        <v>47.67199999999999</v>
      </c>
      <c r="P106" s="736">
        <f t="shared" si="356"/>
        <v>50.401000000000003</v>
      </c>
      <c r="Q106" s="736">
        <f t="shared" si="356"/>
        <v>54.609000000000002</v>
      </c>
      <c r="R106" s="736">
        <f t="shared" si="356"/>
        <v>56.870999999999995</v>
      </c>
      <c r="S106" s="986">
        <f t="shared" ref="S106:T106" si="357">+S104-S105</f>
        <v>31.439999999999998</v>
      </c>
      <c r="T106" s="736">
        <f t="shared" si="357"/>
        <v>41.896999999999998</v>
      </c>
      <c r="U106" s="736">
        <f t="shared" ref="U106" si="358">+U104-U105</f>
        <v>45.685000000000002</v>
      </c>
      <c r="V106" s="736">
        <f t="shared" si="356"/>
        <v>43.414999999999999</v>
      </c>
      <c r="W106" s="986">
        <f t="shared" si="356"/>
        <v>31.04</v>
      </c>
      <c r="X106" s="736">
        <f t="shared" ref="X106:Y106" si="359">+X104-X105</f>
        <v>35.997999999999998</v>
      </c>
      <c r="Y106" s="754">
        <f t="shared" si="359"/>
        <v>34.333000000000013</v>
      </c>
      <c r="Z106" s="752">
        <f t="shared" si="356"/>
        <v>49.631319617985518</v>
      </c>
      <c r="AA106" s="736">
        <f t="shared" ref="AA106:AD106" si="360">+AA104-AA105</f>
        <v>31.842279677739619</v>
      </c>
      <c r="AB106" s="736">
        <f t="shared" si="360"/>
        <v>41.102069324411687</v>
      </c>
      <c r="AC106" s="736">
        <f t="shared" si="360"/>
        <v>49.864262492816003</v>
      </c>
      <c r="AD106" s="736">
        <f t="shared" si="360"/>
        <v>56.070023800581112</v>
      </c>
      <c r="AE106" s="689"/>
      <c r="AF106" s="736"/>
      <c r="AG106" s="736">
        <f t="shared" ref="AG106" si="361">+AG104-AG105</f>
        <v>56.658999999999999</v>
      </c>
      <c r="AH106" s="736">
        <f t="shared" ref="AH106" si="362">+AH104-AH105</f>
        <v>78.177999999999983</v>
      </c>
      <c r="AI106" s="736">
        <f t="shared" ref="AI106" si="363">+AI104-AI105</f>
        <v>175.84199999999998</v>
      </c>
      <c r="AJ106" s="736">
        <f t="shared" ref="AJ106:AL106" si="364">+AJ104-AJ105</f>
        <v>209.55300000000003</v>
      </c>
      <c r="AK106" s="754">
        <f t="shared" si="364"/>
        <v>162.43700000000001</v>
      </c>
      <c r="AL106" s="736">
        <f t="shared" si="364"/>
        <v>151.00231961798551</v>
      </c>
      <c r="AM106" s="736">
        <f t="shared" si="349"/>
        <v>178.87863529554843</v>
      </c>
    </row>
    <row r="107" spans="1:39" s="817" customFormat="1" ht="13" x14ac:dyDescent="0.4">
      <c r="A107" s="460" t="s">
        <v>143</v>
      </c>
      <c r="B107" s="816"/>
      <c r="C107" s="803"/>
      <c r="D107" s="803"/>
      <c r="E107" s="803"/>
      <c r="F107" s="823"/>
      <c r="G107" s="803">
        <f>MAX(G106*25%,0)</f>
        <v>0.67049999999999965</v>
      </c>
      <c r="H107" s="803">
        <f t="shared" ref="H107:R107" si="365">MAX(H106*25%,0)</f>
        <v>3.75875</v>
      </c>
      <c r="I107" s="803">
        <f t="shared" si="365"/>
        <v>7.1485000000000012</v>
      </c>
      <c r="J107" s="823">
        <f t="shared" si="365"/>
        <v>7.9667499999999993</v>
      </c>
      <c r="K107" s="803">
        <f t="shared" si="365"/>
        <v>6.5150000000000023</v>
      </c>
      <c r="L107" s="803">
        <f t="shared" si="365"/>
        <v>9.7685000000000013</v>
      </c>
      <c r="M107" s="803">
        <f t="shared" si="365"/>
        <v>13.457999999999998</v>
      </c>
      <c r="N107" s="823">
        <f t="shared" si="365"/>
        <v>14.218999999999999</v>
      </c>
      <c r="O107" s="803">
        <f t="shared" si="365"/>
        <v>11.917999999999997</v>
      </c>
      <c r="P107" s="803">
        <f t="shared" si="365"/>
        <v>12.600250000000001</v>
      </c>
      <c r="Q107" s="803">
        <f t="shared" si="365"/>
        <v>13.65225</v>
      </c>
      <c r="R107" s="757">
        <f t="shared" si="365"/>
        <v>14.217749999999999</v>
      </c>
      <c r="S107" s="987">
        <f t="shared" ref="S107:T107" si="366">MAX(S106*25%,0)</f>
        <v>7.8599999999999994</v>
      </c>
      <c r="T107" s="757">
        <f t="shared" si="366"/>
        <v>10.47425</v>
      </c>
      <c r="U107" s="757">
        <f t="shared" ref="U107" si="367">MAX(U106*25%,0)</f>
        <v>11.421250000000001</v>
      </c>
      <c r="V107" s="757">
        <f t="shared" ref="V107:Z107" si="368">MAX(V106*25%,0)</f>
        <v>10.85375</v>
      </c>
      <c r="W107" s="1001">
        <f t="shared" si="368"/>
        <v>7.76</v>
      </c>
      <c r="X107" s="757">
        <f t="shared" ref="X107:Y107" si="369">MAX(X106*25%,0)</f>
        <v>8.9994999999999994</v>
      </c>
      <c r="Y107" s="760">
        <f t="shared" si="369"/>
        <v>8.5832500000000032</v>
      </c>
      <c r="Z107" s="823">
        <f t="shared" si="368"/>
        <v>12.40782990449638</v>
      </c>
      <c r="AA107" s="803">
        <f t="shared" ref="AA107:AD107" si="370">MAX(AA106*25%,0)</f>
        <v>7.9605699194349047</v>
      </c>
      <c r="AB107" s="803">
        <f t="shared" si="370"/>
        <v>10.275517331102922</v>
      </c>
      <c r="AC107" s="803">
        <f t="shared" si="370"/>
        <v>12.466065623204001</v>
      </c>
      <c r="AD107" s="803">
        <f t="shared" si="370"/>
        <v>14.017505950145278</v>
      </c>
      <c r="AE107" s="689"/>
      <c r="AF107" s="803"/>
      <c r="AG107" s="803">
        <f t="shared" ref="AG107:AJ107" si="371">MAX(AG106*25%,0)</f>
        <v>14.16475</v>
      </c>
      <c r="AH107" s="803">
        <f t="shared" si="371"/>
        <v>19.544499999999996</v>
      </c>
      <c r="AI107" s="803">
        <f t="shared" si="371"/>
        <v>43.960499999999996</v>
      </c>
      <c r="AJ107" s="803">
        <f t="shared" si="371"/>
        <v>52.388250000000006</v>
      </c>
      <c r="AK107" s="804">
        <f t="shared" ref="AK107:AM107" si="372">MAX(AK106*25%,0)</f>
        <v>40.609250000000003</v>
      </c>
      <c r="AL107" s="803">
        <f t="shared" si="372"/>
        <v>37.750579904496377</v>
      </c>
      <c r="AM107" s="803">
        <f t="shared" si="372"/>
        <v>44.719658823887109</v>
      </c>
    </row>
    <row r="108" spans="1:39" s="817" customFormat="1" ht="12" x14ac:dyDescent="0.3">
      <c r="A108" s="474" t="s">
        <v>144</v>
      </c>
      <c r="B108" s="816"/>
      <c r="C108" s="736"/>
      <c r="D108" s="736"/>
      <c r="E108" s="736"/>
      <c r="F108" s="752"/>
      <c r="G108" s="736">
        <f t="shared" ref="G108:O108" si="373">+G106-G107</f>
        <v>2.011499999999999</v>
      </c>
      <c r="H108" s="736">
        <f t="shared" si="373"/>
        <v>11.276250000000001</v>
      </c>
      <c r="I108" s="736">
        <f t="shared" si="373"/>
        <v>21.445500000000003</v>
      </c>
      <c r="J108" s="752">
        <f t="shared" si="373"/>
        <v>23.90025</v>
      </c>
      <c r="K108" s="736">
        <f t="shared" si="373"/>
        <v>19.545000000000009</v>
      </c>
      <c r="L108" s="736">
        <f t="shared" si="373"/>
        <v>29.305500000000002</v>
      </c>
      <c r="M108" s="736">
        <f t="shared" si="373"/>
        <v>40.373999999999995</v>
      </c>
      <c r="N108" s="752">
        <f t="shared" si="373"/>
        <v>42.656999999999996</v>
      </c>
      <c r="O108" s="736">
        <f t="shared" si="373"/>
        <v>35.753999999999991</v>
      </c>
      <c r="P108" s="736">
        <f t="shared" ref="P108:R108" si="374">+P106-P107</f>
        <v>37.800750000000001</v>
      </c>
      <c r="Q108" s="736">
        <f t="shared" si="374"/>
        <v>40.95675</v>
      </c>
      <c r="R108" s="736">
        <f t="shared" si="374"/>
        <v>42.65325</v>
      </c>
      <c r="S108" s="986">
        <f t="shared" ref="S108:T108" si="375">+S106-S107</f>
        <v>23.58</v>
      </c>
      <c r="T108" s="736">
        <f t="shared" si="375"/>
        <v>31.422750000000001</v>
      </c>
      <c r="U108" s="736">
        <f t="shared" ref="U108" si="376">+U106-U107</f>
        <v>34.263750000000002</v>
      </c>
      <c r="V108" s="736">
        <f t="shared" ref="V108:Z108" si="377">+V106-V107</f>
        <v>32.561250000000001</v>
      </c>
      <c r="W108" s="986">
        <f t="shared" si="377"/>
        <v>23.28</v>
      </c>
      <c r="X108" s="736">
        <f t="shared" ref="X108:Y108" si="378">+X106-X107</f>
        <v>26.9985</v>
      </c>
      <c r="Y108" s="754">
        <f t="shared" si="378"/>
        <v>25.749750000000009</v>
      </c>
      <c r="Z108" s="752">
        <f t="shared" si="377"/>
        <v>37.223489713489137</v>
      </c>
      <c r="AA108" s="736">
        <f t="shared" ref="AA108:AD108" si="379">+AA106-AA107</f>
        <v>23.881709758304716</v>
      </c>
      <c r="AB108" s="736">
        <f t="shared" si="379"/>
        <v>30.826551993308765</v>
      </c>
      <c r="AC108" s="736">
        <f t="shared" si="379"/>
        <v>37.398196869612001</v>
      </c>
      <c r="AD108" s="736">
        <f t="shared" si="379"/>
        <v>42.052517850435834</v>
      </c>
      <c r="AE108" s="689"/>
      <c r="AF108" s="736"/>
      <c r="AG108" s="736">
        <f t="shared" ref="AG108" si="380">+AG106-AG107</f>
        <v>42.494250000000001</v>
      </c>
      <c r="AH108" s="736">
        <f t="shared" ref="AH108" si="381">+AH106-AH107</f>
        <v>58.633499999999984</v>
      </c>
      <c r="AI108" s="736">
        <f t="shared" ref="AI108:AJ108" si="382">+AI106-AI107</f>
        <v>131.88149999999999</v>
      </c>
      <c r="AJ108" s="736">
        <f t="shared" si="382"/>
        <v>157.16475000000003</v>
      </c>
      <c r="AK108" s="754">
        <f t="shared" ref="AK108:AM108" si="383">+AK106-AK107</f>
        <v>121.82775000000001</v>
      </c>
      <c r="AL108" s="736">
        <f t="shared" si="383"/>
        <v>113.25173971348913</v>
      </c>
      <c r="AM108" s="736">
        <f t="shared" si="383"/>
        <v>134.15897647166133</v>
      </c>
    </row>
    <row r="109" spans="1:39" s="817" customFormat="1" ht="13" x14ac:dyDescent="0.4">
      <c r="A109" s="460" t="s">
        <v>238</v>
      </c>
      <c r="B109" s="816"/>
      <c r="C109" s="803"/>
      <c r="D109" s="803"/>
      <c r="E109" s="803"/>
      <c r="F109" s="823"/>
      <c r="G109" s="759">
        <f t="shared" ref="G109:K109" si="384">+H109</f>
        <v>152.400419</v>
      </c>
      <c r="H109" s="759">
        <f t="shared" si="384"/>
        <v>152.400419</v>
      </c>
      <c r="I109" s="803">
        <f t="shared" si="384"/>
        <v>152.400419</v>
      </c>
      <c r="J109" s="823">
        <f t="shared" si="384"/>
        <v>152.400419</v>
      </c>
      <c r="K109" s="759">
        <f t="shared" si="384"/>
        <v>152.400419</v>
      </c>
      <c r="L109" s="759">
        <f>+M109</f>
        <v>152.400419</v>
      </c>
      <c r="M109" s="803">
        <f>+Daloopa!M121/1000000</f>
        <v>152.400419</v>
      </c>
      <c r="N109" s="823">
        <f>+Daloopa!N121/1000000</f>
        <v>152.284628</v>
      </c>
      <c r="O109" s="803">
        <f>+Daloopa!O121/1000000</f>
        <v>152.348806</v>
      </c>
      <c r="P109" s="803">
        <f>+Daloopa!P121/1000000</f>
        <v>152.36035000000001</v>
      </c>
      <c r="Q109" s="803">
        <v>152.35730699999999</v>
      </c>
      <c r="R109" s="803">
        <v>150.05559500000001</v>
      </c>
      <c r="S109" s="1001">
        <v>147.03186600000001</v>
      </c>
      <c r="T109" s="757">
        <v>145.33892</v>
      </c>
      <c r="U109" s="757">
        <v>145.217657</v>
      </c>
      <c r="V109" s="757">
        <v>144.969753</v>
      </c>
      <c r="W109" s="1001">
        <v>145.702641</v>
      </c>
      <c r="X109" s="757">
        <v>145.856112</v>
      </c>
      <c r="Y109" s="760">
        <v>144.09631200000001</v>
      </c>
      <c r="Z109" s="1499">
        <f t="shared" ref="Z109" si="385">+Y109</f>
        <v>144.09631200000001</v>
      </c>
      <c r="AA109" s="822">
        <f t="shared" ref="AA109" si="386">+Z109</f>
        <v>144.09631200000001</v>
      </c>
      <c r="AB109" s="822">
        <f t="shared" ref="AB109" si="387">+AA109</f>
        <v>144.09631200000001</v>
      </c>
      <c r="AC109" s="822">
        <f t="shared" ref="AC109" si="388">+AB109</f>
        <v>144.09631200000001</v>
      </c>
      <c r="AD109" s="822">
        <f t="shared" ref="AD109" si="389">+AC109</f>
        <v>144.09631200000001</v>
      </c>
      <c r="AE109" s="689"/>
      <c r="AF109" s="803"/>
      <c r="AG109" s="759">
        <f>+AH109</f>
        <v>152.40041899999994</v>
      </c>
      <c r="AH109" s="759">
        <f>+AH108/AH110</f>
        <v>152.40041899999994</v>
      </c>
      <c r="AI109" s="803">
        <f>+AI108/AI110</f>
        <v>152.362947201894</v>
      </c>
      <c r="AJ109" s="803">
        <f>+AJ108/AJ110</f>
        <v>151.72449623517241</v>
      </c>
      <c r="AK109" s="804">
        <f>+AK108/AK110</f>
        <v>145.53001810874781</v>
      </c>
      <c r="AL109" s="803">
        <f>+AL108/AL110</f>
        <v>144.84116220169133</v>
      </c>
      <c r="AM109" s="803">
        <f>+AVERAGE(AA109:AD109)</f>
        <v>144.09631200000001</v>
      </c>
    </row>
    <row r="110" spans="1:39" s="817" customFormat="1" ht="12" x14ac:dyDescent="0.3">
      <c r="A110" s="474" t="s">
        <v>239</v>
      </c>
      <c r="B110" s="816"/>
      <c r="C110" s="736"/>
      <c r="D110" s="736"/>
      <c r="E110" s="736"/>
      <c r="F110" s="752"/>
      <c r="G110" s="824">
        <f t="shared" ref="G110:P110" si="390">+G108/G109</f>
        <v>1.319878260964623E-2</v>
      </c>
      <c r="H110" s="824">
        <f t="shared" si="390"/>
        <v>7.3990938305753609E-2</v>
      </c>
      <c r="I110" s="824">
        <f t="shared" si="390"/>
        <v>0.14071811705452072</v>
      </c>
      <c r="J110" s="825">
        <f t="shared" si="390"/>
        <v>0.15682535623474894</v>
      </c>
      <c r="K110" s="824">
        <f t="shared" si="390"/>
        <v>0.12824767889909811</v>
      </c>
      <c r="L110" s="824">
        <f t="shared" si="390"/>
        <v>0.19229277840764994</v>
      </c>
      <c r="M110" s="824">
        <f t="shared" si="390"/>
        <v>0.26492053148489042</v>
      </c>
      <c r="N110" s="825">
        <f t="shared" si="390"/>
        <v>0.28011363037902942</v>
      </c>
      <c r="O110" s="824">
        <f t="shared" si="390"/>
        <v>0.23468513432261484</v>
      </c>
      <c r="P110" s="824">
        <f t="shared" si="390"/>
        <v>0.2481009659009053</v>
      </c>
      <c r="Q110" s="824">
        <f>+Q108/Q109</f>
        <v>0.26882038549027387</v>
      </c>
      <c r="R110" s="824">
        <f t="shared" ref="R110:S110" si="391">+R108/R109</f>
        <v>0.28424964760560911</v>
      </c>
      <c r="S110" s="1002">
        <f t="shared" si="391"/>
        <v>0.16037339824007946</v>
      </c>
      <c r="T110" s="930">
        <f t="shared" ref="T110:U110" si="392">+T108/T109</f>
        <v>0.21620327163570502</v>
      </c>
      <c r="U110" s="930">
        <f t="shared" si="392"/>
        <v>0.23594754734267612</v>
      </c>
      <c r="V110" s="930">
        <f t="shared" ref="V110:W110" si="393">+V108/V109</f>
        <v>0.22460719788906588</v>
      </c>
      <c r="W110" s="1002">
        <f t="shared" si="393"/>
        <v>0.15977747445223042</v>
      </c>
      <c r="X110" s="930">
        <f t="shared" ref="X110:Z110" si="394">+X108/X109</f>
        <v>0.1851036588716968</v>
      </c>
      <c r="Y110" s="826">
        <f t="shared" ref="Y110" si="395">+Y108/Y109</f>
        <v>0.17869818902790521</v>
      </c>
      <c r="Z110" s="931">
        <f t="shared" si="394"/>
        <v>0.25832368085512925</v>
      </c>
      <c r="AA110" s="932">
        <f t="shared" ref="AA110:AD110" si="396">+AA108/AA109</f>
        <v>0.16573435799179034</v>
      </c>
      <c r="AB110" s="932">
        <f t="shared" si="396"/>
        <v>0.21393019408649933</v>
      </c>
      <c r="AC110" s="932">
        <f t="shared" si="396"/>
        <v>0.25953611407911675</v>
      </c>
      <c r="AD110" s="932">
        <f t="shared" si="396"/>
        <v>0.29183618419349849</v>
      </c>
      <c r="AE110" s="689"/>
      <c r="AF110" s="736"/>
      <c r="AG110" s="824">
        <f>+AG108/AG109</f>
        <v>0.27883289480982343</v>
      </c>
      <c r="AH110" s="824">
        <f>SUM(G110:J110)</f>
        <v>0.3847331942046695</v>
      </c>
      <c r="AI110" s="824">
        <f>SUM(K110:N110)</f>
        <v>0.86557461917066791</v>
      </c>
      <c r="AJ110" s="930">
        <f>+SUM(O110:R110)</f>
        <v>1.0358561333194032</v>
      </c>
      <c r="AK110" s="826">
        <f>+SUM(S110:V110)</f>
        <v>0.83713141510752653</v>
      </c>
      <c r="AL110" s="932">
        <f>+SUM(W110:Z110)</f>
        <v>0.78190300320696171</v>
      </c>
      <c r="AM110" s="932">
        <f>+AM108/AM109</f>
        <v>0.931036850350905</v>
      </c>
    </row>
    <row r="111" spans="1:39" ht="12" x14ac:dyDescent="0.3">
      <c r="A111" s="798" t="s">
        <v>29</v>
      </c>
      <c r="C111" s="744"/>
      <c r="D111" s="744"/>
      <c r="E111" s="744"/>
      <c r="F111" s="745"/>
      <c r="G111" s="689"/>
      <c r="H111" s="689"/>
      <c r="I111" s="689"/>
      <c r="J111" s="779"/>
      <c r="K111" s="689">
        <f t="shared" ref="K111" si="397">+K110/G110-1</f>
        <v>8.7166293810589206</v>
      </c>
      <c r="L111" s="689">
        <f t="shared" ref="L111" si="398">+L110/H110-1</f>
        <v>1.5988693049551048</v>
      </c>
      <c r="M111" s="689">
        <f t="shared" ref="M111" si="399">+M110/I110-1</f>
        <v>0.88263272015107996</v>
      </c>
      <c r="N111" s="779">
        <f t="shared" ref="N111" si="400">+N110/J110-1</f>
        <v>0.78615012970053488</v>
      </c>
      <c r="O111" s="689">
        <f t="shared" ref="O111" si="401">+O110/K110-1</f>
        <v>0.82993670011960941</v>
      </c>
      <c r="P111" s="689">
        <f t="shared" ref="P111" si="402">+P110/L110-1</f>
        <v>0.29022508258185931</v>
      </c>
      <c r="Q111" s="689">
        <f t="shared" ref="Q111" si="403">+Q110/M110-1</f>
        <v>1.4720844713411285E-2</v>
      </c>
      <c r="R111" s="689">
        <f t="shared" ref="R111" si="404">+R110/N110-1</f>
        <v>1.4765497919480453E-2</v>
      </c>
      <c r="S111" s="991">
        <f t="shared" ref="S111" si="405">+S110/O110-1</f>
        <v>-0.31664441080610239</v>
      </c>
      <c r="T111" s="799">
        <f t="shared" ref="T111" si="406">+T110/P110-1</f>
        <v>-0.12856739251043714</v>
      </c>
      <c r="U111" s="799">
        <f t="shared" ref="U111" si="407">+U110/Q110-1</f>
        <v>-0.12228551077941641</v>
      </c>
      <c r="V111" s="689">
        <f t="shared" ref="V111:W111" si="408">+V110/R110-1</f>
        <v>-0.20982418173230588</v>
      </c>
      <c r="W111" s="991">
        <f t="shared" si="408"/>
        <v>-3.7158518456841261E-3</v>
      </c>
      <c r="X111" s="799">
        <f t="shared" ref="X111" si="409">+X110/T110-1</f>
        <v>-0.14384432080384968</v>
      </c>
      <c r="Y111" s="1456">
        <f t="shared" ref="Y111" si="410">+Y110/U110-1</f>
        <v>-0.2426359543022728</v>
      </c>
      <c r="Z111" s="779">
        <f t="shared" ref="Z111" si="411">+Z110/V110-1</f>
        <v>0.15011310092883146</v>
      </c>
      <c r="AA111" s="689">
        <f t="shared" ref="AA111" si="412">+AA110/W110-1</f>
        <v>3.7282373876430741E-2</v>
      </c>
      <c r="AB111" s="689">
        <f t="shared" ref="AB111" si="413">+AB110/X110-1</f>
        <v>0.15573184987544431</v>
      </c>
      <c r="AC111" s="689">
        <f t="shared" ref="AC111" si="414">+AC110/Y110-1</f>
        <v>0.4523712606767829</v>
      </c>
      <c r="AD111" s="689">
        <f t="shared" ref="AD111" si="415">+AD110/Z110-1</f>
        <v>0.12973066668697486</v>
      </c>
      <c r="AE111" s="744"/>
      <c r="AF111" s="780">
        <v>0.115</v>
      </c>
      <c r="AG111" s="689">
        <v>7.8E-2</v>
      </c>
      <c r="AH111" s="689">
        <f t="shared" ref="AH111" si="416">+AH110/AG110-1</f>
        <v>0.37979844331880153</v>
      </c>
      <c r="AI111" s="689">
        <f t="shared" ref="AI111:AK111" si="417">+AI110/AH110-1</f>
        <v>1.2498048835115627</v>
      </c>
      <c r="AJ111" s="689">
        <f t="shared" si="417"/>
        <v>0.19672655641391956</v>
      </c>
      <c r="AK111" s="781">
        <f t="shared" si="417"/>
        <v>-0.1918458672200577</v>
      </c>
      <c r="AL111" s="689">
        <f t="shared" ref="AL111" si="418">+AL110/AK110-1</f>
        <v>-6.5973407405181317E-2</v>
      </c>
      <c r="AM111" s="689">
        <f t="shared" ref="AM111" si="419">+AM110/AL110-1</f>
        <v>0.19073190220816816</v>
      </c>
    </row>
    <row r="112" spans="1:39" s="817" customFormat="1" ht="12" x14ac:dyDescent="0.3">
      <c r="A112" s="798"/>
      <c r="B112" s="816"/>
      <c r="C112" s="689"/>
      <c r="D112" s="689"/>
      <c r="E112" s="689"/>
      <c r="F112" s="779"/>
      <c r="G112" s="689"/>
      <c r="H112" s="689"/>
      <c r="I112" s="736"/>
      <c r="J112" s="779"/>
      <c r="K112" s="689"/>
      <c r="L112" s="689"/>
      <c r="M112" s="736"/>
      <c r="N112" s="779"/>
      <c r="O112" s="689"/>
      <c r="P112" s="689"/>
      <c r="Q112" s="689"/>
      <c r="R112" s="689"/>
      <c r="S112" s="991"/>
      <c r="T112" s="689"/>
      <c r="U112" s="689"/>
      <c r="V112" s="689"/>
      <c r="W112" s="991"/>
      <c r="X112" s="689"/>
      <c r="Y112" s="781"/>
      <c r="Z112" s="779"/>
      <c r="AA112" s="689"/>
      <c r="AB112" s="689"/>
      <c r="AC112" s="689"/>
      <c r="AD112" s="689"/>
      <c r="AE112" s="689"/>
      <c r="AF112" s="689"/>
      <c r="AG112" s="689"/>
      <c r="AH112" s="689"/>
      <c r="AI112" s="689"/>
      <c r="AJ112" s="689"/>
      <c r="AK112" s="781"/>
      <c r="AL112" s="689"/>
      <c r="AM112" s="689"/>
    </row>
    <row r="113" spans="1:46" s="817" customFormat="1" ht="12" x14ac:dyDescent="0.3">
      <c r="A113" s="783" t="s">
        <v>48</v>
      </c>
      <c r="B113" s="816"/>
      <c r="C113" s="689"/>
      <c r="D113" s="689"/>
      <c r="E113" s="689"/>
      <c r="F113" s="779"/>
      <c r="G113" s="689"/>
      <c r="H113" s="689"/>
      <c r="I113" s="736"/>
      <c r="J113" s="779"/>
      <c r="K113" s="689"/>
      <c r="L113" s="689"/>
      <c r="M113" s="736"/>
      <c r="N113" s="779"/>
      <c r="O113" s="689"/>
      <c r="P113" s="689"/>
      <c r="Q113" s="689"/>
      <c r="R113" s="689"/>
      <c r="S113" s="991"/>
      <c r="T113" s="689"/>
      <c r="U113" s="689"/>
      <c r="V113" s="689"/>
      <c r="W113" s="991"/>
      <c r="X113" s="689"/>
      <c r="Y113" s="781"/>
      <c r="Z113" s="779"/>
      <c r="AA113" s="689"/>
      <c r="AB113" s="689"/>
      <c r="AC113" s="689"/>
      <c r="AD113" s="689"/>
      <c r="AE113" s="689"/>
      <c r="AF113" s="689"/>
      <c r="AG113" s="689"/>
      <c r="AH113" s="689"/>
      <c r="AI113" s="689"/>
      <c r="AJ113" s="689"/>
      <c r="AK113" s="781"/>
      <c r="AL113" s="689"/>
      <c r="AM113" s="689"/>
    </row>
    <row r="114" spans="1:46" s="817" customFormat="1" ht="12" x14ac:dyDescent="0.3">
      <c r="A114" s="460" t="s">
        <v>188</v>
      </c>
      <c r="B114" s="816"/>
      <c r="C114" s="736"/>
      <c r="D114" s="736"/>
      <c r="E114" s="736"/>
      <c r="F114" s="752"/>
      <c r="G114" s="736">
        <f t="shared" ref="G114:V114" si="420">+G91</f>
        <v>22.954000000000001</v>
      </c>
      <c r="H114" s="736">
        <f t="shared" si="420"/>
        <v>31.135000000000005</v>
      </c>
      <c r="I114" s="736">
        <f t="shared" si="420"/>
        <v>42.757000000000005</v>
      </c>
      <c r="J114" s="752">
        <f t="shared" si="420"/>
        <v>44.099999999999994</v>
      </c>
      <c r="K114" s="736">
        <f t="shared" si="420"/>
        <v>36.028000000000006</v>
      </c>
      <c r="L114" s="736">
        <f t="shared" si="420"/>
        <v>53.658000000000001</v>
      </c>
      <c r="M114" s="736">
        <f t="shared" si="420"/>
        <v>62.600999999999999</v>
      </c>
      <c r="N114" s="752">
        <f t="shared" si="420"/>
        <v>64.477000000000004</v>
      </c>
      <c r="O114" s="736">
        <f t="shared" si="420"/>
        <v>51.740999999999993</v>
      </c>
      <c r="P114" s="736">
        <f t="shared" si="420"/>
        <v>58.890999999999998</v>
      </c>
      <c r="Q114" s="736">
        <f t="shared" si="420"/>
        <v>62.166000000000004</v>
      </c>
      <c r="R114" s="736">
        <f t="shared" si="420"/>
        <v>68.256</v>
      </c>
      <c r="S114" s="986">
        <f t="shared" ref="S114:T114" si="421">+S91</f>
        <v>46.501999999999995</v>
      </c>
      <c r="T114" s="736">
        <f t="shared" si="421"/>
        <v>52.37</v>
      </c>
      <c r="U114" s="736">
        <f t="shared" ref="U114" si="422">+U91</f>
        <v>60.000999999999998</v>
      </c>
      <c r="V114" s="736">
        <f t="shared" si="420"/>
        <v>63.417999999999992</v>
      </c>
      <c r="W114" s="986">
        <f t="shared" ref="W114" si="423">+W91</f>
        <v>41.807000000000002</v>
      </c>
      <c r="X114" s="736">
        <f t="shared" ref="X114:Z114" si="424">+X91</f>
        <v>50.713000000000001</v>
      </c>
      <c r="Y114" s="754">
        <f t="shared" ref="Y114" si="425">+Y91</f>
        <v>59.046000000000006</v>
      </c>
      <c r="Z114" s="752">
        <f t="shared" si="424"/>
        <v>65.313319617985513</v>
      </c>
      <c r="AA114" s="736">
        <f t="shared" ref="AA114:AD114" si="426">+AA91</f>
        <v>47.013589546092305</v>
      </c>
      <c r="AB114" s="736">
        <f t="shared" si="426"/>
        <v>56.192396427097982</v>
      </c>
      <c r="AC114" s="736">
        <f t="shared" si="426"/>
        <v>64.823733890449873</v>
      </c>
      <c r="AD114" s="736">
        <f t="shared" si="426"/>
        <v>70.852525362203721</v>
      </c>
      <c r="AE114" s="689"/>
      <c r="AF114" s="736"/>
      <c r="AG114" s="736">
        <f>+AG91</f>
        <v>122.557</v>
      </c>
      <c r="AH114" s="736">
        <f>+AH91</f>
        <v>140.946</v>
      </c>
      <c r="AI114" s="736">
        <f>+AI91</f>
        <v>216.76399999999998</v>
      </c>
      <c r="AJ114" s="736">
        <f>+AJ91</f>
        <v>241.05400000000003</v>
      </c>
      <c r="AK114" s="754">
        <f>+AK91</f>
        <v>222.291</v>
      </c>
      <c r="AL114" s="736">
        <f t="shared" ref="AL114:AM114" si="427">+AL91</f>
        <v>216.87931961798552</v>
      </c>
      <c r="AM114" s="736">
        <f t="shared" si="427"/>
        <v>238.88224522584386</v>
      </c>
    </row>
    <row r="115" spans="1:46" s="817" customFormat="1" ht="12" x14ac:dyDescent="0.3">
      <c r="A115" s="512" t="s">
        <v>146</v>
      </c>
      <c r="B115" s="816"/>
      <c r="C115" s="736"/>
      <c r="D115" s="736"/>
      <c r="E115" s="736"/>
      <c r="F115" s="752"/>
      <c r="G115" s="736">
        <f t="shared" ref="G115:R115" si="428">-G96</f>
        <v>-5.2080000000000002</v>
      </c>
      <c r="H115" s="736">
        <f t="shared" si="428"/>
        <v>-5.1120000000000001</v>
      </c>
      <c r="I115" s="736">
        <f t="shared" si="428"/>
        <v>-5.2480000000000002</v>
      </c>
      <c r="J115" s="752">
        <f t="shared" si="428"/>
        <v>-4.8500000000000005</v>
      </c>
      <c r="K115" s="736">
        <f t="shared" si="428"/>
        <v>-5.4379999999999997</v>
      </c>
      <c r="L115" s="736">
        <f t="shared" si="428"/>
        <v>-6.81</v>
      </c>
      <c r="M115" s="736">
        <f t="shared" si="428"/>
        <v>-6.7470000000000008</v>
      </c>
      <c r="N115" s="752">
        <f t="shared" si="428"/>
        <v>-6.4549999999999992</v>
      </c>
      <c r="O115" s="736">
        <f t="shared" si="428"/>
        <v>-7.7899999999999991</v>
      </c>
      <c r="P115" s="736">
        <f t="shared" si="428"/>
        <v>-8.07</v>
      </c>
      <c r="Q115" s="736">
        <f t="shared" ref="Q115" si="429">-Q96</f>
        <v>-7.1650000000000009</v>
      </c>
      <c r="R115" s="736">
        <f t="shared" si="428"/>
        <v>-6.8719999999999999</v>
      </c>
      <c r="S115" s="986">
        <f t="shared" ref="S115:T115" si="430">-S96</f>
        <v>-6.1349999999999998</v>
      </c>
      <c r="T115" s="736">
        <f t="shared" si="430"/>
        <v>-7.0609999999999991</v>
      </c>
      <c r="U115" s="736">
        <f t="shared" ref="U115" si="431">-U96</f>
        <v>-7.4799999999999986</v>
      </c>
      <c r="V115" s="736">
        <f t="shared" ref="V115:Z115" si="432">-V96</f>
        <v>-7.1270000000000016</v>
      </c>
      <c r="W115" s="986">
        <f t="shared" ref="W115" si="433">-W96</f>
        <v>-6.4559999999999995</v>
      </c>
      <c r="X115" s="736">
        <f t="shared" si="432"/>
        <v>-7.4080000000000004</v>
      </c>
      <c r="Y115" s="754">
        <f t="shared" ref="Y115" si="434">-Y96</f>
        <v>-7.9059999999999997</v>
      </c>
      <c r="Z115" s="752">
        <f t="shared" si="432"/>
        <v>-8.329225569438842</v>
      </c>
      <c r="AA115" s="736">
        <f t="shared" ref="AA115:AD115" si="435">-AA96</f>
        <v>-6.2417970470402402</v>
      </c>
      <c r="AB115" s="736">
        <f t="shared" si="435"/>
        <v>-6.8597191732747884</v>
      </c>
      <c r="AC115" s="736">
        <f t="shared" si="435"/>
        <v>-7.4883557417308744</v>
      </c>
      <c r="AD115" s="736">
        <f t="shared" si="435"/>
        <v>-7.8863391640670892</v>
      </c>
      <c r="AE115" s="689"/>
      <c r="AF115" s="736"/>
      <c r="AG115" s="736">
        <f>-AG96</f>
        <v>-19.844999999999999</v>
      </c>
      <c r="AH115" s="736">
        <f>-AH96</f>
        <v>-20.418000000000003</v>
      </c>
      <c r="AI115" s="736">
        <f>-AI96</f>
        <v>-25.45</v>
      </c>
      <c r="AJ115" s="736">
        <f>-AJ96</f>
        <v>-29.896999999999998</v>
      </c>
      <c r="AK115" s="754">
        <f t="shared" ref="AK115:AL115" si="436">-AK96</f>
        <v>-27.802999999999997</v>
      </c>
      <c r="AL115" s="736">
        <f t="shared" si="436"/>
        <v>-30.099225569438843</v>
      </c>
      <c r="AM115" s="736">
        <f t="shared" ref="AM115" si="437">-AM96</f>
        <v>-28.476211126112993</v>
      </c>
    </row>
    <row r="116" spans="1:46" s="817" customFormat="1" ht="12" x14ac:dyDescent="0.3">
      <c r="A116" s="460" t="s">
        <v>147</v>
      </c>
      <c r="B116" s="816"/>
      <c r="C116" s="736"/>
      <c r="D116" s="736"/>
      <c r="E116" s="736"/>
      <c r="F116" s="752"/>
      <c r="G116" s="736">
        <f t="shared" ref="G116:R116" si="438">-G105</f>
        <v>-17.319000000000003</v>
      </c>
      <c r="H116" s="736">
        <f t="shared" si="438"/>
        <v>-13.663</v>
      </c>
      <c r="I116" s="736">
        <f t="shared" si="438"/>
        <v>-11.629999999999999</v>
      </c>
      <c r="J116" s="752">
        <f t="shared" si="438"/>
        <v>-9.261000000000001</v>
      </c>
      <c r="K116" s="736">
        <f t="shared" si="438"/>
        <v>-6.7169999999999996</v>
      </c>
      <c r="L116" s="736">
        <f t="shared" si="438"/>
        <v>-10.452</v>
      </c>
      <c r="M116" s="736">
        <f t="shared" si="438"/>
        <v>-4.7060000000000004</v>
      </c>
      <c r="N116" s="752">
        <f t="shared" si="438"/>
        <v>-3.0970000000000013</v>
      </c>
      <c r="O116" s="736">
        <f t="shared" si="438"/>
        <v>0.85</v>
      </c>
      <c r="P116" s="736">
        <f t="shared" si="438"/>
        <v>-3.1120000000000001</v>
      </c>
      <c r="Q116" s="736">
        <f t="shared" ref="Q116" si="439">-Q105</f>
        <v>-1.74</v>
      </c>
      <c r="R116" s="736">
        <f t="shared" si="438"/>
        <v>-5.1970000000000001</v>
      </c>
      <c r="S116" s="986">
        <f t="shared" ref="S116:T116" si="440">-S105</f>
        <v>-8.6809999999999992</v>
      </c>
      <c r="T116" s="736">
        <f t="shared" si="440"/>
        <v>-3.887</v>
      </c>
      <c r="U116" s="736">
        <f t="shared" ref="U116" si="441">-U105</f>
        <v>-7.5570000000000004</v>
      </c>
      <c r="V116" s="736">
        <f t="shared" ref="V116:Z116" si="442">-V105</f>
        <v>-12.914999999999999</v>
      </c>
      <c r="W116" s="986">
        <f t="shared" ref="W116" si="443">-W105</f>
        <v>-3.57</v>
      </c>
      <c r="X116" s="736">
        <f t="shared" si="442"/>
        <v>-7.3529999999999998</v>
      </c>
      <c r="Y116" s="754">
        <f t="shared" ref="Y116" si="444">-Y105</f>
        <v>-17.190999999999999</v>
      </c>
      <c r="Z116" s="752">
        <f t="shared" si="442"/>
        <v>-8</v>
      </c>
      <c r="AA116" s="736">
        <f t="shared" ref="AA116:AD116" si="445">-AA105</f>
        <v>-7.3293098683526967</v>
      </c>
      <c r="AB116" s="736">
        <f t="shared" si="445"/>
        <v>-7.0883271026863071</v>
      </c>
      <c r="AC116" s="736">
        <f t="shared" si="445"/>
        <v>-6.7974713976338821</v>
      </c>
      <c r="AD116" s="736">
        <f t="shared" si="445"/>
        <v>-6.4605015616226265</v>
      </c>
      <c r="AE116" s="689"/>
      <c r="AF116" s="736"/>
      <c r="AG116" s="736">
        <f>-AG105</f>
        <v>-51.018999999999998</v>
      </c>
      <c r="AH116" s="736">
        <f>-AH105</f>
        <v>-51.873000000000005</v>
      </c>
      <c r="AI116" s="736">
        <f>-AI105</f>
        <v>-24.972000000000001</v>
      </c>
      <c r="AJ116" s="736">
        <f>-AJ105</f>
        <v>-9.1989999999999998</v>
      </c>
      <c r="AK116" s="754">
        <f t="shared" ref="AK116:AL116" si="446">-AK105</f>
        <v>-33.04</v>
      </c>
      <c r="AL116" s="736">
        <f t="shared" si="446"/>
        <v>-36.113999999999997</v>
      </c>
      <c r="AM116" s="736">
        <f t="shared" ref="AM116" si="447">-AM105</f>
        <v>-27.675609930295515</v>
      </c>
    </row>
    <row r="117" spans="1:46" s="817" customFormat="1" ht="13" x14ac:dyDescent="0.4">
      <c r="A117" s="460" t="s">
        <v>148</v>
      </c>
      <c r="B117" s="816"/>
      <c r="C117" s="757"/>
      <c r="D117" s="757"/>
      <c r="E117" s="757"/>
      <c r="F117" s="758"/>
      <c r="G117" s="757">
        <f t="shared" ref="G117:R117" si="448">-G107</f>
        <v>-0.67049999999999965</v>
      </c>
      <c r="H117" s="757">
        <f t="shared" si="448"/>
        <v>-3.75875</v>
      </c>
      <c r="I117" s="757">
        <f t="shared" si="448"/>
        <v>-7.1485000000000012</v>
      </c>
      <c r="J117" s="758">
        <f t="shared" si="448"/>
        <v>-7.9667499999999993</v>
      </c>
      <c r="K117" s="757">
        <f t="shared" si="448"/>
        <v>-6.5150000000000023</v>
      </c>
      <c r="L117" s="757">
        <f t="shared" si="448"/>
        <v>-9.7685000000000013</v>
      </c>
      <c r="M117" s="757">
        <f t="shared" si="448"/>
        <v>-13.457999999999998</v>
      </c>
      <c r="N117" s="758">
        <f t="shared" si="448"/>
        <v>-14.218999999999999</v>
      </c>
      <c r="O117" s="757">
        <f t="shared" si="448"/>
        <v>-11.917999999999997</v>
      </c>
      <c r="P117" s="757">
        <f t="shared" si="448"/>
        <v>-12.600250000000001</v>
      </c>
      <c r="Q117" s="757">
        <f t="shared" ref="Q117" si="449">-Q107</f>
        <v>-13.65225</v>
      </c>
      <c r="R117" s="757">
        <f t="shared" si="448"/>
        <v>-14.217749999999999</v>
      </c>
      <c r="S117" s="987">
        <f t="shared" ref="S117:T117" si="450">-S107</f>
        <v>-7.8599999999999994</v>
      </c>
      <c r="T117" s="757">
        <f t="shared" si="450"/>
        <v>-10.47425</v>
      </c>
      <c r="U117" s="757">
        <f t="shared" ref="U117" si="451">-U107</f>
        <v>-11.421250000000001</v>
      </c>
      <c r="V117" s="757">
        <f t="shared" ref="V117:Z117" si="452">-V107</f>
        <v>-10.85375</v>
      </c>
      <c r="W117" s="987">
        <f t="shared" ref="W117" si="453">-W107</f>
        <v>-7.76</v>
      </c>
      <c r="X117" s="757">
        <f t="shared" si="452"/>
        <v>-8.9994999999999994</v>
      </c>
      <c r="Y117" s="760">
        <f t="shared" ref="Y117" si="454">-Y107</f>
        <v>-8.5832500000000032</v>
      </c>
      <c r="Z117" s="758">
        <f t="shared" si="452"/>
        <v>-12.40782990449638</v>
      </c>
      <c r="AA117" s="757">
        <f t="shared" ref="AA117:AD117" si="455">-AA107</f>
        <v>-7.9605699194349047</v>
      </c>
      <c r="AB117" s="757">
        <f t="shared" si="455"/>
        <v>-10.275517331102922</v>
      </c>
      <c r="AC117" s="757">
        <f t="shared" si="455"/>
        <v>-12.466065623204001</v>
      </c>
      <c r="AD117" s="757">
        <f t="shared" si="455"/>
        <v>-14.017505950145278</v>
      </c>
      <c r="AE117" s="689"/>
      <c r="AF117" s="757"/>
      <c r="AG117" s="757">
        <f>-AG107</f>
        <v>-14.16475</v>
      </c>
      <c r="AH117" s="757">
        <f>-AH107</f>
        <v>-19.544499999999996</v>
      </c>
      <c r="AI117" s="757">
        <f>-AI107</f>
        <v>-43.960499999999996</v>
      </c>
      <c r="AJ117" s="757">
        <f>-AJ107</f>
        <v>-52.388250000000006</v>
      </c>
      <c r="AK117" s="760">
        <f t="shared" ref="AK117:AL117" si="456">-AK107</f>
        <v>-40.609250000000003</v>
      </c>
      <c r="AL117" s="757">
        <f t="shared" si="456"/>
        <v>-37.750579904496377</v>
      </c>
      <c r="AM117" s="757">
        <f t="shared" ref="AM117" si="457">-AM107</f>
        <v>-44.719658823887109</v>
      </c>
    </row>
    <row r="118" spans="1:46" s="817" customFormat="1" ht="12" x14ac:dyDescent="0.3">
      <c r="A118" s="505" t="s">
        <v>48</v>
      </c>
      <c r="B118" s="816"/>
      <c r="C118" s="762"/>
      <c r="D118" s="762"/>
      <c r="E118" s="762"/>
      <c r="F118" s="763"/>
      <c r="G118" s="762">
        <f t="shared" ref="G118:O118" si="458">SUM(G114:G117)</f>
        <v>-0.24350000000000005</v>
      </c>
      <c r="H118" s="762">
        <f t="shared" si="458"/>
        <v>8.6012500000000038</v>
      </c>
      <c r="I118" s="762">
        <f t="shared" si="458"/>
        <v>18.730500000000006</v>
      </c>
      <c r="J118" s="763">
        <f t="shared" si="458"/>
        <v>22.022249999999993</v>
      </c>
      <c r="K118" s="762">
        <f t="shared" si="458"/>
        <v>17.358000000000004</v>
      </c>
      <c r="L118" s="762">
        <f t="shared" si="458"/>
        <v>26.627499999999998</v>
      </c>
      <c r="M118" s="762">
        <f t="shared" si="458"/>
        <v>37.69</v>
      </c>
      <c r="N118" s="763">
        <f t="shared" si="458"/>
        <v>40.706000000000003</v>
      </c>
      <c r="O118" s="762">
        <f t="shared" si="458"/>
        <v>32.882999999999996</v>
      </c>
      <c r="P118" s="762">
        <f t="shared" ref="P118:R118" si="459">SUM(P114:P117)</f>
        <v>35.108749999999993</v>
      </c>
      <c r="Q118" s="762">
        <f t="shared" ref="Q118" si="460">SUM(Q114:Q117)</f>
        <v>39.608750000000001</v>
      </c>
      <c r="R118" s="762">
        <f t="shared" si="459"/>
        <v>41.969250000000002</v>
      </c>
      <c r="S118" s="988">
        <f t="shared" ref="S118:T118" si="461">SUM(S114:S117)</f>
        <v>23.826000000000001</v>
      </c>
      <c r="T118" s="762">
        <f t="shared" si="461"/>
        <v>30.947749999999999</v>
      </c>
      <c r="U118" s="762">
        <f t="shared" ref="U118" si="462">SUM(U114:U117)</f>
        <v>33.542749999999998</v>
      </c>
      <c r="V118" s="762">
        <f t="shared" ref="V118:Z118" si="463">SUM(V114:V117)</f>
        <v>32.522249999999993</v>
      </c>
      <c r="W118" s="988">
        <f t="shared" ref="W118" si="464">SUM(W114:W117)</f>
        <v>24.021000000000001</v>
      </c>
      <c r="X118" s="762">
        <f t="shared" si="463"/>
        <v>26.952500000000001</v>
      </c>
      <c r="Y118" s="764">
        <f t="shared" ref="Y118" si="465">SUM(Y114:Y117)</f>
        <v>25.365750000000009</v>
      </c>
      <c r="Z118" s="763">
        <f t="shared" si="463"/>
        <v>36.576264144050292</v>
      </c>
      <c r="AA118" s="762">
        <f t="shared" ref="AA118:AD118" si="466">SUM(AA114:AA117)</f>
        <v>25.481912711264471</v>
      </c>
      <c r="AB118" s="762">
        <f t="shared" si="466"/>
        <v>31.968832820033963</v>
      </c>
      <c r="AC118" s="762">
        <f t="shared" si="466"/>
        <v>38.071841127881115</v>
      </c>
      <c r="AD118" s="762">
        <f t="shared" si="466"/>
        <v>42.488178686368727</v>
      </c>
      <c r="AE118" s="689"/>
      <c r="AF118" s="762"/>
      <c r="AG118" s="762">
        <f t="shared" ref="AG118" si="467">SUM(AG114:AG117)</f>
        <v>37.528250000000007</v>
      </c>
      <c r="AH118" s="762">
        <f t="shared" ref="AH118" si="468">SUM(AH114:AH117)</f>
        <v>49.110499999999988</v>
      </c>
      <c r="AI118" s="762">
        <f t="shared" ref="AI118:AJ118" si="469">SUM(AI114:AI117)</f>
        <v>122.38149999999999</v>
      </c>
      <c r="AJ118" s="762">
        <f t="shared" si="469"/>
        <v>149.56975000000003</v>
      </c>
      <c r="AK118" s="764">
        <f t="shared" ref="AK118:AL118" si="470">SUM(AK114:AK117)</f>
        <v>120.83875</v>
      </c>
      <c r="AL118" s="762">
        <f t="shared" si="470"/>
        <v>112.91551414405031</v>
      </c>
      <c r="AM118" s="762">
        <f t="shared" ref="AM118" si="471">SUM(AM114:AM117)</f>
        <v>138.01076534554826</v>
      </c>
    </row>
    <row r="119" spans="1:46" s="817" customFormat="1" ht="12" x14ac:dyDescent="0.3">
      <c r="A119" s="505"/>
      <c r="B119" s="816"/>
      <c r="C119" s="689"/>
      <c r="D119" s="689"/>
      <c r="E119" s="689"/>
      <c r="F119" s="779"/>
      <c r="G119" s="689"/>
      <c r="H119" s="689"/>
      <c r="I119" s="736"/>
      <c r="J119" s="779"/>
      <c r="K119" s="689"/>
      <c r="L119" s="689"/>
      <c r="M119" s="736"/>
      <c r="N119" s="779"/>
      <c r="O119" s="689"/>
      <c r="P119" s="689"/>
      <c r="Q119" s="689"/>
      <c r="R119" s="799"/>
      <c r="S119" s="994"/>
      <c r="T119" s="799"/>
      <c r="U119" s="799"/>
      <c r="V119" s="689"/>
      <c r="W119" s="991"/>
      <c r="X119" s="799"/>
      <c r="Y119" s="1456"/>
      <c r="Z119" s="779"/>
      <c r="AA119" s="689"/>
      <c r="AB119" s="689"/>
      <c r="AC119" s="689"/>
      <c r="AD119" s="689"/>
      <c r="AE119" s="689"/>
      <c r="AF119" s="689"/>
      <c r="AG119" s="689"/>
      <c r="AH119" s="689"/>
      <c r="AI119" s="689"/>
      <c r="AJ119" s="689"/>
      <c r="AK119" s="781"/>
      <c r="AL119" s="689"/>
      <c r="AM119" s="689"/>
    </row>
    <row r="120" spans="1:46" s="817" customFormat="1" ht="12" x14ac:dyDescent="0.3">
      <c r="A120" s="512" t="s">
        <v>240</v>
      </c>
      <c r="B120" s="816"/>
      <c r="C120" s="689"/>
      <c r="D120" s="689"/>
      <c r="E120" s="689"/>
      <c r="F120" s="779"/>
      <c r="G120" s="736">
        <f t="shared" ref="G120:R120" si="472">+G107-G134</f>
        <v>-0.57650000000000023</v>
      </c>
      <c r="H120" s="736">
        <f t="shared" si="472"/>
        <v>2.81175</v>
      </c>
      <c r="I120" s="736">
        <f t="shared" si="472"/>
        <v>6.0695000000000014</v>
      </c>
      <c r="J120" s="752">
        <f t="shared" si="472"/>
        <v>6.1747499999999995</v>
      </c>
      <c r="K120" s="736">
        <f t="shared" si="472"/>
        <v>6.2170000000000023</v>
      </c>
      <c r="L120" s="736">
        <f t="shared" si="472"/>
        <v>6.3305000000000007</v>
      </c>
      <c r="M120" s="736">
        <f t="shared" si="472"/>
        <v>11.124999999999998</v>
      </c>
      <c r="N120" s="752">
        <f t="shared" si="472"/>
        <v>9.9269999999999996</v>
      </c>
      <c r="O120" s="736">
        <f t="shared" si="472"/>
        <v>10.204999999999998</v>
      </c>
      <c r="P120" s="736">
        <f t="shared" si="472"/>
        <v>8.1322500000000009</v>
      </c>
      <c r="Q120" s="736">
        <f t="shared" si="472"/>
        <v>8.5122500000000016</v>
      </c>
      <c r="R120" s="736">
        <f t="shared" si="472"/>
        <v>8.0637499999999971</v>
      </c>
      <c r="S120" s="986">
        <f t="shared" ref="S120:T120" si="473">+S107-S134</f>
        <v>5.8109999999999999</v>
      </c>
      <c r="T120" s="736">
        <f t="shared" si="473"/>
        <v>-1.2737500000000015</v>
      </c>
      <c r="U120" s="736">
        <f t="shared" ref="U120:V120" si="474">+U107-U134</f>
        <v>4.2122500000000009</v>
      </c>
      <c r="V120" s="736">
        <f t="shared" si="474"/>
        <v>0.23674999999999891</v>
      </c>
      <c r="W120" s="986">
        <f t="shared" ref="W120:X120" si="475">+W107-W134</f>
        <v>5.25</v>
      </c>
      <c r="X120" s="736">
        <f t="shared" si="475"/>
        <v>-5.6485000000000021</v>
      </c>
      <c r="Y120" s="754">
        <f t="shared" ref="Y120" si="476">+Y107-Y134</f>
        <v>6.5732500000000051</v>
      </c>
      <c r="Z120" s="1089">
        <v>0</v>
      </c>
      <c r="AA120" s="753">
        <v>0</v>
      </c>
      <c r="AB120" s="753">
        <v>0</v>
      </c>
      <c r="AC120" s="753">
        <v>0</v>
      </c>
      <c r="AD120" s="753">
        <v>0</v>
      </c>
      <c r="AE120" s="689"/>
      <c r="AF120" s="736"/>
      <c r="AG120" s="736">
        <f>+AG107-AG134</f>
        <v>8.9157499999999992</v>
      </c>
      <c r="AH120" s="736">
        <f>+AH107-AH134</f>
        <v>14.479499999999996</v>
      </c>
      <c r="AI120" s="736">
        <f>+AI107-AI134</f>
        <v>33.599499999999992</v>
      </c>
      <c r="AJ120" s="736">
        <f>+SUM(O120:R120)</f>
        <v>34.913249999999998</v>
      </c>
      <c r="AK120" s="754">
        <f>SUM(S120:V120)</f>
        <v>8.9862499999999983</v>
      </c>
      <c r="AL120" s="736">
        <f>+SUM(W120:Z120)</f>
        <v>6.1747500000000031</v>
      </c>
      <c r="AM120" s="827">
        <f>+SUM(AA120:AD120)</f>
        <v>0</v>
      </c>
    </row>
    <row r="121" spans="1:46" s="817" customFormat="1" ht="12" x14ac:dyDescent="0.3">
      <c r="A121" s="512" t="str">
        <f>+A65</f>
        <v>Rest., Integration and Tx Related Costs</v>
      </c>
      <c r="B121" s="816"/>
      <c r="C121" s="689"/>
      <c r="D121" s="689"/>
      <c r="E121" s="689"/>
      <c r="F121" s="779"/>
      <c r="G121" s="736">
        <f t="shared" ref="G121:V121" si="477">+G65*-1</f>
        <v>-0.85199999999999676</v>
      </c>
      <c r="H121" s="736">
        <f t="shared" si="477"/>
        <v>-0.76500000000000001</v>
      </c>
      <c r="I121" s="736">
        <f t="shared" si="477"/>
        <v>-0.71199999999999997</v>
      </c>
      <c r="J121" s="752">
        <f t="shared" si="477"/>
        <v>-3.504</v>
      </c>
      <c r="K121" s="736">
        <f t="shared" si="477"/>
        <v>-4.4340000000000002</v>
      </c>
      <c r="L121" s="736">
        <f t="shared" si="477"/>
        <v>-0.45500000000000002</v>
      </c>
      <c r="M121" s="736">
        <f t="shared" si="477"/>
        <v>-2.4010000000000002</v>
      </c>
      <c r="N121" s="752">
        <f t="shared" si="477"/>
        <v>-2.8359999999999999</v>
      </c>
      <c r="O121" s="736">
        <f t="shared" si="477"/>
        <v>-0.60899999999999999</v>
      </c>
      <c r="P121" s="736">
        <f t="shared" si="477"/>
        <v>-1.7040000000000002</v>
      </c>
      <c r="Q121" s="736">
        <f t="shared" si="477"/>
        <v>-1.764</v>
      </c>
      <c r="R121" s="736">
        <f t="shared" si="477"/>
        <v>-4.4530000000000003</v>
      </c>
      <c r="S121" s="986">
        <f t="shared" si="477"/>
        <v>-3.3490000000000002</v>
      </c>
      <c r="T121" s="736">
        <f t="shared" si="477"/>
        <v>-2.677</v>
      </c>
      <c r="U121" s="736">
        <f t="shared" si="477"/>
        <v>-4.3709999999999996</v>
      </c>
      <c r="V121" s="736">
        <f t="shared" si="477"/>
        <v>-0.90500000000000003</v>
      </c>
      <c r="W121" s="986">
        <f t="shared" ref="W121:X121" si="478">+W65*-1</f>
        <v>-12.711</v>
      </c>
      <c r="X121" s="736">
        <f t="shared" si="478"/>
        <v>-10.831999999999999</v>
      </c>
      <c r="Y121" s="754">
        <f t="shared" ref="Y121" si="479">+Y65*-1</f>
        <v>-15.260999999999999</v>
      </c>
      <c r="Z121" s="1089">
        <v>0</v>
      </c>
      <c r="AA121" s="753">
        <v>0</v>
      </c>
      <c r="AB121" s="753">
        <v>0</v>
      </c>
      <c r="AC121" s="753">
        <v>0</v>
      </c>
      <c r="AD121" s="753">
        <v>0</v>
      </c>
      <c r="AE121" s="689"/>
      <c r="AF121" s="736"/>
      <c r="AG121" s="736">
        <f>+AG65*-1</f>
        <v>-4.4369999999999994</v>
      </c>
      <c r="AH121" s="736">
        <f>+AH65*-1</f>
        <v>-5.8329999999999966</v>
      </c>
      <c r="AI121" s="736">
        <f>+AI65*-1</f>
        <v>-10.126000000000001</v>
      </c>
      <c r="AJ121" s="736">
        <f>+AJ65*-1</f>
        <v>-8.5300000000000011</v>
      </c>
      <c r="AK121" s="754">
        <f>SUM(S121:V121)</f>
        <v>-11.301999999999998</v>
      </c>
      <c r="AL121" s="736">
        <f>+SUM(W121:Z121)</f>
        <v>-38.804000000000002</v>
      </c>
      <c r="AM121" s="736">
        <f t="shared" ref="AM121:AM124" si="480">+SUM(AA121:AD121)</f>
        <v>0</v>
      </c>
    </row>
    <row r="122" spans="1:46" s="817" customFormat="1" ht="12" x14ac:dyDescent="0.3">
      <c r="A122" s="512" t="s">
        <v>37</v>
      </c>
      <c r="B122" s="816"/>
      <c r="C122" s="689"/>
      <c r="D122" s="689"/>
      <c r="E122" s="689"/>
      <c r="F122" s="779"/>
      <c r="G122" s="736">
        <f t="shared" ref="G122:Q122" si="481">+G72</f>
        <v>4.2569999999999997</v>
      </c>
      <c r="H122" s="736">
        <f t="shared" si="481"/>
        <v>0.52</v>
      </c>
      <c r="I122" s="736">
        <f t="shared" si="481"/>
        <v>0.53</v>
      </c>
      <c r="J122" s="752">
        <f t="shared" si="481"/>
        <v>0.54500000000000082</v>
      </c>
      <c r="K122" s="736">
        <f t="shared" si="481"/>
        <v>0.56200000000000006</v>
      </c>
      <c r="L122" s="736">
        <f t="shared" si="481"/>
        <v>2.6640000000000001</v>
      </c>
      <c r="M122" s="736">
        <f t="shared" si="481"/>
        <v>1.343</v>
      </c>
      <c r="N122" s="752">
        <f t="shared" si="481"/>
        <v>4.9609999999999994</v>
      </c>
      <c r="O122" s="736">
        <f t="shared" si="481"/>
        <v>1.859</v>
      </c>
      <c r="P122" s="736">
        <f t="shared" si="481"/>
        <v>1.9430000000000001</v>
      </c>
      <c r="Q122" s="736">
        <f t="shared" si="481"/>
        <v>2.0219999999999998</v>
      </c>
      <c r="R122" s="736">
        <f t="shared" ref="R122:S122" si="482">+R72</f>
        <v>2.032</v>
      </c>
      <c r="S122" s="986">
        <f t="shared" si="482"/>
        <v>2.0579999999999998</v>
      </c>
      <c r="T122" s="736">
        <f t="shared" ref="T122:U122" si="483">+T72</f>
        <v>3.601</v>
      </c>
      <c r="U122" s="736">
        <f t="shared" si="483"/>
        <v>4.79</v>
      </c>
      <c r="V122" s="736">
        <f t="shared" ref="V122:W122" si="484">+V72</f>
        <v>4.8159999999999998</v>
      </c>
      <c r="W122" s="986">
        <f t="shared" si="484"/>
        <v>4.7510000000000003</v>
      </c>
      <c r="X122" s="736">
        <f t="shared" ref="X122:Y122" si="485">+X72</f>
        <v>5.048</v>
      </c>
      <c r="Y122" s="754">
        <f t="shared" si="485"/>
        <v>5</v>
      </c>
      <c r="Z122" s="1089">
        <v>0</v>
      </c>
      <c r="AA122" s="753">
        <v>0</v>
      </c>
      <c r="AB122" s="753">
        <v>0</v>
      </c>
      <c r="AC122" s="753">
        <v>0</v>
      </c>
      <c r="AD122" s="753">
        <v>0</v>
      </c>
      <c r="AE122" s="689"/>
      <c r="AF122" s="736"/>
      <c r="AG122" s="736">
        <f>+AG72</f>
        <v>1.216</v>
      </c>
      <c r="AH122" s="736">
        <f>+AH72</f>
        <v>5.8520000000000003</v>
      </c>
      <c r="AI122" s="736">
        <f>+AI72</f>
        <v>9.5299999999999994</v>
      </c>
      <c r="AJ122" s="736">
        <f>+SUM(O122:R122)</f>
        <v>7.8559999999999999</v>
      </c>
      <c r="AK122" s="754">
        <f>SUM(S122:V122)</f>
        <v>15.265000000000001</v>
      </c>
      <c r="AL122" s="736">
        <f>+SUM(W122:Z122)</f>
        <v>14.798999999999999</v>
      </c>
      <c r="AM122" s="736">
        <f t="shared" si="480"/>
        <v>0</v>
      </c>
    </row>
    <row r="123" spans="1:46" s="817" customFormat="1" ht="13" x14ac:dyDescent="0.4">
      <c r="A123" s="512" t="s">
        <v>50</v>
      </c>
      <c r="B123" s="816"/>
      <c r="C123" s="757"/>
      <c r="D123" s="757"/>
      <c r="E123" s="757"/>
      <c r="F123" s="758"/>
      <c r="G123" s="757">
        <f>+G124-G118-G122-G120-G121</f>
        <v>-25.311000000000011</v>
      </c>
      <c r="H123" s="757">
        <f t="shared" ref="H123:S123" si="486">+H124-H118-H122-H120-H121</f>
        <v>5.431</v>
      </c>
      <c r="I123" s="757">
        <f t="shared" si="486"/>
        <v>-15.648999999999997</v>
      </c>
      <c r="J123" s="758">
        <f t="shared" si="486"/>
        <v>5.1370000000000076</v>
      </c>
      <c r="K123" s="757">
        <f t="shared" si="486"/>
        <v>-1.428000000000015</v>
      </c>
      <c r="L123" s="757">
        <f t="shared" si="486"/>
        <v>-9.5919999999999916</v>
      </c>
      <c r="M123" s="757">
        <f t="shared" si="486"/>
        <v>-26.742000000000001</v>
      </c>
      <c r="N123" s="758">
        <f t="shared" si="486"/>
        <v>5.6040000000000081</v>
      </c>
      <c r="O123" s="757">
        <f t="shared" si="486"/>
        <v>-10.545000000000002</v>
      </c>
      <c r="P123" s="757">
        <f t="shared" si="486"/>
        <v>3.2790000000000066</v>
      </c>
      <c r="Q123" s="757">
        <f t="shared" si="486"/>
        <v>-9.1139999999999883</v>
      </c>
      <c r="R123" s="757">
        <f t="shared" si="486"/>
        <v>16.341999999999995</v>
      </c>
      <c r="S123" s="987">
        <f t="shared" si="486"/>
        <v>4.1179999999999986</v>
      </c>
      <c r="T123" s="757">
        <f t="shared" ref="T123:U123" si="487">+T124-T118-T122-T120-T121</f>
        <v>-4.5359999999999996</v>
      </c>
      <c r="U123" s="757">
        <f t="shared" si="487"/>
        <v>-11.295999999999999</v>
      </c>
      <c r="V123" s="757">
        <f t="shared" ref="V123:W123" si="488">+V124-V118-V122-V120-V121</f>
        <v>14.32100000000003</v>
      </c>
      <c r="W123" s="987">
        <f t="shared" si="488"/>
        <v>10.562000000000001</v>
      </c>
      <c r="X123" s="757">
        <f t="shared" ref="X123:Y123" si="489">+X124-X118-X122-X120-X121</f>
        <v>9.1149999999999984</v>
      </c>
      <c r="Y123" s="760">
        <f t="shared" si="489"/>
        <v>13.905999999999974</v>
      </c>
      <c r="Z123" s="1491">
        <f>+V123+'PF FA STER Simple'!I49</f>
        <v>13.07100000000003</v>
      </c>
      <c r="AA123" s="759">
        <v>0</v>
      </c>
      <c r="AB123" s="759">
        <v>0</v>
      </c>
      <c r="AC123" s="759">
        <v>0</v>
      </c>
      <c r="AD123" s="759">
        <v>0</v>
      </c>
      <c r="AE123" s="689"/>
      <c r="AF123" s="757"/>
      <c r="AG123" s="757">
        <f t="shared" ref="AG123" si="490">+AG124-AG118-AG122-AG120-AG121</f>
        <v>8.5149999999999935</v>
      </c>
      <c r="AH123" s="757">
        <f t="shared" ref="AH123" si="491">+AH124-AH118-AH122-AH120-AH121</f>
        <v>-30.391999999999989</v>
      </c>
      <c r="AI123" s="757">
        <f t="shared" ref="AI123" si="492">+AI124-AI118-AI122-AI120-AI121</f>
        <v>-32.157999999999987</v>
      </c>
      <c r="AJ123" s="757">
        <f t="shared" ref="AJ123" si="493">+AJ124-AJ118-AJ122-AJ120-AJ121</f>
        <v>-3.8000000000010914E-2</v>
      </c>
      <c r="AK123" s="760">
        <f>SUM(S123:V123)</f>
        <v>2.6070000000000295</v>
      </c>
      <c r="AL123" s="759">
        <f>+SUM(W123:Z123)</f>
        <v>46.653999999999996</v>
      </c>
      <c r="AM123" s="757">
        <f t="shared" si="480"/>
        <v>0</v>
      </c>
    </row>
    <row r="124" spans="1:46" s="817" customFormat="1" ht="12" x14ac:dyDescent="0.3">
      <c r="A124" s="474" t="s">
        <v>51</v>
      </c>
      <c r="B124" s="816"/>
      <c r="C124" s="736"/>
      <c r="D124" s="736"/>
      <c r="E124" s="736"/>
      <c r="F124" s="752"/>
      <c r="G124" s="736">
        <f t="shared" ref="G124:R124" si="494">+G133+G115</f>
        <v>-22.726000000000006</v>
      </c>
      <c r="H124" s="736">
        <f t="shared" si="494"/>
        <v>16.599000000000004</v>
      </c>
      <c r="I124" s="736">
        <f t="shared" si="494"/>
        <v>8.9690000000000083</v>
      </c>
      <c r="J124" s="752">
        <f t="shared" si="494"/>
        <v>30.375</v>
      </c>
      <c r="K124" s="736">
        <f t="shared" si="494"/>
        <v>18.274999999999991</v>
      </c>
      <c r="L124" s="736">
        <f t="shared" si="494"/>
        <v>25.575000000000006</v>
      </c>
      <c r="M124" s="736">
        <f t="shared" si="494"/>
        <v>21.014999999999993</v>
      </c>
      <c r="N124" s="752">
        <f t="shared" si="494"/>
        <v>58.362000000000009</v>
      </c>
      <c r="O124" s="736">
        <f t="shared" si="494"/>
        <v>33.792999999999992</v>
      </c>
      <c r="P124" s="736">
        <f t="shared" si="494"/>
        <v>46.759</v>
      </c>
      <c r="Q124" s="736">
        <f t="shared" si="494"/>
        <v>39.265000000000015</v>
      </c>
      <c r="R124" s="736">
        <f t="shared" si="494"/>
        <v>63.953999999999994</v>
      </c>
      <c r="S124" s="986">
        <f t="shared" ref="S124:T124" si="495">+S133+S115</f>
        <v>32.463999999999999</v>
      </c>
      <c r="T124" s="736">
        <f t="shared" si="495"/>
        <v>26.061999999999998</v>
      </c>
      <c r="U124" s="736">
        <f t="shared" ref="U124:V124" si="496">+U133+U115</f>
        <v>26.878</v>
      </c>
      <c r="V124" s="736">
        <f t="shared" si="496"/>
        <v>50.991000000000021</v>
      </c>
      <c r="W124" s="986">
        <f t="shared" ref="W124:X124" si="497">+W133+W115</f>
        <v>31.873000000000001</v>
      </c>
      <c r="X124" s="736">
        <f t="shared" si="497"/>
        <v>24.634999999999998</v>
      </c>
      <c r="Y124" s="754">
        <f t="shared" ref="Y124" si="498">+Y133+Y115</f>
        <v>35.583999999999989</v>
      </c>
      <c r="Z124" s="752">
        <f t="shared" ref="Z124" si="499">+Z118+Z122+Z123+Z120+Z121</f>
        <v>49.647264144050325</v>
      </c>
      <c r="AA124" s="736">
        <f t="shared" ref="AA124:AD124" si="500">+AA118+AA122+AA123+AA120+AA121</f>
        <v>25.481912711264471</v>
      </c>
      <c r="AB124" s="736">
        <f t="shared" si="500"/>
        <v>31.968832820033963</v>
      </c>
      <c r="AC124" s="736">
        <f t="shared" si="500"/>
        <v>38.071841127881115</v>
      </c>
      <c r="AD124" s="736">
        <f t="shared" si="500"/>
        <v>42.488178686368727</v>
      </c>
      <c r="AE124" s="689"/>
      <c r="AF124" s="736"/>
      <c r="AG124" s="736">
        <f>+AG133+AG115</f>
        <v>51.738</v>
      </c>
      <c r="AH124" s="736">
        <f>+AH133+AH115</f>
        <v>33.216999999999999</v>
      </c>
      <c r="AI124" s="736">
        <f>+AI133+AI115</f>
        <v>123.22699999999999</v>
      </c>
      <c r="AJ124" s="736">
        <f>+AJ133+AJ115</f>
        <v>183.77100000000002</v>
      </c>
      <c r="AK124" s="754">
        <f t="shared" ref="AK124" si="501">+AK118+AK122+AK123+AK120+AK121</f>
        <v>136.39500000000001</v>
      </c>
      <c r="AL124" s="736">
        <f>+SUM(W124:Z124)</f>
        <v>141.73926414405031</v>
      </c>
      <c r="AM124" s="736">
        <f t="shared" si="480"/>
        <v>138.01076534554829</v>
      </c>
    </row>
    <row r="125" spans="1:46" s="817" customFormat="1" ht="12" x14ac:dyDescent="0.3">
      <c r="A125" s="798"/>
      <c r="B125" s="816"/>
      <c r="C125" s="750"/>
      <c r="D125" s="689"/>
      <c r="E125" s="762"/>
      <c r="F125" s="763"/>
      <c r="G125" s="689"/>
      <c r="H125" s="689"/>
      <c r="I125" s="736"/>
      <c r="J125" s="779"/>
      <c r="K125" s="689"/>
      <c r="L125" s="689"/>
      <c r="M125" s="736"/>
      <c r="N125" s="779"/>
      <c r="O125" s="762"/>
      <c r="P125" s="689"/>
      <c r="Q125" s="689"/>
      <c r="R125" s="799"/>
      <c r="S125" s="994"/>
      <c r="T125" s="799"/>
      <c r="U125" s="799"/>
      <c r="V125" s="689"/>
      <c r="W125" s="991"/>
      <c r="X125" s="799"/>
      <c r="Y125" s="1456"/>
      <c r="Z125" s="779"/>
      <c r="AA125" s="689"/>
      <c r="AB125" s="689"/>
      <c r="AC125" s="689"/>
      <c r="AD125" s="689"/>
      <c r="AE125" s="689"/>
      <c r="AF125" s="689"/>
      <c r="AG125" s="689"/>
      <c r="AH125" s="689"/>
      <c r="AI125" s="689"/>
      <c r="AJ125" s="689"/>
      <c r="AK125" s="781"/>
      <c r="AL125" s="689"/>
      <c r="AM125" s="689"/>
    </row>
    <row r="126" spans="1:46" s="736" customFormat="1" ht="12" x14ac:dyDescent="0.3">
      <c r="A126" s="793" t="s">
        <v>201</v>
      </c>
      <c r="B126" s="818"/>
      <c r="F126" s="752">
        <f>+'FA - Detailed Disclosure'!F244+'FA - Detailed Disclosure'!F249</f>
        <v>540.83900000000006</v>
      </c>
      <c r="G126" s="736">
        <f>+'FA - Detailed Disclosure'!G244+'FA - Detailed Disclosure'!G249</f>
        <v>812.66600000000005</v>
      </c>
      <c r="H126" s="736">
        <f>+'FA - Detailed Disclosure'!H244+'FA - Detailed Disclosure'!H249</f>
        <v>786.86900000000003</v>
      </c>
      <c r="I126" s="736">
        <f>+'FA - Detailed Disclosure'!I244+'FA - Detailed Disclosure'!I249</f>
        <v>786.08199999999999</v>
      </c>
      <c r="J126" s="752">
        <f>+'FA - Detailed Disclosure'!J244+'FA - Detailed Disclosure'!J249</f>
        <v>785.30500000000006</v>
      </c>
      <c r="K126" s="736">
        <f>+'FA - Detailed Disclosure'!K244+'FA - Detailed Disclosure'!K249</f>
        <v>749.61300000000006</v>
      </c>
      <c r="L126" s="736">
        <f>+'FA - Detailed Disclosure'!L244+'FA - Detailed Disclosure'!L249</f>
        <v>553.96799999999996</v>
      </c>
      <c r="M126" s="736">
        <f>+'FA - Detailed Disclosure'!M244+'FA - Detailed Disclosure'!M249</f>
        <v>554.40499999999997</v>
      </c>
      <c r="N126" s="752">
        <f>+'FA - Detailed Disclosure'!N244+'FA - Detailed Disclosure'!N249</f>
        <v>554.84500000000003</v>
      </c>
      <c r="O126" s="736">
        <f>+'FA - Detailed Disclosure'!O244+'FA - Detailed Disclosure'!O249</f>
        <v>555.29</v>
      </c>
      <c r="P126" s="736">
        <f>+'FA - Detailed Disclosure'!P244+'FA - Detailed Disclosure'!P249</f>
        <v>555.73900000000003</v>
      </c>
      <c r="Q126" s="736">
        <f>+'FA - Detailed Disclosure'!Q244+'FA - Detailed Disclosure'!Q249</f>
        <v>556.19200000000001</v>
      </c>
      <c r="R126" s="736">
        <f>+'FA - Detailed Disclosure'!R244+'FA - Detailed Disclosure'!R249</f>
        <v>556.649</v>
      </c>
      <c r="S126" s="986">
        <f>+'FA - Detailed Disclosure'!S244+'FA - Detailed Disclosure'!S249</f>
        <v>557.11099999999999</v>
      </c>
      <c r="T126" s="736">
        <f>+'FA - Detailed Disclosure'!T244+'FA - Detailed Disclosure'!T249</f>
        <v>557.57600000000002</v>
      </c>
      <c r="U126" s="736">
        <f>+'FA - Detailed Disclosure'!U244+'FA - Detailed Disclosure'!U249</f>
        <v>558.01199999999994</v>
      </c>
      <c r="V126" s="736">
        <f>+'FA - Detailed Disclosure'!V244+'FA - Detailed Disclosure'!V249</f>
        <v>558.45600000000002</v>
      </c>
      <c r="W126" s="986">
        <f>+'FA - Detailed Disclosure'!W244+'FA - Detailed Disclosure'!W249</f>
        <v>558.90899999999999</v>
      </c>
      <c r="X126" s="736">
        <f>+'FA - Detailed Disclosure'!X244+'FA - Detailed Disclosure'!X249</f>
        <v>559.37199999999996</v>
      </c>
      <c r="Y126" s="754">
        <f>+'FA - Detailed Disclosure'!Y244+'FA - Detailed Disclosure'!Y249</f>
        <v>559.84400000000005</v>
      </c>
      <c r="Z126" s="752">
        <f t="shared" ref="Z126" si="502">+Y126</f>
        <v>559.84400000000005</v>
      </c>
      <c r="AA126" s="736">
        <f t="shared" ref="AA126" si="503">+Z126</f>
        <v>559.84400000000005</v>
      </c>
      <c r="AB126" s="736">
        <f t="shared" ref="AB126" si="504">+AA126</f>
        <v>559.84400000000005</v>
      </c>
      <c r="AC126" s="736">
        <f t="shared" ref="AC126" si="505">+AB126</f>
        <v>559.84400000000005</v>
      </c>
      <c r="AD126" s="736">
        <f t="shared" ref="AD126" si="506">+AC126</f>
        <v>559.84400000000005</v>
      </c>
      <c r="AG126" s="736">
        <f>+F126</f>
        <v>540.83900000000006</v>
      </c>
      <c r="AH126" s="736">
        <f>+J126</f>
        <v>785.30500000000006</v>
      </c>
      <c r="AI126" s="736">
        <f>+N126</f>
        <v>554.84500000000003</v>
      </c>
      <c r="AJ126" s="736">
        <f>+R126</f>
        <v>556.649</v>
      </c>
      <c r="AK126" s="754">
        <f>+V126</f>
        <v>558.45600000000002</v>
      </c>
      <c r="AL126" s="736">
        <f>+Z126</f>
        <v>559.84400000000005</v>
      </c>
      <c r="AM126" s="736">
        <f>+AD126</f>
        <v>559.84400000000005</v>
      </c>
      <c r="AO126" s="828"/>
      <c r="AP126" s="828"/>
      <c r="AQ126" s="828"/>
      <c r="AR126" s="828"/>
      <c r="AS126" s="828"/>
      <c r="AT126" s="828"/>
    </row>
    <row r="127" spans="1:46" s="784" customFormat="1" ht="12" x14ac:dyDescent="0.3">
      <c r="A127" s="793" t="s">
        <v>241</v>
      </c>
      <c r="B127" s="829"/>
      <c r="F127" s="785">
        <f>+'FA - Detailed Disclosure'!F225*-1+'FA - Detailed Disclosure'!F227*-1</f>
        <v>-81.945999999999998</v>
      </c>
      <c r="G127" s="784">
        <f>+'FA - Detailed Disclosure'!G225*-1+'FA - Detailed Disclosure'!G227*-1</f>
        <v>-130.38800000000001</v>
      </c>
      <c r="H127" s="784">
        <f>+'FA - Detailed Disclosure'!H225*-1+'FA - Detailed Disclosure'!H227*-1</f>
        <v>-117.60899999999999</v>
      </c>
      <c r="I127" s="784">
        <f>+'FA - Detailed Disclosure'!I225*-1+'FA - Detailed Disclosure'!I227*-1</f>
        <v>-124.37700000000001</v>
      </c>
      <c r="J127" s="785">
        <f>+'FA - Detailed Disclosure'!J225*-1+'FA - Detailed Disclosure'!J227*-1</f>
        <v>-154.08500000000001</v>
      </c>
      <c r="K127" s="784">
        <f>+'FA - Detailed Disclosure'!K225*-1+'FA - Detailed Disclosure'!K227*-1</f>
        <v>-114.172</v>
      </c>
      <c r="L127" s="784">
        <f>+'FA - Detailed Disclosure'!L225*-1+'FA - Detailed Disclosure'!L227*-1</f>
        <v>-258.47399999999999</v>
      </c>
      <c r="M127" s="784">
        <f>+'FA - Detailed Disclosure'!M225*-1+'FA - Detailed Disclosure'!M227*-1</f>
        <v>-276.49600000000004</v>
      </c>
      <c r="N127" s="785">
        <f>+'FA - Detailed Disclosure'!N225*-1+'FA - Detailed Disclosure'!N227*-1</f>
        <v>-293.58299999999997</v>
      </c>
      <c r="O127" s="784">
        <f>+'FA - Detailed Disclosure'!O225*-1+'FA - Detailed Disclosure'!O227*-1</f>
        <v>-308.59800000000001</v>
      </c>
      <c r="P127" s="784">
        <f>+'FA - Detailed Disclosure'!P225*-1+'FA - Detailed Disclosure'!P227*-1</f>
        <v>-353.15499999999997</v>
      </c>
      <c r="Q127" s="784">
        <f>+'FA - Detailed Disclosure'!Q225*-1+'FA - Detailed Disclosure'!Q227*-1</f>
        <v>-390.262</v>
      </c>
      <c r="R127" s="784">
        <f>+'FA - Detailed Disclosure'!R225*-1+'FA - Detailed Disclosure'!R227*-1</f>
        <v>-393.61099999999999</v>
      </c>
      <c r="S127" s="1003">
        <f>+'FA - Detailed Disclosure'!S225*-1+'FA - Detailed Disclosure'!S227*-1</f>
        <v>-402.11</v>
      </c>
      <c r="T127" s="784">
        <f>+'FA - Detailed Disclosure'!T225*-1+'FA - Detailed Disclosure'!T227*-1</f>
        <v>-401.20300000000003</v>
      </c>
      <c r="U127" s="784">
        <f>+'FA - Detailed Disclosure'!U225*-1+'FA - Detailed Disclosure'!U227*-1</f>
        <v>-167.041</v>
      </c>
      <c r="V127" s="784">
        <f>+'FA - Detailed Disclosure'!V225*-1+'FA - Detailed Disclosure'!V227*-1</f>
        <v>-213.774</v>
      </c>
      <c r="W127" s="1003">
        <f>+'FA - Detailed Disclosure'!W225*-1+'FA - Detailed Disclosure'!W227*-1</f>
        <v>-245.43600000000001</v>
      </c>
      <c r="X127" s="784">
        <f>+'FA - Detailed Disclosure'!X225*-1+'FA - Detailed Disclosure'!X227*-1</f>
        <v>-269.56299999999999</v>
      </c>
      <c r="Y127" s="830">
        <f>+'FA - Detailed Disclosure'!Y225*-1+'FA - Detailed Disclosure'!Y227*-1</f>
        <v>-307.392</v>
      </c>
      <c r="Z127" s="785">
        <f t="shared" ref="Z127" si="507">+Y127-Z124</f>
        <v>-357.03926414405032</v>
      </c>
      <c r="AA127" s="784">
        <f t="shared" ref="AA127" si="508">+Z127-AA124</f>
        <v>-382.52117685531482</v>
      </c>
      <c r="AB127" s="784">
        <f t="shared" ref="AB127" si="509">+AA127-AB124</f>
        <v>-414.4900096753488</v>
      </c>
      <c r="AC127" s="784">
        <f t="shared" ref="AC127" si="510">+AB127-AC124</f>
        <v>-452.5618508032299</v>
      </c>
      <c r="AD127" s="784">
        <f t="shared" ref="AD127" si="511">+AC127-AD124</f>
        <v>-495.05002948959861</v>
      </c>
      <c r="AG127" s="784">
        <f>+F127</f>
        <v>-81.945999999999998</v>
      </c>
      <c r="AH127" s="784">
        <f>+J127</f>
        <v>-154.08500000000001</v>
      </c>
      <c r="AI127" s="784">
        <f>+N127</f>
        <v>-293.58299999999997</v>
      </c>
      <c r="AJ127" s="784">
        <f>+R127</f>
        <v>-393.61099999999999</v>
      </c>
      <c r="AK127" s="830">
        <f>+V127</f>
        <v>-213.774</v>
      </c>
      <c r="AL127" s="784">
        <f>+Z127</f>
        <v>-357.03926414405032</v>
      </c>
      <c r="AM127" s="784">
        <f t="shared" ref="AM127:AM128" si="512">+AD127</f>
        <v>-495.05002948959861</v>
      </c>
    </row>
    <row r="128" spans="1:46" s="736" customFormat="1" ht="12" x14ac:dyDescent="0.3">
      <c r="A128" s="821" t="s">
        <v>52</v>
      </c>
      <c r="B128" s="818"/>
      <c r="F128" s="752">
        <f t="shared" ref="F128:O128" si="513">+SUM(F126:F127)</f>
        <v>458.89300000000003</v>
      </c>
      <c r="G128" s="736">
        <f t="shared" si="513"/>
        <v>682.27800000000002</v>
      </c>
      <c r="H128" s="736">
        <f t="shared" si="513"/>
        <v>669.26</v>
      </c>
      <c r="I128" s="736">
        <f t="shared" si="513"/>
        <v>661.70499999999993</v>
      </c>
      <c r="J128" s="752">
        <f t="shared" si="513"/>
        <v>631.22</v>
      </c>
      <c r="K128" s="736">
        <f t="shared" si="513"/>
        <v>635.44100000000003</v>
      </c>
      <c r="L128" s="736">
        <f t="shared" si="513"/>
        <v>295.49399999999997</v>
      </c>
      <c r="M128" s="736">
        <f t="shared" si="513"/>
        <v>277.90899999999993</v>
      </c>
      <c r="N128" s="752">
        <f t="shared" si="513"/>
        <v>261.26200000000006</v>
      </c>
      <c r="O128" s="736">
        <f t="shared" si="513"/>
        <v>246.69199999999995</v>
      </c>
      <c r="P128" s="736">
        <f>+SUM(P126:P127)</f>
        <v>202.58400000000006</v>
      </c>
      <c r="Q128" s="736">
        <f t="shared" ref="Q128:R128" si="514">+SUM(Q126:Q127)</f>
        <v>165.93</v>
      </c>
      <c r="R128" s="736">
        <f t="shared" si="514"/>
        <v>163.03800000000001</v>
      </c>
      <c r="S128" s="986">
        <f t="shared" ref="S128:T128" si="515">+SUM(S126:S127)</f>
        <v>155.00099999999998</v>
      </c>
      <c r="T128" s="736">
        <f t="shared" si="515"/>
        <v>156.37299999999999</v>
      </c>
      <c r="U128" s="736">
        <f t="shared" ref="U128:V128" si="516">+SUM(U126:U127)</f>
        <v>390.97099999999995</v>
      </c>
      <c r="V128" s="736">
        <f t="shared" si="516"/>
        <v>344.68200000000002</v>
      </c>
      <c r="W128" s="986">
        <f t="shared" ref="W128:X128" si="517">+SUM(W126:W127)</f>
        <v>313.47299999999996</v>
      </c>
      <c r="X128" s="736">
        <f t="shared" si="517"/>
        <v>289.80899999999997</v>
      </c>
      <c r="Y128" s="754">
        <f t="shared" ref="Y128" si="518">+SUM(Y126:Y127)</f>
        <v>252.45200000000006</v>
      </c>
      <c r="Z128" s="752">
        <f t="shared" ref="Z128" si="519">+Y128-Z124</f>
        <v>202.80473585594973</v>
      </c>
      <c r="AA128" s="736">
        <f t="shared" ref="AA128" si="520">+Z128-AA124</f>
        <v>177.32282314468526</v>
      </c>
      <c r="AB128" s="736">
        <f t="shared" ref="AB128" si="521">+AA128-AB124</f>
        <v>145.35399032465131</v>
      </c>
      <c r="AC128" s="736">
        <f t="shared" ref="AC128" si="522">+AB128-AC124</f>
        <v>107.28214919677019</v>
      </c>
      <c r="AD128" s="736">
        <f t="shared" ref="AD128" si="523">+AC128-AD124</f>
        <v>64.793970510401465</v>
      </c>
      <c r="AG128" s="736">
        <f t="shared" ref="AG128:AI128" si="524">+SUM(AG126:AG127)</f>
        <v>458.89300000000003</v>
      </c>
      <c r="AH128" s="736">
        <f t="shared" si="524"/>
        <v>631.22</v>
      </c>
      <c r="AI128" s="736">
        <f t="shared" si="524"/>
        <v>261.26200000000006</v>
      </c>
      <c r="AJ128" s="736">
        <f>+R128</f>
        <v>163.03800000000001</v>
      </c>
      <c r="AK128" s="754">
        <f>+V128</f>
        <v>344.68200000000002</v>
      </c>
      <c r="AL128" s="736">
        <f>+Z128</f>
        <v>202.80473585594973</v>
      </c>
      <c r="AM128" s="736">
        <f t="shared" si="512"/>
        <v>64.793970510401465</v>
      </c>
    </row>
    <row r="129" spans="1:44" s="817" customFormat="1" ht="12" x14ac:dyDescent="0.3">
      <c r="A129" s="798" t="s">
        <v>168</v>
      </c>
      <c r="B129" s="816"/>
      <c r="C129" s="831"/>
      <c r="D129" s="831"/>
      <c r="E129" s="831"/>
      <c r="F129" s="832">
        <f>IF(OR(F128&lt;0,AG91&lt;0),"NM",F128/AG91)</f>
        <v>3.7443230496830049</v>
      </c>
      <c r="G129" s="831">
        <f t="shared" ref="G129:Q129" si="525">+IF(OR(G128&lt;0,SUM(D91:G91)&lt;0),"NM",G128/SUM(D91:G91))</f>
        <v>5.6492593543258849</v>
      </c>
      <c r="H129" s="831">
        <f t="shared" si="525"/>
        <v>5.6301842348784392</v>
      </c>
      <c r="I129" s="831">
        <f t="shared" si="525"/>
        <v>5.1530644030838708</v>
      </c>
      <c r="J129" s="832">
        <f t="shared" si="525"/>
        <v>4.4784527407659676</v>
      </c>
      <c r="K129" s="831">
        <f t="shared" si="525"/>
        <v>4.1257044539670176</v>
      </c>
      <c r="L129" s="831">
        <f t="shared" si="525"/>
        <v>1.6737791926046344</v>
      </c>
      <c r="M129" s="831">
        <f t="shared" si="525"/>
        <v>1.415108943056312</v>
      </c>
      <c r="N129" s="832">
        <f t="shared" si="525"/>
        <v>1.2052831651012164</v>
      </c>
      <c r="O129" s="831">
        <f t="shared" si="525"/>
        <v>1.0611458337814061</v>
      </c>
      <c r="P129" s="831">
        <f t="shared" si="525"/>
        <v>0.8522317109082499</v>
      </c>
      <c r="Q129" s="831">
        <f t="shared" si="525"/>
        <v>0.69931514065957234</v>
      </c>
      <c r="R129" s="833">
        <f t="shared" ref="R129" si="526">+IF(OR(R128&lt;0,SUM(O91:R91)&lt;0),"NM",R128/SUM(O91:R91))</f>
        <v>0.67635467571581476</v>
      </c>
      <c r="S129" s="1004">
        <f t="shared" ref="S129" si="527">+IF(OR(S128&lt;0,SUM(P91:S91)&lt;0),"NM",S128/SUM(P91:S91))</f>
        <v>0.65729915399783723</v>
      </c>
      <c r="T129" s="833">
        <f t="shared" ref="T129" si="528">+IF(OR(T128&lt;0,SUM(Q91:T91)&lt;0),"NM",T128/SUM(Q91:T91))</f>
        <v>0.68197597843816238</v>
      </c>
      <c r="U129" s="833">
        <f t="shared" ref="U129" si="529">+IF(OR(U128&lt;0,SUM(R91:U91)&lt;0),"NM",U128/SUM(R91:U91))</f>
        <v>1.7213609886892469</v>
      </c>
      <c r="V129" s="833">
        <f t="shared" ref="V129" si="530">+IF(OR(V128&lt;0,SUM(S91:V91)&lt;0),"NM",V128/SUM(S91:V91))</f>
        <v>1.550589092675817</v>
      </c>
      <c r="W129" s="1004">
        <f t="shared" ref="W129" si="531">+IF(OR(W128&lt;0,SUM(T91:W91)&lt;0),"NM",W128/SUM(T91:W91))</f>
        <v>1.4406193128550155</v>
      </c>
      <c r="X129" s="833">
        <f t="shared" ref="X129:Y129" si="532">+IF(OR(X128&lt;0,SUM(U91:X91)&lt;0),"NM",X128/SUM(U91:X91))</f>
        <v>1.3420873487420057</v>
      </c>
      <c r="Y129" s="1460">
        <f t="shared" si="532"/>
        <v>1.1742827373199869</v>
      </c>
      <c r="Z129" s="832">
        <f t="shared" ref="Z129" si="533">+IF(OR(Z128&lt;0,SUM(W91:Z91)&lt;0),"NM",Z128/SUM(W91:Z91))</f>
        <v>0.93510407637377779</v>
      </c>
      <c r="AA129" s="831">
        <f t="shared" ref="AA129" si="534">+IF(OR(AA128&lt;0,SUM(X91:AA91)&lt;0),"NM",AA128/SUM(X91:AA91))</f>
        <v>0.79844247576138905</v>
      </c>
      <c r="AB129" s="831">
        <f t="shared" ref="AB129" si="535">+IF(OR(AB128&lt;0,SUM(Y91:AB91)&lt;0),"NM",AB128/SUM(Y91:AB91))</f>
        <v>0.63873528500773202</v>
      </c>
      <c r="AC129" s="831">
        <f t="shared" ref="AC129" si="536">+IF(OR(AC128&lt;0,SUM(Z91:AC91)&lt;0),"NM",AC128/SUM(Z91:AC91))</f>
        <v>0.45976151435714024</v>
      </c>
      <c r="AD129" s="831">
        <f t="shared" ref="AD129" si="537">+IF(OR(AD128&lt;0,SUM(AA91:AD91)&lt;0),"NM",AD128/SUM(AA91:AD91))</f>
        <v>0.27123811754676036</v>
      </c>
      <c r="AE129" s="689"/>
      <c r="AF129" s="831"/>
      <c r="AG129" s="831">
        <f t="shared" ref="AG129:AM129" si="538">IF(OR(AG128&lt;0,AG91&lt;0),"NM",AG128/AG91)</f>
        <v>3.7443230496830049</v>
      </c>
      <c r="AH129" s="831">
        <f t="shared" si="538"/>
        <v>4.4784527407659676</v>
      </c>
      <c r="AI129" s="831">
        <f t="shared" si="538"/>
        <v>1.2052831651012164</v>
      </c>
      <c r="AJ129" s="831">
        <f t="shared" si="538"/>
        <v>0.67635467571581465</v>
      </c>
      <c r="AK129" s="834">
        <f t="shared" si="538"/>
        <v>1.550589092675817</v>
      </c>
      <c r="AL129" s="831">
        <f t="shared" si="538"/>
        <v>0.93510407637377801</v>
      </c>
      <c r="AM129" s="831">
        <f t="shared" si="538"/>
        <v>0.27123811754676036</v>
      </c>
    </row>
    <row r="130" spans="1:44" s="817" customFormat="1" ht="12" x14ac:dyDescent="0.3">
      <c r="A130" s="505"/>
      <c r="B130" s="816"/>
      <c r="C130" s="689"/>
      <c r="D130" s="689"/>
      <c r="E130" s="689"/>
      <c r="F130" s="779"/>
      <c r="G130" s="689"/>
      <c r="H130" s="689"/>
      <c r="I130" s="736"/>
      <c r="J130" s="779"/>
      <c r="K130" s="689"/>
      <c r="L130" s="689"/>
      <c r="M130" s="736"/>
      <c r="N130" s="779"/>
      <c r="O130" s="689"/>
      <c r="P130" s="689"/>
      <c r="Q130" s="689"/>
      <c r="R130" s="799"/>
      <c r="S130" s="994"/>
      <c r="T130" s="799"/>
      <c r="U130" s="799"/>
      <c r="V130" s="799"/>
      <c r="W130" s="994"/>
      <c r="X130" s="799"/>
      <c r="Y130" s="1456"/>
      <c r="Z130" s="779"/>
      <c r="AA130" s="689"/>
      <c r="AB130" s="689"/>
      <c r="AC130" s="689"/>
      <c r="AD130" s="689"/>
      <c r="AE130" s="689"/>
      <c r="AF130" s="689"/>
      <c r="AG130" s="689"/>
      <c r="AH130" s="689"/>
      <c r="AI130" s="689"/>
      <c r="AJ130" s="689"/>
      <c r="AK130" s="781"/>
      <c r="AL130" s="689"/>
      <c r="AM130" s="689"/>
    </row>
    <row r="131" spans="1:44" s="817" customFormat="1" ht="12" x14ac:dyDescent="0.3">
      <c r="A131" s="748" t="s">
        <v>149</v>
      </c>
      <c r="B131" s="816"/>
      <c r="C131" s="689"/>
      <c r="D131" s="750"/>
      <c r="E131" s="750"/>
      <c r="F131" s="751"/>
      <c r="G131" s="689"/>
      <c r="H131" s="689"/>
      <c r="I131" s="736"/>
      <c r="J131" s="779"/>
      <c r="K131" s="689"/>
      <c r="L131" s="689"/>
      <c r="M131" s="736"/>
      <c r="N131" s="779"/>
      <c r="O131" s="689"/>
      <c r="P131" s="750"/>
      <c r="Q131" s="689"/>
      <c r="R131" s="799"/>
      <c r="S131" s="994"/>
      <c r="T131" s="799"/>
      <c r="U131" s="799"/>
      <c r="V131" s="799"/>
      <c r="W131" s="994"/>
      <c r="X131" s="799"/>
      <c r="Y131" s="1456"/>
      <c r="Z131" s="779"/>
      <c r="AA131" s="689"/>
      <c r="AB131" s="689"/>
      <c r="AC131" s="689"/>
      <c r="AD131" s="689"/>
      <c r="AE131" s="689"/>
      <c r="AF131" s="750"/>
      <c r="AG131" s="750"/>
      <c r="AH131" s="750"/>
      <c r="AI131" s="744"/>
      <c r="AJ131" s="689"/>
      <c r="AK131" s="781"/>
      <c r="AL131" s="689"/>
      <c r="AM131" s="689"/>
    </row>
    <row r="132" spans="1:44" s="817" customFormat="1" ht="12" hidden="1" outlineLevel="1" x14ac:dyDescent="0.3">
      <c r="A132" s="512" t="s">
        <v>242</v>
      </c>
      <c r="B132" s="816"/>
      <c r="C132" s="689"/>
      <c r="D132" s="750"/>
      <c r="E132" s="750"/>
      <c r="F132" s="751"/>
      <c r="G132" s="750">
        <f>-19.216+1.698</f>
        <v>-17.518000000000001</v>
      </c>
      <c r="H132" s="750">
        <f>23.409-19.216</f>
        <v>4.1929999999999978</v>
      </c>
      <c r="I132" s="750">
        <f>37.626-19.216</f>
        <v>18.409999999999997</v>
      </c>
      <c r="J132" s="752">
        <f>+AH132</f>
        <v>53.634999999999998</v>
      </c>
      <c r="K132" s="750">
        <v>23.713000000000001</v>
      </c>
      <c r="L132" s="750">
        <v>56.097999999999999</v>
      </c>
      <c r="M132" s="750">
        <v>83.86</v>
      </c>
      <c r="N132" s="752">
        <f>+AI132</f>
        <v>148.67699999999999</v>
      </c>
      <c r="O132" s="750">
        <v>41.582999999999998</v>
      </c>
      <c r="P132" s="750">
        <v>96.412000000000006</v>
      </c>
      <c r="Q132" s="689"/>
      <c r="R132" s="799"/>
      <c r="S132" s="994"/>
      <c r="T132" s="799"/>
      <c r="U132" s="799"/>
      <c r="V132" s="799"/>
      <c r="W132" s="994"/>
      <c r="X132" s="799"/>
      <c r="Y132" s="1456"/>
      <c r="Z132" s="779"/>
      <c r="AA132" s="689"/>
      <c r="AB132" s="689"/>
      <c r="AC132" s="689"/>
      <c r="AD132" s="689"/>
      <c r="AE132" s="689"/>
      <c r="AF132" s="750"/>
      <c r="AG132" s="750">
        <v>71.582999999999998</v>
      </c>
      <c r="AH132" s="750">
        <f>72.851-19.216</f>
        <v>53.634999999999998</v>
      </c>
      <c r="AI132" s="750">
        <v>148.67699999999999</v>
      </c>
      <c r="AJ132" s="689"/>
      <c r="AK132" s="781"/>
      <c r="AL132" s="689"/>
      <c r="AM132" s="689"/>
    </row>
    <row r="133" spans="1:44" s="820" customFormat="1" ht="12" collapsed="1" x14ac:dyDescent="0.3">
      <c r="A133" s="793" t="s">
        <v>150</v>
      </c>
      <c r="B133" s="818"/>
      <c r="C133" s="736"/>
      <c r="D133" s="736"/>
      <c r="E133" s="736"/>
      <c r="F133" s="752"/>
      <c r="G133" s="736">
        <f>+'FA - Detailed Disclosure'!G319</f>
        <v>-17.518000000000008</v>
      </c>
      <c r="H133" s="736">
        <f>+'FA - Detailed Disclosure'!H319</f>
        <v>21.711000000000006</v>
      </c>
      <c r="I133" s="736">
        <f>+'FA - Detailed Disclosure'!I319</f>
        <v>14.217000000000008</v>
      </c>
      <c r="J133" s="752">
        <f>+'FA - Detailed Disclosure'!J319</f>
        <v>35.225000000000001</v>
      </c>
      <c r="K133" s="736">
        <f>+'FA - Detailed Disclosure'!K319</f>
        <v>23.71299999999999</v>
      </c>
      <c r="L133" s="736">
        <f>+'FA - Detailed Disclosure'!L319</f>
        <v>32.385000000000005</v>
      </c>
      <c r="M133" s="736">
        <f>+'FA - Detailed Disclosure'!M319</f>
        <v>27.761999999999993</v>
      </c>
      <c r="N133" s="752">
        <f>+'FA - Detailed Disclosure'!N319</f>
        <v>64.817000000000007</v>
      </c>
      <c r="O133" s="736">
        <f>+'FA - Detailed Disclosure'!O319</f>
        <v>41.582999999999991</v>
      </c>
      <c r="P133" s="736">
        <f>+'FA - Detailed Disclosure'!P319</f>
        <v>54.829000000000001</v>
      </c>
      <c r="Q133" s="736">
        <f>+'FA - Detailed Disclosure'!Q319</f>
        <v>46.430000000000014</v>
      </c>
      <c r="R133" s="736">
        <f>+'FA - Detailed Disclosure'!R319</f>
        <v>70.825999999999993</v>
      </c>
      <c r="S133" s="986">
        <f>+'FA - Detailed Disclosure'!S319</f>
        <v>38.598999999999997</v>
      </c>
      <c r="T133" s="736">
        <f>+'FA - Detailed Disclosure'!T319</f>
        <v>33.122999999999998</v>
      </c>
      <c r="U133" s="736">
        <f>+'FA - Detailed Disclosure'!U319</f>
        <v>34.357999999999997</v>
      </c>
      <c r="V133" s="736">
        <f>+'FA - Detailed Disclosure'!V319</f>
        <v>58.118000000000023</v>
      </c>
      <c r="W133" s="986">
        <f>+'FA - Detailed Disclosure'!W319</f>
        <v>38.329000000000001</v>
      </c>
      <c r="X133" s="736">
        <f>+'FA - Detailed Disclosure'!X319</f>
        <v>32.042999999999999</v>
      </c>
      <c r="Y133" s="754">
        <f>+'FA - Detailed Disclosure'!Y319</f>
        <v>43.489999999999988</v>
      </c>
      <c r="Z133" s="752">
        <f t="shared" ref="Z133" si="539">+Z124-Z115</f>
        <v>57.976489713489165</v>
      </c>
      <c r="AA133" s="736">
        <f t="shared" ref="AA133:AD133" si="540">+AA124-AA115</f>
        <v>31.723709758304711</v>
      </c>
      <c r="AB133" s="736">
        <f t="shared" si="540"/>
        <v>38.82855199330875</v>
      </c>
      <c r="AC133" s="736">
        <f t="shared" si="540"/>
        <v>45.560196869611985</v>
      </c>
      <c r="AD133" s="736">
        <f t="shared" si="540"/>
        <v>50.374517850435815</v>
      </c>
      <c r="AE133" s="799"/>
      <c r="AF133" s="736"/>
      <c r="AG133" s="736">
        <f>+'FA - Detailed Disclosure'!AI319</f>
        <v>71.582999999999998</v>
      </c>
      <c r="AH133" s="736">
        <f>SUM(G133:J133)</f>
        <v>53.635000000000005</v>
      </c>
      <c r="AI133" s="736">
        <f>+SUM(K133:N133)</f>
        <v>148.67699999999999</v>
      </c>
      <c r="AJ133" s="736">
        <f>+SUM(O133:R133)</f>
        <v>213.66800000000001</v>
      </c>
      <c r="AK133" s="754">
        <f t="shared" ref="AK133:AK138" si="541">+SUM(S133:V133)</f>
        <v>164.19800000000001</v>
      </c>
      <c r="AL133" s="736">
        <f t="shared" ref="AL133:AL138" si="542">+SUM(W133:Z133)</f>
        <v>171.83848971348917</v>
      </c>
      <c r="AM133" s="736">
        <f t="shared" ref="AM133:AM138" si="543">+SUM(AA133:AD133)</f>
        <v>166.48697647166125</v>
      </c>
    </row>
    <row r="134" spans="1:44" s="820" customFormat="1" ht="12" x14ac:dyDescent="0.3">
      <c r="A134" s="793" t="s">
        <v>243</v>
      </c>
      <c r="B134" s="818"/>
      <c r="C134" s="736"/>
      <c r="D134" s="736"/>
      <c r="E134" s="736"/>
      <c r="F134" s="752"/>
      <c r="G134" s="736">
        <f>+'FA - Detailed Disclosure'!G358</f>
        <v>1.2469999999999999</v>
      </c>
      <c r="H134" s="736">
        <f>+'FA - Detailed Disclosure'!H358</f>
        <v>0.94700000000000006</v>
      </c>
      <c r="I134" s="736">
        <f>+'FA - Detailed Disclosure'!I358</f>
        <v>1.0790000000000002</v>
      </c>
      <c r="J134" s="752">
        <f>+'FA - Detailed Disclosure'!J358</f>
        <v>1.7919999999999994</v>
      </c>
      <c r="K134" s="736">
        <f>+'FA - Detailed Disclosure'!K358</f>
        <v>0.29799999999999999</v>
      </c>
      <c r="L134" s="736">
        <f>+'FA - Detailed Disclosure'!L358</f>
        <v>3.4380000000000002</v>
      </c>
      <c r="M134" s="736">
        <f>+'FA - Detailed Disclosure'!M358</f>
        <v>2.3330000000000002</v>
      </c>
      <c r="N134" s="752">
        <f>+'FA - Detailed Disclosure'!N358</f>
        <v>4.2919999999999998</v>
      </c>
      <c r="O134" s="736">
        <f>+'FA - Detailed Disclosure'!O358</f>
        <v>1.7130000000000001</v>
      </c>
      <c r="P134" s="736">
        <f>+'FA - Detailed Disclosure'!P358</f>
        <v>4.468</v>
      </c>
      <c r="Q134" s="736">
        <f>+'FA - Detailed Disclosure'!Q358</f>
        <v>5.14</v>
      </c>
      <c r="R134" s="736">
        <f>+'FA - Detailed Disclosure'!R358</f>
        <v>6.1540000000000017</v>
      </c>
      <c r="S134" s="986">
        <f>+'FA - Detailed Disclosure'!S358</f>
        <v>2.0489999999999999</v>
      </c>
      <c r="T134" s="736">
        <f>+'FA - Detailed Disclosure'!T358</f>
        <v>11.748000000000001</v>
      </c>
      <c r="U134" s="736">
        <f>+'FA - Detailed Disclosure'!U358</f>
        <v>7.2089999999999996</v>
      </c>
      <c r="V134" s="736">
        <f>+'FA - Detailed Disclosure'!V358</f>
        <v>10.617000000000001</v>
      </c>
      <c r="W134" s="986">
        <f>+'FA - Detailed Disclosure'!W358</f>
        <v>2.5099999999999998</v>
      </c>
      <c r="X134" s="736">
        <f>+'FA - Detailed Disclosure'!X358</f>
        <v>14.648000000000001</v>
      </c>
      <c r="Y134" s="754">
        <f>+'FA - Detailed Disclosure'!Y358</f>
        <v>2.009999999999998</v>
      </c>
      <c r="Z134" s="1089">
        <v>0</v>
      </c>
      <c r="AA134" s="753">
        <v>0</v>
      </c>
      <c r="AB134" s="753">
        <v>0</v>
      </c>
      <c r="AC134" s="753">
        <v>0</v>
      </c>
      <c r="AD134" s="753">
        <v>0</v>
      </c>
      <c r="AE134" s="799"/>
      <c r="AF134" s="736"/>
      <c r="AG134" s="736">
        <f>+'FA - Detailed Disclosure'!AI358</f>
        <v>5.2489999999999997</v>
      </c>
      <c r="AH134" s="736">
        <f>SUM(G134:J134)</f>
        <v>5.0649999999999995</v>
      </c>
      <c r="AI134" s="736">
        <f>+SUM(K134:N134)</f>
        <v>10.361000000000001</v>
      </c>
      <c r="AJ134" s="736">
        <f>+SUM(O134:R134)</f>
        <v>17.475000000000001</v>
      </c>
      <c r="AK134" s="754">
        <f t="shared" si="541"/>
        <v>31.623000000000001</v>
      </c>
      <c r="AL134" s="736">
        <f t="shared" si="542"/>
        <v>19.167999999999999</v>
      </c>
      <c r="AM134" s="736">
        <f t="shared" si="543"/>
        <v>0</v>
      </c>
    </row>
    <row r="135" spans="1:44" s="820" customFormat="1" ht="12" x14ac:dyDescent="0.3">
      <c r="A135" s="793" t="s">
        <v>244</v>
      </c>
      <c r="B135" s="818"/>
      <c r="C135" s="736"/>
      <c r="D135" s="736"/>
      <c r="E135" s="736"/>
      <c r="F135" s="752"/>
      <c r="G135" s="736">
        <f>+'FA - Detailed Disclosure'!G331+'FA - Detailed Disclosure'!G346+'FA - Detailed Disclosure'!G347+'FA - Detailed Disclosure'!G348</f>
        <v>0</v>
      </c>
      <c r="H135" s="736">
        <f>+'FA - Detailed Disclosure'!H331+'FA - Detailed Disclosure'!H346+'FA - Detailed Disclosure'!H347+'FA - Detailed Disclosure'!H348</f>
        <v>0</v>
      </c>
      <c r="I135" s="736">
        <f>+'FA - Detailed Disclosure'!I331+'FA - Detailed Disclosure'!I346+'FA - Detailed Disclosure'!I347+'FA - Detailed Disclosure'!I348</f>
        <v>0</v>
      </c>
      <c r="J135" s="752">
        <f>+'FA - Detailed Disclosure'!J331+'FA - Detailed Disclosure'!J346+'FA - Detailed Disclosure'!J347+'FA - Detailed Disclosure'!J348</f>
        <v>0</v>
      </c>
      <c r="K135" s="736">
        <f>+'FA - Detailed Disclosure'!K331+'FA - Detailed Disclosure'!K346+'FA - Detailed Disclosure'!K347+'FA - Detailed Disclosure'!K348</f>
        <v>0</v>
      </c>
      <c r="L135" s="736">
        <f>+'FA - Detailed Disclosure'!L331+'FA - Detailed Disclosure'!L346+'FA - Detailed Disclosure'!L347+'FA - Detailed Disclosure'!L348</f>
        <v>320.55900000000003</v>
      </c>
      <c r="M135" s="736">
        <f>+'FA - Detailed Disclosure'!M331+'FA - Detailed Disclosure'!M346+'FA - Detailed Disclosure'!M347+'FA - Detailed Disclosure'!M348</f>
        <v>-0.14500000000000002</v>
      </c>
      <c r="N135" s="752">
        <f>+'FA - Detailed Disclosure'!N331+'FA - Detailed Disclosure'!N346+'FA - Detailed Disclosure'!N347+'FA - Detailed Disclosure'!N348</f>
        <v>0.2</v>
      </c>
      <c r="O135" s="736">
        <f>+'FA - Detailed Disclosure'!O331+'FA - Detailed Disclosure'!O346+'FA - Detailed Disclosure'!O347+'FA - Detailed Disclosure'!O348</f>
        <v>0.54700000000000004</v>
      </c>
      <c r="P135" s="736">
        <f>+'FA - Detailed Disclosure'!P331+'FA - Detailed Disclosure'!P346+'FA - Detailed Disclosure'!P347+'FA - Detailed Disclosure'!P348</f>
        <v>0.625</v>
      </c>
      <c r="Q135" s="736">
        <f>+'FA - Detailed Disclosure'!Q331+'FA - Detailed Disclosure'!Q346+'FA - Detailed Disclosure'!Q347+'FA - Detailed Disclosure'!Q348</f>
        <v>1.6259999999999999</v>
      </c>
      <c r="R135" s="736">
        <f>+'FA - Detailed Disclosure'!R331+'FA - Detailed Disclosure'!R346+'FA - Detailed Disclosure'!R347+'FA - Detailed Disclosure'!R348</f>
        <v>0.34599999999999992</v>
      </c>
      <c r="S135" s="986">
        <f>+'FA - Detailed Disclosure'!S331+'FA - Detailed Disclosure'!S346+'FA - Detailed Disclosure'!S347+'FA - Detailed Disclosure'!S348</f>
        <v>1.3740000000000001</v>
      </c>
      <c r="T135" s="736">
        <f>+'FA - Detailed Disclosure'!T331+'FA - Detailed Disclosure'!T346+'FA - Detailed Disclosure'!T347+'FA - Detailed Disclosure'!T348</f>
        <v>0.51900000000000013</v>
      </c>
      <c r="U135" s="736">
        <f>+'FA - Detailed Disclosure'!U331+'FA - Detailed Disclosure'!U346+'FA - Detailed Disclosure'!U347+'FA - Detailed Disclosure'!U348</f>
        <v>1.9420000000000004</v>
      </c>
      <c r="V135" s="736">
        <f>+'FA - Detailed Disclosure'!V331+'FA - Detailed Disclosure'!V346+'FA - Detailed Disclosure'!V347+'FA - Detailed Disclosure'!V348</f>
        <v>0.38</v>
      </c>
      <c r="W135" s="986">
        <f>+'FA - Detailed Disclosure'!W331+'FA - Detailed Disclosure'!W346+'FA - Detailed Disclosure'!W347+'FA - Detailed Disclosure'!W348</f>
        <v>0.93499999999999994</v>
      </c>
      <c r="X135" s="736">
        <f>+'FA - Detailed Disclosure'!X331+'FA - Detailed Disclosure'!X346+'FA - Detailed Disclosure'!X347+'FA - Detailed Disclosure'!X348</f>
        <v>-4.8999999999999932E-2</v>
      </c>
      <c r="Y135" s="754">
        <f>+'FA - Detailed Disclosure'!Y331+'FA - Detailed Disclosure'!Y346+'FA - Detailed Disclosure'!Y347+'FA - Detailed Disclosure'!Y348</f>
        <v>1.1859999999999999</v>
      </c>
      <c r="Z135" s="1089">
        <v>0</v>
      </c>
      <c r="AA135" s="753">
        <v>0</v>
      </c>
      <c r="AB135" s="753">
        <v>0</v>
      </c>
      <c r="AC135" s="753">
        <v>0</v>
      </c>
      <c r="AD135" s="753">
        <v>0</v>
      </c>
      <c r="AE135" s="799"/>
      <c r="AF135" s="736"/>
      <c r="AG135" s="736">
        <f>+'FA - Detailed Disclosure'!AI331+'FA - Detailed Disclosure'!AI346+'FA - Detailed Disclosure'!AI347+'FA - Detailed Disclosure'!AI348</f>
        <v>0</v>
      </c>
      <c r="AH135" s="736">
        <f>+'FA - Detailed Disclosure'!AJ331+'FA - Detailed Disclosure'!AJ346+'FA - Detailed Disclosure'!AJ347+'FA - Detailed Disclosure'!AJ348</f>
        <v>0</v>
      </c>
      <c r="AI135" s="736">
        <f>+'FA - Detailed Disclosure'!AK331+'FA - Detailed Disclosure'!AK346+'FA - Detailed Disclosure'!AK347+'FA - Detailed Disclosure'!AK348</f>
        <v>320.61400000000003</v>
      </c>
      <c r="AJ135" s="736">
        <f>+SUM(O135:R135)</f>
        <v>3.1440000000000001</v>
      </c>
      <c r="AK135" s="754">
        <f t="shared" si="541"/>
        <v>4.2150000000000007</v>
      </c>
      <c r="AL135" s="736">
        <f t="shared" si="542"/>
        <v>2.0720000000000001</v>
      </c>
      <c r="AM135" s="736">
        <f t="shared" si="543"/>
        <v>0</v>
      </c>
      <c r="AO135" s="932">
        <v>1650</v>
      </c>
      <c r="AP135" s="932">
        <v>1650</v>
      </c>
      <c r="AQ135" s="932">
        <v>1650</v>
      </c>
      <c r="AR135" s="932">
        <f>67.6*14.35</f>
        <v>970.06</v>
      </c>
    </row>
    <row r="136" spans="1:44" s="820" customFormat="1" ht="12" x14ac:dyDescent="0.3">
      <c r="A136" s="793" t="s">
        <v>245</v>
      </c>
      <c r="B136" s="818"/>
      <c r="C136" s="835"/>
      <c r="D136" s="835"/>
      <c r="E136" s="835"/>
      <c r="F136" s="836"/>
      <c r="G136" s="736">
        <v>0</v>
      </c>
      <c r="H136" s="736">
        <v>0</v>
      </c>
      <c r="I136" s="736">
        <v>0</v>
      </c>
      <c r="J136" s="752">
        <v>0</v>
      </c>
      <c r="K136" s="736">
        <v>0</v>
      </c>
      <c r="L136" s="736">
        <v>0</v>
      </c>
      <c r="M136" s="736">
        <v>0</v>
      </c>
      <c r="N136" s="752">
        <v>0</v>
      </c>
      <c r="O136" s="736">
        <v>0</v>
      </c>
      <c r="P136" s="736">
        <v>0</v>
      </c>
      <c r="Q136" s="736">
        <f>'FA - Detailed Disclosure'!Q345</f>
        <v>-2.2480000000000002</v>
      </c>
      <c r="R136" s="736">
        <f>'FA - Detailed Disclosure'!R345</f>
        <v>-58.282000000000004</v>
      </c>
      <c r="S136" s="986">
        <f>'FA - Detailed Disclosure'!S345</f>
        <v>-25.265999999999998</v>
      </c>
      <c r="T136" s="736">
        <f>'FA - Detailed Disclosure'!T345</f>
        <v>-27.068000000000005</v>
      </c>
      <c r="U136" s="736">
        <f>'FA - Detailed Disclosure'!U345</f>
        <v>-3.5829999999999984</v>
      </c>
      <c r="V136" s="736">
        <f>'FA - Detailed Disclosure'!V345</f>
        <v>-3.0730000000000004</v>
      </c>
      <c r="W136" s="986">
        <f>'FA - Detailed Disclosure'!W345</f>
        <v>0</v>
      </c>
      <c r="X136" s="736">
        <f>'FA - Detailed Disclosure'!X345</f>
        <v>0</v>
      </c>
      <c r="Y136" s="754">
        <f>'FA - Detailed Disclosure'!Y345</f>
        <v>0</v>
      </c>
      <c r="Z136" s="1089">
        <v>0</v>
      </c>
      <c r="AA136" s="753">
        <v>0</v>
      </c>
      <c r="AB136" s="753">
        <v>0</v>
      </c>
      <c r="AC136" s="753">
        <v>0</v>
      </c>
      <c r="AD136" s="753">
        <v>0</v>
      </c>
      <c r="AE136" s="799"/>
      <c r="AF136" s="736"/>
      <c r="AG136" s="736">
        <v>0</v>
      </c>
      <c r="AH136" s="736">
        <f>SUM(G136:J136)</f>
        <v>0</v>
      </c>
      <c r="AI136" s="736">
        <f>+SUM(K136:N136)</f>
        <v>0</v>
      </c>
      <c r="AJ136" s="736">
        <f>+SUM(O136:R136)</f>
        <v>-60.53</v>
      </c>
      <c r="AK136" s="754">
        <f t="shared" si="541"/>
        <v>-58.99</v>
      </c>
      <c r="AL136" s="736">
        <f t="shared" si="542"/>
        <v>0</v>
      </c>
      <c r="AM136" s="736">
        <f t="shared" si="543"/>
        <v>0</v>
      </c>
      <c r="AO136" s="932">
        <v>190</v>
      </c>
      <c r="AP136" s="932">
        <f>AO136-15</f>
        <v>175</v>
      </c>
      <c r="AQ136" s="932">
        <v>91</v>
      </c>
      <c r="AR136" s="932">
        <f>AP136-60-AQ139+AQ136</f>
        <v>90.810126582278485</v>
      </c>
    </row>
    <row r="137" spans="1:44" s="820" customFormat="1" ht="12" x14ac:dyDescent="0.3">
      <c r="A137" s="793" t="s">
        <v>246</v>
      </c>
      <c r="B137" s="818"/>
      <c r="C137" s="835"/>
      <c r="D137" s="835"/>
      <c r="E137" s="835"/>
      <c r="F137" s="836"/>
      <c r="G137" s="736">
        <v>0</v>
      </c>
      <c r="H137" s="736">
        <v>0</v>
      </c>
      <c r="I137" s="736">
        <v>0</v>
      </c>
      <c r="J137" s="752">
        <v>0</v>
      </c>
      <c r="K137" s="736">
        <v>0</v>
      </c>
      <c r="L137" s="736">
        <v>0</v>
      </c>
      <c r="M137" s="736">
        <v>0</v>
      </c>
      <c r="N137" s="752">
        <v>0</v>
      </c>
      <c r="O137" s="736">
        <v>0</v>
      </c>
      <c r="P137" s="736">
        <v>0</v>
      </c>
      <c r="Q137" s="736">
        <v>0</v>
      </c>
      <c r="R137" s="736">
        <v>0</v>
      </c>
      <c r="S137" s="986">
        <v>0</v>
      </c>
      <c r="T137" s="736">
        <v>0</v>
      </c>
      <c r="U137" s="736">
        <f>+'FA - Detailed Disclosure'!U342</f>
        <v>-217.68299999999999</v>
      </c>
      <c r="V137" s="736">
        <f>+'FA - Detailed Disclosure'!V342</f>
        <v>-5.6000000000011596E-2</v>
      </c>
      <c r="W137" s="986">
        <f>+'FA - Detailed Disclosure'!W342</f>
        <v>-1.2E-2</v>
      </c>
      <c r="X137" s="736">
        <f>+'FA - Detailed Disclosure'!X342</f>
        <v>-0.19199999999999998</v>
      </c>
      <c r="Y137" s="754">
        <f>+'FA - Detailed Disclosure'!Y342</f>
        <v>-7.0000000000000166E-3</v>
      </c>
      <c r="Z137" s="1089">
        <v>0</v>
      </c>
      <c r="AA137" s="753">
        <v>0</v>
      </c>
      <c r="AB137" s="753">
        <v>0</v>
      </c>
      <c r="AC137" s="753">
        <v>0</v>
      </c>
      <c r="AD137" s="753">
        <v>0</v>
      </c>
      <c r="AE137" s="799"/>
      <c r="AF137" s="736"/>
      <c r="AG137" s="736">
        <v>0</v>
      </c>
      <c r="AH137" s="736">
        <v>0</v>
      </c>
      <c r="AI137" s="736">
        <v>0</v>
      </c>
      <c r="AJ137" s="736">
        <v>0</v>
      </c>
      <c r="AK137" s="754">
        <f t="shared" si="541"/>
        <v>-217.739</v>
      </c>
      <c r="AL137" s="736">
        <f t="shared" si="542"/>
        <v>-0.21099999999999999</v>
      </c>
      <c r="AM137" s="736">
        <f t="shared" si="543"/>
        <v>0</v>
      </c>
      <c r="AO137" s="932">
        <f t="shared" ref="AO137" si="544">AO135/AO136</f>
        <v>8.6842105263157894</v>
      </c>
      <c r="AP137" s="932">
        <f>AP135/AP136</f>
        <v>9.4285714285714288</v>
      </c>
      <c r="AQ137" s="932">
        <f t="shared" ref="AQ137" si="545">AQ135/AQ136</f>
        <v>18.131868131868131</v>
      </c>
      <c r="AR137" s="932">
        <f t="shared" ref="AR137" si="546">AR135/AR136</f>
        <v>10.682288820741565</v>
      </c>
    </row>
    <row r="138" spans="1:44" s="820" customFormat="1" ht="12" x14ac:dyDescent="0.3">
      <c r="A138" s="793" t="s">
        <v>152</v>
      </c>
      <c r="B138" s="818"/>
      <c r="C138" s="835"/>
      <c r="D138" s="835"/>
      <c r="E138" s="835"/>
      <c r="F138" s="836"/>
      <c r="G138" s="736">
        <f>+'FA - Detailed Disclosure'!G323</f>
        <v>0</v>
      </c>
      <c r="H138" s="736">
        <f>+'FA - Detailed Disclosure'!H323</f>
        <v>0</v>
      </c>
      <c r="I138" s="736">
        <f>+'FA - Detailed Disclosure'!I323</f>
        <v>0</v>
      </c>
      <c r="J138" s="752">
        <f>+'FA - Detailed Disclosure'!J323</f>
        <v>0</v>
      </c>
      <c r="K138" s="736">
        <f>+'FA - Detailed Disclosure'!K323</f>
        <v>-7.5880000000000001</v>
      </c>
      <c r="L138" s="736">
        <f>+'FA - Detailed Disclosure'!L323</f>
        <v>0</v>
      </c>
      <c r="M138" s="736">
        <f>+'FA - Detailed Disclosure'!M323</f>
        <v>0</v>
      </c>
      <c r="N138" s="752">
        <f>+'FA - Detailed Disclosure'!N323</f>
        <v>-41.345999999999997</v>
      </c>
      <c r="O138" s="736">
        <f>+'FA - Detailed Disclosure'!O323</f>
        <v>-18.920000000000002</v>
      </c>
      <c r="P138" s="736">
        <f>+'FA - Detailed Disclosure'!P323</f>
        <v>-0.12399999999999878</v>
      </c>
      <c r="Q138" s="736">
        <f>+'FA - Detailed Disclosure'!Q323</f>
        <v>0</v>
      </c>
      <c r="R138" s="736">
        <f>+'FA - Detailed Disclosure'!R323</f>
        <v>-7.9999999999991189E-3</v>
      </c>
      <c r="S138" s="994">
        <f>+'FA - Detailed Disclosure'!S323</f>
        <v>0</v>
      </c>
      <c r="T138" s="799">
        <f>+'FA - Detailed Disclosure'!T323</f>
        <v>0</v>
      </c>
      <c r="U138" s="736">
        <f>+'FA - Detailed Disclosure'!U323</f>
        <v>-41.122</v>
      </c>
      <c r="V138" s="736">
        <f>+'FA - Detailed Disclosure'!V323</f>
        <v>0</v>
      </c>
      <c r="W138" s="986">
        <f>+'FA - Detailed Disclosure'!W323</f>
        <v>0</v>
      </c>
      <c r="X138" s="799">
        <f>+'FA - Detailed Disclosure'!X323</f>
        <v>0</v>
      </c>
      <c r="Y138" s="754">
        <f>+'FA - Detailed Disclosure'!Y323</f>
        <v>2.5000000000000001E-2</v>
      </c>
      <c r="Z138" s="1089">
        <v>0</v>
      </c>
      <c r="AA138" s="753">
        <v>0</v>
      </c>
      <c r="AB138" s="753">
        <v>0</v>
      </c>
      <c r="AC138" s="753">
        <v>0</v>
      </c>
      <c r="AD138" s="753">
        <v>0</v>
      </c>
      <c r="AE138" s="799"/>
      <c r="AF138" s="736"/>
      <c r="AG138" s="736">
        <f>+'FA - Detailed Disclosure'!AI323</f>
        <v>0</v>
      </c>
      <c r="AH138" s="736">
        <f>+'FA - Detailed Disclosure'!AJ323</f>
        <v>0</v>
      </c>
      <c r="AI138" s="736">
        <f>+'FA - Detailed Disclosure'!AK323</f>
        <v>-48.933999999999997</v>
      </c>
      <c r="AJ138" s="736">
        <f>+SUM(O138:R138)</f>
        <v>-19.052</v>
      </c>
      <c r="AK138" s="754">
        <f t="shared" si="541"/>
        <v>-41.122</v>
      </c>
      <c r="AL138" s="736">
        <f t="shared" si="542"/>
        <v>2.5000000000000001E-2</v>
      </c>
      <c r="AM138" s="736">
        <f t="shared" si="543"/>
        <v>0</v>
      </c>
      <c r="AP138" s="932"/>
    </row>
    <row r="139" spans="1:44" s="817" customFormat="1" ht="12" x14ac:dyDescent="0.3">
      <c r="A139" s="798"/>
      <c r="B139" s="816"/>
      <c r="C139" s="689"/>
      <c r="D139" s="689"/>
      <c r="E139" s="750"/>
      <c r="F139" s="689"/>
      <c r="G139" s="689"/>
      <c r="H139" s="689"/>
      <c r="I139" s="736"/>
      <c r="J139" s="689"/>
      <c r="K139" s="689"/>
      <c r="L139" s="689"/>
      <c r="M139" s="689"/>
      <c r="N139" s="689"/>
      <c r="O139" s="689"/>
      <c r="P139" s="689"/>
      <c r="Q139" s="689"/>
      <c r="R139" s="689"/>
      <c r="S139" s="689"/>
      <c r="T139" s="689"/>
      <c r="U139" s="689"/>
      <c r="V139" s="689"/>
      <c r="W139" s="689"/>
      <c r="X139" s="689"/>
      <c r="Y139" s="689"/>
      <c r="Z139" s="689"/>
      <c r="AA139" s="689"/>
      <c r="AB139" s="689"/>
      <c r="AC139" s="689"/>
      <c r="AD139" s="689"/>
      <c r="AE139" s="689"/>
      <c r="AF139" s="689"/>
      <c r="AG139" s="689"/>
      <c r="AH139" s="689"/>
      <c r="AI139" s="689"/>
      <c r="AJ139" s="689"/>
      <c r="AK139" s="689"/>
      <c r="AL139" s="689"/>
      <c r="AM139" s="799"/>
      <c r="AN139" s="799"/>
      <c r="AP139" s="932"/>
      <c r="AQ139" s="817">
        <f>AQ136/0.79</f>
        <v>115.18987341772151</v>
      </c>
    </row>
    <row r="140" spans="1:44" s="817" customFormat="1" ht="12" x14ac:dyDescent="0.3">
      <c r="A140" s="837" t="s">
        <v>71</v>
      </c>
      <c r="B140" s="838"/>
      <c r="C140" s="839"/>
      <c r="D140" s="839"/>
      <c r="E140" s="839"/>
      <c r="F140" s="839"/>
      <c r="G140" s="839"/>
      <c r="H140" s="840"/>
      <c r="I140" s="736"/>
      <c r="J140" s="689"/>
      <c r="K140" s="689"/>
      <c r="L140" s="689"/>
      <c r="M140" s="689"/>
      <c r="N140" s="689"/>
      <c r="O140" s="689"/>
      <c r="P140" s="689"/>
      <c r="Q140" s="689"/>
      <c r="R140" s="689"/>
      <c r="S140" s="689"/>
      <c r="T140" s="689"/>
      <c r="U140" s="689"/>
      <c r="V140" s="689"/>
      <c r="W140" s="689"/>
      <c r="X140" s="689"/>
      <c r="Y140" s="689"/>
      <c r="Z140" s="689"/>
      <c r="AA140" s="689"/>
      <c r="AB140" s="689"/>
      <c r="AC140" s="689"/>
      <c r="AD140" s="689"/>
      <c r="AE140" s="689"/>
      <c r="AF140" s="689"/>
      <c r="AG140" s="689"/>
      <c r="AH140" s="689"/>
      <c r="AI140" s="689"/>
      <c r="AJ140" s="689"/>
      <c r="AK140" s="689"/>
      <c r="AL140" s="689"/>
      <c r="AM140" s="689"/>
    </row>
    <row r="141" spans="1:44" s="817" customFormat="1" ht="12" x14ac:dyDescent="0.3">
      <c r="A141" s="460"/>
      <c r="B141" s="460"/>
      <c r="G141" s="841" t="s">
        <v>72</v>
      </c>
      <c r="H141" s="841" t="s">
        <v>73</v>
      </c>
      <c r="I141" s="736"/>
      <c r="J141" s="689"/>
      <c r="K141" s="689"/>
      <c r="L141" s="689"/>
      <c r="M141" s="689"/>
      <c r="N141" s="689"/>
      <c r="O141" s="689"/>
      <c r="P141" s="689"/>
      <c r="Q141" s="689"/>
      <c r="R141" s="689"/>
      <c r="S141" s="689"/>
      <c r="T141" s="689"/>
      <c r="U141" s="689"/>
      <c r="V141" s="689"/>
      <c r="W141" s="689"/>
      <c r="X141" s="689"/>
      <c r="Y141" s="689"/>
      <c r="Z141" s="689"/>
      <c r="AA141" s="689"/>
      <c r="AB141" s="689"/>
      <c r="AC141" s="689"/>
      <c r="AD141" s="689"/>
      <c r="AE141" s="689"/>
      <c r="AF141" s="689"/>
      <c r="AG141" s="689"/>
      <c r="AH141" s="689"/>
      <c r="AI141" s="689"/>
      <c r="AJ141" s="689"/>
      <c r="AK141" s="689"/>
      <c r="AL141" s="689"/>
      <c r="AM141" s="689"/>
    </row>
    <row r="142" spans="1:44" s="817" customFormat="1" ht="12" x14ac:dyDescent="0.3">
      <c r="A142" s="460" t="s">
        <v>74</v>
      </c>
      <c r="B142" s="460"/>
      <c r="G142" s="959">
        <f>+'FA Base'!D87</f>
        <v>2698.9239237600004</v>
      </c>
      <c r="H142" s="842">
        <f>+'FA Base'!E87</f>
        <v>18.73</v>
      </c>
      <c r="I142" s="736"/>
      <c r="J142" s="689"/>
      <c r="K142" s="689"/>
      <c r="L142" s="689"/>
      <c r="M142" s="689"/>
      <c r="N142" s="689"/>
      <c r="O142" s="689"/>
      <c r="P142" s="689"/>
      <c r="Q142" s="689"/>
      <c r="R142" s="689"/>
      <c r="S142" s="689"/>
      <c r="T142" s="689"/>
      <c r="U142" s="689"/>
      <c r="V142" s="689"/>
      <c r="W142" s="689"/>
      <c r="X142" s="689"/>
      <c r="Y142" s="689"/>
      <c r="Z142" s="689"/>
      <c r="AA142" s="689"/>
      <c r="AB142" s="689"/>
      <c r="AC142" s="689"/>
      <c r="AD142" s="689"/>
      <c r="AE142" s="689"/>
      <c r="AF142" s="689"/>
      <c r="AG142" s="689"/>
      <c r="AH142" s="689"/>
      <c r="AI142" s="689"/>
      <c r="AJ142" s="689"/>
      <c r="AK142" s="689"/>
      <c r="AL142" s="689"/>
      <c r="AM142" s="689"/>
    </row>
    <row r="143" spans="1:44" s="817" customFormat="1" ht="13" x14ac:dyDescent="0.4">
      <c r="A143" s="460" t="s">
        <v>52</v>
      </c>
      <c r="B143" s="460"/>
      <c r="G143" s="757">
        <f>+'FA Base'!D88</f>
        <v>252.45200000000006</v>
      </c>
      <c r="H143" s="1174">
        <f>+'FA Base'!E88</f>
        <v>1.7519671148835512</v>
      </c>
      <c r="I143" s="736"/>
      <c r="J143" s="689"/>
      <c r="K143" s="689"/>
      <c r="L143" s="689"/>
      <c r="M143" s="689"/>
      <c r="N143" s="689"/>
      <c r="O143" s="689"/>
      <c r="P143" s="689"/>
      <c r="Q143" s="689"/>
      <c r="R143" s="689"/>
      <c r="S143" s="689"/>
      <c r="T143" s="689"/>
      <c r="U143" s="689"/>
      <c r="V143" s="689"/>
      <c r="W143" s="689"/>
      <c r="X143" s="689"/>
      <c r="Y143" s="689"/>
      <c r="Z143" s="689"/>
      <c r="AA143" s="689"/>
      <c r="AB143" s="689"/>
      <c r="AC143" s="689"/>
      <c r="AD143" s="689"/>
      <c r="AE143" s="689"/>
      <c r="AF143" s="689"/>
      <c r="AG143" s="689"/>
      <c r="AH143" s="689"/>
      <c r="AI143" s="689"/>
      <c r="AJ143" s="689"/>
      <c r="AK143" s="689"/>
      <c r="AL143" s="689"/>
      <c r="AM143" s="689"/>
    </row>
    <row r="144" spans="1:44" s="817" customFormat="1" ht="12" x14ac:dyDescent="0.3">
      <c r="A144" s="505" t="s">
        <v>76</v>
      </c>
      <c r="B144" s="505"/>
      <c r="G144" s="1175">
        <f>+'FA Base'!D89</f>
        <v>2951.3759237600007</v>
      </c>
      <c r="H144" s="1176">
        <f>+'FA Base'!E89</f>
        <v>20.481967114883552</v>
      </c>
      <c r="I144" s="736"/>
      <c r="J144" s="689"/>
      <c r="K144" s="689"/>
      <c r="L144" s="689"/>
      <c r="M144" s="689"/>
      <c r="N144" s="689"/>
      <c r="O144" s="689"/>
      <c r="P144" s="689"/>
      <c r="Q144" s="689"/>
      <c r="R144" s="689"/>
      <c r="S144" s="689"/>
      <c r="T144" s="689"/>
      <c r="U144" s="689"/>
      <c r="V144" s="689"/>
      <c r="W144" s="689"/>
      <c r="X144" s="689"/>
      <c r="Y144" s="689"/>
      <c r="Z144" s="689"/>
      <c r="AA144" s="689"/>
      <c r="AB144" s="689"/>
      <c r="AC144" s="689"/>
      <c r="AD144" s="689"/>
      <c r="AE144" s="689"/>
      <c r="AF144" s="689"/>
      <c r="AG144" s="689"/>
      <c r="AH144" s="689"/>
      <c r="AI144" s="689"/>
      <c r="AJ144" s="689"/>
      <c r="AK144" s="689"/>
      <c r="AL144" s="689"/>
      <c r="AM144" s="689"/>
    </row>
    <row r="145" spans="1:40" s="817" customFormat="1" ht="12" x14ac:dyDescent="0.3">
      <c r="A145" s="778" t="s">
        <v>77</v>
      </c>
      <c r="B145" s="778"/>
      <c r="G145" s="744"/>
      <c r="H145" s="843">
        <f>+'FA Base'!E90</f>
        <v>144.09631200000001</v>
      </c>
      <c r="I145" s="736"/>
      <c r="J145" s="689"/>
      <c r="K145" s="689"/>
      <c r="L145" s="689"/>
      <c r="M145" s="689"/>
      <c r="N145" s="689"/>
      <c r="O145" s="689"/>
      <c r="P145" s="689"/>
      <c r="Q145" s="689"/>
      <c r="R145" s="689"/>
      <c r="S145" s="689"/>
      <c r="T145" s="689"/>
      <c r="U145" s="689"/>
      <c r="V145" s="689"/>
      <c r="W145" s="689"/>
      <c r="X145" s="689"/>
      <c r="Y145" s="689"/>
      <c r="Z145" s="689"/>
      <c r="AA145" s="689"/>
      <c r="AB145" s="689"/>
      <c r="AC145" s="689"/>
      <c r="AD145" s="689"/>
      <c r="AE145" s="689"/>
      <c r="AF145" s="689"/>
      <c r="AG145" s="689"/>
      <c r="AH145" s="689"/>
      <c r="AI145" s="689"/>
      <c r="AJ145" s="689"/>
      <c r="AK145" s="689"/>
      <c r="AL145" s="689"/>
      <c r="AM145" s="689"/>
    </row>
    <row r="146" spans="1:40" s="817" customFormat="1" ht="12" x14ac:dyDescent="0.3">
      <c r="A146" s="778"/>
      <c r="B146" s="778"/>
      <c r="G146" s="744"/>
      <c r="H146" s="843"/>
      <c r="I146" s="736"/>
      <c r="J146" s="689"/>
      <c r="K146" s="689"/>
      <c r="L146" s="689"/>
      <c r="M146" s="689"/>
      <c r="N146" s="689"/>
      <c r="O146" s="689"/>
      <c r="P146" s="689"/>
      <c r="Q146" s="689"/>
      <c r="R146" s="689"/>
      <c r="S146" s="689"/>
      <c r="T146" s="689"/>
      <c r="U146" s="689"/>
      <c r="V146" s="689"/>
      <c r="W146" s="689"/>
      <c r="X146" s="689"/>
      <c r="Y146" s="689"/>
      <c r="Z146" s="689"/>
      <c r="AA146" s="689"/>
      <c r="AB146" s="689"/>
      <c r="AC146" s="689"/>
      <c r="AD146" s="689"/>
      <c r="AE146" s="689"/>
      <c r="AF146" s="689"/>
      <c r="AG146" s="689"/>
      <c r="AH146" s="689"/>
      <c r="AI146" s="689"/>
      <c r="AJ146" s="689"/>
      <c r="AK146" s="689"/>
      <c r="AL146" s="689"/>
      <c r="AM146" s="689"/>
    </row>
    <row r="147" spans="1:40" s="817" customFormat="1" ht="12" x14ac:dyDescent="0.3">
      <c r="A147" s="740" t="s">
        <v>28</v>
      </c>
      <c r="B147" s="816"/>
      <c r="F147" s="845"/>
      <c r="G147" s="689"/>
      <c r="H147" s="689"/>
      <c r="I147" s="736"/>
      <c r="J147" s="779"/>
      <c r="K147" s="689"/>
      <c r="L147" s="689"/>
      <c r="M147" s="736"/>
      <c r="N147" s="779"/>
      <c r="O147" s="689"/>
      <c r="P147" s="689"/>
      <c r="Q147" s="689"/>
      <c r="R147" s="779"/>
      <c r="S147" s="689"/>
      <c r="T147" s="689"/>
      <c r="U147" s="689"/>
      <c r="V147" s="689"/>
      <c r="W147" s="991"/>
      <c r="X147" s="689"/>
      <c r="Y147" s="781"/>
      <c r="Z147" s="779"/>
      <c r="AA147" s="689"/>
      <c r="AB147" s="689"/>
      <c r="AC147" s="689"/>
      <c r="AD147" s="689"/>
      <c r="AE147" s="689"/>
      <c r="AF147" s="689"/>
      <c r="AG147" s="689"/>
      <c r="AH147" s="689"/>
      <c r="AI147" s="689"/>
      <c r="AJ147" s="689"/>
      <c r="AK147" s="781"/>
      <c r="AL147" s="689"/>
      <c r="AM147" s="689"/>
    </row>
    <row r="148" spans="1:40" s="817" customFormat="1" ht="12" x14ac:dyDescent="0.3">
      <c r="A148" s="778"/>
      <c r="B148" s="778"/>
      <c r="F148" s="845"/>
      <c r="G148" s="689"/>
      <c r="H148" s="689"/>
      <c r="I148" s="736"/>
      <c r="J148" s="779"/>
      <c r="K148" s="689"/>
      <c r="L148" s="689"/>
      <c r="M148" s="736"/>
      <c r="N148" s="779"/>
      <c r="O148" s="689"/>
      <c r="P148" s="689"/>
      <c r="Q148" s="689"/>
      <c r="R148" s="779"/>
      <c r="S148" s="689"/>
      <c r="T148" s="689"/>
      <c r="U148" s="689"/>
      <c r="V148" s="689"/>
      <c r="W148" s="991"/>
      <c r="X148" s="689"/>
      <c r="Y148" s="781"/>
      <c r="Z148" s="779"/>
      <c r="AA148" s="689"/>
      <c r="AB148" s="689"/>
      <c r="AC148" s="689"/>
      <c r="AD148" s="689"/>
      <c r="AE148" s="689"/>
      <c r="AF148" s="689"/>
      <c r="AG148" s="689"/>
      <c r="AH148" s="689"/>
      <c r="AI148" s="689"/>
      <c r="AJ148" s="689"/>
      <c r="AK148" s="781"/>
      <c r="AL148" s="689"/>
      <c r="AM148" s="689"/>
    </row>
    <row r="149" spans="1:40" x14ac:dyDescent="0.25">
      <c r="A149" s="783" t="s">
        <v>28</v>
      </c>
      <c r="C149" s="846"/>
      <c r="D149" s="846"/>
      <c r="E149" s="846"/>
      <c r="F149" s="847"/>
      <c r="G149" s="848"/>
      <c r="H149" s="848"/>
      <c r="I149" s="848"/>
      <c r="J149" s="847"/>
      <c r="K149" s="848"/>
      <c r="L149" s="848"/>
      <c r="M149" s="848"/>
      <c r="N149" s="847"/>
      <c r="O149" s="848"/>
      <c r="P149" s="848"/>
      <c r="Q149" s="848"/>
      <c r="R149" s="847"/>
      <c r="S149" s="848"/>
      <c r="T149" s="848"/>
      <c r="U149" s="848"/>
      <c r="V149" s="848"/>
      <c r="W149" s="1417"/>
      <c r="X149" s="848"/>
      <c r="Y149" s="849"/>
      <c r="Z149" s="847"/>
      <c r="AA149" s="848"/>
      <c r="AB149" s="848"/>
      <c r="AC149" s="848"/>
      <c r="AD149" s="848"/>
      <c r="AE149" s="848"/>
      <c r="AF149" s="848"/>
      <c r="AG149" s="848"/>
      <c r="AH149" s="848"/>
      <c r="AI149" s="848"/>
      <c r="AJ149" s="848"/>
      <c r="AK149" s="1179"/>
      <c r="AL149" s="1066"/>
      <c r="AM149" s="1066"/>
      <c r="AN149" s="850"/>
    </row>
    <row r="150" spans="1:40" x14ac:dyDescent="0.25">
      <c r="A150" s="460" t="s">
        <v>213</v>
      </c>
      <c r="C150" s="851"/>
      <c r="D150" s="851"/>
      <c r="E150" s="851"/>
      <c r="F150" s="852"/>
      <c r="G150" s="851">
        <f>+'FA - Detailed Disclosure'!G97</f>
        <v>98.267999999999986</v>
      </c>
      <c r="H150" s="851">
        <f>+'FA - Detailed Disclosure'!H97</f>
        <v>94.208999999999989</v>
      </c>
      <c r="I150" s="851">
        <f>+'FA - Detailed Disclosure'!I97</f>
        <v>125.75699999999999</v>
      </c>
      <c r="J150" s="852">
        <f>+'FA - Detailed Disclosure'!J97</f>
        <v>144.17900000000003</v>
      </c>
      <c r="K150" s="851">
        <f>+'FA - Detailed Disclosure'!K97</f>
        <v>116.52399999999999</v>
      </c>
      <c r="L150" s="851">
        <f>+'FA - Detailed Disclosure'!L97</f>
        <v>146.29999999999998</v>
      </c>
      <c r="M150" s="851">
        <f>+'FA - Detailed Disclosure'!M97</f>
        <v>158.97199999999998</v>
      </c>
      <c r="N150" s="852">
        <f>+'FA - Detailed Disclosure'!N97</f>
        <v>182.61700000000002</v>
      </c>
      <c r="O150" s="851">
        <f>+'FA - Detailed Disclosure'!O97</f>
        <v>160.08799999999999</v>
      </c>
      <c r="P150" s="851">
        <f>+'FA - Detailed Disclosure'!P97</f>
        <v>170.59100000000001</v>
      </c>
      <c r="Q150" s="851">
        <f>+'FA - Detailed Disclosure'!Q97</f>
        <v>176.09100000000001</v>
      </c>
      <c r="R150" s="852">
        <f>+'FA - Detailed Disclosure'!R97</f>
        <v>188.095</v>
      </c>
      <c r="S150" s="851">
        <f>+'FA - Detailed Disclosure'!S97</f>
        <v>152.05600000000001</v>
      </c>
      <c r="T150" s="851">
        <f t="shared" ref="T150:W152" si="547">+T9</f>
        <v>162.68199999999999</v>
      </c>
      <c r="U150" s="851">
        <f t="shared" si="547"/>
        <v>176.04599999999999</v>
      </c>
      <c r="V150" s="851">
        <f t="shared" si="547"/>
        <v>182.29</v>
      </c>
      <c r="W150" s="1418">
        <f t="shared" si="547"/>
        <v>149.12700000000001</v>
      </c>
      <c r="X150" s="851">
        <f t="shared" ref="X150:Y150" si="548">+X9</f>
        <v>162.37799999999999</v>
      </c>
      <c r="Y150" s="853">
        <f t="shared" si="548"/>
        <v>174.905</v>
      </c>
      <c r="Z150" s="852">
        <f>+Z9</f>
        <v>187.7587</v>
      </c>
      <c r="AA150" s="851">
        <f t="shared" ref="AA150:AD150" si="549">+AA9</f>
        <v>156.58335000000002</v>
      </c>
      <c r="AB150" s="851">
        <f t="shared" si="549"/>
        <v>172.12067999999999</v>
      </c>
      <c r="AC150" s="851">
        <f t="shared" si="549"/>
        <v>187.14835000000002</v>
      </c>
      <c r="AD150" s="851">
        <f t="shared" si="549"/>
        <v>202.77939600000002</v>
      </c>
      <c r="AE150" s="851"/>
      <c r="AF150" s="851"/>
      <c r="AG150" s="851">
        <f>+'FA - Detailed Disclosure'!AI97</f>
        <v>423.16399999999999</v>
      </c>
      <c r="AH150" s="851">
        <f>+'FA - Detailed Disclosure'!AJ97</f>
        <v>462.41300000000001</v>
      </c>
      <c r="AI150" s="851">
        <f>+'FA - Detailed Disclosure'!AK97</f>
        <v>604.41300000000001</v>
      </c>
      <c r="AJ150" s="851">
        <f>+'FA - Detailed Disclosure'!AL97</f>
        <v>694.86500000000001</v>
      </c>
      <c r="AK150" s="849">
        <f>SUM(S150:V150)</f>
        <v>673.07399999999996</v>
      </c>
      <c r="AL150" s="846">
        <f>+SUM(W150:Z150)</f>
        <v>674.16869999999994</v>
      </c>
      <c r="AM150" s="846">
        <f>+SUM(AA150:AD150)</f>
        <v>718.63177600000006</v>
      </c>
      <c r="AN150" s="850"/>
    </row>
    <row r="151" spans="1:40" x14ac:dyDescent="0.25">
      <c r="A151" s="460" t="s">
        <v>214</v>
      </c>
      <c r="C151" s="851"/>
      <c r="D151" s="851"/>
      <c r="E151" s="851"/>
      <c r="F151" s="852"/>
      <c r="G151" s="851">
        <f>+'FA - Detailed Disclosure'!G98</f>
        <v>13.509999999999998</v>
      </c>
      <c r="H151" s="851">
        <f>+'FA - Detailed Disclosure'!H98</f>
        <v>11.499000000000001</v>
      </c>
      <c r="I151" s="851">
        <f>+'FA - Detailed Disclosure'!I98</f>
        <v>11.991</v>
      </c>
      <c r="J151" s="852">
        <f>+'FA - Detailed Disclosure'!J98</f>
        <v>13.482999999999997</v>
      </c>
      <c r="K151" s="851">
        <f>+'FA - Detailed Disclosure'!K98</f>
        <v>16.562000000000001</v>
      </c>
      <c r="L151" s="851">
        <f>+'FA - Detailed Disclosure'!L98</f>
        <v>30.08</v>
      </c>
      <c r="M151" s="851">
        <f>+'FA - Detailed Disclosure'!M98</f>
        <v>35.594999999999999</v>
      </c>
      <c r="N151" s="852">
        <f>+'FA - Detailed Disclosure'!N98</f>
        <v>31.771999999999998</v>
      </c>
      <c r="O151" s="851">
        <f>+'FA - Detailed Disclosure'!O98</f>
        <v>31.741</v>
      </c>
      <c r="P151" s="851">
        <f>+'FA - Detailed Disclosure'!P98</f>
        <v>33.043999999999997</v>
      </c>
      <c r="Q151" s="851">
        <f>+'FA - Detailed Disclosure'!Q98</f>
        <v>31.628</v>
      </c>
      <c r="R151" s="852">
        <f>+'FA - Detailed Disclosure'!R98</f>
        <v>26.187000000000001</v>
      </c>
      <c r="S151" s="851">
        <f>+'FA - Detailed Disclosure'!S98</f>
        <v>24.847999999999999</v>
      </c>
      <c r="T151" s="851">
        <f t="shared" si="547"/>
        <v>24.113</v>
      </c>
      <c r="U151" s="851">
        <f t="shared" si="547"/>
        <v>25.805</v>
      </c>
      <c r="V151" s="851">
        <f t="shared" si="547"/>
        <v>22.065000000000001</v>
      </c>
      <c r="W151" s="1418">
        <f t="shared" si="547"/>
        <v>22.023</v>
      </c>
      <c r="X151" s="851">
        <f t="shared" ref="X151:Y151" si="550">+X10</f>
        <v>24.187000000000001</v>
      </c>
      <c r="Y151" s="853">
        <f t="shared" si="550"/>
        <v>26.623999999999999</v>
      </c>
      <c r="Z151" s="852">
        <f>+Z10</f>
        <v>22.471939235971025</v>
      </c>
      <c r="AA151" s="851">
        <f t="shared" ref="AA151:AD151" si="551">+AA10</f>
        <v>23.579016954873026</v>
      </c>
      <c r="AB151" s="851">
        <f t="shared" si="551"/>
        <v>26.015519501480998</v>
      </c>
      <c r="AC151" s="851">
        <f t="shared" si="551"/>
        <v>29.394212025046183</v>
      </c>
      <c r="AD151" s="851">
        <f t="shared" si="551"/>
        <v>24.708757078276363</v>
      </c>
      <c r="AE151" s="851"/>
      <c r="AF151" s="851"/>
      <c r="AG151" s="851">
        <f>+'FA - Detailed Disclosure'!AI98</f>
        <v>62.948</v>
      </c>
      <c r="AH151" s="851">
        <f>+'FA - Detailed Disclosure'!AJ98</f>
        <v>50.482999999999997</v>
      </c>
      <c r="AI151" s="851">
        <f>+'FA - Detailed Disclosure'!AK98</f>
        <v>114.00899999999999</v>
      </c>
      <c r="AJ151" s="851">
        <f>+'FA - Detailed Disclosure'!AL98</f>
        <v>122.6</v>
      </c>
      <c r="AK151" s="849">
        <f>SUM(S151:V151)</f>
        <v>96.830999999999989</v>
      </c>
      <c r="AL151" s="846">
        <f>+SUM(W151:Z151)</f>
        <v>95.305939235971024</v>
      </c>
      <c r="AM151" s="846">
        <f t="shared" ref="AM151:AM153" si="552">+SUM(AA151:AD151)</f>
        <v>103.69750555967657</v>
      </c>
      <c r="AN151" s="850"/>
    </row>
    <row r="152" spans="1:40" s="802" customFormat="1" ht="13" x14ac:dyDescent="0.4">
      <c r="A152" s="460" t="s">
        <v>215</v>
      </c>
      <c r="C152" s="854"/>
      <c r="D152" s="854"/>
      <c r="E152" s="854"/>
      <c r="F152" s="855"/>
      <c r="G152" s="854">
        <f>+'FA - Detailed Disclosure'!G99</f>
        <v>-0.93900000000000028</v>
      </c>
      <c r="H152" s="854">
        <f>+'FA - Detailed Disclosure'!H99</f>
        <v>-0.71499999999999997</v>
      </c>
      <c r="I152" s="854">
        <f>+'FA - Detailed Disclosure'!I99</f>
        <v>-0.97</v>
      </c>
      <c r="J152" s="855">
        <f>+'FA - Detailed Disclosure'!J99</f>
        <v>-1.1179999999999994</v>
      </c>
      <c r="K152" s="854">
        <f>+'FA - Detailed Disclosure'!K99</f>
        <v>-1.016</v>
      </c>
      <c r="L152" s="854">
        <f>+'FA - Detailed Disclosure'!L99</f>
        <v>-1.554</v>
      </c>
      <c r="M152" s="854">
        <f>+'FA - Detailed Disclosure'!M99</f>
        <v>-1.7</v>
      </c>
      <c r="N152" s="855">
        <f>+'FA - Detailed Disclosure'!N99</f>
        <v>-1.857</v>
      </c>
      <c r="O152" s="854">
        <f>+'FA - Detailed Disclosure'!O99</f>
        <v>-1.948</v>
      </c>
      <c r="P152" s="854">
        <f>+'FA - Detailed Disclosure'!P99</f>
        <v>-2.0739999999999998</v>
      </c>
      <c r="Q152" s="854">
        <f>+'FA - Detailed Disclosure'!Q99</f>
        <v>-1.7330000000000001</v>
      </c>
      <c r="R152" s="855">
        <f>+'FA - Detailed Disclosure'!R99</f>
        <v>-1.6870000000000001</v>
      </c>
      <c r="S152" s="854">
        <f>+'FA - Detailed Disclosure'!S99</f>
        <v>-1.3839999999999999</v>
      </c>
      <c r="T152" s="854">
        <f t="shared" si="547"/>
        <v>-1.48</v>
      </c>
      <c r="U152" s="854">
        <f t="shared" si="547"/>
        <v>-1.4870000000000001</v>
      </c>
      <c r="V152" s="854">
        <f t="shared" si="547"/>
        <v>-1.7929999999999999</v>
      </c>
      <c r="W152" s="1419">
        <f t="shared" si="547"/>
        <v>-1.734</v>
      </c>
      <c r="X152" s="854">
        <f t="shared" ref="X152:Y152" si="553">+X11</f>
        <v>-2.0190000000000001</v>
      </c>
      <c r="Y152" s="1461">
        <f t="shared" si="553"/>
        <v>-2.4099999999999966</v>
      </c>
      <c r="Z152" s="855">
        <f>+Z11</f>
        <v>-2</v>
      </c>
      <c r="AA152" s="854">
        <f t="shared" ref="AA152:AD152" si="554">+AA11</f>
        <v>-1.8253084680090554</v>
      </c>
      <c r="AB152" s="854">
        <f t="shared" si="554"/>
        <v>-2.1442231222013248</v>
      </c>
      <c r="AC152" s="854">
        <f t="shared" si="554"/>
        <v>-2.58954083273554</v>
      </c>
      <c r="AD152" s="854">
        <f t="shared" si="554"/>
        <v>-2.1641769620738756</v>
      </c>
      <c r="AE152" s="854"/>
      <c r="AF152" s="854"/>
      <c r="AG152" s="854">
        <f>+'FA - Detailed Disclosure'!AI99</f>
        <v>-4.3449999999999998</v>
      </c>
      <c r="AH152" s="854">
        <f>+'FA - Detailed Disclosure'!AJ99</f>
        <v>-3.742</v>
      </c>
      <c r="AI152" s="854">
        <f>+'FA - Detailed Disclosure'!AK99</f>
        <v>-6.1270000000000007</v>
      </c>
      <c r="AJ152" s="854">
        <f>+'FA - Detailed Disclosure'!AL99</f>
        <v>-7.4420000000000011</v>
      </c>
      <c r="AK152" s="866">
        <f>SUM(S152:V152)</f>
        <v>-6.1440000000000001</v>
      </c>
      <c r="AL152" s="856">
        <f>+SUM(W152:Z152)</f>
        <v>-8.1629999999999967</v>
      </c>
      <c r="AM152" s="856">
        <f t="shared" si="552"/>
        <v>-8.7232493850197965</v>
      </c>
      <c r="AN152" s="857"/>
    </row>
    <row r="153" spans="1:40" s="470" customFormat="1" x14ac:dyDescent="0.25">
      <c r="A153" s="505" t="s">
        <v>216</v>
      </c>
      <c r="C153" s="858">
        <f>+'FA - Detailed Disclosure'!C100</f>
        <v>109.687</v>
      </c>
      <c r="D153" s="858">
        <f>+'FA - Detailed Disclosure'!D100</f>
        <v>121.621</v>
      </c>
      <c r="E153" s="858">
        <f>+'FA - Detailed Disclosure'!E100</f>
        <v>123.76900000000001</v>
      </c>
      <c r="F153" s="859">
        <f>+'FA - Detailed Disclosure'!F100</f>
        <v>126.69</v>
      </c>
      <c r="G153" s="858">
        <f t="shared" ref="G153:R153" si="555">+SUM(G150:G152)</f>
        <v>110.83899999999998</v>
      </c>
      <c r="H153" s="858">
        <f t="shared" si="555"/>
        <v>104.99299999999998</v>
      </c>
      <c r="I153" s="858">
        <f t="shared" si="555"/>
        <v>136.77799999999999</v>
      </c>
      <c r="J153" s="859">
        <f t="shared" si="555"/>
        <v>156.54400000000004</v>
      </c>
      <c r="K153" s="858">
        <f t="shared" si="555"/>
        <v>132.07</v>
      </c>
      <c r="L153" s="858">
        <f t="shared" si="555"/>
        <v>174.82599999999999</v>
      </c>
      <c r="M153" s="858">
        <f t="shared" si="555"/>
        <v>192.86699999999999</v>
      </c>
      <c r="N153" s="859">
        <f t="shared" si="555"/>
        <v>212.53200000000001</v>
      </c>
      <c r="O153" s="858">
        <f t="shared" si="555"/>
        <v>189.881</v>
      </c>
      <c r="P153" s="858">
        <f t="shared" si="555"/>
        <v>201.56099999999998</v>
      </c>
      <c r="Q153" s="858">
        <f t="shared" si="555"/>
        <v>205.98599999999999</v>
      </c>
      <c r="R153" s="859">
        <f t="shared" si="555"/>
        <v>212.595</v>
      </c>
      <c r="S153" s="858">
        <f>+SUM(S150:S152)</f>
        <v>175.52</v>
      </c>
      <c r="T153" s="858">
        <f>+SUM(T150:T152)</f>
        <v>185.315</v>
      </c>
      <c r="U153" s="858">
        <f t="shared" ref="U153" si="556">+SUM(U150:U152)</f>
        <v>200.364</v>
      </c>
      <c r="V153" s="858">
        <f t="shared" ref="V153:Z153" si="557">+SUM(V150:V152)</f>
        <v>202.56199999999998</v>
      </c>
      <c r="W153" s="1420">
        <f t="shared" ref="W153:X153" si="558">+SUM(W150:W152)</f>
        <v>169.416</v>
      </c>
      <c r="X153" s="858">
        <f t="shared" si="558"/>
        <v>184.54599999999999</v>
      </c>
      <c r="Y153" s="1462">
        <f t="shared" ref="Y153" si="559">+SUM(Y150:Y152)</f>
        <v>199.119</v>
      </c>
      <c r="Z153" s="859">
        <f t="shared" si="557"/>
        <v>208.23063923597104</v>
      </c>
      <c r="AA153" s="858">
        <f t="shared" ref="AA153:AD153" si="560">+SUM(AA150:AA152)</f>
        <v>178.33705848686398</v>
      </c>
      <c r="AB153" s="858">
        <f t="shared" si="560"/>
        <v>195.99197637927966</v>
      </c>
      <c r="AC153" s="858">
        <f t="shared" si="560"/>
        <v>213.95302119231067</v>
      </c>
      <c r="AD153" s="858">
        <f t="shared" si="560"/>
        <v>225.32397611620252</v>
      </c>
      <c r="AE153" s="858"/>
      <c r="AF153" s="858"/>
      <c r="AG153" s="858">
        <f t="shared" ref="AG153" si="561">+SUM(AG150:AG152)</f>
        <v>481.76699999999994</v>
      </c>
      <c r="AH153" s="858">
        <f>+SUM(AH150:AH152)</f>
        <v>509.15399999999994</v>
      </c>
      <c r="AI153" s="858">
        <f>SUM(K153:N153)</f>
        <v>712.29499999999996</v>
      </c>
      <c r="AJ153" s="858">
        <f>+SUM(O153:R153)</f>
        <v>810.02300000000002</v>
      </c>
      <c r="AK153" s="1180">
        <f>SUM(S153:V153)</f>
        <v>763.76100000000008</v>
      </c>
      <c r="AL153" s="860">
        <f>+SUM(W153:Z153)</f>
        <v>761.31163923597103</v>
      </c>
      <c r="AM153" s="860">
        <f t="shared" si="552"/>
        <v>813.60603217465678</v>
      </c>
      <c r="AN153" s="861"/>
    </row>
    <row r="154" spans="1:40" x14ac:dyDescent="0.25">
      <c r="C154" s="846"/>
      <c r="D154" s="846"/>
      <c r="E154" s="846"/>
      <c r="F154" s="847"/>
      <c r="G154" s="848"/>
      <c r="H154" s="848"/>
      <c r="I154" s="848"/>
      <c r="J154" s="847"/>
      <c r="K154" s="848"/>
      <c r="L154" s="848"/>
      <c r="M154" s="848"/>
      <c r="N154" s="847"/>
      <c r="O154" s="848"/>
      <c r="P154" s="848"/>
      <c r="Q154" s="848"/>
      <c r="R154" s="847"/>
      <c r="S154" s="848"/>
      <c r="T154" s="848"/>
      <c r="U154" s="848"/>
      <c r="V154" s="848"/>
      <c r="W154" s="1417"/>
      <c r="X154" s="848"/>
      <c r="Y154" s="849"/>
      <c r="Z154" s="847"/>
      <c r="AA154" s="848"/>
      <c r="AB154" s="848"/>
      <c r="AC154" s="848"/>
      <c r="AD154" s="848"/>
      <c r="AE154" s="848"/>
      <c r="AF154" s="848"/>
      <c r="AG154" s="848"/>
      <c r="AH154" s="848"/>
      <c r="AI154" s="848"/>
      <c r="AJ154" s="848"/>
      <c r="AK154" s="849"/>
      <c r="AL154" s="846"/>
      <c r="AM154" s="846"/>
      <c r="AN154" s="850"/>
    </row>
    <row r="155" spans="1:40" ht="12" x14ac:dyDescent="0.3">
      <c r="A155" s="782" t="s">
        <v>29</v>
      </c>
      <c r="B155" s="470"/>
      <c r="C155" s="736"/>
      <c r="D155" s="736"/>
      <c r="E155" s="736"/>
      <c r="F155" s="752"/>
      <c r="G155" s="689"/>
      <c r="H155" s="689"/>
      <c r="I155" s="689"/>
      <c r="J155" s="779"/>
      <c r="K155" s="689"/>
      <c r="L155" s="689"/>
      <c r="M155" s="689"/>
      <c r="N155" s="779"/>
      <c r="O155" s="689"/>
      <c r="P155" s="689"/>
      <c r="Q155" s="689"/>
      <c r="R155" s="779"/>
      <c r="S155" s="689"/>
      <c r="T155" s="736"/>
      <c r="U155" s="736"/>
      <c r="V155" s="736"/>
      <c r="W155" s="986"/>
      <c r="X155" s="736"/>
      <c r="Y155" s="754"/>
      <c r="Z155" s="752"/>
      <c r="AA155" s="736"/>
      <c r="AB155" s="736"/>
      <c r="AC155" s="736"/>
      <c r="AD155" s="736"/>
      <c r="AE155" s="736"/>
      <c r="AF155" s="689"/>
      <c r="AG155" s="689"/>
      <c r="AH155" s="689"/>
      <c r="AI155" s="689"/>
      <c r="AJ155" s="689"/>
      <c r="AK155" s="781"/>
      <c r="AL155" s="689"/>
      <c r="AM155" s="689"/>
    </row>
    <row r="156" spans="1:40" ht="12" x14ac:dyDescent="0.3">
      <c r="A156" s="778" t="s">
        <v>213</v>
      </c>
      <c r="B156" s="470"/>
      <c r="C156" s="736"/>
      <c r="D156" s="736"/>
      <c r="E156" s="736"/>
      <c r="F156" s="752"/>
      <c r="G156" s="689"/>
      <c r="H156" s="689"/>
      <c r="I156" s="689"/>
      <c r="J156" s="779"/>
      <c r="K156" s="689">
        <f>+K150/G150-1</f>
        <v>0.18577766923108241</v>
      </c>
      <c r="L156" s="689">
        <f t="shared" ref="L156:S156" si="562">+L150/H150-1</f>
        <v>0.55293018713710995</v>
      </c>
      <c r="M156" s="689">
        <f t="shared" si="562"/>
        <v>0.2641204863347566</v>
      </c>
      <c r="N156" s="779">
        <f t="shared" si="562"/>
        <v>0.26659915799110823</v>
      </c>
      <c r="O156" s="689">
        <f t="shared" si="562"/>
        <v>0.373862895197556</v>
      </c>
      <c r="P156" s="689">
        <f t="shared" si="562"/>
        <v>0.16603554340396465</v>
      </c>
      <c r="Q156" s="689">
        <f t="shared" si="562"/>
        <v>0.10768563017386734</v>
      </c>
      <c r="R156" s="779">
        <f t="shared" si="562"/>
        <v>2.9997207269859771E-2</v>
      </c>
      <c r="S156" s="689">
        <f t="shared" si="562"/>
        <v>-5.017240517715249E-2</v>
      </c>
      <c r="T156" s="689">
        <f t="shared" ref="T156:T159" si="563">+T150/P150-1</f>
        <v>-4.636235205843231E-2</v>
      </c>
      <c r="U156" s="689">
        <f t="shared" ref="U156:U159" si="564">+U150/Q150-1</f>
        <v>-2.5554968737762085E-4</v>
      </c>
      <c r="V156" s="689">
        <f t="shared" ref="V156:V159" si="565">+V150/R150-1</f>
        <v>-3.0862064382360055E-2</v>
      </c>
      <c r="W156" s="991">
        <f t="shared" ref="W156:W159" si="566">+W150/S150-1</f>
        <v>-1.9262640079970583E-2</v>
      </c>
      <c r="X156" s="689">
        <f t="shared" ref="X156:X159" si="567">+X150/T150-1</f>
        <v>-1.8686763132983453E-3</v>
      </c>
      <c r="Y156" s="781">
        <f t="shared" ref="Y156:Y159" si="568">+Y150/U150-1</f>
        <v>-6.4812605796211731E-3</v>
      </c>
      <c r="Z156" s="779">
        <f t="shared" ref="Z156:Z159" si="569">+Z150/V150-1</f>
        <v>3.0000000000000027E-2</v>
      </c>
      <c r="AA156" s="689">
        <f t="shared" ref="AA156:AA159" si="570">+AA150/W150-1</f>
        <v>5.0000000000000044E-2</v>
      </c>
      <c r="AB156" s="689">
        <f t="shared" ref="AB156:AB159" si="571">+AB150/X150-1</f>
        <v>6.0000000000000053E-2</v>
      </c>
      <c r="AC156" s="689">
        <f t="shared" ref="AC156:AC159" si="572">+AC150/Y150-1</f>
        <v>7.0000000000000062E-2</v>
      </c>
      <c r="AD156" s="689">
        <f t="shared" ref="AD156:AD159" si="573">+AD150/Z150-1</f>
        <v>8.0000000000000071E-2</v>
      </c>
      <c r="AE156" s="736"/>
      <c r="AF156" s="689"/>
      <c r="AG156" s="689"/>
      <c r="AH156" s="689">
        <f>+AH150/AG150-1</f>
        <v>9.2751273737841755E-2</v>
      </c>
      <c r="AI156" s="689">
        <f t="shared" ref="AI156:AJ156" si="574">+AI150/AH150-1</f>
        <v>0.30708479216631024</v>
      </c>
      <c r="AJ156" s="689">
        <f t="shared" si="574"/>
        <v>0.1496526381795229</v>
      </c>
      <c r="AK156" s="781">
        <f t="shared" ref="AK156" si="575">+AK150/AJ150-1</f>
        <v>-3.1360048354716508E-2</v>
      </c>
      <c r="AL156" s="689">
        <f t="shared" ref="AL156:AL159" si="576">+AL150/AK150-1</f>
        <v>1.626418491874615E-3</v>
      </c>
      <c r="AM156" s="689">
        <f t="shared" ref="AM156:AM159" si="577">+AM150/AL150-1</f>
        <v>6.5952447807203329E-2</v>
      </c>
    </row>
    <row r="157" spans="1:40" ht="12" x14ac:dyDescent="0.3">
      <c r="A157" s="778" t="s">
        <v>214</v>
      </c>
      <c r="B157" s="470"/>
      <c r="C157" s="736"/>
      <c r="D157" s="736"/>
      <c r="E157" s="736"/>
      <c r="F157" s="752"/>
      <c r="G157" s="689"/>
      <c r="H157" s="689"/>
      <c r="I157" s="689"/>
      <c r="J157" s="779"/>
      <c r="K157" s="689">
        <f t="shared" ref="K157:S159" si="578">+K151/G151-1</f>
        <v>0.22590673575129561</v>
      </c>
      <c r="L157" s="689">
        <f t="shared" si="578"/>
        <v>1.6158796417079744</v>
      </c>
      <c r="M157" s="689">
        <f t="shared" si="578"/>
        <v>1.9684763572679511</v>
      </c>
      <c r="N157" s="779">
        <f t="shared" si="578"/>
        <v>1.3564488615293335</v>
      </c>
      <c r="O157" s="689">
        <f t="shared" si="578"/>
        <v>0.91649559231976796</v>
      </c>
      <c r="P157" s="689">
        <f t="shared" si="578"/>
        <v>9.8537234042553212E-2</v>
      </c>
      <c r="Q157" s="689">
        <f t="shared" si="578"/>
        <v>-0.11144823711195384</v>
      </c>
      <c r="R157" s="779">
        <f t="shared" si="578"/>
        <v>-0.1757837089260984</v>
      </c>
      <c r="S157" s="689">
        <f t="shared" si="578"/>
        <v>-0.21716392048139632</v>
      </c>
      <c r="T157" s="689">
        <f t="shared" si="563"/>
        <v>-0.27027599564217397</v>
      </c>
      <c r="U157" s="689">
        <f t="shared" si="564"/>
        <v>-0.1841090173264196</v>
      </c>
      <c r="V157" s="689">
        <f t="shared" si="565"/>
        <v>-0.15740634666055675</v>
      </c>
      <c r="W157" s="991">
        <f t="shared" si="566"/>
        <v>-0.11369124275595621</v>
      </c>
      <c r="X157" s="689">
        <f t="shared" si="567"/>
        <v>3.0688840044790222E-3</v>
      </c>
      <c r="Y157" s="781">
        <f t="shared" si="568"/>
        <v>3.1738035264483599E-2</v>
      </c>
      <c r="Z157" s="779">
        <f t="shared" si="569"/>
        <v>1.8442748061229253E-2</v>
      </c>
      <c r="AA157" s="689">
        <f t="shared" si="570"/>
        <v>7.0654177672116791E-2</v>
      </c>
      <c r="AB157" s="689">
        <f t="shared" si="571"/>
        <v>7.5599268263157882E-2</v>
      </c>
      <c r="AC157" s="689">
        <f t="shared" si="572"/>
        <v>0.10404943002727562</v>
      </c>
      <c r="AD157" s="689">
        <f t="shared" si="573"/>
        <v>9.9538264980925328E-2</v>
      </c>
      <c r="AE157" s="736"/>
      <c r="AF157" s="689"/>
      <c r="AG157" s="689"/>
      <c r="AH157" s="689">
        <f t="shared" ref="AH157:AJ159" si="579">+AH151/AG151-1</f>
        <v>-0.19802058842218984</v>
      </c>
      <c r="AI157" s="689">
        <f t="shared" si="579"/>
        <v>1.2583642018105103</v>
      </c>
      <c r="AJ157" s="689">
        <f t="shared" si="579"/>
        <v>7.5353700146479685E-2</v>
      </c>
      <c r="AK157" s="781">
        <f t="shared" ref="AK157" si="580">+AK151/AJ151-1</f>
        <v>-0.21018760195758568</v>
      </c>
      <c r="AL157" s="689">
        <f t="shared" si="576"/>
        <v>-1.5749716144922266E-2</v>
      </c>
      <c r="AM157" s="689">
        <f t="shared" si="577"/>
        <v>8.804872383586293E-2</v>
      </c>
    </row>
    <row r="158" spans="1:40" ht="12" x14ac:dyDescent="0.3">
      <c r="A158" s="778" t="s">
        <v>215</v>
      </c>
      <c r="B158" s="470"/>
      <c r="C158" s="736"/>
      <c r="D158" s="736"/>
      <c r="E158" s="736"/>
      <c r="F158" s="752"/>
      <c r="G158" s="786"/>
      <c r="H158" s="786"/>
      <c r="I158" s="786"/>
      <c r="J158" s="787"/>
      <c r="K158" s="786">
        <f t="shared" si="578"/>
        <v>8.2002129925452305E-2</v>
      </c>
      <c r="L158" s="786">
        <f t="shared" si="578"/>
        <v>1.1734265734265734</v>
      </c>
      <c r="M158" s="786">
        <f t="shared" si="578"/>
        <v>0.75257731958762886</v>
      </c>
      <c r="N158" s="787">
        <f t="shared" si="578"/>
        <v>0.66100178890876649</v>
      </c>
      <c r="O158" s="786">
        <f t="shared" si="578"/>
        <v>0.91732283464566922</v>
      </c>
      <c r="P158" s="786">
        <f t="shared" si="578"/>
        <v>0.33462033462033447</v>
      </c>
      <c r="Q158" s="786">
        <f t="shared" si="578"/>
        <v>1.9411764705882462E-2</v>
      </c>
      <c r="R158" s="787">
        <f t="shared" si="578"/>
        <v>-9.1545503500269243E-2</v>
      </c>
      <c r="S158" s="786">
        <f t="shared" si="578"/>
        <v>-0.28952772073921973</v>
      </c>
      <c r="T158" s="786">
        <f t="shared" si="563"/>
        <v>-0.2864030858244937</v>
      </c>
      <c r="U158" s="786">
        <f t="shared" si="564"/>
        <v>-0.14195037507212926</v>
      </c>
      <c r="V158" s="786">
        <f t="shared" si="565"/>
        <v>6.2833432128037936E-2</v>
      </c>
      <c r="W158" s="992">
        <f t="shared" si="566"/>
        <v>0.25289017341040476</v>
      </c>
      <c r="X158" s="786">
        <f t="shared" si="567"/>
        <v>0.3641891891891893</v>
      </c>
      <c r="Y158" s="788">
        <f t="shared" si="568"/>
        <v>0.62071284465366272</v>
      </c>
      <c r="Z158" s="787">
        <f t="shared" si="569"/>
        <v>0.11544896820970441</v>
      </c>
      <c r="AA158" s="786">
        <f t="shared" si="570"/>
        <v>5.2657709347782911E-2</v>
      </c>
      <c r="AB158" s="786">
        <f t="shared" si="571"/>
        <v>6.2022348787184045E-2</v>
      </c>
      <c r="AC158" s="786">
        <f t="shared" si="572"/>
        <v>7.4498270844624015E-2</v>
      </c>
      <c r="AD158" s="786">
        <f t="shared" si="573"/>
        <v>8.2088481036937777E-2</v>
      </c>
      <c r="AE158" s="736"/>
      <c r="AF158" s="786"/>
      <c r="AG158" s="786"/>
      <c r="AH158" s="786">
        <f t="shared" si="579"/>
        <v>-0.13878020713463746</v>
      </c>
      <c r="AI158" s="786">
        <f t="shared" si="579"/>
        <v>0.63735970069481573</v>
      </c>
      <c r="AJ158" s="786">
        <f t="shared" si="579"/>
        <v>0.2146237963114086</v>
      </c>
      <c r="AK158" s="788">
        <f t="shared" ref="AK158" si="581">+AK152/AJ152-1</f>
        <v>-0.17441547970975557</v>
      </c>
      <c r="AL158" s="786">
        <f t="shared" si="576"/>
        <v>0.32861328124999933</v>
      </c>
      <c r="AM158" s="786">
        <f t="shared" si="577"/>
        <v>6.8632780230283075E-2</v>
      </c>
    </row>
    <row r="159" spans="1:40" s="470" customFormat="1" x14ac:dyDescent="0.25">
      <c r="A159" s="766" t="s">
        <v>216</v>
      </c>
      <c r="C159" s="767"/>
      <c r="D159" s="767"/>
      <c r="E159" s="767"/>
      <c r="F159" s="768"/>
      <c r="G159" s="769">
        <f t="shared" ref="G159:J159" si="582">+G153/C153-1</f>
        <v>1.050261197771829E-2</v>
      </c>
      <c r="H159" s="769">
        <f t="shared" si="582"/>
        <v>-0.13671980990125077</v>
      </c>
      <c r="I159" s="769">
        <f t="shared" si="582"/>
        <v>0.10510709466829327</v>
      </c>
      <c r="J159" s="770">
        <f t="shared" si="582"/>
        <v>0.23564606519851639</v>
      </c>
      <c r="K159" s="769">
        <f t="shared" si="578"/>
        <v>0.19154810130008393</v>
      </c>
      <c r="L159" s="769">
        <f t="shared" si="578"/>
        <v>0.66512053184498043</v>
      </c>
      <c r="M159" s="769">
        <f t="shared" si="578"/>
        <v>0.41007325739519507</v>
      </c>
      <c r="N159" s="770">
        <f t="shared" si="578"/>
        <v>0.35765024529844625</v>
      </c>
      <c r="O159" s="769">
        <f t="shared" si="578"/>
        <v>0.43772999167108351</v>
      </c>
      <c r="P159" s="769">
        <f t="shared" si="578"/>
        <v>0.15292347820118279</v>
      </c>
      <c r="Q159" s="769">
        <f t="shared" si="578"/>
        <v>6.8020967817200351E-2</v>
      </c>
      <c r="R159" s="770">
        <f t="shared" si="578"/>
        <v>2.9642594997447702E-4</v>
      </c>
      <c r="S159" s="769">
        <f t="shared" si="578"/>
        <v>-7.5631579778914104E-2</v>
      </c>
      <c r="T159" s="769">
        <f t="shared" si="563"/>
        <v>-8.0600909898244089E-2</v>
      </c>
      <c r="U159" s="769">
        <f t="shared" si="564"/>
        <v>-2.7293117007951895E-2</v>
      </c>
      <c r="V159" s="769">
        <f t="shared" si="565"/>
        <v>-4.7193019591241669E-2</v>
      </c>
      <c r="W159" s="989">
        <f t="shared" si="566"/>
        <v>-3.4776663628076632E-2</v>
      </c>
      <c r="X159" s="769">
        <f t="shared" si="567"/>
        <v>-4.1496910665623776E-3</v>
      </c>
      <c r="Y159" s="772">
        <f t="shared" si="568"/>
        <v>-6.2136910822303548E-3</v>
      </c>
      <c r="Z159" s="770">
        <f t="shared" si="569"/>
        <v>2.7984712018893187E-2</v>
      </c>
      <c r="AA159" s="769">
        <f t="shared" si="570"/>
        <v>5.2657709347782911E-2</v>
      </c>
      <c r="AB159" s="769">
        <f t="shared" si="571"/>
        <v>6.2022348787184045E-2</v>
      </c>
      <c r="AC159" s="769">
        <f t="shared" si="572"/>
        <v>7.4498270844624015E-2</v>
      </c>
      <c r="AD159" s="769">
        <f t="shared" si="573"/>
        <v>8.2088481036937999E-2</v>
      </c>
      <c r="AE159" s="767"/>
      <c r="AF159" s="769"/>
      <c r="AG159" s="769"/>
      <c r="AH159" s="769">
        <f t="shared" si="579"/>
        <v>5.684698204733829E-2</v>
      </c>
      <c r="AI159" s="769">
        <f t="shared" si="579"/>
        <v>0.39897751957168182</v>
      </c>
      <c r="AJ159" s="769">
        <f t="shared" si="579"/>
        <v>0.13720158080570566</v>
      </c>
      <c r="AK159" s="772">
        <f t="shared" ref="AK159" si="583">+AK153/AJ153-1</f>
        <v>-5.7111958549325048E-2</v>
      </c>
      <c r="AL159" s="769">
        <f t="shared" si="576"/>
        <v>-3.2069728148321763E-3</v>
      </c>
      <c r="AM159" s="769">
        <f t="shared" si="577"/>
        <v>6.8689863971036713E-2</v>
      </c>
    </row>
    <row r="160" spans="1:40" s="470" customFormat="1" x14ac:dyDescent="0.25">
      <c r="A160" s="766" t="s">
        <v>220</v>
      </c>
      <c r="C160" s="767"/>
      <c r="D160" s="767"/>
      <c r="E160" s="767"/>
      <c r="F160" s="768"/>
      <c r="G160" s="769">
        <f t="shared" ref="G160:Z160" si="584">+G29</f>
        <v>7.7305631828704403E-3</v>
      </c>
      <c r="H160" s="769">
        <f t="shared" si="584"/>
        <v>-0.13268348470213548</v>
      </c>
      <c r="I160" s="769">
        <f t="shared" si="584"/>
        <v>0.10297242943574247</v>
      </c>
      <c r="J160" s="770">
        <f t="shared" si="584"/>
        <v>0.23371278158281353</v>
      </c>
      <c r="K160" s="769">
        <f t="shared" si="584"/>
        <v>0.192</v>
      </c>
      <c r="L160" s="769">
        <f t="shared" si="584"/>
        <v>0.59330622041469439</v>
      </c>
      <c r="M160" s="769">
        <f t="shared" si="584"/>
        <v>0.34251853368231733</v>
      </c>
      <c r="N160" s="770">
        <f t="shared" si="584"/>
        <v>0.30207481602616504</v>
      </c>
      <c r="O160" s="769">
        <f t="shared" si="584"/>
        <v>0.33294465056409495</v>
      </c>
      <c r="P160" s="769">
        <f t="shared" si="584"/>
        <v>0.11791724343061083</v>
      </c>
      <c r="Q160" s="769">
        <f t="shared" si="584"/>
        <v>4.2303763733557265E-2</v>
      </c>
      <c r="R160" s="770">
        <f t="shared" si="584"/>
        <v>-8.116424820732937E-3</v>
      </c>
      <c r="S160" s="769">
        <f t="shared" si="584"/>
        <v>-6.4308698605968884E-2</v>
      </c>
      <c r="T160" s="769">
        <f t="shared" si="584"/>
        <v>-7.5262575597461856E-2</v>
      </c>
      <c r="U160" s="769">
        <f t="shared" si="584"/>
        <v>-3.3842105774178677E-2</v>
      </c>
      <c r="V160" s="769">
        <f t="shared" si="584"/>
        <v>-5.9557032321893612E-2</v>
      </c>
      <c r="W160" s="989">
        <f t="shared" ref="W160:X160" si="585">+W29</f>
        <v>-5.0999999999999997E-2</v>
      </c>
      <c r="X160" s="769">
        <f t="shared" si="585"/>
        <v>-2.1999999999999999E-2</v>
      </c>
      <c r="Y160" s="772">
        <f t="shared" ref="Y160" si="586">+Y29</f>
        <v>-1.7999999999999999E-2</v>
      </c>
      <c r="Z160" s="770">
        <f t="shared" si="584"/>
        <v>0.03</v>
      </c>
      <c r="AA160" s="769">
        <f t="shared" ref="AA160:AD160" si="587">+AA29</f>
        <v>0.05</v>
      </c>
      <c r="AB160" s="769">
        <f t="shared" si="587"/>
        <v>5.9999999999999991E-2</v>
      </c>
      <c r="AC160" s="769">
        <f t="shared" si="587"/>
        <v>7.0000000000000007E-2</v>
      </c>
      <c r="AD160" s="769">
        <f t="shared" si="587"/>
        <v>0.08</v>
      </c>
      <c r="AE160" s="767"/>
      <c r="AF160" s="769"/>
      <c r="AG160" s="769"/>
      <c r="AH160" s="769">
        <f>+AH29</f>
        <v>5.6178009511735218E-2</v>
      </c>
      <c r="AI160" s="769">
        <f>+AI29</f>
        <v>0.35038711273995687</v>
      </c>
      <c r="AJ160" s="769">
        <f>+AJ29</f>
        <v>9.9651127692880204E-2</v>
      </c>
      <c r="AK160" s="772">
        <f>+AK29</f>
        <v>-5.8039743669590776E-2</v>
      </c>
      <c r="AL160" s="769">
        <f>+AL29</f>
        <v>-1.3823882078294126E-2</v>
      </c>
      <c r="AM160" s="769">
        <f t="shared" ref="AM160" si="588">+AM29</f>
        <v>6.5860468374287551E-2</v>
      </c>
    </row>
    <row r="161" spans="1:40" s="470" customFormat="1" x14ac:dyDescent="0.25">
      <c r="A161" s="766"/>
      <c r="C161" s="767"/>
      <c r="D161" s="767"/>
      <c r="E161" s="767"/>
      <c r="F161" s="768"/>
      <c r="G161" s="769"/>
      <c r="H161" s="769"/>
      <c r="I161" s="769"/>
      <c r="J161" s="770"/>
      <c r="K161" s="769"/>
      <c r="L161" s="769"/>
      <c r="M161" s="769"/>
      <c r="N161" s="770"/>
      <c r="O161" s="769"/>
      <c r="P161" s="769"/>
      <c r="Q161" s="769"/>
      <c r="R161" s="770"/>
      <c r="S161" s="769"/>
      <c r="T161" s="769"/>
      <c r="U161" s="769"/>
      <c r="V161" s="769"/>
      <c r="W161" s="989"/>
      <c r="X161" s="769"/>
      <c r="Y161" s="772"/>
      <c r="Z161" s="770"/>
      <c r="AA161" s="769"/>
      <c r="AB161" s="769"/>
      <c r="AC161" s="769"/>
      <c r="AD161" s="769"/>
      <c r="AE161" s="767"/>
      <c r="AF161" s="769"/>
      <c r="AG161" s="769"/>
      <c r="AH161" s="769"/>
      <c r="AI161" s="769"/>
      <c r="AJ161" s="769"/>
      <c r="AK161" s="772"/>
      <c r="AL161" s="769"/>
      <c r="AM161" s="769"/>
    </row>
    <row r="162" spans="1:40" x14ac:dyDescent="0.25">
      <c r="A162" s="783" t="s">
        <v>247</v>
      </c>
      <c r="C162" s="846"/>
      <c r="D162" s="846"/>
      <c r="E162" s="846"/>
      <c r="F162" s="847"/>
      <c r="G162" s="848"/>
      <c r="H162" s="848"/>
      <c r="I162" s="848"/>
      <c r="J162" s="847"/>
      <c r="K162" s="848"/>
      <c r="L162" s="848"/>
      <c r="M162" s="848"/>
      <c r="N162" s="847"/>
      <c r="O162" s="848"/>
      <c r="P162" s="848"/>
      <c r="Q162" s="848"/>
      <c r="R162" s="847"/>
      <c r="S162" s="848"/>
      <c r="T162" s="848"/>
      <c r="U162" s="848"/>
      <c r="V162" s="848"/>
      <c r="W162" s="1417"/>
      <c r="X162" s="848"/>
      <c r="Y162" s="849"/>
      <c r="Z162" s="847"/>
      <c r="AA162" s="848"/>
      <c r="AB162" s="848"/>
      <c r="AC162" s="848"/>
      <c r="AD162" s="848"/>
      <c r="AE162" s="848"/>
      <c r="AF162" s="848"/>
      <c r="AG162" s="848"/>
      <c r="AH162" s="848"/>
      <c r="AI162" s="848"/>
      <c r="AJ162" s="848"/>
      <c r="AK162" s="849"/>
      <c r="AL162" s="846"/>
      <c r="AM162" s="846"/>
      <c r="AN162" s="850"/>
    </row>
    <row r="163" spans="1:40" x14ac:dyDescent="0.25">
      <c r="A163" s="460" t="str">
        <f>+'FA - Detailed Disclosure'!A144</f>
        <v>Americas - Reported</v>
      </c>
      <c r="C163" s="851"/>
      <c r="D163" s="851"/>
      <c r="E163" s="851"/>
      <c r="F163" s="852"/>
      <c r="G163" s="851">
        <f t="shared" ref="G163:J163" si="589">+G150</f>
        <v>98.267999999999986</v>
      </c>
      <c r="H163" s="851">
        <f t="shared" si="589"/>
        <v>94.208999999999989</v>
      </c>
      <c r="I163" s="851">
        <f t="shared" si="589"/>
        <v>125.75699999999999</v>
      </c>
      <c r="J163" s="852">
        <f t="shared" si="589"/>
        <v>144.17900000000003</v>
      </c>
      <c r="K163" s="851">
        <f>+K150</f>
        <v>116.52399999999999</v>
      </c>
      <c r="L163" s="851">
        <f>+'FA - Detailed Disclosure'!L144</f>
        <v>146.29999999999998</v>
      </c>
      <c r="M163" s="851">
        <f>+'FA - Detailed Disclosure'!M144</f>
        <v>158.97199999999998</v>
      </c>
      <c r="N163" s="852">
        <f>+'FA - Detailed Disclosure'!N144</f>
        <v>182.61700000000002</v>
      </c>
      <c r="O163" s="851">
        <f>+'FA - Detailed Disclosure'!O144</f>
        <v>160.08799999999999</v>
      </c>
      <c r="P163" s="851">
        <f>+'FA - Detailed Disclosure'!P144</f>
        <v>170.59100000000001</v>
      </c>
      <c r="Q163" s="851">
        <f>+'FA - Detailed Disclosure'!Q144</f>
        <v>176.09100000000001</v>
      </c>
      <c r="R163" s="852">
        <f>+'FA - Detailed Disclosure'!R144</f>
        <v>188.095</v>
      </c>
      <c r="S163" s="1008">
        <f>+'FA - Detailed Disclosure'!S144</f>
        <v>152.05600000000001</v>
      </c>
      <c r="T163" s="1008">
        <f>+'FA - Detailed Disclosure'!T144</f>
        <v>162.68199999999999</v>
      </c>
      <c r="U163" s="1008">
        <f>+'FA - Detailed Disclosure'!U144</f>
        <v>176.04599999999999</v>
      </c>
      <c r="V163" s="851">
        <f>+V9</f>
        <v>182.29</v>
      </c>
      <c r="W163" s="1418">
        <f>+W9</f>
        <v>149.12700000000001</v>
      </c>
      <c r="X163" s="1008">
        <f t="shared" ref="X163:Y163" si="590">+X9</f>
        <v>162.37799999999999</v>
      </c>
      <c r="Y163" s="1465">
        <f t="shared" si="590"/>
        <v>174.905</v>
      </c>
      <c r="Z163" s="852">
        <f>+Z9</f>
        <v>187.7587</v>
      </c>
      <c r="AA163" s="851">
        <f t="shared" ref="AA163:AD163" si="591">+AA9</f>
        <v>156.58335000000002</v>
      </c>
      <c r="AB163" s="851">
        <f t="shared" si="591"/>
        <v>172.12067999999999</v>
      </c>
      <c r="AC163" s="851">
        <f t="shared" si="591"/>
        <v>187.14835000000002</v>
      </c>
      <c r="AD163" s="851">
        <f t="shared" si="591"/>
        <v>202.77939600000002</v>
      </c>
      <c r="AE163" s="851"/>
      <c r="AF163" s="851"/>
      <c r="AG163" s="851">
        <f t="shared" ref="AG163:AH163" si="592">+AG150</f>
        <v>423.16399999999999</v>
      </c>
      <c r="AH163" s="851">
        <f t="shared" si="592"/>
        <v>462.41300000000001</v>
      </c>
      <c r="AI163" s="851">
        <f>+AI150</f>
        <v>604.41300000000001</v>
      </c>
      <c r="AJ163" s="851">
        <f>+'FA - Detailed Disclosure'!AL144</f>
        <v>694.86500000000001</v>
      </c>
      <c r="AK163" s="853">
        <f>SUM(S163:V163)</f>
        <v>673.07399999999996</v>
      </c>
      <c r="AL163" s="851">
        <f>+SUM(W163:Z163)</f>
        <v>674.16869999999994</v>
      </c>
      <c r="AM163" s="851">
        <f t="shared" ref="AM163:AM167" si="593">+SUM(AA163:AD163)</f>
        <v>718.63177600000006</v>
      </c>
      <c r="AN163" s="850"/>
    </row>
    <row r="164" spans="1:40" s="817" customFormat="1" ht="13" x14ac:dyDescent="0.4">
      <c r="A164" s="460" t="str">
        <f>+'FA - Detailed Disclosure'!A145</f>
        <v>FX Translation Impact</v>
      </c>
      <c r="B164" s="778"/>
      <c r="F164" s="845"/>
      <c r="G164" s="862"/>
      <c r="H164" s="862"/>
      <c r="I164" s="862"/>
      <c r="J164" s="863"/>
      <c r="K164" s="862">
        <v>0</v>
      </c>
      <c r="L164" s="862">
        <v>0</v>
      </c>
      <c r="M164" s="862">
        <v>0</v>
      </c>
      <c r="N164" s="863">
        <v>0</v>
      </c>
      <c r="O164" s="862">
        <v>0</v>
      </c>
      <c r="P164" s="862">
        <v>0</v>
      </c>
      <c r="Q164" s="864">
        <f>+'FA - Detailed Disclosure'!Q145</f>
        <v>5.2999999999999999E-2</v>
      </c>
      <c r="R164" s="865">
        <f>+'FA - Detailed Disclosure'!R145</f>
        <v>7.6999999999999999E-2</v>
      </c>
      <c r="S164" s="1009">
        <f>+'FA - Detailed Disclosure'!S145</f>
        <v>0.02</v>
      </c>
      <c r="T164" s="1009">
        <f>+'FA - Detailed Disclosure'!T145</f>
        <v>-2.5999999999999999E-2</v>
      </c>
      <c r="U164" s="1009">
        <f>+'FA - Detailed Disclosure'!U145</f>
        <v>-8.3000000000000004E-2</v>
      </c>
      <c r="V164" s="1009">
        <f>+'FA - Detailed Disclosure'!V145</f>
        <v>-5.6000000000000001E-2</v>
      </c>
      <c r="W164" s="1421">
        <f>+'FA - Detailed Disclosure'!W145</f>
        <v>-4.5999999999999999E-2</v>
      </c>
      <c r="X164" s="1009">
        <f>+'FA - Detailed Disclosure'!X145</f>
        <v>-5.0000000000000001E-3</v>
      </c>
      <c r="Y164" s="1463">
        <f>+'FA - Detailed Disclosure'!Y145</f>
        <v>8.8999999999999996E-2</v>
      </c>
      <c r="Z164" s="863">
        <v>0</v>
      </c>
      <c r="AA164" s="862">
        <v>0</v>
      </c>
      <c r="AB164" s="862">
        <v>0</v>
      </c>
      <c r="AC164" s="862">
        <v>0</v>
      </c>
      <c r="AD164" s="862">
        <v>0</v>
      </c>
      <c r="AE164" s="689"/>
      <c r="AF164" s="689"/>
      <c r="AG164" s="689"/>
      <c r="AH164" s="689"/>
      <c r="AI164" s="864">
        <f>SUM(K164:N164)</f>
        <v>0</v>
      </c>
      <c r="AJ164" s="864">
        <f>+'FA - Detailed Disclosure'!AL145</f>
        <v>0.19900000000000001</v>
      </c>
      <c r="AK164" s="866">
        <f>SUM(S164:V164)</f>
        <v>-0.14499999999999999</v>
      </c>
      <c r="AL164" s="864">
        <f>+SUM(W164:Z164)</f>
        <v>3.7999999999999999E-2</v>
      </c>
      <c r="AM164" s="864">
        <f t="shared" si="593"/>
        <v>0</v>
      </c>
    </row>
    <row r="165" spans="1:40" s="817" customFormat="1" ht="12" x14ac:dyDescent="0.3">
      <c r="A165" s="474" t="str">
        <f>+'FA - Detailed Disclosure'!A146</f>
        <v>Americas - CC</v>
      </c>
      <c r="B165" s="778"/>
      <c r="F165" s="845"/>
      <c r="G165" s="848"/>
      <c r="H165" s="848"/>
      <c r="I165" s="848"/>
      <c r="J165" s="847"/>
      <c r="K165" s="848">
        <f t="shared" ref="K165:O165" si="594">+K163+K164</f>
        <v>116.52399999999999</v>
      </c>
      <c r="L165" s="848">
        <f t="shared" si="594"/>
        <v>146.29999999999998</v>
      </c>
      <c r="M165" s="848">
        <f t="shared" si="594"/>
        <v>158.97199999999998</v>
      </c>
      <c r="N165" s="847">
        <f t="shared" si="594"/>
        <v>182.61700000000002</v>
      </c>
      <c r="O165" s="848">
        <f t="shared" si="594"/>
        <v>160.08799999999999</v>
      </c>
      <c r="P165" s="848">
        <f>+P163+P164</f>
        <v>170.59100000000001</v>
      </c>
      <c r="Q165" s="848">
        <f>+'FA - Detailed Disclosure'!Q146</f>
        <v>176.14400000000001</v>
      </c>
      <c r="R165" s="847">
        <f>+'FA - Detailed Disclosure'!R146</f>
        <v>188.172</v>
      </c>
      <c r="S165" s="961">
        <f>+'FA - Detailed Disclosure'!S146</f>
        <v>152.07600000000002</v>
      </c>
      <c r="T165" s="961">
        <f>+'FA - Detailed Disclosure'!T146</f>
        <v>162.65599999999998</v>
      </c>
      <c r="U165" s="961">
        <f>+'FA - Detailed Disclosure'!U146</f>
        <v>175.96299999999999</v>
      </c>
      <c r="V165" s="961">
        <f t="shared" ref="V165:Z165" si="595">+V163+V164</f>
        <v>182.23399999999998</v>
      </c>
      <c r="W165" s="1422">
        <f t="shared" ref="W165:X165" si="596">+W163+W164</f>
        <v>149.08100000000002</v>
      </c>
      <c r="X165" s="961">
        <f t="shared" si="596"/>
        <v>162.37299999999999</v>
      </c>
      <c r="Y165" s="1464">
        <f t="shared" ref="Y165" si="597">+Y163+Y164</f>
        <v>174.994</v>
      </c>
      <c r="Z165" s="847">
        <f t="shared" si="595"/>
        <v>187.7587</v>
      </c>
      <c r="AA165" s="848">
        <f t="shared" ref="AA165:AD165" si="598">+AA163+AA164</f>
        <v>156.58335000000002</v>
      </c>
      <c r="AB165" s="848">
        <f t="shared" si="598"/>
        <v>172.12067999999999</v>
      </c>
      <c r="AC165" s="848">
        <f t="shared" si="598"/>
        <v>187.14835000000002</v>
      </c>
      <c r="AD165" s="848">
        <f t="shared" si="598"/>
        <v>202.77939600000002</v>
      </c>
      <c r="AE165" s="689"/>
      <c r="AF165" s="689"/>
      <c r="AG165" s="689"/>
      <c r="AH165" s="689"/>
      <c r="AI165" s="848">
        <f t="shared" ref="AI165" si="599">+AI163+AI164</f>
        <v>604.41300000000001</v>
      </c>
      <c r="AJ165" s="848">
        <f>+'FA - Detailed Disclosure'!AL146</f>
        <v>695.06399999999996</v>
      </c>
      <c r="AK165" s="849">
        <f>SUM(S165:V165)</f>
        <v>672.92899999999986</v>
      </c>
      <c r="AL165" s="848">
        <f>+SUM(W165:Z165)</f>
        <v>674.20669999999996</v>
      </c>
      <c r="AM165" s="848">
        <f t="shared" si="593"/>
        <v>718.63177600000006</v>
      </c>
    </row>
    <row r="166" spans="1:40" s="817" customFormat="1" ht="13" x14ac:dyDescent="0.4">
      <c r="A166" s="460" t="str">
        <f>+'FA - Detailed Disclosure'!A147</f>
        <v>M&amp;A Impact</v>
      </c>
      <c r="B166" s="778"/>
      <c r="F166" s="845"/>
      <c r="G166" s="864"/>
      <c r="H166" s="864"/>
      <c r="I166" s="864"/>
      <c r="J166" s="865"/>
      <c r="K166" s="864">
        <f>+'FA - Detailed Disclosure'!K175+'FA - Detailed Disclosure'!K176+'FA - Detailed Disclosure'!K177</f>
        <v>0</v>
      </c>
      <c r="L166" s="864">
        <f>+'FA - Detailed Disclosure'!L175+'FA - Detailed Disclosure'!L176+'FA - Detailed Disclosure'!L177</f>
        <v>0</v>
      </c>
      <c r="M166" s="864">
        <f>+'FA - Detailed Disclosure'!M175+'FA - Detailed Disclosure'!M176+'FA - Detailed Disclosure'!M177</f>
        <v>0</v>
      </c>
      <c r="N166" s="865">
        <f>+'FA - Detailed Disclosure'!N175+'FA - Detailed Disclosure'!N176+'FA - Detailed Disclosure'!N177</f>
        <v>0.63000000000000078</v>
      </c>
      <c r="O166" s="864">
        <f>+'FA - Detailed Disclosure'!O175+'FA - Detailed Disclosure'!O176+'FA - Detailed Disclosure'!O177</f>
        <v>6.8000000000000007</v>
      </c>
      <c r="P166" s="864">
        <f>+'FA - Detailed Disclosure'!P175+'FA - Detailed Disclosure'!P176+'FA - Detailed Disclosure'!P177</f>
        <v>8.3000000000000007</v>
      </c>
      <c r="Q166" s="864">
        <f>+'FA - Detailed Disclosure'!Q147</f>
        <v>8.4</v>
      </c>
      <c r="R166" s="865">
        <f>+'FA - Detailed Disclosure'!R147</f>
        <v>5.4489999999999998</v>
      </c>
      <c r="S166" s="1009">
        <f>+'FA - Detailed Disclosure'!S147</f>
        <v>0</v>
      </c>
      <c r="T166" s="1009">
        <f>+'FA - Detailed Disclosure'!T147</f>
        <v>0</v>
      </c>
      <c r="U166" s="1009">
        <f>+'FA - Detailed Disclosure'!U147</f>
        <v>0.85099999999999998</v>
      </c>
      <c r="V166" s="1009">
        <f>+'FA - Detailed Disclosure'!V147</f>
        <v>2.1429999999999998</v>
      </c>
      <c r="W166" s="1421">
        <f>+'FA - Detailed Disclosure'!W147</f>
        <v>2.8090000000000002</v>
      </c>
      <c r="X166" s="1009">
        <f>+'FA - Detailed Disclosure'!X147</f>
        <v>3.3</v>
      </c>
      <c r="Y166" s="1463">
        <f>+'FA - Detailed Disclosure'!Y147</f>
        <v>3.3</v>
      </c>
      <c r="Z166" s="863">
        <v>0</v>
      </c>
      <c r="AA166" s="862">
        <v>0</v>
      </c>
      <c r="AB166" s="862">
        <v>0</v>
      </c>
      <c r="AC166" s="862">
        <v>0</v>
      </c>
      <c r="AD166" s="862">
        <v>0</v>
      </c>
      <c r="AE166" s="689"/>
      <c r="AF166" s="689"/>
      <c r="AG166" s="689"/>
      <c r="AH166" s="689"/>
      <c r="AI166" s="864">
        <f>SUM(K166:N166)</f>
        <v>0.63000000000000078</v>
      </c>
      <c r="AJ166" s="864">
        <f>+'FA - Detailed Disclosure'!AL147</f>
        <v>29.401</v>
      </c>
      <c r="AK166" s="866">
        <f>SUM(S166:V166)</f>
        <v>2.9939999999999998</v>
      </c>
      <c r="AL166" s="864">
        <f>+SUM(W166:Z166)</f>
        <v>9.4089999999999989</v>
      </c>
      <c r="AM166" s="864">
        <f t="shared" si="593"/>
        <v>0</v>
      </c>
    </row>
    <row r="167" spans="1:40" s="817" customFormat="1" ht="12" x14ac:dyDescent="0.3">
      <c r="A167" s="474" t="str">
        <f>+'FA - Detailed Disclosure'!A148</f>
        <v>Americas - Organic</v>
      </c>
      <c r="B167" s="778"/>
      <c r="F167" s="845"/>
      <c r="G167" s="848"/>
      <c r="H167" s="848"/>
      <c r="I167" s="848"/>
      <c r="J167" s="847"/>
      <c r="K167" s="848">
        <f t="shared" ref="K167:O167" si="600">+K165-K166</f>
        <v>116.52399999999999</v>
      </c>
      <c r="L167" s="848">
        <f t="shared" si="600"/>
        <v>146.29999999999998</v>
      </c>
      <c r="M167" s="848">
        <f t="shared" si="600"/>
        <v>158.97199999999998</v>
      </c>
      <c r="N167" s="847">
        <f t="shared" si="600"/>
        <v>181.98700000000002</v>
      </c>
      <c r="O167" s="848">
        <f t="shared" si="600"/>
        <v>153.28799999999998</v>
      </c>
      <c r="P167" s="848">
        <f>+P165-P166</f>
        <v>162.291</v>
      </c>
      <c r="Q167" s="848">
        <f>+'FA - Detailed Disclosure'!Q148</f>
        <v>167.744</v>
      </c>
      <c r="R167" s="847">
        <f>+'FA - Detailed Disclosure'!R148</f>
        <v>182.72299999999998</v>
      </c>
      <c r="S167" s="961">
        <f>+'FA - Detailed Disclosure'!S148</f>
        <v>152.07600000000002</v>
      </c>
      <c r="T167" s="961">
        <f>+'FA - Detailed Disclosure'!T148</f>
        <v>162.65599999999998</v>
      </c>
      <c r="U167" s="961">
        <f>+'FA - Detailed Disclosure'!U148</f>
        <v>175.11199999999999</v>
      </c>
      <c r="V167" s="961">
        <f t="shared" ref="V167:Z167" si="601">+V165-V166</f>
        <v>180.09099999999998</v>
      </c>
      <c r="W167" s="1422">
        <f t="shared" ref="W167:X167" si="602">+W165-W166</f>
        <v>146.27200000000002</v>
      </c>
      <c r="X167" s="961">
        <f t="shared" si="602"/>
        <v>159.07299999999998</v>
      </c>
      <c r="Y167" s="1464">
        <f t="shared" ref="Y167" si="603">+Y165-Y166</f>
        <v>171.69399999999999</v>
      </c>
      <c r="Z167" s="847">
        <f t="shared" si="601"/>
        <v>187.7587</v>
      </c>
      <c r="AA167" s="848">
        <f t="shared" ref="AA167:AD167" si="604">+AA165-AA166</f>
        <v>156.58335000000002</v>
      </c>
      <c r="AB167" s="848">
        <f t="shared" si="604"/>
        <v>172.12067999999999</v>
      </c>
      <c r="AC167" s="848">
        <f t="shared" si="604"/>
        <v>187.14835000000002</v>
      </c>
      <c r="AD167" s="848">
        <f t="shared" si="604"/>
        <v>202.77939600000002</v>
      </c>
      <c r="AE167" s="689"/>
      <c r="AF167" s="689"/>
      <c r="AG167" s="689"/>
      <c r="AH167" s="689"/>
      <c r="AI167" s="848">
        <f t="shared" ref="AI167" si="605">+AI165-AI166</f>
        <v>603.78300000000002</v>
      </c>
      <c r="AJ167" s="848">
        <f>+'FA - Detailed Disclosure'!AL148</f>
        <v>665.66300000000001</v>
      </c>
      <c r="AK167" s="849">
        <f>SUM(S167:V167)</f>
        <v>669.93499999999995</v>
      </c>
      <c r="AL167" s="848">
        <f>+SUM(W167:Z167)</f>
        <v>664.79769999999996</v>
      </c>
      <c r="AM167" s="848">
        <f t="shared" si="593"/>
        <v>718.63177600000006</v>
      </c>
    </row>
    <row r="168" spans="1:40" s="817" customFormat="1" ht="12" x14ac:dyDescent="0.3">
      <c r="A168" s="798" t="s">
        <v>248</v>
      </c>
      <c r="B168" s="778"/>
      <c r="F168" s="845"/>
      <c r="G168" s="689"/>
      <c r="H168" s="689"/>
      <c r="I168" s="689"/>
      <c r="J168" s="779"/>
      <c r="K168" s="689">
        <f t="shared" ref="K168" si="606">+K167/G163-1</f>
        <v>0.18577766923108241</v>
      </c>
      <c r="L168" s="689">
        <f t="shared" ref="L168" si="607">+L167/H163-1</f>
        <v>0.55293018713710995</v>
      </c>
      <c r="M168" s="689">
        <f t="shared" ref="M168" si="608">+M167/I163-1</f>
        <v>0.2641204863347566</v>
      </c>
      <c r="N168" s="779">
        <f t="shared" ref="N168" si="609">+N167/J163-1</f>
        <v>0.26222958960736298</v>
      </c>
      <c r="O168" s="689">
        <f t="shared" ref="O168" si="610">+O167/K163-1</f>
        <v>0.31550581854381932</v>
      </c>
      <c r="P168" s="689">
        <f t="shared" ref="P168:R168" si="611">+P167/L163-1</f>
        <v>0.10930280246069723</v>
      </c>
      <c r="Q168" s="689">
        <f t="shared" si="611"/>
        <v>5.5179528470422623E-2</v>
      </c>
      <c r="R168" s="779">
        <f t="shared" si="611"/>
        <v>5.8044979383065076E-4</v>
      </c>
      <c r="S168" s="799">
        <f>+S167/O163-1</f>
        <v>-5.0047473889360705E-2</v>
      </c>
      <c r="T168" s="799">
        <f t="shared" ref="T168:U168" si="612">+T167/P163-1</f>
        <v>-4.6514763381421242E-2</v>
      </c>
      <c r="U168" s="799">
        <f t="shared" si="612"/>
        <v>-5.559625420947234E-3</v>
      </c>
      <c r="V168" s="799">
        <f t="shared" ref="V168" si="613">+V167/R163-1</f>
        <v>-4.2552965256918096E-2</v>
      </c>
      <c r="W168" s="994">
        <f t="shared" ref="W168" si="614">+W167/S163-1</f>
        <v>-3.8038617351502046E-2</v>
      </c>
      <c r="X168" s="799">
        <f t="shared" ref="X168" si="615">+X167/T163-1</f>
        <v>-2.2184384258860934E-2</v>
      </c>
      <c r="Y168" s="1456">
        <f t="shared" ref="Y168" si="616">+Y167/U163-1</f>
        <v>-2.4720811606057547E-2</v>
      </c>
      <c r="Z168" s="779">
        <f t="shared" ref="Z168" si="617">+Z167/V163-1</f>
        <v>3.0000000000000027E-2</v>
      </c>
      <c r="AA168" s="689">
        <f t="shared" ref="AA168" si="618">+AA167/W163-1</f>
        <v>5.0000000000000044E-2</v>
      </c>
      <c r="AB168" s="689">
        <f t="shared" ref="AB168" si="619">+AB167/X163-1</f>
        <v>6.0000000000000053E-2</v>
      </c>
      <c r="AC168" s="689">
        <f t="shared" ref="AC168" si="620">+AC167/Y163-1</f>
        <v>7.0000000000000062E-2</v>
      </c>
      <c r="AD168" s="689">
        <f t="shared" ref="AD168" si="621">+AD167/Z163-1</f>
        <v>8.0000000000000071E-2</v>
      </c>
      <c r="AE168" s="689"/>
      <c r="AF168" s="689"/>
      <c r="AG168" s="689"/>
      <c r="AH168" s="689"/>
      <c r="AI168" s="689">
        <f>+AI167/AH163-1</f>
        <v>0.30572237372219213</v>
      </c>
      <c r="AJ168" s="689">
        <f>+AJ167/AI163-1</f>
        <v>0.10133799239923702</v>
      </c>
      <c r="AK168" s="781">
        <f>+AK167/AJ163-1</f>
        <v>-3.5877472602591998E-2</v>
      </c>
      <c r="AL168" s="689">
        <f>+AL167/AK163-1</f>
        <v>-1.2296270543803445E-2</v>
      </c>
      <c r="AM168" s="689">
        <f>+AM167/AL163-1</f>
        <v>6.5952447807203329E-2</v>
      </c>
    </row>
    <row r="169" spans="1:40" s="817" customFormat="1" ht="12" x14ac:dyDescent="0.3">
      <c r="A169" s="778"/>
      <c r="B169" s="778"/>
      <c r="F169" s="845"/>
      <c r="G169" s="689"/>
      <c r="H169" s="689"/>
      <c r="I169" s="736"/>
      <c r="J169" s="779"/>
      <c r="K169" s="689"/>
      <c r="L169" s="689"/>
      <c r="M169" s="736"/>
      <c r="N169" s="779"/>
      <c r="O169" s="689"/>
      <c r="P169" s="689"/>
      <c r="Q169" s="689"/>
      <c r="R169" s="779"/>
      <c r="S169" s="799"/>
      <c r="T169" s="799"/>
      <c r="U169" s="799"/>
      <c r="V169" s="799"/>
      <c r="W169" s="991"/>
      <c r="X169" s="799"/>
      <c r="Y169" s="1456"/>
      <c r="Z169" s="779"/>
      <c r="AA169" s="689"/>
      <c r="AB169" s="689"/>
      <c r="AC169" s="689"/>
      <c r="AD169" s="689"/>
      <c r="AE169" s="689"/>
      <c r="AF169" s="689"/>
      <c r="AG169" s="689"/>
      <c r="AH169" s="689"/>
      <c r="AI169" s="689"/>
      <c r="AJ169" s="689"/>
      <c r="AK169" s="781"/>
      <c r="AL169" s="689"/>
      <c r="AM169" s="689"/>
    </row>
    <row r="170" spans="1:40" x14ac:dyDescent="0.25">
      <c r="A170" s="783" t="s">
        <v>249</v>
      </c>
      <c r="C170" s="846"/>
      <c r="D170" s="846"/>
      <c r="E170" s="846"/>
      <c r="F170" s="847"/>
      <c r="G170" s="848"/>
      <c r="H170" s="848"/>
      <c r="I170" s="848"/>
      <c r="J170" s="847"/>
      <c r="K170" s="848"/>
      <c r="L170" s="848"/>
      <c r="M170" s="848"/>
      <c r="N170" s="847"/>
      <c r="O170" s="848"/>
      <c r="P170" s="848"/>
      <c r="Q170" s="848"/>
      <c r="R170" s="847"/>
      <c r="S170" s="961"/>
      <c r="T170" s="961"/>
      <c r="U170" s="961"/>
      <c r="V170" s="961"/>
      <c r="W170" s="1422"/>
      <c r="X170" s="961"/>
      <c r="Y170" s="1464"/>
      <c r="Z170" s="847"/>
      <c r="AA170" s="848"/>
      <c r="AB170" s="848"/>
      <c r="AC170" s="848"/>
      <c r="AD170" s="848"/>
      <c r="AE170" s="848"/>
      <c r="AF170" s="848"/>
      <c r="AG170" s="848"/>
      <c r="AH170" s="848"/>
      <c r="AI170" s="848"/>
      <c r="AJ170" s="848"/>
      <c r="AK170" s="849"/>
      <c r="AL170" s="846"/>
      <c r="AM170" s="846"/>
      <c r="AN170" s="850"/>
    </row>
    <row r="171" spans="1:40" x14ac:dyDescent="0.25">
      <c r="A171" s="460" t="str">
        <f>+'FA - Detailed Disclosure'!A150</f>
        <v>International - Reported</v>
      </c>
      <c r="C171" s="851"/>
      <c r="D171" s="851"/>
      <c r="E171" s="851"/>
      <c r="F171" s="852"/>
      <c r="G171" s="851">
        <f t="shared" ref="G171:J171" si="622">+G151</f>
        <v>13.509999999999998</v>
      </c>
      <c r="H171" s="851">
        <f t="shared" si="622"/>
        <v>11.499000000000001</v>
      </c>
      <c r="I171" s="851">
        <f t="shared" si="622"/>
        <v>11.991</v>
      </c>
      <c r="J171" s="852">
        <f t="shared" si="622"/>
        <v>13.482999999999997</v>
      </c>
      <c r="K171" s="851">
        <f>+K151</f>
        <v>16.562000000000001</v>
      </c>
      <c r="L171" s="851">
        <f>+'FA - Detailed Disclosure'!L150</f>
        <v>30.08</v>
      </c>
      <c r="M171" s="851">
        <f>+'FA - Detailed Disclosure'!M150</f>
        <v>35.594999999999999</v>
      </c>
      <c r="N171" s="852">
        <f>+'FA - Detailed Disclosure'!N150</f>
        <v>31.771999999999998</v>
      </c>
      <c r="O171" s="851">
        <f>+'FA - Detailed Disclosure'!O150</f>
        <v>31.741</v>
      </c>
      <c r="P171" s="851">
        <f>+'FA - Detailed Disclosure'!P150</f>
        <v>33.043999999999997</v>
      </c>
      <c r="Q171" s="851">
        <f>+'FA - Detailed Disclosure'!Q150</f>
        <v>31.628</v>
      </c>
      <c r="R171" s="852">
        <f>+'FA - Detailed Disclosure'!R150</f>
        <v>26.187000000000001</v>
      </c>
      <c r="S171" s="1008">
        <f>+'FA - Detailed Disclosure'!S150</f>
        <v>24.847999999999999</v>
      </c>
      <c r="T171" s="1008">
        <f>+'FA - Detailed Disclosure'!T150</f>
        <v>24.113</v>
      </c>
      <c r="U171" s="1008">
        <f>+'FA - Detailed Disclosure'!U150</f>
        <v>25.805</v>
      </c>
      <c r="V171" s="1008">
        <f>+V10</f>
        <v>22.065000000000001</v>
      </c>
      <c r="W171" s="1423">
        <f>+W10</f>
        <v>22.023</v>
      </c>
      <c r="X171" s="1008">
        <f t="shared" ref="X171:Y171" si="623">+X10</f>
        <v>24.187000000000001</v>
      </c>
      <c r="Y171" s="1465">
        <f t="shared" si="623"/>
        <v>26.623999999999999</v>
      </c>
      <c r="Z171" s="852">
        <f>+Z10</f>
        <v>22.471939235971025</v>
      </c>
      <c r="AA171" s="851">
        <f t="shared" ref="AA171:AD171" si="624">+AA10</f>
        <v>23.579016954873026</v>
      </c>
      <c r="AB171" s="851">
        <f t="shared" si="624"/>
        <v>26.015519501480998</v>
      </c>
      <c r="AC171" s="851">
        <f t="shared" si="624"/>
        <v>29.394212025046183</v>
      </c>
      <c r="AD171" s="851">
        <f t="shared" si="624"/>
        <v>24.708757078276363</v>
      </c>
      <c r="AE171" s="851"/>
      <c r="AF171" s="851"/>
      <c r="AG171" s="851">
        <f t="shared" ref="AG171:AH171" si="625">+AG151</f>
        <v>62.948</v>
      </c>
      <c r="AH171" s="851">
        <f t="shared" si="625"/>
        <v>50.482999999999997</v>
      </c>
      <c r="AI171" s="851">
        <f>+AI151</f>
        <v>114.00899999999999</v>
      </c>
      <c r="AJ171" s="851">
        <f>+'FA - Detailed Disclosure'!AL150</f>
        <v>122.6</v>
      </c>
      <c r="AK171" s="853">
        <f>SUM(S171:V171)</f>
        <v>96.830999999999989</v>
      </c>
      <c r="AL171" s="851">
        <f>+SUM(W171:Z171)</f>
        <v>95.305939235971024</v>
      </c>
      <c r="AM171" s="851">
        <f t="shared" ref="AM171:AM175" si="626">+SUM(AA171:AD171)</f>
        <v>103.69750555967657</v>
      </c>
      <c r="AN171" s="850"/>
    </row>
    <row r="172" spans="1:40" s="817" customFormat="1" ht="13" x14ac:dyDescent="0.4">
      <c r="A172" s="460" t="str">
        <f>+'FA - Detailed Disclosure'!A151</f>
        <v>FX Translation Impact</v>
      </c>
      <c r="B172" s="778"/>
      <c r="F172" s="845"/>
      <c r="G172" s="862"/>
      <c r="H172" s="862"/>
      <c r="I172" s="862"/>
      <c r="J172" s="863"/>
      <c r="K172" s="862">
        <f>+K397*G171*-1</f>
        <v>-0.75410525007619811</v>
      </c>
      <c r="L172" s="862">
        <f>+'FA - Detailed Disclosure'!L163</f>
        <v>-0.4</v>
      </c>
      <c r="M172" s="862">
        <f>+'FA - Detailed Disclosure'!M163</f>
        <v>-0.4</v>
      </c>
      <c r="N172" s="863">
        <f>+'FA - Detailed Disclosure'!N163</f>
        <v>-0.08</v>
      </c>
      <c r="O172" s="862">
        <f>+'FA - Detailed Disclosure'!O163</f>
        <v>0.96099999999999997</v>
      </c>
      <c r="P172" s="862">
        <f>+'FA - Detailed Disclosure'!P163</f>
        <v>2.1800000000000002</v>
      </c>
      <c r="Q172" s="864">
        <f>+'FA - Detailed Disclosure'!Q151</f>
        <v>3.3119999999999998</v>
      </c>
      <c r="R172" s="865">
        <f>+'FA - Detailed Disclosure'!R151</f>
        <v>3.4750000000000001</v>
      </c>
      <c r="S172" s="1009">
        <f>+'FA - Detailed Disclosure'!S151</f>
        <v>2.077</v>
      </c>
      <c r="T172" s="1009">
        <f>+'FA - Detailed Disclosure'!T151</f>
        <v>1.0609999999999999</v>
      </c>
      <c r="U172" s="1009">
        <f>+'FA - Detailed Disclosure'!U151</f>
        <v>-0.434</v>
      </c>
      <c r="V172" s="1009">
        <f>+'FA - Detailed Disclosure'!V151</f>
        <v>-0.63600000000000001</v>
      </c>
      <c r="W172" s="1421">
        <f>+'FA - Detailed Disclosure'!W151</f>
        <v>-7.2999999999999995E-2</v>
      </c>
      <c r="X172" s="1009">
        <f>+'FA - Detailed Disclosure'!X151</f>
        <v>0.04</v>
      </c>
      <c r="Y172" s="1463">
        <f>+'FA - Detailed Disclosure'!Y151</f>
        <v>-0.216</v>
      </c>
      <c r="Z172" s="863">
        <f>+Z397*V171*-1</f>
        <v>-0.25501076402897666</v>
      </c>
      <c r="AA172" s="862">
        <f t="shared" ref="AA172:AD172" si="627">+AA397*W171*-1</f>
        <v>0.45486695487302642</v>
      </c>
      <c r="AB172" s="862">
        <f t="shared" si="627"/>
        <v>0.37729950148099306</v>
      </c>
      <c r="AC172" s="862">
        <f t="shared" si="627"/>
        <v>0.90653202504618269</v>
      </c>
      <c r="AD172" s="862">
        <f t="shared" si="627"/>
        <v>0.43906270342765402</v>
      </c>
      <c r="AE172" s="689"/>
      <c r="AF172" s="689"/>
      <c r="AG172" s="689"/>
      <c r="AH172" s="689"/>
      <c r="AI172" s="864">
        <f>SUM(K172:N172)</f>
        <v>-1.6341052500761983</v>
      </c>
      <c r="AJ172" s="864">
        <f>+'FA - Detailed Disclosure'!AL151</f>
        <v>9.7739999999999991</v>
      </c>
      <c r="AK172" s="866">
        <f>SUM(S172:V172)</f>
        <v>2.0679999999999996</v>
      </c>
      <c r="AL172" s="864">
        <f>+SUM(W172:Z172)</f>
        <v>-0.5040107640289766</v>
      </c>
      <c r="AM172" s="864">
        <f t="shared" si="626"/>
        <v>2.1777611848278564</v>
      </c>
    </row>
    <row r="173" spans="1:40" s="817" customFormat="1" ht="12" x14ac:dyDescent="0.3">
      <c r="A173" s="474" t="str">
        <f>+'FA - Detailed Disclosure'!A152</f>
        <v>International - CC</v>
      </c>
      <c r="B173" s="778"/>
      <c r="F173" s="845"/>
      <c r="G173" s="848"/>
      <c r="H173" s="848"/>
      <c r="I173" s="848"/>
      <c r="J173" s="847"/>
      <c r="K173" s="848">
        <f>+K172+K171</f>
        <v>15.807894749923802</v>
      </c>
      <c r="L173" s="848">
        <f t="shared" ref="L173:P173" si="628">+L172+L171</f>
        <v>29.68</v>
      </c>
      <c r="M173" s="848">
        <f t="shared" si="628"/>
        <v>35.195</v>
      </c>
      <c r="N173" s="847">
        <f t="shared" si="628"/>
        <v>31.692</v>
      </c>
      <c r="O173" s="848">
        <f t="shared" si="628"/>
        <v>32.701999999999998</v>
      </c>
      <c r="P173" s="848">
        <f t="shared" si="628"/>
        <v>35.223999999999997</v>
      </c>
      <c r="Q173" s="848">
        <f>+'FA - Detailed Disclosure'!Q152</f>
        <v>34.94</v>
      </c>
      <c r="R173" s="847">
        <f>+'FA - Detailed Disclosure'!R152</f>
        <v>29.662000000000003</v>
      </c>
      <c r="S173" s="961">
        <f>+'FA - Detailed Disclosure'!S152</f>
        <v>26.924999999999997</v>
      </c>
      <c r="T173" s="961">
        <f>+'FA - Detailed Disclosure'!T152</f>
        <v>25.173999999999999</v>
      </c>
      <c r="U173" s="961">
        <f>+'FA - Detailed Disclosure'!U152</f>
        <v>25.370999999999999</v>
      </c>
      <c r="V173" s="961">
        <f t="shared" ref="V173:Z173" si="629">+V172+V171</f>
        <v>21.429000000000002</v>
      </c>
      <c r="W173" s="1422">
        <f t="shared" ref="W173:X173" si="630">+W172+W171</f>
        <v>21.95</v>
      </c>
      <c r="X173" s="961">
        <f t="shared" si="630"/>
        <v>24.227</v>
      </c>
      <c r="Y173" s="1464">
        <f t="shared" ref="Y173" si="631">+Y172+Y171</f>
        <v>26.407999999999998</v>
      </c>
      <c r="Z173" s="847">
        <f t="shared" si="629"/>
        <v>22.216928471942047</v>
      </c>
      <c r="AA173" s="848">
        <f t="shared" ref="AA173:AD173" si="632">+AA172+AA171</f>
        <v>24.033883909746052</v>
      </c>
      <c r="AB173" s="848">
        <f t="shared" si="632"/>
        <v>26.392819002961993</v>
      </c>
      <c r="AC173" s="848">
        <f t="shared" si="632"/>
        <v>30.300744050092366</v>
      </c>
      <c r="AD173" s="848">
        <f t="shared" si="632"/>
        <v>25.147819781704019</v>
      </c>
      <c r="AE173" s="848"/>
      <c r="AF173" s="689"/>
      <c r="AG173" s="689"/>
      <c r="AH173" s="689"/>
      <c r="AI173" s="848">
        <f t="shared" ref="AI173" si="633">+AI171+AI172</f>
        <v>112.37489474992378</v>
      </c>
      <c r="AJ173" s="848">
        <f>+'FA - Detailed Disclosure'!AL152</f>
        <v>132.374</v>
      </c>
      <c r="AK173" s="849">
        <f>SUM(S173:V173)</f>
        <v>98.899000000000001</v>
      </c>
      <c r="AL173" s="848">
        <f>+SUM(W173:Z173)</f>
        <v>94.801928471942034</v>
      </c>
      <c r="AM173" s="848">
        <f t="shared" si="626"/>
        <v>105.87526674450443</v>
      </c>
    </row>
    <row r="174" spans="1:40" s="817" customFormat="1" ht="13" x14ac:dyDescent="0.4">
      <c r="A174" s="460" t="str">
        <f>+'FA - Detailed Disclosure'!A153</f>
        <v>M&amp;A Impact</v>
      </c>
      <c r="B174" s="778"/>
      <c r="F174" s="845"/>
      <c r="G174" s="864"/>
      <c r="H174" s="864"/>
      <c r="I174" s="864"/>
      <c r="J174" s="865"/>
      <c r="K174" s="864">
        <f>+'FA - Detailed Disclosure'!K174</f>
        <v>0</v>
      </c>
      <c r="L174" s="864">
        <f>+'FA - Detailed Disclosure'!L174</f>
        <v>7.14</v>
      </c>
      <c r="M174" s="864">
        <f>+'FA - Detailed Disclosure'!M174</f>
        <v>8.84</v>
      </c>
      <c r="N174" s="865">
        <f>+'FA - Detailed Disclosure'!N174</f>
        <v>7.99</v>
      </c>
      <c r="O174" s="864">
        <f>+'FA - Detailed Disclosure'!O174</f>
        <v>8</v>
      </c>
      <c r="P174" s="864">
        <f>+'FA - Detailed Disclosure'!P174</f>
        <v>0</v>
      </c>
      <c r="Q174" s="864">
        <f>+'FA - Detailed Disclosure'!Q153</f>
        <v>0</v>
      </c>
      <c r="R174" s="865">
        <f>+'FA - Detailed Disclosure'!R153</f>
        <v>0</v>
      </c>
      <c r="S174" s="1009">
        <f>+'FA - Detailed Disclosure'!S153</f>
        <v>0</v>
      </c>
      <c r="T174" s="1009">
        <f>+'FA - Detailed Disclosure'!T153</f>
        <v>0</v>
      </c>
      <c r="U174" s="1009">
        <f>+'FA - Detailed Disclosure'!U153</f>
        <v>0</v>
      </c>
      <c r="V174" s="1009">
        <f>+'FA - Detailed Disclosure'!V153</f>
        <v>0</v>
      </c>
      <c r="W174" s="1421">
        <f>+'FA - Detailed Disclosure'!W153</f>
        <v>0</v>
      </c>
      <c r="X174" s="1009">
        <f>+'FA - Detailed Disclosure'!X153</f>
        <v>0</v>
      </c>
      <c r="Y174" s="1463">
        <f>+'FA - Detailed Disclosure'!Y153</f>
        <v>0</v>
      </c>
      <c r="Z174" s="863">
        <v>0</v>
      </c>
      <c r="AA174" s="862">
        <v>0</v>
      </c>
      <c r="AB174" s="862">
        <v>0</v>
      </c>
      <c r="AC174" s="862">
        <v>0</v>
      </c>
      <c r="AD174" s="862">
        <v>0</v>
      </c>
      <c r="AE174" s="689"/>
      <c r="AF174" s="689"/>
      <c r="AG174" s="689"/>
      <c r="AH174" s="689"/>
      <c r="AI174" s="864">
        <f>SUM(K174:N174)</f>
        <v>23.97</v>
      </c>
      <c r="AJ174" s="864">
        <f>+'FA - Detailed Disclosure'!AL153</f>
        <v>7.6429999999999998</v>
      </c>
      <c r="AK174" s="866">
        <f>SUM(S174:V174)</f>
        <v>0</v>
      </c>
      <c r="AL174" s="864">
        <f>+SUM(W174:Z174)</f>
        <v>0</v>
      </c>
      <c r="AM174" s="864">
        <f t="shared" si="626"/>
        <v>0</v>
      </c>
    </row>
    <row r="175" spans="1:40" s="817" customFormat="1" ht="12" x14ac:dyDescent="0.3">
      <c r="A175" s="474" t="str">
        <f>+'FA - Detailed Disclosure'!A154</f>
        <v>International - Organic</v>
      </c>
      <c r="B175" s="778"/>
      <c r="F175" s="845"/>
      <c r="G175" s="848"/>
      <c r="H175" s="848"/>
      <c r="I175" s="848"/>
      <c r="J175" s="847"/>
      <c r="K175" s="848">
        <f t="shared" ref="K175:R175" si="634">+K173-K174</f>
        <v>15.807894749923802</v>
      </c>
      <c r="L175" s="848">
        <f t="shared" si="634"/>
        <v>22.54</v>
      </c>
      <c r="M175" s="848">
        <f t="shared" si="634"/>
        <v>26.355</v>
      </c>
      <c r="N175" s="847">
        <f t="shared" si="634"/>
        <v>23.701999999999998</v>
      </c>
      <c r="O175" s="848">
        <f t="shared" si="634"/>
        <v>24.701999999999998</v>
      </c>
      <c r="P175" s="848">
        <f t="shared" si="634"/>
        <v>35.223999999999997</v>
      </c>
      <c r="Q175" s="848">
        <f t="shared" si="634"/>
        <v>34.94</v>
      </c>
      <c r="R175" s="847">
        <f t="shared" si="634"/>
        <v>29.662000000000003</v>
      </c>
      <c r="S175" s="961">
        <f>+S173-S174</f>
        <v>26.924999999999997</v>
      </c>
      <c r="T175" s="961">
        <f t="shared" ref="T175" si="635">+T173-T174</f>
        <v>25.173999999999999</v>
      </c>
      <c r="U175" s="961">
        <f t="shared" ref="U175" si="636">+U173-U174</f>
        <v>25.370999999999999</v>
      </c>
      <c r="V175" s="961">
        <f t="shared" ref="V175:Z175" si="637">+V173-V174</f>
        <v>21.429000000000002</v>
      </c>
      <c r="W175" s="1422">
        <f t="shared" ref="W175:X175" si="638">+W173-W174</f>
        <v>21.95</v>
      </c>
      <c r="X175" s="961">
        <f t="shared" si="638"/>
        <v>24.227</v>
      </c>
      <c r="Y175" s="1464">
        <f t="shared" ref="Y175" si="639">+Y173-Y174</f>
        <v>26.407999999999998</v>
      </c>
      <c r="Z175" s="847">
        <f t="shared" si="637"/>
        <v>22.216928471942047</v>
      </c>
      <c r="AA175" s="848">
        <f t="shared" ref="AA175:AD175" si="640">+AA173-AA174</f>
        <v>24.033883909746052</v>
      </c>
      <c r="AB175" s="848">
        <f t="shared" si="640"/>
        <v>26.392819002961993</v>
      </c>
      <c r="AC175" s="848">
        <f t="shared" si="640"/>
        <v>30.300744050092366</v>
      </c>
      <c r="AD175" s="848">
        <f t="shared" si="640"/>
        <v>25.147819781704019</v>
      </c>
      <c r="AE175" s="689"/>
      <c r="AF175" s="689"/>
      <c r="AG175" s="689"/>
      <c r="AH175" s="689"/>
      <c r="AI175" s="848">
        <f>+AI173-AI174</f>
        <v>88.404894749923784</v>
      </c>
      <c r="AJ175" s="848">
        <f>+'FA - Detailed Disclosure'!AL154</f>
        <v>124.73099999999999</v>
      </c>
      <c r="AK175" s="849">
        <f>SUM(S175:V175)</f>
        <v>98.899000000000001</v>
      </c>
      <c r="AL175" s="848">
        <f>+SUM(W175:Z175)</f>
        <v>94.801928471942034</v>
      </c>
      <c r="AM175" s="848">
        <f t="shared" si="626"/>
        <v>105.87526674450443</v>
      </c>
    </row>
    <row r="176" spans="1:40" s="817" customFormat="1" ht="12" x14ac:dyDescent="0.3">
      <c r="A176" s="798" t="s">
        <v>248</v>
      </c>
      <c r="B176" s="778"/>
      <c r="F176" s="845"/>
      <c r="G176" s="689"/>
      <c r="H176" s="689"/>
      <c r="I176" s="689"/>
      <c r="J176" s="779"/>
      <c r="K176" s="689">
        <f t="shared" ref="K176" si="641">+K175/G171-1</f>
        <v>0.17008843448732835</v>
      </c>
      <c r="L176" s="689">
        <f t="shared" ref="L176" si="642">+L175/H171-1</f>
        <v>0.9601704496043133</v>
      </c>
      <c r="M176" s="689">
        <f t="shared" ref="M176" si="643">+M175/I171-1</f>
        <v>1.1978984238178634</v>
      </c>
      <c r="N176" s="779">
        <f t="shared" ref="N176" si="644">+N175/J171-1</f>
        <v>0.75791737743825593</v>
      </c>
      <c r="O176" s="689">
        <f t="shared" ref="O176" si="645">+O175/K171-1</f>
        <v>0.49148653544257925</v>
      </c>
      <c r="P176" s="689">
        <f t="shared" ref="P176" si="646">+P175/L171-1</f>
        <v>0.17101063829787222</v>
      </c>
      <c r="Q176" s="689">
        <f t="shared" ref="Q176" si="647">+Q175/M171-1</f>
        <v>-1.8401460879337028E-2</v>
      </c>
      <c r="R176" s="779">
        <f t="shared" ref="R176" si="648">+R175/N171-1</f>
        <v>-6.6410676066977037E-2</v>
      </c>
      <c r="S176" s="799">
        <f>+S175/O171-1</f>
        <v>-0.15172804889575009</v>
      </c>
      <c r="T176" s="799">
        <f t="shared" ref="T176:U176" si="649">+T175/P171-1</f>
        <v>-0.23816729209538789</v>
      </c>
      <c r="U176" s="799">
        <f t="shared" si="649"/>
        <v>-0.1978310357910712</v>
      </c>
      <c r="V176" s="799">
        <f t="shared" ref="V176" si="650">+V175/R171-1</f>
        <v>-0.18169320655286969</v>
      </c>
      <c r="W176" s="994">
        <f t="shared" ref="W176" si="651">+W175/S171-1</f>
        <v>-0.11662910495814549</v>
      </c>
      <c r="X176" s="799">
        <f t="shared" ref="X176" si="652">+X175/T171-1</f>
        <v>4.7277402231162835E-3</v>
      </c>
      <c r="Y176" s="1456">
        <f t="shared" ref="Y176" si="653">+Y175/U171-1</f>
        <v>2.3367564425498921E-2</v>
      </c>
      <c r="Z176" s="779">
        <f t="shared" ref="Z176" si="654">+Z175/V171-1</f>
        <v>6.8854961224584788E-3</v>
      </c>
      <c r="AA176" s="689">
        <f t="shared" ref="AA176" si="655">+AA175/W171-1</f>
        <v>9.1308355344233316E-2</v>
      </c>
      <c r="AB176" s="689">
        <f t="shared" ref="AB176" si="656">+AB175/X171-1</f>
        <v>9.1198536526315488E-2</v>
      </c>
      <c r="AC176" s="689">
        <f t="shared" ref="AC176" si="657">+AC175/Y171-1</f>
        <v>0.13809886005455096</v>
      </c>
      <c r="AD176" s="689">
        <f t="shared" ref="AD176" si="658">+AD175/Z171-1</f>
        <v>0.11907652996185081</v>
      </c>
      <c r="AE176" s="689"/>
      <c r="AF176" s="689"/>
      <c r="AG176" s="689"/>
      <c r="AH176" s="689"/>
      <c r="AI176" s="689">
        <f>+AI175/AH171-1</f>
        <v>0.75118148188348144</v>
      </c>
      <c r="AJ176" s="689">
        <f>+AJ175/AI171-1</f>
        <v>9.404520695734564E-2</v>
      </c>
      <c r="AK176" s="781">
        <f>+AK175/AJ171-1</f>
        <v>-0.19331973898858068</v>
      </c>
      <c r="AL176" s="689">
        <f>+AL175/AK171-1</f>
        <v>-2.0954772005431721E-2</v>
      </c>
      <c r="AM176" s="689">
        <f>+AM175/AL171-1</f>
        <v>0.11089893865233802</v>
      </c>
    </row>
    <row r="177" spans="1:40" s="817" customFormat="1" ht="12" x14ac:dyDescent="0.3">
      <c r="A177" s="778"/>
      <c r="B177" s="778"/>
      <c r="F177" s="845"/>
      <c r="G177" s="689"/>
      <c r="H177" s="689"/>
      <c r="I177" s="736"/>
      <c r="J177" s="779"/>
      <c r="K177" s="689"/>
      <c r="L177" s="689"/>
      <c r="M177" s="736"/>
      <c r="N177" s="779"/>
      <c r="O177" s="689"/>
      <c r="P177" s="689"/>
      <c r="Q177" s="689"/>
      <c r="R177" s="779"/>
      <c r="S177" s="799"/>
      <c r="T177" s="799"/>
      <c r="U177" s="689"/>
      <c r="V177" s="799"/>
      <c r="W177" s="994"/>
      <c r="X177" s="799"/>
      <c r="Y177" s="781"/>
      <c r="Z177" s="779"/>
      <c r="AA177" s="689"/>
      <c r="AB177" s="689"/>
      <c r="AC177" s="689"/>
      <c r="AD177" s="689"/>
      <c r="AE177" s="689"/>
      <c r="AF177" s="689"/>
      <c r="AG177" s="689"/>
      <c r="AH177" s="689"/>
      <c r="AI177" s="689"/>
      <c r="AJ177" s="689"/>
      <c r="AK177" s="781"/>
      <c r="AL177" s="689"/>
      <c r="AM177" s="689"/>
    </row>
    <row r="178" spans="1:40" x14ac:dyDescent="0.25">
      <c r="A178" s="867" t="s">
        <v>250</v>
      </c>
      <c r="B178" s="868"/>
      <c r="C178" s="846"/>
      <c r="D178" s="846"/>
      <c r="E178" s="846"/>
      <c r="F178" s="847"/>
      <c r="G178" s="848"/>
      <c r="H178" s="848"/>
      <c r="I178" s="848"/>
      <c r="J178" s="847"/>
      <c r="K178" s="848"/>
      <c r="L178" s="848"/>
      <c r="M178" s="848"/>
      <c r="N178" s="847"/>
      <c r="O178" s="848"/>
      <c r="P178" s="848"/>
      <c r="Q178" s="848"/>
      <c r="R178" s="847"/>
      <c r="S178" s="848"/>
      <c r="T178" s="848"/>
      <c r="U178" s="848"/>
      <c r="V178" s="848"/>
      <c r="W178" s="1417"/>
      <c r="X178" s="848"/>
      <c r="Y178" s="849"/>
      <c r="Z178" s="847"/>
      <c r="AA178" s="848"/>
      <c r="AB178" s="848"/>
      <c r="AC178" s="848"/>
      <c r="AD178" s="848"/>
      <c r="AE178" s="848"/>
      <c r="AF178" s="848"/>
      <c r="AG178" s="848"/>
      <c r="AH178" s="848"/>
      <c r="AI178" s="848"/>
      <c r="AJ178" s="848"/>
      <c r="AK178" s="849"/>
      <c r="AL178" s="846"/>
      <c r="AM178" s="846"/>
      <c r="AN178" s="850"/>
    </row>
    <row r="179" spans="1:40" ht="12" x14ac:dyDescent="0.3">
      <c r="C179" s="846"/>
      <c r="D179" s="846"/>
      <c r="E179" s="846"/>
      <c r="F179" s="847"/>
      <c r="G179" s="848"/>
      <c r="H179" s="848"/>
      <c r="I179" s="848"/>
      <c r="J179" s="847"/>
      <c r="K179" s="848"/>
      <c r="L179" s="848"/>
      <c r="M179" s="848"/>
      <c r="N179" s="847"/>
      <c r="O179" s="848"/>
      <c r="P179" s="848"/>
      <c r="Q179" s="848"/>
      <c r="R179" s="847"/>
      <c r="S179" s="848"/>
      <c r="T179" s="848"/>
      <c r="U179" s="848"/>
      <c r="V179" s="799"/>
      <c r="W179" s="1417"/>
      <c r="X179" s="848"/>
      <c r="Y179" s="849"/>
      <c r="Z179" s="847"/>
      <c r="AA179" s="848"/>
      <c r="AB179" s="848"/>
      <c r="AC179" s="848"/>
      <c r="AD179" s="848"/>
      <c r="AE179" s="848"/>
      <c r="AF179" s="848"/>
      <c r="AG179" s="848"/>
      <c r="AH179" s="848"/>
      <c r="AI179" s="848"/>
      <c r="AJ179" s="848"/>
      <c r="AK179" s="849"/>
      <c r="AL179" s="846"/>
      <c r="AM179" s="846"/>
      <c r="AN179" s="850"/>
    </row>
    <row r="180" spans="1:40" x14ac:dyDescent="0.25">
      <c r="A180" s="460" t="s">
        <v>251</v>
      </c>
      <c r="C180" s="851"/>
      <c r="D180" s="851"/>
      <c r="E180" s="851"/>
      <c r="F180" s="852"/>
      <c r="G180" s="851">
        <f>+'FA - Detailed Disclosure'!G174</f>
        <v>0</v>
      </c>
      <c r="H180" s="851">
        <f>+'FA - Detailed Disclosure'!H174</f>
        <v>0</v>
      </c>
      <c r="I180" s="851">
        <f>+'FA - Detailed Disclosure'!I174</f>
        <v>0</v>
      </c>
      <c r="J180" s="852">
        <f>+'FA - Detailed Disclosure'!J174</f>
        <v>0</v>
      </c>
      <c r="K180" s="851">
        <f>+'FA - Detailed Disclosure'!K174</f>
        <v>0</v>
      </c>
      <c r="L180" s="851">
        <f>+'FA - Detailed Disclosure'!L174</f>
        <v>7.14</v>
      </c>
      <c r="M180" s="851">
        <f>+'FA - Detailed Disclosure'!M174</f>
        <v>8.84</v>
      </c>
      <c r="N180" s="852">
        <f>+'FA - Detailed Disclosure'!N174</f>
        <v>7.99</v>
      </c>
      <c r="O180" s="851">
        <f>+'FA - Detailed Disclosure'!O174</f>
        <v>8</v>
      </c>
      <c r="P180" s="851">
        <f>+'FA - Detailed Disclosure'!P174</f>
        <v>0</v>
      </c>
      <c r="Q180" s="851">
        <f>+'FA - Detailed Disclosure'!Q174</f>
        <v>0</v>
      </c>
      <c r="R180" s="852">
        <f>+'FA - Detailed Disclosure'!R174</f>
        <v>0</v>
      </c>
      <c r="S180" s="851">
        <f>+'FA - Detailed Disclosure'!S174</f>
        <v>0</v>
      </c>
      <c r="T180" s="851">
        <f>+'FA - Detailed Disclosure'!T174</f>
        <v>0</v>
      </c>
      <c r="U180" s="851">
        <v>0</v>
      </c>
      <c r="V180" s="851">
        <v>0</v>
      </c>
      <c r="W180" s="1418">
        <v>0</v>
      </c>
      <c r="X180" s="851">
        <v>0</v>
      </c>
      <c r="Y180" s="853">
        <v>0</v>
      </c>
      <c r="Z180" s="852">
        <v>0</v>
      </c>
      <c r="AA180" s="851">
        <v>0</v>
      </c>
      <c r="AB180" s="851">
        <v>0</v>
      </c>
      <c r="AC180" s="851">
        <v>0</v>
      </c>
      <c r="AD180" s="851">
        <v>0</v>
      </c>
      <c r="AE180" s="851"/>
      <c r="AF180" s="851"/>
      <c r="AG180" s="851"/>
      <c r="AH180" s="851">
        <f>+SUM(G180:J180)</f>
        <v>0</v>
      </c>
      <c r="AI180" s="851">
        <f>+SUM(K180:N180)</f>
        <v>23.97</v>
      </c>
      <c r="AJ180" s="851">
        <f>+SUM(O180:R180)</f>
        <v>8</v>
      </c>
      <c r="AK180" s="849">
        <f t="shared" ref="AK180:AK185" si="659">SUM(S180:V180)</f>
        <v>0</v>
      </c>
      <c r="AL180" s="846">
        <f t="shared" ref="AL180:AL185" si="660">+SUM(W180:Z180)</f>
        <v>0</v>
      </c>
      <c r="AM180" s="846">
        <f t="shared" ref="AM180:AM185" si="661">+SUM(AA180:AD180)</f>
        <v>0</v>
      </c>
      <c r="AN180" s="850"/>
    </row>
    <row r="181" spans="1:40" x14ac:dyDescent="0.25">
      <c r="A181" s="460" t="s">
        <v>252</v>
      </c>
      <c r="C181" s="851"/>
      <c r="D181" s="851"/>
      <c r="E181" s="851"/>
      <c r="F181" s="852"/>
      <c r="G181" s="851">
        <f>+'FA - Detailed Disclosure'!G175</f>
        <v>0</v>
      </c>
      <c r="H181" s="851">
        <f>+'FA - Detailed Disclosure'!H175</f>
        <v>0</v>
      </c>
      <c r="I181" s="851">
        <f>+'FA - Detailed Disclosure'!I175</f>
        <v>0</v>
      </c>
      <c r="J181" s="852">
        <f>+'FA - Detailed Disclosure'!J175</f>
        <v>0</v>
      </c>
      <c r="K181" s="851">
        <f>+'FA - Detailed Disclosure'!K175</f>
        <v>0</v>
      </c>
      <c r="L181" s="851">
        <f>+'FA - Detailed Disclosure'!L175</f>
        <v>0</v>
      </c>
      <c r="M181" s="851">
        <f>+'FA - Detailed Disclosure'!M175</f>
        <v>0</v>
      </c>
      <c r="N181" s="852">
        <f>+'FA - Detailed Disclosure'!N175</f>
        <v>0.31500000000000039</v>
      </c>
      <c r="O181" s="851">
        <f>+'FA - Detailed Disclosure'!O175</f>
        <v>4.5</v>
      </c>
      <c r="P181" s="851">
        <f>+'FA - Detailed Disclosure'!P175</f>
        <v>6.0500000000000007</v>
      </c>
      <c r="Q181" s="851">
        <f>+'FA - Detailed Disclosure'!Q175</f>
        <v>6.4</v>
      </c>
      <c r="R181" s="852">
        <f>+'FA - Detailed Disclosure'!R175</f>
        <v>4.0489999999999995</v>
      </c>
      <c r="S181" s="851">
        <f>+'FA - Detailed Disclosure'!S175</f>
        <v>0</v>
      </c>
      <c r="T181" s="851">
        <f>+'FA - Detailed Disclosure'!T175</f>
        <v>0</v>
      </c>
      <c r="U181" s="851">
        <v>0</v>
      </c>
      <c r="V181" s="851">
        <v>0</v>
      </c>
      <c r="W181" s="1418">
        <v>0</v>
      </c>
      <c r="X181" s="851">
        <v>0</v>
      </c>
      <c r="Y181" s="853">
        <v>0</v>
      </c>
      <c r="Z181" s="852">
        <v>0</v>
      </c>
      <c r="AA181" s="851">
        <v>0</v>
      </c>
      <c r="AB181" s="851">
        <v>0</v>
      </c>
      <c r="AC181" s="851">
        <v>0</v>
      </c>
      <c r="AD181" s="851">
        <v>0</v>
      </c>
      <c r="AE181" s="851"/>
      <c r="AF181" s="851"/>
      <c r="AG181" s="851"/>
      <c r="AH181" s="851">
        <f t="shared" ref="AH181:AH185" si="662">+SUM(G181:J181)</f>
        <v>0</v>
      </c>
      <c r="AI181" s="851">
        <f t="shared" ref="AI181:AI185" si="663">+SUM(K181:N181)</f>
        <v>0.31500000000000039</v>
      </c>
      <c r="AJ181" s="851">
        <f>+SUM(O181:R181)</f>
        <v>20.999000000000002</v>
      </c>
      <c r="AK181" s="849">
        <f t="shared" si="659"/>
        <v>0</v>
      </c>
      <c r="AL181" s="846">
        <f t="shared" si="660"/>
        <v>0</v>
      </c>
      <c r="AM181" s="846">
        <f t="shared" si="661"/>
        <v>0</v>
      </c>
      <c r="AN181" s="850"/>
    </row>
    <row r="182" spans="1:40" x14ac:dyDescent="0.25">
      <c r="A182" s="460" t="s">
        <v>253</v>
      </c>
      <c r="C182" s="851"/>
      <c r="D182" s="851"/>
      <c r="E182" s="851"/>
      <c r="F182" s="852"/>
      <c r="G182" s="851">
        <f>+'FA - Detailed Disclosure'!G176</f>
        <v>0</v>
      </c>
      <c r="H182" s="851">
        <f>+'FA - Detailed Disclosure'!H176</f>
        <v>0</v>
      </c>
      <c r="I182" s="851">
        <f>+'FA - Detailed Disclosure'!I176</f>
        <v>0</v>
      </c>
      <c r="J182" s="852">
        <f>+'FA - Detailed Disclosure'!J176</f>
        <v>0</v>
      </c>
      <c r="K182" s="851">
        <f>+'FA - Detailed Disclosure'!K176</f>
        <v>0</v>
      </c>
      <c r="L182" s="851">
        <f>+'FA - Detailed Disclosure'!L176</f>
        <v>0</v>
      </c>
      <c r="M182" s="851">
        <f>+'FA - Detailed Disclosure'!M176</f>
        <v>0</v>
      </c>
      <c r="N182" s="852">
        <f>+'FA - Detailed Disclosure'!N176</f>
        <v>0.31500000000000039</v>
      </c>
      <c r="O182" s="851">
        <f>+'FA - Detailed Disclosure'!O176</f>
        <v>1.0500000000000007</v>
      </c>
      <c r="P182" s="851">
        <f>+'FA - Detailed Disclosure'!P176</f>
        <v>1</v>
      </c>
      <c r="Q182" s="851">
        <f>+'FA - Detailed Disclosure'!Q176</f>
        <v>1</v>
      </c>
      <c r="R182" s="852">
        <f>+'FA - Detailed Disclosure'!R176</f>
        <v>0.4</v>
      </c>
      <c r="S182" s="851">
        <f>+'FA - Detailed Disclosure'!S176</f>
        <v>0</v>
      </c>
      <c r="T182" s="851">
        <f>+'FA - Detailed Disclosure'!T176</f>
        <v>0</v>
      </c>
      <c r="U182" s="851">
        <v>0</v>
      </c>
      <c r="V182" s="851">
        <v>0</v>
      </c>
      <c r="W182" s="1418">
        <v>0</v>
      </c>
      <c r="X182" s="851">
        <v>0</v>
      </c>
      <c r="Y182" s="853">
        <v>0</v>
      </c>
      <c r="Z182" s="852">
        <v>0</v>
      </c>
      <c r="AA182" s="851">
        <v>0</v>
      </c>
      <c r="AB182" s="851">
        <v>0</v>
      </c>
      <c r="AC182" s="851">
        <v>0</v>
      </c>
      <c r="AD182" s="851">
        <v>0</v>
      </c>
      <c r="AE182" s="851"/>
      <c r="AF182" s="851"/>
      <c r="AG182" s="851"/>
      <c r="AH182" s="851">
        <f t="shared" si="662"/>
        <v>0</v>
      </c>
      <c r="AI182" s="851">
        <f t="shared" si="663"/>
        <v>0.31500000000000039</v>
      </c>
      <c r="AJ182" s="851">
        <f>+SUM(O182:R182)</f>
        <v>3.4500000000000006</v>
      </c>
      <c r="AK182" s="849">
        <f t="shared" si="659"/>
        <v>0</v>
      </c>
      <c r="AL182" s="846">
        <f t="shared" si="660"/>
        <v>0</v>
      </c>
      <c r="AM182" s="846">
        <f t="shared" si="661"/>
        <v>0</v>
      </c>
      <c r="AN182" s="850"/>
    </row>
    <row r="183" spans="1:40" x14ac:dyDescent="0.25">
      <c r="A183" s="460" t="s">
        <v>254</v>
      </c>
      <c r="C183" s="851"/>
      <c r="D183" s="851"/>
      <c r="E183" s="851"/>
      <c r="F183" s="852"/>
      <c r="G183" s="851">
        <f>+'FA - Detailed Disclosure'!G177</f>
        <v>0</v>
      </c>
      <c r="H183" s="851">
        <f>+'FA - Detailed Disclosure'!H177</f>
        <v>0</v>
      </c>
      <c r="I183" s="851">
        <f>+'FA - Detailed Disclosure'!I177</f>
        <v>0</v>
      </c>
      <c r="J183" s="852">
        <f>+'FA - Detailed Disclosure'!J177</f>
        <v>0</v>
      </c>
      <c r="K183" s="851">
        <f>+'FA - Detailed Disclosure'!K177</f>
        <v>0</v>
      </c>
      <c r="L183" s="851">
        <f>+'FA - Detailed Disclosure'!L177</f>
        <v>0</v>
      </c>
      <c r="M183" s="851">
        <f>+'FA - Detailed Disclosure'!M177</f>
        <v>0</v>
      </c>
      <c r="N183" s="852">
        <f>+'FA - Detailed Disclosure'!N177</f>
        <v>0</v>
      </c>
      <c r="O183" s="851">
        <f>+'FA - Detailed Disclosure'!O177</f>
        <v>1.25</v>
      </c>
      <c r="P183" s="851">
        <f>+'FA - Detailed Disclosure'!P177</f>
        <v>1.25</v>
      </c>
      <c r="Q183" s="851">
        <f>+'FA - Detailed Disclosure'!Q177</f>
        <v>1</v>
      </c>
      <c r="R183" s="852">
        <f>+'FA - Detailed Disclosure'!R177</f>
        <v>1</v>
      </c>
      <c r="S183" s="851">
        <f>+'FA - Detailed Disclosure'!S177</f>
        <v>0</v>
      </c>
      <c r="T183" s="851">
        <f>+'FA - Detailed Disclosure'!T177</f>
        <v>0</v>
      </c>
      <c r="U183" s="851">
        <v>0</v>
      </c>
      <c r="V183" s="851">
        <v>0</v>
      </c>
      <c r="W183" s="1418">
        <v>0</v>
      </c>
      <c r="X183" s="851">
        <v>0</v>
      </c>
      <c r="Y183" s="853">
        <v>0</v>
      </c>
      <c r="Z183" s="852">
        <v>0</v>
      </c>
      <c r="AA183" s="851">
        <v>0</v>
      </c>
      <c r="AB183" s="851">
        <v>0</v>
      </c>
      <c r="AC183" s="851">
        <v>0</v>
      </c>
      <c r="AD183" s="851">
        <v>0</v>
      </c>
      <c r="AE183" s="851"/>
      <c r="AF183" s="851"/>
      <c r="AG183" s="851"/>
      <c r="AH183" s="851">
        <f t="shared" si="662"/>
        <v>0</v>
      </c>
      <c r="AI183" s="851">
        <f t="shared" si="663"/>
        <v>0</v>
      </c>
      <c r="AJ183" s="851">
        <f>+SUM(O183:R183)</f>
        <v>4.5</v>
      </c>
      <c r="AK183" s="849">
        <f t="shared" si="659"/>
        <v>0</v>
      </c>
      <c r="AL183" s="846">
        <f t="shared" si="660"/>
        <v>0</v>
      </c>
      <c r="AM183" s="846">
        <f t="shared" si="661"/>
        <v>0</v>
      </c>
      <c r="AN183" s="850"/>
    </row>
    <row r="184" spans="1:40" s="802" customFormat="1" ht="13" x14ac:dyDescent="0.4">
      <c r="A184" s="460" t="s">
        <v>255</v>
      </c>
      <c r="C184" s="854"/>
      <c r="D184" s="854"/>
      <c r="E184" s="854"/>
      <c r="F184" s="855"/>
      <c r="G184" s="854">
        <v>0</v>
      </c>
      <c r="H184" s="854">
        <v>0</v>
      </c>
      <c r="I184" s="854">
        <v>0</v>
      </c>
      <c r="J184" s="855">
        <v>0</v>
      </c>
      <c r="K184" s="854">
        <v>0</v>
      </c>
      <c r="L184" s="854">
        <v>0</v>
      </c>
      <c r="M184" s="854">
        <v>0</v>
      </c>
      <c r="N184" s="855">
        <v>0</v>
      </c>
      <c r="O184" s="854">
        <v>0</v>
      </c>
      <c r="P184" s="854">
        <v>0</v>
      </c>
      <c r="Q184" s="854">
        <v>0</v>
      </c>
      <c r="R184" s="855">
        <v>0</v>
      </c>
      <c r="S184" s="854">
        <v>0</v>
      </c>
      <c r="T184" s="854">
        <v>0</v>
      </c>
      <c r="U184" s="854">
        <f>+U166</f>
        <v>0.85099999999999998</v>
      </c>
      <c r="V184" s="854">
        <f>+V166</f>
        <v>2.1429999999999998</v>
      </c>
      <c r="W184" s="1419">
        <f t="shared" ref="W184:Z184" si="664">+W166</f>
        <v>2.8090000000000002</v>
      </c>
      <c r="X184" s="854">
        <f t="shared" si="664"/>
        <v>3.3</v>
      </c>
      <c r="Y184" s="1461">
        <f t="shared" si="664"/>
        <v>3.3</v>
      </c>
      <c r="Z184" s="855">
        <f t="shared" si="664"/>
        <v>0</v>
      </c>
      <c r="AA184" s="854">
        <f t="shared" ref="AA184:AD184" si="665">+AA166</f>
        <v>0</v>
      </c>
      <c r="AB184" s="854">
        <f t="shared" si="665"/>
        <v>0</v>
      </c>
      <c r="AC184" s="854">
        <f t="shared" si="665"/>
        <v>0</v>
      </c>
      <c r="AD184" s="854">
        <f t="shared" si="665"/>
        <v>0</v>
      </c>
      <c r="AE184" s="854"/>
      <c r="AF184" s="854"/>
      <c r="AG184" s="854"/>
      <c r="AH184" s="854">
        <f t="shared" si="662"/>
        <v>0</v>
      </c>
      <c r="AI184" s="854">
        <f t="shared" si="663"/>
        <v>0</v>
      </c>
      <c r="AJ184" s="854">
        <v>0</v>
      </c>
      <c r="AK184" s="866">
        <f t="shared" si="659"/>
        <v>2.9939999999999998</v>
      </c>
      <c r="AL184" s="856">
        <f t="shared" si="660"/>
        <v>9.4089999999999989</v>
      </c>
      <c r="AM184" s="856">
        <f t="shared" si="661"/>
        <v>0</v>
      </c>
      <c r="AN184" s="857"/>
    </row>
    <row r="185" spans="1:40" x14ac:dyDescent="0.25">
      <c r="A185" s="474" t="s">
        <v>256</v>
      </c>
      <c r="C185" s="851"/>
      <c r="D185" s="851"/>
      <c r="E185" s="851"/>
      <c r="F185" s="852"/>
      <c r="G185" s="851">
        <f>+'FA - Detailed Disclosure'!G179</f>
        <v>0</v>
      </c>
      <c r="H185" s="851">
        <f>+'FA - Detailed Disclosure'!H179</f>
        <v>0</v>
      </c>
      <c r="I185" s="851">
        <f>+'FA - Detailed Disclosure'!I179</f>
        <v>0</v>
      </c>
      <c r="J185" s="852">
        <f>+'FA - Detailed Disclosure'!J179</f>
        <v>0</v>
      </c>
      <c r="K185" s="851">
        <f>+'FA - Detailed Disclosure'!K179</f>
        <v>0</v>
      </c>
      <c r="L185" s="851">
        <f>+'FA - Detailed Disclosure'!L179</f>
        <v>7.14</v>
      </c>
      <c r="M185" s="851">
        <f>+'FA - Detailed Disclosure'!M179</f>
        <v>8.84</v>
      </c>
      <c r="N185" s="852">
        <f>+'FA - Detailed Disclosure'!N179</f>
        <v>8.620000000000001</v>
      </c>
      <c r="O185" s="851">
        <f>+'FA - Detailed Disclosure'!O179</f>
        <v>14.8</v>
      </c>
      <c r="P185" s="851">
        <f>+'FA - Detailed Disclosure'!P179</f>
        <v>8.3000000000000007</v>
      </c>
      <c r="Q185" s="851">
        <f>+'FA - Detailed Disclosure'!Q179</f>
        <v>8.4</v>
      </c>
      <c r="R185" s="852">
        <f>+'FA - Detailed Disclosure'!R179</f>
        <v>5.4489999999999998</v>
      </c>
      <c r="S185" s="851">
        <f>+'FA - Detailed Disclosure'!S179</f>
        <v>0</v>
      </c>
      <c r="T185" s="851">
        <f>+'FA - Detailed Disclosure'!T179</f>
        <v>0</v>
      </c>
      <c r="U185" s="851">
        <f>+SUM(U180:U184)</f>
        <v>0.85099999999999998</v>
      </c>
      <c r="V185" s="851">
        <f t="shared" ref="V185:Z185" si="666">+SUM(V180:V184)</f>
        <v>2.1429999999999998</v>
      </c>
      <c r="W185" s="1418">
        <f t="shared" si="666"/>
        <v>2.8090000000000002</v>
      </c>
      <c r="X185" s="851">
        <f t="shared" si="666"/>
        <v>3.3</v>
      </c>
      <c r="Y185" s="853">
        <f t="shared" si="666"/>
        <v>3.3</v>
      </c>
      <c r="Z185" s="852">
        <f t="shared" si="666"/>
        <v>0</v>
      </c>
      <c r="AA185" s="851">
        <f t="shared" ref="AA185:AD185" si="667">+SUM(AA180:AA184)</f>
        <v>0</v>
      </c>
      <c r="AB185" s="851">
        <f t="shared" si="667"/>
        <v>0</v>
      </c>
      <c r="AC185" s="851">
        <f t="shared" si="667"/>
        <v>0</v>
      </c>
      <c r="AD185" s="851">
        <f t="shared" si="667"/>
        <v>0</v>
      </c>
      <c r="AE185" s="851"/>
      <c r="AF185" s="851"/>
      <c r="AG185" s="851"/>
      <c r="AH185" s="851">
        <f t="shared" si="662"/>
        <v>0</v>
      </c>
      <c r="AI185" s="851">
        <f t="shared" si="663"/>
        <v>24.6</v>
      </c>
      <c r="AJ185" s="851">
        <f>+SUM(O185:R185)</f>
        <v>36.948999999999998</v>
      </c>
      <c r="AK185" s="849">
        <f t="shared" si="659"/>
        <v>2.9939999999999998</v>
      </c>
      <c r="AL185" s="846">
        <f t="shared" si="660"/>
        <v>9.4089999999999989</v>
      </c>
      <c r="AM185" s="846">
        <f t="shared" si="661"/>
        <v>0</v>
      </c>
      <c r="AN185" s="850"/>
    </row>
    <row r="186" spans="1:40" s="939" customFormat="1" ht="12" x14ac:dyDescent="0.3">
      <c r="A186" s="798" t="s">
        <v>257</v>
      </c>
      <c r="C186" s="2332"/>
      <c r="D186" s="2332"/>
      <c r="E186" s="2332"/>
      <c r="F186" s="2333"/>
      <c r="G186" s="2332">
        <v>0</v>
      </c>
      <c r="H186" s="2332">
        <v>0</v>
      </c>
      <c r="I186" s="2332">
        <v>0</v>
      </c>
      <c r="J186" s="2333">
        <v>0</v>
      </c>
      <c r="K186" s="2332">
        <v>0</v>
      </c>
      <c r="L186" s="2332">
        <v>0</v>
      </c>
      <c r="M186" s="2332">
        <v>0</v>
      </c>
      <c r="N186" s="2333">
        <f>+N181+N182</f>
        <v>0.63000000000000078</v>
      </c>
      <c r="O186" s="2332">
        <f>+O181-N181+O182-N182+O183-N183</f>
        <v>6.17</v>
      </c>
      <c r="P186" s="2332">
        <v>0</v>
      </c>
      <c r="Q186" s="2332">
        <v>0</v>
      </c>
      <c r="R186" s="2333">
        <v>0</v>
      </c>
      <c r="S186" s="2332">
        <v>0</v>
      </c>
      <c r="T186" s="2332">
        <f t="shared" ref="T186:AD186" si="668">+T185-S185</f>
        <v>0</v>
      </c>
      <c r="U186" s="2332">
        <f>+U184-T184</f>
        <v>0.85099999999999998</v>
      </c>
      <c r="V186" s="2332">
        <f>+V184-U184</f>
        <v>1.2919999999999998</v>
      </c>
      <c r="W186" s="2334">
        <v>0</v>
      </c>
      <c r="X186" s="2332">
        <v>0</v>
      </c>
      <c r="Y186" s="2335">
        <v>0</v>
      </c>
      <c r="Z186" s="2333">
        <v>0</v>
      </c>
      <c r="AA186" s="2332">
        <f t="shared" si="668"/>
        <v>0</v>
      </c>
      <c r="AB186" s="2332">
        <f t="shared" si="668"/>
        <v>0</v>
      </c>
      <c r="AC186" s="2332">
        <f t="shared" si="668"/>
        <v>0</v>
      </c>
      <c r="AD186" s="2332">
        <f t="shared" si="668"/>
        <v>0</v>
      </c>
      <c r="AE186" s="2332"/>
      <c r="AF186" s="2332"/>
      <c r="AG186" s="2332"/>
      <c r="AH186" s="2332"/>
      <c r="AI186" s="2332"/>
      <c r="AJ186" s="2332"/>
      <c r="AK186" s="2336"/>
      <c r="AL186" s="2337"/>
      <c r="AM186" s="2337"/>
      <c r="AN186" s="879"/>
    </row>
    <row r="187" spans="1:40" x14ac:dyDescent="0.25">
      <c r="A187" s="474"/>
      <c r="C187" s="851"/>
      <c r="D187" s="851"/>
      <c r="E187" s="851"/>
      <c r="F187" s="852"/>
      <c r="G187" s="851"/>
      <c r="H187" s="851"/>
      <c r="I187" s="851"/>
      <c r="J187" s="852"/>
      <c r="K187" s="851"/>
      <c r="L187" s="851"/>
      <c r="M187" s="851"/>
      <c r="N187" s="852"/>
      <c r="O187" s="851"/>
      <c r="P187" s="851"/>
      <c r="Q187" s="851"/>
      <c r="R187" s="852"/>
      <c r="S187" s="851"/>
      <c r="T187" s="851"/>
      <c r="U187" s="851"/>
      <c r="V187" s="851"/>
      <c r="W187" s="1418"/>
      <c r="X187" s="851"/>
      <c r="Y187" s="853"/>
      <c r="Z187" s="852"/>
      <c r="AA187" s="851"/>
      <c r="AB187" s="851"/>
      <c r="AC187" s="851"/>
      <c r="AD187" s="851"/>
      <c r="AE187" s="851"/>
      <c r="AF187" s="851"/>
      <c r="AG187" s="851"/>
      <c r="AH187" s="851"/>
      <c r="AI187" s="851"/>
      <c r="AJ187" s="851"/>
      <c r="AK187" s="849"/>
      <c r="AL187" s="846"/>
      <c r="AM187" s="846"/>
      <c r="AN187" s="850"/>
    </row>
    <row r="188" spans="1:40" x14ac:dyDescent="0.25">
      <c r="A188" s="474"/>
      <c r="C188" s="851"/>
      <c r="D188" s="851"/>
      <c r="E188" s="851"/>
      <c r="F188" s="852"/>
      <c r="G188" s="851"/>
      <c r="H188" s="851"/>
      <c r="I188" s="851"/>
      <c r="J188" s="852"/>
      <c r="K188" s="851"/>
      <c r="L188" s="851"/>
      <c r="M188" s="851"/>
      <c r="N188" s="852"/>
      <c r="O188" s="851"/>
      <c r="P188" s="851"/>
      <c r="Q188" s="851"/>
      <c r="R188" s="852"/>
      <c r="S188" s="851"/>
      <c r="T188" s="851"/>
      <c r="U188" s="851"/>
      <c r="V188" s="851"/>
      <c r="W188" s="1418"/>
      <c r="X188" s="851"/>
      <c r="Y188" s="853"/>
      <c r="Z188" s="852"/>
      <c r="AA188" s="851"/>
      <c r="AB188" s="851"/>
      <c r="AC188" s="851"/>
      <c r="AD188" s="851"/>
      <c r="AE188" s="851"/>
      <c r="AF188" s="851"/>
      <c r="AG188" s="851"/>
      <c r="AH188" s="851"/>
      <c r="AI188" s="851"/>
      <c r="AJ188" s="851"/>
      <c r="AK188" s="849"/>
      <c r="AL188" s="846"/>
      <c r="AM188" s="846"/>
      <c r="AN188" s="850"/>
    </row>
    <row r="189" spans="1:40" x14ac:dyDescent="0.25">
      <c r="A189" s="474"/>
      <c r="C189" s="851"/>
      <c r="D189" s="851"/>
      <c r="E189" s="851"/>
      <c r="F189" s="852"/>
      <c r="G189" s="851"/>
      <c r="H189" s="851"/>
      <c r="I189" s="851"/>
      <c r="J189" s="852"/>
      <c r="K189" s="851"/>
      <c r="L189" s="851"/>
      <c r="M189" s="851"/>
      <c r="N189" s="852"/>
      <c r="O189" s="851"/>
      <c r="P189" s="851"/>
      <c r="Q189" s="851"/>
      <c r="R189" s="852"/>
      <c r="S189" s="851"/>
      <c r="T189" s="851"/>
      <c r="U189" s="851"/>
      <c r="V189" s="851"/>
      <c r="W189" s="1418"/>
      <c r="X189" s="851"/>
      <c r="Y189" s="853"/>
      <c r="Z189" s="852"/>
      <c r="AA189" s="851"/>
      <c r="AB189" s="851"/>
      <c r="AC189" s="851"/>
      <c r="AD189" s="851"/>
      <c r="AE189" s="851"/>
      <c r="AF189" s="851"/>
      <c r="AG189" s="851"/>
      <c r="AH189" s="851"/>
      <c r="AI189" s="851"/>
      <c r="AJ189" s="851"/>
      <c r="AK189" s="849"/>
      <c r="AL189" s="846"/>
      <c r="AM189" s="846"/>
      <c r="AN189" s="850"/>
    </row>
    <row r="190" spans="1:40" x14ac:dyDescent="0.25">
      <c r="A190" s="474"/>
      <c r="C190" s="851"/>
      <c r="D190" s="851"/>
      <c r="E190" s="851"/>
      <c r="F190" s="852"/>
      <c r="G190" s="851"/>
      <c r="H190" s="851"/>
      <c r="I190" s="851"/>
      <c r="J190" s="852"/>
      <c r="K190" s="851"/>
      <c r="L190" s="851"/>
      <c r="M190" s="851"/>
      <c r="N190" s="852"/>
      <c r="O190" s="851"/>
      <c r="P190" s="851"/>
      <c r="Q190" s="851"/>
      <c r="R190" s="852"/>
      <c r="S190" s="851"/>
      <c r="T190" s="851"/>
      <c r="U190" s="851"/>
      <c r="V190" s="851"/>
      <c r="W190" s="1418"/>
      <c r="X190" s="851"/>
      <c r="Y190" s="853"/>
      <c r="Z190" s="852"/>
      <c r="AA190" s="851"/>
      <c r="AB190" s="851"/>
      <c r="AC190" s="851"/>
      <c r="AD190" s="851"/>
      <c r="AE190" s="851"/>
      <c r="AF190" s="851"/>
      <c r="AG190" s="851"/>
      <c r="AH190" s="851"/>
      <c r="AI190" s="851"/>
      <c r="AJ190" s="851"/>
      <c r="AK190" s="849"/>
      <c r="AL190" s="846"/>
      <c r="AM190" s="846"/>
      <c r="AN190" s="850"/>
    </row>
    <row r="191" spans="1:40" x14ac:dyDescent="0.25">
      <c r="A191" s="474"/>
      <c r="C191" s="851"/>
      <c r="D191" s="851"/>
      <c r="E191" s="851"/>
      <c r="F191" s="852"/>
      <c r="G191" s="851"/>
      <c r="H191" s="851"/>
      <c r="I191" s="851"/>
      <c r="J191" s="852"/>
      <c r="K191" s="851"/>
      <c r="L191" s="851"/>
      <c r="M191" s="851"/>
      <c r="N191" s="852"/>
      <c r="O191" s="851"/>
      <c r="P191" s="851"/>
      <c r="Q191" s="851"/>
      <c r="R191" s="852"/>
      <c r="S191" s="851"/>
      <c r="T191" s="851"/>
      <c r="U191" s="851"/>
      <c r="V191" s="851"/>
      <c r="W191" s="1418"/>
      <c r="X191" s="851"/>
      <c r="Y191" s="853"/>
      <c r="Z191" s="852"/>
      <c r="AA191" s="851"/>
      <c r="AB191" s="851"/>
      <c r="AC191" s="851"/>
      <c r="AD191" s="851"/>
      <c r="AE191" s="851"/>
      <c r="AF191" s="851"/>
      <c r="AG191" s="851"/>
      <c r="AH191" s="851"/>
      <c r="AI191" s="851"/>
      <c r="AJ191" s="851"/>
      <c r="AK191" s="849"/>
      <c r="AL191" s="846"/>
      <c r="AM191" s="846"/>
      <c r="AN191" s="850"/>
    </row>
    <row r="192" spans="1:40" x14ac:dyDescent="0.25">
      <c r="A192" s="474"/>
      <c r="C192" s="851"/>
      <c r="D192" s="851"/>
      <c r="E192" s="851"/>
      <c r="F192" s="852"/>
      <c r="G192" s="851"/>
      <c r="H192" s="851"/>
      <c r="I192" s="851"/>
      <c r="J192" s="852"/>
      <c r="K192" s="851"/>
      <c r="L192" s="851"/>
      <c r="M192" s="851"/>
      <c r="N192" s="852"/>
      <c r="O192" s="851"/>
      <c r="P192" s="851"/>
      <c r="Q192" s="851"/>
      <c r="R192" s="852"/>
      <c r="S192" s="851"/>
      <c r="T192" s="851"/>
      <c r="U192" s="851"/>
      <c r="V192" s="851"/>
      <c r="W192" s="1418"/>
      <c r="X192" s="851"/>
      <c r="Y192" s="853"/>
      <c r="Z192" s="852"/>
      <c r="AA192" s="851"/>
      <c r="AB192" s="851"/>
      <c r="AC192" s="851"/>
      <c r="AD192" s="851"/>
      <c r="AE192" s="851"/>
      <c r="AF192" s="851"/>
      <c r="AG192" s="851"/>
      <c r="AH192" s="851"/>
      <c r="AI192" s="851"/>
      <c r="AJ192" s="851"/>
      <c r="AK192" s="849"/>
      <c r="AL192" s="846"/>
      <c r="AM192" s="846"/>
      <c r="AN192" s="850"/>
    </row>
    <row r="193" spans="1:40" x14ac:dyDescent="0.25">
      <c r="A193" s="474"/>
      <c r="C193" s="851"/>
      <c r="D193" s="851"/>
      <c r="E193" s="851"/>
      <c r="F193" s="852"/>
      <c r="G193" s="851"/>
      <c r="H193" s="851"/>
      <c r="I193" s="851"/>
      <c r="J193" s="852"/>
      <c r="K193" s="851"/>
      <c r="L193" s="851"/>
      <c r="M193" s="851"/>
      <c r="N193" s="852"/>
      <c r="O193" s="851"/>
      <c r="P193" s="851"/>
      <c r="Q193" s="851"/>
      <c r="R193" s="852"/>
      <c r="S193" s="851"/>
      <c r="T193" s="851"/>
      <c r="U193" s="851"/>
      <c r="V193" s="851"/>
      <c r="W193" s="1418"/>
      <c r="X193" s="851"/>
      <c r="Y193" s="853"/>
      <c r="Z193" s="852"/>
      <c r="AA193" s="851"/>
      <c r="AB193" s="851"/>
      <c r="AC193" s="851"/>
      <c r="AD193" s="851"/>
      <c r="AE193" s="851"/>
      <c r="AF193" s="851"/>
      <c r="AG193" s="851"/>
      <c r="AH193" s="851"/>
      <c r="AI193" s="851"/>
      <c r="AJ193" s="851"/>
      <c r="AK193" s="849"/>
      <c r="AL193" s="846"/>
      <c r="AM193" s="846"/>
      <c r="AN193" s="850"/>
    </row>
    <row r="194" spans="1:40" x14ac:dyDescent="0.25">
      <c r="A194" s="474"/>
      <c r="C194" s="851"/>
      <c r="D194" s="851"/>
      <c r="E194" s="851"/>
      <c r="F194" s="852"/>
      <c r="G194" s="851"/>
      <c r="H194" s="851"/>
      <c r="I194" s="851"/>
      <c r="J194" s="852"/>
      <c r="K194" s="851"/>
      <c r="L194" s="851"/>
      <c r="M194" s="851"/>
      <c r="N194" s="852"/>
      <c r="O194" s="851"/>
      <c r="P194" s="851"/>
      <c r="Q194" s="851"/>
      <c r="R194" s="852"/>
      <c r="S194" s="851"/>
      <c r="T194" s="851"/>
      <c r="U194" s="851"/>
      <c r="V194" s="851"/>
      <c r="W194" s="1418"/>
      <c r="X194" s="851"/>
      <c r="Y194" s="853"/>
      <c r="Z194" s="852"/>
      <c r="AA194" s="851"/>
      <c r="AB194" s="851"/>
      <c r="AC194" s="851"/>
      <c r="AD194" s="851"/>
      <c r="AE194" s="851"/>
      <c r="AF194" s="851"/>
      <c r="AG194" s="851"/>
      <c r="AH194" s="851"/>
      <c r="AI194" s="851"/>
      <c r="AJ194" s="851"/>
      <c r="AK194" s="849"/>
      <c r="AL194" s="846"/>
      <c r="AM194" s="846"/>
      <c r="AN194" s="850"/>
    </row>
    <row r="195" spans="1:40" x14ac:dyDescent="0.25">
      <c r="A195" s="474"/>
      <c r="C195" s="851"/>
      <c r="D195" s="851"/>
      <c r="E195" s="851"/>
      <c r="F195" s="852"/>
      <c r="G195" s="851"/>
      <c r="H195" s="851"/>
      <c r="I195" s="851"/>
      <c r="J195" s="852"/>
      <c r="K195" s="851"/>
      <c r="L195" s="851"/>
      <c r="M195" s="851"/>
      <c r="N195" s="852"/>
      <c r="O195" s="851"/>
      <c r="P195" s="851"/>
      <c r="Q195" s="851"/>
      <c r="R195" s="852"/>
      <c r="S195" s="851"/>
      <c r="T195" s="851"/>
      <c r="U195" s="851"/>
      <c r="V195" s="851"/>
      <c r="W195" s="1418"/>
      <c r="X195" s="851"/>
      <c r="Y195" s="853"/>
      <c r="Z195" s="852"/>
      <c r="AA195" s="851"/>
      <c r="AB195" s="851"/>
      <c r="AC195" s="851"/>
      <c r="AD195" s="851"/>
      <c r="AE195" s="851"/>
      <c r="AF195" s="851"/>
      <c r="AG195" s="851"/>
      <c r="AH195" s="851"/>
      <c r="AI195" s="851"/>
      <c r="AJ195" s="851"/>
      <c r="AK195" s="849"/>
      <c r="AL195" s="846"/>
      <c r="AM195" s="846"/>
      <c r="AN195" s="850"/>
    </row>
    <row r="196" spans="1:40" x14ac:dyDescent="0.25">
      <c r="A196" s="474"/>
      <c r="C196" s="851"/>
      <c r="D196" s="851"/>
      <c r="E196" s="851"/>
      <c r="F196" s="852"/>
      <c r="G196" s="851"/>
      <c r="H196" s="851"/>
      <c r="I196" s="851"/>
      <c r="J196" s="852"/>
      <c r="K196" s="851"/>
      <c r="L196" s="851"/>
      <c r="M196" s="851"/>
      <c r="N196" s="852"/>
      <c r="O196" s="851"/>
      <c r="P196" s="851"/>
      <c r="Q196" s="851"/>
      <c r="R196" s="852"/>
      <c r="S196" s="851"/>
      <c r="T196" s="851"/>
      <c r="U196" s="851"/>
      <c r="V196" s="851"/>
      <c r="W196" s="1418"/>
      <c r="X196" s="851"/>
      <c r="Y196" s="853"/>
      <c r="Z196" s="852"/>
      <c r="AA196" s="851"/>
      <c r="AB196" s="851"/>
      <c r="AC196" s="851"/>
      <c r="AD196" s="851"/>
      <c r="AE196" s="851"/>
      <c r="AF196" s="851"/>
      <c r="AG196" s="851"/>
      <c r="AH196" s="851"/>
      <c r="AI196" s="851"/>
      <c r="AJ196" s="851"/>
      <c r="AK196" s="849"/>
      <c r="AL196" s="846"/>
      <c r="AM196" s="846"/>
      <c r="AN196" s="850"/>
    </row>
    <row r="197" spans="1:40" x14ac:dyDescent="0.25">
      <c r="A197" s="474"/>
      <c r="C197" s="851"/>
      <c r="D197" s="851"/>
      <c r="E197" s="851"/>
      <c r="F197" s="852"/>
      <c r="G197" s="851"/>
      <c r="H197" s="851"/>
      <c r="I197" s="851"/>
      <c r="J197" s="852"/>
      <c r="K197" s="851"/>
      <c r="L197" s="851"/>
      <c r="M197" s="851"/>
      <c r="N197" s="852"/>
      <c r="O197" s="851"/>
      <c r="P197" s="851"/>
      <c r="Q197" s="851"/>
      <c r="R197" s="852"/>
      <c r="S197" s="851"/>
      <c r="T197" s="851"/>
      <c r="U197" s="851"/>
      <c r="V197" s="851"/>
      <c r="W197" s="1418"/>
      <c r="X197" s="851"/>
      <c r="Y197" s="853"/>
      <c r="Z197" s="852"/>
      <c r="AA197" s="851"/>
      <c r="AB197" s="851"/>
      <c r="AC197" s="851"/>
      <c r="AD197" s="851"/>
      <c r="AE197" s="851"/>
      <c r="AF197" s="851"/>
      <c r="AG197" s="851"/>
      <c r="AH197" s="851"/>
      <c r="AI197" s="851"/>
      <c r="AJ197" s="851"/>
      <c r="AK197" s="849"/>
      <c r="AL197" s="846"/>
      <c r="AM197" s="846"/>
      <c r="AN197" s="850"/>
    </row>
    <row r="198" spans="1:40" x14ac:dyDescent="0.25">
      <c r="A198" s="474"/>
      <c r="C198" s="851"/>
      <c r="D198" s="851"/>
      <c r="E198" s="851"/>
      <c r="F198" s="852"/>
      <c r="G198" s="851"/>
      <c r="H198" s="851"/>
      <c r="I198" s="851"/>
      <c r="J198" s="852"/>
      <c r="K198" s="851"/>
      <c r="L198" s="851"/>
      <c r="M198" s="851"/>
      <c r="N198" s="852"/>
      <c r="O198" s="851"/>
      <c r="P198" s="851"/>
      <c r="Q198" s="851"/>
      <c r="R198" s="852"/>
      <c r="S198" s="851"/>
      <c r="T198" s="851"/>
      <c r="U198" s="851"/>
      <c r="V198" s="851"/>
      <c r="W198" s="1418"/>
      <c r="X198" s="851"/>
      <c r="Y198" s="853"/>
      <c r="Z198" s="852"/>
      <c r="AA198" s="851"/>
      <c r="AB198" s="851"/>
      <c r="AC198" s="851"/>
      <c r="AD198" s="851"/>
      <c r="AE198" s="851"/>
      <c r="AF198" s="851"/>
      <c r="AG198" s="851"/>
      <c r="AH198" s="851"/>
      <c r="AI198" s="851"/>
      <c r="AJ198" s="851"/>
      <c r="AK198" s="849"/>
      <c r="AL198" s="846"/>
      <c r="AM198" s="846"/>
      <c r="AN198" s="850"/>
    </row>
    <row r="199" spans="1:40" x14ac:dyDescent="0.25">
      <c r="A199" s="474"/>
      <c r="C199" s="851"/>
      <c r="D199" s="851"/>
      <c r="E199" s="851"/>
      <c r="F199" s="852"/>
      <c r="G199" s="851"/>
      <c r="H199" s="851"/>
      <c r="I199" s="851"/>
      <c r="J199" s="852"/>
      <c r="K199" s="851"/>
      <c r="L199" s="851"/>
      <c r="M199" s="851"/>
      <c r="N199" s="852"/>
      <c r="O199" s="851"/>
      <c r="P199" s="851"/>
      <c r="Q199" s="851"/>
      <c r="R199" s="852"/>
      <c r="S199" s="851"/>
      <c r="T199" s="851"/>
      <c r="U199" s="851"/>
      <c r="V199" s="851"/>
      <c r="W199" s="1418"/>
      <c r="X199" s="851"/>
      <c r="Y199" s="853"/>
      <c r="Z199" s="852"/>
      <c r="AA199" s="851"/>
      <c r="AB199" s="851"/>
      <c r="AC199" s="851"/>
      <c r="AD199" s="851"/>
      <c r="AE199" s="851"/>
      <c r="AF199" s="851"/>
      <c r="AG199" s="851"/>
      <c r="AH199" s="851"/>
      <c r="AI199" s="851"/>
      <c r="AJ199" s="851"/>
      <c r="AK199" s="849"/>
      <c r="AL199" s="846"/>
      <c r="AM199" s="846"/>
      <c r="AN199" s="850"/>
    </row>
    <row r="200" spans="1:40" x14ac:dyDescent="0.25">
      <c r="A200" s="474"/>
      <c r="C200" s="851"/>
      <c r="D200" s="851"/>
      <c r="E200" s="851"/>
      <c r="F200" s="852"/>
      <c r="G200" s="851"/>
      <c r="H200" s="851"/>
      <c r="I200" s="851"/>
      <c r="J200" s="852"/>
      <c r="K200" s="851"/>
      <c r="L200" s="851"/>
      <c r="M200" s="851"/>
      <c r="N200" s="852"/>
      <c r="O200" s="851"/>
      <c r="P200" s="851"/>
      <c r="Q200" s="851"/>
      <c r="R200" s="852"/>
      <c r="S200" s="851"/>
      <c r="T200" s="851"/>
      <c r="U200" s="851"/>
      <c r="V200" s="851"/>
      <c r="W200" s="1418"/>
      <c r="X200" s="851"/>
      <c r="Y200" s="853"/>
      <c r="Z200" s="852"/>
      <c r="AA200" s="851"/>
      <c r="AB200" s="851"/>
      <c r="AC200" s="851"/>
      <c r="AD200" s="851"/>
      <c r="AE200" s="851"/>
      <c r="AF200" s="851"/>
      <c r="AG200" s="851"/>
      <c r="AH200" s="851"/>
      <c r="AI200" s="851"/>
      <c r="AJ200" s="851"/>
      <c r="AK200" s="849"/>
      <c r="AL200" s="846"/>
      <c r="AM200" s="846"/>
      <c r="AN200" s="850"/>
    </row>
    <row r="201" spans="1:40" x14ac:dyDescent="0.25">
      <c r="A201" s="474"/>
      <c r="C201" s="851"/>
      <c r="D201" s="851"/>
      <c r="E201" s="851"/>
      <c r="F201" s="852"/>
      <c r="G201" s="851"/>
      <c r="H201" s="851"/>
      <c r="I201" s="851"/>
      <c r="J201" s="852"/>
      <c r="K201" s="851"/>
      <c r="L201" s="851"/>
      <c r="M201" s="851"/>
      <c r="N201" s="852"/>
      <c r="O201" s="851"/>
      <c r="P201" s="851"/>
      <c r="Q201" s="851"/>
      <c r="R201" s="852"/>
      <c r="S201" s="851"/>
      <c r="T201" s="851"/>
      <c r="U201" s="851"/>
      <c r="V201" s="851"/>
      <c r="W201" s="1418"/>
      <c r="X201" s="851"/>
      <c r="Y201" s="853"/>
      <c r="Z201" s="852"/>
      <c r="AA201" s="851"/>
      <c r="AB201" s="851"/>
      <c r="AC201" s="851"/>
      <c r="AD201" s="851"/>
      <c r="AE201" s="851"/>
      <c r="AF201" s="851"/>
      <c r="AG201" s="851"/>
      <c r="AH201" s="851"/>
      <c r="AI201" s="851"/>
      <c r="AJ201" s="851"/>
      <c r="AK201" s="849"/>
      <c r="AL201" s="846"/>
      <c r="AM201" s="846"/>
      <c r="AN201" s="850"/>
    </row>
    <row r="202" spans="1:40" x14ac:dyDescent="0.25">
      <c r="A202" s="474"/>
      <c r="C202" s="851"/>
      <c r="D202" s="851"/>
      <c r="E202" s="851"/>
      <c r="F202" s="852"/>
      <c r="G202" s="851"/>
      <c r="H202" s="851"/>
      <c r="I202" s="851"/>
      <c r="J202" s="852"/>
      <c r="K202" s="851"/>
      <c r="L202" s="851"/>
      <c r="M202" s="851"/>
      <c r="N202" s="852"/>
      <c r="O202" s="851"/>
      <c r="P202" s="851"/>
      <c r="Q202" s="851"/>
      <c r="R202" s="852"/>
      <c r="S202" s="851"/>
      <c r="T202" s="851"/>
      <c r="U202" s="851"/>
      <c r="V202" s="851"/>
      <c r="W202" s="1418"/>
      <c r="X202" s="851"/>
      <c r="Y202" s="853"/>
      <c r="Z202" s="852"/>
      <c r="AA202" s="851"/>
      <c r="AB202" s="851"/>
      <c r="AC202" s="851"/>
      <c r="AD202" s="851"/>
      <c r="AE202" s="851"/>
      <c r="AF202" s="851"/>
      <c r="AG202" s="851"/>
      <c r="AH202" s="851"/>
      <c r="AI202" s="851"/>
      <c r="AJ202" s="851"/>
      <c r="AK202" s="849"/>
      <c r="AL202" s="846"/>
      <c r="AM202" s="846"/>
      <c r="AN202" s="850"/>
    </row>
    <row r="203" spans="1:40" x14ac:dyDescent="0.25">
      <c r="A203" s="474"/>
      <c r="C203" s="851"/>
      <c r="D203" s="851"/>
      <c r="E203" s="851"/>
      <c r="F203" s="852"/>
      <c r="G203" s="851"/>
      <c r="H203" s="851"/>
      <c r="I203" s="851"/>
      <c r="J203" s="852"/>
      <c r="K203" s="851"/>
      <c r="L203" s="851"/>
      <c r="M203" s="851"/>
      <c r="N203" s="852"/>
      <c r="O203" s="851"/>
      <c r="P203" s="851"/>
      <c r="Q203" s="851"/>
      <c r="R203" s="852"/>
      <c r="S203" s="851"/>
      <c r="T203" s="851"/>
      <c r="U203" s="851"/>
      <c r="V203" s="851"/>
      <c r="W203" s="1418"/>
      <c r="X203" s="851"/>
      <c r="Y203" s="853"/>
      <c r="Z203" s="852"/>
      <c r="AA203" s="851"/>
      <c r="AB203" s="851"/>
      <c r="AC203" s="851"/>
      <c r="AD203" s="851"/>
      <c r="AE203" s="851"/>
      <c r="AF203" s="851"/>
      <c r="AG203" s="851"/>
      <c r="AH203" s="851"/>
      <c r="AI203" s="851"/>
      <c r="AJ203" s="851"/>
      <c r="AK203" s="849"/>
      <c r="AL203" s="846"/>
      <c r="AM203" s="846"/>
      <c r="AN203" s="850"/>
    </row>
    <row r="204" spans="1:40" x14ac:dyDescent="0.25">
      <c r="A204" s="474"/>
      <c r="C204" s="851"/>
      <c r="D204" s="851"/>
      <c r="E204" s="851"/>
      <c r="F204" s="852"/>
      <c r="G204" s="851"/>
      <c r="H204" s="851"/>
      <c r="I204" s="851"/>
      <c r="J204" s="852"/>
      <c r="K204" s="851"/>
      <c r="L204" s="851"/>
      <c r="M204" s="851"/>
      <c r="N204" s="852"/>
      <c r="O204" s="851"/>
      <c r="P204" s="851"/>
      <c r="Q204" s="851"/>
      <c r="R204" s="852"/>
      <c r="S204" s="851"/>
      <c r="T204" s="851"/>
      <c r="U204" s="851"/>
      <c r="V204" s="851"/>
      <c r="W204" s="1418"/>
      <c r="X204" s="851"/>
      <c r="Y204" s="853"/>
      <c r="Z204" s="852"/>
      <c r="AA204" s="851"/>
      <c r="AB204" s="851"/>
      <c r="AC204" s="851"/>
      <c r="AD204" s="851"/>
      <c r="AE204" s="851"/>
      <c r="AF204" s="851"/>
      <c r="AG204" s="851"/>
      <c r="AH204" s="851"/>
      <c r="AI204" s="851"/>
      <c r="AJ204" s="851"/>
      <c r="AK204" s="849"/>
      <c r="AL204" s="846"/>
      <c r="AM204" s="846"/>
      <c r="AN204" s="850"/>
    </row>
    <row r="205" spans="1:40" ht="12" x14ac:dyDescent="0.3">
      <c r="A205" s="740" t="s">
        <v>258</v>
      </c>
      <c r="B205" s="816"/>
      <c r="C205" s="744"/>
      <c r="D205" s="744"/>
      <c r="E205" s="744"/>
      <c r="F205" s="745"/>
      <c r="G205" s="744"/>
      <c r="H205" s="744"/>
      <c r="I205" s="744"/>
      <c r="J205" s="745"/>
      <c r="K205" s="744"/>
      <c r="L205" s="744"/>
      <c r="M205" s="744"/>
      <c r="N205" s="745"/>
      <c r="O205" s="744"/>
      <c r="P205" s="744"/>
      <c r="Q205" s="744"/>
      <c r="R205" s="745"/>
      <c r="S205" s="744"/>
      <c r="T205" s="744"/>
      <c r="U205" s="744"/>
      <c r="V205" s="744"/>
      <c r="W205" s="985"/>
      <c r="X205" s="744"/>
      <c r="Y205" s="792"/>
      <c r="Z205" s="745"/>
      <c r="AA205" s="744"/>
      <c r="AB205" s="744"/>
      <c r="AC205" s="744"/>
      <c r="AD205" s="744"/>
      <c r="AE205" s="744"/>
      <c r="AF205" s="744"/>
      <c r="AG205" s="744"/>
      <c r="AH205" s="744"/>
      <c r="AI205" s="744"/>
      <c r="AJ205" s="744"/>
      <c r="AK205" s="792"/>
      <c r="AL205" s="744"/>
      <c r="AM205" s="744"/>
    </row>
    <row r="206" spans="1:40" x14ac:dyDescent="0.25">
      <c r="C206" s="744"/>
      <c r="D206" s="744"/>
      <c r="E206" s="744"/>
      <c r="F206" s="745"/>
      <c r="G206" s="744"/>
      <c r="H206" s="744"/>
      <c r="I206" s="744"/>
      <c r="J206" s="745"/>
      <c r="K206" s="744"/>
      <c r="L206" s="744"/>
      <c r="M206" s="744"/>
      <c r="N206" s="745"/>
      <c r="O206" s="744"/>
      <c r="P206" s="744"/>
      <c r="Q206" s="744"/>
      <c r="R206" s="745"/>
      <c r="S206" s="744"/>
      <c r="T206" s="744"/>
      <c r="U206" s="744"/>
      <c r="V206" s="744"/>
      <c r="W206" s="985"/>
      <c r="X206" s="744"/>
      <c r="Y206" s="792"/>
      <c r="Z206" s="745"/>
      <c r="AA206" s="744"/>
      <c r="AB206" s="744"/>
      <c r="AC206" s="744"/>
      <c r="AD206" s="744"/>
      <c r="AE206" s="744"/>
      <c r="AF206" s="744"/>
      <c r="AG206" s="744"/>
      <c r="AH206" s="744"/>
      <c r="AI206" s="744"/>
      <c r="AJ206" s="744"/>
      <c r="AK206" s="792"/>
      <c r="AL206" s="744"/>
      <c r="AM206" s="744"/>
    </row>
    <row r="207" spans="1:40" x14ac:dyDescent="0.25">
      <c r="A207" s="783" t="s">
        <v>259</v>
      </c>
      <c r="C207" s="744"/>
      <c r="D207" s="744"/>
      <c r="E207" s="744"/>
      <c r="F207" s="745"/>
      <c r="G207" s="744"/>
      <c r="H207" s="744"/>
      <c r="I207" s="744"/>
      <c r="J207" s="745"/>
      <c r="K207" s="744"/>
      <c r="L207" s="744"/>
      <c r="M207" s="744"/>
      <c r="N207" s="745"/>
      <c r="O207" s="744"/>
      <c r="P207" s="744"/>
      <c r="Q207" s="744"/>
      <c r="R207" s="745"/>
      <c r="S207" s="744"/>
      <c r="T207" s="744"/>
      <c r="U207" s="744"/>
      <c r="V207" s="744"/>
      <c r="W207" s="985"/>
      <c r="X207" s="744"/>
      <c r="Y207" s="792"/>
      <c r="Z207" s="745"/>
      <c r="AA207" s="744"/>
      <c r="AB207" s="744"/>
      <c r="AC207" s="744"/>
      <c r="AD207" s="744"/>
      <c r="AE207" s="744"/>
      <c r="AF207" s="744"/>
      <c r="AG207" s="744"/>
      <c r="AH207" s="744"/>
      <c r="AI207" s="744"/>
      <c r="AJ207" s="744"/>
      <c r="AK207" s="792"/>
      <c r="AL207" s="744"/>
      <c r="AM207" s="744"/>
    </row>
    <row r="208" spans="1:40" x14ac:dyDescent="0.25">
      <c r="A208" s="460" t="str">
        <f>+A45</f>
        <v xml:space="preserve">Product and Technology </v>
      </c>
      <c r="D208" s="744"/>
      <c r="E208" s="744"/>
      <c r="F208" s="745"/>
      <c r="G208" s="744">
        <f>+'FA - Detailed Disclosure'!G13</f>
        <v>8.1360000000000028</v>
      </c>
      <c r="H208" s="744">
        <f>+'FA - Detailed Disclosure'!H13</f>
        <v>7.2050000000000001</v>
      </c>
      <c r="I208" s="744">
        <f>+'FA - Detailed Disclosure'!I13</f>
        <v>8.343</v>
      </c>
      <c r="J208" s="745">
        <f>+'FA - Detailed Disclosure'!J13</f>
        <v>11.706</v>
      </c>
      <c r="K208" s="744">
        <f>+'FA - Detailed Disclosure'!K13</f>
        <v>10.553000000000001</v>
      </c>
      <c r="L208" s="744">
        <f>+'FA - Detailed Disclosure'!L13</f>
        <v>11.68</v>
      </c>
      <c r="M208" s="744">
        <f>+'FA - Detailed Disclosure'!M13</f>
        <v>11.313000000000001</v>
      </c>
      <c r="N208" s="745">
        <f>+'FA - Detailed Disclosure'!N13</f>
        <v>11.961</v>
      </c>
      <c r="O208" s="744">
        <f>+'FA - Detailed Disclosure'!O13</f>
        <v>13.773</v>
      </c>
      <c r="P208" s="744">
        <f>+'FA - Detailed Disclosure'!P13</f>
        <v>12.946</v>
      </c>
      <c r="Q208" s="744">
        <f>+'FA - Detailed Disclosure'!Q13</f>
        <v>13.25</v>
      </c>
      <c r="R208" s="745">
        <f>+'FA - Detailed Disclosure'!R13</f>
        <v>11.962</v>
      </c>
      <c r="S208" s="744">
        <f>+'FA - Detailed Disclosure'!S13</f>
        <v>12.624000000000001</v>
      </c>
      <c r="T208" s="744">
        <f>+'FA - Detailed Disclosure'!T13</f>
        <v>12.643000000000001</v>
      </c>
      <c r="U208" s="744">
        <f>+'FA - Detailed Disclosure'!U13</f>
        <v>13.106999999999999</v>
      </c>
      <c r="V208" s="744">
        <f>+'FA - Detailed Disclosure'!V13</f>
        <v>10.888999999999999</v>
      </c>
      <c r="W208" s="985">
        <f>+'FA - Detailed Disclosure'!W13</f>
        <v>12.465999999999999</v>
      </c>
      <c r="X208" s="744">
        <f>+'FA - Detailed Disclosure'!X13</f>
        <v>13.677</v>
      </c>
      <c r="Y208" s="792">
        <f>+'FA - Detailed Disclosure'!Y13</f>
        <v>12.909000000000001</v>
      </c>
      <c r="Z208" s="745"/>
      <c r="AA208" s="744"/>
      <c r="AB208" s="744"/>
      <c r="AC208" s="744"/>
      <c r="AD208" s="744"/>
      <c r="AE208" s="744"/>
      <c r="AF208" s="744"/>
      <c r="AG208" s="744">
        <f>+'FA - Detailed Disclosure'!AI13</f>
        <v>33.238999999999997</v>
      </c>
      <c r="AH208" s="744">
        <f>+SUM(G208:J208)</f>
        <v>35.39</v>
      </c>
      <c r="AI208" s="744">
        <f>+'FA - Detailed Disclosure'!AK13</f>
        <v>45.506999999999998</v>
      </c>
      <c r="AJ208" s="744">
        <f>+'FA - Detailed Disclosure'!AL13</f>
        <v>51.930999999999997</v>
      </c>
      <c r="AK208" s="792"/>
      <c r="AL208" s="744"/>
      <c r="AM208" s="744"/>
    </row>
    <row r="209" spans="1:39" x14ac:dyDescent="0.25">
      <c r="A209" s="460" t="str">
        <f>+A46</f>
        <v>SG&amp;A</v>
      </c>
      <c r="D209" s="744"/>
      <c r="E209" s="744"/>
      <c r="F209" s="745"/>
      <c r="G209" s="744">
        <f>+'FA - Detailed Disclosure'!G14</f>
        <v>23.520000000000003</v>
      </c>
      <c r="H209" s="744">
        <f>+'FA - Detailed Disclosure'!H14</f>
        <v>15.013999999999999</v>
      </c>
      <c r="I209" s="744">
        <f>+'FA - Detailed Disclosure'!I14</f>
        <v>18.907</v>
      </c>
      <c r="J209" s="745">
        <f>+'FA - Detailed Disclosure'!J14</f>
        <v>20.658000000000001</v>
      </c>
      <c r="K209" s="744">
        <f>+'FA - Detailed Disclosure'!K14</f>
        <v>23.978000000000002</v>
      </c>
      <c r="L209" s="744">
        <f>+'FA - Detailed Disclosure'!L14</f>
        <v>25.074999999999999</v>
      </c>
      <c r="M209" s="744">
        <f>+'FA - Detailed Disclosure'!M14</f>
        <v>27.202999999999999</v>
      </c>
      <c r="N209" s="745">
        <f>+'FA - Detailed Disclosure'!N14</f>
        <v>31.724</v>
      </c>
      <c r="O209" s="744">
        <f>+'FA - Detailed Disclosure'!O14</f>
        <v>28.545000000000002</v>
      </c>
      <c r="P209" s="744">
        <f>+'FA - Detailed Disclosure'!P14</f>
        <v>31.135999999999999</v>
      </c>
      <c r="Q209" s="744">
        <f>+'FA - Detailed Disclosure'!Q14</f>
        <v>28.033999999999999</v>
      </c>
      <c r="R209" s="745">
        <f>+'FA - Detailed Disclosure'!R14</f>
        <v>28.925000000000001</v>
      </c>
      <c r="S209" s="744">
        <f>+'FA - Detailed Disclosure'!S14</f>
        <v>28.681999999999999</v>
      </c>
      <c r="T209" s="744">
        <f>+'FA - Detailed Disclosure'!T14</f>
        <v>29.981999999999999</v>
      </c>
      <c r="U209" s="744">
        <f>+'FA - Detailed Disclosure'!U14</f>
        <v>30.216999999999999</v>
      </c>
      <c r="V209" s="744">
        <f>+'FA - Detailed Disclosure'!V14</f>
        <v>27.850999999999999</v>
      </c>
      <c r="W209" s="985">
        <f>+'FA - Detailed Disclosure'!W14</f>
        <v>40.661999999999999</v>
      </c>
      <c r="X209" s="744">
        <f>+'FA - Detailed Disclosure'!X14</f>
        <v>38.64</v>
      </c>
      <c r="Y209" s="792">
        <f>+'FA - Detailed Disclosure'!Y14</f>
        <v>46.05</v>
      </c>
      <c r="Z209" s="745"/>
      <c r="AA209" s="744"/>
      <c r="AB209" s="744"/>
      <c r="AC209" s="744"/>
      <c r="AD209" s="744"/>
      <c r="AE209" s="744"/>
      <c r="AF209" s="744"/>
      <c r="AG209" s="744">
        <f>+'FA - Detailed Disclosure'!AI14</f>
        <v>85.084000000000003</v>
      </c>
      <c r="AH209" s="744">
        <f>+SUM(G209:J209)</f>
        <v>78.099000000000004</v>
      </c>
      <c r="AI209" s="744">
        <f>+'FA - Detailed Disclosure'!AK14</f>
        <v>107.98</v>
      </c>
      <c r="AJ209" s="744">
        <f>+'FA - Detailed Disclosure'!AL14</f>
        <v>116.64</v>
      </c>
      <c r="AK209" s="792"/>
      <c r="AL209" s="744"/>
      <c r="AM209" s="744"/>
    </row>
    <row r="210" spans="1:39" s="789" customFormat="1" x14ac:dyDescent="0.25">
      <c r="A210" s="460" t="s">
        <v>260</v>
      </c>
      <c r="C210" s="460"/>
      <c r="D210" s="869"/>
      <c r="E210" s="869"/>
      <c r="F210" s="870"/>
      <c r="G210" s="869">
        <f>+'FA - Detailed Disclosure'!G15</f>
        <v>24.486999999999995</v>
      </c>
      <c r="H210" s="869">
        <f>+'FA - Detailed Disclosure'!H15</f>
        <v>36.572000000000003</v>
      </c>
      <c r="I210" s="869">
        <f>+'FA - Detailed Disclosure'!I15</f>
        <v>36.756</v>
      </c>
      <c r="J210" s="870">
        <f>+'FA - Detailed Disclosure'!J15</f>
        <v>37.241999999999997</v>
      </c>
      <c r="K210" s="869">
        <f>+'FA - Detailed Disclosure'!K15</f>
        <v>34.762999999999998</v>
      </c>
      <c r="L210" s="869">
        <f>+'FA - Detailed Disclosure'!L15</f>
        <v>35.917999999999999</v>
      </c>
      <c r="M210" s="869">
        <f>+'FA - Detailed Disclosure'!M15</f>
        <v>35.811999999999998</v>
      </c>
      <c r="N210" s="870">
        <f>+'FA - Detailed Disclosure'!N15</f>
        <v>36.322000000000003</v>
      </c>
      <c r="O210" s="869">
        <f>+'FA - Detailed Disclosure'!O15</f>
        <v>34.033999999999999</v>
      </c>
      <c r="P210" s="869">
        <f>+'FA - Detailed Disclosure'!P15</f>
        <v>34.406999999999996</v>
      </c>
      <c r="Q210" s="869">
        <f>+'FA - Detailed Disclosure'!Q15</f>
        <v>34.744</v>
      </c>
      <c r="R210" s="870">
        <f>+'FA - Detailed Disclosure'!R15</f>
        <v>35.061</v>
      </c>
      <c r="S210" s="869">
        <f>+'FA - Detailed Disclosure'!S15</f>
        <v>31.866</v>
      </c>
      <c r="T210" s="869">
        <f>+'FA - Detailed Disclosure'!T15</f>
        <v>32.055999999999997</v>
      </c>
      <c r="U210" s="869">
        <f>+'FA - Detailed Disclosure'!U15</f>
        <v>32.418999999999997</v>
      </c>
      <c r="V210" s="869">
        <f>+'FA - Detailed Disclosure'!V15</f>
        <v>33.131999999999998</v>
      </c>
      <c r="W210" s="1424">
        <f>+'FA - Detailed Disclosure'!W15</f>
        <v>29.882000000000001</v>
      </c>
      <c r="X210" s="869">
        <f>+'FA - Detailed Disclosure'!X15</f>
        <v>29.978000000000002</v>
      </c>
      <c r="Y210" s="871">
        <f>+'FA - Detailed Disclosure'!Y15</f>
        <v>30.167999999999999</v>
      </c>
      <c r="Z210" s="870"/>
      <c r="AA210" s="869"/>
      <c r="AB210" s="869"/>
      <c r="AC210" s="869"/>
      <c r="AD210" s="869"/>
      <c r="AE210" s="869"/>
      <c r="AF210" s="869"/>
      <c r="AG210" s="869">
        <f>+'FA - Detailed Disclosure'!AI15</f>
        <v>25.952999999999999</v>
      </c>
      <c r="AH210" s="869">
        <f>+SUM(G210:J210)</f>
        <v>135.05699999999999</v>
      </c>
      <c r="AI210" s="869">
        <f>+'FA - Detailed Disclosure'!AK15</f>
        <v>142.815</v>
      </c>
      <c r="AJ210" s="869">
        <f>+'FA - Detailed Disclosure'!AL15</f>
        <v>138.24600000000001</v>
      </c>
      <c r="AK210" s="871"/>
      <c r="AL210" s="869"/>
      <c r="AM210" s="869"/>
    </row>
    <row r="211" spans="1:39" s="470" customFormat="1" x14ac:dyDescent="0.25">
      <c r="A211" s="505" t="s">
        <v>261</v>
      </c>
      <c r="C211" s="767"/>
      <c r="D211" s="767"/>
      <c r="E211" s="767"/>
      <c r="F211" s="768"/>
      <c r="G211" s="767">
        <f>+SUM(G208:G210)</f>
        <v>56.143000000000001</v>
      </c>
      <c r="H211" s="767">
        <f t="shared" ref="H211:S211" si="669">+SUM(H208:H210)</f>
        <v>58.791000000000004</v>
      </c>
      <c r="I211" s="767">
        <f t="shared" si="669"/>
        <v>64.006</v>
      </c>
      <c r="J211" s="768">
        <f t="shared" si="669"/>
        <v>69.605999999999995</v>
      </c>
      <c r="K211" s="767">
        <f t="shared" si="669"/>
        <v>69.294000000000011</v>
      </c>
      <c r="L211" s="767">
        <f t="shared" si="669"/>
        <v>72.673000000000002</v>
      </c>
      <c r="M211" s="767">
        <f t="shared" si="669"/>
        <v>74.328000000000003</v>
      </c>
      <c r="N211" s="768">
        <f t="shared" si="669"/>
        <v>80.007000000000005</v>
      </c>
      <c r="O211" s="767">
        <f t="shared" si="669"/>
        <v>76.352000000000004</v>
      </c>
      <c r="P211" s="767">
        <f t="shared" si="669"/>
        <v>78.489000000000004</v>
      </c>
      <c r="Q211" s="767">
        <f t="shared" si="669"/>
        <v>76.027999999999992</v>
      </c>
      <c r="R211" s="768">
        <f t="shared" si="669"/>
        <v>75.948000000000008</v>
      </c>
      <c r="S211" s="767">
        <f t="shared" si="669"/>
        <v>73.171999999999997</v>
      </c>
      <c r="T211" s="767">
        <f t="shared" ref="T211:U211" si="670">+SUM(T208:T210)</f>
        <v>74.680999999999997</v>
      </c>
      <c r="U211" s="767">
        <f t="shared" si="670"/>
        <v>75.742999999999995</v>
      </c>
      <c r="V211" s="767">
        <f t="shared" ref="V211:W211" si="671">+SUM(V208:V210)</f>
        <v>71.871999999999986</v>
      </c>
      <c r="W211" s="993">
        <f t="shared" si="671"/>
        <v>83.01</v>
      </c>
      <c r="X211" s="767">
        <f t="shared" ref="X211:Y211" si="672">+SUM(X208:X210)</f>
        <v>82.295000000000002</v>
      </c>
      <c r="Y211" s="812">
        <f t="shared" si="672"/>
        <v>89.126999999999995</v>
      </c>
      <c r="Z211" s="768"/>
      <c r="AA211" s="767"/>
      <c r="AB211" s="767"/>
      <c r="AC211" s="767"/>
      <c r="AD211" s="767"/>
      <c r="AE211" s="767"/>
      <c r="AF211" s="767"/>
      <c r="AG211" s="767">
        <f t="shared" ref="AG211:AJ211" si="673">+SUM(AG208:AG210)</f>
        <v>144.27600000000001</v>
      </c>
      <c r="AH211" s="767">
        <f t="shared" si="673"/>
        <v>248.54599999999999</v>
      </c>
      <c r="AI211" s="767">
        <f t="shared" si="673"/>
        <v>296.30200000000002</v>
      </c>
      <c r="AJ211" s="767">
        <f t="shared" si="673"/>
        <v>306.81700000000001</v>
      </c>
      <c r="AK211" s="812"/>
      <c r="AL211" s="767"/>
      <c r="AM211" s="767"/>
    </row>
    <row r="212" spans="1:39" x14ac:dyDescent="0.25">
      <c r="C212" s="744"/>
      <c r="D212" s="744"/>
      <c r="E212" s="744"/>
      <c r="F212" s="745"/>
      <c r="G212" s="744"/>
      <c r="H212" s="744"/>
      <c r="I212" s="744"/>
      <c r="J212" s="745"/>
      <c r="K212" s="744"/>
      <c r="L212" s="744"/>
      <c r="M212" s="744"/>
      <c r="N212" s="745"/>
      <c r="O212" s="744"/>
      <c r="P212" s="744"/>
      <c r="Q212" s="744"/>
      <c r="R212" s="745"/>
      <c r="S212" s="744"/>
      <c r="T212" s="744"/>
      <c r="U212" s="744"/>
      <c r="V212" s="744"/>
      <c r="W212" s="985"/>
      <c r="X212" s="744"/>
      <c r="Y212" s="792"/>
      <c r="Z212" s="745"/>
      <c r="AA212" s="744"/>
      <c r="AB212" s="744"/>
      <c r="AC212" s="744"/>
      <c r="AD212" s="744"/>
      <c r="AE212" s="744"/>
      <c r="AF212" s="744"/>
      <c r="AG212" s="744"/>
      <c r="AH212" s="744"/>
      <c r="AI212" s="744"/>
      <c r="AJ212" s="744"/>
      <c r="AK212" s="792"/>
      <c r="AL212" s="744"/>
      <c r="AM212" s="744"/>
    </row>
    <row r="213" spans="1:39" x14ac:dyDescent="0.25">
      <c r="A213" s="783" t="s">
        <v>262</v>
      </c>
      <c r="C213" s="744"/>
      <c r="D213" s="744"/>
      <c r="E213" s="744"/>
      <c r="F213" s="745"/>
      <c r="G213" s="744"/>
      <c r="H213" s="744"/>
      <c r="I213" s="744"/>
      <c r="J213" s="745"/>
      <c r="K213" s="744"/>
      <c r="L213" s="744"/>
      <c r="M213" s="744"/>
      <c r="N213" s="745"/>
      <c r="O213" s="744"/>
      <c r="P213" s="744"/>
      <c r="Q213" s="744"/>
      <c r="R213" s="745"/>
      <c r="S213" s="744"/>
      <c r="T213" s="744"/>
      <c r="U213" s="744"/>
      <c r="V213" s="744"/>
      <c r="W213" s="985"/>
      <c r="X213" s="744"/>
      <c r="Y213" s="792"/>
      <c r="Z213" s="745"/>
      <c r="AA213" s="744"/>
      <c r="AB213" s="744"/>
      <c r="AC213" s="744"/>
      <c r="AD213" s="744"/>
      <c r="AE213" s="744"/>
      <c r="AF213" s="744"/>
      <c r="AG213" s="744"/>
      <c r="AH213" s="744"/>
      <c r="AI213" s="744"/>
      <c r="AJ213" s="744"/>
      <c r="AK213" s="792"/>
      <c r="AL213" s="744"/>
      <c r="AM213" s="744"/>
    </row>
    <row r="214" spans="1:39" x14ac:dyDescent="0.25">
      <c r="A214" s="460" t="str">
        <f>+'FA - Detailed Disclosure'!A87</f>
        <v>Transaction and acquisition-related charges</v>
      </c>
      <c r="C214" s="744"/>
      <c r="D214" s="744"/>
      <c r="E214" s="744"/>
      <c r="F214" s="745"/>
      <c r="G214" s="744">
        <f>+'FA - Detailed Disclosure'!G73-'FA - Detailed Disclosure'!G22</f>
        <v>0.4930000000000021</v>
      </c>
      <c r="H214" s="744">
        <f>+'FA - Detailed Disclosure'!H73</f>
        <v>7.5999999999999998E-2</v>
      </c>
      <c r="I214" s="744">
        <f>+'FA - Detailed Disclosure'!I73</f>
        <v>5.6000000000000001E-2</v>
      </c>
      <c r="J214" s="745">
        <f>+'FA - Detailed Disclosure'!J73</f>
        <v>0.56799999999999995</v>
      </c>
      <c r="K214" s="744">
        <f>+'FA - Detailed Disclosure'!K73</f>
        <v>3.984</v>
      </c>
      <c r="L214" s="744">
        <f>+'FA - Detailed Disclosure'!L73</f>
        <v>0.38200000000000001</v>
      </c>
      <c r="M214" s="744">
        <f>+'FA - Detailed Disclosure'!M73</f>
        <v>2.1440000000000001</v>
      </c>
      <c r="N214" s="745">
        <f>+'FA - Detailed Disclosure'!N73</f>
        <v>2.8039999999999998</v>
      </c>
      <c r="O214" s="744">
        <f>+'FA - Detailed Disclosure'!O73</f>
        <v>1.498</v>
      </c>
      <c r="P214" s="744">
        <f>+'FA - Detailed Disclosure'!P73</f>
        <v>1.179</v>
      </c>
      <c r="Q214" s="744">
        <f>+'FA - Detailed Disclosure'!Q73</f>
        <v>1.9079999999999999</v>
      </c>
      <c r="R214" s="745">
        <f>+'FA - Detailed Disclosure'!R73</f>
        <v>1.4330000000000001</v>
      </c>
      <c r="S214" s="744">
        <f>+'FA - Detailed Disclosure'!S73</f>
        <v>1.071</v>
      </c>
      <c r="T214" s="744">
        <f>+'FA - Detailed Disclosure'!T73</f>
        <v>1.19</v>
      </c>
      <c r="U214" s="744">
        <f>+'FA - Detailed Disclosure'!U73</f>
        <v>1.571</v>
      </c>
      <c r="V214" s="744">
        <f>+'FA - Detailed Disclosure'!V73</f>
        <v>0.53200000000000003</v>
      </c>
      <c r="W214" s="985">
        <f>+'FA - Detailed Disclosure'!W73</f>
        <v>11.992000000000001</v>
      </c>
      <c r="X214" s="744">
        <f>+'FA - Detailed Disclosure'!X73</f>
        <v>9.8729999999999993</v>
      </c>
      <c r="Y214" s="792">
        <f>+'FA - Detailed Disclosure'!Y73</f>
        <v>13.218</v>
      </c>
      <c r="Z214" s="745"/>
      <c r="AA214" s="744"/>
      <c r="AB214" s="744"/>
      <c r="AC214" s="744"/>
      <c r="AD214" s="744"/>
      <c r="AE214" s="744"/>
      <c r="AF214" s="744"/>
      <c r="AG214" s="744">
        <f>+'FA - Detailed Disclosure'!AI73</f>
        <v>1.198</v>
      </c>
      <c r="AH214" s="744">
        <f>+'FA - Detailed Disclosure'!AJ73</f>
        <v>32.985999999999997</v>
      </c>
      <c r="AI214" s="744">
        <f>+'FA - Detailed Disclosure'!AK73</f>
        <v>9.3140000000000001</v>
      </c>
      <c r="AJ214" s="744">
        <f>+'FA - Detailed Disclosure'!AL73</f>
        <v>6.0179999999999998</v>
      </c>
      <c r="AK214" s="792"/>
      <c r="AL214" s="744"/>
      <c r="AM214" s="744"/>
    </row>
    <row r="215" spans="1:39" x14ac:dyDescent="0.25">
      <c r="A215" s="460" t="str">
        <f>+'FA - Detailed Disclosure'!A88</f>
        <v>Integration, restructuring and other charges</v>
      </c>
      <c r="C215" s="744"/>
      <c r="D215" s="744"/>
      <c r="E215" s="744"/>
      <c r="F215" s="745"/>
      <c r="G215" s="744">
        <f>+'FA - Detailed Disclosure'!G74</f>
        <v>0.32700000000000001</v>
      </c>
      <c r="H215" s="744">
        <f>+'FA - Detailed Disclosure'!H74</f>
        <v>0.26200000000000001</v>
      </c>
      <c r="I215" s="744">
        <f>+'FA - Detailed Disclosure'!I74</f>
        <v>2.5999999999999999E-2</v>
      </c>
      <c r="J215" s="745">
        <f>+'FA - Detailed Disclosure'!J74</f>
        <v>3.125</v>
      </c>
      <c r="K215" s="744">
        <f>+'FA - Detailed Disclosure'!K74</f>
        <v>0.45</v>
      </c>
      <c r="L215" s="744">
        <f>+'FA - Detailed Disclosure'!L74</f>
        <v>7.2999999999999995E-2</v>
      </c>
      <c r="M215" s="744">
        <f>+'FA - Detailed Disclosure'!M74</f>
        <v>6.3E-2</v>
      </c>
      <c r="N215" s="745">
        <f>+'FA - Detailed Disclosure'!N74</f>
        <v>0</v>
      </c>
      <c r="O215" s="744">
        <f>+'FA - Detailed Disclosure'!O74</f>
        <v>-0.88900000000000001</v>
      </c>
      <c r="P215" s="744">
        <f>+'FA - Detailed Disclosure'!P74</f>
        <v>0.52500000000000002</v>
      </c>
      <c r="Q215" s="744">
        <f>+'FA - Detailed Disclosure'!Q74</f>
        <v>-0.14399999999999999</v>
      </c>
      <c r="R215" s="745">
        <f>+'FA - Detailed Disclosure'!R74</f>
        <v>3.02</v>
      </c>
      <c r="S215" s="744">
        <f>+'FA - Detailed Disclosure'!S74</f>
        <v>2.278</v>
      </c>
      <c r="T215" s="744">
        <f>+'FA - Detailed Disclosure'!T74</f>
        <v>1.4870000000000001</v>
      </c>
      <c r="U215" s="744">
        <f>+'FA - Detailed Disclosure'!U74</f>
        <v>2.8</v>
      </c>
      <c r="V215" s="744">
        <f>+'FA - Detailed Disclosure'!V74</f>
        <v>0.373</v>
      </c>
      <c r="W215" s="985">
        <f>+'FA - Detailed Disclosure'!W74</f>
        <v>0.71899999999999997</v>
      </c>
      <c r="X215" s="744">
        <f>+'FA - Detailed Disclosure'!X74</f>
        <v>0.95899999999999996</v>
      </c>
      <c r="Y215" s="792">
        <f>+'FA - Detailed Disclosure'!Y74</f>
        <v>2.0430000000000001</v>
      </c>
      <c r="Z215" s="745"/>
      <c r="AA215" s="744"/>
      <c r="AB215" s="744"/>
      <c r="AC215" s="744"/>
      <c r="AD215" s="744"/>
      <c r="AE215" s="744"/>
      <c r="AF215" s="744"/>
      <c r="AG215" s="744">
        <f>+'FA - Detailed Disclosure'!AI74</f>
        <v>0</v>
      </c>
      <c r="AH215" s="744">
        <f>+'FA - Detailed Disclosure'!AJ74</f>
        <v>3.74</v>
      </c>
      <c r="AI215" s="744">
        <f>+'FA - Detailed Disclosure'!AK74</f>
        <v>0.58600000000000008</v>
      </c>
      <c r="AJ215" s="744">
        <f>+'FA - Detailed Disclosure'!AL74</f>
        <v>2.512</v>
      </c>
      <c r="AK215" s="792"/>
      <c r="AL215" s="744"/>
      <c r="AM215" s="744"/>
    </row>
    <row r="216" spans="1:39" s="789" customFormat="1" x14ac:dyDescent="0.25">
      <c r="A216" s="460" t="str">
        <f>+'FA - Detailed Disclosure'!A89</f>
        <v>Other</v>
      </c>
      <c r="C216" s="869"/>
      <c r="D216" s="869"/>
      <c r="E216" s="869"/>
      <c r="F216" s="870"/>
      <c r="G216" s="869">
        <f>+'FA - Detailed Disclosure'!G75</f>
        <v>3.2000000000000001E-2</v>
      </c>
      <c r="H216" s="869">
        <f>+'FA - Detailed Disclosure'!H75</f>
        <v>0.42699999999999999</v>
      </c>
      <c r="I216" s="869">
        <f>+'FA - Detailed Disclosure'!I75</f>
        <v>0.63</v>
      </c>
      <c r="J216" s="870">
        <f>+'FA - Detailed Disclosure'!J75</f>
        <v>-0.189</v>
      </c>
      <c r="K216" s="869">
        <f>+'FA - Detailed Disclosure'!K75</f>
        <v>0</v>
      </c>
      <c r="L216" s="869">
        <f>+'FA - Detailed Disclosure'!L75</f>
        <v>0</v>
      </c>
      <c r="M216" s="869">
        <f>+'FA - Detailed Disclosure'!M75</f>
        <v>0.19400000000000001</v>
      </c>
      <c r="N216" s="870">
        <f>+'FA - Detailed Disclosure'!N75</f>
        <v>3.2000000000000001E-2</v>
      </c>
      <c r="O216" s="869">
        <f>+'FA - Detailed Disclosure'!O75</f>
        <v>0</v>
      </c>
      <c r="P216" s="869">
        <f>+'FA - Detailed Disclosure'!P75</f>
        <v>0</v>
      </c>
      <c r="Q216" s="869">
        <f>+'FA - Detailed Disclosure'!Q75</f>
        <v>0</v>
      </c>
      <c r="R216" s="870">
        <f>+'FA - Detailed Disclosure'!R75</f>
        <v>0</v>
      </c>
      <c r="S216" s="869">
        <f>+'FA - Detailed Disclosure'!S75</f>
        <v>0</v>
      </c>
      <c r="T216" s="869">
        <f>+'FA - Detailed Disclosure'!T75</f>
        <v>0</v>
      </c>
      <c r="U216" s="869">
        <f>+'FA - Detailed Disclosure'!U75</f>
        <v>0</v>
      </c>
      <c r="V216" s="869">
        <f>+'FA - Detailed Disclosure'!V75</f>
        <v>0</v>
      </c>
      <c r="W216" s="1424">
        <f>+'FA - Detailed Disclosure'!W75</f>
        <v>0</v>
      </c>
      <c r="X216" s="869">
        <f>+'FA - Detailed Disclosure'!X75</f>
        <v>0</v>
      </c>
      <c r="Y216" s="871">
        <f>+'FA - Detailed Disclosure'!Y75</f>
        <v>0</v>
      </c>
      <c r="Z216" s="870"/>
      <c r="AA216" s="869"/>
      <c r="AB216" s="869"/>
      <c r="AC216" s="869"/>
      <c r="AD216" s="869"/>
      <c r="AE216" s="869"/>
      <c r="AF216" s="869"/>
      <c r="AG216" s="869">
        <f>+'FA - Detailed Disclosure'!AI75</f>
        <v>3.2389999999999999</v>
      </c>
      <c r="AH216" s="869">
        <f>+'FA - Detailed Disclosure'!AJ75</f>
        <v>0.89999999999999991</v>
      </c>
      <c r="AI216" s="869">
        <f>+'FA - Detailed Disclosure'!AK75</f>
        <v>0.22600000000000001</v>
      </c>
      <c r="AJ216" s="869">
        <f>+'FA - Detailed Disclosure'!AL75</f>
        <v>0</v>
      </c>
      <c r="AK216" s="871"/>
      <c r="AL216" s="869"/>
      <c r="AM216" s="869"/>
    </row>
    <row r="217" spans="1:39" s="470" customFormat="1" x14ac:dyDescent="0.25">
      <c r="A217" s="505" t="s">
        <v>263</v>
      </c>
      <c r="C217" s="767"/>
      <c r="D217" s="767"/>
      <c r="E217" s="767"/>
      <c r="F217" s="768"/>
      <c r="G217" s="767">
        <f>+SUM(G214:G216)</f>
        <v>0.85200000000000209</v>
      </c>
      <c r="H217" s="767">
        <f t="shared" ref="H217:S217" si="674">+SUM(H214:H216)</f>
        <v>0.76500000000000001</v>
      </c>
      <c r="I217" s="767">
        <f t="shared" si="674"/>
        <v>0.71199999999999997</v>
      </c>
      <c r="J217" s="768">
        <f t="shared" si="674"/>
        <v>3.504</v>
      </c>
      <c r="K217" s="767">
        <f t="shared" si="674"/>
        <v>4.4340000000000002</v>
      </c>
      <c r="L217" s="767">
        <f t="shared" si="674"/>
        <v>0.45500000000000002</v>
      </c>
      <c r="M217" s="767">
        <f t="shared" si="674"/>
        <v>2.4010000000000002</v>
      </c>
      <c r="N217" s="768">
        <f t="shared" si="674"/>
        <v>2.8359999999999999</v>
      </c>
      <c r="O217" s="767">
        <f t="shared" si="674"/>
        <v>0.60899999999999999</v>
      </c>
      <c r="P217" s="767">
        <f t="shared" si="674"/>
        <v>1.7040000000000002</v>
      </c>
      <c r="Q217" s="767">
        <f t="shared" si="674"/>
        <v>1.764</v>
      </c>
      <c r="R217" s="768">
        <f t="shared" si="674"/>
        <v>4.4530000000000003</v>
      </c>
      <c r="S217" s="767">
        <f t="shared" si="674"/>
        <v>3.3490000000000002</v>
      </c>
      <c r="T217" s="767">
        <f t="shared" ref="T217:U217" si="675">+SUM(T214:T216)</f>
        <v>2.677</v>
      </c>
      <c r="U217" s="767">
        <f t="shared" si="675"/>
        <v>4.3709999999999996</v>
      </c>
      <c r="V217" s="767">
        <f t="shared" ref="V217:W217" si="676">+SUM(V214:V216)</f>
        <v>0.90500000000000003</v>
      </c>
      <c r="W217" s="993">
        <f t="shared" si="676"/>
        <v>12.711</v>
      </c>
      <c r="X217" s="767">
        <f t="shared" ref="X217:Y217" si="677">+SUM(X214:X216)</f>
        <v>10.831999999999999</v>
      </c>
      <c r="Y217" s="812">
        <f t="shared" si="677"/>
        <v>15.260999999999999</v>
      </c>
      <c r="Z217" s="768"/>
      <c r="AA217" s="767"/>
      <c r="AB217" s="767"/>
      <c r="AC217" s="767"/>
      <c r="AD217" s="767"/>
      <c r="AE217" s="767"/>
      <c r="AF217" s="767"/>
      <c r="AG217" s="767">
        <f t="shared" ref="AG217:AJ217" si="678">+SUM(AG214:AG216)</f>
        <v>4.4369999999999994</v>
      </c>
      <c r="AH217" s="767">
        <f t="shared" si="678"/>
        <v>37.625999999999998</v>
      </c>
      <c r="AI217" s="767">
        <f t="shared" si="678"/>
        <v>10.126000000000001</v>
      </c>
      <c r="AJ217" s="767">
        <f t="shared" si="678"/>
        <v>8.5299999999999994</v>
      </c>
      <c r="AK217" s="812"/>
      <c r="AL217" s="767"/>
      <c r="AM217" s="767"/>
    </row>
    <row r="218" spans="1:39" x14ac:dyDescent="0.25">
      <c r="C218" s="744"/>
      <c r="D218" s="744"/>
      <c r="E218" s="744"/>
      <c r="F218" s="745"/>
      <c r="G218" s="744"/>
      <c r="H218" s="744"/>
      <c r="I218" s="744"/>
      <c r="J218" s="745"/>
      <c r="K218" s="744"/>
      <c r="L218" s="744"/>
      <c r="M218" s="744"/>
      <c r="N218" s="745"/>
      <c r="O218" s="744"/>
      <c r="P218" s="744"/>
      <c r="Q218" s="744"/>
      <c r="R218" s="745"/>
      <c r="S218" s="744"/>
      <c r="T218" s="744"/>
      <c r="U218" s="744"/>
      <c r="V218" s="744"/>
      <c r="W218" s="985"/>
      <c r="X218" s="744"/>
      <c r="Y218" s="792"/>
      <c r="Z218" s="745"/>
      <c r="AA218" s="744"/>
      <c r="AB218" s="744"/>
      <c r="AC218" s="744"/>
      <c r="AD218" s="744"/>
      <c r="AE218" s="744"/>
      <c r="AF218" s="744"/>
      <c r="AG218" s="744"/>
      <c r="AH218" s="744"/>
      <c r="AI218" s="744"/>
      <c r="AJ218" s="744"/>
      <c r="AK218" s="792"/>
      <c r="AL218" s="744"/>
      <c r="AM218" s="744"/>
    </row>
    <row r="219" spans="1:39" x14ac:dyDescent="0.25">
      <c r="A219" s="783" t="s">
        <v>264</v>
      </c>
      <c r="C219" s="744"/>
      <c r="D219" s="744"/>
      <c r="E219" s="744"/>
      <c r="F219" s="745"/>
      <c r="G219" s="744"/>
      <c r="H219" s="744"/>
      <c r="I219" s="744"/>
      <c r="J219" s="745"/>
      <c r="K219" s="744"/>
      <c r="L219" s="744"/>
      <c r="M219" s="744"/>
      <c r="N219" s="745"/>
      <c r="O219" s="744"/>
      <c r="P219" s="744"/>
      <c r="Q219" s="744"/>
      <c r="R219" s="745"/>
      <c r="S219" s="744"/>
      <c r="T219" s="744"/>
      <c r="U219" s="744"/>
      <c r="V219" s="744"/>
      <c r="W219" s="985"/>
      <c r="X219" s="744"/>
      <c r="Y219" s="792"/>
      <c r="Z219" s="745"/>
      <c r="AA219" s="744"/>
      <c r="AB219" s="744"/>
      <c r="AC219" s="744"/>
      <c r="AD219" s="744"/>
      <c r="AE219" s="744"/>
      <c r="AF219" s="744"/>
      <c r="AG219" s="744"/>
      <c r="AH219" s="744"/>
      <c r="AI219" s="744"/>
      <c r="AJ219" s="744"/>
      <c r="AK219" s="792"/>
      <c r="AL219" s="744"/>
      <c r="AM219" s="744"/>
    </row>
    <row r="220" spans="1:39" x14ac:dyDescent="0.25">
      <c r="A220" s="460" t="str">
        <f>+A208</f>
        <v xml:space="preserve">Product and Technology </v>
      </c>
      <c r="C220" s="744"/>
      <c r="D220" s="744"/>
      <c r="E220" s="744"/>
      <c r="F220" s="745"/>
      <c r="G220" s="744">
        <f>+'FA - Detailed Disclosure'!G62</f>
        <v>2.7999999999999997E-2</v>
      </c>
      <c r="H220" s="744">
        <f>+'FA - Detailed Disclosure'!H62</f>
        <v>4.9000000000000002E-2</v>
      </c>
      <c r="I220" s="744">
        <f>+'FA - Detailed Disclosure'!I62</f>
        <v>0.05</v>
      </c>
      <c r="J220" s="745">
        <f>+'FA - Detailed Disclosure'!J62</f>
        <v>5.1999999999999991E-2</v>
      </c>
      <c r="K220" s="744">
        <f>+'FA - Detailed Disclosure'!K62</f>
        <v>5.3999999999999999E-2</v>
      </c>
      <c r="L220" s="744">
        <f>+'FA - Detailed Disclosure'!L62</f>
        <v>6.7000000000000004E-2</v>
      </c>
      <c r="M220" s="744">
        <f>+'FA - Detailed Disclosure'!M62</f>
        <v>5.5E-2</v>
      </c>
      <c r="N220" s="745">
        <f>+'FA - Detailed Disclosure'!N62</f>
        <v>0.28300000000000003</v>
      </c>
      <c r="O220" s="744">
        <f>+'FA - Detailed Disclosure'!O62</f>
        <v>0.20399999999999999</v>
      </c>
      <c r="P220" s="744">
        <f>+'FA - Detailed Disclosure'!P62</f>
        <v>0.312</v>
      </c>
      <c r="Q220" s="744">
        <f>+'FA - Detailed Disclosure'!Q62</f>
        <v>0.40200000000000002</v>
      </c>
      <c r="R220" s="745">
        <f>+'FA - Detailed Disclosure'!R62</f>
        <v>0.43299999999999994</v>
      </c>
      <c r="S220" s="744">
        <f>+'FA - Detailed Disclosure'!S62</f>
        <v>0.45700000000000002</v>
      </c>
      <c r="T220" s="744">
        <f>+'FA - Detailed Disclosure'!T62</f>
        <v>0.56799999999999995</v>
      </c>
      <c r="U220" s="744">
        <f>+'FA - Detailed Disclosure'!U62</f>
        <v>0.64</v>
      </c>
      <c r="V220" s="744">
        <f>+'FA - Detailed Disclosure'!V62</f>
        <v>0.58099999999999974</v>
      </c>
      <c r="W220" s="985">
        <f>+'FA - Detailed Disclosure'!W62</f>
        <v>0.65400000000000003</v>
      </c>
      <c r="X220" s="744">
        <f>+'FA - Detailed Disclosure'!X62</f>
        <v>0.68300000000000005</v>
      </c>
      <c r="Y220" s="792">
        <f>+'FA - Detailed Disclosure'!Y62</f>
        <v>0.70299999999999996</v>
      </c>
      <c r="Z220" s="745"/>
      <c r="AA220" s="744"/>
      <c r="AB220" s="744"/>
      <c r="AC220" s="744"/>
      <c r="AD220" s="744"/>
      <c r="AE220" s="744"/>
      <c r="AF220" s="744"/>
      <c r="AG220" s="744">
        <f>+'FA - Detailed Disclosure'!AI62</f>
        <v>9.1999999999999998E-2</v>
      </c>
      <c r="AH220" s="744">
        <f>+SUM(G220:J220)</f>
        <v>0.17899999999999999</v>
      </c>
      <c r="AI220" s="744">
        <f>+'FA - Detailed Disclosure'!AK62</f>
        <v>0.45900000000000002</v>
      </c>
      <c r="AJ220" s="744">
        <f>+'FA - Detailed Disclosure'!AL62</f>
        <v>1.351</v>
      </c>
      <c r="AK220" s="792"/>
      <c r="AL220" s="744"/>
      <c r="AM220" s="744"/>
    </row>
    <row r="221" spans="1:39" s="802" customFormat="1" ht="13" x14ac:dyDescent="0.4">
      <c r="A221" s="460" t="str">
        <f>+A209</f>
        <v>SG&amp;A</v>
      </c>
      <c r="C221" s="803"/>
      <c r="D221" s="803"/>
      <c r="E221" s="803"/>
      <c r="F221" s="823"/>
      <c r="G221" s="803">
        <f>+'FA - Detailed Disclosure'!G63</f>
        <v>4.0579999999999998</v>
      </c>
      <c r="H221" s="803">
        <f>+'FA - Detailed Disclosure'!H63</f>
        <v>0.44500000000000001</v>
      </c>
      <c r="I221" s="803">
        <f>+'FA - Detailed Disclosure'!I63</f>
        <v>0.45200000000000001</v>
      </c>
      <c r="J221" s="823">
        <f>+'FA - Detailed Disclosure'!J63</f>
        <v>0.46199999999999974</v>
      </c>
      <c r="K221" s="803">
        <f>+'FA - Detailed Disclosure'!K63</f>
        <v>0.47499999999999998</v>
      </c>
      <c r="L221" s="803">
        <f>+'FA - Detailed Disclosure'!L63</f>
        <v>2.556</v>
      </c>
      <c r="M221" s="803">
        <f>+'FA - Detailed Disclosure'!M63</f>
        <v>1.2849999999999999</v>
      </c>
      <c r="N221" s="823">
        <f>+'FA - Detailed Disclosure'!N63</f>
        <v>4.5919999999999996</v>
      </c>
      <c r="O221" s="803">
        <f>+'FA - Detailed Disclosure'!O63</f>
        <v>1.381</v>
      </c>
      <c r="P221" s="803">
        <f>+'FA - Detailed Disclosure'!P63</f>
        <v>1.3540000000000001</v>
      </c>
      <c r="Q221" s="803">
        <f>+'FA - Detailed Disclosure'!Q63</f>
        <v>1.3280000000000001</v>
      </c>
      <c r="R221" s="823">
        <f>+'FA - Detailed Disclosure'!R63</f>
        <v>1.3389999999999995</v>
      </c>
      <c r="S221" s="803">
        <f>+'FA - Detailed Disclosure'!S63</f>
        <v>1.3260000000000001</v>
      </c>
      <c r="T221" s="803">
        <f>+'FA - Detailed Disclosure'!T63</f>
        <v>2.72</v>
      </c>
      <c r="U221" s="803">
        <f>+'FA - Detailed Disclosure'!U63</f>
        <v>3.82</v>
      </c>
      <c r="V221" s="803">
        <f>+'FA - Detailed Disclosure'!V63</f>
        <v>3.8739999999999992</v>
      </c>
      <c r="W221" s="1001">
        <f>+'FA - Detailed Disclosure'!W63</f>
        <v>3.74</v>
      </c>
      <c r="X221" s="803">
        <f>+'FA - Detailed Disclosure'!X63</f>
        <v>3.9550000000000001</v>
      </c>
      <c r="Y221" s="804">
        <f>+'FA - Detailed Disclosure'!Y63</f>
        <v>8.3870000000000005</v>
      </c>
      <c r="Z221" s="823"/>
      <c r="AA221" s="803"/>
      <c r="AB221" s="803"/>
      <c r="AC221" s="803"/>
      <c r="AD221" s="803"/>
      <c r="AE221" s="803"/>
      <c r="AF221" s="803"/>
      <c r="AG221" s="803">
        <f>+'FA - Detailed Disclosure'!AI63</f>
        <v>0.95299999999999996</v>
      </c>
      <c r="AH221" s="803">
        <f>+SUM(G221:J221)</f>
        <v>5.4169999999999998</v>
      </c>
      <c r="AI221" s="803">
        <f>+'FA - Detailed Disclosure'!AK63</f>
        <v>8.9079999999999995</v>
      </c>
      <c r="AJ221" s="803">
        <f>+'FA - Detailed Disclosure'!AL63</f>
        <v>5.4020000000000001</v>
      </c>
      <c r="AK221" s="804"/>
      <c r="AL221" s="803"/>
      <c r="AM221" s="803"/>
    </row>
    <row r="222" spans="1:39" s="470" customFormat="1" x14ac:dyDescent="0.25">
      <c r="A222" s="505" t="s">
        <v>265</v>
      </c>
      <c r="C222" s="767"/>
      <c r="D222" s="767"/>
      <c r="E222" s="767"/>
      <c r="F222" s="768"/>
      <c r="G222" s="767">
        <f>+SUM(G220:G221)</f>
        <v>4.0859999999999994</v>
      </c>
      <c r="H222" s="767">
        <f t="shared" ref="H222:AJ222" si="679">+SUM(H220:H221)</f>
        <v>0.49399999999999999</v>
      </c>
      <c r="I222" s="767">
        <f t="shared" si="679"/>
        <v>0.502</v>
      </c>
      <c r="J222" s="768">
        <f t="shared" si="679"/>
        <v>0.51399999999999979</v>
      </c>
      <c r="K222" s="767">
        <f t="shared" si="679"/>
        <v>0.52900000000000003</v>
      </c>
      <c r="L222" s="767">
        <f t="shared" si="679"/>
        <v>2.6230000000000002</v>
      </c>
      <c r="M222" s="767">
        <f t="shared" si="679"/>
        <v>1.3399999999999999</v>
      </c>
      <c r="N222" s="768">
        <f t="shared" si="679"/>
        <v>4.875</v>
      </c>
      <c r="O222" s="767">
        <f t="shared" si="679"/>
        <v>1.585</v>
      </c>
      <c r="P222" s="767">
        <f t="shared" si="679"/>
        <v>1.6660000000000001</v>
      </c>
      <c r="Q222" s="767">
        <f t="shared" si="679"/>
        <v>1.73</v>
      </c>
      <c r="R222" s="768">
        <f t="shared" si="679"/>
        <v>1.7719999999999994</v>
      </c>
      <c r="S222" s="767">
        <f t="shared" si="679"/>
        <v>1.7830000000000001</v>
      </c>
      <c r="T222" s="767">
        <f t="shared" ref="T222:U222" si="680">+SUM(T220:T221)</f>
        <v>3.2880000000000003</v>
      </c>
      <c r="U222" s="767">
        <f t="shared" si="680"/>
        <v>4.46</v>
      </c>
      <c r="V222" s="767">
        <f t="shared" ref="V222:W222" si="681">+SUM(V220:V221)</f>
        <v>4.4549999999999992</v>
      </c>
      <c r="W222" s="993">
        <f t="shared" si="681"/>
        <v>4.3940000000000001</v>
      </c>
      <c r="X222" s="767">
        <f t="shared" ref="X222:Y222" si="682">+SUM(X220:X221)</f>
        <v>4.6379999999999999</v>
      </c>
      <c r="Y222" s="812">
        <f t="shared" si="682"/>
        <v>9.09</v>
      </c>
      <c r="Z222" s="768"/>
      <c r="AA222" s="767"/>
      <c r="AB222" s="767"/>
      <c r="AC222" s="767"/>
      <c r="AD222" s="767"/>
      <c r="AE222" s="767"/>
      <c r="AF222" s="767"/>
      <c r="AG222" s="767">
        <f t="shared" si="679"/>
        <v>1.0449999999999999</v>
      </c>
      <c r="AH222" s="767">
        <f t="shared" si="679"/>
        <v>5.5960000000000001</v>
      </c>
      <c r="AI222" s="767">
        <f t="shared" si="679"/>
        <v>9.3669999999999991</v>
      </c>
      <c r="AJ222" s="767">
        <f t="shared" si="679"/>
        <v>6.7530000000000001</v>
      </c>
      <c r="AK222" s="812"/>
      <c r="AL222" s="767"/>
      <c r="AM222" s="767"/>
    </row>
    <row r="223" spans="1:39" x14ac:dyDescent="0.25">
      <c r="C223" s="744"/>
      <c r="D223" s="744"/>
      <c r="E223" s="744"/>
      <c r="F223" s="745"/>
      <c r="G223" s="744"/>
      <c r="H223" s="744"/>
      <c r="I223" s="744"/>
      <c r="J223" s="745"/>
      <c r="K223" s="744"/>
      <c r="L223" s="744"/>
      <c r="M223" s="744"/>
      <c r="N223" s="745"/>
      <c r="O223" s="744"/>
      <c r="P223" s="744"/>
      <c r="Q223" s="744"/>
      <c r="R223" s="745"/>
      <c r="S223" s="744"/>
      <c r="T223" s="744"/>
      <c r="U223" s="744"/>
      <c r="V223" s="744"/>
      <c r="W223" s="985"/>
      <c r="X223" s="744"/>
      <c r="Y223" s="792"/>
      <c r="Z223" s="745"/>
      <c r="AA223" s="744"/>
      <c r="AB223" s="744"/>
      <c r="AC223" s="744"/>
      <c r="AD223" s="744"/>
      <c r="AE223" s="744"/>
      <c r="AF223" s="744"/>
      <c r="AG223" s="744"/>
      <c r="AH223" s="744"/>
      <c r="AI223" s="744"/>
      <c r="AJ223" s="744"/>
      <c r="AK223" s="792"/>
      <c r="AL223" s="744"/>
      <c r="AM223" s="744"/>
    </row>
    <row r="224" spans="1:39" x14ac:dyDescent="0.25">
      <c r="A224" s="783" t="s">
        <v>266</v>
      </c>
      <c r="C224" s="744"/>
      <c r="D224" s="744"/>
      <c r="E224" s="744"/>
      <c r="F224" s="745"/>
      <c r="G224" s="744"/>
      <c r="H224" s="744"/>
      <c r="I224" s="744"/>
      <c r="J224" s="745"/>
      <c r="K224" s="744"/>
      <c r="L224" s="744"/>
      <c r="M224" s="744"/>
      <c r="N224" s="745"/>
      <c r="O224" s="744"/>
      <c r="P224" s="744"/>
      <c r="Q224" s="744"/>
      <c r="R224" s="745"/>
      <c r="S224" s="744"/>
      <c r="T224" s="744"/>
      <c r="U224" s="744"/>
      <c r="V224" s="744"/>
      <c r="W224" s="985"/>
      <c r="X224" s="744"/>
      <c r="Y224" s="792"/>
      <c r="Z224" s="745"/>
      <c r="AA224" s="744"/>
      <c r="AB224" s="744"/>
      <c r="AC224" s="744"/>
      <c r="AD224" s="744"/>
      <c r="AE224" s="744"/>
      <c r="AF224" s="744"/>
      <c r="AG224" s="744"/>
      <c r="AH224" s="744"/>
      <c r="AI224" s="744"/>
      <c r="AJ224" s="744"/>
      <c r="AK224" s="792"/>
      <c r="AL224" s="744"/>
      <c r="AM224" s="744"/>
    </row>
    <row r="225" spans="1:43" x14ac:dyDescent="0.25">
      <c r="A225" s="460" t="str">
        <f>+A208</f>
        <v xml:space="preserve">Product and Technology </v>
      </c>
      <c r="C225" s="744"/>
      <c r="D225" s="744"/>
      <c r="E225" s="744"/>
      <c r="F225" s="745"/>
      <c r="G225" s="744">
        <f>+G208-G220</f>
        <v>8.1080000000000023</v>
      </c>
      <c r="H225" s="744">
        <f t="shared" ref="H225:S225" si="683">+H208-H220</f>
        <v>7.1559999999999997</v>
      </c>
      <c r="I225" s="744">
        <f t="shared" si="683"/>
        <v>8.2929999999999993</v>
      </c>
      <c r="J225" s="745">
        <f t="shared" si="683"/>
        <v>11.654</v>
      </c>
      <c r="K225" s="744">
        <f t="shared" si="683"/>
        <v>10.499000000000001</v>
      </c>
      <c r="L225" s="744">
        <f t="shared" si="683"/>
        <v>11.613</v>
      </c>
      <c r="M225" s="744">
        <f t="shared" si="683"/>
        <v>11.258000000000001</v>
      </c>
      <c r="N225" s="745">
        <f t="shared" si="683"/>
        <v>11.678000000000001</v>
      </c>
      <c r="O225" s="744">
        <f t="shared" si="683"/>
        <v>13.568999999999999</v>
      </c>
      <c r="P225" s="744">
        <f t="shared" si="683"/>
        <v>12.634</v>
      </c>
      <c r="Q225" s="744">
        <f t="shared" si="683"/>
        <v>12.848000000000001</v>
      </c>
      <c r="R225" s="745">
        <f t="shared" si="683"/>
        <v>11.529</v>
      </c>
      <c r="S225" s="744">
        <f t="shared" si="683"/>
        <v>12.167</v>
      </c>
      <c r="T225" s="744">
        <f t="shared" ref="T225" si="684">+T208-T220</f>
        <v>12.075000000000001</v>
      </c>
      <c r="U225" s="744">
        <f>+U45</f>
        <v>10.993000000000009</v>
      </c>
      <c r="V225" s="736">
        <f>+V45</f>
        <v>9.8800000000000239</v>
      </c>
      <c r="W225" s="986">
        <f>+W45</f>
        <v>11.811999999999999</v>
      </c>
      <c r="X225" s="744">
        <f>+X45</f>
        <v>12.994</v>
      </c>
      <c r="Y225" s="792">
        <f t="shared" ref="Y225" si="685">+Y45</f>
        <v>12.206000000000001</v>
      </c>
      <c r="Z225" s="1089">
        <v>11.4</v>
      </c>
      <c r="AA225" s="753">
        <f>+W225*1.05</f>
        <v>12.4026</v>
      </c>
      <c r="AB225" s="753">
        <f t="shared" ref="AB225" si="686">+X225*1.05</f>
        <v>13.643700000000001</v>
      </c>
      <c r="AC225" s="753">
        <f t="shared" ref="AC225" si="687">+Y225*1.05</f>
        <v>12.816300000000002</v>
      </c>
      <c r="AD225" s="753">
        <f t="shared" ref="AD225:AD226" si="688">+Z225*1.05</f>
        <v>11.97</v>
      </c>
      <c r="AE225" s="744"/>
      <c r="AF225" s="744"/>
      <c r="AG225" s="744">
        <f>+AG208-AG220</f>
        <v>33.146999999999998</v>
      </c>
      <c r="AH225" s="744">
        <f>+SUM(G225:J225)</f>
        <v>35.210999999999999</v>
      </c>
      <c r="AI225" s="744">
        <f t="shared" ref="AI225:AJ225" si="689">+AI208-AI220</f>
        <v>45.047999999999995</v>
      </c>
      <c r="AJ225" s="744">
        <f t="shared" si="689"/>
        <v>50.58</v>
      </c>
      <c r="AK225" s="792">
        <f>SUM(S225:V225)</f>
        <v>45.115000000000038</v>
      </c>
      <c r="AL225" s="744">
        <f>+SUM(W225:Z225)</f>
        <v>48.411999999999999</v>
      </c>
      <c r="AM225" s="744">
        <f t="shared" ref="AM225:AM227" si="690">+SUM(AA225:AD225)</f>
        <v>50.832599999999999</v>
      </c>
    </row>
    <row r="226" spans="1:43" s="802" customFormat="1" ht="13" x14ac:dyDescent="0.4">
      <c r="A226" s="460" t="str">
        <f>+A209</f>
        <v>SG&amp;A</v>
      </c>
      <c r="C226" s="803"/>
      <c r="D226" s="803"/>
      <c r="E226" s="803"/>
      <c r="F226" s="823"/>
      <c r="G226" s="872">
        <f>+G209-G217-G221</f>
        <v>18.61</v>
      </c>
      <c r="H226" s="872">
        <f t="shared" ref="H226:S226" si="691">+H209-H217-H221</f>
        <v>13.803999999999998</v>
      </c>
      <c r="I226" s="872">
        <f t="shared" si="691"/>
        <v>17.742999999999999</v>
      </c>
      <c r="J226" s="873">
        <f t="shared" si="691"/>
        <v>16.692</v>
      </c>
      <c r="K226" s="872">
        <f t="shared" si="691"/>
        <v>19.068999999999999</v>
      </c>
      <c r="L226" s="872">
        <f t="shared" si="691"/>
        <v>22.064</v>
      </c>
      <c r="M226" s="872">
        <f t="shared" si="691"/>
        <v>23.516999999999999</v>
      </c>
      <c r="N226" s="873">
        <f t="shared" si="691"/>
        <v>24.296000000000003</v>
      </c>
      <c r="O226" s="803">
        <f t="shared" si="691"/>
        <v>26.555</v>
      </c>
      <c r="P226" s="803">
        <f t="shared" si="691"/>
        <v>28.077999999999999</v>
      </c>
      <c r="Q226" s="803">
        <f t="shared" si="691"/>
        <v>24.942</v>
      </c>
      <c r="R226" s="823">
        <f t="shared" si="691"/>
        <v>23.133000000000003</v>
      </c>
      <c r="S226" s="803">
        <f t="shared" si="691"/>
        <v>24.006999999999998</v>
      </c>
      <c r="T226" s="803">
        <f t="shared" ref="T226" si="692">+T209-T217-T221</f>
        <v>24.585000000000001</v>
      </c>
      <c r="U226" s="803">
        <f>+U46</f>
        <v>23.5</v>
      </c>
      <c r="V226" s="757">
        <f>+V46</f>
        <v>23.5</v>
      </c>
      <c r="W226" s="987">
        <f>+W46</f>
        <v>24.210999999999999</v>
      </c>
      <c r="X226" s="803">
        <f>+X46</f>
        <v>23.853000000000002</v>
      </c>
      <c r="Y226" s="804">
        <f t="shared" ref="Y226" si="693">+Y46</f>
        <v>22.401999999999997</v>
      </c>
      <c r="Z226" s="1491">
        <f>+Y226</f>
        <v>22.401999999999997</v>
      </c>
      <c r="AA226" s="759">
        <f>+Z226+1</f>
        <v>23.401999999999997</v>
      </c>
      <c r="AB226" s="759">
        <f>+AA226*1.02</f>
        <v>23.870039999999999</v>
      </c>
      <c r="AC226" s="759">
        <f>+AB226*0.985</f>
        <v>23.511989400000001</v>
      </c>
      <c r="AD226" s="759">
        <f t="shared" si="688"/>
        <v>23.522099999999998</v>
      </c>
      <c r="AE226" s="803"/>
      <c r="AF226" s="803"/>
      <c r="AG226" s="803">
        <f>+AG209-AG217-AG221</f>
        <v>79.694000000000003</v>
      </c>
      <c r="AH226" s="803">
        <f>+SUM(G226:J226)</f>
        <v>66.84899999999999</v>
      </c>
      <c r="AI226" s="803">
        <f t="shared" ref="AI226:AJ226" si="694">+AI209-AI217-AI221</f>
        <v>88.945999999999998</v>
      </c>
      <c r="AJ226" s="803">
        <f t="shared" si="694"/>
        <v>102.708</v>
      </c>
      <c r="AK226" s="804">
        <f>SUM(S226:V226)</f>
        <v>95.591999999999999</v>
      </c>
      <c r="AL226" s="803">
        <f>+SUM(W226:Z226)</f>
        <v>92.867999999999995</v>
      </c>
      <c r="AM226" s="803">
        <f t="shared" si="690"/>
        <v>94.306129399999989</v>
      </c>
    </row>
    <row r="227" spans="1:43" s="470" customFormat="1" x14ac:dyDescent="0.25">
      <c r="A227" s="505" t="s">
        <v>267</v>
      </c>
      <c r="C227" s="767"/>
      <c r="D227" s="767"/>
      <c r="E227" s="767"/>
      <c r="F227" s="768"/>
      <c r="G227" s="767">
        <f>+SUM(G225:G226)</f>
        <v>26.718000000000004</v>
      </c>
      <c r="H227" s="767">
        <f t="shared" ref="H227:S227" si="695">+SUM(H225:H226)</f>
        <v>20.959999999999997</v>
      </c>
      <c r="I227" s="767">
        <f t="shared" si="695"/>
        <v>26.035999999999998</v>
      </c>
      <c r="J227" s="768">
        <f t="shared" si="695"/>
        <v>28.346</v>
      </c>
      <c r="K227" s="767">
        <f t="shared" si="695"/>
        <v>29.567999999999998</v>
      </c>
      <c r="L227" s="767">
        <f t="shared" si="695"/>
        <v>33.677</v>
      </c>
      <c r="M227" s="767">
        <f t="shared" si="695"/>
        <v>34.774999999999999</v>
      </c>
      <c r="N227" s="768">
        <f t="shared" si="695"/>
        <v>35.974000000000004</v>
      </c>
      <c r="O227" s="767">
        <f t="shared" si="695"/>
        <v>40.123999999999995</v>
      </c>
      <c r="P227" s="767">
        <f t="shared" si="695"/>
        <v>40.712000000000003</v>
      </c>
      <c r="Q227" s="767">
        <f t="shared" si="695"/>
        <v>37.79</v>
      </c>
      <c r="R227" s="768">
        <f t="shared" si="695"/>
        <v>34.662000000000006</v>
      </c>
      <c r="S227" s="767">
        <f t="shared" si="695"/>
        <v>36.173999999999999</v>
      </c>
      <c r="T227" s="767">
        <f t="shared" ref="T227" si="696">+SUM(T225:T226)</f>
        <v>36.660000000000004</v>
      </c>
      <c r="U227" s="767">
        <f t="shared" ref="U227" si="697">+SUM(U225:U226)</f>
        <v>34.493000000000009</v>
      </c>
      <c r="V227" s="762">
        <f t="shared" ref="V227:Z227" si="698">+SUM(V225:V226)</f>
        <v>33.380000000000024</v>
      </c>
      <c r="W227" s="988">
        <f t="shared" ref="W227:X227" si="699">+SUM(W225:W226)</f>
        <v>36.022999999999996</v>
      </c>
      <c r="X227" s="767">
        <f t="shared" si="699"/>
        <v>36.847000000000001</v>
      </c>
      <c r="Y227" s="812">
        <f t="shared" ref="Y227" si="700">+SUM(Y225:Y226)</f>
        <v>34.607999999999997</v>
      </c>
      <c r="Z227" s="763">
        <f t="shared" si="698"/>
        <v>33.802</v>
      </c>
      <c r="AA227" s="762">
        <f t="shared" ref="AA227:AD227" si="701">+SUM(AA225:AA226)</f>
        <v>35.804599999999994</v>
      </c>
      <c r="AB227" s="762">
        <f t="shared" si="701"/>
        <v>37.513739999999999</v>
      </c>
      <c r="AC227" s="762">
        <f t="shared" si="701"/>
        <v>36.328289400000003</v>
      </c>
      <c r="AD227" s="762">
        <f t="shared" si="701"/>
        <v>35.492100000000001</v>
      </c>
      <c r="AE227" s="767"/>
      <c r="AF227" s="767"/>
      <c r="AG227" s="767">
        <f>+SUM(AG225:AG226)</f>
        <v>112.84100000000001</v>
      </c>
      <c r="AH227" s="767">
        <f t="shared" ref="AH227:AJ227" si="702">+SUM(AH225:AH226)</f>
        <v>102.05999999999999</v>
      </c>
      <c r="AI227" s="767">
        <f t="shared" si="702"/>
        <v>133.994</v>
      </c>
      <c r="AJ227" s="767">
        <f t="shared" si="702"/>
        <v>153.28800000000001</v>
      </c>
      <c r="AK227" s="812">
        <f>SUM(S227:V227)</f>
        <v>140.70700000000005</v>
      </c>
      <c r="AL227" s="767">
        <f>+SUM(W227:Z227)</f>
        <v>141.28</v>
      </c>
      <c r="AM227" s="767">
        <f t="shared" si="690"/>
        <v>145.13872939999999</v>
      </c>
    </row>
    <row r="228" spans="1:43" x14ac:dyDescent="0.25">
      <c r="C228" s="744"/>
      <c r="D228" s="744"/>
      <c r="E228" s="744"/>
      <c r="F228" s="745"/>
      <c r="G228" s="744"/>
      <c r="H228" s="744"/>
      <c r="I228" s="744"/>
      <c r="J228" s="745"/>
      <c r="K228" s="744"/>
      <c r="L228" s="744"/>
      <c r="M228" s="744"/>
      <c r="N228" s="745"/>
      <c r="O228" s="744"/>
      <c r="P228" s="744"/>
      <c r="Q228" s="744"/>
      <c r="R228" s="745"/>
      <c r="S228" s="744"/>
      <c r="T228" s="744"/>
      <c r="U228" s="744"/>
      <c r="V228" s="736"/>
      <c r="W228" s="986"/>
      <c r="X228" s="744"/>
      <c r="Y228" s="792"/>
      <c r="Z228" s="752"/>
      <c r="AA228" s="736"/>
      <c r="AB228" s="736"/>
      <c r="AC228" s="736"/>
      <c r="AD228" s="736"/>
      <c r="AE228" s="744"/>
      <c r="AF228" s="744"/>
      <c r="AG228" s="744"/>
      <c r="AH228" s="744"/>
      <c r="AI228" s="744"/>
      <c r="AJ228" s="744"/>
      <c r="AK228" s="792"/>
      <c r="AL228" s="744"/>
      <c r="AM228" s="744"/>
    </row>
    <row r="229" spans="1:43" ht="12" collapsed="1" x14ac:dyDescent="0.3">
      <c r="A229" s="782" t="s">
        <v>29</v>
      </c>
      <c r="B229" s="470"/>
      <c r="C229" s="744"/>
      <c r="D229" s="744"/>
      <c r="E229" s="744"/>
      <c r="F229" s="745"/>
      <c r="G229" s="750"/>
      <c r="H229" s="750"/>
      <c r="I229" s="750"/>
      <c r="J229" s="751"/>
      <c r="K229" s="750"/>
      <c r="L229" s="750"/>
      <c r="M229" s="750"/>
      <c r="N229" s="751"/>
      <c r="O229" s="750"/>
      <c r="P229" s="744"/>
      <c r="Q229" s="744"/>
      <c r="R229" s="745"/>
      <c r="S229" s="744"/>
      <c r="T229" s="744"/>
      <c r="U229" s="744"/>
      <c r="V229" s="736"/>
      <c r="W229" s="986"/>
      <c r="X229" s="744"/>
      <c r="Y229" s="792"/>
      <c r="Z229" s="752"/>
      <c r="AA229" s="736"/>
      <c r="AB229" s="736"/>
      <c r="AC229" s="736"/>
      <c r="AD229" s="736"/>
      <c r="AE229" s="744"/>
      <c r="AF229" s="750"/>
      <c r="AG229" s="750"/>
      <c r="AH229" s="750"/>
      <c r="AI229" s="750"/>
      <c r="AJ229" s="744"/>
      <c r="AK229" s="792"/>
      <c r="AL229" s="744"/>
      <c r="AM229" s="744"/>
      <c r="AP229" s="460" t="e">
        <f>+AP222/AO222-1</f>
        <v>#DIV/0!</v>
      </c>
      <c r="AQ229" s="460" t="e">
        <f>+AQ222/AP222-1</f>
        <v>#DIV/0!</v>
      </c>
    </row>
    <row r="230" spans="1:43" ht="12" x14ac:dyDescent="0.3">
      <c r="A230" s="778" t="str">
        <f>+A225</f>
        <v xml:space="preserve">Product and Technology </v>
      </c>
      <c r="B230" s="470"/>
      <c r="C230" s="744"/>
      <c r="D230" s="744"/>
      <c r="E230" s="744"/>
      <c r="F230" s="745"/>
      <c r="G230" s="689"/>
      <c r="H230" s="689"/>
      <c r="I230" s="689"/>
      <c r="J230" s="779"/>
      <c r="K230" s="689">
        <f>+K225/G225-1</f>
        <v>0.29489393191909197</v>
      </c>
      <c r="L230" s="689">
        <f t="shared" ref="L230:V230" si="703">+L225/H225-1</f>
        <v>0.62283398546674129</v>
      </c>
      <c r="M230" s="689">
        <f t="shared" si="703"/>
        <v>0.35753044736524808</v>
      </c>
      <c r="N230" s="779">
        <f t="shared" si="703"/>
        <v>2.0593787540759134E-3</v>
      </c>
      <c r="O230" s="689">
        <f t="shared" si="703"/>
        <v>0.29240880083817489</v>
      </c>
      <c r="P230" s="689">
        <f t="shared" si="703"/>
        <v>8.791871178851296E-2</v>
      </c>
      <c r="Q230" s="689">
        <f t="shared" si="703"/>
        <v>0.14123290104814346</v>
      </c>
      <c r="R230" s="779">
        <f t="shared" si="703"/>
        <v>-1.27590340811784E-2</v>
      </c>
      <c r="S230" s="799">
        <f t="shared" si="703"/>
        <v>-0.1033237526715306</v>
      </c>
      <c r="T230" s="799">
        <f t="shared" ref="T230:T232" si="704">+T225/P225-1</f>
        <v>-4.4245686243469917E-2</v>
      </c>
      <c r="U230" s="799">
        <f t="shared" si="703"/>
        <v>-0.14438044831880381</v>
      </c>
      <c r="V230" s="799">
        <f t="shared" si="703"/>
        <v>-0.1430306184404524</v>
      </c>
      <c r="W230" s="994">
        <f t="shared" ref="W230:W232" si="705">+W225/S225-1</f>
        <v>-2.9177282814169536E-2</v>
      </c>
      <c r="X230" s="799">
        <f t="shared" ref="X230:X232" si="706">+X225/T225-1</f>
        <v>7.6107660455486448E-2</v>
      </c>
      <c r="Y230" s="1456">
        <f t="shared" ref="Y230:Y232" si="707">+Y225/U225-1</f>
        <v>0.11034294551077872</v>
      </c>
      <c r="Z230" s="913">
        <f t="shared" ref="Z230:Z232" si="708">+Z225/V225-1</f>
        <v>0.15384615384615108</v>
      </c>
      <c r="AA230" s="799">
        <f t="shared" ref="AA230:AA232" si="709">+AA225/W225-1</f>
        <v>5.0000000000000044E-2</v>
      </c>
      <c r="AB230" s="799">
        <f t="shared" ref="AB230:AB232" si="710">+AB225/X225-1</f>
        <v>5.0000000000000044E-2</v>
      </c>
      <c r="AC230" s="799">
        <f t="shared" ref="AC230:AC232" si="711">+AC225/Y225-1</f>
        <v>5.0000000000000044E-2</v>
      </c>
      <c r="AD230" s="799">
        <f t="shared" ref="AD230:AD232" si="712">+AD225/Z225-1</f>
        <v>5.0000000000000044E-2</v>
      </c>
      <c r="AE230" s="744"/>
      <c r="AF230" s="689"/>
      <c r="AG230" s="689"/>
      <c r="AH230" s="689">
        <f>+AH225/AG225-1</f>
        <v>6.2268078559145623E-2</v>
      </c>
      <c r="AI230" s="689">
        <f t="shared" ref="AI230:AK230" si="713">+AI225/AH225-1</f>
        <v>0.27937292323421659</v>
      </c>
      <c r="AJ230" s="689">
        <f t="shared" si="713"/>
        <v>0.12280234416622271</v>
      </c>
      <c r="AK230" s="781">
        <f t="shared" si="713"/>
        <v>-0.1080466587584018</v>
      </c>
      <c r="AL230" s="689">
        <f t="shared" ref="AL230:AL232" si="714">+AL225/AK225-1</f>
        <v>7.307990690457622E-2</v>
      </c>
      <c r="AM230" s="689">
        <f t="shared" ref="AM230:AM232" si="715">+AM225/AL225-1</f>
        <v>5.0000000000000044E-2</v>
      </c>
      <c r="AQ230" s="460" t="e">
        <f>+AQ222/AO222-1</f>
        <v>#DIV/0!</v>
      </c>
    </row>
    <row r="231" spans="1:43" ht="12" x14ac:dyDescent="0.3">
      <c r="A231" s="778" t="str">
        <f>+A226</f>
        <v>SG&amp;A</v>
      </c>
      <c r="B231" s="470"/>
      <c r="C231" s="744"/>
      <c r="D231" s="744"/>
      <c r="E231" s="744"/>
      <c r="F231" s="745"/>
      <c r="G231" s="786"/>
      <c r="H231" s="786"/>
      <c r="I231" s="786"/>
      <c r="J231" s="787"/>
      <c r="K231" s="786">
        <f t="shared" ref="K231:V231" si="716">+K226/G226-1</f>
        <v>2.4664159054271773E-2</v>
      </c>
      <c r="L231" s="786">
        <f t="shared" si="716"/>
        <v>0.59837728194726192</v>
      </c>
      <c r="M231" s="786">
        <f t="shared" si="716"/>
        <v>0.32542411091698131</v>
      </c>
      <c r="N231" s="787">
        <f t="shared" si="716"/>
        <v>0.45554756769710059</v>
      </c>
      <c r="O231" s="786">
        <f t="shared" si="716"/>
        <v>0.39257433530861618</v>
      </c>
      <c r="P231" s="786">
        <f t="shared" si="716"/>
        <v>0.27257070340826672</v>
      </c>
      <c r="Q231" s="786">
        <f t="shared" si="716"/>
        <v>6.0594463579538349E-2</v>
      </c>
      <c r="R231" s="787">
        <f t="shared" si="716"/>
        <v>-4.7867961804412218E-2</v>
      </c>
      <c r="S231" s="800">
        <f t="shared" si="716"/>
        <v>-9.5951798154773171E-2</v>
      </c>
      <c r="T231" s="800">
        <f t="shared" si="704"/>
        <v>-0.12440344753899846</v>
      </c>
      <c r="U231" s="800">
        <f t="shared" si="716"/>
        <v>-5.7814128778766793E-2</v>
      </c>
      <c r="V231" s="800">
        <f t="shared" si="716"/>
        <v>1.5864781913283998E-2</v>
      </c>
      <c r="W231" s="995">
        <f t="shared" si="705"/>
        <v>8.4975215562128614E-3</v>
      </c>
      <c r="X231" s="800">
        <f t="shared" si="706"/>
        <v>-2.9774252593044559E-2</v>
      </c>
      <c r="Y231" s="1457">
        <f t="shared" si="707"/>
        <v>-4.672340425531929E-2</v>
      </c>
      <c r="Z231" s="1097">
        <f t="shared" si="708"/>
        <v>-4.672340425531929E-2</v>
      </c>
      <c r="AA231" s="800">
        <f t="shared" si="709"/>
        <v>-3.3414563628103022E-2</v>
      </c>
      <c r="AB231" s="800">
        <f t="shared" si="710"/>
        <v>7.1437555024522759E-4</v>
      </c>
      <c r="AC231" s="800">
        <f t="shared" si="711"/>
        <v>4.9548674225515787E-2</v>
      </c>
      <c r="AD231" s="800">
        <f t="shared" si="712"/>
        <v>5.0000000000000044E-2</v>
      </c>
      <c r="AE231" s="744"/>
      <c r="AF231" s="786"/>
      <c r="AG231" s="786"/>
      <c r="AH231" s="786">
        <f t="shared" ref="AH231:AK231" si="717">+AH226/AG226-1</f>
        <v>-0.16117900971214916</v>
      </c>
      <c r="AI231" s="786">
        <f t="shared" si="717"/>
        <v>0.33055094317042899</v>
      </c>
      <c r="AJ231" s="786">
        <f t="shared" si="717"/>
        <v>0.15472309041440879</v>
      </c>
      <c r="AK231" s="788">
        <f t="shared" si="717"/>
        <v>-6.9283794835845347E-2</v>
      </c>
      <c r="AL231" s="786">
        <f t="shared" si="714"/>
        <v>-2.8496108460959069E-2</v>
      </c>
      <c r="AM231" s="786">
        <f t="shared" si="715"/>
        <v>1.548573674462661E-2</v>
      </c>
    </row>
    <row r="232" spans="1:43" s="470" customFormat="1" x14ac:dyDescent="0.25">
      <c r="A232" s="766" t="str">
        <f>+A227</f>
        <v>Total Adj. Opex</v>
      </c>
      <c r="C232" s="767"/>
      <c r="D232" s="767"/>
      <c r="E232" s="767"/>
      <c r="F232" s="768"/>
      <c r="G232" s="769"/>
      <c r="H232" s="769"/>
      <c r="I232" s="769"/>
      <c r="J232" s="770"/>
      <c r="K232" s="769">
        <f t="shared" ref="K232:V232" si="718">+K227/G227-1</f>
        <v>0.10666966090276198</v>
      </c>
      <c r="L232" s="769">
        <f t="shared" si="718"/>
        <v>0.60672709923664137</v>
      </c>
      <c r="M232" s="769">
        <f t="shared" si="718"/>
        <v>0.33565063757873714</v>
      </c>
      <c r="N232" s="770">
        <f t="shared" si="718"/>
        <v>0.26910322444083845</v>
      </c>
      <c r="O232" s="769">
        <f t="shared" si="718"/>
        <v>0.35700757575757569</v>
      </c>
      <c r="P232" s="769">
        <f t="shared" si="718"/>
        <v>0.2088962793598006</v>
      </c>
      <c r="Q232" s="769">
        <f t="shared" si="718"/>
        <v>8.6700215672178338E-2</v>
      </c>
      <c r="R232" s="770">
        <f t="shared" si="718"/>
        <v>-3.6470784455439942E-2</v>
      </c>
      <c r="S232" s="769">
        <f t="shared" si="718"/>
        <v>-9.8444821054730292E-2</v>
      </c>
      <c r="T232" s="769">
        <f t="shared" si="704"/>
        <v>-9.9528394576537615E-2</v>
      </c>
      <c r="U232" s="769">
        <f t="shared" si="718"/>
        <v>-8.7245302990208828E-2</v>
      </c>
      <c r="V232" s="773">
        <f t="shared" si="718"/>
        <v>-3.6985748081472036E-2</v>
      </c>
      <c r="W232" s="999">
        <f t="shared" si="705"/>
        <v>-4.1742688118538984E-3</v>
      </c>
      <c r="X232" s="769">
        <f t="shared" si="706"/>
        <v>5.1009274413529315E-3</v>
      </c>
      <c r="Y232" s="772">
        <f t="shared" si="707"/>
        <v>3.3340097990892659E-3</v>
      </c>
      <c r="Z232" s="774">
        <f t="shared" si="708"/>
        <v>1.2642300778908711E-2</v>
      </c>
      <c r="AA232" s="773">
        <f t="shared" si="709"/>
        <v>-6.0627932154457831E-3</v>
      </c>
      <c r="AB232" s="773">
        <f t="shared" si="710"/>
        <v>1.8094824544738985E-2</v>
      </c>
      <c r="AC232" s="773">
        <f t="shared" si="711"/>
        <v>4.9707853675450941E-2</v>
      </c>
      <c r="AD232" s="773">
        <f t="shared" si="712"/>
        <v>5.0000000000000044E-2</v>
      </c>
      <c r="AE232" s="767"/>
      <c r="AF232" s="769"/>
      <c r="AG232" s="769"/>
      <c r="AH232" s="769">
        <f t="shared" ref="AH232:AK232" si="719">+AH227/AG227-1</f>
        <v>-9.554151416595047E-2</v>
      </c>
      <c r="AI232" s="769">
        <f t="shared" si="719"/>
        <v>0.31289437585733904</v>
      </c>
      <c r="AJ232" s="769">
        <f t="shared" si="719"/>
        <v>0.14399152200844823</v>
      </c>
      <c r="AK232" s="772">
        <f t="shared" si="719"/>
        <v>-8.2074265434997962E-2</v>
      </c>
      <c r="AL232" s="769">
        <f t="shared" si="714"/>
        <v>4.0722920679139296E-3</v>
      </c>
      <c r="AM232" s="769">
        <f t="shared" si="715"/>
        <v>2.7312637315968225E-2</v>
      </c>
      <c r="AO232" s="470">
        <v>35.299999999999997</v>
      </c>
      <c r="AP232" s="470">
        <v>23.4</v>
      </c>
      <c r="AQ232" s="470">
        <v>18.8</v>
      </c>
    </row>
    <row r="233" spans="1:43" x14ac:dyDescent="0.25">
      <c r="C233" s="744"/>
      <c r="D233" s="744"/>
      <c r="E233" s="744"/>
      <c r="F233" s="745"/>
      <c r="G233" s="744"/>
      <c r="H233" s="744"/>
      <c r="I233" s="744"/>
      <c r="J233" s="745"/>
      <c r="K233" s="744"/>
      <c r="L233" s="744"/>
      <c r="M233" s="744"/>
      <c r="N233" s="745"/>
      <c r="O233" s="744"/>
      <c r="P233" s="744"/>
      <c r="Q233" s="744"/>
      <c r="R233" s="745"/>
      <c r="S233" s="744"/>
      <c r="T233" s="744"/>
      <c r="U233" s="744"/>
      <c r="V233" s="736"/>
      <c r="W233" s="986"/>
      <c r="X233" s="744"/>
      <c r="Y233" s="792"/>
      <c r="Z233" s="752"/>
      <c r="AA233" s="736"/>
      <c r="AB233" s="736"/>
      <c r="AC233" s="736"/>
      <c r="AD233" s="736"/>
      <c r="AE233" s="744"/>
      <c r="AF233" s="744"/>
      <c r="AG233" s="744"/>
      <c r="AH233" s="744"/>
      <c r="AI233" s="744"/>
      <c r="AJ233" s="744"/>
      <c r="AK233" s="792"/>
      <c r="AL233" s="744"/>
      <c r="AM233" s="744"/>
    </row>
    <row r="234" spans="1:43" ht="12" collapsed="1" x14ac:dyDescent="0.3">
      <c r="A234" s="782" t="s">
        <v>228</v>
      </c>
      <c r="B234" s="470"/>
      <c r="C234" s="744"/>
      <c r="D234" s="744"/>
      <c r="E234" s="744"/>
      <c r="F234" s="745"/>
      <c r="G234" s="750"/>
      <c r="H234" s="750"/>
      <c r="I234" s="750"/>
      <c r="J234" s="751"/>
      <c r="K234" s="750"/>
      <c r="L234" s="750"/>
      <c r="M234" s="750"/>
      <c r="N234" s="751"/>
      <c r="O234" s="750"/>
      <c r="P234" s="744"/>
      <c r="Q234" s="744"/>
      <c r="R234" s="745"/>
      <c r="S234" s="744"/>
      <c r="T234" s="744"/>
      <c r="U234" s="744"/>
      <c r="V234" s="736"/>
      <c r="W234" s="986"/>
      <c r="X234" s="744"/>
      <c r="Y234" s="792"/>
      <c r="Z234" s="752"/>
      <c r="AA234" s="736"/>
      <c r="AB234" s="736"/>
      <c r="AC234" s="736"/>
      <c r="AD234" s="736"/>
      <c r="AE234" s="744"/>
      <c r="AF234" s="750"/>
      <c r="AG234" s="750"/>
      <c r="AH234" s="750"/>
      <c r="AI234" s="750"/>
      <c r="AJ234" s="744"/>
      <c r="AK234" s="792"/>
      <c r="AL234" s="744"/>
      <c r="AM234" s="744"/>
      <c r="AP234" s="460" t="e">
        <f>+AP227/AO227-1</f>
        <v>#DIV/0!</v>
      </c>
      <c r="AQ234" s="460" t="e">
        <f>+AQ227/AP227-1</f>
        <v>#DIV/0!</v>
      </c>
    </row>
    <row r="235" spans="1:43" ht="12" x14ac:dyDescent="0.3">
      <c r="A235" s="778" t="str">
        <f>+A230</f>
        <v xml:space="preserve">Product and Technology </v>
      </c>
      <c r="B235" s="470"/>
      <c r="C235" s="744"/>
      <c r="D235" s="744"/>
      <c r="E235" s="744"/>
      <c r="F235" s="745"/>
      <c r="G235" s="689"/>
      <c r="H235" s="689">
        <f t="shared" ref="H235:J235" si="720">+H225/G225-1</f>
        <v>-0.11741489886531853</v>
      </c>
      <c r="I235" s="689">
        <f t="shared" si="720"/>
        <v>0.15888764673001665</v>
      </c>
      <c r="J235" s="779">
        <f t="shared" si="720"/>
        <v>0.40528156276377669</v>
      </c>
      <c r="K235" s="689">
        <f>+K225/J225-1</f>
        <v>-9.9107602539900364E-2</v>
      </c>
      <c r="L235" s="689">
        <f t="shared" ref="L235:V235" si="721">+L225/K225-1</f>
        <v>0.10610534336603483</v>
      </c>
      <c r="M235" s="689">
        <f t="shared" si="721"/>
        <v>-3.0569189701196819E-2</v>
      </c>
      <c r="N235" s="779">
        <f t="shared" si="721"/>
        <v>3.7306804050452946E-2</v>
      </c>
      <c r="O235" s="689">
        <f t="shared" si="721"/>
        <v>0.16192841239938338</v>
      </c>
      <c r="P235" s="689">
        <f t="shared" si="721"/>
        <v>-6.8907067580514347E-2</v>
      </c>
      <c r="Q235" s="689">
        <f t="shared" si="721"/>
        <v>1.6938420136140664E-2</v>
      </c>
      <c r="R235" s="779">
        <f t="shared" si="721"/>
        <v>-0.10266189290161898</v>
      </c>
      <c r="S235" s="799">
        <f t="shared" si="721"/>
        <v>5.5338711076416081E-2</v>
      </c>
      <c r="T235" s="799">
        <f t="shared" ref="T235:T237" si="722">+T225/S225-1</f>
        <v>-7.561436672967714E-3</v>
      </c>
      <c r="U235" s="799">
        <f t="shared" si="721"/>
        <v>-8.9606625258798478E-2</v>
      </c>
      <c r="V235" s="799">
        <f t="shared" si="721"/>
        <v>-0.10124624761211543</v>
      </c>
      <c r="W235" s="994">
        <f t="shared" ref="W235:W237" si="723">+W225/V225-1</f>
        <v>0.19554655870445048</v>
      </c>
      <c r="X235" s="799">
        <f t="shared" ref="X235:X237" si="724">+X225/W225-1</f>
        <v>0.10006772773450723</v>
      </c>
      <c r="Y235" s="1456">
        <f t="shared" ref="Y235:Y237" si="725">+Y225/X225-1</f>
        <v>-6.0643373864860628E-2</v>
      </c>
      <c r="Z235" s="913">
        <f t="shared" ref="Z235:Z237" si="726">+Z225/Y225-1</f>
        <v>-6.6033098476159346E-2</v>
      </c>
      <c r="AA235" s="799">
        <f t="shared" ref="AA235:AA237" si="727">+AA225/Z225-1</f>
        <v>8.7947368421052552E-2</v>
      </c>
      <c r="AB235" s="799">
        <f t="shared" ref="AB235:AB237" si="728">+AB225/AA225-1</f>
        <v>0.10006772773450745</v>
      </c>
      <c r="AC235" s="799">
        <f t="shared" ref="AC235:AC237" si="729">+AC225/AB225-1</f>
        <v>-6.0643373864860628E-2</v>
      </c>
      <c r="AD235" s="799">
        <f t="shared" ref="AD235:AD237" si="730">+AD225/AC225-1</f>
        <v>-6.6033098476159346E-2</v>
      </c>
      <c r="AE235" s="744"/>
      <c r="AF235" s="689"/>
      <c r="AG235" s="689"/>
      <c r="AH235" s="689">
        <f t="shared" ref="AH235:AK235" si="731">+AH225/AG225-1</f>
        <v>6.2268078559145623E-2</v>
      </c>
      <c r="AI235" s="689">
        <f t="shared" si="731"/>
        <v>0.27937292323421659</v>
      </c>
      <c r="AJ235" s="689">
        <f t="shared" si="731"/>
        <v>0.12280234416622271</v>
      </c>
      <c r="AK235" s="781">
        <f t="shared" si="731"/>
        <v>-0.1080466587584018</v>
      </c>
      <c r="AL235" s="689">
        <f t="shared" ref="AL235:AL237" si="732">+AL225/AK225-1</f>
        <v>7.307990690457622E-2</v>
      </c>
      <c r="AM235" s="689">
        <f t="shared" ref="AM235:AM237" si="733">+AM225/AL225-1</f>
        <v>5.0000000000000044E-2</v>
      </c>
      <c r="AQ235" s="460" t="e">
        <f>+AQ227/AO227-1</f>
        <v>#DIV/0!</v>
      </c>
    </row>
    <row r="236" spans="1:43" ht="12" x14ac:dyDescent="0.3">
      <c r="A236" s="778" t="str">
        <f>+A231</f>
        <v>SG&amp;A</v>
      </c>
      <c r="B236" s="470"/>
      <c r="C236" s="744"/>
      <c r="D236" s="744"/>
      <c r="E236" s="744"/>
      <c r="F236" s="745"/>
      <c r="G236" s="786"/>
      <c r="H236" s="786">
        <f t="shared" ref="H236:V236" si="734">+H226/G226-1</f>
        <v>-0.25824825362708226</v>
      </c>
      <c r="I236" s="786">
        <f t="shared" si="734"/>
        <v>0.28535207186322809</v>
      </c>
      <c r="J236" s="787">
        <f t="shared" si="734"/>
        <v>-5.9234627740517354E-2</v>
      </c>
      <c r="K236" s="786">
        <f t="shared" si="734"/>
        <v>0.142403546609154</v>
      </c>
      <c r="L236" s="786">
        <f t="shared" si="734"/>
        <v>0.15706119880434222</v>
      </c>
      <c r="M236" s="786">
        <f t="shared" si="734"/>
        <v>6.5853879622915112E-2</v>
      </c>
      <c r="N236" s="787">
        <f t="shared" si="734"/>
        <v>3.3124973423481086E-2</v>
      </c>
      <c r="O236" s="786">
        <f t="shared" si="734"/>
        <v>9.2978268027658739E-2</v>
      </c>
      <c r="P236" s="786">
        <f t="shared" si="734"/>
        <v>5.7352664281679511E-2</v>
      </c>
      <c r="Q236" s="786">
        <f t="shared" si="734"/>
        <v>-0.11168886672839939</v>
      </c>
      <c r="R236" s="787">
        <f t="shared" si="734"/>
        <v>-7.2528265576136564E-2</v>
      </c>
      <c r="S236" s="800">
        <f t="shared" si="734"/>
        <v>3.7781524229455465E-2</v>
      </c>
      <c r="T236" s="800">
        <f t="shared" si="722"/>
        <v>2.407631107593633E-2</v>
      </c>
      <c r="U236" s="800">
        <f t="shared" si="734"/>
        <v>-4.4132601179581066E-2</v>
      </c>
      <c r="V236" s="800">
        <f t="shared" si="734"/>
        <v>0</v>
      </c>
      <c r="W236" s="995">
        <f t="shared" si="723"/>
        <v>3.0255319148936088E-2</v>
      </c>
      <c r="X236" s="800">
        <f t="shared" si="724"/>
        <v>-1.4786667217380423E-2</v>
      </c>
      <c r="Y236" s="1457">
        <f t="shared" si="725"/>
        <v>-6.0830922735085946E-2</v>
      </c>
      <c r="Z236" s="1097">
        <f t="shared" si="726"/>
        <v>0</v>
      </c>
      <c r="AA236" s="800">
        <f t="shared" si="727"/>
        <v>4.4638871529327773E-2</v>
      </c>
      <c r="AB236" s="800">
        <f t="shared" si="728"/>
        <v>2.0000000000000018E-2</v>
      </c>
      <c r="AC236" s="800">
        <f t="shared" si="729"/>
        <v>-1.4999999999999902E-2</v>
      </c>
      <c r="AD236" s="800">
        <f t="shared" si="730"/>
        <v>4.3001890771510176E-4</v>
      </c>
      <c r="AE236" s="744"/>
      <c r="AF236" s="786"/>
      <c r="AG236" s="786"/>
      <c r="AH236" s="786">
        <f t="shared" ref="AH236:AK236" si="735">+AH226/AG226-1</f>
        <v>-0.16117900971214916</v>
      </c>
      <c r="AI236" s="786">
        <f t="shared" si="735"/>
        <v>0.33055094317042899</v>
      </c>
      <c r="AJ236" s="786">
        <f t="shared" si="735"/>
        <v>0.15472309041440879</v>
      </c>
      <c r="AK236" s="788">
        <f t="shared" si="735"/>
        <v>-6.9283794835845347E-2</v>
      </c>
      <c r="AL236" s="786">
        <f t="shared" si="732"/>
        <v>-2.8496108460959069E-2</v>
      </c>
      <c r="AM236" s="786">
        <f t="shared" si="733"/>
        <v>1.548573674462661E-2</v>
      </c>
    </row>
    <row r="237" spans="1:43" s="470" customFormat="1" x14ac:dyDescent="0.25">
      <c r="A237" s="766" t="str">
        <f>+A232</f>
        <v>Total Adj. Opex</v>
      </c>
      <c r="C237" s="767"/>
      <c r="D237" s="767"/>
      <c r="E237" s="767"/>
      <c r="F237" s="768"/>
      <c r="G237" s="769"/>
      <c r="H237" s="769">
        <f t="shared" ref="H237:V237" si="736">+H227/G227-1</f>
        <v>-0.21551014297477378</v>
      </c>
      <c r="I237" s="769">
        <f t="shared" si="736"/>
        <v>0.24217557251908395</v>
      </c>
      <c r="J237" s="770">
        <f t="shared" si="736"/>
        <v>8.8723306191427431E-2</v>
      </c>
      <c r="K237" s="769">
        <f t="shared" si="736"/>
        <v>4.31101389966837E-2</v>
      </c>
      <c r="L237" s="769">
        <f t="shared" si="736"/>
        <v>0.13896780303030321</v>
      </c>
      <c r="M237" s="769">
        <f t="shared" si="736"/>
        <v>3.2603854262553078E-2</v>
      </c>
      <c r="N237" s="770">
        <f t="shared" si="736"/>
        <v>3.4478792235801636E-2</v>
      </c>
      <c r="O237" s="769">
        <f t="shared" si="736"/>
        <v>0.11536109412353346</v>
      </c>
      <c r="P237" s="769">
        <f t="shared" si="736"/>
        <v>1.4654570830425984E-2</v>
      </c>
      <c r="Q237" s="769">
        <f t="shared" si="736"/>
        <v>-7.1772450383179476E-2</v>
      </c>
      <c r="R237" s="770">
        <f t="shared" si="736"/>
        <v>-8.2773220428684624E-2</v>
      </c>
      <c r="S237" s="769">
        <f t="shared" si="736"/>
        <v>4.3621256707633504E-2</v>
      </c>
      <c r="T237" s="769">
        <f t="shared" si="722"/>
        <v>1.3435063858019625E-2</v>
      </c>
      <c r="U237" s="769">
        <f t="shared" si="736"/>
        <v>-5.9110747408619546E-2</v>
      </c>
      <c r="V237" s="773">
        <f t="shared" si="736"/>
        <v>-3.2267416577276165E-2</v>
      </c>
      <c r="W237" s="999">
        <f t="shared" si="723"/>
        <v>7.9179149191131559E-2</v>
      </c>
      <c r="X237" s="769">
        <f t="shared" si="724"/>
        <v>2.2874274768897696E-2</v>
      </c>
      <c r="Y237" s="772">
        <f t="shared" si="725"/>
        <v>-6.0764784107254388E-2</v>
      </c>
      <c r="Z237" s="774">
        <f t="shared" si="726"/>
        <v>-2.328941285251962E-2</v>
      </c>
      <c r="AA237" s="773">
        <f t="shared" si="727"/>
        <v>5.9245015087864505E-2</v>
      </c>
      <c r="AB237" s="773">
        <f t="shared" si="728"/>
        <v>4.7735207208012609E-2</v>
      </c>
      <c r="AC237" s="773">
        <f t="shared" si="729"/>
        <v>-3.1600437599663356E-2</v>
      </c>
      <c r="AD237" s="773">
        <f t="shared" si="730"/>
        <v>-2.3017582545463933E-2</v>
      </c>
      <c r="AE237" s="767"/>
      <c r="AF237" s="769"/>
      <c r="AG237" s="769"/>
      <c r="AH237" s="769">
        <f t="shared" ref="AH237:AK237" si="737">+AH227/AG227-1</f>
        <v>-9.554151416595047E-2</v>
      </c>
      <c r="AI237" s="769">
        <f t="shared" si="737"/>
        <v>0.31289437585733904</v>
      </c>
      <c r="AJ237" s="769">
        <f t="shared" si="737"/>
        <v>0.14399152200844823</v>
      </c>
      <c r="AK237" s="772">
        <f t="shared" si="737"/>
        <v>-8.2074265434997962E-2</v>
      </c>
      <c r="AL237" s="769">
        <f t="shared" si="732"/>
        <v>4.0722920679139296E-3</v>
      </c>
      <c r="AM237" s="769">
        <f t="shared" si="733"/>
        <v>2.7312637315968225E-2</v>
      </c>
      <c r="AO237" s="470">
        <v>35.299999999999997</v>
      </c>
      <c r="AP237" s="470">
        <v>23.4</v>
      </c>
      <c r="AQ237" s="470">
        <v>18.8</v>
      </c>
    </row>
    <row r="238" spans="1:43" x14ac:dyDescent="0.25">
      <c r="C238" s="744"/>
      <c r="D238" s="744"/>
      <c r="E238" s="744"/>
      <c r="F238" s="745"/>
      <c r="G238" s="744"/>
      <c r="H238" s="744"/>
      <c r="I238" s="744"/>
      <c r="J238" s="745"/>
      <c r="K238" s="744"/>
      <c r="L238" s="744"/>
      <c r="M238" s="744"/>
      <c r="N238" s="745"/>
      <c r="O238" s="744"/>
      <c r="P238" s="744"/>
      <c r="Q238" s="744"/>
      <c r="R238" s="745"/>
      <c r="S238" s="744"/>
      <c r="T238" s="744"/>
      <c r="U238" s="744"/>
      <c r="V238" s="736"/>
      <c r="W238" s="986"/>
      <c r="X238" s="744"/>
      <c r="Y238" s="792"/>
      <c r="Z238" s="752"/>
      <c r="AA238" s="736"/>
      <c r="AB238" s="736"/>
      <c r="AC238" s="736"/>
      <c r="AD238" s="736"/>
      <c r="AE238" s="744"/>
      <c r="AF238" s="744"/>
      <c r="AG238" s="744"/>
      <c r="AH238" s="744"/>
      <c r="AI238" s="744"/>
      <c r="AJ238" s="744"/>
      <c r="AK238" s="792"/>
      <c r="AL238" s="744"/>
      <c r="AM238" s="744"/>
    </row>
    <row r="239" spans="1:43" ht="12" collapsed="1" x14ac:dyDescent="0.3">
      <c r="A239" s="782" t="s">
        <v>268</v>
      </c>
      <c r="B239" s="470"/>
      <c r="C239" s="744"/>
      <c r="D239" s="744"/>
      <c r="E239" s="744"/>
      <c r="F239" s="745"/>
      <c r="G239" s="750"/>
      <c r="H239" s="750"/>
      <c r="I239" s="750"/>
      <c r="J239" s="751"/>
      <c r="K239" s="750"/>
      <c r="L239" s="750"/>
      <c r="M239" s="750"/>
      <c r="N239" s="751"/>
      <c r="O239" s="750"/>
      <c r="P239" s="744"/>
      <c r="Q239" s="744"/>
      <c r="R239" s="745"/>
      <c r="S239" s="744"/>
      <c r="T239" s="744"/>
      <c r="U239" s="744"/>
      <c r="V239" s="736"/>
      <c r="W239" s="986"/>
      <c r="X239" s="744"/>
      <c r="Y239" s="792"/>
      <c r="Z239" s="752"/>
      <c r="AA239" s="736"/>
      <c r="AB239" s="736"/>
      <c r="AC239" s="736"/>
      <c r="AD239" s="736"/>
      <c r="AE239" s="744"/>
      <c r="AF239" s="750"/>
      <c r="AG239" s="750"/>
      <c r="AH239" s="750"/>
      <c r="AI239" s="750"/>
      <c r="AJ239" s="744"/>
      <c r="AK239" s="792"/>
      <c r="AL239" s="744"/>
      <c r="AM239" s="744"/>
      <c r="AP239" s="460">
        <f>+AP232/AO232-1</f>
        <v>-0.33711048158640222</v>
      </c>
      <c r="AQ239" s="460">
        <f>+AQ232/AP232-1</f>
        <v>-0.19658119658119655</v>
      </c>
    </row>
    <row r="240" spans="1:43" ht="12" x14ac:dyDescent="0.3">
      <c r="A240" s="778" t="str">
        <f>+A235</f>
        <v xml:space="preserve">Product and Technology </v>
      </c>
      <c r="B240" s="470"/>
      <c r="C240" s="744"/>
      <c r="D240" s="744"/>
      <c r="E240" s="744"/>
      <c r="F240" s="745"/>
      <c r="G240" s="874"/>
      <c r="H240" s="874">
        <f>+H225-G225</f>
        <v>-0.95200000000000262</v>
      </c>
      <c r="I240" s="874">
        <f t="shared" ref="I240:V240" si="738">+I225-H225</f>
        <v>1.1369999999999996</v>
      </c>
      <c r="J240" s="875">
        <f t="shared" si="738"/>
        <v>3.3610000000000007</v>
      </c>
      <c r="K240" s="874">
        <f t="shared" si="738"/>
        <v>-1.1549999999999994</v>
      </c>
      <c r="L240" s="874">
        <f t="shared" si="738"/>
        <v>1.113999999999999</v>
      </c>
      <c r="M240" s="874">
        <f t="shared" si="738"/>
        <v>-0.35499999999999865</v>
      </c>
      <c r="N240" s="875">
        <f t="shared" si="738"/>
        <v>0.41999999999999993</v>
      </c>
      <c r="O240" s="874">
        <f t="shared" si="738"/>
        <v>1.8909999999999982</v>
      </c>
      <c r="P240" s="874">
        <f t="shared" si="738"/>
        <v>-0.93499999999999872</v>
      </c>
      <c r="Q240" s="874">
        <f t="shared" si="738"/>
        <v>0.21400000000000041</v>
      </c>
      <c r="R240" s="875">
        <f t="shared" si="738"/>
        <v>-1.3190000000000008</v>
      </c>
      <c r="S240" s="876">
        <f t="shared" si="738"/>
        <v>0.6379999999999999</v>
      </c>
      <c r="T240" s="876">
        <f t="shared" ref="T240:T242" si="739">+T225-S225</f>
        <v>-9.1999999999998749E-2</v>
      </c>
      <c r="U240" s="876">
        <f t="shared" si="738"/>
        <v>-1.0819999999999919</v>
      </c>
      <c r="V240" s="876">
        <f t="shared" si="738"/>
        <v>-1.1129999999999853</v>
      </c>
      <c r="W240" s="1425">
        <f t="shared" ref="W240:W242" si="740">+W225-V225</f>
        <v>1.9319999999999755</v>
      </c>
      <c r="X240" s="876">
        <f t="shared" ref="X240:X242" si="741">+X225-W225</f>
        <v>1.1820000000000004</v>
      </c>
      <c r="Y240" s="1467">
        <f t="shared" ref="Y240:Y242" si="742">+Y225-X225</f>
        <v>-0.78799999999999848</v>
      </c>
      <c r="Z240" s="1500">
        <f t="shared" ref="Z240:Z242" si="743">+Z225-Y225</f>
        <v>-0.80600000000000094</v>
      </c>
      <c r="AA240" s="876">
        <f t="shared" ref="AA240:AA242" si="744">+AA225-Z225</f>
        <v>1.0025999999999993</v>
      </c>
      <c r="AB240" s="876">
        <f t="shared" ref="AB240:AB242" si="745">+AB225-AA225</f>
        <v>1.2411000000000012</v>
      </c>
      <c r="AC240" s="876">
        <f t="shared" ref="AC240:AC242" si="746">+AC225-AB225</f>
        <v>-0.82739999999999903</v>
      </c>
      <c r="AD240" s="876">
        <f t="shared" ref="AD240:AD242" si="747">+AD225-AC225</f>
        <v>-0.84630000000000116</v>
      </c>
      <c r="AE240" s="877"/>
      <c r="AF240" s="874"/>
      <c r="AG240" s="874"/>
      <c r="AH240" s="874">
        <f t="shared" ref="AH240:AK240" si="748">+AH225-AG225</f>
        <v>2.0640000000000001</v>
      </c>
      <c r="AI240" s="874">
        <f t="shared" si="748"/>
        <v>9.8369999999999962</v>
      </c>
      <c r="AJ240" s="874">
        <f t="shared" si="748"/>
        <v>5.5320000000000036</v>
      </c>
      <c r="AK240" s="878">
        <f t="shared" si="748"/>
        <v>-5.4649999999999608</v>
      </c>
      <c r="AL240" s="879">
        <f t="shared" ref="AL240:AL242" si="749">+AL225-AK225</f>
        <v>3.2969999999999615</v>
      </c>
      <c r="AM240" s="879">
        <f t="shared" ref="AM240:AM242" si="750">+AM225-AL225</f>
        <v>2.4206000000000003</v>
      </c>
      <c r="AQ240" s="460">
        <f>+AQ232/AO232-1</f>
        <v>-0.46742209631728038</v>
      </c>
    </row>
    <row r="241" spans="1:43" ht="12" x14ac:dyDescent="0.3">
      <c r="A241" s="778" t="str">
        <f>+A236</f>
        <v>SG&amp;A</v>
      </c>
      <c r="B241" s="470"/>
      <c r="C241" s="744"/>
      <c r="D241" s="744"/>
      <c r="E241" s="744"/>
      <c r="F241" s="745"/>
      <c r="G241" s="880"/>
      <c r="H241" s="880">
        <f t="shared" ref="H241:V241" si="751">+H226-G226</f>
        <v>-4.8060000000000009</v>
      </c>
      <c r="I241" s="880">
        <f t="shared" si="751"/>
        <v>3.9390000000000001</v>
      </c>
      <c r="J241" s="881">
        <f t="shared" si="751"/>
        <v>-1.0509999999999984</v>
      </c>
      <c r="K241" s="880">
        <f t="shared" si="751"/>
        <v>2.3769999999999989</v>
      </c>
      <c r="L241" s="880">
        <f t="shared" si="751"/>
        <v>2.995000000000001</v>
      </c>
      <c r="M241" s="880">
        <f t="shared" si="751"/>
        <v>1.4529999999999994</v>
      </c>
      <c r="N241" s="881">
        <f t="shared" si="751"/>
        <v>0.77900000000000347</v>
      </c>
      <c r="O241" s="880">
        <f t="shared" si="751"/>
        <v>2.2589999999999968</v>
      </c>
      <c r="P241" s="880">
        <f t="shared" si="751"/>
        <v>1.5229999999999997</v>
      </c>
      <c r="Q241" s="880">
        <f t="shared" si="751"/>
        <v>-3.1359999999999992</v>
      </c>
      <c r="R241" s="881">
        <f t="shared" si="751"/>
        <v>-1.8089999999999975</v>
      </c>
      <c r="S241" s="882">
        <f t="shared" si="751"/>
        <v>0.87399999999999523</v>
      </c>
      <c r="T241" s="882">
        <f t="shared" si="739"/>
        <v>0.57800000000000296</v>
      </c>
      <c r="U241" s="882">
        <f t="shared" si="751"/>
        <v>-1.0850000000000009</v>
      </c>
      <c r="V241" s="882">
        <f t="shared" si="751"/>
        <v>0</v>
      </c>
      <c r="W241" s="1426">
        <f t="shared" si="740"/>
        <v>0.71099999999999852</v>
      </c>
      <c r="X241" s="882">
        <f t="shared" si="741"/>
        <v>-0.35799999999999699</v>
      </c>
      <c r="Y241" s="1468">
        <f t="shared" si="742"/>
        <v>-1.4510000000000041</v>
      </c>
      <c r="Z241" s="1501">
        <f t="shared" si="743"/>
        <v>0</v>
      </c>
      <c r="AA241" s="882">
        <f t="shared" si="744"/>
        <v>1</v>
      </c>
      <c r="AB241" s="882">
        <f t="shared" si="745"/>
        <v>0.46804000000000201</v>
      </c>
      <c r="AC241" s="882">
        <f t="shared" si="746"/>
        <v>-0.35805059999999855</v>
      </c>
      <c r="AD241" s="882">
        <f t="shared" si="747"/>
        <v>1.0110599999997305E-2</v>
      </c>
      <c r="AE241" s="877"/>
      <c r="AF241" s="880"/>
      <c r="AG241" s="880"/>
      <c r="AH241" s="880">
        <f t="shared" ref="AH241:AK241" si="752">+AH226-AG226</f>
        <v>-12.845000000000013</v>
      </c>
      <c r="AI241" s="880">
        <f t="shared" si="752"/>
        <v>22.097000000000008</v>
      </c>
      <c r="AJ241" s="880">
        <f t="shared" si="752"/>
        <v>13.762</v>
      </c>
      <c r="AK241" s="883">
        <f t="shared" si="752"/>
        <v>-7.1159999999999997</v>
      </c>
      <c r="AL241" s="884">
        <f t="shared" si="749"/>
        <v>-2.7240000000000038</v>
      </c>
      <c r="AM241" s="884">
        <f t="shared" si="750"/>
        <v>1.438129399999994</v>
      </c>
    </row>
    <row r="242" spans="1:43" s="470" customFormat="1" x14ac:dyDescent="0.25">
      <c r="A242" s="766" t="str">
        <f>+A237</f>
        <v>Total Adj. Opex</v>
      </c>
      <c r="C242" s="767"/>
      <c r="D242" s="767"/>
      <c r="E242" s="767"/>
      <c r="F242" s="768"/>
      <c r="G242" s="885"/>
      <c r="H242" s="885">
        <f t="shared" ref="H242:V242" si="753">+H227-G227</f>
        <v>-5.7580000000000062</v>
      </c>
      <c r="I242" s="885">
        <f t="shared" si="753"/>
        <v>5.0760000000000005</v>
      </c>
      <c r="J242" s="886">
        <f t="shared" si="753"/>
        <v>2.3100000000000023</v>
      </c>
      <c r="K242" s="885">
        <f t="shared" si="753"/>
        <v>1.2219999999999978</v>
      </c>
      <c r="L242" s="885">
        <f t="shared" si="753"/>
        <v>4.1090000000000018</v>
      </c>
      <c r="M242" s="885">
        <f t="shared" si="753"/>
        <v>1.097999999999999</v>
      </c>
      <c r="N242" s="886">
        <f t="shared" si="753"/>
        <v>1.1990000000000052</v>
      </c>
      <c r="O242" s="885">
        <f t="shared" si="753"/>
        <v>4.1499999999999915</v>
      </c>
      <c r="P242" s="885">
        <f t="shared" si="753"/>
        <v>0.58800000000000807</v>
      </c>
      <c r="Q242" s="885">
        <f t="shared" si="753"/>
        <v>-2.9220000000000041</v>
      </c>
      <c r="R242" s="886">
        <f t="shared" si="753"/>
        <v>-3.127999999999993</v>
      </c>
      <c r="S242" s="885">
        <f t="shared" si="753"/>
        <v>1.5119999999999933</v>
      </c>
      <c r="T242" s="885">
        <f t="shared" si="739"/>
        <v>0.48600000000000421</v>
      </c>
      <c r="U242" s="885">
        <f t="shared" si="753"/>
        <v>-2.1669999999999945</v>
      </c>
      <c r="V242" s="1121">
        <f t="shared" si="753"/>
        <v>-1.1129999999999853</v>
      </c>
      <c r="W242" s="1427">
        <f t="shared" si="740"/>
        <v>2.6429999999999723</v>
      </c>
      <c r="X242" s="885">
        <f t="shared" si="741"/>
        <v>0.82400000000000517</v>
      </c>
      <c r="Y242" s="887">
        <f t="shared" si="742"/>
        <v>-2.2390000000000043</v>
      </c>
      <c r="Z242" s="1502">
        <f t="shared" si="743"/>
        <v>-0.80599999999999739</v>
      </c>
      <c r="AA242" s="1121">
        <f t="shared" si="744"/>
        <v>2.0025999999999939</v>
      </c>
      <c r="AB242" s="1121">
        <f t="shared" si="745"/>
        <v>1.709140000000005</v>
      </c>
      <c r="AC242" s="1121">
        <f t="shared" si="746"/>
        <v>-1.1854505999999958</v>
      </c>
      <c r="AD242" s="1121">
        <f t="shared" si="747"/>
        <v>-0.83618940000000208</v>
      </c>
      <c r="AE242" s="888"/>
      <c r="AF242" s="885"/>
      <c r="AG242" s="885"/>
      <c r="AH242" s="885">
        <f t="shared" ref="AH242:AK242" si="754">+AH227-AG227</f>
        <v>-10.78100000000002</v>
      </c>
      <c r="AI242" s="885">
        <f t="shared" si="754"/>
        <v>31.934000000000012</v>
      </c>
      <c r="AJ242" s="885">
        <f t="shared" si="754"/>
        <v>19.294000000000011</v>
      </c>
      <c r="AK242" s="887">
        <f t="shared" si="754"/>
        <v>-12.58099999999996</v>
      </c>
      <c r="AL242" s="889">
        <f t="shared" si="749"/>
        <v>0.57299999999995066</v>
      </c>
      <c r="AM242" s="889">
        <f t="shared" si="750"/>
        <v>3.8587293999999872</v>
      </c>
      <c r="AO242" s="470">
        <v>35.299999999999997</v>
      </c>
      <c r="AP242" s="470">
        <v>23.4</v>
      </c>
      <c r="AQ242" s="470">
        <v>18.8</v>
      </c>
    </row>
    <row r="243" spans="1:43" x14ac:dyDescent="0.25">
      <c r="C243" s="744"/>
      <c r="D243" s="744"/>
      <c r="E243" s="744"/>
      <c r="F243" s="745"/>
      <c r="G243" s="744"/>
      <c r="H243" s="744"/>
      <c r="I243" s="744"/>
      <c r="J243" s="745"/>
      <c r="K243" s="744"/>
      <c r="L243" s="744"/>
      <c r="M243" s="744"/>
      <c r="N243" s="745"/>
      <c r="O243" s="744"/>
      <c r="P243" s="744"/>
      <c r="Q243" s="744"/>
      <c r="R243" s="745"/>
      <c r="S243" s="744"/>
      <c r="T243" s="744"/>
      <c r="U243" s="744"/>
      <c r="V243" s="736"/>
      <c r="W243" s="986"/>
      <c r="X243" s="744"/>
      <c r="Y243" s="792"/>
      <c r="Z243" s="752"/>
      <c r="AA243" s="736"/>
      <c r="AB243" s="736"/>
      <c r="AC243" s="736"/>
      <c r="AD243" s="736"/>
      <c r="AE243" s="744"/>
      <c r="AF243" s="744"/>
      <c r="AG243" s="744"/>
      <c r="AH243" s="744"/>
      <c r="AI243" s="744"/>
      <c r="AJ243" s="744"/>
      <c r="AK243" s="792"/>
      <c r="AL243" s="744"/>
      <c r="AM243" s="744"/>
    </row>
    <row r="244" spans="1:43" ht="12" collapsed="1" x14ac:dyDescent="0.3">
      <c r="A244" s="782" t="s">
        <v>41</v>
      </c>
      <c r="B244" s="470"/>
      <c r="C244" s="744"/>
      <c r="D244" s="744"/>
      <c r="E244" s="744"/>
      <c r="F244" s="745"/>
      <c r="G244" s="750"/>
      <c r="H244" s="750"/>
      <c r="I244" s="750"/>
      <c r="J244" s="751"/>
      <c r="K244" s="750"/>
      <c r="L244" s="750"/>
      <c r="M244" s="750"/>
      <c r="N244" s="751"/>
      <c r="O244" s="750"/>
      <c r="P244" s="744"/>
      <c r="Q244" s="744"/>
      <c r="R244" s="745"/>
      <c r="S244" s="744"/>
      <c r="T244" s="744"/>
      <c r="U244" s="744"/>
      <c r="V244" s="736"/>
      <c r="W244" s="986"/>
      <c r="X244" s="744"/>
      <c r="Y244" s="792"/>
      <c r="Z244" s="752"/>
      <c r="AA244" s="736"/>
      <c r="AB244" s="736"/>
      <c r="AC244" s="736"/>
      <c r="AD244" s="736"/>
      <c r="AE244" s="744"/>
      <c r="AF244" s="750"/>
      <c r="AG244" s="750"/>
      <c r="AH244" s="750"/>
      <c r="AI244" s="750"/>
      <c r="AJ244" s="744"/>
      <c r="AK244" s="792"/>
      <c r="AL244" s="744"/>
      <c r="AM244" s="744"/>
      <c r="AP244" s="460">
        <f>+AP232/AO232-1</f>
        <v>-0.33711048158640222</v>
      </c>
      <c r="AQ244" s="460">
        <f>+AQ232/AP232-1</f>
        <v>-0.19658119658119655</v>
      </c>
    </row>
    <row r="245" spans="1:43" ht="12" x14ac:dyDescent="0.3">
      <c r="A245" s="778" t="str">
        <f>+A235</f>
        <v xml:space="preserve">Product and Technology </v>
      </c>
      <c r="B245" s="470"/>
      <c r="C245" s="744"/>
      <c r="D245" s="744"/>
      <c r="E245" s="744"/>
      <c r="F245" s="745"/>
      <c r="G245" s="689">
        <f t="shared" ref="G245:V245" si="755">+G225/G$12</f>
        <v>7.3151147159393373E-2</v>
      </c>
      <c r="H245" s="689">
        <f t="shared" si="755"/>
        <v>6.8156924747364109E-2</v>
      </c>
      <c r="I245" s="689">
        <f t="shared" si="755"/>
        <v>6.063109564403632E-2</v>
      </c>
      <c r="J245" s="779">
        <f t="shared" si="755"/>
        <v>7.444552330335244E-2</v>
      </c>
      <c r="K245" s="689">
        <f t="shared" si="755"/>
        <v>7.9495721965624294E-2</v>
      </c>
      <c r="L245" s="689">
        <f t="shared" si="755"/>
        <v>6.6426046469060668E-2</v>
      </c>
      <c r="M245" s="689">
        <f t="shared" si="755"/>
        <v>5.8371831365656136E-2</v>
      </c>
      <c r="N245" s="779">
        <f t="shared" si="755"/>
        <v>5.4947019742909269E-2</v>
      </c>
      <c r="O245" s="689">
        <f t="shared" si="755"/>
        <v>7.1460546342182726E-2</v>
      </c>
      <c r="P245" s="689">
        <f t="shared" si="755"/>
        <v>6.2680776539112235E-2</v>
      </c>
      <c r="Q245" s="689">
        <f t="shared" si="755"/>
        <v>6.237317099220336E-2</v>
      </c>
      <c r="R245" s="779">
        <f t="shared" si="755"/>
        <v>5.4229873703520781E-2</v>
      </c>
      <c r="S245" s="799">
        <f t="shared" si="755"/>
        <v>6.9319735642661806E-2</v>
      </c>
      <c r="T245" s="799">
        <f t="shared" ref="T245" si="756">+T225/T$12</f>
        <v>6.5159323314356643E-2</v>
      </c>
      <c r="U245" s="799">
        <f t="shared" si="755"/>
        <v>5.4865145435307787E-2</v>
      </c>
      <c r="V245" s="799">
        <f t="shared" si="755"/>
        <v>4.8775189818426087E-2</v>
      </c>
      <c r="W245" s="994">
        <f t="shared" ref="W245:X245" si="757">+W225/W$12</f>
        <v>6.9721868064409498E-2</v>
      </c>
      <c r="X245" s="799">
        <f t="shared" si="757"/>
        <v>7.0410629328189173E-2</v>
      </c>
      <c r="Y245" s="1456">
        <f t="shared" ref="Y245" si="758">+Y225/Y$12</f>
        <v>6.1300026617248989E-2</v>
      </c>
      <c r="Z245" s="913">
        <f t="shared" ref="Z245" si="759">+Z225/Z$12</f>
        <v>5.4746986523348744E-2</v>
      </c>
      <c r="AA245" s="799">
        <f t="shared" ref="AA245:AD245" si="760">+AA225/AA$12</f>
        <v>6.9545836996708993E-2</v>
      </c>
      <c r="AB245" s="799">
        <f t="shared" si="760"/>
        <v>6.961356404507596E-2</v>
      </c>
      <c r="AC245" s="799">
        <f t="shared" si="760"/>
        <v>5.990240253948146E-2</v>
      </c>
      <c r="AD245" s="799">
        <f t="shared" si="760"/>
        <v>5.3123507787857051E-2</v>
      </c>
      <c r="AE245" s="744"/>
      <c r="AF245" s="689"/>
      <c r="AG245" s="689"/>
      <c r="AH245" s="689">
        <f t="shared" ref="AH245:AK247" si="761">+AH225/AH$12</f>
        <v>6.9155893894578074E-2</v>
      </c>
      <c r="AI245" s="689">
        <f t="shared" si="761"/>
        <v>6.3243459521686932E-2</v>
      </c>
      <c r="AJ245" s="689">
        <f t="shared" si="761"/>
        <v>6.2442671380936093E-2</v>
      </c>
      <c r="AK245" s="781">
        <f t="shared" si="761"/>
        <v>5.9069525676225983E-2</v>
      </c>
      <c r="AL245" s="689">
        <f t="shared" ref="AL245:AM245" si="762">+AL225/AL$12</f>
        <v>6.3590253327250837E-2</v>
      </c>
      <c r="AM245" s="689">
        <f t="shared" si="762"/>
        <v>6.2478150345237078E-2</v>
      </c>
      <c r="AQ245" s="460">
        <f>+AQ232/AO232-1</f>
        <v>-0.46742209631728038</v>
      </c>
    </row>
    <row r="246" spans="1:43" ht="12" x14ac:dyDescent="0.3">
      <c r="A246" s="778" t="str">
        <f>+A236</f>
        <v>SG&amp;A</v>
      </c>
      <c r="B246" s="470"/>
      <c r="C246" s="744"/>
      <c r="D246" s="744"/>
      <c r="E246" s="744"/>
      <c r="F246" s="745"/>
      <c r="G246" s="786">
        <f t="shared" ref="G246:V246" si="763">+G226/G$12</f>
        <v>0.16790119001434514</v>
      </c>
      <c r="H246" s="786">
        <f t="shared" si="763"/>
        <v>0.13147543169544634</v>
      </c>
      <c r="I246" s="786">
        <f t="shared" si="763"/>
        <v>0.12972115398675224</v>
      </c>
      <c r="J246" s="787">
        <f t="shared" si="763"/>
        <v>0.10662816843826661</v>
      </c>
      <c r="K246" s="786">
        <f t="shared" si="763"/>
        <v>0.14438555311577195</v>
      </c>
      <c r="L246" s="786">
        <f t="shared" si="763"/>
        <v>0.12620548431011405</v>
      </c>
      <c r="M246" s="786">
        <f t="shared" si="763"/>
        <v>0.12193376782964427</v>
      </c>
      <c r="N246" s="787">
        <f t="shared" si="763"/>
        <v>0.11431690286639182</v>
      </c>
      <c r="O246" s="786">
        <f t="shared" si="763"/>
        <v>0.13985074862677149</v>
      </c>
      <c r="P246" s="786">
        <f t="shared" si="763"/>
        <v>0.13930274209792567</v>
      </c>
      <c r="Q246" s="786">
        <f t="shared" si="763"/>
        <v>0.12108589904168245</v>
      </c>
      <c r="R246" s="787">
        <f t="shared" si="763"/>
        <v>0.1088125308685529</v>
      </c>
      <c r="S246" s="800">
        <f t="shared" si="763"/>
        <v>0.13677643573381948</v>
      </c>
      <c r="T246" s="800">
        <f t="shared" ref="T246" si="764">+T226/T$12</f>
        <v>0.13266600113320562</v>
      </c>
      <c r="U246" s="800">
        <f t="shared" si="763"/>
        <v>0.11728653849993012</v>
      </c>
      <c r="V246" s="800">
        <f t="shared" si="763"/>
        <v>0.11601386242236945</v>
      </c>
      <c r="W246" s="995">
        <f t="shared" ref="W246:X246" si="765">+W226/W$12</f>
        <v>0.1429085800632762</v>
      </c>
      <c r="X246" s="800">
        <f t="shared" si="765"/>
        <v>0.12925232733302267</v>
      </c>
      <c r="Y246" s="1457">
        <f t="shared" ref="Y246" si="766">+Y226/Y$12</f>
        <v>0.11250558711122494</v>
      </c>
      <c r="Z246" s="1097">
        <f t="shared" ref="Z246" si="767">+Z226/Z$12</f>
        <v>0.10758263088561916</v>
      </c>
      <c r="AA246" s="800">
        <f t="shared" ref="AA246:AD246" si="768">+AA226/AA$12</f>
        <v>0.13122342713600241</v>
      </c>
      <c r="AB246" s="800">
        <f t="shared" si="768"/>
        <v>0.12179090410215154</v>
      </c>
      <c r="AC246" s="800">
        <f t="shared" si="768"/>
        <v>0.10989323389299728</v>
      </c>
      <c r="AD246" s="800">
        <f t="shared" si="768"/>
        <v>0.10439235275996259</v>
      </c>
      <c r="AE246" s="744"/>
      <c r="AF246" s="786"/>
      <c r="AG246" s="786"/>
      <c r="AH246" s="786">
        <f t="shared" si="761"/>
        <v>0.13129426460363661</v>
      </c>
      <c r="AI246" s="786">
        <f t="shared" si="761"/>
        <v>0.12487241943295964</v>
      </c>
      <c r="AJ246" s="786">
        <f t="shared" si="761"/>
        <v>0.12679639960840616</v>
      </c>
      <c r="AK246" s="788">
        <f t="shared" si="761"/>
        <v>0.12515957216982798</v>
      </c>
      <c r="AL246" s="786">
        <f t="shared" ref="AL246:AM246" si="769">+AL226/AL$12</f>
        <v>0.12198421147639285</v>
      </c>
      <c r="AM246" s="786">
        <f t="shared" si="769"/>
        <v>0.11591129572617929</v>
      </c>
    </row>
    <row r="247" spans="1:43" s="470" customFormat="1" x14ac:dyDescent="0.25">
      <c r="A247" s="766" t="str">
        <f>+A237</f>
        <v>Total Adj. Opex</v>
      </c>
      <c r="C247" s="767"/>
      <c r="D247" s="767"/>
      <c r="E247" s="767"/>
      <c r="F247" s="768"/>
      <c r="G247" s="769">
        <f t="shared" ref="G247:V247" si="770">+G227/G$12</f>
        <v>0.24105233717373853</v>
      </c>
      <c r="H247" s="769">
        <f t="shared" si="770"/>
        <v>0.19963235644281047</v>
      </c>
      <c r="I247" s="769">
        <f t="shared" si="770"/>
        <v>0.19035224963078856</v>
      </c>
      <c r="J247" s="770">
        <f t="shared" si="770"/>
        <v>0.18107369174161905</v>
      </c>
      <c r="K247" s="769">
        <f t="shared" si="770"/>
        <v>0.22388127508139621</v>
      </c>
      <c r="L247" s="769">
        <f t="shared" si="770"/>
        <v>0.19263153077917472</v>
      </c>
      <c r="M247" s="769">
        <f t="shared" si="770"/>
        <v>0.1803055991953004</v>
      </c>
      <c r="N247" s="770">
        <f t="shared" si="770"/>
        <v>0.16926392260930109</v>
      </c>
      <c r="O247" s="769">
        <f t="shared" si="770"/>
        <v>0.21131129496895421</v>
      </c>
      <c r="P247" s="769">
        <f t="shared" si="770"/>
        <v>0.20198351863703792</v>
      </c>
      <c r="Q247" s="769">
        <f t="shared" si="770"/>
        <v>0.18345907003388581</v>
      </c>
      <c r="R247" s="770">
        <f t="shared" si="770"/>
        <v>0.1630424045720737</v>
      </c>
      <c r="S247" s="769">
        <f t="shared" si="770"/>
        <v>0.20609617137648129</v>
      </c>
      <c r="T247" s="769">
        <f t="shared" ref="T247" si="771">+T227/T$12</f>
        <v>0.19782532444756229</v>
      </c>
      <c r="U247" s="769">
        <f t="shared" si="770"/>
        <v>0.17215168393523791</v>
      </c>
      <c r="V247" s="773">
        <f t="shared" si="770"/>
        <v>0.16478905224079554</v>
      </c>
      <c r="W247" s="999">
        <f t="shared" ref="W247:X247" si="772">+W227/W$12</f>
        <v>0.21263044812768567</v>
      </c>
      <c r="X247" s="769">
        <f t="shared" si="772"/>
        <v>0.19966295666121187</v>
      </c>
      <c r="Y247" s="772">
        <f t="shared" ref="Y247" si="773">+Y227/Y$12</f>
        <v>0.17380561372847392</v>
      </c>
      <c r="Z247" s="774">
        <f t="shared" ref="Z247" si="774">+Z227/Z$12</f>
        <v>0.1623296174089679</v>
      </c>
      <c r="AA247" s="773">
        <f t="shared" ref="AA247:AD247" si="775">+AA227/AA$12</f>
        <v>0.2007692641327114</v>
      </c>
      <c r="AB247" s="773">
        <f t="shared" si="775"/>
        <v>0.1914044681472275</v>
      </c>
      <c r="AC247" s="773">
        <f t="shared" si="775"/>
        <v>0.16979563643247875</v>
      </c>
      <c r="AD247" s="773">
        <f t="shared" si="775"/>
        <v>0.15751586054781966</v>
      </c>
      <c r="AE247" s="767"/>
      <c r="AF247" s="769"/>
      <c r="AG247" s="769"/>
      <c r="AH247" s="769">
        <f t="shared" si="761"/>
        <v>0.20045015849821468</v>
      </c>
      <c r="AI247" s="769">
        <f t="shared" si="761"/>
        <v>0.18811587895464657</v>
      </c>
      <c r="AJ247" s="769">
        <f t="shared" si="761"/>
        <v>0.18923907098934228</v>
      </c>
      <c r="AK247" s="772">
        <f t="shared" si="761"/>
        <v>0.18422909784605399</v>
      </c>
      <c r="AL247" s="769">
        <f t="shared" ref="AL247:AM247" si="776">+AL227/AL$12</f>
        <v>0.1855744648036437</v>
      </c>
      <c r="AM247" s="769">
        <f t="shared" si="776"/>
        <v>0.17838944607141638</v>
      </c>
      <c r="AO247" s="470">
        <v>35.299999999999997</v>
      </c>
      <c r="AP247" s="470">
        <v>23.4</v>
      </c>
      <c r="AQ247" s="470">
        <v>18.8</v>
      </c>
    </row>
    <row r="248" spans="1:43" x14ac:dyDescent="0.25">
      <c r="C248" s="744"/>
      <c r="D248" s="744"/>
      <c r="E248" s="744"/>
      <c r="F248" s="745"/>
      <c r="G248" s="744"/>
      <c r="H248" s="744"/>
      <c r="I248" s="744"/>
      <c r="J248" s="745"/>
      <c r="K248" s="744"/>
      <c r="L248" s="744"/>
      <c r="M248" s="744"/>
      <c r="N248" s="745"/>
      <c r="O248" s="744"/>
      <c r="P248" s="744"/>
      <c r="Q248" s="744"/>
      <c r="R248" s="745"/>
      <c r="S248" s="744"/>
      <c r="T248" s="744"/>
      <c r="U248" s="744"/>
      <c r="V248" s="736"/>
      <c r="W248" s="986"/>
      <c r="X248" s="744"/>
      <c r="Y248" s="792"/>
      <c r="Z248" s="752"/>
      <c r="AA248" s="736"/>
      <c r="AB248" s="736"/>
      <c r="AC248" s="736"/>
      <c r="AD248" s="736"/>
      <c r="AE248" s="744"/>
      <c r="AF248" s="744"/>
      <c r="AG248" s="744"/>
      <c r="AH248" s="744"/>
      <c r="AI248" s="744"/>
      <c r="AJ248" s="744"/>
      <c r="AK248" s="792"/>
      <c r="AL248" s="744"/>
      <c r="AM248" s="744"/>
    </row>
    <row r="249" spans="1:43" x14ac:dyDescent="0.25">
      <c r="A249" s="740" t="s">
        <v>269</v>
      </c>
      <c r="C249" s="744"/>
      <c r="D249" s="744"/>
      <c r="E249" s="744"/>
      <c r="F249" s="745"/>
      <c r="G249" s="744"/>
      <c r="H249" s="744"/>
      <c r="I249" s="744"/>
      <c r="J249" s="745"/>
      <c r="K249" s="744"/>
      <c r="L249" s="744"/>
      <c r="M249" s="744"/>
      <c r="N249" s="745"/>
      <c r="O249" s="744"/>
      <c r="P249" s="744"/>
      <c r="Q249" s="744"/>
      <c r="R249" s="745"/>
      <c r="S249" s="744"/>
      <c r="T249" s="744"/>
      <c r="U249" s="744"/>
      <c r="V249" s="736"/>
      <c r="W249" s="986"/>
      <c r="X249" s="744"/>
      <c r="Y249" s="792"/>
      <c r="Z249" s="752"/>
      <c r="AA249" s="736"/>
      <c r="AB249" s="736"/>
      <c r="AC249" s="736"/>
      <c r="AD249" s="736"/>
      <c r="AE249" s="744"/>
      <c r="AF249" s="744"/>
      <c r="AG249" s="744"/>
      <c r="AH249" s="744"/>
      <c r="AI249" s="744"/>
      <c r="AJ249" s="744"/>
      <c r="AK249" s="792"/>
      <c r="AL249" s="744"/>
      <c r="AM249" s="744"/>
    </row>
    <row r="250" spans="1:43" x14ac:dyDescent="0.25">
      <c r="C250" s="744"/>
      <c r="D250" s="744"/>
      <c r="E250" s="744"/>
      <c r="F250" s="745"/>
      <c r="G250" s="744"/>
      <c r="H250" s="744"/>
      <c r="I250" s="744"/>
      <c r="J250" s="745"/>
      <c r="K250" s="744"/>
      <c r="L250" s="744"/>
      <c r="M250" s="744"/>
      <c r="N250" s="745"/>
      <c r="O250" s="744"/>
      <c r="P250" s="744"/>
      <c r="Q250" s="744"/>
      <c r="R250" s="745"/>
      <c r="S250" s="744"/>
      <c r="T250" s="744"/>
      <c r="U250" s="744"/>
      <c r="V250" s="736"/>
      <c r="W250" s="986"/>
      <c r="X250" s="744"/>
      <c r="Y250" s="792"/>
      <c r="Z250" s="752"/>
      <c r="AA250" s="736"/>
      <c r="AB250" s="736"/>
      <c r="AC250" s="736"/>
      <c r="AD250" s="736"/>
      <c r="AE250" s="744"/>
      <c r="AF250" s="744"/>
      <c r="AG250" s="744"/>
      <c r="AH250" s="744"/>
      <c r="AI250" s="744"/>
      <c r="AJ250" s="744"/>
      <c r="AK250" s="792"/>
      <c r="AL250" s="744"/>
      <c r="AM250" s="744"/>
    </row>
    <row r="251" spans="1:43" x14ac:dyDescent="0.25">
      <c r="A251" s="460" t="s">
        <v>270</v>
      </c>
      <c r="C251" s="744"/>
      <c r="D251" s="744"/>
      <c r="E251" s="744"/>
      <c r="F251" s="745"/>
      <c r="G251" s="744">
        <f t="shared" ref="G251:V251" si="777">+G225</f>
        <v>8.1080000000000023</v>
      </c>
      <c r="H251" s="744">
        <f t="shared" si="777"/>
        <v>7.1559999999999997</v>
      </c>
      <c r="I251" s="744">
        <f t="shared" si="777"/>
        <v>8.2929999999999993</v>
      </c>
      <c r="J251" s="745">
        <f t="shared" si="777"/>
        <v>11.654</v>
      </c>
      <c r="K251" s="744">
        <f t="shared" si="777"/>
        <v>10.499000000000001</v>
      </c>
      <c r="L251" s="744">
        <f t="shared" si="777"/>
        <v>11.613</v>
      </c>
      <c r="M251" s="744">
        <f t="shared" si="777"/>
        <v>11.258000000000001</v>
      </c>
      <c r="N251" s="745">
        <f t="shared" si="777"/>
        <v>11.678000000000001</v>
      </c>
      <c r="O251" s="744">
        <f t="shared" si="777"/>
        <v>13.568999999999999</v>
      </c>
      <c r="P251" s="744">
        <f t="shared" si="777"/>
        <v>12.634</v>
      </c>
      <c r="Q251" s="744">
        <f t="shared" si="777"/>
        <v>12.848000000000001</v>
      </c>
      <c r="R251" s="745">
        <f t="shared" si="777"/>
        <v>11.529</v>
      </c>
      <c r="S251" s="744">
        <f t="shared" si="777"/>
        <v>12.167</v>
      </c>
      <c r="T251" s="744">
        <f t="shared" ref="T251:U251" si="778">+T225</f>
        <v>12.075000000000001</v>
      </c>
      <c r="U251" s="744">
        <f t="shared" si="778"/>
        <v>10.993000000000009</v>
      </c>
      <c r="V251" s="736">
        <f t="shared" si="777"/>
        <v>9.8800000000000239</v>
      </c>
      <c r="W251" s="986">
        <f t="shared" ref="W251:X251" si="779">+W225</f>
        <v>11.811999999999999</v>
      </c>
      <c r="X251" s="744">
        <f t="shared" si="779"/>
        <v>12.994</v>
      </c>
      <c r="Y251" s="792">
        <f t="shared" ref="Y251" si="780">+Y225</f>
        <v>12.206000000000001</v>
      </c>
      <c r="Z251" s="752">
        <f t="shared" ref="Z251" si="781">+Z225</f>
        <v>11.4</v>
      </c>
      <c r="AA251" s="736">
        <f t="shared" ref="AA251:AD251" si="782">+AA225</f>
        <v>12.4026</v>
      </c>
      <c r="AB251" s="736">
        <f t="shared" si="782"/>
        <v>13.643700000000001</v>
      </c>
      <c r="AC251" s="736">
        <f t="shared" si="782"/>
        <v>12.816300000000002</v>
      </c>
      <c r="AD251" s="736">
        <f t="shared" si="782"/>
        <v>11.97</v>
      </c>
      <c r="AE251" s="744"/>
      <c r="AF251" s="744"/>
      <c r="AG251" s="744">
        <f>+AG225</f>
        <v>33.146999999999998</v>
      </c>
      <c r="AH251" s="744">
        <f>+AH225</f>
        <v>35.210999999999999</v>
      </c>
      <c r="AI251" s="744">
        <f>+AI225</f>
        <v>45.047999999999995</v>
      </c>
      <c r="AJ251" s="744">
        <f>+AJ225</f>
        <v>50.58</v>
      </c>
      <c r="AK251" s="792">
        <f>SUM(S251:V251)</f>
        <v>45.115000000000038</v>
      </c>
      <c r="AL251" s="744">
        <f>+SUM(W251:Z251)</f>
        <v>48.411999999999999</v>
      </c>
      <c r="AM251" s="744">
        <f t="shared" ref="AM251:AM253" si="783">+SUM(AA251:AD251)</f>
        <v>50.832599999999999</v>
      </c>
    </row>
    <row r="252" spans="1:43" s="802" customFormat="1" ht="13" x14ac:dyDescent="0.4">
      <c r="A252" s="460" t="str">
        <f>+'FA - Detailed Disclosure'!A327</f>
        <v>Capitalized software development costs</v>
      </c>
      <c r="C252" s="803"/>
      <c r="D252" s="803"/>
      <c r="E252" s="803"/>
      <c r="F252" s="823"/>
      <c r="G252" s="872">
        <f>+'FA - Detailed Disclosure'!G327*-1</f>
        <v>2.67</v>
      </c>
      <c r="H252" s="872">
        <f>+'FA - Detailed Disclosure'!H327*-1</f>
        <v>2.7240000000000002</v>
      </c>
      <c r="I252" s="872">
        <f>+'FA - Detailed Disclosure'!I327*-1</f>
        <v>2.9580000000000002</v>
      </c>
      <c r="J252" s="873">
        <f>+'FA - Detailed Disclosure'!J327*-1</f>
        <v>3.0990000000000002</v>
      </c>
      <c r="K252" s="872">
        <f>+'FA - Detailed Disclosure'!K327*-1</f>
        <v>1.4430000000000001</v>
      </c>
      <c r="L252" s="872">
        <f>+'FA - Detailed Disclosure'!L327*-1</f>
        <v>6.0389999999999997</v>
      </c>
      <c r="M252" s="872">
        <f>+'FA - Detailed Disclosure'!M327*-1</f>
        <v>4.484</v>
      </c>
      <c r="N252" s="873">
        <f>+'FA - Detailed Disclosure'!N327*-1</f>
        <v>4.5190000000000001</v>
      </c>
      <c r="O252" s="803">
        <f>+'FA - Detailed Disclosure'!O327*-1</f>
        <v>4.6429999999999998</v>
      </c>
      <c r="P252" s="803">
        <f>+'FA - Detailed Disclosure'!P327*-1</f>
        <v>5.5930000000000009</v>
      </c>
      <c r="Q252" s="803">
        <f>+'FA - Detailed Disclosure'!Q327*-1</f>
        <v>6.0840000000000005</v>
      </c>
      <c r="R252" s="823">
        <f>+'FA - Detailed Disclosure'!R327*-1</f>
        <v>6.0429999999999993</v>
      </c>
      <c r="S252" s="803">
        <f>+'FA - Detailed Disclosure'!S327*-1</f>
        <v>6.056</v>
      </c>
      <c r="T252" s="803">
        <f>+'FA - Detailed Disclosure'!T327*-1</f>
        <v>6.3779999999999992</v>
      </c>
      <c r="U252" s="803">
        <f>+'FA - Detailed Disclosure'!U327*-1</f>
        <v>6.3469999999999986</v>
      </c>
      <c r="V252" s="757">
        <f>+'FA - Detailed Disclosure'!V327*-1</f>
        <v>6.833000000000002</v>
      </c>
      <c r="W252" s="987">
        <f>+'FA - Detailed Disclosure'!W327*-1</f>
        <v>6.1349999999999998</v>
      </c>
      <c r="X252" s="803">
        <f>+'FA - Detailed Disclosure'!X327*-1</f>
        <v>6.7590000000000003</v>
      </c>
      <c r="Y252" s="804">
        <f>+'FA - Detailed Disclosure'!Y327*-1</f>
        <v>7.49</v>
      </c>
      <c r="Z252" s="758">
        <f t="shared" ref="Z252" si="784">+SUM(V252:Y252)/SUM(V96:Y96)*Z96</f>
        <v>7.84498502693764</v>
      </c>
      <c r="AA252" s="757">
        <f t="shared" ref="AA252" si="785">+SUM(W252:Z252)/SUM(W96:Z96)*AA96</f>
        <v>5.8539577696306662</v>
      </c>
      <c r="AB252" s="757">
        <f t="shared" ref="AB252" si="786">+SUM(X252:AA252)/SUM(X96:AA96)*AB96</f>
        <v>6.4150876348840997</v>
      </c>
      <c r="AC252" s="757">
        <f t="shared" ref="AC252" si="787">+SUM(Y252:AB252)/SUM(Y96:AB96)*AC96</f>
        <v>7.0460721663533654</v>
      </c>
      <c r="AD252" s="757">
        <f t="shared" ref="AD252" si="788">+SUM(Z252:AC252)/SUM(Z96:AC96)*AD96</f>
        <v>7.4066550861056193</v>
      </c>
      <c r="AE252" s="803"/>
      <c r="AF252" s="803"/>
      <c r="AG252" s="803">
        <f>+'FA - Detailed Disclosure'!AI327*-1</f>
        <v>10.125</v>
      </c>
      <c r="AH252" s="803">
        <f>+'FA - Detailed Disclosure'!AJ327*-1</f>
        <v>11.451000000000001</v>
      </c>
      <c r="AI252" s="803">
        <f>+'FA - Detailed Disclosure'!AK327*-1</f>
        <v>16.484999999999999</v>
      </c>
      <c r="AJ252" s="803">
        <f>+'FA - Detailed Disclosure'!AL327*-1</f>
        <v>22.363</v>
      </c>
      <c r="AK252" s="804">
        <f>SUM(S252:V252)</f>
        <v>25.614000000000001</v>
      </c>
      <c r="AL252" s="803">
        <f>+SUM(W252:Z252)</f>
        <v>28.228985026937639</v>
      </c>
      <c r="AM252" s="803">
        <f t="shared" si="783"/>
        <v>26.721772656973751</v>
      </c>
    </row>
    <row r="253" spans="1:43" s="470" customFormat="1" x14ac:dyDescent="0.25">
      <c r="A253" s="505" t="s">
        <v>271</v>
      </c>
      <c r="C253" s="767"/>
      <c r="D253" s="767"/>
      <c r="E253" s="767"/>
      <c r="F253" s="768"/>
      <c r="G253" s="767">
        <f>+SUM(G251:G252)</f>
        <v>10.778000000000002</v>
      </c>
      <c r="H253" s="767">
        <f t="shared" ref="H253:S253" si="789">+SUM(H251:H252)</f>
        <v>9.879999999999999</v>
      </c>
      <c r="I253" s="767">
        <f t="shared" si="789"/>
        <v>11.250999999999999</v>
      </c>
      <c r="J253" s="768">
        <f t="shared" si="789"/>
        <v>14.753</v>
      </c>
      <c r="K253" s="767">
        <f t="shared" si="789"/>
        <v>11.942</v>
      </c>
      <c r="L253" s="767">
        <f t="shared" si="789"/>
        <v>17.652000000000001</v>
      </c>
      <c r="M253" s="767">
        <f t="shared" si="789"/>
        <v>15.742000000000001</v>
      </c>
      <c r="N253" s="768">
        <f t="shared" si="789"/>
        <v>16.197000000000003</v>
      </c>
      <c r="O253" s="767">
        <f t="shared" si="789"/>
        <v>18.212</v>
      </c>
      <c r="P253" s="767">
        <f t="shared" si="789"/>
        <v>18.227</v>
      </c>
      <c r="Q253" s="767">
        <f t="shared" si="789"/>
        <v>18.932000000000002</v>
      </c>
      <c r="R253" s="768">
        <f t="shared" si="789"/>
        <v>17.571999999999999</v>
      </c>
      <c r="S253" s="767">
        <f t="shared" si="789"/>
        <v>18.222999999999999</v>
      </c>
      <c r="T253" s="767">
        <f t="shared" ref="T253:U253" si="790">+SUM(T251:T252)</f>
        <v>18.452999999999999</v>
      </c>
      <c r="U253" s="767">
        <f t="shared" si="790"/>
        <v>17.340000000000007</v>
      </c>
      <c r="V253" s="762">
        <f t="shared" ref="V253:Z253" si="791">+SUM(V251:V252)</f>
        <v>16.713000000000026</v>
      </c>
      <c r="W253" s="988">
        <f t="shared" ref="W253:X253" si="792">+SUM(W251:W252)</f>
        <v>17.946999999999999</v>
      </c>
      <c r="X253" s="767">
        <f t="shared" si="792"/>
        <v>19.753</v>
      </c>
      <c r="Y253" s="812">
        <f t="shared" ref="Y253" si="793">+SUM(Y251:Y252)</f>
        <v>19.696000000000002</v>
      </c>
      <c r="Z253" s="763">
        <f t="shared" si="791"/>
        <v>19.244985026937641</v>
      </c>
      <c r="AA253" s="762">
        <f t="shared" ref="AA253:AD253" si="794">+SUM(AA251:AA252)</f>
        <v>18.256557769630668</v>
      </c>
      <c r="AB253" s="762">
        <f t="shared" si="794"/>
        <v>20.058787634884101</v>
      </c>
      <c r="AC253" s="762">
        <f t="shared" si="794"/>
        <v>19.862372166353367</v>
      </c>
      <c r="AD253" s="762">
        <f t="shared" si="794"/>
        <v>19.376655086105622</v>
      </c>
      <c r="AE253" s="767"/>
      <c r="AF253" s="767"/>
      <c r="AG253" s="767">
        <f t="shared" ref="AG253" si="795">+SUM(AG251:AG252)</f>
        <v>43.271999999999998</v>
      </c>
      <c r="AH253" s="767">
        <f t="shared" ref="AH253" si="796">+SUM(AH251:AH252)</f>
        <v>46.661999999999999</v>
      </c>
      <c r="AI253" s="767">
        <f t="shared" ref="AI253" si="797">+SUM(AI251:AI252)</f>
        <v>61.532999999999994</v>
      </c>
      <c r="AJ253" s="767">
        <f t="shared" ref="AJ253" si="798">+SUM(AJ251:AJ252)</f>
        <v>72.942999999999998</v>
      </c>
      <c r="AK253" s="812">
        <f>SUM(S253:V253)</f>
        <v>70.729000000000028</v>
      </c>
      <c r="AL253" s="767">
        <f>+SUM(W253:Z253)</f>
        <v>76.640985026937642</v>
      </c>
      <c r="AM253" s="767">
        <f t="shared" si="783"/>
        <v>77.554372656973754</v>
      </c>
    </row>
    <row r="254" spans="1:43" s="890" customFormat="1" x14ac:dyDescent="0.25">
      <c r="A254" s="766" t="s">
        <v>141</v>
      </c>
      <c r="C254" s="891"/>
      <c r="D254" s="891"/>
      <c r="E254" s="891"/>
      <c r="F254" s="892"/>
      <c r="G254" s="769"/>
      <c r="H254" s="769"/>
      <c r="I254" s="769"/>
      <c r="J254" s="770"/>
      <c r="K254" s="769">
        <f>+K253/G253-1</f>
        <v>0.10799777324178872</v>
      </c>
      <c r="L254" s="769">
        <f t="shared" ref="L254:S254" si="799">+L253/H253-1</f>
        <v>0.7866396761133605</v>
      </c>
      <c r="M254" s="769">
        <f t="shared" si="799"/>
        <v>0.39916451870944814</v>
      </c>
      <c r="N254" s="770">
        <f t="shared" si="799"/>
        <v>9.787839761404471E-2</v>
      </c>
      <c r="O254" s="777">
        <f t="shared" si="799"/>
        <v>0.52503768213029645</v>
      </c>
      <c r="P254" s="777">
        <f t="shared" si="799"/>
        <v>3.2574212553818205E-2</v>
      </c>
      <c r="Q254" s="769">
        <f t="shared" si="799"/>
        <v>0.2026426121204421</v>
      </c>
      <c r="R254" s="774">
        <f t="shared" si="799"/>
        <v>8.4892263999505779E-2</v>
      </c>
      <c r="S254" s="773">
        <f t="shared" si="799"/>
        <v>6.039973643749974E-4</v>
      </c>
      <c r="T254" s="773">
        <f t="shared" ref="T254" si="800">+T253/P253-1</f>
        <v>1.2399188017775842E-2</v>
      </c>
      <c r="U254" s="773">
        <f t="shared" ref="U254" si="801">+U253/Q253-1</f>
        <v>-8.4090428903443648E-2</v>
      </c>
      <c r="V254" s="773">
        <f t="shared" ref="V254" si="802">+V253/R253-1</f>
        <v>-4.8884589119051469E-2</v>
      </c>
      <c r="W254" s="999">
        <f t="shared" ref="W254" si="803">+W253/S253-1</f>
        <v>-1.5145695000823078E-2</v>
      </c>
      <c r="X254" s="773">
        <f t="shared" ref="X254" si="804">+X253/T253-1</f>
        <v>7.0449249444534789E-2</v>
      </c>
      <c r="Y254" s="1466">
        <f t="shared" ref="Y254" si="805">+Y253/U253-1</f>
        <v>0.13587081891580133</v>
      </c>
      <c r="Z254" s="774">
        <f t="shared" ref="Z254" si="806">+Z253/V253-1</f>
        <v>0.15149793735042261</v>
      </c>
      <c r="AA254" s="773">
        <f t="shared" ref="AA254" si="807">+AA253/W253-1</f>
        <v>1.7248440944484855E-2</v>
      </c>
      <c r="AB254" s="773">
        <f t="shared" ref="AB254" si="808">+AB253/X253-1</f>
        <v>1.548056674348719E-2</v>
      </c>
      <c r="AC254" s="773">
        <f t="shared" ref="AC254" si="809">+AC253/Y253-1</f>
        <v>8.4470027596144082E-3</v>
      </c>
      <c r="AD254" s="773">
        <f t="shared" ref="AD254" si="810">+AD253/Z253-1</f>
        <v>6.8417854824869284E-3</v>
      </c>
      <c r="AE254" s="767"/>
      <c r="AF254" s="769"/>
      <c r="AG254" s="769"/>
      <c r="AH254" s="769">
        <f>+AH253/AG253-1</f>
        <v>7.834165280088734E-2</v>
      </c>
      <c r="AI254" s="769">
        <f t="shared" ref="AI254:AJ254" si="811">+AI253/AH253-1</f>
        <v>0.31869615532981865</v>
      </c>
      <c r="AJ254" s="769">
        <f t="shared" si="811"/>
        <v>0.18542895681991789</v>
      </c>
      <c r="AK254" s="772">
        <f t="shared" ref="AK254" si="812">+AK253/AJ253-1</f>
        <v>-3.0352466994776339E-2</v>
      </c>
      <c r="AL254" s="769">
        <f t="shared" ref="AL254" si="813">+AL253/AK253-1</f>
        <v>8.3586435930631087E-2</v>
      </c>
      <c r="AM254" s="769">
        <f t="shared" ref="AM254" si="814">+AM253/AL253-1</f>
        <v>1.1917743877053244E-2</v>
      </c>
    </row>
    <row r="255" spans="1:43" s="890" customFormat="1" x14ac:dyDescent="0.25">
      <c r="A255" s="766" t="s">
        <v>228</v>
      </c>
      <c r="C255" s="891"/>
      <c r="D255" s="891"/>
      <c r="E255" s="891"/>
      <c r="F255" s="892"/>
      <c r="G255" s="769"/>
      <c r="H255" s="769">
        <f>+H253/G253-1</f>
        <v>-8.3317869734644945E-2</v>
      </c>
      <c r="I255" s="769">
        <f t="shared" ref="I255:V255" si="815">+I253/H253-1</f>
        <v>0.13876518218623479</v>
      </c>
      <c r="J255" s="770">
        <f t="shared" si="815"/>
        <v>0.31126122122478006</v>
      </c>
      <c r="K255" s="769">
        <f t="shared" si="815"/>
        <v>-0.19053751779299122</v>
      </c>
      <c r="L255" s="769">
        <f t="shared" si="815"/>
        <v>0.47814436442806896</v>
      </c>
      <c r="M255" s="769">
        <f t="shared" si="815"/>
        <v>-0.10820303648311802</v>
      </c>
      <c r="N255" s="770">
        <f t="shared" si="815"/>
        <v>2.8903570067335904E-2</v>
      </c>
      <c r="O255" s="777">
        <f t="shared" si="815"/>
        <v>0.12440575415200317</v>
      </c>
      <c r="P255" s="777">
        <f t="shared" si="815"/>
        <v>8.2363276960251142E-4</v>
      </c>
      <c r="Q255" s="769">
        <f t="shared" si="815"/>
        <v>3.8678882975805129E-2</v>
      </c>
      <c r="R255" s="774">
        <f t="shared" si="815"/>
        <v>-7.1836044791886877E-2</v>
      </c>
      <c r="S255" s="773">
        <f t="shared" si="815"/>
        <v>3.7047575688595513E-2</v>
      </c>
      <c r="T255" s="773">
        <f t="shared" ref="T255" si="816">+T253/S253-1</f>
        <v>1.2621412500686047E-2</v>
      </c>
      <c r="U255" s="773">
        <f t="shared" ref="U255" si="817">+U253/T253-1</f>
        <v>-6.0315395870589761E-2</v>
      </c>
      <c r="V255" s="773">
        <f t="shared" si="815"/>
        <v>-3.6159169550171955E-2</v>
      </c>
      <c r="W255" s="999">
        <f t="shared" ref="W255" si="818">+W253/V253-1</f>
        <v>7.3834739424398554E-2</v>
      </c>
      <c r="X255" s="773">
        <f t="shared" ref="X255" si="819">+X253/W253-1</f>
        <v>0.10062963169331929</v>
      </c>
      <c r="Y255" s="1466">
        <f t="shared" ref="Y255" si="820">+Y253/X253-1</f>
        <v>-2.8856376246645388E-3</v>
      </c>
      <c r="Z255" s="774">
        <f t="shared" ref="Z255" si="821">+Z253/Y253-1</f>
        <v>-2.2898810573840356E-2</v>
      </c>
      <c r="AA255" s="773">
        <f t="shared" ref="AA255" si="822">+AA253/Z253-1</f>
        <v>-5.1360250783435202E-2</v>
      </c>
      <c r="AB255" s="773">
        <f t="shared" ref="AB255" si="823">+AB253/AA253-1</f>
        <v>9.8716849473748924E-2</v>
      </c>
      <c r="AC255" s="773">
        <f t="shared" ref="AC255" si="824">+AC253/AB253-1</f>
        <v>-9.7919910268728927E-3</v>
      </c>
      <c r="AD255" s="773">
        <f t="shared" ref="AD255" si="825">+AD253/AC253-1</f>
        <v>-2.4454132476207646E-2</v>
      </c>
      <c r="AE255" s="767"/>
      <c r="AF255" s="769"/>
      <c r="AG255" s="769"/>
      <c r="AH255" s="769">
        <f t="shared" ref="AH255:AK255" si="826">+AH253/AG253-1</f>
        <v>7.834165280088734E-2</v>
      </c>
      <c r="AI255" s="769">
        <f t="shared" si="826"/>
        <v>0.31869615532981865</v>
      </c>
      <c r="AJ255" s="769">
        <f t="shared" si="826"/>
        <v>0.18542895681991789</v>
      </c>
      <c r="AK255" s="772">
        <f t="shared" si="826"/>
        <v>-3.0352466994776339E-2</v>
      </c>
      <c r="AL255" s="769">
        <f t="shared" ref="AL255" si="827">+AL253/AK253-1</f>
        <v>8.3586435930631087E-2</v>
      </c>
      <c r="AM255" s="769">
        <f t="shared" ref="AM255" si="828">+AM253/AL253-1</f>
        <v>1.1917743877053244E-2</v>
      </c>
    </row>
    <row r="256" spans="1:43" s="890" customFormat="1" x14ac:dyDescent="0.25">
      <c r="A256" s="766" t="s">
        <v>268</v>
      </c>
      <c r="C256" s="891"/>
      <c r="D256" s="891"/>
      <c r="E256" s="891"/>
      <c r="F256" s="892"/>
      <c r="G256" s="891"/>
      <c r="H256" s="891">
        <f t="shared" ref="H256:V256" si="829">+H253-G253</f>
        <v>-0.89800000000000324</v>
      </c>
      <c r="I256" s="891">
        <f t="shared" si="829"/>
        <v>1.3710000000000004</v>
      </c>
      <c r="J256" s="892">
        <f t="shared" si="829"/>
        <v>3.5020000000000007</v>
      </c>
      <c r="K256" s="891">
        <f t="shared" si="829"/>
        <v>-2.8109999999999999</v>
      </c>
      <c r="L256" s="891">
        <f t="shared" si="829"/>
        <v>5.7100000000000009</v>
      </c>
      <c r="M256" s="891">
        <f t="shared" si="829"/>
        <v>-1.9100000000000001</v>
      </c>
      <c r="N256" s="892">
        <f t="shared" si="829"/>
        <v>0.45500000000000185</v>
      </c>
      <c r="O256" s="891">
        <f t="shared" si="829"/>
        <v>2.014999999999997</v>
      </c>
      <c r="P256" s="891">
        <f t="shared" si="829"/>
        <v>1.5000000000000568E-2</v>
      </c>
      <c r="Q256" s="891">
        <f t="shared" si="829"/>
        <v>0.70500000000000185</v>
      </c>
      <c r="R256" s="892">
        <f t="shared" si="829"/>
        <v>-1.360000000000003</v>
      </c>
      <c r="S256" s="891">
        <f t="shared" si="829"/>
        <v>0.6509999999999998</v>
      </c>
      <c r="T256" s="891">
        <f t="shared" ref="T256" si="830">+T253-S253</f>
        <v>0.23000000000000043</v>
      </c>
      <c r="U256" s="891">
        <f t="shared" ref="U256" si="831">+U253-T253</f>
        <v>-1.1129999999999924</v>
      </c>
      <c r="V256" s="2345">
        <f t="shared" si="829"/>
        <v>-0.62699999999998113</v>
      </c>
      <c r="W256" s="2346">
        <f t="shared" ref="W256" si="832">+W253-V253</f>
        <v>1.2339999999999733</v>
      </c>
      <c r="X256" s="891">
        <f t="shared" ref="X256" si="833">+X253-W253</f>
        <v>1.8060000000000009</v>
      </c>
      <c r="Y256" s="2347">
        <f t="shared" ref="Y256" si="834">+Y253-X253</f>
        <v>-5.6999999999998607E-2</v>
      </c>
      <c r="Z256" s="2348">
        <f t="shared" ref="Z256" si="835">+Z253-Y253</f>
        <v>-0.45101497306236027</v>
      </c>
      <c r="AA256" s="2345">
        <f t="shared" ref="AA256" si="836">+AA253-Z253</f>
        <v>-0.98842725730697367</v>
      </c>
      <c r="AB256" s="2345">
        <f t="shared" ref="AB256" si="837">+AB253-AA253</f>
        <v>1.8022298652534339</v>
      </c>
      <c r="AC256" s="2345">
        <f t="shared" ref="AC256" si="838">+AC253-AB253</f>
        <v>-0.19641546853073422</v>
      </c>
      <c r="AD256" s="2345">
        <f t="shared" ref="AD256" si="839">+AD253-AC253</f>
        <v>-0.48571708024774551</v>
      </c>
      <c r="AE256" s="891"/>
      <c r="AF256" s="891"/>
      <c r="AG256" s="891"/>
      <c r="AH256" s="891">
        <f>+AH253-AG253</f>
        <v>3.3900000000000006</v>
      </c>
      <c r="AI256" s="891">
        <f>+AI253-AH253</f>
        <v>14.870999999999995</v>
      </c>
      <c r="AJ256" s="891">
        <f>+AJ253-AI253</f>
        <v>11.410000000000004</v>
      </c>
      <c r="AK256" s="2347">
        <f>+AK253-AJ253</f>
        <v>-2.2139999999999702</v>
      </c>
      <c r="AL256" s="891">
        <f t="shared" ref="AL256" si="840">+AL253-AK253</f>
        <v>5.9119850269376144</v>
      </c>
      <c r="AM256" s="891">
        <f t="shared" ref="AM256" si="841">+AM253-AL253</f>
        <v>0.91338763003611234</v>
      </c>
    </row>
    <row r="257" spans="1:40" s="890" customFormat="1" x14ac:dyDescent="0.25">
      <c r="A257" s="766" t="s">
        <v>41</v>
      </c>
      <c r="C257" s="891"/>
      <c r="D257" s="891"/>
      <c r="E257" s="891"/>
      <c r="F257" s="892"/>
      <c r="G257" s="769">
        <f t="shared" ref="G257:Z257" si="842">+G253/G12</f>
        <v>9.7240141105567557E-2</v>
      </c>
      <c r="H257" s="769">
        <f t="shared" si="842"/>
        <v>9.4101511529340043E-2</v>
      </c>
      <c r="I257" s="769">
        <f t="shared" si="842"/>
        <v>8.225738057289915E-2</v>
      </c>
      <c r="J257" s="770">
        <f t="shared" si="842"/>
        <v>9.4241874488961611E-2</v>
      </c>
      <c r="K257" s="769">
        <f t="shared" si="842"/>
        <v>9.042174604376467E-2</v>
      </c>
      <c r="L257" s="769">
        <f t="shared" si="842"/>
        <v>0.10096896342649264</v>
      </c>
      <c r="M257" s="769">
        <f t="shared" si="842"/>
        <v>8.1621013444498028E-2</v>
      </c>
      <c r="N257" s="770">
        <f t="shared" si="842"/>
        <v>7.6209700186324836E-2</v>
      </c>
      <c r="O257" s="777">
        <f t="shared" si="842"/>
        <v>9.5912703219384776E-2</v>
      </c>
      <c r="P257" s="777">
        <f t="shared" si="842"/>
        <v>9.0429200093272016E-2</v>
      </c>
      <c r="Q257" s="769">
        <f t="shared" si="842"/>
        <v>9.190915887487501E-2</v>
      </c>
      <c r="R257" s="774">
        <f t="shared" si="842"/>
        <v>8.2654813142359881E-2</v>
      </c>
      <c r="S257" s="773">
        <f t="shared" si="842"/>
        <v>0.1038229261622607</v>
      </c>
      <c r="T257" s="773">
        <f t="shared" si="842"/>
        <v>9.9576396945741039E-2</v>
      </c>
      <c r="U257" s="773">
        <f t="shared" si="842"/>
        <v>8.6542492663352732E-2</v>
      </c>
      <c r="V257" s="773">
        <f t="shared" si="842"/>
        <v>8.2508071602768671E-2</v>
      </c>
      <c r="W257" s="999">
        <f t="shared" si="842"/>
        <v>0.1059345044151674</v>
      </c>
      <c r="X257" s="773">
        <f t="shared" ref="X257:Y257" si="843">+X253/X12</f>
        <v>0.10703564422962297</v>
      </c>
      <c r="Y257" s="1466">
        <f t="shared" si="843"/>
        <v>9.8915723763176797E-2</v>
      </c>
      <c r="Z257" s="774">
        <f t="shared" si="842"/>
        <v>9.2421485606298537E-2</v>
      </c>
      <c r="AA257" s="773">
        <f t="shared" ref="AA257:AD257" si="844">+AA253/AA12</f>
        <v>0.10237108273811422</v>
      </c>
      <c r="AB257" s="773">
        <f t="shared" si="844"/>
        <v>0.10234494291779958</v>
      </c>
      <c r="AC257" s="773">
        <f t="shared" si="844"/>
        <v>9.2835203053759016E-2</v>
      </c>
      <c r="AD257" s="773">
        <f t="shared" si="844"/>
        <v>8.5994643890505582E-2</v>
      </c>
      <c r="AE257" s="767"/>
      <c r="AF257" s="769"/>
      <c r="AG257" s="769">
        <f t="shared" ref="AG257:AL257" si="845">+AG253/AG12</f>
        <v>8.981935250857781E-2</v>
      </c>
      <c r="AH257" s="769">
        <f t="shared" si="845"/>
        <v>9.1646142424492399E-2</v>
      </c>
      <c r="AI257" s="769">
        <f t="shared" si="845"/>
        <v>8.6386960458798651E-2</v>
      </c>
      <c r="AJ257" s="769">
        <f t="shared" si="845"/>
        <v>9.0050529429411261E-2</v>
      </c>
      <c r="AK257" s="772">
        <f t="shared" si="845"/>
        <v>9.2606194869861144E-2</v>
      </c>
      <c r="AL257" s="769">
        <f t="shared" si="845"/>
        <v>0.10066966151187728</v>
      </c>
      <c r="AM257" s="769">
        <f t="shared" ref="AM257" si="846">+AM253/AM12</f>
        <v>9.5321776867462016E-2</v>
      </c>
    </row>
    <row r="258" spans="1:40" x14ac:dyDescent="0.25">
      <c r="C258" s="744"/>
      <c r="D258" s="744"/>
      <c r="E258" s="744"/>
      <c r="F258" s="745"/>
      <c r="G258" s="744"/>
      <c r="H258" s="744"/>
      <c r="I258" s="744"/>
      <c r="J258" s="745"/>
      <c r="K258" s="744"/>
      <c r="L258" s="744"/>
      <c r="M258" s="744"/>
      <c r="N258" s="745"/>
      <c r="O258" s="744"/>
      <c r="P258" s="744"/>
      <c r="Q258" s="744"/>
      <c r="R258" s="745"/>
      <c r="S258" s="744"/>
      <c r="T258" s="744"/>
      <c r="U258" s="744"/>
      <c r="V258" s="744"/>
      <c r="W258" s="985"/>
      <c r="X258" s="744"/>
      <c r="Y258" s="792"/>
      <c r="Z258" s="745"/>
      <c r="AA258" s="744"/>
      <c r="AB258" s="744"/>
      <c r="AC258" s="744"/>
      <c r="AD258" s="744"/>
      <c r="AE258" s="744"/>
      <c r="AF258" s="744"/>
      <c r="AG258" s="744"/>
      <c r="AH258" s="744"/>
      <c r="AI258" s="744"/>
      <c r="AJ258" s="744"/>
      <c r="AK258" s="792"/>
      <c r="AL258" s="744"/>
      <c r="AM258" s="744"/>
    </row>
    <row r="259" spans="1:40" x14ac:dyDescent="0.25">
      <c r="A259" s="740" t="s">
        <v>272</v>
      </c>
      <c r="C259" s="744"/>
      <c r="D259" s="744"/>
      <c r="E259" s="744"/>
      <c r="F259" s="745"/>
      <c r="G259" s="744"/>
      <c r="H259" s="744"/>
      <c r="I259" s="744"/>
      <c r="J259" s="745"/>
      <c r="K259" s="744"/>
      <c r="L259" s="744"/>
      <c r="M259" s="744"/>
      <c r="N259" s="745"/>
      <c r="O259" s="744"/>
      <c r="P259" s="744"/>
      <c r="Q259" s="744"/>
      <c r="R259" s="745"/>
      <c r="S259" s="744"/>
      <c r="T259" s="744"/>
      <c r="U259" s="744"/>
      <c r="V259" s="744"/>
      <c r="W259" s="985"/>
      <c r="X259" s="744"/>
      <c r="Y259" s="792"/>
      <c r="Z259" s="745"/>
      <c r="AA259" s="744"/>
      <c r="AB259" s="744"/>
      <c r="AC259" s="744"/>
      <c r="AD259" s="744"/>
      <c r="AE259" s="744"/>
      <c r="AF259" s="744"/>
      <c r="AG259" s="744"/>
      <c r="AH259" s="744"/>
      <c r="AI259" s="744"/>
      <c r="AJ259" s="744"/>
      <c r="AK259" s="792"/>
      <c r="AL259" s="744"/>
      <c r="AM259" s="744"/>
    </row>
    <row r="260" spans="1:40" x14ac:dyDescent="0.25">
      <c r="C260" s="744"/>
      <c r="D260" s="744"/>
      <c r="E260" s="744"/>
      <c r="F260" s="745"/>
      <c r="G260" s="744"/>
      <c r="H260" s="744"/>
      <c r="I260" s="744"/>
      <c r="J260" s="745"/>
      <c r="K260" s="744"/>
      <c r="L260" s="744"/>
      <c r="M260" s="744"/>
      <c r="N260" s="745"/>
      <c r="O260" s="744"/>
      <c r="P260" s="744"/>
      <c r="Q260" s="744"/>
      <c r="R260" s="745"/>
      <c r="S260" s="744"/>
      <c r="T260" s="744"/>
      <c r="U260" s="744"/>
      <c r="V260" s="744"/>
      <c r="W260" s="985"/>
      <c r="X260" s="744"/>
      <c r="Y260" s="792"/>
      <c r="Z260" s="745"/>
      <c r="AA260" s="744"/>
      <c r="AB260" s="744"/>
      <c r="AC260" s="744"/>
      <c r="AD260" s="744"/>
      <c r="AE260" s="744"/>
      <c r="AF260" s="744"/>
      <c r="AG260" s="744"/>
      <c r="AH260" s="744"/>
      <c r="AI260" s="744"/>
      <c r="AJ260" s="744"/>
      <c r="AK260" s="792"/>
      <c r="AL260" s="744"/>
      <c r="AM260" s="744"/>
    </row>
    <row r="261" spans="1:40" x14ac:dyDescent="0.25">
      <c r="A261" s="783" t="s">
        <v>28</v>
      </c>
      <c r="C261" s="846"/>
      <c r="D261" s="846"/>
      <c r="E261" s="846"/>
      <c r="F261" s="847"/>
      <c r="G261" s="848"/>
      <c r="H261" s="848"/>
      <c r="I261" s="848"/>
      <c r="J261" s="847"/>
      <c r="K261" s="848"/>
      <c r="L261" s="848"/>
      <c r="M261" s="848"/>
      <c r="N261" s="847"/>
      <c r="O261" s="848"/>
      <c r="P261" s="848"/>
      <c r="Q261" s="848"/>
      <c r="R261" s="847"/>
      <c r="S261" s="848"/>
      <c r="T261" s="848"/>
      <c r="U261" s="848"/>
      <c r="V261" s="848"/>
      <c r="W261" s="1417"/>
      <c r="X261" s="848"/>
      <c r="Y261" s="849"/>
      <c r="Z261" s="847"/>
      <c r="AA261" s="848"/>
      <c r="AB261" s="848"/>
      <c r="AC261" s="848"/>
      <c r="AD261" s="848"/>
      <c r="AE261" s="848"/>
      <c r="AF261" s="848"/>
      <c r="AG261" s="848"/>
      <c r="AH261" s="848"/>
      <c r="AI261" s="848"/>
      <c r="AJ261" s="848"/>
      <c r="AK261" s="849"/>
      <c r="AL261" s="846"/>
      <c r="AM261" s="846"/>
      <c r="AN261" s="850"/>
    </row>
    <row r="262" spans="1:40" x14ac:dyDescent="0.25">
      <c r="A262" s="460" t="s">
        <v>213</v>
      </c>
      <c r="C262" s="851"/>
      <c r="D262" s="851"/>
      <c r="E262" s="851"/>
      <c r="F262" s="852"/>
      <c r="G262" s="851">
        <f>+'FA - Detailed Disclosure'!G97</f>
        <v>98.267999999999986</v>
      </c>
      <c r="H262" s="851">
        <f>+'FA - Detailed Disclosure'!H97</f>
        <v>94.208999999999989</v>
      </c>
      <c r="I262" s="851">
        <f>+'FA - Detailed Disclosure'!I97</f>
        <v>125.75699999999999</v>
      </c>
      <c r="J262" s="852">
        <f>+'FA - Detailed Disclosure'!J97</f>
        <v>144.17900000000003</v>
      </c>
      <c r="K262" s="851">
        <f>+'FA - Detailed Disclosure'!K97</f>
        <v>116.52399999999999</v>
      </c>
      <c r="L262" s="851">
        <f>+'FA - Detailed Disclosure'!L97</f>
        <v>146.29999999999998</v>
      </c>
      <c r="M262" s="851">
        <f>+'FA - Detailed Disclosure'!M97</f>
        <v>158.97199999999998</v>
      </c>
      <c r="N262" s="852">
        <f>+'FA - Detailed Disclosure'!N97</f>
        <v>182.61700000000002</v>
      </c>
      <c r="O262" s="851">
        <f>+'FA - Detailed Disclosure'!O97</f>
        <v>160.08799999999999</v>
      </c>
      <c r="P262" s="851">
        <f>+'FA - Detailed Disclosure'!P97</f>
        <v>170.59100000000001</v>
      </c>
      <c r="Q262" s="851">
        <f>+'FA - Detailed Disclosure'!Q97</f>
        <v>176.09100000000001</v>
      </c>
      <c r="R262" s="852">
        <f>+'FA - Detailed Disclosure'!R97</f>
        <v>188.095</v>
      </c>
      <c r="S262" s="851">
        <f>+'FA - Detailed Disclosure'!S97</f>
        <v>152.05600000000001</v>
      </c>
      <c r="T262" s="851">
        <f>+'FA - Detailed Disclosure'!T97</f>
        <v>162.68199999999999</v>
      </c>
      <c r="U262" s="851">
        <f>+'FA - Detailed Disclosure'!U97</f>
        <v>176.04599999999999</v>
      </c>
      <c r="V262" s="851">
        <f t="shared" ref="V262:Z262" si="847">+V150</f>
        <v>182.29</v>
      </c>
      <c r="W262" s="1418">
        <f t="shared" si="847"/>
        <v>149.12700000000001</v>
      </c>
      <c r="X262" s="851">
        <f t="shared" ref="X262:Y262" si="848">+X150</f>
        <v>162.37799999999999</v>
      </c>
      <c r="Y262" s="853">
        <f t="shared" si="848"/>
        <v>174.905</v>
      </c>
      <c r="Z262" s="852">
        <f t="shared" si="847"/>
        <v>187.7587</v>
      </c>
      <c r="AA262" s="851">
        <f t="shared" ref="AA262:AD262" si="849">+AA150</f>
        <v>156.58335000000002</v>
      </c>
      <c r="AB262" s="851">
        <f t="shared" si="849"/>
        <v>172.12067999999999</v>
      </c>
      <c r="AC262" s="851">
        <f t="shared" si="849"/>
        <v>187.14835000000002</v>
      </c>
      <c r="AD262" s="851">
        <f t="shared" si="849"/>
        <v>202.77939600000002</v>
      </c>
      <c r="AE262" s="851"/>
      <c r="AF262" s="851">
        <f>+'FA - Detailed Disclosure'!AH97</f>
        <v>0</v>
      </c>
      <c r="AG262" s="851">
        <f>+'FA - Detailed Disclosure'!AI97</f>
        <v>423.16399999999999</v>
      </c>
      <c r="AH262" s="851">
        <f>+'FA - Detailed Disclosure'!AJ97</f>
        <v>462.41300000000001</v>
      </c>
      <c r="AI262" s="851">
        <f>+'FA - Detailed Disclosure'!AK97</f>
        <v>604.41300000000001</v>
      </c>
      <c r="AJ262" s="851">
        <f>+'FA - Detailed Disclosure'!AL97</f>
        <v>694.86500000000001</v>
      </c>
      <c r="AK262" s="849">
        <f>+AK150</f>
        <v>673.07399999999996</v>
      </c>
      <c r="AL262" s="846">
        <f>SUM(W262:Z262)</f>
        <v>674.16869999999994</v>
      </c>
      <c r="AM262" s="846">
        <f>+SUM(AA262:AD262)</f>
        <v>718.63177600000006</v>
      </c>
      <c r="AN262" s="850"/>
    </row>
    <row r="263" spans="1:40" x14ac:dyDescent="0.25">
      <c r="A263" s="460" t="s">
        <v>214</v>
      </c>
      <c r="C263" s="851"/>
      <c r="D263" s="851"/>
      <c r="E263" s="851"/>
      <c r="F263" s="852"/>
      <c r="G263" s="851">
        <f>+'FA - Detailed Disclosure'!G98</f>
        <v>13.509999999999998</v>
      </c>
      <c r="H263" s="851">
        <f>+'FA - Detailed Disclosure'!H98</f>
        <v>11.499000000000001</v>
      </c>
      <c r="I263" s="851">
        <f>+'FA - Detailed Disclosure'!I98</f>
        <v>11.991</v>
      </c>
      <c r="J263" s="852">
        <f>+'FA - Detailed Disclosure'!J98</f>
        <v>13.482999999999997</v>
      </c>
      <c r="K263" s="851">
        <f>+'FA - Detailed Disclosure'!K98</f>
        <v>16.562000000000001</v>
      </c>
      <c r="L263" s="851">
        <f>+'FA - Detailed Disclosure'!L98</f>
        <v>30.08</v>
      </c>
      <c r="M263" s="851">
        <f>+'FA - Detailed Disclosure'!M98</f>
        <v>35.594999999999999</v>
      </c>
      <c r="N263" s="852">
        <f>+'FA - Detailed Disclosure'!N98</f>
        <v>31.771999999999998</v>
      </c>
      <c r="O263" s="851">
        <f>+'FA - Detailed Disclosure'!O98</f>
        <v>31.741</v>
      </c>
      <c r="P263" s="851">
        <f>+'FA - Detailed Disclosure'!P98</f>
        <v>33.043999999999997</v>
      </c>
      <c r="Q263" s="851">
        <f>+'FA - Detailed Disclosure'!Q98</f>
        <v>31.628</v>
      </c>
      <c r="R263" s="852">
        <f>+'FA - Detailed Disclosure'!R98</f>
        <v>26.187000000000001</v>
      </c>
      <c r="S263" s="851">
        <f>+'FA - Detailed Disclosure'!S98</f>
        <v>24.847999999999999</v>
      </c>
      <c r="T263" s="851">
        <f>+'FA - Detailed Disclosure'!T98</f>
        <v>24.113</v>
      </c>
      <c r="U263" s="851">
        <f>+'FA - Detailed Disclosure'!U98</f>
        <v>25.805</v>
      </c>
      <c r="V263" s="851">
        <f t="shared" ref="V263:Z263" si="850">+V151</f>
        <v>22.065000000000001</v>
      </c>
      <c r="W263" s="1418">
        <f t="shared" si="850"/>
        <v>22.023</v>
      </c>
      <c r="X263" s="851">
        <f t="shared" ref="X263:Y263" si="851">+X151</f>
        <v>24.187000000000001</v>
      </c>
      <c r="Y263" s="853">
        <f t="shared" si="851"/>
        <v>26.623999999999999</v>
      </c>
      <c r="Z263" s="852">
        <f t="shared" si="850"/>
        <v>22.471939235971025</v>
      </c>
      <c r="AA263" s="851">
        <f t="shared" ref="AA263:AD263" si="852">+AA151</f>
        <v>23.579016954873026</v>
      </c>
      <c r="AB263" s="851">
        <f t="shared" si="852"/>
        <v>26.015519501480998</v>
      </c>
      <c r="AC263" s="851">
        <f t="shared" si="852"/>
        <v>29.394212025046183</v>
      </c>
      <c r="AD263" s="851">
        <f t="shared" si="852"/>
        <v>24.708757078276363</v>
      </c>
      <c r="AE263" s="851"/>
      <c r="AF263" s="851">
        <f>+'FA - Detailed Disclosure'!AH98</f>
        <v>0</v>
      </c>
      <c r="AG263" s="851">
        <f>+'FA - Detailed Disclosure'!AI98</f>
        <v>62.948</v>
      </c>
      <c r="AH263" s="851">
        <f>+'FA - Detailed Disclosure'!AJ98</f>
        <v>50.482999999999997</v>
      </c>
      <c r="AI263" s="851">
        <f>+'FA - Detailed Disclosure'!AK98</f>
        <v>114.00899999999999</v>
      </c>
      <c r="AJ263" s="851">
        <f>+'FA - Detailed Disclosure'!AL98</f>
        <v>122.6</v>
      </c>
      <c r="AK263" s="849">
        <f>+AK151</f>
        <v>96.830999999999989</v>
      </c>
      <c r="AL263" s="846">
        <f>SUM(W263:Z263)</f>
        <v>95.305939235971024</v>
      </c>
      <c r="AM263" s="846">
        <f t="shared" ref="AM263:AM264" si="853">+SUM(AA263:AD263)</f>
        <v>103.69750555967657</v>
      </c>
      <c r="AN263" s="850"/>
    </row>
    <row r="264" spans="1:40" s="802" customFormat="1" ht="13" x14ac:dyDescent="0.4">
      <c r="A264" s="460" t="s">
        <v>215</v>
      </c>
      <c r="C264" s="854"/>
      <c r="D264" s="854"/>
      <c r="E264" s="854"/>
      <c r="F264" s="855"/>
      <c r="G264" s="854">
        <f>+'FA - Detailed Disclosure'!G99</f>
        <v>-0.93900000000000028</v>
      </c>
      <c r="H264" s="854">
        <f>+'FA - Detailed Disclosure'!H99</f>
        <v>-0.71499999999999997</v>
      </c>
      <c r="I264" s="854">
        <f>+'FA - Detailed Disclosure'!I99</f>
        <v>-0.97</v>
      </c>
      <c r="J264" s="855">
        <f>+'FA - Detailed Disclosure'!J99</f>
        <v>-1.1179999999999994</v>
      </c>
      <c r="K264" s="854">
        <f>+'FA - Detailed Disclosure'!K99</f>
        <v>-1.016</v>
      </c>
      <c r="L264" s="854">
        <f>+'FA - Detailed Disclosure'!L99</f>
        <v>-1.554</v>
      </c>
      <c r="M264" s="854">
        <f>+'FA - Detailed Disclosure'!M99</f>
        <v>-1.7</v>
      </c>
      <c r="N264" s="855">
        <f>+'FA - Detailed Disclosure'!N99</f>
        <v>-1.857</v>
      </c>
      <c r="O264" s="854">
        <f>+'FA - Detailed Disclosure'!O99</f>
        <v>-1.948</v>
      </c>
      <c r="P264" s="854">
        <f>+'FA - Detailed Disclosure'!P99</f>
        <v>-2.0739999999999998</v>
      </c>
      <c r="Q264" s="854">
        <f>+'FA - Detailed Disclosure'!Q99</f>
        <v>-1.7330000000000001</v>
      </c>
      <c r="R264" s="855">
        <f>+'FA - Detailed Disclosure'!R99</f>
        <v>-1.6870000000000001</v>
      </c>
      <c r="S264" s="854">
        <f>+'FA - Detailed Disclosure'!S99</f>
        <v>-1.3839999999999999</v>
      </c>
      <c r="T264" s="854">
        <f>+'FA - Detailed Disclosure'!T99</f>
        <v>-1.48</v>
      </c>
      <c r="U264" s="854">
        <f>+'FA - Detailed Disclosure'!U99</f>
        <v>-1.4870000000000001</v>
      </c>
      <c r="V264" s="854">
        <f t="shared" ref="V264:Z264" si="854">+V152</f>
        <v>-1.7929999999999999</v>
      </c>
      <c r="W264" s="1419">
        <f t="shared" si="854"/>
        <v>-1.734</v>
      </c>
      <c r="X264" s="854">
        <f t="shared" ref="X264:Y264" si="855">+X152</f>
        <v>-2.0190000000000001</v>
      </c>
      <c r="Y264" s="1461">
        <f t="shared" si="855"/>
        <v>-2.4099999999999966</v>
      </c>
      <c r="Z264" s="855">
        <f t="shared" si="854"/>
        <v>-2</v>
      </c>
      <c r="AA264" s="854">
        <f t="shared" ref="AA264:AD264" si="856">+AA152</f>
        <v>-1.8253084680090554</v>
      </c>
      <c r="AB264" s="854">
        <f t="shared" si="856"/>
        <v>-2.1442231222013248</v>
      </c>
      <c r="AC264" s="854">
        <f t="shared" si="856"/>
        <v>-2.58954083273554</v>
      </c>
      <c r="AD264" s="854">
        <f t="shared" si="856"/>
        <v>-2.1641769620738756</v>
      </c>
      <c r="AE264" s="854"/>
      <c r="AF264" s="854">
        <f>+'FA - Detailed Disclosure'!AH99</f>
        <v>0</v>
      </c>
      <c r="AG264" s="854">
        <f>+'FA - Detailed Disclosure'!AI99</f>
        <v>-4.3449999999999998</v>
      </c>
      <c r="AH264" s="854">
        <f>+'FA - Detailed Disclosure'!AJ99</f>
        <v>-3.742</v>
      </c>
      <c r="AI264" s="854">
        <f>+'FA - Detailed Disclosure'!AK99</f>
        <v>-6.1270000000000007</v>
      </c>
      <c r="AJ264" s="854">
        <f>+'FA - Detailed Disclosure'!AL99</f>
        <v>-7.4420000000000011</v>
      </c>
      <c r="AK264" s="866">
        <f>+AK152</f>
        <v>-6.1440000000000001</v>
      </c>
      <c r="AL264" s="856">
        <f>SUM(W264:Z264)</f>
        <v>-8.1629999999999967</v>
      </c>
      <c r="AM264" s="856">
        <f t="shared" si="853"/>
        <v>-8.7232493850197965</v>
      </c>
      <c r="AN264" s="857"/>
    </row>
    <row r="265" spans="1:40" s="470" customFormat="1" x14ac:dyDescent="0.25">
      <c r="A265" s="505" t="s">
        <v>216</v>
      </c>
      <c r="C265" s="858">
        <f>+'FA - Detailed Disclosure'!C100</f>
        <v>109.687</v>
      </c>
      <c r="D265" s="858">
        <f>+'FA - Detailed Disclosure'!D100</f>
        <v>121.621</v>
      </c>
      <c r="E265" s="858">
        <f>+'FA - Detailed Disclosure'!E100</f>
        <v>123.76900000000001</v>
      </c>
      <c r="F265" s="859">
        <f>+'FA - Detailed Disclosure'!F100</f>
        <v>126.69</v>
      </c>
      <c r="G265" s="858">
        <f>+'FA - Detailed Disclosure'!G100</f>
        <v>110.839</v>
      </c>
      <c r="H265" s="858">
        <f>+'FA - Detailed Disclosure'!H100</f>
        <v>104.99299999999999</v>
      </c>
      <c r="I265" s="858">
        <f>+'FA - Detailed Disclosure'!I100</f>
        <v>136.77799999999999</v>
      </c>
      <c r="J265" s="859">
        <f>+'FA - Detailed Disclosure'!J100</f>
        <v>156.54400000000001</v>
      </c>
      <c r="K265" s="858">
        <f>+'FA - Detailed Disclosure'!K100</f>
        <v>132.07</v>
      </c>
      <c r="L265" s="858">
        <f>+'FA - Detailed Disclosure'!L100</f>
        <v>174.82599999999999</v>
      </c>
      <c r="M265" s="858">
        <f>+'FA - Detailed Disclosure'!M100</f>
        <v>192.86699999999999</v>
      </c>
      <c r="N265" s="859">
        <f>+'FA - Detailed Disclosure'!N100</f>
        <v>212.53200000000001</v>
      </c>
      <c r="O265" s="858">
        <f>+'FA - Detailed Disclosure'!O100</f>
        <v>189.881</v>
      </c>
      <c r="P265" s="858">
        <f>+'FA - Detailed Disclosure'!P100</f>
        <v>201.56100000000001</v>
      </c>
      <c r="Q265" s="858">
        <f>+'FA - Detailed Disclosure'!Q100</f>
        <v>205.98599999999999</v>
      </c>
      <c r="R265" s="859">
        <f>+'FA - Detailed Disclosure'!R100</f>
        <v>212.595</v>
      </c>
      <c r="S265" s="858">
        <f>+'FA - Detailed Disclosure'!S100</f>
        <v>175.52</v>
      </c>
      <c r="T265" s="858">
        <f>+'FA - Detailed Disclosure'!T100</f>
        <v>185.315</v>
      </c>
      <c r="U265" s="858">
        <f>+'FA - Detailed Disclosure'!U100</f>
        <v>200.364</v>
      </c>
      <c r="V265" s="858">
        <f t="shared" ref="V265:Z265" si="857">+V153</f>
        <v>202.56199999999998</v>
      </c>
      <c r="W265" s="1420">
        <f t="shared" si="857"/>
        <v>169.416</v>
      </c>
      <c r="X265" s="858">
        <f t="shared" ref="X265:Y265" si="858">+X153</f>
        <v>184.54599999999999</v>
      </c>
      <c r="Y265" s="1462">
        <f t="shared" si="858"/>
        <v>199.119</v>
      </c>
      <c r="Z265" s="859">
        <f t="shared" si="857"/>
        <v>208.23063923597104</v>
      </c>
      <c r="AA265" s="858">
        <f t="shared" ref="AA265:AD265" si="859">+AA153</f>
        <v>178.33705848686398</v>
      </c>
      <c r="AB265" s="858">
        <f t="shared" si="859"/>
        <v>195.99197637927966</v>
      </c>
      <c r="AC265" s="858">
        <f t="shared" si="859"/>
        <v>213.95302119231067</v>
      </c>
      <c r="AD265" s="858">
        <f t="shared" si="859"/>
        <v>225.32397611620252</v>
      </c>
      <c r="AE265" s="858"/>
      <c r="AF265" s="858"/>
      <c r="AG265" s="858">
        <f>+SUM(AG262:AG264)</f>
        <v>481.76699999999994</v>
      </c>
      <c r="AH265" s="858">
        <f>+SUM(AH262:AH264)</f>
        <v>509.15399999999994</v>
      </c>
      <c r="AI265" s="858">
        <f>SUM(K265:N265)</f>
        <v>712.29499999999996</v>
      </c>
      <c r="AJ265" s="858">
        <f>+SUM(O265:R265)</f>
        <v>810.02300000000002</v>
      </c>
      <c r="AK265" s="1180">
        <f>+AK153</f>
        <v>763.76100000000008</v>
      </c>
      <c r="AL265" s="860">
        <f>SUM(W265:Z265)</f>
        <v>761.31163923597103</v>
      </c>
      <c r="AM265" s="860">
        <f>+SUM(AA265:AD265)</f>
        <v>813.60603217465678</v>
      </c>
      <c r="AN265" s="861"/>
    </row>
    <row r="266" spans="1:40" x14ac:dyDescent="0.25">
      <c r="C266" s="846"/>
      <c r="D266" s="846"/>
      <c r="E266" s="846"/>
      <c r="F266" s="847"/>
      <c r="G266" s="848"/>
      <c r="H266" s="848"/>
      <c r="I266" s="848"/>
      <c r="J266" s="847"/>
      <c r="K266" s="848"/>
      <c r="L266" s="848"/>
      <c r="M266" s="848"/>
      <c r="N266" s="847"/>
      <c r="O266" s="848"/>
      <c r="P266" s="848"/>
      <c r="Q266" s="848"/>
      <c r="R266" s="847"/>
      <c r="S266" s="848"/>
      <c r="T266" s="848"/>
      <c r="U266" s="848"/>
      <c r="V266" s="848"/>
      <c r="W266" s="1417"/>
      <c r="X266" s="848"/>
      <c r="Y266" s="849"/>
      <c r="Z266" s="847"/>
      <c r="AA266" s="848"/>
      <c r="AB266" s="848"/>
      <c r="AC266" s="848"/>
      <c r="AD266" s="848"/>
      <c r="AE266" s="848"/>
      <c r="AF266" s="848"/>
      <c r="AG266" s="848"/>
      <c r="AH266" s="848"/>
      <c r="AI266" s="848"/>
      <c r="AJ266" s="848"/>
      <c r="AK266" s="849"/>
      <c r="AL266" s="846"/>
      <c r="AM266" s="846"/>
      <c r="AN266" s="850"/>
    </row>
    <row r="267" spans="1:40" ht="12" x14ac:dyDescent="0.3">
      <c r="A267" s="782" t="s">
        <v>29</v>
      </c>
      <c r="B267" s="470"/>
      <c r="C267" s="736"/>
      <c r="D267" s="736"/>
      <c r="E267" s="736"/>
      <c r="F267" s="752"/>
      <c r="G267" s="689"/>
      <c r="H267" s="689"/>
      <c r="I267" s="689"/>
      <c r="J267" s="779"/>
      <c r="K267" s="689"/>
      <c r="L267" s="689"/>
      <c r="M267" s="689"/>
      <c r="N267" s="779"/>
      <c r="O267" s="689"/>
      <c r="P267" s="689"/>
      <c r="Q267" s="689"/>
      <c r="R267" s="779"/>
      <c r="S267" s="689"/>
      <c r="T267" s="736"/>
      <c r="U267" s="736"/>
      <c r="V267" s="736"/>
      <c r="W267" s="986"/>
      <c r="X267" s="736"/>
      <c r="Y267" s="754"/>
      <c r="Z267" s="752"/>
      <c r="AA267" s="736"/>
      <c r="AB267" s="736"/>
      <c r="AC267" s="736"/>
      <c r="AD267" s="736"/>
      <c r="AE267" s="736"/>
      <c r="AF267" s="689"/>
      <c r="AG267" s="689"/>
      <c r="AH267" s="689"/>
      <c r="AI267" s="689"/>
      <c r="AJ267" s="689"/>
      <c r="AK267" s="781"/>
      <c r="AL267" s="689"/>
      <c r="AM267" s="689"/>
    </row>
    <row r="268" spans="1:40" ht="12" x14ac:dyDescent="0.3">
      <c r="A268" s="778" t="s">
        <v>213</v>
      </c>
      <c r="B268" s="470"/>
      <c r="C268" s="736"/>
      <c r="D268" s="736"/>
      <c r="E268" s="736"/>
      <c r="F268" s="752"/>
      <c r="G268" s="689"/>
      <c r="H268" s="689"/>
      <c r="I268" s="689"/>
      <c r="J268" s="779"/>
      <c r="K268" s="689">
        <f>+K262/G262-1</f>
        <v>0.18577766923108241</v>
      </c>
      <c r="L268" s="689">
        <f t="shared" ref="L268:S268" si="860">+L262/H262-1</f>
        <v>0.55293018713710995</v>
      </c>
      <c r="M268" s="689">
        <f t="shared" si="860"/>
        <v>0.2641204863347566</v>
      </c>
      <c r="N268" s="779">
        <f t="shared" si="860"/>
        <v>0.26659915799110823</v>
      </c>
      <c r="O268" s="689">
        <f t="shared" si="860"/>
        <v>0.373862895197556</v>
      </c>
      <c r="P268" s="689">
        <f t="shared" si="860"/>
        <v>0.16603554340396465</v>
      </c>
      <c r="Q268" s="689">
        <f t="shared" si="860"/>
        <v>0.10768563017386734</v>
      </c>
      <c r="R268" s="779">
        <f t="shared" si="860"/>
        <v>2.9997207269859771E-2</v>
      </c>
      <c r="S268" s="689">
        <f t="shared" si="860"/>
        <v>-5.017240517715249E-2</v>
      </c>
      <c r="T268" s="689">
        <f t="shared" ref="T268:T271" si="861">+T262/P262-1</f>
        <v>-4.636235205843231E-2</v>
      </c>
      <c r="U268" s="689">
        <f t="shared" ref="U268:U271" si="862">+U262/Q262-1</f>
        <v>-2.5554968737762085E-4</v>
      </c>
      <c r="V268" s="689">
        <f t="shared" ref="V268:V271" si="863">+V262/R262-1</f>
        <v>-3.0862064382360055E-2</v>
      </c>
      <c r="W268" s="991">
        <f t="shared" ref="W268:W271" si="864">+W262/S262-1</f>
        <v>-1.9262640079970583E-2</v>
      </c>
      <c r="X268" s="689">
        <f t="shared" ref="X268:X271" si="865">+X262/T262-1</f>
        <v>-1.8686763132983453E-3</v>
      </c>
      <c r="Y268" s="781">
        <f t="shared" ref="Y268:Y271" si="866">+Y262/U262-1</f>
        <v>-6.4812605796211731E-3</v>
      </c>
      <c r="Z268" s="779">
        <f t="shared" ref="Z268:Z271" si="867">+Z262/V262-1</f>
        <v>3.0000000000000027E-2</v>
      </c>
      <c r="AA268" s="689">
        <f t="shared" ref="AA268:AA271" si="868">+AA262/W262-1</f>
        <v>5.0000000000000044E-2</v>
      </c>
      <c r="AB268" s="689">
        <f t="shared" ref="AB268:AB271" si="869">+AB262/X262-1</f>
        <v>6.0000000000000053E-2</v>
      </c>
      <c r="AC268" s="689">
        <f t="shared" ref="AC268:AC271" si="870">+AC262/Y262-1</f>
        <v>7.0000000000000062E-2</v>
      </c>
      <c r="AD268" s="689">
        <f t="shared" ref="AD268:AD271" si="871">+AD262/Z262-1</f>
        <v>8.0000000000000071E-2</v>
      </c>
      <c r="AE268" s="689"/>
      <c r="AF268" s="689"/>
      <c r="AG268" s="689"/>
      <c r="AH268" s="689">
        <f>+AH262/AG262-1</f>
        <v>9.2751273737841755E-2</v>
      </c>
      <c r="AI268" s="689">
        <f t="shared" ref="AI268:AJ268" si="872">+AI262/AH262-1</f>
        <v>0.30708479216631024</v>
      </c>
      <c r="AJ268" s="689">
        <f t="shared" si="872"/>
        <v>0.1496526381795229</v>
      </c>
      <c r="AK268" s="781">
        <f t="shared" ref="AK268" si="873">+AK262/AJ262-1</f>
        <v>-3.1360048354716508E-2</v>
      </c>
      <c r="AL268" s="689">
        <f t="shared" ref="AL268:AL271" si="874">+AL262/AK262-1</f>
        <v>1.626418491874615E-3</v>
      </c>
      <c r="AM268" s="689">
        <f t="shared" ref="AM268:AM271" si="875">+AM262/AL262-1</f>
        <v>6.5952447807203329E-2</v>
      </c>
    </row>
    <row r="269" spans="1:40" ht="12" x14ac:dyDescent="0.3">
      <c r="A269" s="778" t="s">
        <v>214</v>
      </c>
      <c r="B269" s="470"/>
      <c r="C269" s="736"/>
      <c r="D269" s="736"/>
      <c r="E269" s="736"/>
      <c r="F269" s="752"/>
      <c r="G269" s="689"/>
      <c r="H269" s="689"/>
      <c r="I269" s="689"/>
      <c r="J269" s="779"/>
      <c r="K269" s="689">
        <f t="shared" ref="K269:S271" si="876">+K263/G263-1</f>
        <v>0.22590673575129561</v>
      </c>
      <c r="L269" s="689">
        <f t="shared" si="876"/>
        <v>1.6158796417079744</v>
      </c>
      <c r="M269" s="689">
        <f t="shared" si="876"/>
        <v>1.9684763572679511</v>
      </c>
      <c r="N269" s="779">
        <f t="shared" si="876"/>
        <v>1.3564488615293335</v>
      </c>
      <c r="O269" s="689">
        <f t="shared" si="876"/>
        <v>0.91649559231976796</v>
      </c>
      <c r="P269" s="689">
        <f t="shared" si="876"/>
        <v>9.8537234042553212E-2</v>
      </c>
      <c r="Q269" s="689">
        <f t="shared" si="876"/>
        <v>-0.11144823711195384</v>
      </c>
      <c r="R269" s="779">
        <f t="shared" si="876"/>
        <v>-0.1757837089260984</v>
      </c>
      <c r="S269" s="689">
        <f t="shared" si="876"/>
        <v>-0.21716392048139632</v>
      </c>
      <c r="T269" s="689">
        <f t="shared" si="861"/>
        <v>-0.27027599564217397</v>
      </c>
      <c r="U269" s="689">
        <f t="shared" si="862"/>
        <v>-0.1841090173264196</v>
      </c>
      <c r="V269" s="689">
        <f t="shared" si="863"/>
        <v>-0.15740634666055675</v>
      </c>
      <c r="W269" s="991">
        <f t="shared" si="864"/>
        <v>-0.11369124275595621</v>
      </c>
      <c r="X269" s="689">
        <f t="shared" si="865"/>
        <v>3.0688840044790222E-3</v>
      </c>
      <c r="Y269" s="781">
        <f t="shared" si="866"/>
        <v>3.1738035264483599E-2</v>
      </c>
      <c r="Z269" s="779">
        <f t="shared" si="867"/>
        <v>1.8442748061229253E-2</v>
      </c>
      <c r="AA269" s="689">
        <f t="shared" si="868"/>
        <v>7.0654177672116791E-2</v>
      </c>
      <c r="AB269" s="689">
        <f t="shared" si="869"/>
        <v>7.5599268263157882E-2</v>
      </c>
      <c r="AC269" s="689">
        <f t="shared" si="870"/>
        <v>0.10404943002727562</v>
      </c>
      <c r="AD269" s="689">
        <f t="shared" si="871"/>
        <v>9.9538264980925328E-2</v>
      </c>
      <c r="AE269" s="689"/>
      <c r="AF269" s="689"/>
      <c r="AG269" s="689"/>
      <c r="AH269" s="689">
        <f t="shared" ref="AH269:AJ271" si="877">+AH263/AG263-1</f>
        <v>-0.19802058842218984</v>
      </c>
      <c r="AI269" s="689">
        <f t="shared" si="877"/>
        <v>1.2583642018105103</v>
      </c>
      <c r="AJ269" s="689">
        <f t="shared" si="877"/>
        <v>7.5353700146479685E-2</v>
      </c>
      <c r="AK269" s="781">
        <f t="shared" ref="AK269" si="878">+AK263/AJ263-1</f>
        <v>-0.21018760195758568</v>
      </c>
      <c r="AL269" s="689">
        <f t="shared" si="874"/>
        <v>-1.5749716144922266E-2</v>
      </c>
      <c r="AM269" s="689">
        <f t="shared" si="875"/>
        <v>8.804872383586293E-2</v>
      </c>
    </row>
    <row r="270" spans="1:40" ht="12" x14ac:dyDescent="0.3">
      <c r="A270" s="778" t="s">
        <v>215</v>
      </c>
      <c r="B270" s="470"/>
      <c r="C270" s="736"/>
      <c r="D270" s="736"/>
      <c r="E270" s="736"/>
      <c r="F270" s="752"/>
      <c r="G270" s="786"/>
      <c r="H270" s="786"/>
      <c r="I270" s="786"/>
      <c r="J270" s="787"/>
      <c r="K270" s="786">
        <f t="shared" si="876"/>
        <v>8.2002129925452305E-2</v>
      </c>
      <c r="L270" s="786">
        <f t="shared" si="876"/>
        <v>1.1734265734265734</v>
      </c>
      <c r="M270" s="786">
        <f t="shared" si="876"/>
        <v>0.75257731958762886</v>
      </c>
      <c r="N270" s="787">
        <f t="shared" si="876"/>
        <v>0.66100178890876649</v>
      </c>
      <c r="O270" s="786">
        <f t="shared" si="876"/>
        <v>0.91732283464566922</v>
      </c>
      <c r="P270" s="786">
        <f t="shared" si="876"/>
        <v>0.33462033462033447</v>
      </c>
      <c r="Q270" s="786">
        <f t="shared" si="876"/>
        <v>1.9411764705882462E-2</v>
      </c>
      <c r="R270" s="787">
        <f t="shared" si="876"/>
        <v>-9.1545503500269243E-2</v>
      </c>
      <c r="S270" s="786">
        <f t="shared" si="876"/>
        <v>-0.28952772073921973</v>
      </c>
      <c r="T270" s="786">
        <f t="shared" si="861"/>
        <v>-0.2864030858244937</v>
      </c>
      <c r="U270" s="786">
        <f t="shared" si="862"/>
        <v>-0.14195037507212926</v>
      </c>
      <c r="V270" s="786">
        <f t="shared" si="863"/>
        <v>6.2833432128037936E-2</v>
      </c>
      <c r="W270" s="992">
        <f t="shared" si="864"/>
        <v>0.25289017341040476</v>
      </c>
      <c r="X270" s="786">
        <f t="shared" si="865"/>
        <v>0.3641891891891893</v>
      </c>
      <c r="Y270" s="788">
        <f t="shared" si="866"/>
        <v>0.62071284465366272</v>
      </c>
      <c r="Z270" s="787">
        <f t="shared" si="867"/>
        <v>0.11544896820970441</v>
      </c>
      <c r="AA270" s="786">
        <f t="shared" si="868"/>
        <v>5.2657709347782911E-2</v>
      </c>
      <c r="AB270" s="786">
        <f t="shared" si="869"/>
        <v>6.2022348787184045E-2</v>
      </c>
      <c r="AC270" s="786">
        <f t="shared" si="870"/>
        <v>7.4498270844624015E-2</v>
      </c>
      <c r="AD270" s="786">
        <f t="shared" si="871"/>
        <v>8.2088481036937777E-2</v>
      </c>
      <c r="AE270" s="786"/>
      <c r="AF270" s="786"/>
      <c r="AG270" s="786"/>
      <c r="AH270" s="786">
        <f t="shared" si="877"/>
        <v>-0.13878020713463746</v>
      </c>
      <c r="AI270" s="786">
        <f t="shared" si="877"/>
        <v>0.63735970069481573</v>
      </c>
      <c r="AJ270" s="786">
        <f t="shared" si="877"/>
        <v>0.2146237963114086</v>
      </c>
      <c r="AK270" s="788">
        <f t="shared" ref="AK270" si="879">+AK264/AJ264-1</f>
        <v>-0.17441547970975557</v>
      </c>
      <c r="AL270" s="786">
        <f t="shared" si="874"/>
        <v>0.32861328124999933</v>
      </c>
      <c r="AM270" s="786">
        <f t="shared" si="875"/>
        <v>6.8632780230283075E-2</v>
      </c>
    </row>
    <row r="271" spans="1:40" s="470" customFormat="1" x14ac:dyDescent="0.25">
      <c r="A271" s="766" t="s">
        <v>216</v>
      </c>
      <c r="C271" s="767"/>
      <c r="D271" s="767"/>
      <c r="E271" s="767"/>
      <c r="F271" s="768"/>
      <c r="G271" s="769">
        <f t="shared" ref="G271:J271" si="880">+G265/C265-1</f>
        <v>1.0502611977718512E-2</v>
      </c>
      <c r="H271" s="769">
        <f t="shared" si="880"/>
        <v>-0.13671980990125066</v>
      </c>
      <c r="I271" s="769">
        <f t="shared" si="880"/>
        <v>0.10510709466829327</v>
      </c>
      <c r="J271" s="770">
        <f t="shared" si="880"/>
        <v>0.23564606519851616</v>
      </c>
      <c r="K271" s="769">
        <f t="shared" si="876"/>
        <v>0.19154810130008393</v>
      </c>
      <c r="L271" s="769">
        <f t="shared" si="876"/>
        <v>0.66512053184498021</v>
      </c>
      <c r="M271" s="769">
        <f t="shared" si="876"/>
        <v>0.41007325739519507</v>
      </c>
      <c r="N271" s="770">
        <f t="shared" si="876"/>
        <v>0.35765024529844647</v>
      </c>
      <c r="O271" s="769">
        <f t="shared" si="876"/>
        <v>0.43772999167108351</v>
      </c>
      <c r="P271" s="769">
        <f t="shared" si="876"/>
        <v>0.15292347820118302</v>
      </c>
      <c r="Q271" s="769">
        <f t="shared" si="876"/>
        <v>6.8020967817200351E-2</v>
      </c>
      <c r="R271" s="770">
        <f t="shared" si="876"/>
        <v>2.9642594997447702E-4</v>
      </c>
      <c r="S271" s="769">
        <f t="shared" si="876"/>
        <v>-7.5631579778914104E-2</v>
      </c>
      <c r="T271" s="769">
        <f t="shared" si="861"/>
        <v>-8.06009098982442E-2</v>
      </c>
      <c r="U271" s="769">
        <f t="shared" si="862"/>
        <v>-2.7293117007951895E-2</v>
      </c>
      <c r="V271" s="769">
        <f t="shared" si="863"/>
        <v>-4.7193019591241669E-2</v>
      </c>
      <c r="W271" s="989">
        <f t="shared" si="864"/>
        <v>-3.4776663628076632E-2</v>
      </c>
      <c r="X271" s="769">
        <f t="shared" si="865"/>
        <v>-4.1496910665623776E-3</v>
      </c>
      <c r="Y271" s="772">
        <f t="shared" si="866"/>
        <v>-6.2136910822303548E-3</v>
      </c>
      <c r="Z271" s="770">
        <f t="shared" si="867"/>
        <v>2.7984712018893187E-2</v>
      </c>
      <c r="AA271" s="769">
        <f t="shared" si="868"/>
        <v>5.2657709347782911E-2</v>
      </c>
      <c r="AB271" s="769">
        <f t="shared" si="869"/>
        <v>6.2022348787184045E-2</v>
      </c>
      <c r="AC271" s="769">
        <f t="shared" si="870"/>
        <v>7.4498270844624015E-2</v>
      </c>
      <c r="AD271" s="769">
        <f t="shared" si="871"/>
        <v>8.2088481036937999E-2</v>
      </c>
      <c r="AE271" s="769"/>
      <c r="AF271" s="769"/>
      <c r="AG271" s="769"/>
      <c r="AH271" s="769">
        <f t="shared" si="877"/>
        <v>5.684698204733829E-2</v>
      </c>
      <c r="AI271" s="769">
        <f t="shared" si="877"/>
        <v>0.39897751957168182</v>
      </c>
      <c r="AJ271" s="769">
        <f t="shared" si="877"/>
        <v>0.13720158080570566</v>
      </c>
      <c r="AK271" s="772">
        <f t="shared" ref="AK271" si="881">+AK265/AJ265-1</f>
        <v>-5.7111958549325048E-2</v>
      </c>
      <c r="AL271" s="769">
        <f t="shared" si="874"/>
        <v>-3.2069728148321763E-3</v>
      </c>
      <c r="AM271" s="769">
        <f t="shared" si="875"/>
        <v>6.8689863971036713E-2</v>
      </c>
    </row>
    <row r="272" spans="1:40" s="470" customFormat="1" x14ac:dyDescent="0.25">
      <c r="A272" s="766"/>
      <c r="C272" s="767"/>
      <c r="D272" s="767"/>
      <c r="E272" s="767"/>
      <c r="F272" s="768"/>
      <c r="G272" s="769"/>
      <c r="H272" s="769"/>
      <c r="I272" s="769"/>
      <c r="J272" s="770"/>
      <c r="K272" s="769"/>
      <c r="L272" s="769"/>
      <c r="M272" s="769"/>
      <c r="N272" s="770"/>
      <c r="O272" s="769"/>
      <c r="P272" s="769"/>
      <c r="Q272" s="769"/>
      <c r="R272" s="770"/>
      <c r="S272" s="769"/>
      <c r="T272" s="769"/>
      <c r="U272" s="769"/>
      <c r="V272" s="769"/>
      <c r="W272" s="989"/>
      <c r="X272" s="769"/>
      <c r="Y272" s="772"/>
      <c r="Z272" s="770"/>
      <c r="AA272" s="769"/>
      <c r="AB272" s="769"/>
      <c r="AC272" s="769"/>
      <c r="AD272" s="769"/>
      <c r="AE272" s="767"/>
      <c r="AF272" s="769"/>
      <c r="AG272" s="769"/>
      <c r="AH272" s="769"/>
      <c r="AI272" s="769"/>
      <c r="AJ272" s="769"/>
      <c r="AK272" s="772"/>
      <c r="AL272" s="769"/>
      <c r="AM272" s="769"/>
    </row>
    <row r="273" spans="1:40" x14ac:dyDescent="0.25">
      <c r="A273" s="783" t="s">
        <v>273</v>
      </c>
      <c r="C273" s="846"/>
      <c r="D273" s="846"/>
      <c r="E273" s="846"/>
      <c r="F273" s="847"/>
      <c r="G273" s="848"/>
      <c r="H273" s="848"/>
      <c r="I273" s="848"/>
      <c r="J273" s="847"/>
      <c r="K273" s="848"/>
      <c r="L273" s="848"/>
      <c r="M273" s="848"/>
      <c r="N273" s="847"/>
      <c r="O273" s="848"/>
      <c r="P273" s="848"/>
      <c r="Q273" s="848"/>
      <c r="R273" s="847"/>
      <c r="S273" s="848"/>
      <c r="T273" s="1026"/>
      <c r="U273" s="848"/>
      <c r="V273" s="848"/>
      <c r="W273" s="1417"/>
      <c r="X273" s="1026"/>
      <c r="Y273" s="849"/>
      <c r="Z273" s="847"/>
      <c r="AA273" s="848"/>
      <c r="AB273" s="848"/>
      <c r="AC273" s="848"/>
      <c r="AD273" s="848"/>
      <c r="AE273" s="848"/>
      <c r="AF273" s="848"/>
      <c r="AG273" s="848"/>
      <c r="AH273" s="848"/>
      <c r="AI273" s="848"/>
      <c r="AJ273" s="848"/>
      <c r="AK273" s="849"/>
      <c r="AL273" s="846"/>
      <c r="AM273" s="846"/>
      <c r="AN273" s="850"/>
    </row>
    <row r="274" spans="1:40" x14ac:dyDescent="0.25">
      <c r="A274" s="460" t="s">
        <v>213</v>
      </c>
      <c r="C274" s="851"/>
      <c r="D274" s="851"/>
      <c r="E274" s="851"/>
      <c r="F274" s="852"/>
      <c r="G274" s="851"/>
      <c r="H274" s="851"/>
      <c r="I274" s="851"/>
      <c r="J274" s="852"/>
      <c r="K274" s="851">
        <f>+K262-K304</f>
        <v>82.676999999999992</v>
      </c>
      <c r="L274" s="851">
        <f t="shared" ref="L274:S274" si="882">+L262-L304</f>
        <v>97.091999999999985</v>
      </c>
      <c r="M274" s="851">
        <f t="shared" si="882"/>
        <v>105.74899999999998</v>
      </c>
      <c r="N274" s="852">
        <f t="shared" si="882"/>
        <v>120.42200000000003</v>
      </c>
      <c r="O274" s="851">
        <f t="shared" si="882"/>
        <v>113.26899999999999</v>
      </c>
      <c r="P274" s="851">
        <f t="shared" si="882"/>
        <v>117.637</v>
      </c>
      <c r="Q274" s="851">
        <f t="shared" si="882"/>
        <v>118.88600000000001</v>
      </c>
      <c r="R274" s="852">
        <f t="shared" si="882"/>
        <v>123.41800000000001</v>
      </c>
      <c r="S274" s="851">
        <f t="shared" si="882"/>
        <v>107.4</v>
      </c>
      <c r="T274" s="1027">
        <f t="shared" ref="T274" si="883">+T262-T304</f>
        <v>110.35799999999999</v>
      </c>
      <c r="U274" s="851">
        <f>+U262-U304</f>
        <v>115.85799999999999</v>
      </c>
      <c r="V274" s="851">
        <f t="shared" ref="V274" si="884">+V262-V304</f>
        <v>117.81299999999999</v>
      </c>
      <c r="W274" s="1418">
        <f>+W262-W304</f>
        <v>105.45800000000001</v>
      </c>
      <c r="X274" s="1027">
        <f t="shared" ref="X274:Y274" si="885">+X262-X304</f>
        <v>110.78399999999999</v>
      </c>
      <c r="Y274" s="853">
        <f t="shared" si="885"/>
        <v>116.268</v>
      </c>
      <c r="Z274" s="852"/>
      <c r="AA274" s="851"/>
      <c r="AB274" s="851"/>
      <c r="AC274" s="851"/>
      <c r="AD274" s="851"/>
      <c r="AE274" s="851"/>
      <c r="AF274" s="851"/>
      <c r="AG274" s="851"/>
      <c r="AH274" s="851">
        <f t="shared" ref="AH274:AJ274" si="886">+AH262-AH304</f>
        <v>320.64</v>
      </c>
      <c r="AI274" s="851">
        <f t="shared" si="886"/>
        <v>405.94</v>
      </c>
      <c r="AJ274" s="851">
        <f t="shared" si="886"/>
        <v>473.21000000000004</v>
      </c>
      <c r="AK274" s="849">
        <f t="shared" ref="AK274" si="887">+AK262-AK304</f>
        <v>451.42899999999997</v>
      </c>
      <c r="AL274" s="846"/>
      <c r="AM274" s="846"/>
      <c r="AN274" s="850"/>
    </row>
    <row r="275" spans="1:40" x14ac:dyDescent="0.25">
      <c r="A275" s="460" t="s">
        <v>214</v>
      </c>
      <c r="C275" s="851"/>
      <c r="D275" s="851"/>
      <c r="E275" s="851"/>
      <c r="F275" s="852"/>
      <c r="G275" s="851"/>
      <c r="H275" s="851"/>
      <c r="I275" s="851"/>
      <c r="J275" s="852"/>
      <c r="K275" s="851">
        <f t="shared" ref="K275:S275" si="888">+K263-K305</f>
        <v>13.819000000000001</v>
      </c>
      <c r="L275" s="851">
        <f t="shared" si="888"/>
        <v>22.965999999999998</v>
      </c>
      <c r="M275" s="851">
        <f t="shared" si="888"/>
        <v>24.873999999999999</v>
      </c>
      <c r="N275" s="852">
        <f t="shared" si="888"/>
        <v>25.094999999999999</v>
      </c>
      <c r="O275" s="851">
        <f t="shared" si="888"/>
        <v>24.96</v>
      </c>
      <c r="P275" s="851">
        <f t="shared" si="888"/>
        <v>25.163999999999998</v>
      </c>
      <c r="Q275" s="851">
        <f t="shared" si="888"/>
        <v>24.645</v>
      </c>
      <c r="R275" s="852">
        <f t="shared" si="888"/>
        <v>20.576000000000001</v>
      </c>
      <c r="S275" s="851">
        <f t="shared" si="888"/>
        <v>20.943999999999999</v>
      </c>
      <c r="T275" s="1027">
        <f t="shared" ref="T275:U275" si="889">+T263-T305</f>
        <v>20.466000000000001</v>
      </c>
      <c r="U275" s="851">
        <f t="shared" si="889"/>
        <v>21.201999999999998</v>
      </c>
      <c r="V275" s="851">
        <f t="shared" ref="V275:W275" si="890">+V263-V305</f>
        <v>18.308</v>
      </c>
      <c r="W275" s="1418">
        <f t="shared" si="890"/>
        <v>19.134</v>
      </c>
      <c r="X275" s="1027">
        <f t="shared" ref="X275:Y275" si="891">+X263-X305</f>
        <v>20.020000000000003</v>
      </c>
      <c r="Y275" s="853">
        <f t="shared" si="891"/>
        <v>21.215</v>
      </c>
      <c r="Z275" s="852"/>
      <c r="AA275" s="851"/>
      <c r="AB275" s="851"/>
      <c r="AC275" s="851"/>
      <c r="AD275" s="851"/>
      <c r="AE275" s="851"/>
      <c r="AF275" s="851"/>
      <c r="AG275" s="851"/>
      <c r="AH275" s="851">
        <f t="shared" ref="AH275:AJ275" si="892">+AH263-AH305</f>
        <v>45.457999999999998</v>
      </c>
      <c r="AI275" s="851">
        <f t="shared" si="892"/>
        <v>86.187999999999988</v>
      </c>
      <c r="AJ275" s="851">
        <f t="shared" si="892"/>
        <v>95.344999999999999</v>
      </c>
      <c r="AK275" s="849">
        <f t="shared" ref="AK275" si="893">+AK263-AK305</f>
        <v>80.919999999999987</v>
      </c>
      <c r="AL275" s="846"/>
      <c r="AM275" s="846"/>
      <c r="AN275" s="850"/>
    </row>
    <row r="276" spans="1:40" s="802" customFormat="1" ht="13" x14ac:dyDescent="0.4">
      <c r="A276" s="460" t="s">
        <v>215</v>
      </c>
      <c r="C276" s="854"/>
      <c r="D276" s="854"/>
      <c r="E276" s="854"/>
      <c r="F276" s="855"/>
      <c r="G276" s="854"/>
      <c r="H276" s="854"/>
      <c r="I276" s="854"/>
      <c r="J276" s="855"/>
      <c r="K276" s="854">
        <f t="shared" ref="K276:S276" si="894">+K264-K306</f>
        <v>-1.016</v>
      </c>
      <c r="L276" s="854">
        <f t="shared" si="894"/>
        <v>-1.554</v>
      </c>
      <c r="M276" s="854">
        <f t="shared" si="894"/>
        <v>-1.7</v>
      </c>
      <c r="N276" s="855">
        <f t="shared" si="894"/>
        <v>-1.857</v>
      </c>
      <c r="O276" s="854">
        <f t="shared" si="894"/>
        <v>-1.948</v>
      </c>
      <c r="P276" s="854">
        <f t="shared" si="894"/>
        <v>-2.0739999999999998</v>
      </c>
      <c r="Q276" s="854">
        <f t="shared" si="894"/>
        <v>-1.7330000000000001</v>
      </c>
      <c r="R276" s="855">
        <f t="shared" si="894"/>
        <v>-1.6870000000000001</v>
      </c>
      <c r="S276" s="854">
        <f t="shared" si="894"/>
        <v>-1.3839999999999999</v>
      </c>
      <c r="T276" s="1028">
        <f t="shared" ref="T276:U276" si="895">+T264-T306</f>
        <v>-1.48</v>
      </c>
      <c r="U276" s="854">
        <f t="shared" si="895"/>
        <v>-1.4870000000000001</v>
      </c>
      <c r="V276" s="1028">
        <f t="shared" ref="V276:W276" si="896">+V264-V306</f>
        <v>-1.7929999999999999</v>
      </c>
      <c r="W276" s="1428">
        <f t="shared" si="896"/>
        <v>-1.734</v>
      </c>
      <c r="X276" s="1028">
        <f t="shared" ref="X276:Y276" si="897">+X264-X306</f>
        <v>-2.0190000000000001</v>
      </c>
      <c r="Y276" s="1461">
        <f t="shared" si="897"/>
        <v>-2.4099999999999966</v>
      </c>
      <c r="Z276" s="855"/>
      <c r="AA276" s="854"/>
      <c r="AB276" s="854"/>
      <c r="AC276" s="854"/>
      <c r="AD276" s="854"/>
      <c r="AE276" s="854"/>
      <c r="AF276" s="854"/>
      <c r="AG276" s="854"/>
      <c r="AH276" s="854">
        <f t="shared" ref="AH276:AJ276" si="898">+AH264-AH306</f>
        <v>-3.742</v>
      </c>
      <c r="AI276" s="854">
        <f t="shared" si="898"/>
        <v>-6.1270000000000007</v>
      </c>
      <c r="AJ276" s="854">
        <f t="shared" si="898"/>
        <v>-7.4420000000000011</v>
      </c>
      <c r="AK276" s="866">
        <f t="shared" ref="AK276" si="899">+AK264-AK306</f>
        <v>-6.1440000000000001</v>
      </c>
      <c r="AL276" s="856"/>
      <c r="AM276" s="856"/>
      <c r="AN276" s="857"/>
    </row>
    <row r="277" spans="1:40" s="470" customFormat="1" x14ac:dyDescent="0.25">
      <c r="A277" s="505" t="s">
        <v>274</v>
      </c>
      <c r="C277" s="858">
        <f t="shared" ref="C277:J277" si="900">+C265-C307</f>
        <v>84.594999999999999</v>
      </c>
      <c r="D277" s="858">
        <f t="shared" si="900"/>
        <v>88.259</v>
      </c>
      <c r="E277" s="858">
        <f t="shared" si="900"/>
        <v>90.27800000000002</v>
      </c>
      <c r="F277" s="859">
        <f t="shared" si="900"/>
        <v>94.861999999999995</v>
      </c>
      <c r="G277" s="858">
        <f t="shared" si="900"/>
        <v>83.628</v>
      </c>
      <c r="H277" s="858">
        <f t="shared" si="900"/>
        <v>73.337999999999994</v>
      </c>
      <c r="I277" s="858">
        <f t="shared" si="900"/>
        <v>93.490999999999985</v>
      </c>
      <c r="J277" s="859">
        <f t="shared" si="900"/>
        <v>111.89900000000002</v>
      </c>
      <c r="K277" s="858">
        <f t="shared" ref="K277:V277" si="901">+K265-K307</f>
        <v>95.47999999999999</v>
      </c>
      <c r="L277" s="858">
        <f t="shared" si="901"/>
        <v>118.50399999999999</v>
      </c>
      <c r="M277" s="858">
        <f t="shared" si="901"/>
        <v>128.923</v>
      </c>
      <c r="N277" s="859">
        <f t="shared" si="901"/>
        <v>143.66000000000003</v>
      </c>
      <c r="O277" s="858">
        <f t="shared" si="901"/>
        <v>136.28100000000001</v>
      </c>
      <c r="P277" s="858">
        <f t="shared" si="901"/>
        <v>140.727</v>
      </c>
      <c r="Q277" s="858">
        <f t="shared" si="901"/>
        <v>141.798</v>
      </c>
      <c r="R277" s="859">
        <f t="shared" si="901"/>
        <v>142.30700000000002</v>
      </c>
      <c r="S277" s="858">
        <f t="shared" si="901"/>
        <v>126.96000000000001</v>
      </c>
      <c r="T277" s="1029">
        <f t="shared" ref="T277:U277" si="902">+T265-T307</f>
        <v>129.34399999999999</v>
      </c>
      <c r="U277" s="858">
        <f t="shared" si="902"/>
        <v>135.57300000000001</v>
      </c>
      <c r="V277" s="1029">
        <f t="shared" si="901"/>
        <v>134.32799999999997</v>
      </c>
      <c r="W277" s="1429">
        <f t="shared" ref="W277:X277" si="903">+W265-W307</f>
        <v>122.858</v>
      </c>
      <c r="X277" s="1029">
        <f t="shared" si="903"/>
        <v>128.785</v>
      </c>
      <c r="Y277" s="1462">
        <f t="shared" ref="Y277" si="904">+Y265-Y307</f>
        <v>135.07299999999998</v>
      </c>
      <c r="Z277" s="859">
        <f t="shared" ref="Z277" si="905">+Z265-Z307</f>
        <v>137.91731961798553</v>
      </c>
      <c r="AA277" s="858">
        <f t="shared" ref="AA277:AD277" si="906">+AA265-AA307</f>
        <v>126.32346894077168</v>
      </c>
      <c r="AB277" s="858">
        <f t="shared" si="906"/>
        <v>134.30459259391154</v>
      </c>
      <c r="AC277" s="858">
        <f t="shared" si="906"/>
        <v>143.13072976683031</v>
      </c>
      <c r="AD277" s="858">
        <f t="shared" si="906"/>
        <v>148.15408805810125</v>
      </c>
      <c r="AE277" s="858"/>
      <c r="AF277" s="858"/>
      <c r="AG277" s="858">
        <f t="shared" ref="AG277:AJ277" si="907">+AG265-AG307</f>
        <v>357.99399999999991</v>
      </c>
      <c r="AH277" s="858">
        <f t="shared" si="907"/>
        <v>362.35599999999994</v>
      </c>
      <c r="AI277" s="858">
        <f t="shared" si="907"/>
        <v>486.00099999999998</v>
      </c>
      <c r="AJ277" s="858">
        <f t="shared" si="907"/>
        <v>561.11300000000006</v>
      </c>
      <c r="AK277" s="1180">
        <f t="shared" ref="AK277" si="908">+AK265-AK307</f>
        <v>526.20500000000004</v>
      </c>
      <c r="AL277" s="860">
        <f>SUM(W277:Z277)</f>
        <v>524.63331961798553</v>
      </c>
      <c r="AM277" s="860">
        <f>+SUM(AA277:AD277)</f>
        <v>551.91287935961475</v>
      </c>
      <c r="AN277" s="861"/>
    </row>
    <row r="278" spans="1:40" x14ac:dyDescent="0.25">
      <c r="C278" s="846"/>
      <c r="D278" s="846"/>
      <c r="E278" s="846"/>
      <c r="F278" s="847"/>
      <c r="G278" s="848"/>
      <c r="H278" s="848"/>
      <c r="I278" s="848"/>
      <c r="J278" s="847"/>
      <c r="K278" s="848"/>
      <c r="L278" s="848"/>
      <c r="M278" s="848"/>
      <c r="N278" s="847"/>
      <c r="O278" s="848"/>
      <c r="P278" s="848"/>
      <c r="Q278" s="848"/>
      <c r="R278" s="847"/>
      <c r="S278" s="848"/>
      <c r="T278" s="1030"/>
      <c r="U278" s="848"/>
      <c r="V278" s="1030"/>
      <c r="W278" s="1417"/>
      <c r="X278" s="1030"/>
      <c r="Y278" s="849"/>
      <c r="Z278" s="847"/>
      <c r="AA278" s="848"/>
      <c r="AB278" s="848"/>
      <c r="AC278" s="848"/>
      <c r="AD278" s="848"/>
      <c r="AE278" s="848"/>
      <c r="AF278" s="848"/>
      <c r="AG278" s="848"/>
      <c r="AH278" s="848"/>
      <c r="AI278" s="848"/>
      <c r="AJ278" s="848"/>
      <c r="AK278" s="849"/>
      <c r="AL278" s="846"/>
      <c r="AM278" s="846"/>
      <c r="AN278" s="850"/>
    </row>
    <row r="279" spans="1:40" ht="12" x14ac:dyDescent="0.3">
      <c r="A279" s="782" t="s">
        <v>29</v>
      </c>
      <c r="B279" s="470"/>
      <c r="C279" s="736"/>
      <c r="D279" s="736"/>
      <c r="E279" s="736"/>
      <c r="F279" s="752"/>
      <c r="G279" s="689"/>
      <c r="H279" s="689"/>
      <c r="I279" s="689"/>
      <c r="J279" s="779"/>
      <c r="K279" s="689"/>
      <c r="L279" s="689"/>
      <c r="M279" s="689"/>
      <c r="N279" s="779"/>
      <c r="O279" s="689"/>
      <c r="P279" s="689"/>
      <c r="Q279" s="689"/>
      <c r="R279" s="779"/>
      <c r="S279" s="689"/>
      <c r="T279" s="689"/>
      <c r="U279" s="736"/>
      <c r="V279" s="736"/>
      <c r="W279" s="986"/>
      <c r="X279" s="689"/>
      <c r="Y279" s="754"/>
      <c r="Z279" s="752"/>
      <c r="AA279" s="736"/>
      <c r="AB279" s="736"/>
      <c r="AC279" s="736"/>
      <c r="AD279" s="736"/>
      <c r="AE279" s="736"/>
      <c r="AF279" s="689"/>
      <c r="AG279" s="689"/>
      <c r="AH279" s="689"/>
      <c r="AI279" s="689"/>
      <c r="AJ279" s="689"/>
      <c r="AK279" s="781"/>
      <c r="AL279" s="689"/>
      <c r="AM279" s="689"/>
    </row>
    <row r="280" spans="1:40" ht="12" x14ac:dyDescent="0.3">
      <c r="A280" s="778" t="s">
        <v>213</v>
      </c>
      <c r="B280" s="470"/>
      <c r="C280" s="736"/>
      <c r="D280" s="736"/>
      <c r="E280" s="736"/>
      <c r="F280" s="752"/>
      <c r="G280" s="689"/>
      <c r="H280" s="689"/>
      <c r="I280" s="689"/>
      <c r="J280" s="779"/>
      <c r="K280" s="689"/>
      <c r="L280" s="689"/>
      <c r="M280" s="689"/>
      <c r="N280" s="779"/>
      <c r="O280" s="689">
        <f t="shared" ref="O280:R280" si="909">+O274/K274-1</f>
        <v>0.37001826384605141</v>
      </c>
      <c r="P280" s="689">
        <f t="shared" si="909"/>
        <v>0.21160342767684281</v>
      </c>
      <c r="Q280" s="689">
        <f t="shared" si="909"/>
        <v>0.12422812508865366</v>
      </c>
      <c r="R280" s="779">
        <f t="shared" si="909"/>
        <v>2.4879174901595968E-2</v>
      </c>
      <c r="S280" s="689">
        <f>+S274/O274-1</f>
        <v>-5.1814706583442782E-2</v>
      </c>
      <c r="T280" s="689">
        <f>+T274/P274-1</f>
        <v>-6.1876790465584919E-2</v>
      </c>
      <c r="U280" s="689">
        <f t="shared" ref="U280:U283" si="910">+U274/Q274-1</f>
        <v>-2.5469777770301127E-2</v>
      </c>
      <c r="V280" s="689">
        <f t="shared" ref="V280:V283" si="911">+V274/R274-1</f>
        <v>-4.5414769320520687E-2</v>
      </c>
      <c r="W280" s="991">
        <f t="shared" ref="W280:W283" si="912">+W274/S274-1</f>
        <v>-1.8081936685288569E-2</v>
      </c>
      <c r="X280" s="689">
        <f t="shared" ref="X280:X283" si="913">+X274/T274-1</f>
        <v>3.8601641928994734E-3</v>
      </c>
      <c r="Y280" s="781">
        <f t="shared" ref="Y280:Y283" si="914">+Y274/U274-1</f>
        <v>3.5388147559944905E-3</v>
      </c>
      <c r="Z280" s="752"/>
      <c r="AA280" s="736"/>
      <c r="AB280" s="736"/>
      <c r="AC280" s="736"/>
      <c r="AD280" s="736"/>
      <c r="AE280" s="736"/>
      <c r="AF280" s="689"/>
      <c r="AG280" s="689"/>
      <c r="AH280" s="689"/>
      <c r="AI280" s="689">
        <f t="shared" ref="AI280" si="915">+AI274/AH274-1</f>
        <v>0.2660304391217565</v>
      </c>
      <c r="AJ280" s="689">
        <f>+AJ274/AI274-1</f>
        <v>0.16571414494752923</v>
      </c>
      <c r="AK280" s="781">
        <f t="shared" ref="AK280:AK283" si="916">+AK274/AJ274-1</f>
        <v>-4.6028190443989092E-2</v>
      </c>
      <c r="AL280" s="689"/>
      <c r="AM280" s="689"/>
    </row>
    <row r="281" spans="1:40" ht="12" x14ac:dyDescent="0.3">
      <c r="A281" s="778" t="s">
        <v>214</v>
      </c>
      <c r="B281" s="470"/>
      <c r="C281" s="736"/>
      <c r="D281" s="736"/>
      <c r="E281" s="736"/>
      <c r="F281" s="752"/>
      <c r="G281" s="689"/>
      <c r="H281" s="689"/>
      <c r="I281" s="689"/>
      <c r="J281" s="779"/>
      <c r="K281" s="689"/>
      <c r="L281" s="689"/>
      <c r="M281" s="689"/>
      <c r="N281" s="779"/>
      <c r="O281" s="689">
        <f t="shared" ref="O281:T281" si="917">+O275/K275-1</f>
        <v>0.80620884289745987</v>
      </c>
      <c r="P281" s="689">
        <f t="shared" si="917"/>
        <v>9.5706696856222351E-2</v>
      </c>
      <c r="Q281" s="689">
        <f t="shared" si="917"/>
        <v>-9.2064002572967985E-3</v>
      </c>
      <c r="R281" s="779">
        <f t="shared" si="917"/>
        <v>-0.18007571229328545</v>
      </c>
      <c r="S281" s="689">
        <f t="shared" si="917"/>
        <v>-0.16089743589743599</v>
      </c>
      <c r="T281" s="689">
        <f t="shared" si="917"/>
        <v>-0.18669527896995697</v>
      </c>
      <c r="U281" s="689">
        <f t="shared" si="910"/>
        <v>-0.13970379387299658</v>
      </c>
      <c r="V281" s="689">
        <f t="shared" si="911"/>
        <v>-0.11022550544323484</v>
      </c>
      <c r="W281" s="991">
        <f t="shared" si="912"/>
        <v>-8.6420932009167228E-2</v>
      </c>
      <c r="X281" s="689">
        <f t="shared" si="913"/>
        <v>-2.179224078960218E-2</v>
      </c>
      <c r="Y281" s="781">
        <f t="shared" si="914"/>
        <v>6.1314970285830661E-4</v>
      </c>
      <c r="Z281" s="752"/>
      <c r="AA281" s="736"/>
      <c r="AB281" s="736"/>
      <c r="AC281" s="736"/>
      <c r="AD281" s="736"/>
      <c r="AE281" s="736"/>
      <c r="AF281" s="689"/>
      <c r="AG281" s="689"/>
      <c r="AH281" s="689"/>
      <c r="AI281" s="689">
        <f t="shared" ref="AI281:AJ281" si="918">+AI275/AH275-1</f>
        <v>0.89599190461524914</v>
      </c>
      <c r="AJ281" s="689">
        <f t="shared" si="918"/>
        <v>0.10624448879194337</v>
      </c>
      <c r="AK281" s="781">
        <f t="shared" si="916"/>
        <v>-0.15129267397346491</v>
      </c>
      <c r="AL281" s="689"/>
      <c r="AM281" s="689"/>
    </row>
    <row r="282" spans="1:40" ht="12" x14ac:dyDescent="0.3">
      <c r="A282" s="778" t="s">
        <v>215</v>
      </c>
      <c r="B282" s="470"/>
      <c r="C282" s="736"/>
      <c r="D282" s="736"/>
      <c r="E282" s="736"/>
      <c r="F282" s="752"/>
      <c r="G282" s="786"/>
      <c r="H282" s="786"/>
      <c r="I282" s="786"/>
      <c r="J282" s="787"/>
      <c r="K282" s="786"/>
      <c r="L282" s="786"/>
      <c r="M282" s="786"/>
      <c r="N282" s="787"/>
      <c r="O282" s="786">
        <f t="shared" ref="O282:T282" si="919">+O276/K276-1</f>
        <v>0.91732283464566922</v>
      </c>
      <c r="P282" s="786">
        <f t="shared" si="919"/>
        <v>0.33462033462033447</v>
      </c>
      <c r="Q282" s="786">
        <f t="shared" si="919"/>
        <v>1.9411764705882462E-2</v>
      </c>
      <c r="R282" s="787">
        <f t="shared" si="919"/>
        <v>-9.1545503500269243E-2</v>
      </c>
      <c r="S282" s="786">
        <f t="shared" si="919"/>
        <v>-0.28952772073921973</v>
      </c>
      <c r="T282" s="786">
        <f t="shared" si="919"/>
        <v>-0.2864030858244937</v>
      </c>
      <c r="U282" s="786">
        <f t="shared" si="910"/>
        <v>-0.14195037507212926</v>
      </c>
      <c r="V282" s="786">
        <f t="shared" si="911"/>
        <v>6.2833432128037936E-2</v>
      </c>
      <c r="W282" s="992">
        <f t="shared" si="912"/>
        <v>0.25289017341040476</v>
      </c>
      <c r="X282" s="786">
        <f t="shared" si="913"/>
        <v>0.3641891891891893</v>
      </c>
      <c r="Y282" s="788">
        <f t="shared" si="914"/>
        <v>0.62071284465366272</v>
      </c>
      <c r="Z282" s="752"/>
      <c r="AA282" s="736"/>
      <c r="AB282" s="736"/>
      <c r="AC282" s="736"/>
      <c r="AD282" s="736"/>
      <c r="AE282" s="736"/>
      <c r="AF282" s="786"/>
      <c r="AG282" s="786"/>
      <c r="AH282" s="786"/>
      <c r="AI282" s="786">
        <f t="shared" ref="AI282:AJ282" si="920">+AI276/AH276-1</f>
        <v>0.63735970069481573</v>
      </c>
      <c r="AJ282" s="786">
        <f t="shared" si="920"/>
        <v>0.2146237963114086</v>
      </c>
      <c r="AK282" s="788">
        <f t="shared" si="916"/>
        <v>-0.17441547970975557</v>
      </c>
      <c r="AL282" s="689"/>
      <c r="AM282" s="689"/>
    </row>
    <row r="283" spans="1:40" s="470" customFormat="1" x14ac:dyDescent="0.25">
      <c r="A283" s="766" t="str">
        <f>+A277</f>
        <v>Total Adj. Opex and COGS ex-D&amp;A</v>
      </c>
      <c r="C283" s="769"/>
      <c r="D283" s="769"/>
      <c r="E283" s="769"/>
      <c r="F283" s="770"/>
      <c r="G283" s="769">
        <f t="shared" ref="G283" si="921">+G277/C277-1</f>
        <v>-1.1430935634493711E-2</v>
      </c>
      <c r="H283" s="769">
        <f t="shared" ref="H283" si="922">+H277/D277-1</f>
        <v>-0.16905924608255252</v>
      </c>
      <c r="I283" s="769">
        <f t="shared" ref="I283" si="923">+I277/E277-1</f>
        <v>3.5590066239836515E-2</v>
      </c>
      <c r="J283" s="770">
        <f t="shared" ref="J283" si="924">+J277/F277-1</f>
        <v>0.17959773144146252</v>
      </c>
      <c r="K283" s="769">
        <f t="shared" ref="K283:T283" si="925">+K277/G277-1</f>
        <v>0.14172286793896771</v>
      </c>
      <c r="L283" s="769">
        <f t="shared" si="925"/>
        <v>0.61586080885761807</v>
      </c>
      <c r="M283" s="769">
        <f t="shared" si="925"/>
        <v>0.37898835181996149</v>
      </c>
      <c r="N283" s="770">
        <f t="shared" si="925"/>
        <v>0.28383631667843323</v>
      </c>
      <c r="O283" s="769">
        <f t="shared" si="925"/>
        <v>0.42732509426057841</v>
      </c>
      <c r="P283" s="769">
        <f t="shared" si="925"/>
        <v>0.18752953486802149</v>
      </c>
      <c r="Q283" s="769">
        <f t="shared" si="925"/>
        <v>9.9865811375782432E-2</v>
      </c>
      <c r="R283" s="770">
        <f t="shared" si="925"/>
        <v>-9.418070444104143E-3</v>
      </c>
      <c r="S283" s="769">
        <f t="shared" si="925"/>
        <v>-6.839544764127059E-2</v>
      </c>
      <c r="T283" s="769">
        <f t="shared" si="925"/>
        <v>-8.0887107662353408E-2</v>
      </c>
      <c r="U283" s="769">
        <f t="shared" si="910"/>
        <v>-4.3900478144966781E-2</v>
      </c>
      <c r="V283" s="769">
        <f t="shared" si="911"/>
        <v>-5.6068921416374762E-2</v>
      </c>
      <c r="W283" s="989">
        <f t="shared" si="912"/>
        <v>-3.2309388783868909E-2</v>
      </c>
      <c r="X283" s="769">
        <f t="shared" si="913"/>
        <v>-4.3218085106382365E-3</v>
      </c>
      <c r="Y283" s="772">
        <f t="shared" si="914"/>
        <v>-3.6880499804535782E-3</v>
      </c>
      <c r="Z283" s="770">
        <f t="shared" ref="Z283" si="926">+Z277/V277-1</f>
        <v>2.6720561744279392E-2</v>
      </c>
      <c r="AA283" s="769">
        <f t="shared" ref="AA283" si="927">+AA277/W277-1</f>
        <v>2.8207108538081949E-2</v>
      </c>
      <c r="AB283" s="769">
        <f t="shared" ref="AB283" si="928">+AB277/X277-1</f>
        <v>4.2858971106196631E-2</v>
      </c>
      <c r="AC283" s="769">
        <f t="shared" ref="AC283" si="929">+AC277/Y277-1</f>
        <v>5.9654629473176346E-2</v>
      </c>
      <c r="AD283" s="769">
        <f t="shared" ref="AD283" si="930">+AD277/Z277-1</f>
        <v>7.4223951483906037E-2</v>
      </c>
      <c r="AE283" s="767"/>
      <c r="AF283" s="769"/>
      <c r="AG283" s="769"/>
      <c r="AH283" s="769">
        <f t="shared" ref="AH283:AJ283" si="931">+AH277/AG277-1</f>
        <v>1.2184561752431655E-2</v>
      </c>
      <c r="AI283" s="769">
        <f t="shared" si="931"/>
        <v>0.34122520394308387</v>
      </c>
      <c r="AJ283" s="769">
        <f t="shared" si="931"/>
        <v>0.15455112232279378</v>
      </c>
      <c r="AK283" s="772">
        <f t="shared" si="916"/>
        <v>-6.2212067800959892E-2</v>
      </c>
      <c r="AL283" s="769">
        <f t="shared" ref="AL283" si="932">+AL277/AK277-1</f>
        <v>-2.9868214517431158E-3</v>
      </c>
      <c r="AM283" s="769">
        <f t="shared" ref="AM283" si="933">+AM277/AL277-1</f>
        <v>5.1997383165623079E-2</v>
      </c>
    </row>
    <row r="284" spans="1:40" x14ac:dyDescent="0.25">
      <c r="C284" s="846"/>
      <c r="D284" s="846"/>
      <c r="E284" s="846"/>
      <c r="F284" s="847"/>
      <c r="G284" s="848"/>
      <c r="H284" s="848"/>
      <c r="I284" s="848"/>
      <c r="J284" s="847"/>
      <c r="K284" s="848"/>
      <c r="L284" s="848"/>
      <c r="M284" s="848"/>
      <c r="N284" s="847"/>
      <c r="O284" s="848"/>
      <c r="P284" s="848"/>
      <c r="Q284" s="848"/>
      <c r="R284" s="847"/>
      <c r="S284" s="848"/>
      <c r="T284" s="1030"/>
      <c r="U284" s="848"/>
      <c r="V284" s="1030"/>
      <c r="W284" s="1417"/>
      <c r="X284" s="1030"/>
      <c r="Y284" s="849"/>
      <c r="Z284" s="847"/>
      <c r="AA284" s="848"/>
      <c r="AB284" s="848"/>
      <c r="AC284" s="848"/>
      <c r="AD284" s="848"/>
      <c r="AE284" s="848"/>
      <c r="AF284" s="848"/>
      <c r="AG284" s="848"/>
      <c r="AH284" s="848"/>
      <c r="AI284" s="848"/>
      <c r="AJ284" s="848"/>
      <c r="AK284" s="849"/>
      <c r="AL284" s="846"/>
      <c r="AM284" s="846"/>
      <c r="AN284" s="850"/>
    </row>
    <row r="285" spans="1:40" ht="12" x14ac:dyDescent="0.3">
      <c r="A285" s="782" t="s">
        <v>228</v>
      </c>
      <c r="B285" s="470"/>
      <c r="C285" s="736"/>
      <c r="D285" s="736"/>
      <c r="E285" s="736"/>
      <c r="F285" s="752"/>
      <c r="G285" s="689"/>
      <c r="H285" s="689"/>
      <c r="I285" s="689"/>
      <c r="J285" s="779"/>
      <c r="K285" s="689"/>
      <c r="L285" s="689"/>
      <c r="M285" s="689"/>
      <c r="N285" s="779"/>
      <c r="O285" s="689"/>
      <c r="P285" s="689"/>
      <c r="Q285" s="689"/>
      <c r="R285" s="779"/>
      <c r="S285" s="689"/>
      <c r="T285" s="689"/>
      <c r="U285" s="736"/>
      <c r="V285" s="736"/>
      <c r="W285" s="986"/>
      <c r="X285" s="689"/>
      <c r="Y285" s="754"/>
      <c r="Z285" s="752"/>
      <c r="AA285" s="736"/>
      <c r="AB285" s="736"/>
      <c r="AC285" s="736"/>
      <c r="AD285" s="736"/>
      <c r="AE285" s="736"/>
      <c r="AF285" s="689"/>
      <c r="AG285" s="689"/>
      <c r="AH285" s="689"/>
      <c r="AI285" s="689"/>
      <c r="AJ285" s="689"/>
      <c r="AK285" s="781"/>
      <c r="AL285" s="689"/>
      <c r="AM285" s="689"/>
    </row>
    <row r="286" spans="1:40" ht="12" x14ac:dyDescent="0.3">
      <c r="A286" s="778" t="s">
        <v>213</v>
      </c>
      <c r="B286" s="470"/>
      <c r="C286" s="736"/>
      <c r="D286" s="736"/>
      <c r="E286" s="736"/>
      <c r="F286" s="752"/>
      <c r="G286" s="689"/>
      <c r="H286" s="689"/>
      <c r="I286" s="689"/>
      <c r="J286" s="779"/>
      <c r="K286" s="689"/>
      <c r="L286" s="689">
        <f t="shared" ref="L286:R286" si="934">+L274/K274-1</f>
        <v>0.17435320584926872</v>
      </c>
      <c r="M286" s="689">
        <f t="shared" si="934"/>
        <v>8.9162855848061717E-2</v>
      </c>
      <c r="N286" s="779">
        <f t="shared" si="934"/>
        <v>0.13875308513555717</v>
      </c>
      <c r="O286" s="689">
        <f t="shared" si="934"/>
        <v>-5.9399445284084584E-2</v>
      </c>
      <c r="P286" s="689">
        <f t="shared" si="934"/>
        <v>3.8563066681969627E-2</v>
      </c>
      <c r="Q286" s="689">
        <f t="shared" si="934"/>
        <v>1.0617407788366062E-2</v>
      </c>
      <c r="R286" s="779">
        <f t="shared" si="934"/>
        <v>3.8120552462022506E-2</v>
      </c>
      <c r="S286" s="689">
        <f>+S274/R274-1</f>
        <v>-0.12978657894310397</v>
      </c>
      <c r="T286" s="689">
        <f>+T274/S274-1</f>
        <v>2.7541899441340556E-2</v>
      </c>
      <c r="U286" s="689">
        <f t="shared" ref="U286:U289" si="935">+U274/T274-1</f>
        <v>4.9837800612551941E-2</v>
      </c>
      <c r="V286" s="689">
        <f t="shared" ref="V286:V289" si="936">+V274/U274-1</f>
        <v>1.6874104507241583E-2</v>
      </c>
      <c r="W286" s="991">
        <f t="shared" ref="W286:W289" si="937">+W274/V274-1</f>
        <v>-0.10486958145535707</v>
      </c>
      <c r="X286" s="689">
        <f t="shared" ref="X286:X289" si="938">+X274/W274-1</f>
        <v>5.0503517988203628E-2</v>
      </c>
      <c r="Y286" s="781">
        <f t="shared" ref="Y286:Y289" si="939">+Y274/X274-1</f>
        <v>4.9501733102253143E-2</v>
      </c>
      <c r="Z286" s="752"/>
      <c r="AA286" s="736"/>
      <c r="AB286" s="736"/>
      <c r="AC286" s="736"/>
      <c r="AD286" s="736"/>
      <c r="AE286" s="736"/>
      <c r="AF286" s="689"/>
      <c r="AG286" s="689"/>
      <c r="AH286" s="689"/>
      <c r="AI286" s="689">
        <f t="shared" ref="AI286" si="940">+AI280</f>
        <v>0.2660304391217565</v>
      </c>
      <c r="AJ286" s="689">
        <f>+AJ280</f>
        <v>0.16571414494752923</v>
      </c>
      <c r="AK286" s="781">
        <f t="shared" ref="AK286" si="941">+AK280</f>
        <v>-4.6028190443989092E-2</v>
      </c>
      <c r="AL286" s="689"/>
      <c r="AM286" s="689"/>
    </row>
    <row r="287" spans="1:40" ht="12" x14ac:dyDescent="0.3">
      <c r="A287" s="778" t="s">
        <v>214</v>
      </c>
      <c r="B287" s="470"/>
      <c r="C287" s="736"/>
      <c r="D287" s="736"/>
      <c r="E287" s="736"/>
      <c r="F287" s="752"/>
      <c r="G287" s="689"/>
      <c r="H287" s="689"/>
      <c r="I287" s="689"/>
      <c r="J287" s="779"/>
      <c r="K287" s="689"/>
      <c r="L287" s="689">
        <f t="shared" ref="L287:T287" si="942">+L275/K275-1</f>
        <v>0.66191475504739827</v>
      </c>
      <c r="M287" s="689">
        <f t="shared" si="942"/>
        <v>8.3079334668640703E-2</v>
      </c>
      <c r="N287" s="779">
        <f t="shared" si="942"/>
        <v>8.8847792876094456E-3</v>
      </c>
      <c r="O287" s="689">
        <f t="shared" si="942"/>
        <v>-5.3795576808128853E-3</v>
      </c>
      <c r="P287" s="689">
        <f t="shared" si="942"/>
        <v>8.173076923076783E-3</v>
      </c>
      <c r="Q287" s="689">
        <f t="shared" si="942"/>
        <v>-2.0624701955173963E-2</v>
      </c>
      <c r="R287" s="779">
        <f t="shared" si="942"/>
        <v>-0.16510448366808683</v>
      </c>
      <c r="S287" s="689">
        <f t="shared" si="942"/>
        <v>1.7884914463452528E-2</v>
      </c>
      <c r="T287" s="689">
        <f t="shared" si="942"/>
        <v>-2.2822765469824202E-2</v>
      </c>
      <c r="U287" s="689">
        <f t="shared" si="935"/>
        <v>3.5962083455487015E-2</v>
      </c>
      <c r="V287" s="689">
        <f t="shared" si="936"/>
        <v>-0.13649655692859153</v>
      </c>
      <c r="W287" s="991">
        <f t="shared" si="937"/>
        <v>4.5116888791784993E-2</v>
      </c>
      <c r="X287" s="689">
        <f t="shared" si="938"/>
        <v>4.6305006794188586E-2</v>
      </c>
      <c r="Y287" s="781">
        <f t="shared" si="939"/>
        <v>5.9690309690309418E-2</v>
      </c>
      <c r="Z287" s="752"/>
      <c r="AA287" s="736"/>
      <c r="AB287" s="736"/>
      <c r="AC287" s="736"/>
      <c r="AD287" s="736"/>
      <c r="AE287" s="736"/>
      <c r="AF287" s="689"/>
      <c r="AG287" s="689"/>
      <c r="AH287" s="689"/>
      <c r="AI287" s="689">
        <f t="shared" ref="AI287:AJ287" si="943">+AI281</f>
        <v>0.89599190461524914</v>
      </c>
      <c r="AJ287" s="689">
        <f t="shared" si="943"/>
        <v>0.10624448879194337</v>
      </c>
      <c r="AK287" s="781">
        <f t="shared" ref="AK287" si="944">+AK281</f>
        <v>-0.15129267397346491</v>
      </c>
      <c r="AL287" s="689"/>
      <c r="AM287" s="689"/>
    </row>
    <row r="288" spans="1:40" ht="12" x14ac:dyDescent="0.3">
      <c r="A288" s="778" t="s">
        <v>215</v>
      </c>
      <c r="B288" s="470"/>
      <c r="C288" s="736"/>
      <c r="D288" s="736"/>
      <c r="E288" s="736"/>
      <c r="F288" s="752"/>
      <c r="G288" s="786"/>
      <c r="H288" s="786"/>
      <c r="I288" s="786"/>
      <c r="J288" s="787"/>
      <c r="K288" s="786"/>
      <c r="L288" s="786">
        <f t="shared" ref="L288:T288" si="945">+L276/K276-1</f>
        <v>0.52952755905511806</v>
      </c>
      <c r="M288" s="786">
        <f t="shared" si="945"/>
        <v>9.3951093951093911E-2</v>
      </c>
      <c r="N288" s="787">
        <f t="shared" si="945"/>
        <v>9.2352941176470527E-2</v>
      </c>
      <c r="O288" s="786">
        <f t="shared" si="945"/>
        <v>4.9003769520732376E-2</v>
      </c>
      <c r="P288" s="786">
        <f t="shared" si="945"/>
        <v>6.468172484599588E-2</v>
      </c>
      <c r="Q288" s="786">
        <f t="shared" si="945"/>
        <v>-0.16441658630665368</v>
      </c>
      <c r="R288" s="787">
        <f t="shared" si="945"/>
        <v>-2.6543566070398206E-2</v>
      </c>
      <c r="S288" s="786">
        <f t="shared" si="945"/>
        <v>-0.17960877296976896</v>
      </c>
      <c r="T288" s="786">
        <f t="shared" si="945"/>
        <v>6.9364161849710948E-2</v>
      </c>
      <c r="U288" s="786">
        <f t="shared" si="935"/>
        <v>4.7297297297297369E-3</v>
      </c>
      <c r="V288" s="786">
        <f t="shared" si="936"/>
        <v>0.20578345662407527</v>
      </c>
      <c r="W288" s="992">
        <f t="shared" si="937"/>
        <v>-3.2905744562186201E-2</v>
      </c>
      <c r="X288" s="786">
        <f t="shared" si="938"/>
        <v>0.16435986159169569</v>
      </c>
      <c r="Y288" s="788">
        <f t="shared" si="939"/>
        <v>0.19366022783556036</v>
      </c>
      <c r="Z288" s="752"/>
      <c r="AA288" s="736"/>
      <c r="AB288" s="736"/>
      <c r="AC288" s="736"/>
      <c r="AD288" s="736"/>
      <c r="AE288" s="736"/>
      <c r="AF288" s="786"/>
      <c r="AG288" s="786"/>
      <c r="AH288" s="786"/>
      <c r="AI288" s="786">
        <f t="shared" ref="AI288:AJ288" si="946">+AI282</f>
        <v>0.63735970069481573</v>
      </c>
      <c r="AJ288" s="786">
        <f t="shared" si="946"/>
        <v>0.2146237963114086</v>
      </c>
      <c r="AK288" s="788">
        <f t="shared" ref="AK288" si="947">+AK282</f>
        <v>-0.17441547970975557</v>
      </c>
      <c r="AL288" s="689"/>
      <c r="AM288" s="689"/>
    </row>
    <row r="289" spans="1:40" s="470" customFormat="1" x14ac:dyDescent="0.25">
      <c r="A289" s="766" t="str">
        <f>+A283</f>
        <v>Total Adj. Opex and COGS ex-D&amp;A</v>
      </c>
      <c r="C289" s="769"/>
      <c r="D289" s="769">
        <f t="shared" ref="D289:T289" si="948">+D277/C277-1</f>
        <v>4.3312252497192505E-2</v>
      </c>
      <c r="E289" s="769">
        <f t="shared" si="948"/>
        <v>2.2875854020553366E-2</v>
      </c>
      <c r="F289" s="770">
        <f t="shared" si="948"/>
        <v>5.0776490396331031E-2</v>
      </c>
      <c r="G289" s="769">
        <f t="shared" si="948"/>
        <v>-0.11842465897830523</v>
      </c>
      <c r="H289" s="769">
        <f t="shared" si="948"/>
        <v>-0.12304491318697097</v>
      </c>
      <c r="I289" s="769">
        <f t="shared" si="948"/>
        <v>0.2747961493359512</v>
      </c>
      <c r="J289" s="770">
        <f t="shared" si="948"/>
        <v>0.19689595789969117</v>
      </c>
      <c r="K289" s="769">
        <f t="shared" si="948"/>
        <v>-0.14673053378493128</v>
      </c>
      <c r="L289" s="769">
        <f t="shared" si="948"/>
        <v>0.24113950565563469</v>
      </c>
      <c r="M289" s="769">
        <f t="shared" si="948"/>
        <v>8.7921082832647102E-2</v>
      </c>
      <c r="N289" s="770">
        <f t="shared" si="948"/>
        <v>0.11430854075688601</v>
      </c>
      <c r="O289" s="769">
        <f t="shared" si="948"/>
        <v>-5.1364332451621975E-2</v>
      </c>
      <c r="P289" s="769">
        <f t="shared" si="948"/>
        <v>3.2623770004622799E-2</v>
      </c>
      <c r="Q289" s="769">
        <f t="shared" si="948"/>
        <v>7.6104798652709693E-3</v>
      </c>
      <c r="R289" s="770">
        <f t="shared" si="948"/>
        <v>3.5896133937010077E-3</v>
      </c>
      <c r="S289" s="769">
        <f t="shared" si="948"/>
        <v>-0.10784430843177084</v>
      </c>
      <c r="T289" s="769">
        <f t="shared" si="948"/>
        <v>1.8777567737870093E-2</v>
      </c>
      <c r="U289" s="769">
        <f t="shared" si="935"/>
        <v>4.8158399307273836E-2</v>
      </c>
      <c r="V289" s="769">
        <f t="shared" si="936"/>
        <v>-9.183244451329009E-3</v>
      </c>
      <c r="W289" s="989">
        <f t="shared" si="937"/>
        <v>-8.5388005479125506E-2</v>
      </c>
      <c r="X289" s="769">
        <f t="shared" si="938"/>
        <v>4.8242686678930058E-2</v>
      </c>
      <c r="Y289" s="772">
        <f t="shared" si="939"/>
        <v>4.8825561983150134E-2</v>
      </c>
      <c r="Z289" s="770">
        <f t="shared" ref="Z289" si="949">+Z277/Y277-1</f>
        <v>2.1057647479404196E-2</v>
      </c>
      <c r="AA289" s="769">
        <f t="shared" ref="AA289" si="950">+AA277/Z277-1</f>
        <v>-8.4063776103881827E-2</v>
      </c>
      <c r="AB289" s="769">
        <f t="shared" ref="AB289" si="951">+AB277/AA277-1</f>
        <v>6.3180054506593031E-2</v>
      </c>
      <c r="AC289" s="769">
        <f t="shared" ref="AC289" si="952">+AC277/AB277-1</f>
        <v>6.5717314668499949E-2</v>
      </c>
      <c r="AD289" s="769">
        <f t="shared" ref="AD289" si="953">+AD277/AC277-1</f>
        <v>3.509629483098653E-2</v>
      </c>
      <c r="AE289" s="767"/>
      <c r="AF289" s="769"/>
      <c r="AG289" s="769"/>
      <c r="AH289" s="769">
        <f t="shared" ref="AH289:AJ289" si="954">+AH283</f>
        <v>1.2184561752431655E-2</v>
      </c>
      <c r="AI289" s="769">
        <f t="shared" si="954"/>
        <v>0.34122520394308387</v>
      </c>
      <c r="AJ289" s="769">
        <f t="shared" si="954"/>
        <v>0.15455112232279378</v>
      </c>
      <c r="AK289" s="772">
        <f t="shared" ref="AK289" si="955">+AK283</f>
        <v>-6.2212067800959892E-2</v>
      </c>
      <c r="AL289" s="769">
        <f t="shared" ref="AL289:AM289" si="956">+AL283</f>
        <v>-2.9868214517431158E-3</v>
      </c>
      <c r="AM289" s="769">
        <f t="shared" si="956"/>
        <v>5.1997383165623079E-2</v>
      </c>
    </row>
    <row r="290" spans="1:40" x14ac:dyDescent="0.25">
      <c r="C290" s="846"/>
      <c r="D290" s="846"/>
      <c r="E290" s="846"/>
      <c r="F290" s="847"/>
      <c r="G290" s="848"/>
      <c r="H290" s="848"/>
      <c r="I290" s="848"/>
      <c r="J290" s="847"/>
      <c r="K290" s="848"/>
      <c r="L290" s="848"/>
      <c r="M290" s="848"/>
      <c r="N290" s="847"/>
      <c r="O290" s="848"/>
      <c r="P290" s="848"/>
      <c r="Q290" s="848"/>
      <c r="R290" s="847"/>
      <c r="S290" s="848"/>
      <c r="T290" s="1030"/>
      <c r="U290" s="848"/>
      <c r="V290" s="1030"/>
      <c r="W290" s="1417"/>
      <c r="X290" s="1030"/>
      <c r="Y290" s="849"/>
      <c r="Z290" s="847"/>
      <c r="AA290" s="848"/>
      <c r="AB290" s="848"/>
      <c r="AC290" s="848"/>
      <c r="AD290" s="848"/>
      <c r="AE290" s="848"/>
      <c r="AF290" s="848"/>
      <c r="AG290" s="848"/>
      <c r="AH290" s="848"/>
      <c r="AI290" s="848"/>
      <c r="AJ290" s="848"/>
      <c r="AK290" s="849"/>
      <c r="AL290" s="846"/>
      <c r="AM290" s="846"/>
      <c r="AN290" s="850"/>
    </row>
    <row r="291" spans="1:40" ht="12" x14ac:dyDescent="0.3">
      <c r="A291" s="782" t="s">
        <v>268</v>
      </c>
      <c r="B291" s="470"/>
      <c r="C291" s="736"/>
      <c r="D291" s="736"/>
      <c r="E291" s="736"/>
      <c r="F291" s="752"/>
      <c r="G291" s="689"/>
      <c r="H291" s="689"/>
      <c r="I291" s="689"/>
      <c r="J291" s="779"/>
      <c r="K291" s="689"/>
      <c r="L291" s="689"/>
      <c r="M291" s="689"/>
      <c r="N291" s="779"/>
      <c r="O291" s="689"/>
      <c r="P291" s="689"/>
      <c r="Q291" s="689"/>
      <c r="R291" s="779"/>
      <c r="S291" s="689"/>
      <c r="T291" s="689"/>
      <c r="U291" s="736"/>
      <c r="V291" s="736"/>
      <c r="W291" s="986"/>
      <c r="X291" s="689"/>
      <c r="Y291" s="754"/>
      <c r="Z291" s="752"/>
      <c r="AA291" s="736"/>
      <c r="AB291" s="736"/>
      <c r="AC291" s="736"/>
      <c r="AD291" s="736"/>
      <c r="AE291" s="736"/>
      <c r="AF291" s="689"/>
      <c r="AG291" s="689"/>
      <c r="AH291" s="689"/>
      <c r="AI291" s="689"/>
      <c r="AJ291" s="689"/>
      <c r="AK291" s="781"/>
      <c r="AL291" s="689"/>
      <c r="AM291" s="689"/>
    </row>
    <row r="292" spans="1:40" ht="12" x14ac:dyDescent="0.3">
      <c r="A292" s="778" t="s">
        <v>213</v>
      </c>
      <c r="B292" s="470"/>
      <c r="C292" s="736"/>
      <c r="D292" s="893"/>
      <c r="E292" s="893"/>
      <c r="F292" s="894"/>
      <c r="G292" s="874"/>
      <c r="H292" s="874"/>
      <c r="I292" s="874"/>
      <c r="J292" s="875"/>
      <c r="K292" s="874"/>
      <c r="L292" s="874">
        <f t="shared" ref="L292:T292" si="957">+L274-K274</f>
        <v>14.414999999999992</v>
      </c>
      <c r="M292" s="874">
        <f t="shared" si="957"/>
        <v>8.6569999999999965</v>
      </c>
      <c r="N292" s="875">
        <f t="shared" si="957"/>
        <v>14.673000000000044</v>
      </c>
      <c r="O292" s="874">
        <f t="shared" si="957"/>
        <v>-7.1530000000000342</v>
      </c>
      <c r="P292" s="874">
        <f t="shared" si="957"/>
        <v>4.3680000000000092</v>
      </c>
      <c r="Q292" s="874">
        <f t="shared" si="957"/>
        <v>1.2490000000000094</v>
      </c>
      <c r="R292" s="875">
        <f t="shared" si="957"/>
        <v>4.5319999999999965</v>
      </c>
      <c r="S292" s="874">
        <f t="shared" si="957"/>
        <v>-16.018000000000001</v>
      </c>
      <c r="T292" s="1031">
        <f t="shared" si="957"/>
        <v>2.9579999999999842</v>
      </c>
      <c r="U292" s="874">
        <f t="shared" ref="U292:U295" si="958">+U274-T274</f>
        <v>5.5</v>
      </c>
      <c r="V292" s="1031">
        <f t="shared" ref="V292:V295" si="959">+V274-U274</f>
        <v>1.9549999999999983</v>
      </c>
      <c r="W292" s="1430">
        <f t="shared" ref="W292:W295" si="960">+W274-V274</f>
        <v>-12.354999999999976</v>
      </c>
      <c r="X292" s="1031">
        <f t="shared" ref="X292:X295" si="961">+X274-W274</f>
        <v>5.3259999999999792</v>
      </c>
      <c r="Y292" s="878">
        <f t="shared" ref="Y292:Y295" si="962">+Y274-X274</f>
        <v>5.4840000000000089</v>
      </c>
      <c r="Z292" s="752"/>
      <c r="AA292" s="736"/>
      <c r="AB292" s="736"/>
      <c r="AC292" s="736"/>
      <c r="AD292" s="736"/>
      <c r="AE292" s="736"/>
      <c r="AF292" s="689"/>
      <c r="AG292" s="689"/>
      <c r="AH292" s="874"/>
      <c r="AI292" s="874">
        <f t="shared" ref="AI292:AJ292" si="963">+AI274-AH274</f>
        <v>85.300000000000011</v>
      </c>
      <c r="AJ292" s="874">
        <f t="shared" si="963"/>
        <v>67.270000000000039</v>
      </c>
      <c r="AK292" s="878">
        <f t="shared" ref="AK292:AK295" si="964">+AK274-AJ274</f>
        <v>-21.781000000000063</v>
      </c>
      <c r="AL292" s="689"/>
      <c r="AM292" s="689"/>
    </row>
    <row r="293" spans="1:40" ht="12" x14ac:dyDescent="0.3">
      <c r="A293" s="778" t="s">
        <v>214</v>
      </c>
      <c r="B293" s="470"/>
      <c r="C293" s="736"/>
      <c r="D293" s="893"/>
      <c r="E293" s="893"/>
      <c r="F293" s="894"/>
      <c r="G293" s="874"/>
      <c r="H293" s="874"/>
      <c r="I293" s="874"/>
      <c r="J293" s="875"/>
      <c r="K293" s="874"/>
      <c r="L293" s="874">
        <f t="shared" ref="L293:T293" si="965">+L275-K275</f>
        <v>9.1469999999999967</v>
      </c>
      <c r="M293" s="874">
        <f t="shared" si="965"/>
        <v>1.9080000000000013</v>
      </c>
      <c r="N293" s="875">
        <f t="shared" si="965"/>
        <v>0.22100000000000009</v>
      </c>
      <c r="O293" s="874">
        <f t="shared" si="965"/>
        <v>-0.13499999999999801</v>
      </c>
      <c r="P293" s="874">
        <f t="shared" si="965"/>
        <v>0.20399999999999707</v>
      </c>
      <c r="Q293" s="874">
        <f t="shared" si="965"/>
        <v>-0.51899999999999835</v>
      </c>
      <c r="R293" s="875">
        <f t="shared" si="965"/>
        <v>-4.0689999999999991</v>
      </c>
      <c r="S293" s="874">
        <f t="shared" si="965"/>
        <v>0.36799999999999855</v>
      </c>
      <c r="T293" s="1031">
        <f t="shared" si="965"/>
        <v>-0.47799999999999798</v>
      </c>
      <c r="U293" s="874">
        <f t="shared" si="958"/>
        <v>0.7359999999999971</v>
      </c>
      <c r="V293" s="1031">
        <f t="shared" si="959"/>
        <v>-2.8939999999999984</v>
      </c>
      <c r="W293" s="1430">
        <f t="shared" si="960"/>
        <v>0.82600000000000051</v>
      </c>
      <c r="X293" s="1031">
        <f t="shared" si="961"/>
        <v>0.88600000000000279</v>
      </c>
      <c r="Y293" s="878">
        <f t="shared" si="962"/>
        <v>1.1949999999999967</v>
      </c>
      <c r="Z293" s="752"/>
      <c r="AA293" s="736"/>
      <c r="AB293" s="736"/>
      <c r="AC293" s="736"/>
      <c r="AD293" s="736"/>
      <c r="AE293" s="736"/>
      <c r="AF293" s="689"/>
      <c r="AG293" s="689"/>
      <c r="AH293" s="874"/>
      <c r="AI293" s="874">
        <f t="shared" ref="AI293:AJ293" si="966">+AI275-AH275</f>
        <v>40.72999999999999</v>
      </c>
      <c r="AJ293" s="874">
        <f t="shared" si="966"/>
        <v>9.1570000000000107</v>
      </c>
      <c r="AK293" s="878">
        <f t="shared" si="964"/>
        <v>-14.425000000000011</v>
      </c>
      <c r="AL293" s="689"/>
      <c r="AM293" s="689"/>
    </row>
    <row r="294" spans="1:40" ht="13.5" x14ac:dyDescent="0.45">
      <c r="A294" s="778" t="s">
        <v>215</v>
      </c>
      <c r="B294" s="470"/>
      <c r="C294" s="736"/>
      <c r="D294" s="893"/>
      <c r="E294" s="893"/>
      <c r="F294" s="894"/>
      <c r="G294" s="880"/>
      <c r="H294" s="880"/>
      <c r="I294" s="880"/>
      <c r="J294" s="881"/>
      <c r="K294" s="880"/>
      <c r="L294" s="880">
        <f t="shared" ref="L294:T294" si="967">+L276-K276</f>
        <v>-0.53800000000000003</v>
      </c>
      <c r="M294" s="880">
        <f t="shared" si="967"/>
        <v>-0.14599999999999991</v>
      </c>
      <c r="N294" s="881">
        <f t="shared" si="967"/>
        <v>-0.15700000000000003</v>
      </c>
      <c r="O294" s="880">
        <f t="shared" si="967"/>
        <v>-9.099999999999997E-2</v>
      </c>
      <c r="P294" s="880">
        <f t="shared" si="967"/>
        <v>-0.12599999999999989</v>
      </c>
      <c r="Q294" s="880">
        <f t="shared" si="967"/>
        <v>0.34099999999999975</v>
      </c>
      <c r="R294" s="881">
        <f t="shared" si="967"/>
        <v>4.6000000000000041E-2</v>
      </c>
      <c r="S294" s="880">
        <f t="shared" si="967"/>
        <v>0.30300000000000016</v>
      </c>
      <c r="T294" s="1032">
        <f t="shared" si="967"/>
        <v>-9.6000000000000085E-2</v>
      </c>
      <c r="U294" s="1177">
        <f t="shared" si="958"/>
        <v>-7.0000000000001172E-3</v>
      </c>
      <c r="V294" s="1032">
        <f t="shared" si="959"/>
        <v>-0.30599999999999983</v>
      </c>
      <c r="W294" s="1431">
        <f t="shared" si="960"/>
        <v>5.8999999999999941E-2</v>
      </c>
      <c r="X294" s="1032">
        <f t="shared" si="961"/>
        <v>-0.28500000000000014</v>
      </c>
      <c r="Y294" s="2269">
        <f t="shared" si="962"/>
        <v>-0.39099999999999646</v>
      </c>
      <c r="Z294" s="752"/>
      <c r="AA294" s="736"/>
      <c r="AB294" s="736"/>
      <c r="AC294" s="736"/>
      <c r="AD294" s="736"/>
      <c r="AE294" s="736"/>
      <c r="AF294" s="786"/>
      <c r="AG294" s="786"/>
      <c r="AH294" s="880"/>
      <c r="AI294" s="880">
        <f t="shared" ref="AI294:AJ294" si="968">+AI276-AH276</f>
        <v>-2.3850000000000007</v>
      </c>
      <c r="AJ294" s="880">
        <f t="shared" si="968"/>
        <v>-1.3150000000000004</v>
      </c>
      <c r="AK294" s="883">
        <f t="shared" si="964"/>
        <v>1.2980000000000009</v>
      </c>
      <c r="AL294" s="689"/>
      <c r="AM294" s="689"/>
    </row>
    <row r="295" spans="1:40" s="470" customFormat="1" x14ac:dyDescent="0.25">
      <c r="A295" s="766" t="str">
        <f>+A289</f>
        <v>Total Adj. Opex and COGS ex-D&amp;A</v>
      </c>
      <c r="C295" s="769"/>
      <c r="D295" s="889">
        <f>+D277-C277</f>
        <v>3.6640000000000015</v>
      </c>
      <c r="E295" s="889">
        <f t="shared" ref="E295:T295" si="969">+E277-D277</f>
        <v>2.0190000000000197</v>
      </c>
      <c r="F295" s="886">
        <f t="shared" si="969"/>
        <v>4.5839999999999748</v>
      </c>
      <c r="G295" s="885">
        <f t="shared" si="969"/>
        <v>-11.233999999999995</v>
      </c>
      <c r="H295" s="885">
        <f t="shared" si="969"/>
        <v>-10.290000000000006</v>
      </c>
      <c r="I295" s="885">
        <f t="shared" si="969"/>
        <v>20.152999999999992</v>
      </c>
      <c r="J295" s="886">
        <f t="shared" si="969"/>
        <v>18.40800000000003</v>
      </c>
      <c r="K295" s="885">
        <f t="shared" si="969"/>
        <v>-16.419000000000025</v>
      </c>
      <c r="L295" s="885">
        <f t="shared" si="969"/>
        <v>23.024000000000001</v>
      </c>
      <c r="M295" s="885">
        <f t="shared" si="969"/>
        <v>10.419000000000011</v>
      </c>
      <c r="N295" s="886">
        <f t="shared" si="969"/>
        <v>14.737000000000023</v>
      </c>
      <c r="O295" s="885">
        <f t="shared" si="969"/>
        <v>-7.3790000000000191</v>
      </c>
      <c r="P295" s="885">
        <f t="shared" si="969"/>
        <v>4.445999999999998</v>
      </c>
      <c r="Q295" s="885">
        <f t="shared" si="969"/>
        <v>1.070999999999998</v>
      </c>
      <c r="R295" s="886">
        <f t="shared" si="969"/>
        <v>0.50900000000001455</v>
      </c>
      <c r="S295" s="885">
        <f t="shared" si="969"/>
        <v>-15.347000000000008</v>
      </c>
      <c r="T295" s="1033">
        <f t="shared" si="969"/>
        <v>2.3839999999999861</v>
      </c>
      <c r="U295" s="885">
        <f t="shared" si="958"/>
        <v>6.2290000000000134</v>
      </c>
      <c r="V295" s="1033">
        <f t="shared" si="959"/>
        <v>-1.245000000000033</v>
      </c>
      <c r="W295" s="1432">
        <f t="shared" si="960"/>
        <v>-11.46999999999997</v>
      </c>
      <c r="X295" s="1033">
        <f t="shared" si="961"/>
        <v>5.9269999999999925</v>
      </c>
      <c r="Y295" s="887">
        <f t="shared" si="962"/>
        <v>6.2879999999999825</v>
      </c>
      <c r="Z295" s="886">
        <f t="shared" ref="Z295" si="970">+Z277-Y277</f>
        <v>2.8443196179855477</v>
      </c>
      <c r="AA295" s="885">
        <f t="shared" ref="AA295" si="971">+AA277-Z277</f>
        <v>-11.593850677213851</v>
      </c>
      <c r="AB295" s="885">
        <f t="shared" ref="AB295" si="972">+AB277-AA277</f>
        <v>7.9811236531398606</v>
      </c>
      <c r="AC295" s="885">
        <f t="shared" ref="AC295" si="973">+AC277-AB277</f>
        <v>8.8261371729187772</v>
      </c>
      <c r="AD295" s="885">
        <f t="shared" ref="AD295" si="974">+AD277-AC277</f>
        <v>5.023358291270938</v>
      </c>
      <c r="AE295" s="885"/>
      <c r="AF295" s="769"/>
      <c r="AG295" s="769"/>
      <c r="AH295" s="885">
        <f t="shared" ref="AH295:AJ295" si="975">+AH277-AG277</f>
        <v>4.3620000000000232</v>
      </c>
      <c r="AI295" s="885">
        <f t="shared" si="975"/>
        <v>123.64500000000004</v>
      </c>
      <c r="AJ295" s="885">
        <f t="shared" si="975"/>
        <v>75.11200000000008</v>
      </c>
      <c r="AK295" s="887">
        <f t="shared" si="964"/>
        <v>-34.908000000000015</v>
      </c>
      <c r="AL295" s="889">
        <f t="shared" ref="AL295" si="976">+AL277-AK277</f>
        <v>-1.571680382014506</v>
      </c>
      <c r="AM295" s="889">
        <f t="shared" ref="AM295" si="977">+AM277-AL277</f>
        <v>27.279559741629214</v>
      </c>
    </row>
    <row r="296" spans="1:40" s="470" customFormat="1" x14ac:dyDescent="0.25">
      <c r="A296" s="766"/>
      <c r="C296" s="769"/>
      <c r="D296" s="769"/>
      <c r="E296" s="769"/>
      <c r="F296" s="770"/>
      <c r="G296" s="769"/>
      <c r="H296" s="769"/>
      <c r="I296" s="769"/>
      <c r="J296" s="770"/>
      <c r="K296" s="769"/>
      <c r="L296" s="769"/>
      <c r="M296" s="769"/>
      <c r="N296" s="770"/>
      <c r="O296" s="769"/>
      <c r="P296" s="769"/>
      <c r="Q296" s="769"/>
      <c r="R296" s="770"/>
      <c r="S296" s="769"/>
      <c r="T296" s="769"/>
      <c r="U296" s="769"/>
      <c r="V296" s="769"/>
      <c r="W296" s="989"/>
      <c r="X296" s="769"/>
      <c r="Y296" s="772"/>
      <c r="Z296" s="770"/>
      <c r="AA296" s="769"/>
      <c r="AB296" s="769"/>
      <c r="AC296" s="769"/>
      <c r="AD296" s="769"/>
      <c r="AE296" s="767"/>
      <c r="AF296" s="769"/>
      <c r="AG296" s="769"/>
      <c r="AH296" s="769"/>
      <c r="AI296" s="769"/>
      <c r="AJ296" s="769"/>
      <c r="AK296" s="772"/>
      <c r="AL296" s="769"/>
      <c r="AM296" s="769"/>
    </row>
    <row r="297" spans="1:40" ht="12" x14ac:dyDescent="0.3">
      <c r="A297" s="782" t="s">
        <v>41</v>
      </c>
      <c r="B297" s="470"/>
      <c r="C297" s="736"/>
      <c r="D297" s="736"/>
      <c r="E297" s="736"/>
      <c r="F297" s="752"/>
      <c r="G297" s="689"/>
      <c r="H297" s="689"/>
      <c r="I297" s="689"/>
      <c r="J297" s="779"/>
      <c r="K297" s="689"/>
      <c r="L297" s="689"/>
      <c r="M297" s="689"/>
      <c r="N297" s="779"/>
      <c r="O297" s="689"/>
      <c r="P297" s="689"/>
      <c r="Q297" s="689"/>
      <c r="R297" s="779"/>
      <c r="S297" s="689"/>
      <c r="T297" s="689"/>
      <c r="U297" s="736"/>
      <c r="V297" s="736"/>
      <c r="W297" s="986"/>
      <c r="X297" s="689"/>
      <c r="Y297" s="754"/>
      <c r="Z297" s="752"/>
      <c r="AA297" s="736"/>
      <c r="AB297" s="736"/>
      <c r="AC297" s="736"/>
      <c r="AD297" s="736"/>
      <c r="AE297" s="736"/>
      <c r="AF297" s="689"/>
      <c r="AG297" s="689"/>
      <c r="AH297" s="689"/>
      <c r="AI297" s="689"/>
      <c r="AJ297" s="689"/>
      <c r="AK297" s="781"/>
      <c r="AL297" s="689"/>
      <c r="AM297" s="689"/>
    </row>
    <row r="298" spans="1:40" ht="12" x14ac:dyDescent="0.3">
      <c r="A298" s="778" t="s">
        <v>213</v>
      </c>
      <c r="B298" s="470"/>
      <c r="C298" s="736"/>
      <c r="D298" s="736"/>
      <c r="E298" s="736"/>
      <c r="F298" s="752"/>
      <c r="G298" s="689"/>
      <c r="H298" s="689"/>
      <c r="I298" s="689"/>
      <c r="J298" s="779"/>
      <c r="K298" s="689">
        <f t="shared" ref="K298:R298" si="978">+K274/K262</f>
        <v>0.70952765095602621</v>
      </c>
      <c r="L298" s="689">
        <f t="shared" si="978"/>
        <v>0.66365003417634993</v>
      </c>
      <c r="M298" s="689">
        <f t="shared" si="978"/>
        <v>0.66520519336738537</v>
      </c>
      <c r="N298" s="779">
        <f t="shared" si="978"/>
        <v>0.65942382144050127</v>
      </c>
      <c r="O298" s="689">
        <f t="shared" si="978"/>
        <v>0.7075421018439858</v>
      </c>
      <c r="P298" s="689">
        <f t="shared" si="978"/>
        <v>0.68958503086329292</v>
      </c>
      <c r="Q298" s="689">
        <f t="shared" si="978"/>
        <v>0.67513955852371788</v>
      </c>
      <c r="R298" s="779">
        <f t="shared" si="978"/>
        <v>0.65614715967994897</v>
      </c>
      <c r="S298" s="689">
        <f>+S274/S262</f>
        <v>0.70631872468038093</v>
      </c>
      <c r="T298" s="689">
        <f>+T274/T262</f>
        <v>0.67836638349663758</v>
      </c>
      <c r="U298" s="689">
        <f>+U274/U262</f>
        <v>0.65811208434159252</v>
      </c>
      <c r="V298" s="689">
        <f t="shared" ref="V298:W298" si="979">+V274/V262</f>
        <v>0.64629436611991875</v>
      </c>
      <c r="W298" s="991">
        <f t="shared" si="979"/>
        <v>0.70716905724650803</v>
      </c>
      <c r="X298" s="689">
        <f t="shared" ref="X298:Y298" si="980">+X274/X262</f>
        <v>0.68225991205705205</v>
      </c>
      <c r="Y298" s="781">
        <f t="shared" si="980"/>
        <v>0.66474943540779285</v>
      </c>
      <c r="Z298" s="752"/>
      <c r="AA298" s="736"/>
      <c r="AB298" s="736"/>
      <c r="AC298" s="736"/>
      <c r="AD298" s="736"/>
      <c r="AE298" s="736"/>
      <c r="AF298" s="689"/>
      <c r="AG298" s="689"/>
      <c r="AH298" s="689">
        <f t="shared" ref="AH298:AJ298" si="981">+AH274/AH262</f>
        <v>0.69340611098736404</v>
      </c>
      <c r="AI298" s="689">
        <f t="shared" si="981"/>
        <v>0.67162685117626519</v>
      </c>
      <c r="AJ298" s="689">
        <f t="shared" si="981"/>
        <v>0.68100998035589655</v>
      </c>
      <c r="AK298" s="781">
        <f t="shared" ref="AK298" si="982">+AK274/AK262</f>
        <v>0.67069742702882595</v>
      </c>
      <c r="AL298" s="689"/>
      <c r="AM298" s="689"/>
    </row>
    <row r="299" spans="1:40" ht="12" x14ac:dyDescent="0.3">
      <c r="A299" s="778" t="s">
        <v>214</v>
      </c>
      <c r="B299" s="470"/>
      <c r="C299" s="736"/>
      <c r="D299" s="736"/>
      <c r="E299" s="736"/>
      <c r="F299" s="752"/>
      <c r="G299" s="689"/>
      <c r="H299" s="689"/>
      <c r="I299" s="689"/>
      <c r="J299" s="779"/>
      <c r="K299" s="689">
        <f t="shared" ref="K299:S299" si="983">+K275/K263</f>
        <v>0.83437990580847721</v>
      </c>
      <c r="L299" s="689">
        <f t="shared" si="983"/>
        <v>0.76349734042553186</v>
      </c>
      <c r="M299" s="689">
        <f t="shared" si="983"/>
        <v>0.69880601208034832</v>
      </c>
      <c r="N299" s="779">
        <f t="shared" si="983"/>
        <v>0.78984640564018638</v>
      </c>
      <c r="O299" s="689">
        <f t="shared" si="983"/>
        <v>0.78636463879524909</v>
      </c>
      <c r="P299" s="689">
        <f t="shared" si="983"/>
        <v>0.76153008110398257</v>
      </c>
      <c r="Q299" s="689">
        <f t="shared" si="983"/>
        <v>0.77921461995700014</v>
      </c>
      <c r="R299" s="779">
        <f t="shared" si="983"/>
        <v>0.78573337915759722</v>
      </c>
      <c r="S299" s="689">
        <f t="shared" si="983"/>
        <v>0.84288473921442364</v>
      </c>
      <c r="T299" s="689">
        <f t="shared" ref="T299:U299" si="984">+T275/T263</f>
        <v>0.84875378426574888</v>
      </c>
      <c r="U299" s="689">
        <f t="shared" si="984"/>
        <v>0.82162371633404374</v>
      </c>
      <c r="V299" s="689">
        <f t="shared" ref="V299:W299" si="985">+V275/V263</f>
        <v>0.82973034217085873</v>
      </c>
      <c r="W299" s="991">
        <f t="shared" si="985"/>
        <v>0.86881896199427877</v>
      </c>
      <c r="X299" s="689">
        <f t="shared" ref="X299:Y299" si="986">+X275/X263</f>
        <v>0.82771736883449798</v>
      </c>
      <c r="Y299" s="781">
        <f t="shared" si="986"/>
        <v>0.79683743990384615</v>
      </c>
      <c r="Z299" s="752"/>
      <c r="AA299" s="736"/>
      <c r="AB299" s="736"/>
      <c r="AC299" s="736"/>
      <c r="AD299" s="736"/>
      <c r="AE299" s="736"/>
      <c r="AF299" s="689"/>
      <c r="AG299" s="689"/>
      <c r="AH299" s="689">
        <f t="shared" ref="AH299:AJ299" si="987">+AH275/AH263</f>
        <v>0.90046154150902291</v>
      </c>
      <c r="AI299" s="689">
        <f t="shared" si="987"/>
        <v>0.75597540545044684</v>
      </c>
      <c r="AJ299" s="689">
        <f t="shared" si="987"/>
        <v>0.77769168026101143</v>
      </c>
      <c r="AK299" s="781">
        <f t="shared" ref="AK299" si="988">+AK275/AK263</f>
        <v>0.83568278753704905</v>
      </c>
      <c r="AL299" s="689"/>
      <c r="AM299" s="689"/>
    </row>
    <row r="300" spans="1:40" ht="12" x14ac:dyDescent="0.3">
      <c r="A300" s="778" t="s">
        <v>215</v>
      </c>
      <c r="B300" s="470"/>
      <c r="C300" s="736"/>
      <c r="D300" s="736"/>
      <c r="E300" s="736"/>
      <c r="F300" s="752"/>
      <c r="G300" s="786"/>
      <c r="H300" s="786"/>
      <c r="I300" s="786"/>
      <c r="J300" s="787"/>
      <c r="K300" s="786">
        <f t="shared" ref="K300:S300" si="989">+K276/K264</f>
        <v>1</v>
      </c>
      <c r="L300" s="786">
        <f t="shared" si="989"/>
        <v>1</v>
      </c>
      <c r="M300" s="786">
        <f t="shared" si="989"/>
        <v>1</v>
      </c>
      <c r="N300" s="787">
        <f t="shared" si="989"/>
        <v>1</v>
      </c>
      <c r="O300" s="786">
        <f t="shared" si="989"/>
        <v>1</v>
      </c>
      <c r="P300" s="786">
        <f t="shared" si="989"/>
        <v>1</v>
      </c>
      <c r="Q300" s="786">
        <f t="shared" si="989"/>
        <v>1</v>
      </c>
      <c r="R300" s="787">
        <f t="shared" si="989"/>
        <v>1</v>
      </c>
      <c r="S300" s="786">
        <f t="shared" si="989"/>
        <v>1</v>
      </c>
      <c r="T300" s="786">
        <f t="shared" ref="T300:U300" si="990">+T276/T264</f>
        <v>1</v>
      </c>
      <c r="U300" s="786">
        <f t="shared" si="990"/>
        <v>1</v>
      </c>
      <c r="V300" s="786">
        <f t="shared" ref="V300:W300" si="991">+V276/V264</f>
        <v>1</v>
      </c>
      <c r="W300" s="992">
        <f t="shared" si="991"/>
        <v>1</v>
      </c>
      <c r="X300" s="786">
        <f t="shared" ref="X300:Y300" si="992">+X276/X264</f>
        <v>1</v>
      </c>
      <c r="Y300" s="788">
        <f t="shared" si="992"/>
        <v>1</v>
      </c>
      <c r="Z300" s="752"/>
      <c r="AA300" s="736"/>
      <c r="AB300" s="736"/>
      <c r="AC300" s="736"/>
      <c r="AD300" s="736"/>
      <c r="AE300" s="736"/>
      <c r="AF300" s="786"/>
      <c r="AG300" s="786"/>
      <c r="AH300" s="786">
        <f t="shared" ref="AH300:AJ300" si="993">+AH276/AH264</f>
        <v>1</v>
      </c>
      <c r="AI300" s="786">
        <f t="shared" si="993"/>
        <v>1</v>
      </c>
      <c r="AJ300" s="786">
        <f t="shared" si="993"/>
        <v>1</v>
      </c>
      <c r="AK300" s="788">
        <f t="shared" ref="AK300" si="994">+AK276/AK264</f>
        <v>1</v>
      </c>
      <c r="AL300" s="689"/>
      <c r="AM300" s="689"/>
    </row>
    <row r="301" spans="1:40" s="470" customFormat="1" x14ac:dyDescent="0.25">
      <c r="A301" s="766" t="str">
        <f>+A295</f>
        <v>Total Adj. Opex and COGS ex-D&amp;A</v>
      </c>
      <c r="C301" s="769">
        <f t="shared" ref="C301:S301" si="995">+C277/C265</f>
        <v>0.77123998286032069</v>
      </c>
      <c r="D301" s="769">
        <f t="shared" si="995"/>
        <v>0.72568882018730319</v>
      </c>
      <c r="E301" s="769">
        <f t="shared" si="995"/>
        <v>0.72940720212654231</v>
      </c>
      <c r="F301" s="770">
        <f t="shared" si="995"/>
        <v>0.74877259452206169</v>
      </c>
      <c r="G301" s="769">
        <f t="shared" si="995"/>
        <v>0.75449976993657464</v>
      </c>
      <c r="H301" s="769">
        <f t="shared" si="995"/>
        <v>0.69850370977112752</v>
      </c>
      <c r="I301" s="769">
        <f t="shared" si="995"/>
        <v>0.68352366608665127</v>
      </c>
      <c r="J301" s="770">
        <f t="shared" si="995"/>
        <v>0.71480861610793134</v>
      </c>
      <c r="K301" s="769">
        <f t="shared" si="995"/>
        <v>0.7229499507836753</v>
      </c>
      <c r="L301" s="769">
        <f t="shared" si="995"/>
        <v>0.67783968059670752</v>
      </c>
      <c r="M301" s="769">
        <f t="shared" si="995"/>
        <v>0.66845546412812984</v>
      </c>
      <c r="N301" s="770">
        <f t="shared" si="995"/>
        <v>0.67594526941825239</v>
      </c>
      <c r="O301" s="769">
        <f t="shared" si="995"/>
        <v>0.71771793913029747</v>
      </c>
      <c r="P301" s="769">
        <f t="shared" si="995"/>
        <v>0.69818566091654632</v>
      </c>
      <c r="Q301" s="769">
        <f t="shared" si="995"/>
        <v>0.68838658937986086</v>
      </c>
      <c r="R301" s="770">
        <f t="shared" si="995"/>
        <v>0.66938074743056053</v>
      </c>
      <c r="S301" s="769">
        <f t="shared" si="995"/>
        <v>0.72333637192342748</v>
      </c>
      <c r="T301" s="769">
        <f t="shared" ref="T301:U301" si="996">+T277/T265</f>
        <v>0.69796832420473243</v>
      </c>
      <c r="U301" s="769">
        <f t="shared" si="996"/>
        <v>0.67663352698089474</v>
      </c>
      <c r="V301" s="769">
        <f t="shared" ref="V301:W301" si="997">+V277/V265</f>
        <v>0.6631451111264699</v>
      </c>
      <c r="W301" s="989">
        <f t="shared" si="997"/>
        <v>0.72518534258865752</v>
      </c>
      <c r="X301" s="769">
        <f t="shared" ref="X301:Y301" si="998">+X277/X265</f>
        <v>0.69784769109056821</v>
      </c>
      <c r="Y301" s="772">
        <f t="shared" si="998"/>
        <v>0.67835314560639604</v>
      </c>
      <c r="Z301" s="770">
        <f t="shared" ref="Z301" si="999">+Z277/Z265</f>
        <v>0.6623296174089679</v>
      </c>
      <c r="AA301" s="769">
        <f t="shared" ref="AA301:AD301" si="1000">+AA277/AA265</f>
        <v>0.70834110426956753</v>
      </c>
      <c r="AB301" s="769">
        <f t="shared" si="1000"/>
        <v>0.68525556543196464</v>
      </c>
      <c r="AC301" s="769">
        <f t="shared" si="1000"/>
        <v>0.66898204554063256</v>
      </c>
      <c r="AD301" s="769">
        <f t="shared" si="1000"/>
        <v>0.65751586054781963</v>
      </c>
      <c r="AE301" s="767"/>
      <c r="AF301" s="769"/>
      <c r="AG301" s="769">
        <f t="shared" ref="AG301:AJ301" si="1001">+AG277/AG265</f>
        <v>0.74308535038722034</v>
      </c>
      <c r="AH301" s="769">
        <f t="shared" si="1001"/>
        <v>0.71168251648813519</v>
      </c>
      <c r="AI301" s="769">
        <f t="shared" si="1001"/>
        <v>0.68230297840080301</v>
      </c>
      <c r="AJ301" s="769">
        <f t="shared" si="1001"/>
        <v>0.69271242915324627</v>
      </c>
      <c r="AK301" s="772">
        <f t="shared" ref="AK301" si="1002">+AK277/AK265</f>
        <v>0.68896552717407666</v>
      </c>
      <c r="AL301" s="769">
        <f t="shared" ref="AL301:AM301" si="1003">+AL277/AL265</f>
        <v>0.6891176918620231</v>
      </c>
      <c r="AM301" s="769">
        <f t="shared" si="1003"/>
        <v>0.67835396682645988</v>
      </c>
    </row>
    <row r="302" spans="1:40" s="470" customFormat="1" x14ac:dyDescent="0.25">
      <c r="A302" s="766"/>
      <c r="C302" s="769"/>
      <c r="D302" s="769"/>
      <c r="E302" s="769"/>
      <c r="F302" s="770"/>
      <c r="G302" s="769"/>
      <c r="H302" s="769"/>
      <c r="I302" s="769"/>
      <c r="J302" s="770"/>
      <c r="K302" s="769"/>
      <c r="L302" s="769"/>
      <c r="M302" s="769"/>
      <c r="N302" s="770"/>
      <c r="O302" s="769"/>
      <c r="P302" s="769"/>
      <c r="Q302" s="769"/>
      <c r="R302" s="770"/>
      <c r="S302" s="769"/>
      <c r="T302" s="769"/>
      <c r="U302" s="769"/>
      <c r="V302" s="769"/>
      <c r="W302" s="989"/>
      <c r="X302" s="769"/>
      <c r="Y302" s="772"/>
      <c r="Z302" s="770"/>
      <c r="AA302" s="769"/>
      <c r="AB302" s="769"/>
      <c r="AC302" s="769"/>
      <c r="AD302" s="769"/>
      <c r="AE302" s="767"/>
      <c r="AF302" s="769"/>
      <c r="AG302" s="769"/>
      <c r="AH302" s="769"/>
      <c r="AI302" s="769"/>
      <c r="AJ302" s="769"/>
      <c r="AK302" s="772"/>
      <c r="AL302" s="769"/>
      <c r="AM302" s="769"/>
    </row>
    <row r="303" spans="1:40" x14ac:dyDescent="0.25">
      <c r="A303" s="783" t="s">
        <v>233</v>
      </c>
      <c r="C303" s="846"/>
      <c r="D303" s="846"/>
      <c r="E303" s="846"/>
      <c r="F303" s="847"/>
      <c r="G303" s="848"/>
      <c r="H303" s="848"/>
      <c r="I303" s="848"/>
      <c r="J303" s="847"/>
      <c r="K303" s="848"/>
      <c r="L303" s="848"/>
      <c r="M303" s="848"/>
      <c r="N303" s="847"/>
      <c r="O303" s="848"/>
      <c r="P303" s="848"/>
      <c r="Q303" s="848"/>
      <c r="R303" s="847"/>
      <c r="S303" s="848"/>
      <c r="T303" s="1030"/>
      <c r="U303" s="848"/>
      <c r="V303" s="1030"/>
      <c r="W303" s="1417"/>
      <c r="X303" s="1030"/>
      <c r="Y303" s="849"/>
      <c r="Z303" s="847"/>
      <c r="AA303" s="848"/>
      <c r="AB303" s="848"/>
      <c r="AC303" s="848"/>
      <c r="AD303" s="848"/>
      <c r="AE303" s="848"/>
      <c r="AF303" s="848"/>
      <c r="AG303" s="848"/>
      <c r="AH303" s="848"/>
      <c r="AI303" s="848"/>
      <c r="AJ303" s="848"/>
      <c r="AK303" s="849"/>
      <c r="AL303" s="846"/>
      <c r="AM303" s="846"/>
      <c r="AN303" s="850"/>
    </row>
    <row r="304" spans="1:40" x14ac:dyDescent="0.25">
      <c r="A304" s="460" t="s">
        <v>213</v>
      </c>
      <c r="C304" s="851"/>
      <c r="D304" s="851"/>
      <c r="E304" s="851"/>
      <c r="F304" s="852"/>
      <c r="G304" s="851"/>
      <c r="H304" s="851"/>
      <c r="I304" s="851"/>
      <c r="J304" s="852"/>
      <c r="K304" s="851">
        <f>+'FA - Detailed Disclosure'!K109</f>
        <v>33.847000000000001</v>
      </c>
      <c r="L304" s="851">
        <f>+'FA - Detailed Disclosure'!L109</f>
        <v>49.207999999999998</v>
      </c>
      <c r="M304" s="851">
        <f>+'FA - Detailed Disclosure'!M109</f>
        <v>53.222999999999999</v>
      </c>
      <c r="N304" s="852">
        <f>+'FA - Detailed Disclosure'!N109</f>
        <v>62.194999999999993</v>
      </c>
      <c r="O304" s="851">
        <f>+'FA - Detailed Disclosure'!O109</f>
        <v>46.819000000000003</v>
      </c>
      <c r="P304" s="851">
        <f>+'FA - Detailed Disclosure'!P109</f>
        <v>52.954000000000001</v>
      </c>
      <c r="Q304" s="851">
        <f>+'FA - Detailed Disclosure'!Q109</f>
        <v>57.204999999999998</v>
      </c>
      <c r="R304" s="852">
        <f>+'FA - Detailed Disclosure'!R109</f>
        <v>64.676999999999992</v>
      </c>
      <c r="S304" s="851">
        <f>+'FA - Detailed Disclosure'!S109</f>
        <v>44.655999999999999</v>
      </c>
      <c r="T304" s="1027">
        <f>+'FA - Detailed Disclosure'!T109</f>
        <v>52.323999999999998</v>
      </c>
      <c r="U304" s="851">
        <f>+'FA - Detailed Disclosure'!U109</f>
        <v>60.188000000000002</v>
      </c>
      <c r="V304" s="1027">
        <f>+'FA - Detailed Disclosure'!V109</f>
        <v>64.477000000000004</v>
      </c>
      <c r="W304" s="1433">
        <f>+'FA - Detailed Disclosure'!W109</f>
        <v>43.668999999999997</v>
      </c>
      <c r="X304" s="1027">
        <f>+'FA - Detailed Disclosure'!X109</f>
        <v>51.594000000000001</v>
      </c>
      <c r="Y304" s="853">
        <f>+'FA - Detailed Disclosure'!Y109</f>
        <v>58.637</v>
      </c>
      <c r="Z304" s="852"/>
      <c r="AA304" s="851"/>
      <c r="AB304" s="851"/>
      <c r="AC304" s="851"/>
      <c r="AD304" s="851"/>
      <c r="AE304" s="851"/>
      <c r="AF304" s="851"/>
      <c r="AG304" s="851"/>
      <c r="AH304" s="851">
        <f>+'FA - Detailed Disclosure'!AJ109</f>
        <v>141.773</v>
      </c>
      <c r="AI304" s="851">
        <f>+'FA - Detailed Disclosure'!AK109</f>
        <v>198.47300000000001</v>
      </c>
      <c r="AJ304" s="851">
        <f>+'FA - Detailed Disclosure'!AL109</f>
        <v>221.655</v>
      </c>
      <c r="AK304" s="849">
        <f>+SUM(S304:V304)</f>
        <v>221.64500000000001</v>
      </c>
      <c r="AL304" s="846"/>
      <c r="AM304" s="846"/>
      <c r="AN304" s="850"/>
    </row>
    <row r="305" spans="1:40" x14ac:dyDescent="0.25">
      <c r="A305" s="460" t="s">
        <v>214</v>
      </c>
      <c r="C305" s="851"/>
      <c r="D305" s="851"/>
      <c r="E305" s="851"/>
      <c r="F305" s="852"/>
      <c r="G305" s="851"/>
      <c r="H305" s="851"/>
      <c r="I305" s="851"/>
      <c r="J305" s="852"/>
      <c r="K305" s="851">
        <f>+'FA - Detailed Disclosure'!K110</f>
        <v>2.7429999999999999</v>
      </c>
      <c r="L305" s="851">
        <f>+'FA - Detailed Disclosure'!L110</f>
        <v>7.1139999999999999</v>
      </c>
      <c r="M305" s="851">
        <f>+'FA - Detailed Disclosure'!M110</f>
        <v>10.721</v>
      </c>
      <c r="N305" s="852">
        <f>+'FA - Detailed Disclosure'!N110</f>
        <v>6.6769999999999996</v>
      </c>
      <c r="O305" s="851">
        <f>+'FA - Detailed Disclosure'!O110</f>
        <v>6.7809999999999997</v>
      </c>
      <c r="P305" s="851">
        <f>+'FA - Detailed Disclosure'!P110</f>
        <v>7.88</v>
      </c>
      <c r="Q305" s="851">
        <f>+'FA - Detailed Disclosure'!Q110</f>
        <v>6.9829999999999997</v>
      </c>
      <c r="R305" s="852">
        <f>+'FA - Detailed Disclosure'!R110</f>
        <v>5.6110000000000007</v>
      </c>
      <c r="S305" s="851">
        <f>+'FA - Detailed Disclosure'!S110</f>
        <v>3.9039999999999999</v>
      </c>
      <c r="T305" s="1027">
        <f>+'FA - Detailed Disclosure'!T110</f>
        <v>3.6469999999999998</v>
      </c>
      <c r="U305" s="851">
        <f>+'FA - Detailed Disclosure'!U110</f>
        <v>4.6029999999999998</v>
      </c>
      <c r="V305" s="1027">
        <f>+'FA - Detailed Disclosure'!V110</f>
        <v>3.7569999999999997</v>
      </c>
      <c r="W305" s="1433">
        <f>+'FA - Detailed Disclosure'!W110</f>
        <v>2.8889999999999998</v>
      </c>
      <c r="X305" s="1027">
        <f>+'FA - Detailed Disclosure'!X110</f>
        <v>4.1669999999999998</v>
      </c>
      <c r="Y305" s="853">
        <f>+'FA - Detailed Disclosure'!Y110</f>
        <v>5.4089999999999998</v>
      </c>
      <c r="Z305" s="852"/>
      <c r="AA305" s="851"/>
      <c r="AB305" s="851"/>
      <c r="AC305" s="851"/>
      <c r="AD305" s="851"/>
      <c r="AE305" s="851"/>
      <c r="AF305" s="851"/>
      <c r="AG305" s="851"/>
      <c r="AH305" s="851">
        <f>+'FA - Detailed Disclosure'!AJ110</f>
        <v>5.0249999999999995</v>
      </c>
      <c r="AI305" s="851">
        <f>+'FA - Detailed Disclosure'!AK110</f>
        <v>27.821000000000002</v>
      </c>
      <c r="AJ305" s="851">
        <f>+'FA - Detailed Disclosure'!AL110</f>
        <v>27.254999999999999</v>
      </c>
      <c r="AK305" s="849">
        <f>+SUM(S305:V305)</f>
        <v>15.911</v>
      </c>
      <c r="AL305" s="846"/>
      <c r="AM305" s="846"/>
      <c r="AN305" s="850"/>
    </row>
    <row r="306" spans="1:40" s="802" customFormat="1" ht="13" x14ac:dyDescent="0.4">
      <c r="A306" s="460" t="s">
        <v>215</v>
      </c>
      <c r="C306" s="854"/>
      <c r="D306" s="854"/>
      <c r="E306" s="854"/>
      <c r="F306" s="855"/>
      <c r="G306" s="854"/>
      <c r="H306" s="854"/>
      <c r="I306" s="854"/>
      <c r="J306" s="855"/>
      <c r="K306" s="854">
        <f>+'FA - Detailed Disclosure'!K111</f>
        <v>0</v>
      </c>
      <c r="L306" s="854">
        <f>+'FA - Detailed Disclosure'!L111</f>
        <v>0</v>
      </c>
      <c r="M306" s="854">
        <f>+'FA - Detailed Disclosure'!M111</f>
        <v>0</v>
      </c>
      <c r="N306" s="855">
        <f>+'FA - Detailed Disclosure'!N111</f>
        <v>0</v>
      </c>
      <c r="O306" s="854">
        <f>+'FA - Detailed Disclosure'!O111</f>
        <v>0</v>
      </c>
      <c r="P306" s="854">
        <f>+'FA - Detailed Disclosure'!P111</f>
        <v>0</v>
      </c>
      <c r="Q306" s="854">
        <f>+'FA - Detailed Disclosure'!Q111</f>
        <v>0</v>
      </c>
      <c r="R306" s="855">
        <f>+'FA - Detailed Disclosure'!R111</f>
        <v>0</v>
      </c>
      <c r="S306" s="854">
        <f>+'FA - Detailed Disclosure'!S111</f>
        <v>0</v>
      </c>
      <c r="T306" s="1028">
        <f>+'FA - Detailed Disclosure'!T111</f>
        <v>0</v>
      </c>
      <c r="U306" s="854">
        <f>+'FA - Detailed Disclosure'!U111</f>
        <v>0</v>
      </c>
      <c r="V306" s="1028">
        <f>+'FA - Detailed Disclosure'!V111</f>
        <v>0</v>
      </c>
      <c r="W306" s="1428">
        <f>+'FA - Detailed Disclosure'!W111</f>
        <v>0</v>
      </c>
      <c r="X306" s="1028">
        <f>+'FA - Detailed Disclosure'!X111</f>
        <v>0</v>
      </c>
      <c r="Y306" s="1461">
        <f>+'FA - Detailed Disclosure'!Y111</f>
        <v>0</v>
      </c>
      <c r="Z306" s="855"/>
      <c r="AA306" s="854"/>
      <c r="AB306" s="854"/>
      <c r="AC306" s="854"/>
      <c r="AD306" s="854"/>
      <c r="AE306" s="854"/>
      <c r="AF306" s="854"/>
      <c r="AG306" s="854"/>
      <c r="AH306" s="854">
        <f>+'FA - Detailed Disclosure'!AJ111</f>
        <v>0</v>
      </c>
      <c r="AI306" s="854">
        <f>+'FA - Detailed Disclosure'!AK111</f>
        <v>0</v>
      </c>
      <c r="AJ306" s="854">
        <f>+'FA - Detailed Disclosure'!AL111</f>
        <v>0</v>
      </c>
      <c r="AK306" s="866">
        <f>+SUM(S306:V306)</f>
        <v>0</v>
      </c>
      <c r="AL306" s="856"/>
      <c r="AM306" s="856"/>
      <c r="AN306" s="857"/>
    </row>
    <row r="307" spans="1:40" s="470" customFormat="1" x14ac:dyDescent="0.25">
      <c r="A307" s="505" t="s">
        <v>275</v>
      </c>
      <c r="C307" s="858">
        <f>+'FA - Detailed Disclosure'!C112</f>
        <v>25.092000000000002</v>
      </c>
      <c r="D307" s="858">
        <f>+'FA - Detailed Disclosure'!D112</f>
        <v>33.361999999999995</v>
      </c>
      <c r="E307" s="858">
        <f>+'FA - Detailed Disclosure'!E112</f>
        <v>33.490999999999993</v>
      </c>
      <c r="F307" s="859">
        <f>+'FA - Detailed Disclosure'!F112</f>
        <v>31.828000000000003</v>
      </c>
      <c r="G307" s="858">
        <f>+'FA - Detailed Disclosure'!G112</f>
        <v>27.210999999999999</v>
      </c>
      <c r="H307" s="858">
        <f>+'FA - Detailed Disclosure'!H112</f>
        <v>31.655000000000005</v>
      </c>
      <c r="I307" s="858">
        <f>+'FA - Detailed Disclosure'!I112</f>
        <v>43.287000000000006</v>
      </c>
      <c r="J307" s="859">
        <f>+'FA - Detailed Disclosure'!J112</f>
        <v>44.644999999999996</v>
      </c>
      <c r="K307" s="858">
        <f>+'FA - Detailed Disclosure'!K112</f>
        <v>36.590000000000003</v>
      </c>
      <c r="L307" s="858">
        <f>+'FA - Detailed Disclosure'!L112</f>
        <v>56.321999999999996</v>
      </c>
      <c r="M307" s="858">
        <f>+'FA - Detailed Disclosure'!M112</f>
        <v>63.944000000000003</v>
      </c>
      <c r="N307" s="859">
        <f>+'FA - Detailed Disclosure'!N112</f>
        <v>68.871999999999986</v>
      </c>
      <c r="O307" s="858">
        <f>+'FA - Detailed Disclosure'!O112</f>
        <v>53.6</v>
      </c>
      <c r="P307" s="858">
        <f>+'FA - Detailed Disclosure'!P112</f>
        <v>60.834000000000003</v>
      </c>
      <c r="Q307" s="858">
        <f>+'FA - Detailed Disclosure'!Q112</f>
        <v>64.188000000000002</v>
      </c>
      <c r="R307" s="859">
        <f>+'FA - Detailed Disclosure'!R112</f>
        <v>70.287999999999982</v>
      </c>
      <c r="S307" s="858">
        <f>+'FA - Detailed Disclosure'!S112</f>
        <v>48.56</v>
      </c>
      <c r="T307" s="1029">
        <f>+'FA - Detailed Disclosure'!T112</f>
        <v>55.970999999999997</v>
      </c>
      <c r="U307" s="858">
        <f>+'FA - Detailed Disclosure'!U112</f>
        <v>64.790999999999997</v>
      </c>
      <c r="V307" s="1029">
        <f>+'FA - Detailed Disclosure'!V112</f>
        <v>68.234000000000009</v>
      </c>
      <c r="W307" s="1429">
        <f>+'FA - Detailed Disclosure'!W112</f>
        <v>46.558</v>
      </c>
      <c r="X307" s="1029">
        <f>+'FA - Detailed Disclosure'!X112</f>
        <v>55.761000000000003</v>
      </c>
      <c r="Y307" s="1462">
        <f>+'FA - Detailed Disclosure'!Y112</f>
        <v>64.046000000000006</v>
      </c>
      <c r="Z307" s="859">
        <f t="shared" ref="Z307" si="1004">+Z75</f>
        <v>70.313319617985513</v>
      </c>
      <c r="AA307" s="858">
        <f t="shared" ref="AA307:AD307" si="1005">+AA75</f>
        <v>52.013589546092305</v>
      </c>
      <c r="AB307" s="858">
        <f t="shared" si="1005"/>
        <v>61.687383785368112</v>
      </c>
      <c r="AC307" s="858">
        <f t="shared" si="1005"/>
        <v>70.822291425480373</v>
      </c>
      <c r="AD307" s="858">
        <f t="shared" si="1005"/>
        <v>77.169888058101265</v>
      </c>
      <c r="AE307" s="858"/>
      <c r="AF307" s="858"/>
      <c r="AG307" s="858">
        <f>+'FA - Detailed Disclosure'!AI112</f>
        <v>123.773</v>
      </c>
      <c r="AH307" s="858">
        <f>+'FA - Detailed Disclosure'!AJ112</f>
        <v>146.798</v>
      </c>
      <c r="AI307" s="858">
        <f>+'FA - Detailed Disclosure'!AK112</f>
        <v>226.29400000000001</v>
      </c>
      <c r="AJ307" s="858">
        <f>+'FA - Detailed Disclosure'!AL112</f>
        <v>248.91</v>
      </c>
      <c r="AK307" s="1180">
        <f>+SUM(S307:V307)</f>
        <v>237.55600000000001</v>
      </c>
      <c r="AL307" s="860">
        <f>SUM(W307:Z307)</f>
        <v>236.67831961798552</v>
      </c>
      <c r="AM307" s="860">
        <f>+SUM(AA307:AD307)</f>
        <v>261.69315281504203</v>
      </c>
      <c r="AN307" s="861"/>
    </row>
    <row r="308" spans="1:40" x14ac:dyDescent="0.25">
      <c r="C308" s="846"/>
      <c r="D308" s="846"/>
      <c r="E308" s="846"/>
      <c r="F308" s="847"/>
      <c r="G308" s="848"/>
      <c r="H308" s="848"/>
      <c r="I308" s="848"/>
      <c r="J308" s="847"/>
      <c r="K308" s="848"/>
      <c r="L308" s="848"/>
      <c r="M308" s="848"/>
      <c r="N308" s="847"/>
      <c r="O308" s="848"/>
      <c r="P308" s="848"/>
      <c r="Q308" s="848"/>
      <c r="R308" s="847"/>
      <c r="S308" s="848"/>
      <c r="T308" s="1030"/>
      <c r="U308" s="848"/>
      <c r="V308" s="1030"/>
      <c r="W308" s="1434"/>
      <c r="X308" s="1030"/>
      <c r="Y308" s="849"/>
      <c r="Z308" s="847"/>
      <c r="AA308" s="848"/>
      <c r="AB308" s="848"/>
      <c r="AC308" s="848"/>
      <c r="AD308" s="848"/>
      <c r="AE308" s="848"/>
      <c r="AF308" s="848"/>
      <c r="AG308" s="848"/>
      <c r="AH308" s="848"/>
      <c r="AI308" s="848"/>
      <c r="AJ308" s="848"/>
      <c r="AK308" s="849"/>
      <c r="AL308" s="846"/>
      <c r="AM308" s="846"/>
      <c r="AN308" s="850"/>
    </row>
    <row r="309" spans="1:40" ht="12" x14ac:dyDescent="0.3">
      <c r="A309" s="782" t="s">
        <v>29</v>
      </c>
      <c r="B309" s="470"/>
      <c r="C309" s="736"/>
      <c r="D309" s="736"/>
      <c r="E309" s="736"/>
      <c r="F309" s="752"/>
      <c r="G309" s="689"/>
      <c r="H309" s="689"/>
      <c r="I309" s="689"/>
      <c r="J309" s="779"/>
      <c r="K309" s="689"/>
      <c r="L309" s="689"/>
      <c r="M309" s="689"/>
      <c r="N309" s="779"/>
      <c r="O309" s="689"/>
      <c r="P309" s="689"/>
      <c r="Q309" s="689"/>
      <c r="R309" s="779"/>
      <c r="S309" s="689"/>
      <c r="T309" s="689"/>
      <c r="U309" s="736"/>
      <c r="V309" s="736"/>
      <c r="W309" s="986"/>
      <c r="X309" s="689"/>
      <c r="Y309" s="754"/>
      <c r="Z309" s="752"/>
      <c r="AA309" s="736"/>
      <c r="AB309" s="736"/>
      <c r="AC309" s="736"/>
      <c r="AD309" s="736"/>
      <c r="AE309" s="736"/>
      <c r="AF309" s="689"/>
      <c r="AG309" s="689"/>
      <c r="AH309" s="689"/>
      <c r="AI309" s="689"/>
      <c r="AJ309" s="689"/>
      <c r="AK309" s="781"/>
      <c r="AL309" s="689"/>
      <c r="AM309" s="689"/>
    </row>
    <row r="310" spans="1:40" ht="12" x14ac:dyDescent="0.3">
      <c r="A310" s="778" t="s">
        <v>213</v>
      </c>
      <c r="B310" s="470"/>
      <c r="C310" s="736"/>
      <c r="D310" s="736"/>
      <c r="E310" s="736"/>
      <c r="F310" s="752"/>
      <c r="G310" s="689"/>
      <c r="H310" s="689"/>
      <c r="I310" s="689"/>
      <c r="J310" s="779"/>
      <c r="K310" s="689"/>
      <c r="L310" s="689"/>
      <c r="M310" s="689"/>
      <c r="N310" s="779"/>
      <c r="O310" s="689">
        <f t="shared" ref="O310:O313" si="1006">+O304/K304-1</f>
        <v>0.38325405501226117</v>
      </c>
      <c r="P310" s="689">
        <f t="shared" ref="P310:P313" si="1007">+P304/L304-1</f>
        <v>7.6125833197854043E-2</v>
      </c>
      <c r="Q310" s="689">
        <f t="shared" ref="Q310:Q313" si="1008">+Q304/M304-1</f>
        <v>7.4817278244368124E-2</v>
      </c>
      <c r="R310" s="779">
        <f t="shared" ref="R310:R313" si="1009">+R304/N304-1</f>
        <v>3.9906744915186199E-2</v>
      </c>
      <c r="S310" s="689">
        <f>+S304/O304-1</f>
        <v>-4.6199192635468567E-2</v>
      </c>
      <c r="T310" s="689">
        <f>+T304/P304-1</f>
        <v>-1.1897118253578642E-2</v>
      </c>
      <c r="U310" s="689">
        <f t="shared" ref="U310:U313" si="1010">+U304/Q304-1</f>
        <v>5.2145791451796208E-2</v>
      </c>
      <c r="V310" s="689">
        <f t="shared" ref="V310:V311" si="1011">+V304/R304-1</f>
        <v>-3.092289376439683E-3</v>
      </c>
      <c r="W310" s="991">
        <f t="shared" ref="W310:W311" si="1012">+W304/S304-1</f>
        <v>-2.2102293084915847E-2</v>
      </c>
      <c r="X310" s="689">
        <f t="shared" ref="X310:X311" si="1013">+X304/T304-1</f>
        <v>-1.3951532757434437E-2</v>
      </c>
      <c r="Y310" s="781">
        <f t="shared" ref="Y310:Y311" si="1014">+Y304/U304-1</f>
        <v>-2.5769256330165469E-2</v>
      </c>
      <c r="Z310" s="752"/>
      <c r="AA310" s="736"/>
      <c r="AB310" s="736"/>
      <c r="AC310" s="736"/>
      <c r="AD310" s="736"/>
      <c r="AE310" s="736"/>
      <c r="AF310" s="689"/>
      <c r="AG310" s="689"/>
      <c r="AH310" s="689"/>
      <c r="AI310" s="689">
        <f t="shared" ref="AI310:AI313" si="1015">+AI304/AH304-1</f>
        <v>0.39993510753105332</v>
      </c>
      <c r="AJ310" s="689">
        <f>+AJ304/AI304-1</f>
        <v>0.11680178160253529</v>
      </c>
      <c r="AK310" s="781">
        <f t="shared" ref="AK310:AK311" si="1016">+AK304/AJ304-1</f>
        <v>-4.5115156436792425E-5</v>
      </c>
      <c r="AL310" s="689"/>
      <c r="AM310" s="689"/>
    </row>
    <row r="311" spans="1:40" ht="12" x14ac:dyDescent="0.3">
      <c r="A311" s="778" t="s">
        <v>214</v>
      </c>
      <c r="B311" s="470"/>
      <c r="C311" s="736"/>
      <c r="D311" s="736"/>
      <c r="E311" s="736"/>
      <c r="F311" s="752"/>
      <c r="G311" s="689"/>
      <c r="H311" s="689"/>
      <c r="I311" s="689"/>
      <c r="J311" s="779"/>
      <c r="K311" s="689"/>
      <c r="L311" s="689"/>
      <c r="M311" s="689"/>
      <c r="N311" s="779"/>
      <c r="O311" s="689">
        <f t="shared" si="1006"/>
        <v>1.4721108275610644</v>
      </c>
      <c r="P311" s="689">
        <f t="shared" si="1007"/>
        <v>0.10767500702839472</v>
      </c>
      <c r="Q311" s="689">
        <f t="shared" si="1008"/>
        <v>-0.34866150545658059</v>
      </c>
      <c r="R311" s="779">
        <f t="shared" si="1009"/>
        <v>-0.15965253856522377</v>
      </c>
      <c r="S311" s="689">
        <f t="shared" ref="S311:S313" si="1017">+S305/O305-1</f>
        <v>-0.42427370594307623</v>
      </c>
      <c r="T311" s="689">
        <f t="shared" ref="T311:T313" si="1018">+T305/P305-1</f>
        <v>-0.53718274111675135</v>
      </c>
      <c r="U311" s="689">
        <f t="shared" si="1010"/>
        <v>-0.34082772447372189</v>
      </c>
      <c r="V311" s="689">
        <f t="shared" si="1011"/>
        <v>-0.33042238460167539</v>
      </c>
      <c r="W311" s="991">
        <f t="shared" si="1012"/>
        <v>-0.25998975409836067</v>
      </c>
      <c r="X311" s="689">
        <f t="shared" si="1013"/>
        <v>0.14258294488620793</v>
      </c>
      <c r="Y311" s="781">
        <f t="shared" si="1014"/>
        <v>0.17510319356941118</v>
      </c>
      <c r="Z311" s="752"/>
      <c r="AA311" s="736"/>
      <c r="AB311" s="736"/>
      <c r="AC311" s="736"/>
      <c r="AD311" s="736"/>
      <c r="AE311" s="736"/>
      <c r="AF311" s="689"/>
      <c r="AG311" s="689"/>
      <c r="AH311" s="689"/>
      <c r="AI311" s="689">
        <f t="shared" si="1015"/>
        <v>4.5365174129353241</v>
      </c>
      <c r="AJ311" s="689">
        <f t="shared" ref="AJ311:AJ313" si="1019">+AJ305/AI305-1</f>
        <v>-2.0344344200424191E-2</v>
      </c>
      <c r="AK311" s="781">
        <f t="shared" si="1016"/>
        <v>-0.4162172078517703</v>
      </c>
      <c r="AL311" s="689"/>
      <c r="AM311" s="689"/>
    </row>
    <row r="312" spans="1:40" ht="12" x14ac:dyDescent="0.3">
      <c r="A312" s="778" t="s">
        <v>215</v>
      </c>
      <c r="B312" s="470"/>
      <c r="C312" s="736"/>
      <c r="D312" s="736"/>
      <c r="E312" s="736"/>
      <c r="F312" s="752"/>
      <c r="G312" s="786"/>
      <c r="H312" s="786"/>
      <c r="I312" s="786"/>
      <c r="J312" s="787"/>
      <c r="K312" s="786"/>
      <c r="L312" s="786"/>
      <c r="M312" s="786"/>
      <c r="N312" s="787"/>
      <c r="O312" s="786">
        <v>0</v>
      </c>
      <c r="P312" s="786">
        <v>0</v>
      </c>
      <c r="Q312" s="786">
        <v>0</v>
      </c>
      <c r="R312" s="787">
        <v>0</v>
      </c>
      <c r="S312" s="786">
        <v>0</v>
      </c>
      <c r="T312" s="786">
        <v>0</v>
      </c>
      <c r="U312" s="786">
        <v>0</v>
      </c>
      <c r="V312" s="1398">
        <v>0</v>
      </c>
      <c r="W312" s="1435">
        <v>0</v>
      </c>
      <c r="X312" s="786">
        <v>0</v>
      </c>
      <c r="Y312" s="788">
        <v>0</v>
      </c>
      <c r="Z312" s="752"/>
      <c r="AA312" s="736"/>
      <c r="AB312" s="736"/>
      <c r="AC312" s="736"/>
      <c r="AD312" s="736"/>
      <c r="AE312" s="736"/>
      <c r="AF312" s="786"/>
      <c r="AG312" s="786"/>
      <c r="AH312" s="786"/>
      <c r="AI312" s="786">
        <v>0</v>
      </c>
      <c r="AJ312" s="786">
        <v>0</v>
      </c>
      <c r="AK312" s="788">
        <v>0</v>
      </c>
      <c r="AL312" s="689"/>
      <c r="AM312" s="689"/>
    </row>
    <row r="313" spans="1:40" s="470" customFormat="1" x14ac:dyDescent="0.25">
      <c r="A313" s="766" t="str">
        <f>+A307</f>
        <v>Total Adj. EBITDA</v>
      </c>
      <c r="C313" s="769"/>
      <c r="D313" s="769"/>
      <c r="E313" s="769"/>
      <c r="F313" s="770"/>
      <c r="G313" s="769">
        <f t="shared" ref="G313" si="1020">+G307/C307-1</f>
        <v>8.4449226845209502E-2</v>
      </c>
      <c r="H313" s="769">
        <f t="shared" ref="H313" si="1021">+H307/D307-1</f>
        <v>-5.1165997242371253E-2</v>
      </c>
      <c r="I313" s="769">
        <f t="shared" ref="I313" si="1022">+I307/E307-1</f>
        <v>0.29249649159475721</v>
      </c>
      <c r="J313" s="770">
        <f t="shared" ref="J313" si="1023">+J307/F307-1</f>
        <v>0.40269573960035165</v>
      </c>
      <c r="K313" s="769">
        <f t="shared" ref="K313" si="1024">+K307/G307-1</f>
        <v>0.3446767851236634</v>
      </c>
      <c r="L313" s="769">
        <f t="shared" ref="L313" si="1025">+L307/H307-1</f>
        <v>0.77924498499447115</v>
      </c>
      <c r="M313" s="769">
        <f t="shared" ref="M313" si="1026">+M307/I307-1</f>
        <v>0.47721024788042588</v>
      </c>
      <c r="N313" s="770">
        <f t="shared" ref="N313" si="1027">+N307/J307-1</f>
        <v>0.54265875237988559</v>
      </c>
      <c r="O313" s="769">
        <f t="shared" si="1006"/>
        <v>0.46488111505875906</v>
      </c>
      <c r="P313" s="769">
        <f t="shared" si="1007"/>
        <v>8.0110791520187741E-2</v>
      </c>
      <c r="Q313" s="769">
        <f t="shared" si="1008"/>
        <v>3.8158388590017189E-3</v>
      </c>
      <c r="R313" s="770">
        <f t="shared" si="1009"/>
        <v>2.0559879196190067E-2</v>
      </c>
      <c r="S313" s="769">
        <f t="shared" si="1017"/>
        <v>-9.4029850746268684E-2</v>
      </c>
      <c r="T313" s="769">
        <f t="shared" si="1018"/>
        <v>-7.9938849985205729E-2</v>
      </c>
      <c r="U313" s="769">
        <f t="shared" si="1010"/>
        <v>9.3942793045427297E-3</v>
      </c>
      <c r="V313" s="769">
        <f t="shared" ref="V313" si="1028">+V307/R307-1</f>
        <v>-2.9222626906441729E-2</v>
      </c>
      <c r="W313" s="989">
        <f t="shared" ref="W313" si="1029">+W307/S307-1</f>
        <v>-4.1227347611202725E-2</v>
      </c>
      <c r="X313" s="769">
        <f t="shared" ref="X313" si="1030">+X307/T307-1</f>
        <v>-3.7519429704667706E-3</v>
      </c>
      <c r="Y313" s="772">
        <f t="shared" ref="Y313" si="1031">+Y307/U307-1</f>
        <v>-1.1498510595607248E-2</v>
      </c>
      <c r="Z313" s="770">
        <f t="shared" ref="Z313" si="1032">+Z307/V307-1</f>
        <v>3.0473365448097756E-2</v>
      </c>
      <c r="AA313" s="769">
        <f t="shared" ref="AA313" si="1033">+AA307/W307-1</f>
        <v>0.11717834842760233</v>
      </c>
      <c r="AB313" s="769">
        <f t="shared" ref="AB313" si="1034">+AB307/X307-1</f>
        <v>0.1062818777526966</v>
      </c>
      <c r="AC313" s="769">
        <f t="shared" ref="AC313" si="1035">+AC307/Y307-1</f>
        <v>0.10580350725229315</v>
      </c>
      <c r="AD313" s="769">
        <f t="shared" ref="AD313" si="1036">+AD307/Z307-1</f>
        <v>9.7514503331199709E-2</v>
      </c>
      <c r="AE313" s="767"/>
      <c r="AF313" s="769"/>
      <c r="AG313" s="769"/>
      <c r="AH313" s="769">
        <f t="shared" ref="AH313" si="1037">+AH307/AG307-1</f>
        <v>0.18602603152545383</v>
      </c>
      <c r="AI313" s="769">
        <f t="shared" si="1015"/>
        <v>0.54153326339595909</v>
      </c>
      <c r="AJ313" s="769">
        <f t="shared" si="1019"/>
        <v>9.9940784996508825E-2</v>
      </c>
      <c r="AK313" s="772">
        <f t="shared" ref="AK313" si="1038">+AK307/AJ307-1</f>
        <v>-4.5614880880639475E-2</v>
      </c>
      <c r="AL313" s="769">
        <f t="shared" ref="AL313" si="1039">+AL307/AK307-1</f>
        <v>-3.6946251915948025E-3</v>
      </c>
      <c r="AM313" s="769">
        <f t="shared" ref="AM313" si="1040">+AM307/AL307-1</f>
        <v>0.10569127428922132</v>
      </c>
    </row>
    <row r="314" spans="1:40" x14ac:dyDescent="0.25">
      <c r="C314" s="846"/>
      <c r="D314" s="846"/>
      <c r="E314" s="846"/>
      <c r="F314" s="847"/>
      <c r="G314" s="848"/>
      <c r="H314" s="848"/>
      <c r="I314" s="848"/>
      <c r="J314" s="847"/>
      <c r="K314" s="848"/>
      <c r="L314" s="848"/>
      <c r="M314" s="848"/>
      <c r="N314" s="847"/>
      <c r="O314" s="848"/>
      <c r="P314" s="848"/>
      <c r="Q314" s="848"/>
      <c r="R314" s="847"/>
      <c r="S314" s="848"/>
      <c r="T314" s="1030"/>
      <c r="U314" s="848"/>
      <c r="V314" s="1030"/>
      <c r="W314" s="1417"/>
      <c r="X314" s="1030"/>
      <c r="Y314" s="849"/>
      <c r="Z314" s="847"/>
      <c r="AA314" s="848"/>
      <c r="AB314" s="848"/>
      <c r="AC314" s="848"/>
      <c r="AD314" s="848"/>
      <c r="AE314" s="848"/>
      <c r="AF314" s="848"/>
      <c r="AG314" s="848"/>
      <c r="AH314" s="848"/>
      <c r="AI314" s="848"/>
      <c r="AJ314" s="848"/>
      <c r="AK314" s="849"/>
      <c r="AL314" s="846"/>
      <c r="AM314" s="846"/>
      <c r="AN314" s="850"/>
    </row>
    <row r="315" spans="1:40" ht="12" x14ac:dyDescent="0.3">
      <c r="A315" s="782" t="s">
        <v>33</v>
      </c>
      <c r="B315" s="470"/>
      <c r="C315" s="736"/>
      <c r="D315" s="736"/>
      <c r="E315" s="736"/>
      <c r="F315" s="752"/>
      <c r="G315" s="689"/>
      <c r="H315" s="689"/>
      <c r="I315" s="689"/>
      <c r="J315" s="779"/>
      <c r="K315" s="689"/>
      <c r="L315" s="689"/>
      <c r="M315" s="689"/>
      <c r="N315" s="779"/>
      <c r="O315" s="689"/>
      <c r="P315" s="689"/>
      <c r="Q315" s="689"/>
      <c r="R315" s="779"/>
      <c r="S315" s="689"/>
      <c r="T315" s="689"/>
      <c r="U315" s="736"/>
      <c r="V315" s="736"/>
      <c r="W315" s="986"/>
      <c r="X315" s="689"/>
      <c r="Y315" s="754"/>
      <c r="Z315" s="752"/>
      <c r="AA315" s="736"/>
      <c r="AB315" s="736"/>
      <c r="AC315" s="736"/>
      <c r="AD315" s="736"/>
      <c r="AE315" s="736"/>
      <c r="AF315" s="689"/>
      <c r="AG315" s="689"/>
      <c r="AH315" s="689"/>
      <c r="AI315" s="689"/>
      <c r="AJ315" s="689"/>
      <c r="AK315" s="781"/>
      <c r="AL315" s="689"/>
      <c r="AM315" s="689"/>
    </row>
    <row r="316" spans="1:40" ht="12" x14ac:dyDescent="0.3">
      <c r="A316" s="778" t="s">
        <v>213</v>
      </c>
      <c r="B316" s="470"/>
      <c r="C316" s="736"/>
      <c r="D316" s="736"/>
      <c r="E316" s="736"/>
      <c r="F316" s="752"/>
      <c r="G316" s="689"/>
      <c r="H316" s="689"/>
      <c r="I316" s="689"/>
      <c r="J316" s="779"/>
      <c r="K316" s="689">
        <f>+K304/K262</f>
        <v>0.29047234904397384</v>
      </c>
      <c r="L316" s="689">
        <f t="shared" ref="L316:S316" si="1041">+L304/L262</f>
        <v>0.33634996582365007</v>
      </c>
      <c r="M316" s="689">
        <f t="shared" si="1041"/>
        <v>0.33479480663261457</v>
      </c>
      <c r="N316" s="779">
        <f t="shared" si="1041"/>
        <v>0.34057617855949879</v>
      </c>
      <c r="O316" s="689">
        <f t="shared" si="1041"/>
        <v>0.2924578981560142</v>
      </c>
      <c r="P316" s="689">
        <f t="shared" si="1041"/>
        <v>0.31041496913670708</v>
      </c>
      <c r="Q316" s="689">
        <f t="shared" si="1041"/>
        <v>0.32486044147628212</v>
      </c>
      <c r="R316" s="779">
        <f t="shared" si="1041"/>
        <v>0.34385284032005098</v>
      </c>
      <c r="S316" s="689">
        <f t="shared" si="1041"/>
        <v>0.29368127531961907</v>
      </c>
      <c r="T316" s="689">
        <f t="shared" ref="T316:U316" si="1042">+T304/T262</f>
        <v>0.32163361650336242</v>
      </c>
      <c r="U316" s="689">
        <f t="shared" si="1042"/>
        <v>0.34188791565840748</v>
      </c>
      <c r="V316" s="689">
        <f t="shared" ref="V316:W316" si="1043">+V304/V262</f>
        <v>0.35370563388008125</v>
      </c>
      <c r="W316" s="991">
        <f t="shared" si="1043"/>
        <v>0.29283094275349197</v>
      </c>
      <c r="X316" s="689">
        <f t="shared" ref="X316:Y316" si="1044">+X304/X262</f>
        <v>0.31774008794294795</v>
      </c>
      <c r="Y316" s="781">
        <f t="shared" si="1044"/>
        <v>0.3352505645922072</v>
      </c>
      <c r="Z316" s="752"/>
      <c r="AA316" s="736"/>
      <c r="AB316" s="736"/>
      <c r="AC316" s="736"/>
      <c r="AD316" s="736"/>
      <c r="AE316" s="736"/>
      <c r="AF316" s="689"/>
      <c r="AG316" s="689"/>
      <c r="AH316" s="689">
        <f t="shared" ref="AH316:AJ319" si="1045">+AH304/AH262</f>
        <v>0.3065938890126359</v>
      </c>
      <c r="AI316" s="689">
        <f t="shared" si="1045"/>
        <v>0.32837314882373481</v>
      </c>
      <c r="AJ316" s="689">
        <f t="shared" si="1045"/>
        <v>0.31899001964410351</v>
      </c>
      <c r="AK316" s="781">
        <f t="shared" ref="AK316" si="1046">+AK304/AK262</f>
        <v>0.3293025729711741</v>
      </c>
      <c r="AL316" s="689"/>
      <c r="AM316" s="689"/>
    </row>
    <row r="317" spans="1:40" ht="12" x14ac:dyDescent="0.3">
      <c r="A317" s="778" t="s">
        <v>214</v>
      </c>
      <c r="B317" s="470"/>
      <c r="C317" s="736"/>
      <c r="D317" s="736"/>
      <c r="E317" s="736"/>
      <c r="F317" s="752"/>
      <c r="G317" s="689"/>
      <c r="H317" s="689"/>
      <c r="I317" s="689"/>
      <c r="J317" s="779"/>
      <c r="K317" s="689">
        <f>+K305/K263</f>
        <v>0.16562009419152274</v>
      </c>
      <c r="L317" s="689">
        <f t="shared" ref="L317:S319" si="1047">+L305/L263</f>
        <v>0.23650265957446809</v>
      </c>
      <c r="M317" s="689">
        <f t="shared" si="1047"/>
        <v>0.30119398791965163</v>
      </c>
      <c r="N317" s="779">
        <f t="shared" si="1047"/>
        <v>0.21015359435981368</v>
      </c>
      <c r="O317" s="689">
        <f t="shared" si="1047"/>
        <v>0.21363536120475093</v>
      </c>
      <c r="P317" s="689">
        <f t="shared" si="1047"/>
        <v>0.23846991889601746</v>
      </c>
      <c r="Q317" s="689">
        <f t="shared" si="1047"/>
        <v>0.22078538004299986</v>
      </c>
      <c r="R317" s="779">
        <f t="shared" si="1047"/>
        <v>0.21426662084240272</v>
      </c>
      <c r="S317" s="689">
        <f t="shared" si="1047"/>
        <v>0.15711526078557631</v>
      </c>
      <c r="T317" s="689">
        <f t="shared" ref="T317:U317" si="1048">+T305/T263</f>
        <v>0.15124621573425123</v>
      </c>
      <c r="U317" s="689">
        <f t="shared" si="1048"/>
        <v>0.1783762836659562</v>
      </c>
      <c r="V317" s="689">
        <f t="shared" ref="V317:W317" si="1049">+V305/V263</f>
        <v>0.17026965782914114</v>
      </c>
      <c r="W317" s="991">
        <f t="shared" si="1049"/>
        <v>0.13118103800572128</v>
      </c>
      <c r="X317" s="689">
        <f t="shared" ref="X317:Y317" si="1050">+X305/X263</f>
        <v>0.1722826311655021</v>
      </c>
      <c r="Y317" s="781">
        <f t="shared" si="1050"/>
        <v>0.20316256009615385</v>
      </c>
      <c r="Z317" s="752"/>
      <c r="AA317" s="736"/>
      <c r="AB317" s="736"/>
      <c r="AC317" s="736"/>
      <c r="AD317" s="736"/>
      <c r="AE317" s="736"/>
      <c r="AF317" s="689"/>
      <c r="AG317" s="689"/>
      <c r="AH317" s="689">
        <f t="shared" si="1045"/>
        <v>9.9538458490977158E-2</v>
      </c>
      <c r="AI317" s="689">
        <f t="shared" si="1045"/>
        <v>0.24402459454955314</v>
      </c>
      <c r="AJ317" s="689">
        <f t="shared" si="1045"/>
        <v>0.2223083197389886</v>
      </c>
      <c r="AK317" s="781">
        <f t="shared" ref="AK317" si="1051">+AK305/AK263</f>
        <v>0.16431721246295092</v>
      </c>
      <c r="AL317" s="689"/>
      <c r="AM317" s="689"/>
    </row>
    <row r="318" spans="1:40" ht="12" x14ac:dyDescent="0.3">
      <c r="A318" s="778" t="s">
        <v>215</v>
      </c>
      <c r="B318" s="470"/>
      <c r="C318" s="736"/>
      <c r="D318" s="736"/>
      <c r="E318" s="736"/>
      <c r="F318" s="752"/>
      <c r="G318" s="786"/>
      <c r="H318" s="786"/>
      <c r="I318" s="786"/>
      <c r="J318" s="787"/>
      <c r="K318" s="786">
        <f>+K306/K264</f>
        <v>0</v>
      </c>
      <c r="L318" s="786">
        <f t="shared" si="1047"/>
        <v>0</v>
      </c>
      <c r="M318" s="786">
        <f t="shared" si="1047"/>
        <v>0</v>
      </c>
      <c r="N318" s="787">
        <f t="shared" si="1047"/>
        <v>0</v>
      </c>
      <c r="O318" s="786">
        <f t="shared" si="1047"/>
        <v>0</v>
      </c>
      <c r="P318" s="786">
        <f t="shared" si="1047"/>
        <v>0</v>
      </c>
      <c r="Q318" s="786">
        <f t="shared" si="1047"/>
        <v>0</v>
      </c>
      <c r="R318" s="787">
        <f t="shared" si="1047"/>
        <v>0</v>
      </c>
      <c r="S318" s="786">
        <f t="shared" si="1047"/>
        <v>0</v>
      </c>
      <c r="T318" s="786">
        <f t="shared" ref="T318:U318" si="1052">+T306/T264</f>
        <v>0</v>
      </c>
      <c r="U318" s="786">
        <f t="shared" si="1052"/>
        <v>0</v>
      </c>
      <c r="V318" s="1398">
        <f t="shared" ref="V318:W318" si="1053">+V306/V264</f>
        <v>0</v>
      </c>
      <c r="W318" s="1435">
        <f t="shared" si="1053"/>
        <v>0</v>
      </c>
      <c r="X318" s="786">
        <f t="shared" ref="X318:Y318" si="1054">+X306/X264</f>
        <v>0</v>
      </c>
      <c r="Y318" s="788">
        <f t="shared" si="1054"/>
        <v>0</v>
      </c>
      <c r="Z318" s="752"/>
      <c r="AA318" s="736"/>
      <c r="AB318" s="736"/>
      <c r="AC318" s="736"/>
      <c r="AD318" s="736"/>
      <c r="AE318" s="736"/>
      <c r="AF318" s="786"/>
      <c r="AG318" s="786"/>
      <c r="AH318" s="786">
        <f t="shared" si="1045"/>
        <v>0</v>
      </c>
      <c r="AI318" s="786">
        <f t="shared" si="1045"/>
        <v>0</v>
      </c>
      <c r="AJ318" s="786">
        <f t="shared" si="1045"/>
        <v>0</v>
      </c>
      <c r="AK318" s="788">
        <f t="shared" ref="AK318" si="1055">+AK306/AK264</f>
        <v>0</v>
      </c>
      <c r="AL318" s="689"/>
      <c r="AM318" s="689"/>
    </row>
    <row r="319" spans="1:40" s="470" customFormat="1" x14ac:dyDescent="0.25">
      <c r="A319" s="766" t="str">
        <f>+A313</f>
        <v>Total Adj. EBITDA</v>
      </c>
      <c r="C319" s="769">
        <f t="shared" ref="C319:J319" si="1056">+C307/C265</f>
        <v>0.22876001713967931</v>
      </c>
      <c r="D319" s="769">
        <f t="shared" si="1056"/>
        <v>0.27431117981269681</v>
      </c>
      <c r="E319" s="769">
        <f t="shared" si="1056"/>
        <v>0.27059279787345775</v>
      </c>
      <c r="F319" s="770">
        <f t="shared" si="1056"/>
        <v>0.25122740547793831</v>
      </c>
      <c r="G319" s="769">
        <f t="shared" si="1056"/>
        <v>0.24550023006342531</v>
      </c>
      <c r="H319" s="769">
        <f t="shared" si="1056"/>
        <v>0.30149629022887248</v>
      </c>
      <c r="I319" s="769">
        <f t="shared" si="1056"/>
        <v>0.31647633391334873</v>
      </c>
      <c r="J319" s="770">
        <f t="shared" si="1056"/>
        <v>0.28519138389206866</v>
      </c>
      <c r="K319" s="769">
        <f>+K307/K265</f>
        <v>0.2770500492163247</v>
      </c>
      <c r="L319" s="769">
        <f t="shared" si="1047"/>
        <v>0.32216031940329243</v>
      </c>
      <c r="M319" s="769">
        <f t="shared" si="1047"/>
        <v>0.33154453587187027</v>
      </c>
      <c r="N319" s="770">
        <f t="shared" si="1047"/>
        <v>0.32405473058174761</v>
      </c>
      <c r="O319" s="769">
        <f t="shared" si="1047"/>
        <v>0.28228206086970259</v>
      </c>
      <c r="P319" s="769">
        <f t="shared" si="1047"/>
        <v>0.30181433908345368</v>
      </c>
      <c r="Q319" s="769">
        <f t="shared" si="1047"/>
        <v>0.31161341062013925</v>
      </c>
      <c r="R319" s="770">
        <f t="shared" si="1047"/>
        <v>0.33061925256943947</v>
      </c>
      <c r="S319" s="769">
        <f t="shared" si="1047"/>
        <v>0.27666362807657247</v>
      </c>
      <c r="T319" s="769">
        <f t="shared" ref="T319:U319" si="1057">+T307/T265</f>
        <v>0.30203167579526752</v>
      </c>
      <c r="U319" s="769">
        <f t="shared" si="1057"/>
        <v>0.32336647301910521</v>
      </c>
      <c r="V319" s="769">
        <f t="shared" ref="V319:W319" si="1058">+V307/V265</f>
        <v>0.33685488887353016</v>
      </c>
      <c r="W319" s="989">
        <f t="shared" si="1058"/>
        <v>0.27481465741134248</v>
      </c>
      <c r="X319" s="769">
        <f t="shared" ref="X319:Y319" si="1059">+X307/X265</f>
        <v>0.30215230890943184</v>
      </c>
      <c r="Y319" s="772">
        <f t="shared" si="1059"/>
        <v>0.32164685439360385</v>
      </c>
      <c r="Z319" s="770">
        <f t="shared" ref="Z319" si="1060">+Z307/Z265</f>
        <v>0.33767038259103205</v>
      </c>
      <c r="AA319" s="769">
        <f t="shared" ref="AA319:AD319" si="1061">+AA307/AA265</f>
        <v>0.29165889573043252</v>
      </c>
      <c r="AB319" s="769">
        <f t="shared" si="1061"/>
        <v>0.3147444345680353</v>
      </c>
      <c r="AC319" s="769">
        <f t="shared" si="1061"/>
        <v>0.33101795445936744</v>
      </c>
      <c r="AD319" s="769">
        <f t="shared" si="1061"/>
        <v>0.34248413945218037</v>
      </c>
      <c r="AE319" s="767"/>
      <c r="AF319" s="769"/>
      <c r="AG319" s="769">
        <f>+AG307/AG265</f>
        <v>0.25691464961277966</v>
      </c>
      <c r="AH319" s="769">
        <f t="shared" si="1045"/>
        <v>0.28831748351186481</v>
      </c>
      <c r="AI319" s="769">
        <f t="shared" si="1045"/>
        <v>0.31769702159919699</v>
      </c>
      <c r="AJ319" s="769">
        <f t="shared" si="1045"/>
        <v>0.30728757084675373</v>
      </c>
      <c r="AK319" s="772">
        <f t="shared" ref="AK319" si="1062">+AK307/AK265</f>
        <v>0.31103447282592328</v>
      </c>
      <c r="AL319" s="769">
        <f>+AL307/AL265</f>
        <v>0.31088230813797701</v>
      </c>
      <c r="AM319" s="769">
        <f t="shared" ref="AM319" si="1063">+AM307/AM265</f>
        <v>0.32164603317354012</v>
      </c>
    </row>
    <row r="320" spans="1:40" x14ac:dyDescent="0.25">
      <c r="C320" s="744"/>
      <c r="D320" s="744"/>
      <c r="E320" s="744"/>
      <c r="F320" s="745"/>
      <c r="G320" s="744"/>
      <c r="H320" s="744"/>
      <c r="I320" s="744"/>
      <c r="J320" s="745"/>
      <c r="K320" s="744"/>
      <c r="L320" s="744"/>
      <c r="M320" s="744"/>
      <c r="N320" s="745"/>
      <c r="O320" s="744"/>
      <c r="P320" s="744"/>
      <c r="Q320" s="744"/>
      <c r="R320" s="745"/>
      <c r="S320" s="744"/>
      <c r="T320" s="744"/>
      <c r="U320" s="744"/>
      <c r="V320" s="744"/>
      <c r="W320" s="985"/>
      <c r="X320" s="744"/>
      <c r="Y320" s="792"/>
      <c r="Z320" s="745"/>
      <c r="AA320" s="744"/>
      <c r="AB320" s="744"/>
      <c r="AC320" s="744"/>
      <c r="AD320" s="744"/>
      <c r="AE320" s="744"/>
      <c r="AF320" s="744"/>
      <c r="AG320" s="744"/>
      <c r="AH320" s="744"/>
      <c r="AI320" s="744"/>
      <c r="AJ320" s="744"/>
      <c r="AK320" s="792"/>
      <c r="AL320" s="744"/>
      <c r="AM320" s="744"/>
    </row>
    <row r="321" spans="1:40" s="817" customFormat="1" ht="12" x14ac:dyDescent="0.3">
      <c r="A321" s="740" t="s">
        <v>276</v>
      </c>
      <c r="B321" s="816"/>
      <c r="C321" s="689"/>
      <c r="D321" s="689"/>
      <c r="E321" s="750"/>
      <c r="F321" s="779"/>
      <c r="G321" s="689"/>
      <c r="H321" s="689"/>
      <c r="I321" s="736"/>
      <c r="J321" s="779"/>
      <c r="K321" s="689"/>
      <c r="L321" s="689"/>
      <c r="M321" s="736"/>
      <c r="N321" s="779"/>
      <c r="O321" s="689"/>
      <c r="P321" s="689"/>
      <c r="Q321" s="689"/>
      <c r="R321" s="779"/>
      <c r="S321" s="689"/>
      <c r="T321" s="689"/>
      <c r="U321" s="689"/>
      <c r="V321" s="689"/>
      <c r="W321" s="991"/>
      <c r="X321" s="689"/>
      <c r="Y321" s="781"/>
      <c r="Z321" s="779"/>
      <c r="AA321" s="689"/>
      <c r="AB321" s="689"/>
      <c r="AC321" s="689"/>
      <c r="AD321" s="689"/>
      <c r="AE321" s="689"/>
      <c r="AF321" s="689"/>
      <c r="AG321" s="689"/>
      <c r="AH321" s="689"/>
      <c r="AI321" s="689"/>
      <c r="AJ321" s="689"/>
      <c r="AK321" s="781"/>
      <c r="AL321" s="689"/>
      <c r="AM321" s="689"/>
    </row>
    <row r="322" spans="1:40" s="817" customFormat="1" ht="12" x14ac:dyDescent="0.3">
      <c r="A322" s="798"/>
      <c r="B322" s="816"/>
      <c r="C322" s="689"/>
      <c r="D322" s="689"/>
      <c r="E322" s="750"/>
      <c r="F322" s="779"/>
      <c r="G322" s="689"/>
      <c r="H322" s="689"/>
      <c r="I322" s="736"/>
      <c r="J322" s="779"/>
      <c r="K322" s="689"/>
      <c r="L322" s="689"/>
      <c r="M322" s="736"/>
      <c r="N322" s="779"/>
      <c r="O322" s="689"/>
      <c r="P322" s="689"/>
      <c r="Q322" s="689"/>
      <c r="R322" s="779"/>
      <c r="S322" s="689"/>
      <c r="T322" s="689"/>
      <c r="U322" s="689"/>
      <c r="V322" s="689"/>
      <c r="W322" s="991"/>
      <c r="X322" s="689"/>
      <c r="Y322" s="781"/>
      <c r="Z322" s="779"/>
      <c r="AA322" s="689"/>
      <c r="AB322" s="689"/>
      <c r="AC322" s="689"/>
      <c r="AD322" s="689"/>
      <c r="AE322" s="689"/>
      <c r="AF322" s="689"/>
      <c r="AG322" s="689"/>
      <c r="AH322" s="689"/>
      <c r="AI322" s="689"/>
      <c r="AJ322" s="689"/>
      <c r="AK322" s="781"/>
      <c r="AL322" s="689"/>
      <c r="AM322" s="689"/>
    </row>
    <row r="323" spans="1:40" s="817" customFormat="1" ht="12" x14ac:dyDescent="0.3">
      <c r="A323" s="748" t="s">
        <v>277</v>
      </c>
      <c r="B323" s="816"/>
      <c r="C323" s="689"/>
      <c r="D323" s="689"/>
      <c r="E323" s="689"/>
      <c r="F323" s="779"/>
      <c r="G323" s="689"/>
      <c r="H323" s="689"/>
      <c r="I323" s="736"/>
      <c r="J323" s="779"/>
      <c r="K323" s="689"/>
      <c r="L323" s="689"/>
      <c r="M323" s="736"/>
      <c r="N323" s="779"/>
      <c r="O323" s="689"/>
      <c r="P323" s="689"/>
      <c r="Q323" s="689"/>
      <c r="R323" s="779"/>
      <c r="S323" s="689"/>
      <c r="T323" s="813"/>
      <c r="U323" s="689"/>
      <c r="V323" s="1399"/>
      <c r="W323" s="991"/>
      <c r="X323" s="813"/>
      <c r="Y323" s="781"/>
      <c r="Z323" s="779"/>
      <c r="AA323" s="689"/>
      <c r="AB323" s="689"/>
      <c r="AC323" s="689"/>
      <c r="AD323" s="689"/>
      <c r="AE323" s="689"/>
      <c r="AF323" s="689"/>
      <c r="AG323" s="689"/>
      <c r="AH323" s="689"/>
      <c r="AI323" s="689"/>
      <c r="AJ323" s="689"/>
      <c r="AK323" s="781"/>
      <c r="AL323" s="689"/>
      <c r="AM323" s="689"/>
    </row>
    <row r="324" spans="1:40" s="794" customFormat="1" collapsed="1" x14ac:dyDescent="0.25">
      <c r="A324" s="793" t="s">
        <v>278</v>
      </c>
      <c r="C324" s="736"/>
      <c r="D324" s="736"/>
      <c r="E324" s="736"/>
      <c r="F324" s="752"/>
      <c r="G324" s="736">
        <f t="shared" ref="G324:V324" si="1064">+G127</f>
        <v>-130.38800000000001</v>
      </c>
      <c r="H324" s="736">
        <f t="shared" si="1064"/>
        <v>-117.60899999999999</v>
      </c>
      <c r="I324" s="736">
        <f t="shared" si="1064"/>
        <v>-124.37700000000001</v>
      </c>
      <c r="J324" s="752">
        <f t="shared" si="1064"/>
        <v>-154.08500000000001</v>
      </c>
      <c r="K324" s="736">
        <f t="shared" si="1064"/>
        <v>-114.172</v>
      </c>
      <c r="L324" s="736">
        <f t="shared" si="1064"/>
        <v>-258.47399999999999</v>
      </c>
      <c r="M324" s="736">
        <f t="shared" si="1064"/>
        <v>-276.49600000000004</v>
      </c>
      <c r="N324" s="752">
        <f t="shared" si="1064"/>
        <v>-293.58299999999997</v>
      </c>
      <c r="O324" s="736">
        <f t="shared" si="1064"/>
        <v>-308.59800000000001</v>
      </c>
      <c r="P324" s="736">
        <f t="shared" si="1064"/>
        <v>-353.15499999999997</v>
      </c>
      <c r="Q324" s="736">
        <f t="shared" si="1064"/>
        <v>-390.262</v>
      </c>
      <c r="R324" s="752">
        <f t="shared" si="1064"/>
        <v>-393.61099999999999</v>
      </c>
      <c r="S324" s="736">
        <f t="shared" si="1064"/>
        <v>-402.11</v>
      </c>
      <c r="T324" s="736">
        <f t="shared" si="1064"/>
        <v>-401.20300000000003</v>
      </c>
      <c r="U324" s="736">
        <f t="shared" ref="U324" si="1065">+U127</f>
        <v>-167.041</v>
      </c>
      <c r="V324" s="736">
        <f t="shared" si="1064"/>
        <v>-213.774</v>
      </c>
      <c r="W324" s="986">
        <f t="shared" ref="W324:Z324" si="1066">+W127</f>
        <v>-245.43600000000001</v>
      </c>
      <c r="X324" s="736">
        <f t="shared" si="1066"/>
        <v>-269.56299999999999</v>
      </c>
      <c r="Y324" s="754">
        <f t="shared" si="1066"/>
        <v>-307.392</v>
      </c>
      <c r="Z324" s="752">
        <f t="shared" si="1066"/>
        <v>-357.03926414405032</v>
      </c>
      <c r="AA324" s="736"/>
      <c r="AB324" s="736"/>
      <c r="AC324" s="736"/>
      <c r="AD324" s="736"/>
      <c r="AE324" s="736"/>
      <c r="AF324" s="736"/>
      <c r="AG324" s="736"/>
      <c r="AH324" s="736"/>
      <c r="AI324" s="736"/>
      <c r="AJ324" s="736">
        <f>+R324</f>
        <v>-393.61099999999999</v>
      </c>
      <c r="AK324" s="754">
        <f>+V324</f>
        <v>-213.774</v>
      </c>
      <c r="AL324" s="736">
        <f>+Z324</f>
        <v>-357.03926414405032</v>
      </c>
      <c r="AM324" s="736"/>
    </row>
    <row r="325" spans="1:40" s="794" customFormat="1" collapsed="1" x14ac:dyDescent="0.25">
      <c r="A325" s="793" t="s">
        <v>279</v>
      </c>
      <c r="C325" s="736"/>
      <c r="D325" s="736"/>
      <c r="E325" s="736"/>
      <c r="F325" s="752"/>
      <c r="G325" s="736"/>
      <c r="H325" s="736"/>
      <c r="I325" s="736"/>
      <c r="J325" s="752"/>
      <c r="K325" s="736"/>
      <c r="L325" s="736"/>
      <c r="M325" s="736"/>
      <c r="N325" s="752"/>
      <c r="O325" s="736">
        <f>AVERAGE(N324:O324)</f>
        <v>-301.09050000000002</v>
      </c>
      <c r="P325" s="736">
        <f t="shared" ref="P325:V325" si="1067">AVERAGE(O324:P324)</f>
        <v>-330.87649999999996</v>
      </c>
      <c r="Q325" s="736">
        <f t="shared" si="1067"/>
        <v>-371.70849999999996</v>
      </c>
      <c r="R325" s="752">
        <f t="shared" si="1067"/>
        <v>-391.93650000000002</v>
      </c>
      <c r="S325" s="736">
        <f t="shared" si="1067"/>
        <v>-397.8605</v>
      </c>
      <c r="T325" s="736">
        <f t="shared" si="1067"/>
        <v>-401.65650000000005</v>
      </c>
      <c r="U325" s="736">
        <f t="shared" ref="U325" si="1068">AVERAGE(T324:U324)</f>
        <v>-284.12200000000001</v>
      </c>
      <c r="V325" s="736">
        <f t="shared" si="1067"/>
        <v>-190.4075</v>
      </c>
      <c r="W325" s="986">
        <f t="shared" ref="W325" si="1069">AVERAGE(V324:W324)</f>
        <v>-229.60500000000002</v>
      </c>
      <c r="X325" s="736">
        <f t="shared" ref="X325" si="1070">AVERAGE(W324:X324)</f>
        <v>-257.49950000000001</v>
      </c>
      <c r="Y325" s="754">
        <f t="shared" ref="Y325" si="1071">AVERAGE(X324:Y324)</f>
        <v>-288.47749999999996</v>
      </c>
      <c r="Z325" s="752">
        <f t="shared" ref="Z325" si="1072">AVERAGE(Y324:Z324)</f>
        <v>-332.21563207202519</v>
      </c>
      <c r="AA325" s="736"/>
      <c r="AB325" s="736"/>
      <c r="AC325" s="736"/>
      <c r="AD325" s="736"/>
      <c r="AE325" s="736"/>
      <c r="AF325" s="736"/>
      <c r="AG325" s="736"/>
      <c r="AH325" s="736"/>
      <c r="AI325" s="736"/>
      <c r="AJ325" s="736"/>
      <c r="AK325" s="754">
        <f>AVERAGE(S325:V325)</f>
        <v>-318.51162500000004</v>
      </c>
      <c r="AL325" s="736">
        <f>+AVERAGE(AK324:AL324)</f>
        <v>-285.40663207202516</v>
      </c>
      <c r="AM325" s="736"/>
    </row>
    <row r="326" spans="1:40" s="789" customFormat="1" ht="13" x14ac:dyDescent="0.4">
      <c r="A326" s="512" t="s">
        <v>47</v>
      </c>
      <c r="B326" s="783"/>
      <c r="C326" s="869"/>
      <c r="D326" s="869"/>
      <c r="E326" s="869"/>
      <c r="F326" s="870"/>
      <c r="G326" s="895"/>
      <c r="H326" s="895"/>
      <c r="I326" s="895"/>
      <c r="J326" s="896"/>
      <c r="K326" s="895"/>
      <c r="L326" s="895"/>
      <c r="M326" s="895"/>
      <c r="N326" s="896"/>
      <c r="O326" s="897" t="s">
        <v>126</v>
      </c>
      <c r="P326" s="897" t="s">
        <v>126</v>
      </c>
      <c r="Q326" s="895">
        <f>+Q327/Q325*4</f>
        <v>1.721779297487144E-2</v>
      </c>
      <c r="R326" s="898">
        <f t="shared" ref="R326:V326" si="1073">+R327/R325*4</f>
        <v>3.4699498515703434E-2</v>
      </c>
      <c r="S326" s="1005">
        <f t="shared" si="1073"/>
        <v>3.8204345492955441E-2</v>
      </c>
      <c r="T326" s="1005">
        <f t="shared" si="1073"/>
        <v>4.381853648577827E-2</v>
      </c>
      <c r="U326" s="1005">
        <f t="shared" si="1073"/>
        <v>5.06824533123095E-2</v>
      </c>
      <c r="V326" s="1005">
        <f t="shared" si="1073"/>
        <v>3.3612121371269524E-2</v>
      </c>
      <c r="W326" s="1436">
        <f t="shared" ref="W326:Z326" si="1074">+V326</f>
        <v>3.3612121371269524E-2</v>
      </c>
      <c r="X326" s="1005">
        <f t="shared" si="1074"/>
        <v>3.3612121371269524E-2</v>
      </c>
      <c r="Y326" s="2270">
        <f t="shared" si="1074"/>
        <v>3.3612121371269524E-2</v>
      </c>
      <c r="Z326" s="1503">
        <f t="shared" si="1074"/>
        <v>3.3612121371269524E-2</v>
      </c>
      <c r="AA326" s="1130"/>
      <c r="AB326" s="1130"/>
      <c r="AC326" s="1130"/>
      <c r="AD326" s="1130"/>
      <c r="AE326" s="869"/>
      <c r="AF326" s="895"/>
      <c r="AG326" s="895"/>
      <c r="AH326" s="895"/>
      <c r="AI326" s="895"/>
      <c r="AJ326" s="895"/>
      <c r="AK326" s="899">
        <f>+AK327/AVERAGE(AJ127:AK127)</f>
        <v>4.4123578949101475E-2</v>
      </c>
      <c r="AL326" s="895">
        <f>AVERAGE(W326:Z326)</f>
        <v>3.3612121371269524E-2</v>
      </c>
      <c r="AM326" s="895"/>
      <c r="AN326" s="895"/>
    </row>
    <row r="327" spans="1:40" s="761" customFormat="1" collapsed="1" x14ac:dyDescent="0.25">
      <c r="A327" s="900" t="s">
        <v>280</v>
      </c>
      <c r="C327" s="762"/>
      <c r="D327" s="762"/>
      <c r="E327" s="762"/>
      <c r="F327" s="763"/>
      <c r="G327" s="762"/>
      <c r="H327" s="762"/>
      <c r="I327" s="762"/>
      <c r="J327" s="763"/>
      <c r="K327" s="762"/>
      <c r="L327" s="762"/>
      <c r="M327" s="762"/>
      <c r="N327" s="763"/>
      <c r="O327" s="901" t="s">
        <v>126</v>
      </c>
      <c r="P327" s="901" t="s">
        <v>126</v>
      </c>
      <c r="Q327" s="1037">
        <v>-1.6</v>
      </c>
      <c r="R327" s="1038">
        <f>+AJ327-Q327</f>
        <v>-3.4</v>
      </c>
      <c r="S327" s="1037">
        <v>-3.8</v>
      </c>
      <c r="T327" s="1037">
        <v>-4.4000000000000004</v>
      </c>
      <c r="U327" s="1037">
        <v>-3.6</v>
      </c>
      <c r="V327" s="762">
        <f>+AK327-U327-T327-S327</f>
        <v>-1.6000000000000005</v>
      </c>
      <c r="W327" s="988">
        <f t="shared" ref="W327:Z327" si="1075">+W326*W325/4</f>
        <v>-1.929377781862585</v>
      </c>
      <c r="X327" s="1037">
        <f t="shared" si="1075"/>
        <v>-2.1637761117603045</v>
      </c>
      <c r="Y327" s="2271">
        <f t="shared" si="1075"/>
        <v>-2.4240851857201009</v>
      </c>
      <c r="Z327" s="763">
        <f t="shared" si="1075"/>
        <v>-2.7916180366594827</v>
      </c>
      <c r="AA327" s="762"/>
      <c r="AB327" s="762"/>
      <c r="AC327" s="762"/>
      <c r="AD327" s="762"/>
      <c r="AE327" s="762"/>
      <c r="AF327" s="762"/>
      <c r="AG327" s="762"/>
      <c r="AH327" s="762"/>
      <c r="AI327" s="762"/>
      <c r="AJ327" s="762">
        <v>-5</v>
      </c>
      <c r="AK327" s="1489">
        <v>-13.4</v>
      </c>
      <c r="AL327" s="762">
        <f>+SUM(W327:Z327)</f>
        <v>-9.3088571160024731</v>
      </c>
      <c r="AM327" s="762"/>
    </row>
    <row r="328" spans="1:40" s="817" customFormat="1" ht="12" x14ac:dyDescent="0.3">
      <c r="A328" s="505"/>
      <c r="B328" s="816"/>
      <c r="C328" s="689"/>
      <c r="D328" s="689"/>
      <c r="E328" s="689"/>
      <c r="F328" s="779"/>
      <c r="G328" s="689"/>
      <c r="H328" s="689"/>
      <c r="I328" s="736"/>
      <c r="J328" s="779"/>
      <c r="K328" s="689"/>
      <c r="L328" s="689"/>
      <c r="M328" s="736"/>
      <c r="N328" s="779"/>
      <c r="O328" s="689"/>
      <c r="P328" s="689"/>
      <c r="Q328" s="689"/>
      <c r="R328" s="779"/>
      <c r="S328" s="689"/>
      <c r="T328" s="689"/>
      <c r="U328" s="689"/>
      <c r="V328" s="689"/>
      <c r="W328" s="991"/>
      <c r="X328" s="689"/>
      <c r="Y328" s="781"/>
      <c r="Z328" s="779"/>
      <c r="AA328" s="689"/>
      <c r="AB328" s="689"/>
      <c r="AC328" s="689"/>
      <c r="AD328" s="689"/>
      <c r="AE328" s="689"/>
      <c r="AF328" s="689"/>
      <c r="AG328" s="689"/>
      <c r="AH328" s="689"/>
      <c r="AI328" s="689"/>
      <c r="AJ328" s="689"/>
      <c r="AK328" s="781"/>
      <c r="AL328" s="689"/>
      <c r="AM328" s="689"/>
    </row>
    <row r="329" spans="1:40" s="817" customFormat="1" ht="12" x14ac:dyDescent="0.3">
      <c r="A329" s="748" t="s">
        <v>281</v>
      </c>
      <c r="B329" s="816"/>
      <c r="C329" s="689"/>
      <c r="D329" s="689"/>
      <c r="E329" s="689"/>
      <c r="F329" s="779"/>
      <c r="G329" s="689"/>
      <c r="H329" s="689"/>
      <c r="I329" s="736"/>
      <c r="J329" s="779"/>
      <c r="K329" s="689"/>
      <c r="L329" s="689"/>
      <c r="M329" s="736"/>
      <c r="N329" s="779"/>
      <c r="O329" s="689"/>
      <c r="P329" s="689"/>
      <c r="Q329" s="689"/>
      <c r="R329" s="779"/>
      <c r="S329" s="689"/>
      <c r="T329" s="689"/>
      <c r="U329" s="689"/>
      <c r="V329" s="689"/>
      <c r="W329" s="991"/>
      <c r="X329" s="689"/>
      <c r="Y329" s="781"/>
      <c r="Z329" s="779"/>
      <c r="AA329" s="689"/>
      <c r="AB329" s="689"/>
      <c r="AC329" s="689"/>
      <c r="AD329" s="689"/>
      <c r="AE329" s="689"/>
      <c r="AF329" s="689"/>
      <c r="AG329" s="689"/>
      <c r="AH329" s="689"/>
      <c r="AI329" s="689"/>
      <c r="AJ329" s="689"/>
      <c r="AK329" s="781"/>
      <c r="AL329" s="689"/>
      <c r="AM329" s="689"/>
    </row>
    <row r="330" spans="1:40" s="794" customFormat="1" ht="12" collapsed="1" x14ac:dyDescent="0.3">
      <c r="A330" s="902" t="s">
        <v>282</v>
      </c>
      <c r="C330" s="736"/>
      <c r="D330" s="736"/>
      <c r="E330" s="736"/>
      <c r="F330" s="752"/>
      <c r="G330" s="736"/>
      <c r="H330" s="736"/>
      <c r="I330" s="736"/>
      <c r="J330" s="752"/>
      <c r="K330" s="736"/>
      <c r="L330" s="736"/>
      <c r="M330" s="736"/>
      <c r="N330" s="752"/>
      <c r="O330" s="736"/>
      <c r="P330" s="736"/>
      <c r="Q330" s="736"/>
      <c r="R330" s="779"/>
      <c r="S330" s="903"/>
      <c r="T330" s="903"/>
      <c r="W330" s="1437"/>
      <c r="X330" s="903"/>
      <c r="Y330" s="1034"/>
      <c r="Z330" s="1410"/>
      <c r="AE330" s="736"/>
      <c r="AF330" s="736"/>
      <c r="AG330" s="736"/>
      <c r="AH330" s="736"/>
      <c r="AI330" s="736"/>
      <c r="AJ330" s="736"/>
      <c r="AK330" s="1034"/>
    </row>
    <row r="331" spans="1:40" s="817" customFormat="1" x14ac:dyDescent="0.25">
      <c r="A331" s="512" t="s">
        <v>283</v>
      </c>
      <c r="B331" s="904"/>
      <c r="F331" s="845"/>
      <c r="I331" s="736"/>
      <c r="J331" s="845"/>
      <c r="M331" s="736"/>
      <c r="N331" s="845"/>
      <c r="R331" s="845"/>
      <c r="S331" s="905">
        <v>1.4999999999999999E-2</v>
      </c>
      <c r="T331" s="905">
        <v>1.4999999999999999E-2</v>
      </c>
      <c r="U331" s="905">
        <v>1.4999999999999999E-2</v>
      </c>
      <c r="V331" s="905">
        <v>1.4999999999999999E-2</v>
      </c>
      <c r="W331" s="1438">
        <v>3.8399999999999997E-2</v>
      </c>
      <c r="X331" s="905">
        <v>3.8399999999999997E-2</v>
      </c>
      <c r="Y331" s="1481">
        <v>3.8399999999999997E-2</v>
      </c>
      <c r="Z331" s="1504">
        <v>3.8399999999999997E-2</v>
      </c>
      <c r="AA331" s="914"/>
      <c r="AB331" s="914"/>
      <c r="AC331" s="914"/>
      <c r="AD331" s="914"/>
      <c r="AK331" s="906"/>
    </row>
    <row r="332" spans="1:40" s="895" customFormat="1" x14ac:dyDescent="0.25">
      <c r="A332" s="512" t="s">
        <v>284</v>
      </c>
      <c r="B332" s="907"/>
      <c r="F332" s="896"/>
      <c r="I332" s="784"/>
      <c r="J332" s="896"/>
      <c r="M332" s="784"/>
      <c r="N332" s="896"/>
      <c r="R332" s="896"/>
      <c r="S332" s="908">
        <v>2.75E-2</v>
      </c>
      <c r="T332" s="908">
        <v>2.75E-2</v>
      </c>
      <c r="U332" s="908">
        <v>2.75E-2</v>
      </c>
      <c r="V332" s="908">
        <v>2.75E-2</v>
      </c>
      <c r="W332" s="1439">
        <v>2.75E-2</v>
      </c>
      <c r="X332" s="908">
        <v>2.75E-2</v>
      </c>
      <c r="Y332" s="1477">
        <v>2.75E-2</v>
      </c>
      <c r="Z332" s="1505">
        <v>2.75E-2</v>
      </c>
      <c r="AA332" s="908"/>
      <c r="AB332" s="908"/>
      <c r="AC332" s="908"/>
      <c r="AD332" s="908"/>
      <c r="AK332" s="899"/>
    </row>
    <row r="333" spans="1:40" x14ac:dyDescent="0.25">
      <c r="A333" s="474" t="s">
        <v>47</v>
      </c>
      <c r="B333" s="470"/>
      <c r="C333" s="744"/>
      <c r="D333" s="744"/>
      <c r="E333" s="744"/>
      <c r="F333" s="745"/>
      <c r="G333" s="817"/>
      <c r="H333" s="817"/>
      <c r="I333" s="817"/>
      <c r="J333" s="845"/>
      <c r="K333" s="817"/>
      <c r="L333" s="817"/>
      <c r="M333" s="817"/>
      <c r="N333" s="845"/>
      <c r="O333" s="909"/>
      <c r="P333" s="909"/>
      <c r="Q333" s="817"/>
      <c r="R333" s="910"/>
      <c r="S333" s="820">
        <f>SUM(S331:S332)</f>
        <v>4.2499999999999996E-2</v>
      </c>
      <c r="T333" s="820">
        <f>SUM(T331:T332)</f>
        <v>4.2499999999999996E-2</v>
      </c>
      <c r="U333" s="820">
        <f>SUM(U331:U332)</f>
        <v>4.2499999999999996E-2</v>
      </c>
      <c r="V333" s="820">
        <f>SUM(V331:V332)</f>
        <v>4.2499999999999996E-2</v>
      </c>
      <c r="W333" s="1440">
        <f t="shared" ref="W333:X333" si="1076">SUM(W331:W332)</f>
        <v>6.59E-2</v>
      </c>
      <c r="X333" s="820">
        <f t="shared" si="1076"/>
        <v>6.59E-2</v>
      </c>
      <c r="Y333" s="1478">
        <f t="shared" ref="Y333:Z333" si="1077">SUM(Y331:Y332)</f>
        <v>6.59E-2</v>
      </c>
      <c r="Z333" s="910">
        <f t="shared" si="1077"/>
        <v>6.59E-2</v>
      </c>
      <c r="AA333" s="820"/>
      <c r="AB333" s="820"/>
      <c r="AC333" s="820"/>
      <c r="AD333" s="820"/>
      <c r="AE333" s="744"/>
      <c r="AF333" s="817"/>
      <c r="AG333" s="817"/>
      <c r="AH333" s="817"/>
      <c r="AI333" s="817"/>
      <c r="AJ333" s="817"/>
      <c r="AK333" s="906">
        <f>+AK335/AK334</f>
        <v>4.2499999999999996E-2</v>
      </c>
      <c r="AL333" s="817">
        <f>+AL335/AL334</f>
        <v>6.59E-2</v>
      </c>
      <c r="AM333" s="817"/>
    </row>
    <row r="334" spans="1:40" s="911" customFormat="1" x14ac:dyDescent="0.25">
      <c r="A334" s="793" t="s">
        <v>285</v>
      </c>
      <c r="C334" s="784"/>
      <c r="D334" s="784"/>
      <c r="E334" s="784"/>
      <c r="F334" s="785"/>
      <c r="G334" s="784"/>
      <c r="H334" s="784"/>
      <c r="I334" s="784"/>
      <c r="J334" s="785"/>
      <c r="K334" s="784"/>
      <c r="L334" s="784"/>
      <c r="M334" s="784"/>
      <c r="N334" s="785"/>
      <c r="O334" s="784"/>
      <c r="P334" s="784"/>
      <c r="Q334" s="784"/>
      <c r="R334" s="785"/>
      <c r="S334" s="912">
        <v>300</v>
      </c>
      <c r="T334" s="912">
        <v>300</v>
      </c>
      <c r="U334" s="912">
        <v>300</v>
      </c>
      <c r="V334" s="912">
        <v>300</v>
      </c>
      <c r="W334" s="1441">
        <v>300</v>
      </c>
      <c r="X334" s="912">
        <v>300</v>
      </c>
      <c r="Y334" s="1479">
        <v>300</v>
      </c>
      <c r="Z334" s="1506">
        <v>300</v>
      </c>
      <c r="AA334" s="912"/>
      <c r="AB334" s="912"/>
      <c r="AC334" s="912"/>
      <c r="AD334" s="912"/>
      <c r="AE334" s="784"/>
      <c r="AF334" s="784"/>
      <c r="AG334" s="784"/>
      <c r="AH334" s="784"/>
      <c r="AI334" s="784"/>
      <c r="AJ334" s="784"/>
      <c r="AK334" s="830">
        <f>AVERAGE(S334:V334)</f>
        <v>300</v>
      </c>
      <c r="AL334" s="784">
        <f>+Z334</f>
        <v>300</v>
      </c>
      <c r="AM334" s="784"/>
    </row>
    <row r="335" spans="1:40" s="817" customFormat="1" ht="12" x14ac:dyDescent="0.3">
      <c r="A335" s="474" t="s">
        <v>281</v>
      </c>
      <c r="B335" s="816"/>
      <c r="C335" s="689"/>
      <c r="D335" s="689"/>
      <c r="E335" s="689"/>
      <c r="F335" s="779"/>
      <c r="G335" s="689"/>
      <c r="H335" s="689"/>
      <c r="I335" s="736"/>
      <c r="J335" s="779"/>
      <c r="K335" s="689"/>
      <c r="L335" s="689"/>
      <c r="M335" s="736"/>
      <c r="N335" s="779"/>
      <c r="O335" s="689"/>
      <c r="P335" s="689"/>
      <c r="Q335" s="689"/>
      <c r="R335" s="779"/>
      <c r="S335" s="736">
        <f>+S334*S333/4</f>
        <v>3.1874999999999996</v>
      </c>
      <c r="T335" s="736">
        <f t="shared" ref="T335:V335" si="1078">+T334*T333/4</f>
        <v>3.1874999999999996</v>
      </c>
      <c r="U335" s="736">
        <f t="shared" si="1078"/>
        <v>3.1874999999999996</v>
      </c>
      <c r="V335" s="736">
        <f t="shared" si="1078"/>
        <v>3.1874999999999996</v>
      </c>
      <c r="W335" s="986">
        <f t="shared" ref="W335:X335" si="1079">+W334*W333/4</f>
        <v>4.9424999999999999</v>
      </c>
      <c r="X335" s="736">
        <f t="shared" si="1079"/>
        <v>4.9424999999999999</v>
      </c>
      <c r="Y335" s="754">
        <f t="shared" ref="Y335:Z335" si="1080">+Y334*Y333/4</f>
        <v>4.9424999999999999</v>
      </c>
      <c r="Z335" s="752">
        <f t="shared" si="1080"/>
        <v>4.9424999999999999</v>
      </c>
      <c r="AA335" s="736"/>
      <c r="AB335" s="736"/>
      <c r="AC335" s="736"/>
      <c r="AD335" s="736"/>
      <c r="AE335" s="689"/>
      <c r="AF335" s="689"/>
      <c r="AG335" s="689"/>
      <c r="AH335" s="689"/>
      <c r="AI335" s="689"/>
      <c r="AJ335" s="689"/>
      <c r="AK335" s="754">
        <f>SUM(S335:V335)</f>
        <v>12.749999999999998</v>
      </c>
      <c r="AL335" s="736">
        <f>+SUM(W335:Z335)</f>
        <v>19.77</v>
      </c>
      <c r="AM335" s="736"/>
    </row>
    <row r="336" spans="1:40" s="817" customFormat="1" ht="12" x14ac:dyDescent="0.3">
      <c r="A336" s="505"/>
      <c r="B336" s="816"/>
      <c r="C336" s="689"/>
      <c r="D336" s="689"/>
      <c r="E336" s="689"/>
      <c r="F336" s="779"/>
      <c r="G336" s="689"/>
      <c r="H336" s="689"/>
      <c r="I336" s="736"/>
      <c r="J336" s="779"/>
      <c r="K336" s="689"/>
      <c r="L336" s="689"/>
      <c r="M336" s="736"/>
      <c r="N336" s="779"/>
      <c r="O336" s="689"/>
      <c r="P336" s="689"/>
      <c r="Q336" s="689"/>
      <c r="R336" s="779"/>
      <c r="S336" s="903"/>
      <c r="T336" s="903"/>
      <c r="U336" s="903"/>
      <c r="V336" s="903"/>
      <c r="W336" s="1442"/>
      <c r="X336" s="903"/>
      <c r="Y336" s="1480"/>
      <c r="Z336" s="1507"/>
      <c r="AA336" s="903"/>
      <c r="AB336" s="903"/>
      <c r="AC336" s="903"/>
      <c r="AD336" s="903"/>
      <c r="AE336" s="689"/>
      <c r="AF336" s="689"/>
      <c r="AG336" s="689"/>
      <c r="AH336" s="689"/>
      <c r="AI336" s="689"/>
      <c r="AJ336" s="689"/>
      <c r="AK336" s="781"/>
      <c r="AL336" s="689"/>
      <c r="AM336" s="689"/>
    </row>
    <row r="337" spans="1:42" s="794" customFormat="1" ht="12" collapsed="1" x14ac:dyDescent="0.3">
      <c r="A337" s="902" t="s">
        <v>286</v>
      </c>
      <c r="C337" s="736"/>
      <c r="D337" s="736"/>
      <c r="E337" s="736"/>
      <c r="F337" s="752"/>
      <c r="G337" s="736"/>
      <c r="H337" s="736"/>
      <c r="I337" s="736"/>
      <c r="J337" s="752"/>
      <c r="K337" s="736"/>
      <c r="L337" s="736"/>
      <c r="M337" s="736"/>
      <c r="N337" s="752"/>
      <c r="O337" s="736"/>
      <c r="P337" s="736"/>
      <c r="Q337" s="736"/>
      <c r="R337" s="779"/>
      <c r="S337" s="903"/>
      <c r="T337" s="903"/>
      <c r="U337" s="903"/>
      <c r="V337" s="903"/>
      <c r="W337" s="1442"/>
      <c r="X337" s="903"/>
      <c r="Y337" s="1480"/>
      <c r="Z337" s="1507"/>
      <c r="AA337" s="903"/>
      <c r="AB337" s="903"/>
      <c r="AC337" s="903"/>
      <c r="AD337" s="903"/>
      <c r="AE337" s="736"/>
      <c r="AF337" s="736"/>
      <c r="AG337" s="736"/>
      <c r="AH337" s="736"/>
      <c r="AI337" s="736"/>
      <c r="AJ337" s="736"/>
      <c r="AK337" s="1034"/>
      <c r="AL337" s="736"/>
      <c r="AM337" s="736"/>
    </row>
    <row r="338" spans="1:42" s="817" customFormat="1" x14ac:dyDescent="0.25">
      <c r="A338" s="512" t="s">
        <v>287</v>
      </c>
      <c r="B338" s="904"/>
      <c r="F338" s="845"/>
      <c r="I338" s="736"/>
      <c r="J338" s="845"/>
      <c r="M338" s="736"/>
      <c r="N338" s="845"/>
      <c r="R338" s="845"/>
      <c r="S338" s="905">
        <v>4.3999999999999997E-2</v>
      </c>
      <c r="T338" s="905">
        <v>4.3999999999999997E-2</v>
      </c>
      <c r="U338" s="905">
        <v>4.3999999999999997E-2</v>
      </c>
      <c r="V338" s="905">
        <v>4.3999999999999997E-2</v>
      </c>
      <c r="W338" s="1443">
        <v>4.3999999999999997E-2</v>
      </c>
      <c r="X338" s="905">
        <v>4.3999999999999997E-2</v>
      </c>
      <c r="Y338" s="1481">
        <f>(3.86%+3.76%)/2</f>
        <v>3.8099999999999995E-2</v>
      </c>
      <c r="Z338" s="1508">
        <f>(3.86%+3.76%)/2</f>
        <v>3.8099999999999995E-2</v>
      </c>
      <c r="AA338" s="905"/>
      <c r="AB338" s="905"/>
      <c r="AC338" s="905"/>
      <c r="AD338" s="905"/>
      <c r="AK338" s="906"/>
    </row>
    <row r="339" spans="1:42" s="895" customFormat="1" x14ac:dyDescent="0.25">
      <c r="A339" s="512" t="s">
        <v>284</v>
      </c>
      <c r="B339" s="907"/>
      <c r="F339" s="896"/>
      <c r="I339" s="784"/>
      <c r="J339" s="896"/>
      <c r="M339" s="784"/>
      <c r="N339" s="896"/>
      <c r="R339" s="896"/>
      <c r="S339" s="908">
        <v>2.75E-2</v>
      </c>
      <c r="T339" s="908">
        <v>2.75E-2</v>
      </c>
      <c r="U339" s="908">
        <v>2.75E-2</v>
      </c>
      <c r="V339" s="908">
        <v>2.75E-2</v>
      </c>
      <c r="W339" s="1439">
        <v>2.75E-2</v>
      </c>
      <c r="X339" s="908">
        <v>2.75E-2</v>
      </c>
      <c r="Y339" s="1477">
        <v>2.75E-2</v>
      </c>
      <c r="Z339" s="1505">
        <v>2.75E-2</v>
      </c>
      <c r="AA339" s="908"/>
      <c r="AB339" s="908"/>
      <c r="AC339" s="908"/>
      <c r="AD339" s="908"/>
      <c r="AK339" s="899"/>
    </row>
    <row r="340" spans="1:42" s="817" customFormat="1" x14ac:dyDescent="0.25">
      <c r="A340" s="512" t="s">
        <v>47</v>
      </c>
      <c r="B340" s="904"/>
      <c r="F340" s="845"/>
      <c r="I340" s="736"/>
      <c r="J340" s="845"/>
      <c r="M340" s="736"/>
      <c r="N340" s="845"/>
      <c r="R340" s="845"/>
      <c r="S340" s="820">
        <f>+S339+S338</f>
        <v>7.1499999999999994E-2</v>
      </c>
      <c r="T340" s="820">
        <f t="shared" ref="T340:V340" si="1081">+T339+T338</f>
        <v>7.1499999999999994E-2</v>
      </c>
      <c r="U340" s="820">
        <f t="shared" si="1081"/>
        <v>7.1499999999999994E-2</v>
      </c>
      <c r="V340" s="820">
        <f t="shared" si="1081"/>
        <v>7.1499999999999994E-2</v>
      </c>
      <c r="W340" s="1440">
        <f t="shared" ref="W340:Z340" si="1082">+W339+W338</f>
        <v>7.1499999999999994E-2</v>
      </c>
      <c r="X340" s="820">
        <f t="shared" si="1082"/>
        <v>7.1499999999999994E-2</v>
      </c>
      <c r="Y340" s="1478">
        <f t="shared" si="1082"/>
        <v>6.5599999999999992E-2</v>
      </c>
      <c r="Z340" s="910">
        <f t="shared" si="1082"/>
        <v>6.5599999999999992E-2</v>
      </c>
      <c r="AA340" s="820"/>
      <c r="AB340" s="820"/>
      <c r="AC340" s="820"/>
      <c r="AD340" s="820"/>
      <c r="AK340" s="906">
        <f>+AVERAGE(S340:V340)</f>
        <v>7.1499999999999994E-2</v>
      </c>
      <c r="AL340" s="817">
        <f>+AVERAGE(W340:Z340)</f>
        <v>6.855E-2</v>
      </c>
    </row>
    <row r="341" spans="1:42" s="911" customFormat="1" x14ac:dyDescent="0.25">
      <c r="A341" s="793" t="s">
        <v>285</v>
      </c>
      <c r="C341" s="784"/>
      <c r="D341" s="784"/>
      <c r="E341" s="784"/>
      <c r="F341" s="785"/>
      <c r="G341" s="784"/>
      <c r="H341" s="784"/>
      <c r="I341" s="784"/>
      <c r="J341" s="785"/>
      <c r="K341" s="784"/>
      <c r="L341" s="784"/>
      <c r="M341" s="784"/>
      <c r="N341" s="785"/>
      <c r="O341" s="784"/>
      <c r="P341" s="784"/>
      <c r="Q341" s="784"/>
      <c r="R341" s="785"/>
      <c r="S341" s="912">
        <v>100</v>
      </c>
      <c r="T341" s="912">
        <v>100</v>
      </c>
      <c r="U341" s="912">
        <v>100</v>
      </c>
      <c r="V341" s="912">
        <v>100</v>
      </c>
      <c r="W341" s="1441">
        <v>100</v>
      </c>
      <c r="X341" s="912">
        <v>100</v>
      </c>
      <c r="Y341" s="1479">
        <v>300</v>
      </c>
      <c r="Z341" s="1506">
        <v>300</v>
      </c>
      <c r="AA341" s="912"/>
      <c r="AB341" s="912"/>
      <c r="AC341" s="912"/>
      <c r="AD341" s="912"/>
      <c r="AE341" s="784"/>
      <c r="AF341" s="784"/>
      <c r="AG341" s="784"/>
      <c r="AH341" s="784"/>
      <c r="AI341" s="784"/>
      <c r="AJ341" s="784"/>
      <c r="AK341" s="830">
        <f>+V341</f>
        <v>100</v>
      </c>
      <c r="AL341" s="784">
        <f>+Z341</f>
        <v>300</v>
      </c>
      <c r="AM341" s="784"/>
    </row>
    <row r="342" spans="1:42" s="817" customFormat="1" ht="12" x14ac:dyDescent="0.3">
      <c r="A342" s="474" t="s">
        <v>281</v>
      </c>
      <c r="B342" s="816"/>
      <c r="C342" s="689"/>
      <c r="D342" s="689"/>
      <c r="E342" s="689"/>
      <c r="F342" s="779"/>
      <c r="G342" s="689"/>
      <c r="H342" s="689"/>
      <c r="I342" s="736"/>
      <c r="J342" s="779"/>
      <c r="K342" s="689"/>
      <c r="L342" s="689"/>
      <c r="M342" s="736"/>
      <c r="N342" s="779"/>
      <c r="O342" s="689"/>
      <c r="P342" s="689"/>
      <c r="Q342" s="689"/>
      <c r="R342" s="779"/>
      <c r="S342" s="736">
        <f>+S341*S340/4</f>
        <v>1.7874999999999999</v>
      </c>
      <c r="T342" s="736">
        <f t="shared" ref="T342:V342" si="1083">+T341*T340/4</f>
        <v>1.7874999999999999</v>
      </c>
      <c r="U342" s="736">
        <f t="shared" si="1083"/>
        <v>1.7874999999999999</v>
      </c>
      <c r="V342" s="736">
        <f t="shared" si="1083"/>
        <v>1.7874999999999999</v>
      </c>
      <c r="W342" s="986">
        <f t="shared" ref="W342:Z342" si="1084">+W341*W340/4</f>
        <v>1.7874999999999999</v>
      </c>
      <c r="X342" s="736">
        <f t="shared" si="1084"/>
        <v>1.7874999999999999</v>
      </c>
      <c r="Y342" s="754">
        <f t="shared" si="1084"/>
        <v>4.919999999999999</v>
      </c>
      <c r="Z342" s="752">
        <f t="shared" si="1084"/>
        <v>4.919999999999999</v>
      </c>
      <c r="AA342" s="736"/>
      <c r="AB342" s="736"/>
      <c r="AC342" s="736"/>
      <c r="AD342" s="736"/>
      <c r="AE342" s="689"/>
      <c r="AF342" s="689"/>
      <c r="AG342" s="689"/>
      <c r="AH342" s="689"/>
      <c r="AI342" s="689"/>
      <c r="AJ342" s="689"/>
      <c r="AK342" s="754">
        <f>SUM(S342:V342)</f>
        <v>7.1499999999999995</v>
      </c>
      <c r="AL342" s="736">
        <f>SUM(W342:Z342)</f>
        <v>13.414999999999999</v>
      </c>
      <c r="AM342" s="736"/>
    </row>
    <row r="343" spans="1:42" s="817" customFormat="1" ht="12" x14ac:dyDescent="0.3">
      <c r="A343" s="474"/>
      <c r="B343" s="816"/>
      <c r="C343" s="689"/>
      <c r="D343" s="689"/>
      <c r="E343" s="689"/>
      <c r="F343" s="779"/>
      <c r="G343" s="689"/>
      <c r="H343" s="689"/>
      <c r="I343" s="736"/>
      <c r="J343" s="779"/>
      <c r="K343" s="689"/>
      <c r="L343" s="689"/>
      <c r="M343" s="736"/>
      <c r="N343" s="779"/>
      <c r="O343" s="689"/>
      <c r="P343" s="689"/>
      <c r="Q343" s="689"/>
      <c r="R343" s="779"/>
      <c r="S343" s="736"/>
      <c r="T343" s="736"/>
      <c r="U343" s="736"/>
      <c r="V343" s="736"/>
      <c r="W343" s="986"/>
      <c r="X343" s="736"/>
      <c r="Y343" s="754"/>
      <c r="Z343" s="752"/>
      <c r="AA343" s="736"/>
      <c r="AB343" s="736"/>
      <c r="AC343" s="736"/>
      <c r="AD343" s="736"/>
      <c r="AE343" s="689"/>
      <c r="AF343" s="689"/>
      <c r="AG343" s="689"/>
      <c r="AH343" s="689"/>
      <c r="AI343" s="689"/>
      <c r="AJ343" s="689"/>
      <c r="AK343" s="754"/>
      <c r="AL343" s="689"/>
      <c r="AM343" s="689"/>
    </row>
    <row r="344" spans="1:42" s="794" customFormat="1" ht="12" collapsed="1" x14ac:dyDescent="0.3">
      <c r="A344" s="902" t="s">
        <v>288</v>
      </c>
      <c r="C344" s="736"/>
      <c r="D344" s="736"/>
      <c r="E344" s="736"/>
      <c r="F344" s="752"/>
      <c r="G344" s="736"/>
      <c r="H344" s="736"/>
      <c r="I344" s="736"/>
      <c r="J344" s="752"/>
      <c r="K344" s="736"/>
      <c r="L344" s="736"/>
      <c r="M344" s="736"/>
      <c r="N344" s="752"/>
      <c r="O344" s="736"/>
      <c r="P344" s="736"/>
      <c r="Q344" s="736"/>
      <c r="R344" s="913"/>
      <c r="S344" s="799"/>
      <c r="T344" s="799"/>
      <c r="U344" s="799"/>
      <c r="W344" s="1437"/>
      <c r="X344" s="799"/>
      <c r="Y344" s="1456"/>
      <c r="Z344" s="1410"/>
      <c r="AE344" s="736"/>
      <c r="AF344" s="736"/>
      <c r="AG344" s="736"/>
      <c r="AH344" s="736"/>
      <c r="AI344" s="736"/>
      <c r="AJ344" s="736"/>
      <c r="AK344" s="754"/>
      <c r="AL344" s="736"/>
      <c r="AM344" s="736"/>
    </row>
    <row r="345" spans="1:42" s="817" customFormat="1" x14ac:dyDescent="0.25">
      <c r="A345" s="512" t="s">
        <v>289</v>
      </c>
      <c r="B345" s="904"/>
      <c r="F345" s="845"/>
      <c r="I345" s="736"/>
      <c r="J345" s="845"/>
      <c r="M345" s="736"/>
      <c r="N345" s="845"/>
      <c r="R345" s="910"/>
      <c r="S345" s="820"/>
      <c r="T345" s="914">
        <v>5.11E-2</v>
      </c>
      <c r="U345" s="914">
        <v>5.3999999999999999E-2</v>
      </c>
      <c r="V345" s="914">
        <f t="shared" ref="V345" si="1085">+U345</f>
        <v>5.3999999999999999E-2</v>
      </c>
      <c r="W345" s="1438">
        <f t="shared" ref="W345" si="1086">+V345</f>
        <v>5.3999999999999999E-2</v>
      </c>
      <c r="X345" s="914">
        <f t="shared" ref="X345" si="1087">+W345</f>
        <v>5.3999999999999999E-2</v>
      </c>
      <c r="Y345" s="1476">
        <f>+Rates!C28</f>
        <v>4.8500000000000001E-2</v>
      </c>
      <c r="Z345" s="1504">
        <f t="shared" ref="Z345" si="1088">+Y345</f>
        <v>4.8500000000000001E-2</v>
      </c>
      <c r="AA345" s="914"/>
      <c r="AB345" s="914"/>
      <c r="AC345" s="914"/>
      <c r="AD345" s="914"/>
      <c r="AK345" s="906"/>
    </row>
    <row r="346" spans="1:42" s="895" customFormat="1" x14ac:dyDescent="0.25">
      <c r="A346" s="512" t="s">
        <v>284</v>
      </c>
      <c r="B346" s="907"/>
      <c r="F346" s="896"/>
      <c r="I346" s="784"/>
      <c r="J346" s="896"/>
      <c r="M346" s="784"/>
      <c r="N346" s="896"/>
      <c r="R346" s="910"/>
      <c r="S346" s="820"/>
      <c r="T346" s="908">
        <v>2.75E-2</v>
      </c>
      <c r="U346" s="908">
        <v>2.75E-2</v>
      </c>
      <c r="V346" s="908">
        <v>2.75E-2</v>
      </c>
      <c r="W346" s="1439">
        <v>2.75E-2</v>
      </c>
      <c r="X346" s="908">
        <v>2.75E-2</v>
      </c>
      <c r="Y346" s="1477">
        <v>2.75E-2</v>
      </c>
      <c r="Z346" s="1505">
        <v>2.75E-2</v>
      </c>
      <c r="AA346" s="908"/>
      <c r="AB346" s="908"/>
      <c r="AC346" s="908"/>
      <c r="AD346" s="908"/>
      <c r="AK346" s="899"/>
    </row>
    <row r="347" spans="1:42" x14ac:dyDescent="0.25">
      <c r="A347" s="512" t="s">
        <v>47</v>
      </c>
      <c r="B347" s="470"/>
      <c r="C347" s="744"/>
      <c r="D347" s="744"/>
      <c r="E347" s="744"/>
      <c r="F347" s="745"/>
      <c r="G347" s="817"/>
      <c r="H347" s="817"/>
      <c r="I347" s="817"/>
      <c r="J347" s="845"/>
      <c r="K347" s="817"/>
      <c r="L347" s="817"/>
      <c r="M347" s="817"/>
      <c r="N347" s="845"/>
      <c r="O347" s="909"/>
      <c r="P347" s="909"/>
      <c r="Q347" s="817"/>
      <c r="R347" s="910"/>
      <c r="S347" s="820">
        <f>+S349/S348*4</f>
        <v>3.0137684854665999E-2</v>
      </c>
      <c r="T347" s="820">
        <f>+T346+T345</f>
        <v>7.8600000000000003E-2</v>
      </c>
      <c r="U347" s="820">
        <f t="shared" ref="U347:V347" si="1089">+U346+U345</f>
        <v>8.1500000000000003E-2</v>
      </c>
      <c r="V347" s="820">
        <f t="shared" si="1089"/>
        <v>8.1500000000000003E-2</v>
      </c>
      <c r="W347" s="1440">
        <f t="shared" ref="W347:Z347" si="1090">+W346+W345</f>
        <v>8.1500000000000003E-2</v>
      </c>
      <c r="X347" s="820">
        <f t="shared" si="1090"/>
        <v>8.1500000000000003E-2</v>
      </c>
      <c r="Y347" s="1478">
        <f t="shared" si="1090"/>
        <v>7.5999999999999998E-2</v>
      </c>
      <c r="Z347" s="910">
        <f t="shared" si="1090"/>
        <v>7.5999999999999998E-2</v>
      </c>
      <c r="AA347" s="820"/>
      <c r="AB347" s="820"/>
      <c r="AC347" s="820"/>
      <c r="AD347" s="820"/>
      <c r="AE347" s="744"/>
      <c r="AF347" s="817"/>
      <c r="AG347" s="817"/>
      <c r="AH347" s="817"/>
      <c r="AI347" s="817"/>
      <c r="AJ347" s="817"/>
      <c r="AK347" s="906">
        <f>+AK349/AK348</f>
        <v>6.799108149683103E-2</v>
      </c>
      <c r="AL347" s="817">
        <f t="shared" ref="AL347" si="1091">+AL349/AL348</f>
        <v>8.3367090928247817E-2</v>
      </c>
      <c r="AM347" s="817"/>
      <c r="AP347" s="460">
        <f>12*1.9</f>
        <v>22.799999999999997</v>
      </c>
    </row>
    <row r="348" spans="1:42" s="911" customFormat="1" x14ac:dyDescent="0.25">
      <c r="A348" s="793" t="s">
        <v>285</v>
      </c>
      <c r="C348" s="784"/>
      <c r="D348" s="784"/>
      <c r="E348" s="784"/>
      <c r="F348" s="785"/>
      <c r="G348" s="784"/>
      <c r="H348" s="784"/>
      <c r="I348" s="784"/>
      <c r="J348" s="785"/>
      <c r="K348" s="784"/>
      <c r="L348" s="784"/>
      <c r="M348" s="784"/>
      <c r="N348" s="785"/>
      <c r="O348" s="784"/>
      <c r="P348" s="784"/>
      <c r="Q348" s="784"/>
      <c r="R348" s="785"/>
      <c r="S348" s="784">
        <f>AVERAGE(R126:S126)-S341-S334</f>
        <v>156.88</v>
      </c>
      <c r="T348" s="784">
        <f>AVERAGE(S126:T126)-T341-T334</f>
        <v>157.34349999999995</v>
      </c>
      <c r="U348" s="784">
        <f>AVERAGE(T126:U126)-U341-U334</f>
        <v>157.79399999999998</v>
      </c>
      <c r="V348" s="784">
        <f>AVERAGE(U126:V126)-V341-V334</f>
        <v>158.23399999999992</v>
      </c>
      <c r="W348" s="1003">
        <f t="shared" ref="W348:Z348" si="1092">AVERAGE(V126:W126)-W341-W334</f>
        <v>158.6825</v>
      </c>
      <c r="X348" s="784">
        <f t="shared" si="1092"/>
        <v>159.14049999999997</v>
      </c>
      <c r="Y348" s="830">
        <f t="shared" si="1092"/>
        <v>-40.392000000000053</v>
      </c>
      <c r="Z348" s="785">
        <f t="shared" si="1092"/>
        <v>-40.155999999999949</v>
      </c>
      <c r="AA348" s="784"/>
      <c r="AB348" s="784"/>
      <c r="AC348" s="784"/>
      <c r="AD348" s="784"/>
      <c r="AE348" s="784"/>
      <c r="AF348" s="784"/>
      <c r="AG348" s="784"/>
      <c r="AH348" s="784"/>
      <c r="AI348" s="784"/>
      <c r="AJ348" s="784"/>
      <c r="AK348" s="830">
        <f>AVERAGE(S348:V348)</f>
        <v>157.56287499999996</v>
      </c>
      <c r="AL348" s="784">
        <f>AVERAGE(W348:Z348)</f>
        <v>59.318749999999994</v>
      </c>
      <c r="AM348" s="784"/>
      <c r="AP348" s="911">
        <f>28.8/AP347</f>
        <v>1.2631578947368423</v>
      </c>
    </row>
    <row r="349" spans="1:42" s="817" customFormat="1" ht="12" x14ac:dyDescent="0.3">
      <c r="A349" s="474" t="s">
        <v>281</v>
      </c>
      <c r="B349" s="816"/>
      <c r="C349" s="689"/>
      <c r="D349" s="689"/>
      <c r="E349" s="689"/>
      <c r="F349" s="779"/>
      <c r="G349" s="689"/>
      <c r="H349" s="689"/>
      <c r="I349" s="736"/>
      <c r="J349" s="779"/>
      <c r="K349" s="689"/>
      <c r="L349" s="689"/>
      <c r="M349" s="736"/>
      <c r="N349" s="779"/>
      <c r="O349" s="689"/>
      <c r="P349" s="689"/>
      <c r="Q349" s="689"/>
      <c r="R349" s="779"/>
      <c r="S349" s="736">
        <f>+S354-S342-S335-S351</f>
        <v>1.1820000000000004</v>
      </c>
      <c r="T349" s="736">
        <f>+T348*T347/4</f>
        <v>3.0917997749999993</v>
      </c>
      <c r="U349" s="736">
        <f t="shared" ref="U349:V349" si="1093">+U348*U347/4</f>
        <v>3.2150527499999999</v>
      </c>
      <c r="V349" s="736">
        <f t="shared" si="1093"/>
        <v>3.2240177499999985</v>
      </c>
      <c r="W349" s="986">
        <f t="shared" ref="W349:Z349" si="1094">+W348*W347/4</f>
        <v>3.2331559375000003</v>
      </c>
      <c r="X349" s="736">
        <f t="shared" si="1094"/>
        <v>3.2424876874999997</v>
      </c>
      <c r="Y349" s="754">
        <f t="shared" si="1094"/>
        <v>-0.76744800000000102</v>
      </c>
      <c r="Z349" s="752">
        <f t="shared" si="1094"/>
        <v>-0.76296399999999898</v>
      </c>
      <c r="AA349" s="736"/>
      <c r="AB349" s="736"/>
      <c r="AC349" s="736"/>
      <c r="AD349" s="736"/>
      <c r="AE349" s="689"/>
      <c r="AF349" s="689"/>
      <c r="AG349" s="689"/>
      <c r="AH349" s="689"/>
      <c r="AI349" s="689"/>
      <c r="AJ349" s="689"/>
      <c r="AK349" s="754">
        <f>SUM(S349:V349)</f>
        <v>10.712870274999998</v>
      </c>
      <c r="AL349" s="736">
        <f>SUM(W349:Z349)</f>
        <v>4.9452316249999999</v>
      </c>
      <c r="AM349" s="736"/>
    </row>
    <row r="350" spans="1:42" s="817" customFormat="1" ht="12" x14ac:dyDescent="0.3">
      <c r="A350" s="474"/>
      <c r="B350" s="816"/>
      <c r="C350" s="689"/>
      <c r="D350" s="689"/>
      <c r="E350" s="689"/>
      <c r="F350" s="779"/>
      <c r="G350" s="689"/>
      <c r="H350" s="689"/>
      <c r="I350" s="736"/>
      <c r="J350" s="779"/>
      <c r="K350" s="689"/>
      <c r="L350" s="689"/>
      <c r="M350" s="736"/>
      <c r="N350" s="779"/>
      <c r="O350" s="689"/>
      <c r="P350" s="689"/>
      <c r="Q350" s="689"/>
      <c r="R350" s="779"/>
      <c r="S350" s="736"/>
      <c r="T350" s="736"/>
      <c r="U350" s="736"/>
      <c r="V350" s="736"/>
      <c r="W350" s="986"/>
      <c r="X350" s="736"/>
      <c r="Y350" s="754"/>
      <c r="Z350" s="752"/>
      <c r="AA350" s="736"/>
      <c r="AB350" s="736"/>
      <c r="AC350" s="736"/>
      <c r="AD350" s="736"/>
      <c r="AE350" s="689"/>
      <c r="AF350" s="689"/>
      <c r="AG350" s="689"/>
      <c r="AH350" s="689"/>
      <c r="AI350" s="689"/>
      <c r="AJ350" s="689"/>
      <c r="AK350" s="754"/>
      <c r="AL350" s="736"/>
      <c r="AM350" s="736"/>
    </row>
    <row r="351" spans="1:42" s="794" customFormat="1" x14ac:dyDescent="0.25">
      <c r="A351" s="793" t="s">
        <v>290</v>
      </c>
      <c r="C351" s="736"/>
      <c r="D351" s="736"/>
      <c r="E351" s="736"/>
      <c r="F351" s="752"/>
      <c r="G351" s="736"/>
      <c r="H351" s="736"/>
      <c r="I351" s="736"/>
      <c r="J351" s="752"/>
      <c r="K351" s="736"/>
      <c r="L351" s="736"/>
      <c r="M351" s="736"/>
      <c r="N351" s="752"/>
      <c r="O351" s="736"/>
      <c r="P351" s="736"/>
      <c r="Q351" s="736"/>
      <c r="R351" s="752"/>
      <c r="S351" s="736">
        <v>4.468</v>
      </c>
      <c r="T351" s="736"/>
      <c r="U351" s="736"/>
      <c r="V351" s="736"/>
      <c r="W351" s="986"/>
      <c r="X351" s="736"/>
      <c r="Y351" s="754"/>
      <c r="Z351" s="752"/>
      <c r="AA351" s="736"/>
      <c r="AB351" s="736"/>
      <c r="AC351" s="736"/>
      <c r="AD351" s="736"/>
      <c r="AE351" s="736"/>
      <c r="AF351" s="736"/>
      <c r="AG351" s="736"/>
      <c r="AH351" s="736"/>
      <c r="AI351" s="736"/>
      <c r="AJ351" s="736"/>
      <c r="AK351" s="754"/>
      <c r="AL351" s="736"/>
      <c r="AM351" s="736"/>
    </row>
    <row r="352" spans="1:42" s="794" customFormat="1" x14ac:dyDescent="0.25">
      <c r="A352" s="793"/>
      <c r="C352" s="736"/>
      <c r="D352" s="736"/>
      <c r="E352" s="736"/>
      <c r="F352" s="752"/>
      <c r="G352" s="736"/>
      <c r="H352" s="736"/>
      <c r="I352" s="736"/>
      <c r="J352" s="752"/>
      <c r="K352" s="736"/>
      <c r="L352" s="736"/>
      <c r="M352" s="736"/>
      <c r="N352" s="752"/>
      <c r="O352" s="736"/>
      <c r="P352" s="736"/>
      <c r="Q352" s="736"/>
      <c r="R352" s="752"/>
      <c r="S352" s="736"/>
      <c r="T352" s="736"/>
      <c r="U352" s="736"/>
      <c r="V352" s="736"/>
      <c r="W352" s="986"/>
      <c r="X352" s="736"/>
      <c r="Y352" s="754"/>
      <c r="Z352" s="752"/>
      <c r="AA352" s="736"/>
      <c r="AB352" s="736"/>
      <c r="AC352" s="736"/>
      <c r="AD352" s="736"/>
      <c r="AE352" s="736"/>
      <c r="AF352" s="736"/>
      <c r="AG352" s="736"/>
      <c r="AH352" s="736"/>
      <c r="AI352" s="736"/>
      <c r="AJ352" s="736"/>
      <c r="AK352" s="754"/>
      <c r="AL352" s="736"/>
      <c r="AM352" s="736"/>
    </row>
    <row r="353" spans="1:39" s="794" customFormat="1" hidden="1" outlineLevel="1" collapsed="1" x14ac:dyDescent="0.25">
      <c r="A353" s="793" t="s">
        <v>291</v>
      </c>
      <c r="C353" s="736"/>
      <c r="D353" s="736"/>
      <c r="E353" s="736"/>
      <c r="F353" s="752"/>
      <c r="G353" s="736"/>
      <c r="H353" s="736"/>
      <c r="I353" s="736"/>
      <c r="J353" s="752"/>
      <c r="K353" s="736"/>
      <c r="L353" s="736"/>
      <c r="M353" s="736"/>
      <c r="N353" s="752"/>
      <c r="O353" s="736" t="e">
        <f>+O105-#REF!</f>
        <v>#REF!</v>
      </c>
      <c r="P353" s="736" t="e">
        <f>+P105-#REF!</f>
        <v>#REF!</v>
      </c>
      <c r="Q353" s="736" t="e">
        <f>+Q105-#REF!-Q327</f>
        <v>#REF!</v>
      </c>
      <c r="R353" s="752" t="e">
        <f>+R105-#REF!-R327</f>
        <v>#REF!</v>
      </c>
      <c r="S353" s="736" t="e">
        <f>+S105-#REF!-S327</f>
        <v>#REF!</v>
      </c>
      <c r="T353" s="736"/>
      <c r="U353" s="736"/>
      <c r="V353" s="736"/>
      <c r="W353" s="986"/>
      <c r="X353" s="736"/>
      <c r="Y353" s="754"/>
      <c r="Z353" s="752"/>
      <c r="AA353" s="736"/>
      <c r="AB353" s="736"/>
      <c r="AC353" s="736"/>
      <c r="AD353" s="736"/>
      <c r="AE353" s="736"/>
      <c r="AF353" s="736"/>
      <c r="AG353" s="736"/>
      <c r="AH353" s="736"/>
      <c r="AI353" s="736"/>
      <c r="AJ353" s="736"/>
      <c r="AK353" s="754"/>
      <c r="AL353" s="736"/>
      <c r="AM353" s="736"/>
    </row>
    <row r="354" spans="1:39" s="761" customFormat="1" collapsed="1" x14ac:dyDescent="0.25">
      <c r="A354" s="915" t="s">
        <v>292</v>
      </c>
      <c r="C354" s="762"/>
      <c r="D354" s="762"/>
      <c r="E354" s="762"/>
      <c r="F354" s="763"/>
      <c r="G354" s="762"/>
      <c r="H354" s="762"/>
      <c r="I354" s="762"/>
      <c r="J354" s="763"/>
      <c r="K354" s="762"/>
      <c r="L354" s="762"/>
      <c r="M354" s="762"/>
      <c r="N354" s="763"/>
      <c r="O354" s="762">
        <f>+'FA - Detailed Disclosure'!O357</f>
        <v>4.774</v>
      </c>
      <c r="P354" s="762">
        <f>+'FA - Detailed Disclosure'!P357</f>
        <v>5.4169999999999998</v>
      </c>
      <c r="Q354" s="762">
        <f>+'FA - Detailed Disclosure'!Q357</f>
        <v>7.4490000000000007</v>
      </c>
      <c r="R354" s="763">
        <f>+'FA - Detailed Disclosure'!R357</f>
        <v>9.402000000000001</v>
      </c>
      <c r="S354" s="762">
        <f>+'FA - Detailed Disclosure'!S357</f>
        <v>10.625</v>
      </c>
      <c r="T354" s="762">
        <f>+T335+T342+T349</f>
        <v>8.0667997749999998</v>
      </c>
      <c r="U354" s="762">
        <f>+U335+U342+U349</f>
        <v>8.1900527499999995</v>
      </c>
      <c r="V354" s="762">
        <f>+V335+V342+V349</f>
        <v>8.1990177499999977</v>
      </c>
      <c r="W354" s="988">
        <f t="shared" ref="W354:Z354" si="1095">+W335+W342+W349</f>
        <v>9.9631559374999998</v>
      </c>
      <c r="X354" s="762">
        <f t="shared" si="1095"/>
        <v>9.9724876874999993</v>
      </c>
      <c r="Y354" s="764">
        <f t="shared" ref="Y354" si="1096">+Y335+Y342+Y349</f>
        <v>9.0950519999999972</v>
      </c>
      <c r="Z354" s="763">
        <f t="shared" si="1095"/>
        <v>9.0995360000000005</v>
      </c>
      <c r="AA354" s="762"/>
      <c r="AB354" s="762"/>
      <c r="AC354" s="762"/>
      <c r="AD354" s="762"/>
      <c r="AE354" s="762"/>
      <c r="AF354" s="762"/>
      <c r="AG354" s="762"/>
      <c r="AH354" s="762"/>
      <c r="AI354" s="762"/>
      <c r="AJ354" s="762">
        <f>SUM(O354:R354)</f>
        <v>27.042000000000002</v>
      </c>
      <c r="AK354" s="764">
        <f>SUM(S354:V354)</f>
        <v>35.080870274999995</v>
      </c>
      <c r="AL354" s="762">
        <f>+SUM(W354:Z354)</f>
        <v>38.130231624999993</v>
      </c>
      <c r="AM354" s="762"/>
    </row>
    <row r="355" spans="1:39" s="470" customFormat="1" x14ac:dyDescent="0.25">
      <c r="A355" s="814" t="s">
        <v>47</v>
      </c>
      <c r="C355" s="767"/>
      <c r="D355" s="767"/>
      <c r="E355" s="767"/>
      <c r="F355" s="768"/>
      <c r="G355" s="769"/>
      <c r="H355" s="769"/>
      <c r="I355" s="769"/>
      <c r="J355" s="770"/>
      <c r="K355" s="769"/>
      <c r="L355" s="769"/>
      <c r="M355" s="769"/>
      <c r="N355" s="770"/>
      <c r="O355" s="777">
        <f t="shared" ref="O355:V355" si="1097">+O354/AVERAGE(N126:O126)*4</f>
        <v>3.4403023055754482E-2</v>
      </c>
      <c r="P355" s="777">
        <f t="shared" si="1097"/>
        <v>3.9005282490376041E-2</v>
      </c>
      <c r="Q355" s="769">
        <f t="shared" si="1097"/>
        <v>5.3593253538214154E-2</v>
      </c>
      <c r="R355" s="774">
        <f t="shared" si="1097"/>
        <v>6.758917042057222E-2</v>
      </c>
      <c r="S355" s="773">
        <f t="shared" si="1097"/>
        <v>7.6318057750323229E-2</v>
      </c>
      <c r="T355" s="773">
        <f t="shared" si="1097"/>
        <v>5.7894636072727143E-2</v>
      </c>
      <c r="U355" s="773">
        <f t="shared" si="1097"/>
        <v>5.8731737881726948E-2</v>
      </c>
      <c r="V355" s="773">
        <f t="shared" si="1097"/>
        <v>5.8749683824346054E-2</v>
      </c>
      <c r="W355" s="999">
        <f t="shared" ref="W355" si="1098">+W354/AVERAGE(V126:W126)*4</f>
        <v>7.1333223700402279E-2</v>
      </c>
      <c r="X355" s="773">
        <f t="shared" ref="X355" si="1099">+X354/AVERAGE(W126:X126)*4</f>
        <v>7.134155145263131E-2</v>
      </c>
      <c r="Y355" s="1466">
        <f t="shared" ref="Y355" si="1100">+Y354/AVERAGE(X126:Y126)*4</f>
        <v>6.5010164257837622E-2</v>
      </c>
      <c r="Z355" s="774">
        <f t="shared" ref="Z355" si="1101">+Z354/AVERAGE(Y126:Z126)*4</f>
        <v>6.5014796979158476E-2</v>
      </c>
      <c r="AA355" s="773"/>
      <c r="AB355" s="773"/>
      <c r="AC355" s="773"/>
      <c r="AD355" s="773"/>
      <c r="AE355" s="767"/>
      <c r="AF355" s="769"/>
      <c r="AG355" s="769"/>
      <c r="AH355" s="769"/>
      <c r="AI355" s="769"/>
      <c r="AJ355" s="769">
        <f>+AJ354/AVERAGE(AI126:AJ126)</f>
        <v>4.8658832166435441E-2</v>
      </c>
      <c r="AK355" s="772">
        <f>+AK354/AVERAGE(AJ126:AK126)</f>
        <v>6.2919402701987689E-2</v>
      </c>
      <c r="AL355" s="769">
        <f>+AL354/AVERAGE(AK126:AL126)</f>
        <v>6.8193206876508969E-2</v>
      </c>
      <c r="AM355" s="769"/>
    </row>
    <row r="356" spans="1:39" s="817" customFormat="1" ht="12" x14ac:dyDescent="0.3">
      <c r="A356" s="505"/>
      <c r="B356" s="816"/>
      <c r="C356" s="689"/>
      <c r="D356" s="689"/>
      <c r="E356" s="689"/>
      <c r="F356" s="779"/>
      <c r="G356" s="689"/>
      <c r="H356" s="689"/>
      <c r="I356" s="736"/>
      <c r="J356" s="779"/>
      <c r="K356" s="689"/>
      <c r="L356" s="689"/>
      <c r="M356" s="736"/>
      <c r="N356" s="779"/>
      <c r="O356" s="689"/>
      <c r="P356" s="689"/>
      <c r="Q356" s="689"/>
      <c r="R356" s="779"/>
      <c r="S356" s="916"/>
      <c r="T356" s="916"/>
      <c r="U356" s="916"/>
      <c r="V356" s="916"/>
      <c r="W356" s="1444"/>
      <c r="X356" s="916"/>
      <c r="Y356" s="1482"/>
      <c r="Z356" s="940"/>
      <c r="AA356" s="916"/>
      <c r="AB356" s="916"/>
      <c r="AC356" s="916"/>
      <c r="AD356" s="916"/>
      <c r="AE356" s="689"/>
      <c r="AF356" s="689"/>
      <c r="AG356" s="689"/>
      <c r="AH356" s="689"/>
      <c r="AI356" s="689"/>
      <c r="AJ356" s="689"/>
      <c r="AK356" s="781"/>
      <c r="AL356" s="689"/>
      <c r="AM356" s="689"/>
    </row>
    <row r="357" spans="1:39" s="817" customFormat="1" ht="12" x14ac:dyDescent="0.3">
      <c r="A357" s="748" t="s">
        <v>293</v>
      </c>
      <c r="B357" s="816"/>
      <c r="C357" s="689"/>
      <c r="D357" s="689"/>
      <c r="E357" s="689"/>
      <c r="F357" s="779"/>
      <c r="G357" s="689"/>
      <c r="H357" s="689"/>
      <c r="I357" s="736"/>
      <c r="J357" s="779"/>
      <c r="K357" s="689"/>
      <c r="L357" s="689"/>
      <c r="M357" s="736"/>
      <c r="N357" s="779"/>
      <c r="O357" s="689"/>
      <c r="P357" s="689"/>
      <c r="Q357" s="689"/>
      <c r="R357" s="779"/>
      <c r="S357" s="916"/>
      <c r="T357" s="916"/>
      <c r="U357" s="916"/>
      <c r="V357" s="916"/>
      <c r="W357" s="1444"/>
      <c r="X357" s="916"/>
      <c r="Y357" s="1482"/>
      <c r="Z357" s="940"/>
      <c r="AA357" s="916"/>
      <c r="AB357" s="916"/>
      <c r="AC357" s="916"/>
      <c r="AD357" s="916"/>
      <c r="AE357" s="689"/>
      <c r="AF357" s="689"/>
      <c r="AG357" s="689"/>
      <c r="AH357" s="689"/>
      <c r="AI357" s="689"/>
      <c r="AJ357" s="689"/>
      <c r="AK357" s="781"/>
      <c r="AL357" s="689"/>
      <c r="AM357" s="689"/>
    </row>
    <row r="358" spans="1:39" s="794" customFormat="1" collapsed="1" x14ac:dyDescent="0.25">
      <c r="A358" s="793" t="str">
        <f>+A323</f>
        <v>Cash Interest Income</v>
      </c>
      <c r="C358" s="736"/>
      <c r="D358" s="736"/>
      <c r="E358" s="736"/>
      <c r="F358" s="752"/>
      <c r="G358" s="736"/>
      <c r="H358" s="736"/>
      <c r="I358" s="736"/>
      <c r="J358" s="752"/>
      <c r="K358" s="736"/>
      <c r="L358" s="736"/>
      <c r="M358" s="736"/>
      <c r="N358" s="752"/>
      <c r="O358" s="835" t="str">
        <f t="shared" ref="O358:U358" si="1102">+O327</f>
        <v>NA</v>
      </c>
      <c r="P358" s="835" t="str">
        <f t="shared" si="1102"/>
        <v>NA</v>
      </c>
      <c r="Q358" s="835">
        <f t="shared" si="1102"/>
        <v>-1.6</v>
      </c>
      <c r="R358" s="836">
        <f t="shared" si="1102"/>
        <v>-3.4</v>
      </c>
      <c r="S358" s="835">
        <f t="shared" si="1102"/>
        <v>-3.8</v>
      </c>
      <c r="T358" s="835">
        <f t="shared" si="1102"/>
        <v>-4.4000000000000004</v>
      </c>
      <c r="U358" s="835">
        <f t="shared" si="1102"/>
        <v>-3.6</v>
      </c>
      <c r="V358" s="835">
        <f t="shared" ref="V358" si="1103">+V327</f>
        <v>-1.6000000000000005</v>
      </c>
      <c r="W358" s="1445">
        <f t="shared" ref="W358:Z358" si="1104">+W327</f>
        <v>-1.929377781862585</v>
      </c>
      <c r="X358" s="835">
        <f t="shared" ref="X358:Y358" si="1105">+X327</f>
        <v>-2.1637761117603045</v>
      </c>
      <c r="Y358" s="1483">
        <f t="shared" si="1105"/>
        <v>-2.4240851857201009</v>
      </c>
      <c r="Z358" s="836">
        <f t="shared" si="1104"/>
        <v>-2.7916180366594827</v>
      </c>
      <c r="AA358" s="835"/>
      <c r="AB358" s="835"/>
      <c r="AC358" s="835"/>
      <c r="AD358" s="835"/>
      <c r="AE358" s="828"/>
      <c r="AF358" s="736"/>
      <c r="AG358" s="736"/>
      <c r="AH358" s="736"/>
      <c r="AI358" s="736"/>
      <c r="AJ358" s="736">
        <f>SUM(O358:R358)</f>
        <v>-5</v>
      </c>
      <c r="AK358" s="754">
        <f>+SUM(S358:V358)</f>
        <v>-13.399999999999999</v>
      </c>
      <c r="AL358" s="736">
        <f>+SUM(W358:Z358)</f>
        <v>-9.3088571160024731</v>
      </c>
      <c r="AM358" s="736"/>
    </row>
    <row r="359" spans="1:39" s="794" customFormat="1" collapsed="1" x14ac:dyDescent="0.25">
      <c r="A359" s="793" t="str">
        <f>+A329</f>
        <v>Cash Interest Expense</v>
      </c>
      <c r="C359" s="736"/>
      <c r="D359" s="736"/>
      <c r="E359" s="736"/>
      <c r="F359" s="752"/>
      <c r="G359" s="736"/>
      <c r="H359" s="736"/>
      <c r="I359" s="736"/>
      <c r="J359" s="752"/>
      <c r="K359" s="736"/>
      <c r="L359" s="736"/>
      <c r="M359" s="736"/>
      <c r="N359" s="752"/>
      <c r="O359" s="835">
        <f>+O354</f>
        <v>4.774</v>
      </c>
      <c r="P359" s="835">
        <f t="shared" ref="P359:T359" si="1106">+P354</f>
        <v>5.4169999999999998</v>
      </c>
      <c r="Q359" s="835">
        <f t="shared" si="1106"/>
        <v>7.4490000000000007</v>
      </c>
      <c r="R359" s="836">
        <f t="shared" si="1106"/>
        <v>9.402000000000001</v>
      </c>
      <c r="S359" s="835">
        <f>+S354</f>
        <v>10.625</v>
      </c>
      <c r="T359" s="835">
        <f t="shared" si="1106"/>
        <v>8.0667997749999998</v>
      </c>
      <c r="U359" s="835">
        <f t="shared" ref="U359:V359" si="1107">+U354</f>
        <v>8.1900527499999995</v>
      </c>
      <c r="V359" s="835">
        <f t="shared" si="1107"/>
        <v>8.1990177499999977</v>
      </c>
      <c r="W359" s="1445">
        <f t="shared" ref="W359:Z359" si="1108">+W354</f>
        <v>9.9631559374999998</v>
      </c>
      <c r="X359" s="835">
        <f t="shared" ref="X359:Y359" si="1109">+X354</f>
        <v>9.9724876874999993</v>
      </c>
      <c r="Y359" s="1483">
        <f t="shared" si="1109"/>
        <v>9.0950519999999972</v>
      </c>
      <c r="Z359" s="836">
        <f t="shared" si="1108"/>
        <v>9.0995360000000005</v>
      </c>
      <c r="AA359" s="835"/>
      <c r="AB359" s="835"/>
      <c r="AC359" s="835"/>
      <c r="AD359" s="835"/>
      <c r="AE359" s="828"/>
      <c r="AF359" s="736"/>
      <c r="AG359" s="736"/>
      <c r="AH359" s="736"/>
      <c r="AI359" s="736"/>
      <c r="AJ359" s="736">
        <f>SUM(O359:R359)</f>
        <v>27.042000000000002</v>
      </c>
      <c r="AK359" s="754">
        <f>+SUM(S359:V359)</f>
        <v>35.080870274999995</v>
      </c>
      <c r="AL359" s="736">
        <f>+SUM(W359:Z359)</f>
        <v>38.130231624999993</v>
      </c>
      <c r="AM359" s="736"/>
    </row>
    <row r="360" spans="1:39" s="911" customFormat="1" collapsed="1" x14ac:dyDescent="0.25">
      <c r="A360" s="793" t="s">
        <v>294</v>
      </c>
      <c r="C360" s="784"/>
      <c r="D360" s="784"/>
      <c r="E360" s="784"/>
      <c r="F360" s="785"/>
      <c r="G360" s="784"/>
      <c r="H360" s="784"/>
      <c r="I360" s="784"/>
      <c r="J360" s="785"/>
      <c r="K360" s="784"/>
      <c r="L360" s="784"/>
      <c r="M360" s="784"/>
      <c r="N360" s="785"/>
      <c r="O360" s="784">
        <f>+O361-O359</f>
        <v>-5.6239999999999997</v>
      </c>
      <c r="P360" s="784">
        <f t="shared" ref="P360:U360" si="1110">+P361-P359</f>
        <v>-2.3049999999999997</v>
      </c>
      <c r="Q360" s="784">
        <f t="shared" si="1110"/>
        <v>-5.7090000000000005</v>
      </c>
      <c r="R360" s="785">
        <f t="shared" si="1110"/>
        <v>-4.205000000000001</v>
      </c>
      <c r="S360" s="784">
        <f t="shared" si="1110"/>
        <v>-1.9440000000000008</v>
      </c>
      <c r="T360" s="784">
        <f t="shared" si="1110"/>
        <v>-4.1797997749999993</v>
      </c>
      <c r="U360" s="784">
        <f t="shared" si="1110"/>
        <v>6.3947250000000011E-2</v>
      </c>
      <c r="V360" s="784">
        <f t="shared" ref="V360:W360" si="1111">+V361-V359</f>
        <v>2.1109822500000046</v>
      </c>
      <c r="W360" s="1003">
        <f t="shared" si="1111"/>
        <v>6.1466280637416659E-2</v>
      </c>
      <c r="X360" s="784">
        <f t="shared" ref="X360:Y360" si="1112">+X361-X359</f>
        <v>-0.20326379926030391</v>
      </c>
      <c r="Y360" s="830">
        <f t="shared" si="1112"/>
        <v>0.76786281427990133</v>
      </c>
      <c r="Z360" s="1509">
        <v>0</v>
      </c>
      <c r="AA360" s="917"/>
      <c r="AB360" s="917"/>
      <c r="AC360" s="917"/>
      <c r="AD360" s="917"/>
      <c r="AE360" s="784"/>
      <c r="AF360" s="784"/>
      <c r="AG360" s="784"/>
      <c r="AH360" s="784"/>
      <c r="AI360" s="784"/>
      <c r="AJ360" s="784">
        <f>SUM(O360:R360)</f>
        <v>-17.843</v>
      </c>
      <c r="AK360" s="830">
        <f>+SUM(S360:V360)</f>
        <v>-3.9488702749999955</v>
      </c>
      <c r="AL360" s="784">
        <f>+SUM(W360:Z360)</f>
        <v>0.62606529565701408</v>
      </c>
      <c r="AM360" s="784"/>
    </row>
    <row r="361" spans="1:39" s="761" customFormat="1" collapsed="1" x14ac:dyDescent="0.25">
      <c r="A361" s="900" t="s">
        <v>293</v>
      </c>
      <c r="C361" s="762"/>
      <c r="D361" s="762"/>
      <c r="E361" s="762"/>
      <c r="F361" s="763"/>
      <c r="G361" s="762"/>
      <c r="H361" s="762"/>
      <c r="I361" s="762"/>
      <c r="J361" s="763"/>
      <c r="K361" s="762"/>
      <c r="L361" s="762"/>
      <c r="M361" s="762"/>
      <c r="N361" s="763"/>
      <c r="O361" s="762">
        <f t="shared" ref="O361:T361" si="1113">+O105</f>
        <v>-0.85</v>
      </c>
      <c r="P361" s="762">
        <f t="shared" si="1113"/>
        <v>3.1120000000000001</v>
      </c>
      <c r="Q361" s="762">
        <f t="shared" si="1113"/>
        <v>1.74</v>
      </c>
      <c r="R361" s="763">
        <f t="shared" si="1113"/>
        <v>5.1970000000000001</v>
      </c>
      <c r="S361" s="762">
        <f t="shared" si="1113"/>
        <v>8.6809999999999992</v>
      </c>
      <c r="T361" s="762">
        <f t="shared" si="1113"/>
        <v>3.887</v>
      </c>
      <c r="U361" s="762">
        <f>+U327+'FA - Detailed Disclosure'!U357</f>
        <v>8.2539999999999996</v>
      </c>
      <c r="V361" s="762">
        <f>+V327+'FA - Detailed Disclosure'!V357</f>
        <v>10.310000000000002</v>
      </c>
      <c r="W361" s="988">
        <f>+W327+'FA - Detailed Disclosure'!W357</f>
        <v>10.024622218137416</v>
      </c>
      <c r="X361" s="762">
        <f>+X327+'FA - Detailed Disclosure'!X357</f>
        <v>9.7692238882396953</v>
      </c>
      <c r="Y361" s="764">
        <f>+Y327+'FA - Detailed Disclosure'!Y357</f>
        <v>9.8629148142798986</v>
      </c>
      <c r="Z361" s="763">
        <f>+SUM(Z358:Z360)</f>
        <v>6.3079179633405182</v>
      </c>
      <c r="AA361" s="762"/>
      <c r="AB361" s="762"/>
      <c r="AC361" s="762"/>
      <c r="AD361" s="762"/>
      <c r="AE361" s="762"/>
      <c r="AF361" s="762"/>
      <c r="AG361" s="762"/>
      <c r="AH361" s="762"/>
      <c r="AI361" s="762"/>
      <c r="AJ361" s="762">
        <f>+SUM(AJ358:AJ360)</f>
        <v>4.1990000000000016</v>
      </c>
      <c r="AK361" s="764">
        <f>SUM(S361:V361)</f>
        <v>31.132000000000001</v>
      </c>
      <c r="AL361" s="762">
        <f>+SUM(W361:Z361)</f>
        <v>35.964678883997522</v>
      </c>
      <c r="AM361" s="762"/>
    </row>
    <row r="362" spans="1:39" s="919" customFormat="1" hidden="1" outlineLevel="1" x14ac:dyDescent="0.25">
      <c r="A362" s="918" t="s">
        <v>295</v>
      </c>
      <c r="C362" s="920"/>
      <c r="D362" s="920"/>
      <c r="E362" s="920"/>
      <c r="F362" s="921"/>
      <c r="G362" s="920"/>
      <c r="H362" s="920"/>
      <c r="I362" s="920"/>
      <c r="J362" s="921"/>
      <c r="K362" s="920"/>
      <c r="L362" s="920"/>
      <c r="M362" s="920"/>
      <c r="N362" s="921"/>
      <c r="O362" s="920"/>
      <c r="P362" s="920"/>
      <c r="Q362" s="920"/>
      <c r="R362" s="921"/>
      <c r="S362" s="922">
        <f>+S105</f>
        <v>8.6809999999999992</v>
      </c>
      <c r="T362" s="922">
        <f>+T105</f>
        <v>3.887</v>
      </c>
      <c r="U362" s="922">
        <f>+U105</f>
        <v>7.5570000000000004</v>
      </c>
      <c r="V362" s="922">
        <f>+V105</f>
        <v>12.914999999999999</v>
      </c>
      <c r="W362" s="1446">
        <f>+W105</f>
        <v>3.57</v>
      </c>
      <c r="X362" s="922"/>
      <c r="Y362" s="2272"/>
      <c r="Z362" s="921"/>
      <c r="AA362" s="920"/>
      <c r="AB362" s="920"/>
      <c r="AC362" s="920"/>
      <c r="AD362" s="920"/>
      <c r="AE362" s="920"/>
      <c r="AF362" s="920"/>
      <c r="AG362" s="920"/>
      <c r="AH362" s="920"/>
      <c r="AI362" s="920"/>
      <c r="AJ362" s="920"/>
      <c r="AK362" s="923">
        <f>SUM(S362:V362)</f>
        <v>33.04</v>
      </c>
      <c r="AL362" s="920"/>
      <c r="AM362" s="920"/>
    </row>
    <row r="363" spans="1:39" ht="12" collapsed="1" x14ac:dyDescent="0.3">
      <c r="A363" s="778"/>
      <c r="B363" s="470"/>
      <c r="C363" s="744"/>
      <c r="D363" s="744"/>
      <c r="E363" s="744"/>
      <c r="F363" s="745"/>
      <c r="G363" s="689"/>
      <c r="H363" s="689"/>
      <c r="I363" s="689"/>
      <c r="J363" s="779"/>
      <c r="K363" s="689"/>
      <c r="L363" s="689"/>
      <c r="M363" s="689"/>
      <c r="N363" s="779"/>
      <c r="O363" s="690"/>
      <c r="P363" s="690"/>
      <c r="Q363" s="689"/>
      <c r="R363" s="913"/>
      <c r="S363" s="924"/>
      <c r="T363" s="924"/>
      <c r="U363" s="924"/>
      <c r="V363" s="924"/>
      <c r="W363" s="1447"/>
      <c r="X363" s="924"/>
      <c r="Y363" s="1484"/>
      <c r="Z363" s="1510"/>
      <c r="AA363" s="924"/>
      <c r="AB363" s="924"/>
      <c r="AC363" s="924"/>
      <c r="AD363" s="924"/>
      <c r="AE363" s="744"/>
      <c r="AF363" s="689"/>
      <c r="AG363" s="689"/>
      <c r="AH363" s="689"/>
      <c r="AI363" s="689"/>
      <c r="AJ363" s="689"/>
      <c r="AK363" s="781"/>
      <c r="AL363" s="689"/>
      <c r="AM363" s="689"/>
    </row>
    <row r="364" spans="1:39" ht="12" x14ac:dyDescent="0.3">
      <c r="A364" s="740" t="s">
        <v>296</v>
      </c>
      <c r="B364" s="470"/>
      <c r="C364" s="744"/>
      <c r="D364" s="744"/>
      <c r="E364" s="744"/>
      <c r="F364" s="745"/>
      <c r="G364" s="689"/>
      <c r="H364" s="689"/>
      <c r="I364" s="689"/>
      <c r="J364" s="779"/>
      <c r="K364" s="689"/>
      <c r="L364" s="689"/>
      <c r="M364" s="689"/>
      <c r="N364" s="779"/>
      <c r="O364" s="690"/>
      <c r="P364" s="690"/>
      <c r="Q364" s="689"/>
      <c r="R364" s="913"/>
      <c r="S364" s="924"/>
      <c r="T364" s="924"/>
      <c r="U364" s="924"/>
      <c r="V364" s="924"/>
      <c r="W364" s="1447"/>
      <c r="X364" s="924"/>
      <c r="Y364" s="1484"/>
      <c r="Z364" s="1510"/>
      <c r="AA364" s="924"/>
      <c r="AB364" s="924"/>
      <c r="AC364" s="924"/>
      <c r="AD364" s="924"/>
      <c r="AE364" s="744"/>
      <c r="AF364" s="689"/>
      <c r="AG364" s="689"/>
      <c r="AH364" s="689"/>
      <c r="AI364" s="689"/>
      <c r="AJ364" s="689"/>
      <c r="AK364" s="781"/>
      <c r="AL364" s="689"/>
      <c r="AM364" s="689"/>
    </row>
    <row r="365" spans="1:39" ht="12" x14ac:dyDescent="0.3">
      <c r="A365" s="778"/>
      <c r="B365" s="470"/>
      <c r="C365" s="744"/>
      <c r="D365" s="744"/>
      <c r="E365" s="744"/>
      <c r="F365" s="745"/>
      <c r="G365" s="689"/>
      <c r="H365" s="689"/>
      <c r="I365" s="689"/>
      <c r="J365" s="779"/>
      <c r="K365" s="689"/>
      <c r="L365" s="689"/>
      <c r="M365" s="689"/>
      <c r="N365" s="779"/>
      <c r="O365" s="690"/>
      <c r="P365" s="690"/>
      <c r="Q365" s="689"/>
      <c r="R365" s="913"/>
      <c r="S365" s="924"/>
      <c r="T365" s="924"/>
      <c r="U365" s="924"/>
      <c r="V365" s="924"/>
      <c r="W365" s="1448"/>
      <c r="X365" s="924"/>
      <c r="Y365" s="1484"/>
      <c r="Z365" s="1510"/>
      <c r="AA365" s="924"/>
      <c r="AB365" s="924"/>
      <c r="AC365" s="924"/>
      <c r="AD365" s="924"/>
      <c r="AE365" s="744"/>
      <c r="AF365" s="689"/>
      <c r="AG365" s="689"/>
      <c r="AH365" s="689"/>
      <c r="AI365" s="689"/>
      <c r="AJ365" s="689"/>
      <c r="AK365" s="781"/>
      <c r="AL365" s="689"/>
      <c r="AM365" s="689"/>
    </row>
    <row r="366" spans="1:39" s="794" customFormat="1" collapsed="1" x14ac:dyDescent="0.25">
      <c r="A366" s="793" t="s">
        <v>297</v>
      </c>
      <c r="C366" s="736"/>
      <c r="D366" s="736"/>
      <c r="E366" s="736"/>
      <c r="F366" s="752"/>
      <c r="G366" s="736"/>
      <c r="H366" s="965"/>
      <c r="I366" s="965"/>
      <c r="J366" s="894"/>
      <c r="K366" s="736"/>
      <c r="L366" s="965">
        <f>+'FA - Historical Financials'!L126</f>
        <v>553.96799999999996</v>
      </c>
      <c r="M366" s="965">
        <f>+'FA - Historical Financials'!M126</f>
        <v>554.40499999999997</v>
      </c>
      <c r="N366" s="894">
        <f>+'FA - Historical Financials'!N126</f>
        <v>554.84500000000003</v>
      </c>
      <c r="O366" s="961">
        <f>+'FA - Historical Financials'!O126</f>
        <v>555.29</v>
      </c>
      <c r="P366" s="961">
        <f>+'FA - Historical Financials'!P126</f>
        <v>555.73900000000003</v>
      </c>
      <c r="Q366" s="961">
        <f>+'FA - Historical Financials'!Q126</f>
        <v>556.19200000000001</v>
      </c>
      <c r="R366" s="962">
        <f>+'FA - Historical Financials'!R126</f>
        <v>556.649</v>
      </c>
      <c r="S366" s="961">
        <f>+'FA - Historical Financials'!S126</f>
        <v>557.11099999999999</v>
      </c>
      <c r="T366" s="835">
        <f>+'FA - Historical Financials'!T126</f>
        <v>557.57600000000002</v>
      </c>
      <c r="U366" s="835">
        <f>+'FA - Historical Financials'!U126</f>
        <v>558.01199999999994</v>
      </c>
      <c r="V366" s="835">
        <f>+'FA - Historical Financials'!V126</f>
        <v>558.45600000000002</v>
      </c>
      <c r="W366" s="986"/>
      <c r="X366" s="835"/>
      <c r="Y366" s="1483"/>
      <c r="Z366" s="752"/>
      <c r="AA366" s="736"/>
      <c r="AB366" s="736"/>
      <c r="AC366" s="736"/>
      <c r="AD366" s="736"/>
      <c r="AE366" s="736"/>
      <c r="AF366" s="736"/>
      <c r="AG366" s="736"/>
      <c r="AH366" s="736"/>
      <c r="AI366" s="965">
        <f>+N366</f>
        <v>554.84500000000003</v>
      </c>
      <c r="AJ366" s="965">
        <f>+R366</f>
        <v>556.649</v>
      </c>
      <c r="AK366" s="754"/>
      <c r="AL366" s="736"/>
      <c r="AM366" s="736"/>
    </row>
    <row r="367" spans="1:39" s="911" customFormat="1" ht="13" collapsed="1" x14ac:dyDescent="0.4">
      <c r="A367" s="793" t="s">
        <v>298</v>
      </c>
      <c r="C367" s="784"/>
      <c r="D367" s="784"/>
      <c r="E367" s="784"/>
      <c r="F367" s="785"/>
      <c r="G367" s="784"/>
      <c r="H367" s="966"/>
      <c r="I367" s="966"/>
      <c r="J367" s="967"/>
      <c r="K367" s="784"/>
      <c r="L367" s="966">
        <v>0</v>
      </c>
      <c r="M367" s="966">
        <v>0</v>
      </c>
      <c r="N367" s="967">
        <v>0</v>
      </c>
      <c r="O367" s="963">
        <v>0</v>
      </c>
      <c r="P367" s="963">
        <v>0</v>
      </c>
      <c r="Q367" s="963">
        <v>0</v>
      </c>
      <c r="R367" s="964">
        <v>0</v>
      </c>
      <c r="S367" s="963">
        <v>0</v>
      </c>
      <c r="T367" s="960">
        <v>0</v>
      </c>
      <c r="U367" s="897">
        <v>0</v>
      </c>
      <c r="V367" s="960">
        <v>0</v>
      </c>
      <c r="W367" s="1003"/>
      <c r="X367" s="960"/>
      <c r="Y367" s="1035"/>
      <c r="Z367" s="785"/>
      <c r="AA367" s="784"/>
      <c r="AB367" s="784"/>
      <c r="AC367" s="784"/>
      <c r="AD367" s="784"/>
      <c r="AE367" s="784"/>
      <c r="AF367" s="784"/>
      <c r="AG367" s="784"/>
      <c r="AH367" s="784"/>
      <c r="AI367" s="966">
        <f>+N367</f>
        <v>0</v>
      </c>
      <c r="AJ367" s="966">
        <f>+R367</f>
        <v>0</v>
      </c>
      <c r="AK367" s="830"/>
      <c r="AL367" s="784"/>
      <c r="AM367" s="784"/>
    </row>
    <row r="368" spans="1:39" ht="12" x14ac:dyDescent="0.3">
      <c r="A368" s="821" t="s">
        <v>299</v>
      </c>
      <c r="B368" s="470"/>
      <c r="C368" s="744"/>
      <c r="D368" s="744"/>
      <c r="E368" s="744"/>
      <c r="F368" s="745"/>
      <c r="G368" s="689"/>
      <c r="H368" s="877"/>
      <c r="I368" s="877"/>
      <c r="J368" s="968"/>
      <c r="K368" s="689"/>
      <c r="L368" s="877">
        <f t="shared" ref="L368" si="1114">+SUM(L366:L367)</f>
        <v>553.96799999999996</v>
      </c>
      <c r="M368" s="877">
        <f t="shared" ref="M368" si="1115">+SUM(M366:M367)</f>
        <v>554.40499999999997</v>
      </c>
      <c r="N368" s="968">
        <f t="shared" ref="N368" si="1116">+SUM(N366:N367)</f>
        <v>554.84500000000003</v>
      </c>
      <c r="O368" s="848">
        <f t="shared" ref="O368:R368" si="1117">+SUM(O366:O367)</f>
        <v>555.29</v>
      </c>
      <c r="P368" s="848">
        <f t="shared" si="1117"/>
        <v>555.73900000000003</v>
      </c>
      <c r="Q368" s="877">
        <f t="shared" si="1117"/>
        <v>556.19200000000001</v>
      </c>
      <c r="R368" s="894">
        <f t="shared" si="1117"/>
        <v>556.649</v>
      </c>
      <c r="S368" s="961">
        <f>+SUM(S366:S367)</f>
        <v>557.11099999999999</v>
      </c>
      <c r="T368" s="835">
        <f t="shared" ref="T368:U368" si="1118">+SUM(T366:T367)</f>
        <v>557.57600000000002</v>
      </c>
      <c r="U368" s="835">
        <f t="shared" si="1118"/>
        <v>558.01199999999994</v>
      </c>
      <c r="V368" s="835">
        <f t="shared" ref="V368" si="1119">+SUM(V366:V367)</f>
        <v>558.45600000000002</v>
      </c>
      <c r="W368" s="1448"/>
      <c r="X368" s="835"/>
      <c r="Y368" s="1483"/>
      <c r="Z368" s="1510"/>
      <c r="AA368" s="924"/>
      <c r="AB368" s="924"/>
      <c r="AC368" s="924"/>
      <c r="AD368" s="924"/>
      <c r="AE368" s="744"/>
      <c r="AF368" s="689"/>
      <c r="AG368" s="689"/>
      <c r="AH368" s="689"/>
      <c r="AI368" s="877">
        <f>+N368</f>
        <v>554.84500000000003</v>
      </c>
      <c r="AJ368" s="877">
        <f>+R368</f>
        <v>556.649</v>
      </c>
      <c r="AK368" s="781"/>
      <c r="AL368" s="689"/>
      <c r="AM368" s="689"/>
    </row>
    <row r="369" spans="1:60" ht="12" x14ac:dyDescent="0.3">
      <c r="A369" s="778"/>
      <c r="B369" s="470"/>
      <c r="C369" s="744"/>
      <c r="D369" s="744"/>
      <c r="E369" s="744"/>
      <c r="F369" s="745"/>
      <c r="G369" s="689"/>
      <c r="H369" s="689"/>
      <c r="I369" s="689"/>
      <c r="J369" s="779"/>
      <c r="K369" s="689"/>
      <c r="L369" s="689"/>
      <c r="M369" s="689"/>
      <c r="N369" s="779"/>
      <c r="O369" s="690"/>
      <c r="P369" s="690"/>
      <c r="Q369" s="689"/>
      <c r="R369" s="913"/>
      <c r="S369" s="924"/>
      <c r="T369" s="924"/>
      <c r="U369" s="924"/>
      <c r="V369" s="924"/>
      <c r="W369" s="1448"/>
      <c r="X369" s="924"/>
      <c r="Y369" s="1484"/>
      <c r="Z369" s="1510"/>
      <c r="AA369" s="924"/>
      <c r="AB369" s="924"/>
      <c r="AC369" s="924"/>
      <c r="AD369" s="924"/>
      <c r="AE369" s="744"/>
      <c r="AF369" s="689"/>
      <c r="AG369" s="689"/>
      <c r="AH369" s="689"/>
      <c r="AI369" s="877"/>
      <c r="AJ369" s="877"/>
      <c r="AK369" s="781"/>
      <c r="AL369" s="689"/>
      <c r="AM369" s="689"/>
    </row>
    <row r="370" spans="1:60" ht="12" x14ac:dyDescent="0.3">
      <c r="A370" s="778"/>
      <c r="B370" s="470"/>
      <c r="C370" s="744"/>
      <c r="D370" s="744"/>
      <c r="E370" s="744"/>
      <c r="F370" s="745"/>
      <c r="G370" s="689"/>
      <c r="H370" s="689"/>
      <c r="I370" s="689"/>
      <c r="J370" s="779"/>
      <c r="K370" s="689"/>
      <c r="L370" s="689"/>
      <c r="M370" s="689"/>
      <c r="N370" s="779"/>
      <c r="O370" s="690"/>
      <c r="P370" s="690"/>
      <c r="Q370" s="689"/>
      <c r="R370" s="913"/>
      <c r="S370" s="924"/>
      <c r="T370" s="924"/>
      <c r="U370" s="924"/>
      <c r="V370" s="924"/>
      <c r="W370" s="1448"/>
      <c r="X370" s="924"/>
      <c r="Y370" s="1484"/>
      <c r="Z370" s="1510"/>
      <c r="AA370" s="924"/>
      <c r="AB370" s="924"/>
      <c r="AC370" s="924"/>
      <c r="AD370" s="924"/>
      <c r="AE370" s="744"/>
      <c r="AF370" s="689"/>
      <c r="AG370" s="689"/>
      <c r="AH370" s="689"/>
      <c r="AI370" s="689"/>
      <c r="AJ370" s="689"/>
      <c r="AK370" s="781"/>
      <c r="AL370" s="689"/>
      <c r="AM370" s="689"/>
    </row>
    <row r="371" spans="1:60" ht="12" x14ac:dyDescent="0.3">
      <c r="A371" s="778"/>
      <c r="B371" s="470"/>
      <c r="C371" s="744"/>
      <c r="D371" s="744"/>
      <c r="E371" s="744"/>
      <c r="F371" s="745"/>
      <c r="G371" s="689"/>
      <c r="H371" s="689"/>
      <c r="I371" s="689"/>
      <c r="J371" s="779"/>
      <c r="K371" s="689"/>
      <c r="L371" s="689"/>
      <c r="M371" s="689"/>
      <c r="N371" s="779"/>
      <c r="O371" s="690"/>
      <c r="P371" s="690"/>
      <c r="Q371" s="689"/>
      <c r="R371" s="913"/>
      <c r="S371" s="924"/>
      <c r="T371" s="924"/>
      <c r="U371" s="924"/>
      <c r="V371" s="924"/>
      <c r="W371" s="1448"/>
      <c r="X371" s="924"/>
      <c r="Y371" s="1484"/>
      <c r="Z371" s="1510"/>
      <c r="AA371" s="924"/>
      <c r="AB371" s="924"/>
      <c r="AC371" s="924"/>
      <c r="AD371" s="924"/>
      <c r="AE371" s="744"/>
      <c r="AF371" s="689"/>
      <c r="AG371" s="689"/>
      <c r="AH371" s="689"/>
      <c r="AI371" s="689"/>
      <c r="AJ371" s="689"/>
      <c r="AK371" s="781"/>
      <c r="AL371" s="689"/>
      <c r="AM371" s="689"/>
    </row>
    <row r="372" spans="1:60" ht="12" x14ac:dyDescent="0.3">
      <c r="A372" s="778"/>
      <c r="B372" s="470"/>
      <c r="C372" s="744"/>
      <c r="D372" s="744"/>
      <c r="E372" s="744"/>
      <c r="F372" s="745"/>
      <c r="G372" s="689"/>
      <c r="H372" s="689"/>
      <c r="I372" s="689"/>
      <c r="J372" s="779"/>
      <c r="K372" s="689"/>
      <c r="L372" s="689"/>
      <c r="M372" s="689"/>
      <c r="N372" s="779"/>
      <c r="O372" s="690"/>
      <c r="P372" s="690"/>
      <c r="Q372" s="689"/>
      <c r="R372" s="913"/>
      <c r="S372" s="924"/>
      <c r="T372" s="924"/>
      <c r="U372" s="924"/>
      <c r="V372" s="924"/>
      <c r="W372" s="1448"/>
      <c r="X372" s="924"/>
      <c r="Y372" s="1484"/>
      <c r="Z372" s="1510"/>
      <c r="AA372" s="924"/>
      <c r="AB372" s="924"/>
      <c r="AC372" s="924"/>
      <c r="AD372" s="924"/>
      <c r="AE372" s="744"/>
      <c r="AF372" s="689"/>
      <c r="AG372" s="689"/>
      <c r="AH372" s="689"/>
      <c r="AI372" s="689"/>
      <c r="AJ372" s="689"/>
      <c r="AK372" s="781"/>
      <c r="AL372" s="689"/>
      <c r="AM372" s="689"/>
    </row>
    <row r="373" spans="1:60" ht="12" x14ac:dyDescent="0.3">
      <c r="A373" s="778"/>
      <c r="B373" s="470"/>
      <c r="C373" s="744"/>
      <c r="D373" s="744"/>
      <c r="E373" s="744"/>
      <c r="F373" s="745"/>
      <c r="G373" s="689"/>
      <c r="H373" s="689"/>
      <c r="I373" s="689"/>
      <c r="J373" s="779"/>
      <c r="K373" s="689"/>
      <c r="L373" s="689"/>
      <c r="M373" s="689"/>
      <c r="N373" s="779"/>
      <c r="O373" s="690"/>
      <c r="P373" s="690"/>
      <c r="Q373" s="689"/>
      <c r="R373" s="913"/>
      <c r="S373" s="924"/>
      <c r="T373" s="924"/>
      <c r="U373" s="924"/>
      <c r="V373" s="924"/>
      <c r="W373" s="1448"/>
      <c r="X373" s="924"/>
      <c r="Y373" s="1484"/>
      <c r="Z373" s="1510"/>
      <c r="AA373" s="924"/>
      <c r="AB373" s="924"/>
      <c r="AC373" s="924"/>
      <c r="AD373" s="924"/>
      <c r="AE373" s="744"/>
      <c r="AF373" s="689"/>
      <c r="AG373" s="689"/>
      <c r="AH373" s="689"/>
      <c r="AI373" s="689"/>
      <c r="AJ373" s="689"/>
      <c r="AK373" s="781"/>
      <c r="AL373" s="689"/>
      <c r="AM373" s="689"/>
    </row>
    <row r="374" spans="1:60" ht="12" collapsed="1" x14ac:dyDescent="0.3">
      <c r="A374" s="778"/>
      <c r="B374" s="470"/>
      <c r="C374" s="744"/>
      <c r="D374" s="744"/>
      <c r="E374" s="744"/>
      <c r="F374" s="745"/>
      <c r="G374" s="689"/>
      <c r="H374" s="689"/>
      <c r="I374" s="689"/>
      <c r="J374" s="779"/>
      <c r="K374" s="689"/>
      <c r="L374" s="689"/>
      <c r="M374" s="689"/>
      <c r="N374" s="779"/>
      <c r="O374" s="690"/>
      <c r="P374" s="690"/>
      <c r="Q374" s="689"/>
      <c r="R374" s="913"/>
      <c r="S374" s="924"/>
      <c r="T374" s="924"/>
      <c r="U374" s="924"/>
      <c r="V374" s="924"/>
      <c r="W374" s="1448"/>
      <c r="X374" s="924"/>
      <c r="Y374" s="1484"/>
      <c r="Z374" s="1510"/>
      <c r="AA374" s="924"/>
      <c r="AB374" s="924"/>
      <c r="AC374" s="924"/>
      <c r="AD374" s="924"/>
      <c r="AE374" s="744"/>
      <c r="AF374" s="689"/>
      <c r="AG374" s="689"/>
      <c r="AH374" s="689"/>
      <c r="AI374" s="689"/>
      <c r="AJ374" s="689"/>
      <c r="AK374" s="781"/>
      <c r="AL374" s="689"/>
      <c r="AM374" s="689"/>
    </row>
    <row r="375" spans="1:60" ht="12" x14ac:dyDescent="0.3">
      <c r="A375" s="740" t="s">
        <v>300</v>
      </c>
      <c r="B375" s="816"/>
      <c r="C375" s="925"/>
      <c r="D375" s="925"/>
      <c r="E375" s="925"/>
      <c r="F375" s="926"/>
      <c r="G375" s="925"/>
      <c r="H375" s="925"/>
      <c r="I375" s="925"/>
      <c r="J375" s="926"/>
      <c r="K375" s="925"/>
      <c r="L375" s="925"/>
      <c r="M375" s="925"/>
      <c r="N375" s="926"/>
      <c r="O375" s="925"/>
      <c r="P375" s="925"/>
      <c r="Q375" s="925"/>
      <c r="R375" s="926"/>
      <c r="S375" s="925"/>
      <c r="T375" s="744"/>
      <c r="U375" s="744"/>
      <c r="V375" s="744"/>
      <c r="W375" s="985"/>
      <c r="X375" s="744"/>
      <c r="Y375" s="792"/>
      <c r="Z375" s="745"/>
      <c r="AA375" s="744"/>
      <c r="AB375" s="744"/>
      <c r="AC375" s="744"/>
      <c r="AD375" s="744"/>
      <c r="AE375" s="744"/>
      <c r="AF375" s="744"/>
      <c r="AG375" s="744"/>
      <c r="AH375" s="744"/>
      <c r="AI375" s="744"/>
      <c r="AJ375" s="744"/>
      <c r="AK375" s="792"/>
      <c r="AL375" s="744"/>
      <c r="AM375" s="744"/>
    </row>
    <row r="376" spans="1:60" ht="13" x14ac:dyDescent="0.4">
      <c r="C376" s="925"/>
      <c r="D376" s="925"/>
      <c r="E376" s="925"/>
      <c r="F376" s="926"/>
      <c r="G376" s="925"/>
      <c r="H376" s="925"/>
      <c r="I376" s="925"/>
      <c r="J376" s="926"/>
      <c r="K376" s="925"/>
      <c r="L376" s="925"/>
      <c r="M376" s="925"/>
      <c r="N376" s="926"/>
      <c r="O376" s="925"/>
      <c r="P376" s="925"/>
      <c r="Q376" s="925"/>
      <c r="R376" s="926"/>
      <c r="S376" s="925"/>
      <c r="T376" s="928"/>
      <c r="U376" s="928"/>
      <c r="V376" s="928"/>
      <c r="W376" s="985"/>
      <c r="X376" s="928"/>
      <c r="Y376" s="928"/>
      <c r="Z376" s="2360"/>
      <c r="AA376" s="1512" t="s">
        <v>301</v>
      </c>
      <c r="AB376" s="1512" t="s">
        <v>302</v>
      </c>
      <c r="AC376" s="744"/>
      <c r="AD376" s="744"/>
      <c r="AE376" s="744"/>
      <c r="AF376" s="744"/>
      <c r="AG376" s="744"/>
      <c r="AH376" s="744"/>
      <c r="AI376" s="744"/>
      <c r="AJ376" s="744"/>
      <c r="AK376" s="792"/>
      <c r="AL376" s="744"/>
      <c r="AM376" s="744"/>
    </row>
    <row r="377" spans="1:60" s="794" customFormat="1" x14ac:dyDescent="0.25">
      <c r="A377" s="794" t="s">
        <v>303</v>
      </c>
      <c r="C377" s="925">
        <f>+C378-89</f>
        <v>43466</v>
      </c>
      <c r="D377" s="925">
        <f t="shared" ref="D377:G377" si="1120">+D378-90</f>
        <v>43556</v>
      </c>
      <c r="E377" s="925">
        <f t="shared" si="1120"/>
        <v>43647</v>
      </c>
      <c r="F377" s="926">
        <f>+F378-92</f>
        <v>43738</v>
      </c>
      <c r="G377" s="925">
        <f t="shared" si="1120"/>
        <v>43831</v>
      </c>
      <c r="H377" s="925">
        <f>+H378-90</f>
        <v>43922</v>
      </c>
      <c r="I377" s="925">
        <f>+I378-91</f>
        <v>44013</v>
      </c>
      <c r="J377" s="926">
        <f>+J378-91</f>
        <v>44105</v>
      </c>
      <c r="K377" s="925">
        <f>+K378-89</f>
        <v>44197</v>
      </c>
      <c r="L377" s="925">
        <f>+L378-90</f>
        <v>44287</v>
      </c>
      <c r="M377" s="925">
        <f t="shared" ref="M377:N377" si="1121">+M378-91</f>
        <v>44378</v>
      </c>
      <c r="N377" s="926">
        <f t="shared" si="1121"/>
        <v>44470</v>
      </c>
      <c r="O377" s="925">
        <f>+O378-89</f>
        <v>44562</v>
      </c>
      <c r="P377" s="925">
        <f>+P378-90</f>
        <v>44652</v>
      </c>
      <c r="Q377" s="925">
        <f>+P378+1</f>
        <v>44743</v>
      </c>
      <c r="R377" s="926">
        <f>+R378-91</f>
        <v>44835</v>
      </c>
      <c r="S377" s="925">
        <f>+R378+1</f>
        <v>44927</v>
      </c>
      <c r="T377" s="925">
        <f t="shared" ref="T377" si="1122">+S378+1</f>
        <v>45017</v>
      </c>
      <c r="U377" s="925">
        <f>+T378+1</f>
        <v>45108</v>
      </c>
      <c r="V377" s="925">
        <f>+U378+1</f>
        <v>45200</v>
      </c>
      <c r="W377" s="1449">
        <f t="shared" ref="W377" si="1123">+V378+1</f>
        <v>45292</v>
      </c>
      <c r="X377" s="925">
        <f>+W378+1</f>
        <v>45383</v>
      </c>
      <c r="Y377" s="925">
        <f>+X378+1</f>
        <v>45474</v>
      </c>
      <c r="Z377" s="2361">
        <f>+Y378+1</f>
        <v>45566</v>
      </c>
      <c r="AA377" s="2376">
        <f>+AA378-1</f>
        <v>45656</v>
      </c>
      <c r="AB377" s="2376">
        <f>+AB378-1</f>
        <v>45656</v>
      </c>
      <c r="AC377" s="925"/>
      <c r="AD377" s="925"/>
      <c r="AF377" s="925">
        <v>43101</v>
      </c>
      <c r="AG377" s="925">
        <f t="shared" ref="AG377:AK377" si="1124">+AF378+1</f>
        <v>43466</v>
      </c>
      <c r="AH377" s="925">
        <f t="shared" si="1124"/>
        <v>43831</v>
      </c>
      <c r="AI377" s="925">
        <f t="shared" si="1124"/>
        <v>44197</v>
      </c>
      <c r="AJ377" s="925">
        <f t="shared" si="1124"/>
        <v>44562</v>
      </c>
      <c r="AK377" s="927">
        <f t="shared" si="1124"/>
        <v>44927</v>
      </c>
      <c r="AL377" s="925">
        <f t="shared" ref="AL377" si="1125">+AK378+1</f>
        <v>45292</v>
      </c>
      <c r="AM377" s="925"/>
      <c r="AN377" s="925"/>
      <c r="AO377" s="925"/>
      <c r="AP377" s="925"/>
      <c r="BD377" s="929"/>
      <c r="BE377" s="929"/>
      <c r="BF377" s="929"/>
      <c r="BG377" s="929"/>
      <c r="BH377" s="929"/>
    </row>
    <row r="378" spans="1:60" s="794" customFormat="1" x14ac:dyDescent="0.25">
      <c r="A378" s="794" t="s">
        <v>304</v>
      </c>
      <c r="C378" s="925">
        <f t="shared" ref="C378:G378" si="1126">+D377-1</f>
        <v>43555</v>
      </c>
      <c r="D378" s="925">
        <f t="shared" si="1126"/>
        <v>43646</v>
      </c>
      <c r="E378" s="925">
        <f t="shared" si="1126"/>
        <v>43737</v>
      </c>
      <c r="F378" s="926">
        <f t="shared" si="1126"/>
        <v>43830</v>
      </c>
      <c r="G378" s="925">
        <f t="shared" si="1126"/>
        <v>43921</v>
      </c>
      <c r="H378" s="925">
        <f>+I377-1</f>
        <v>44012</v>
      </c>
      <c r="I378" s="925">
        <f>+J377-1</f>
        <v>44104</v>
      </c>
      <c r="J378" s="926">
        <f>+K377-1</f>
        <v>44196</v>
      </c>
      <c r="K378" s="925">
        <f>+L377-1</f>
        <v>44286</v>
      </c>
      <c r="L378" s="925">
        <f t="shared" ref="L378:O378" si="1127">+M377-1</f>
        <v>44377</v>
      </c>
      <c r="M378" s="925">
        <f t="shared" si="1127"/>
        <v>44469</v>
      </c>
      <c r="N378" s="926">
        <f t="shared" si="1127"/>
        <v>44561</v>
      </c>
      <c r="O378" s="925">
        <f t="shared" si="1127"/>
        <v>44651</v>
      </c>
      <c r="P378" s="925">
        <v>44742</v>
      </c>
      <c r="Q378" s="925">
        <f>+Q377+92</f>
        <v>44835</v>
      </c>
      <c r="R378" s="926">
        <v>44926</v>
      </c>
      <c r="S378" s="925">
        <f>+S377+89</f>
        <v>45016</v>
      </c>
      <c r="T378" s="925">
        <f>+T377+90</f>
        <v>45107</v>
      </c>
      <c r="U378" s="925">
        <f>+U377+91</f>
        <v>45199</v>
      </c>
      <c r="V378" s="925">
        <f>+V377+91</f>
        <v>45291</v>
      </c>
      <c r="W378" s="1449">
        <f>+W377+90</f>
        <v>45382</v>
      </c>
      <c r="X378" s="925">
        <f>+X377+90</f>
        <v>45473</v>
      </c>
      <c r="Y378" s="925">
        <f>+Y377+91</f>
        <v>45565</v>
      </c>
      <c r="Z378" s="2361">
        <f>+Z377+91</f>
        <v>45657</v>
      </c>
      <c r="AA378" s="2376">
        <f>+Z378</f>
        <v>45657</v>
      </c>
      <c r="AB378" s="2376">
        <f>+AA378</f>
        <v>45657</v>
      </c>
      <c r="AC378" s="925"/>
      <c r="AD378" s="925"/>
      <c r="AF378" s="925">
        <f>+AF377+364</f>
        <v>43465</v>
      </c>
      <c r="AG378" s="925">
        <f>+AG377+364</f>
        <v>43830</v>
      </c>
      <c r="AH378" s="925">
        <f>+AH377+365</f>
        <v>44196</v>
      </c>
      <c r="AI378" s="925">
        <f>+AI377+364</f>
        <v>44561</v>
      </c>
      <c r="AJ378" s="925">
        <f>+AJ377+364</f>
        <v>44926</v>
      </c>
      <c r="AK378" s="927">
        <f>+AK377+364</f>
        <v>45291</v>
      </c>
      <c r="AL378" s="925">
        <f>+AL377+365</f>
        <v>45657</v>
      </c>
      <c r="AM378" s="925"/>
      <c r="AN378" s="925"/>
      <c r="AO378" s="925"/>
      <c r="AP378" s="925"/>
      <c r="BD378" s="929"/>
      <c r="BE378" s="929"/>
      <c r="BF378" s="929"/>
      <c r="BG378" s="929"/>
      <c r="BH378" s="929"/>
    </row>
    <row r="379" spans="1:60" s="794" customFormat="1" x14ac:dyDescent="0.25">
      <c r="C379" s="925"/>
      <c r="D379" s="925"/>
      <c r="E379" s="925"/>
      <c r="F379" s="926"/>
      <c r="G379" s="925"/>
      <c r="H379" s="925"/>
      <c r="I379" s="925"/>
      <c r="J379" s="926"/>
      <c r="K379" s="925"/>
      <c r="L379" s="925"/>
      <c r="M379" s="925"/>
      <c r="N379" s="926"/>
      <c r="O379" s="925"/>
      <c r="P379" s="925"/>
      <c r="Q379" s="925"/>
      <c r="R379" s="926"/>
      <c r="S379" s="925"/>
      <c r="T379" s="925"/>
      <c r="U379" s="925"/>
      <c r="W379" s="1437"/>
      <c r="X379" s="925"/>
      <c r="Y379" s="927"/>
      <c r="Z379" s="1410"/>
      <c r="AF379" s="925"/>
      <c r="AG379" s="925"/>
      <c r="AH379" s="925"/>
      <c r="AI379" s="925"/>
      <c r="AJ379" s="925"/>
      <c r="AK379" s="927"/>
      <c r="AL379" s="925"/>
      <c r="AM379" s="925"/>
      <c r="AN379" s="925"/>
      <c r="AO379" s="925"/>
      <c r="AP379" s="925"/>
      <c r="BD379" s="929"/>
      <c r="BE379" s="929"/>
      <c r="BF379" s="929"/>
      <c r="BG379" s="929"/>
      <c r="BH379" s="929"/>
    </row>
    <row r="380" spans="1:60" s="794" customFormat="1" x14ac:dyDescent="0.25">
      <c r="A380" s="794" t="str">
        <f>+AO380&amp;" / "&amp;AP380&amp;" - avg"</f>
        <v>USD / GBP - avg</v>
      </c>
      <c r="C380" s="930">
        <f>_xll.ciqfunctions.udf.CIQAVG("$"&amp;$AO380&amp;$AP380,"iq_lastsaleprice",C$377,C$378)</f>
        <v>1.302018396</v>
      </c>
      <c r="D380" s="930">
        <f>_xll.ciqfunctions.udf.CIQAVG("$"&amp;$AO380&amp;$AP380,"iq_lastsaleprice",D$377,D$378)</f>
        <v>1.2852491288791199</v>
      </c>
      <c r="E380" s="930">
        <f>_xll.ciqfunctions.udf.CIQAVG("$"&amp;$AO380&amp;$AP380,"iq_lastsaleprice",E$377,E$378)</f>
        <v>1.2329250024395599</v>
      </c>
      <c r="F380" s="931">
        <f>_xll.ciqfunctions.udf.CIQAVG("$"&amp;$AO380&amp;$AP380,"iq_lastsaleprice",F$377,F$378)</f>
        <v>1.28742879605376</v>
      </c>
      <c r="G380" s="930">
        <f>_xll.ciqfunctions.udf.CIQAVG("$"&amp;$AO380&amp;$AP380,"iq_lastsaleprice",G$377,G$378)</f>
        <v>1.2806269308022</v>
      </c>
      <c r="H380" s="930">
        <f>_xll.ciqfunctions.udf.CIQAVG("$"&amp;$AO380&amp;$AP380,"iq_lastsaleprice",H$377,H$378)</f>
        <v>1.24096580107692</v>
      </c>
      <c r="I380" s="930">
        <f>_xll.ciqfunctions.udf.CIQAVG("$"&amp;$AO380&amp;$AP380,"iq_lastsaleprice",I$377,I$378)</f>
        <v>1.2917136464130401</v>
      </c>
      <c r="J380" s="931">
        <f>_xll.ciqfunctions.udf.CIQAVG("$"&amp;$AO380&amp;$AP380,"iq_lastsaleprice",J$377,J$378)</f>
        <v>1.3210655941304299</v>
      </c>
      <c r="K380" s="930">
        <f>_xll.ciqfunctions.udf.CIQAVG("$"&amp;$AO380&amp;$AP380,"iq_lastsaleprice",K$377,K$378)</f>
        <v>1.3785603657444401</v>
      </c>
      <c r="L380" s="930">
        <f>_xll.ciqfunctions.udf.CIQAVG("$"&amp;$AO380&amp;$AP380,"iq_lastsaleprice",L$377,L$378)</f>
        <v>1.39759779207692</v>
      </c>
      <c r="M380" s="930">
        <f>_xll.ciqfunctions.udf.CIQAVG("$"&amp;$AO380&amp;$AP380,"iq_lastsaleprice",M$377,M$378)</f>
        <v>1.37832068620652</v>
      </c>
      <c r="N380" s="931">
        <f>_xll.ciqfunctions.udf.CIQAVG("$"&amp;$AO380&amp;$AP380,"iq_lastsaleprice",N$377,N$378)</f>
        <v>1.34805395653261</v>
      </c>
      <c r="O380" s="930">
        <f>_xll.ciqfunctions.udf.CIQAVG("$"&amp;$AO380&amp;$AP380,"iq_lastsaleprice",O$377,O$378)</f>
        <v>1.34183250595556</v>
      </c>
      <c r="P380" s="930">
        <f>_xll.ciqfunctions.udf.CIQAVG("$"&amp;$AO380&amp;$AP380,"iq_lastsaleprice",P$377,P$378)</f>
        <v>1.25663679830769</v>
      </c>
      <c r="Q380" s="930">
        <f>_xll.ciqfunctions.udf.CIQAVG("$"&amp;$AO380&amp;$AP380,"iq_lastsaleprice",Q$377,Q$378)</f>
        <v>1.17693378246237</v>
      </c>
      <c r="R380" s="931">
        <f>_xll.ciqfunctions.udf.CIQAVG("$"&amp;$AO380&amp;$AP380,"iq_lastsaleprice",R$377,R$378)</f>
        <v>1.17384775188043</v>
      </c>
      <c r="S380" s="930">
        <f>_xll.ciqfunctions.udf.CIQAVG("$"&amp;$AO380&amp;$AP380,"iq_lastsaleprice",S$377,S$378)</f>
        <v>1.2143759216888901</v>
      </c>
      <c r="T380" s="930">
        <f>_xll.ciqfunctions.udf.CIQAVG("$"&amp;$AO380&amp;$AP380,"iq_lastsaleprice",T$377,T$378)</f>
        <v>1.25173155714286</v>
      </c>
      <c r="U380" s="930">
        <f>_xll.ciqfunctions.udf.CIQAVG("$"&amp;$AO380&amp;$AP380,"iq_lastsaleprice",U$377,U$378)</f>
        <v>1.2661756805</v>
      </c>
      <c r="V380" s="930">
        <f>_xll.ciqfunctions.udf.CIQAVG("$"&amp;$AO380&amp;$AP380,"iq_lastsaleprice",V$377,V$378)</f>
        <v>1.2419355335326101</v>
      </c>
      <c r="W380" s="1002">
        <f>_xll.ciqfunctions.udf.CIQAVG("$"&amp;$AO380&amp;$AP380,"iq_lastsaleprice",W$377,W$378)</f>
        <v>1.2680492696263701</v>
      </c>
      <c r="X380" s="930">
        <f>_xll.ciqfunctions.udf.CIQAVG("$"&amp;$AO380&amp;$AP380,"iq_lastsaleprice",X$377,X$378)</f>
        <v>1.26150104981319</v>
      </c>
      <c r="Y380" s="826">
        <f>_xll.ciqfunctions.udf.CIQAVG("$"&amp;$AO380&amp;$AP380,"iq_lastsaleprice",Y$377,Y$378)</f>
        <v>1.3009034395108701</v>
      </c>
      <c r="Z380" s="931">
        <f>_xll.ciqfunctions.udf.CIQAVG("$"&amp;$AO380&amp;$AP380,"iq_lastsaleprice",Z$377,Z$378)</f>
        <v>1.28116610279348</v>
      </c>
      <c r="AA380" s="930">
        <f>_xll.ciqfunctions.udf.CIQAVG("$"&amp;$AO380&amp;$AP380,"iq_lastsaleprice",AA$377,AA$378)</f>
        <v>1.2516428445000001</v>
      </c>
      <c r="AB380" s="930">
        <f>_xll.ciqfunctions.udf.CIQAVG("$"&amp;$AO380&amp;$AP380,"iq_lastsaleprice",AB$377,AB$378)</f>
        <v>1.2516428445000001</v>
      </c>
      <c r="AC380" s="930">
        <f t="shared" ref="AC380:AD380" si="1128">+AB380</f>
        <v>1.2516428445000001</v>
      </c>
      <c r="AD380" s="930">
        <f t="shared" si="1128"/>
        <v>1.2516428445000001</v>
      </c>
      <c r="AF380" s="930">
        <f>_xll.ciqfunctions.udf.CIQAVG("$"&amp;$AO380&amp;$AP380,"iq_lastsaleprice",AF$377,AF$378)</f>
        <v>1.33495703351781</v>
      </c>
      <c r="AG380" s="930">
        <f>_xll.ciqfunctions.udf.CIQAVG("$"&amp;$AO380&amp;$AP380,"iq_lastsaleprice",AG$377,AG$378)</f>
        <v>1.2768941907479501</v>
      </c>
      <c r="AH380" s="930">
        <f>_xll.ciqfunctions.udf.CIQAVG("$"&amp;$AO380&amp;$AP380,"iq_lastsaleprice",AH$377,AH$378)</f>
        <v>1.2837175648388</v>
      </c>
      <c r="AI380" s="930">
        <f>_xll.ciqfunctions.udf.CIQAVG("$"&amp;$AO380&amp;$AP380,"iq_lastsaleprice",AI$377,AI$378)</f>
        <v>1.3755569839123301</v>
      </c>
      <c r="AJ380" s="930">
        <f>_xll.ciqfunctions.udf.CIQAVG("$"&amp;$AO380&amp;$AP380,"iq_lastsaleprice",AJ$377,AJ$378)</f>
        <v>1.23685867421096</v>
      </c>
      <c r="AK380" s="826">
        <f>+AVERAGE(S380:V380)</f>
        <v>1.24355467321609</v>
      </c>
      <c r="AL380" s="930">
        <f>+AVERAGE(W380:Z380)</f>
        <v>1.2779049654359775</v>
      </c>
      <c r="AM380" s="930"/>
      <c r="AN380" s="930"/>
      <c r="AO380" s="794" t="s">
        <v>305</v>
      </c>
      <c r="AP380" s="794" t="s">
        <v>306</v>
      </c>
      <c r="AR380" s="794" t="s">
        <v>305</v>
      </c>
      <c r="AS380" s="794" t="s">
        <v>306</v>
      </c>
      <c r="BD380" s="929"/>
      <c r="BE380" s="929"/>
      <c r="BF380" s="929"/>
      <c r="BG380" s="929"/>
      <c r="BH380" s="929"/>
    </row>
    <row r="381" spans="1:60" s="794" customFormat="1" x14ac:dyDescent="0.25">
      <c r="A381" s="794" t="str">
        <f>+AO381&amp;" / "&amp;AP381&amp;" - avg"</f>
        <v>USD / EUR - avg</v>
      </c>
      <c r="C381" s="930">
        <f>_xll.ciqfunctions.udf.CIQAVG("$"&amp;$AO381&amp;$AP381,"iq_lastsaleprice",C$377,C$378)</f>
        <v>1.1355255660333301</v>
      </c>
      <c r="D381" s="930">
        <f>_xll.ciqfunctions.udf.CIQAVG("$"&amp;$AO381&amp;$AP381,"iq_lastsaleprice",D$377,D$378)</f>
        <v>1.1238342307692299</v>
      </c>
      <c r="E381" s="930">
        <f>_xll.ciqfunctions.udf.CIQAVG("$"&amp;$AO381&amp;$AP381,"iq_lastsaleprice",E$377,E$378)</f>
        <v>1.1120068407802199</v>
      </c>
      <c r="F381" s="931">
        <f>_xll.ciqfunctions.udf.CIQAVG("$"&amp;$AO381&amp;$AP381,"iq_lastsaleprice",F$377,F$378)</f>
        <v>1.10712232226882</v>
      </c>
      <c r="G381" s="930">
        <f>_xll.ciqfunctions.udf.CIQAVG("$"&amp;$AO381&amp;$AP381,"iq_lastsaleprice",G$377,G$378)</f>
        <v>1.10232615249451</v>
      </c>
      <c r="H381" s="930">
        <f>_xll.ciqfunctions.udf.CIQAVG("$"&amp;$AO381&amp;$AP381,"iq_lastsaleprice",H$377,H$378)</f>
        <v>1.10124944112088</v>
      </c>
      <c r="I381" s="930">
        <f>_xll.ciqfunctions.udf.CIQAVG("$"&amp;$AO381&amp;$AP381,"iq_lastsaleprice",I$377,I$378)</f>
        <v>1.1689309435217401</v>
      </c>
      <c r="J381" s="931">
        <f>_xll.ciqfunctions.udf.CIQAVG("$"&amp;$AO381&amp;$AP381,"iq_lastsaleprice",J$377,J$378)</f>
        <v>1.1926274448043499</v>
      </c>
      <c r="K381" s="930">
        <f>_xll.ciqfunctions.udf.CIQAVG("$"&amp;$AO381&amp;$AP381,"iq_lastsaleprice",K$377,K$378)</f>
        <v>1.2052583608</v>
      </c>
      <c r="L381" s="930">
        <f>_xll.ciqfunctions.udf.CIQAVG("$"&amp;$AO381&amp;$AP381,"iq_lastsaleprice",L$377,L$378)</f>
        <v>1.20471565950549</v>
      </c>
      <c r="M381" s="930">
        <f>_xll.ciqfunctions.udf.CIQAVG("$"&amp;$AO381&amp;$AP381,"iq_lastsaleprice",M$377,M$378)</f>
        <v>1.1789309566956501</v>
      </c>
      <c r="N381" s="931">
        <f>_xll.ciqfunctions.udf.CIQAVG("$"&amp;$AO381&amp;$AP381,"iq_lastsaleprice",N$377,N$378)</f>
        <v>1.1436306963043501</v>
      </c>
      <c r="O381" s="930">
        <f>_xll.ciqfunctions.udf.CIQAVG("$"&amp;$AO381&amp;$AP381,"iq_lastsaleprice",O$377,O$378)</f>
        <v>1.1223682286111101</v>
      </c>
      <c r="P381" s="930">
        <f>_xll.ciqfunctions.udf.CIQAVG("$"&amp;$AO381&amp;$AP381,"iq_lastsaleprice",P$377,P$378)</f>
        <v>1.06508374738462</v>
      </c>
      <c r="Q381" s="930">
        <f>_xll.ciqfunctions.udf.CIQAVG("$"&amp;$AO381&amp;$AP381,"iq_lastsaleprice",Q$377,Q$378)</f>
        <v>1.00768000213978</v>
      </c>
      <c r="R381" s="931">
        <f>_xll.ciqfunctions.udf.CIQAVG("$"&amp;$AO381&amp;$AP381,"iq_lastsaleprice",R$377,R$378)</f>
        <v>1.02130710663043</v>
      </c>
      <c r="S381" s="930">
        <f>_xll.ciqfunctions.udf.CIQAVG("$"&amp;$AO381&amp;$AP381,"iq_lastsaleprice",S$377,S$378)</f>
        <v>1.0724500164333299</v>
      </c>
      <c r="T381" s="930">
        <f>_xll.ciqfunctions.udf.CIQAVG("$"&amp;$AO381&amp;$AP381,"iq_lastsaleprice",T$377,T$378)</f>
        <v>1.0884953663296699</v>
      </c>
      <c r="U381" s="930">
        <f>_xll.ciqfunctions.udf.CIQAVG("$"&amp;$AO381&amp;$AP381,"iq_lastsaleprice",U$377,U$378)</f>
        <v>1.08845725061957</v>
      </c>
      <c r="V381" s="930">
        <f>_xll.ciqfunctions.udf.CIQAVG("$"&amp;$AO381&amp;$AP381,"iq_lastsaleprice",V$377,V$378)</f>
        <v>1.07638144008696</v>
      </c>
      <c r="W381" s="1002">
        <f>_xll.ciqfunctions.udf.CIQAVG("$"&amp;$AO381&amp;$AP381,"iq_lastsaleprice",W$377,W$378)</f>
        <v>1.08558401685714</v>
      </c>
      <c r="X381" s="930">
        <f>_xll.ciqfunctions.udf.CIQAVG("$"&amp;$AO381&amp;$AP381,"iq_lastsaleprice",X$377,X$378)</f>
        <v>1.0763356291208801</v>
      </c>
      <c r="Y381" s="826">
        <f>_xll.ciqfunctions.udf.CIQAVG("$"&amp;$AO381&amp;$AP381,"iq_lastsaleprice",Y$377,Y$378)</f>
        <v>1.0990813853260899</v>
      </c>
      <c r="Z381" s="931">
        <f>_xll.ciqfunctions.udf.CIQAVG("$"&amp;$AO381&amp;$AP381,"iq_lastsaleprice",Z$377,Z$378)</f>
        <v>1.0664126728043499</v>
      </c>
      <c r="AA381" s="930">
        <f>_xll.ciqfunctions.udf.CIQAVG("$"&amp;$AO381&amp;$AP381,"iq_lastsaleprice",AA$377,AA$378)</f>
        <v>1.036431761</v>
      </c>
      <c r="AB381" s="930">
        <f>_xll.ciqfunctions.udf.CIQAVG("$"&amp;$AO381&amp;$AP381,"iq_lastsaleprice",AB$377,AB$378)</f>
        <v>1.036431761</v>
      </c>
      <c r="AC381" s="930">
        <f t="shared" ref="AC381:AD381" si="1129">+AB381</f>
        <v>1.036431761</v>
      </c>
      <c r="AD381" s="930">
        <f t="shared" si="1129"/>
        <v>1.036431761</v>
      </c>
      <c r="AF381" s="930">
        <f>_xll.ciqfunctions.udf.CIQAVG("$"&amp;$AO381&amp;$AP381,"iq_lastsaleprice",AF$377,AF$378)</f>
        <v>1.1808052032054801</v>
      </c>
      <c r="AG381" s="930">
        <f>_xll.ciqfunctions.udf.CIQAVG("$"&amp;$AO381&amp;$AP381,"iq_lastsaleprice",AG$377,AG$378)</f>
        <v>1.11951017650685</v>
      </c>
      <c r="AH381" s="930">
        <f>_xll.ciqfunctions.udf.CIQAVG("$"&amp;$AO381&amp;$AP381,"iq_lastsaleprice",AH$377,AH$378)</f>
        <v>1.1414993189754099</v>
      </c>
      <c r="AI381" s="930">
        <f>_xll.ciqfunctions.udf.CIQAVG("$"&amp;$AO381&amp;$AP381,"iq_lastsaleprice",AI$377,AI$378)</f>
        <v>1.18295356044658</v>
      </c>
      <c r="AJ381" s="930">
        <f>_xll.ciqfunctions.udf.CIQAVG("$"&amp;$AO381&amp;$AP381,"iq_lastsaleprice",AJ$377,AJ$378)</f>
        <v>1.0537799210082199</v>
      </c>
      <c r="AK381" s="826">
        <f>+AVERAGE(S381:V381)</f>
        <v>1.0814460183673824</v>
      </c>
      <c r="AL381" s="930">
        <f>+AVERAGE(W381:Z381)</f>
        <v>1.0818534260271149</v>
      </c>
      <c r="AM381" s="930"/>
      <c r="AN381" s="930"/>
      <c r="AO381" s="794" t="s">
        <v>305</v>
      </c>
      <c r="AP381" s="794" t="s">
        <v>307</v>
      </c>
      <c r="AR381" s="794" t="s">
        <v>305</v>
      </c>
      <c r="AS381" s="794" t="s">
        <v>307</v>
      </c>
      <c r="BD381" s="929"/>
      <c r="BE381" s="929"/>
      <c r="BF381" s="929"/>
      <c r="BG381" s="929"/>
      <c r="BH381" s="929"/>
    </row>
    <row r="382" spans="1:60" s="794" customFormat="1" x14ac:dyDescent="0.25">
      <c r="A382" s="794" t="str">
        <f>+AO382&amp;" / "&amp;AP382&amp;" - avg"</f>
        <v>USD / INR - avg</v>
      </c>
      <c r="C382" s="932">
        <f>_xll.ciqfunctions.udf.CIQAVG("$"&amp;$AO382&amp;$AP382,"iq_lastsaleprice",S$604,S$605)</f>
        <v>1.169067E-2</v>
      </c>
      <c r="D382" s="930">
        <f>_xll.ciqfunctions.udf.CIQAVG("$"&amp;$AO382&amp;$AP382,"iq_lastsaleprice",D$377,D$378)</f>
        <v>1.4381753186813199E-2</v>
      </c>
      <c r="E382" s="930">
        <f>_xll.ciqfunctions.udf.CIQAVG("$"&amp;$AO382&amp;$AP382,"iq_lastsaleprice",E$377,E$378)</f>
        <v>1.4216442725274701E-2</v>
      </c>
      <c r="F382" s="931">
        <f>_xll.ciqfunctions.udf.CIQAVG("$"&amp;$AO382&amp;$AP382,"iq_lastsaleprice",F$377,F$378)</f>
        <v>1.4043346064516101E-2</v>
      </c>
      <c r="G382" s="930">
        <f>_xll.ciqfunctions.udf.CIQAVG("$"&amp;$AO382&amp;$AP382,"iq_lastsaleprice",G$377,G$378)</f>
        <v>1.3799768956044E-2</v>
      </c>
      <c r="H382" s="930">
        <f>_xll.ciqfunctions.udf.CIQAVG("$"&amp;$AO382&amp;$AP382,"iq_lastsaleprice",H$377,H$378)</f>
        <v>1.31774191098901E-2</v>
      </c>
      <c r="I382" s="930">
        <f>_xll.ciqfunctions.udf.CIQAVG("$"&amp;$AO382&amp;$AP382,"iq_lastsaleprice",I$377,I$378)</f>
        <v>1.34525485326087E-2</v>
      </c>
      <c r="J382" s="931">
        <f>_xll.ciqfunctions.udf.CIQAVG("$"&amp;$AO382&amp;$AP382,"iq_lastsaleprice",J$377,J$378)</f>
        <v>1.3551219967391301E-2</v>
      </c>
      <c r="K382" s="930">
        <f>_xll.ciqfunctions.udf.CIQAVG("$"&amp;$AO382&amp;$AP382,"iq_lastsaleprice",K$377,K$378)</f>
        <v>1.37125501222222E-2</v>
      </c>
      <c r="L382" s="930">
        <f>_xll.ciqfunctions.udf.CIQAVG("$"&amp;$AO382&amp;$AP382,"iq_lastsaleprice",L$377,L$378)</f>
        <v>1.3560953461538501E-2</v>
      </c>
      <c r="M382" s="930">
        <f>_xll.ciqfunctions.udf.CIQAVG("$"&amp;$AO382&amp;$AP382,"iq_lastsaleprice",M$377,M$378)</f>
        <v>1.3498682097826099E-2</v>
      </c>
      <c r="N382" s="931">
        <f>_xll.ciqfunctions.udf.CIQAVG("$"&amp;$AO382&amp;$AP382,"iq_lastsaleprice",N$377,N$378)</f>
        <v>1.3343855467391299E-2</v>
      </c>
      <c r="O382" s="930">
        <f>_xll.ciqfunctions.udf.CIQAVG("$"&amp;$AO382&amp;$AP382,"iq_lastsaleprice",O$377,O$378)</f>
        <v>1.3295083433333301E-2</v>
      </c>
      <c r="P382" s="930">
        <f>_xll.ciqfunctions.udf.CIQAVG("$"&amp;$AO382&amp;$AP382,"iq_lastsaleprice",P$377,P$378)</f>
        <v>1.29543325714286E-2</v>
      </c>
      <c r="Q382" s="930">
        <f>_xll.ciqfunctions.udf.CIQAVG("$"&amp;$AO382&amp;$AP382,"iq_lastsaleprice",Q$377,Q$378)</f>
        <v>1.25366823655914E-2</v>
      </c>
      <c r="R382" s="931">
        <f>_xll.ciqfunctions.udf.CIQAVG("$"&amp;$AO382&amp;$AP382,"iq_lastsaleprice",R$377,R$378)</f>
        <v>1.2176511641304301E-2</v>
      </c>
      <c r="S382" s="930">
        <f>_xll.ciqfunctions.udf.CIQAVG("$"&amp;$AO382&amp;$AP382,"iq_lastsaleprice",S$377,S$378)</f>
        <v>1.2167115511111101E-2</v>
      </c>
      <c r="T382" s="930">
        <f>_xll.ciqfunctions.udf.CIQAVG("$"&amp;$AO382&amp;$AP382,"iq_lastsaleprice",T$377,T$378)</f>
        <v>1.21720036813187E-2</v>
      </c>
      <c r="U382" s="930">
        <f>_xll.ciqfunctions.udf.CIQAVG("$"&amp;$AO382&amp;$AP382,"iq_lastsaleprice",U$377,U$378)</f>
        <v>1.2095972054347801E-2</v>
      </c>
      <c r="V382" s="930">
        <f>_xll.ciqfunctions.udf.CIQAVG("$"&amp;$AO382&amp;$AP382,"iq_lastsaleprice",V$377,V$378)</f>
        <v>1.20136313586957E-2</v>
      </c>
      <c r="W382" s="1002">
        <f>_xll.ciqfunctions.udf.CIQAVG("$"&amp;$AO382&amp;$AP382,"iq_lastsaleprice",W$377,W$378)</f>
        <v>1.20425400549451E-2</v>
      </c>
      <c r="X382" s="930">
        <f>_xll.ciqfunctions.udf.CIQAVG("$"&amp;$AO382&amp;$AP382,"iq_lastsaleprice",X$377,X$378)</f>
        <v>1.19876554505495E-2</v>
      </c>
      <c r="Y382" s="826">
        <f>_xll.ciqfunctions.udf.CIQAVG("$"&amp;$AO382&amp;$AP382,"iq_lastsaleprice",Y$377,Y$378)</f>
        <v>1.1938865847826099E-2</v>
      </c>
      <c r="Z382" s="931">
        <f>_xll.ciqfunctions.udf.CIQAVG("$"&amp;$AO382&amp;$AP382,"iq_lastsaleprice",Z$377,Z$378)</f>
        <v>1.1839590663043501E-2</v>
      </c>
      <c r="AA382" s="930">
        <f>_xll.ciqfunctions.udf.CIQAVG("$"&amp;$AO382&amp;$AP382,"iq_lastsaleprice",AA$377,AA$378)</f>
        <v>1.1690925499999999E-2</v>
      </c>
      <c r="AB382" s="930">
        <f>_xll.ciqfunctions.udf.CIQAVG("$"&amp;$AO382&amp;$AP382,"iq_lastsaleprice",AB$377,AB$378)</f>
        <v>1.1690925499999999E-2</v>
      </c>
      <c r="AC382" s="930">
        <f t="shared" ref="AC382:AD382" si="1130">+AB382</f>
        <v>1.1690925499999999E-2</v>
      </c>
      <c r="AD382" s="930">
        <f t="shared" si="1130"/>
        <v>1.1690925499999999E-2</v>
      </c>
      <c r="AF382" s="930">
        <f>_xll.ciqfunctions.udf.CIQAVG("$"&amp;$AO382&amp;$AP382,"iq_lastsaleprice",AF$377,AF$378)</f>
        <v>1.4649858468493201E-2</v>
      </c>
      <c r="AG382" s="930">
        <f>_xll.ciqfunctions.udf.CIQAVG("$"&amp;$AO382&amp;$AP382,"iq_lastsaleprice",AG$377,AG$378)</f>
        <v>1.42082340246575E-2</v>
      </c>
      <c r="AH382" s="930">
        <f>_xll.ciqfunctions.udf.CIQAVG("$"&amp;$AO382&amp;$AP382,"iq_lastsaleprice",AH$377,AH$378)</f>
        <v>1.34952754535519E-2</v>
      </c>
      <c r="AI382" s="930">
        <f>_xll.ciqfunctions.udf.CIQAVG("$"&amp;$AO382&amp;$AP382,"iq_lastsaleprice",AI$377,AI$378)</f>
        <v>1.3527917073972599E-2</v>
      </c>
      <c r="AJ382" s="930">
        <f>_xll.ciqfunctions.udf.CIQAVG("$"&amp;$AO382&amp;$AP382,"iq_lastsaleprice",AJ$377,AJ$378)</f>
        <v>1.27377080191781E-2</v>
      </c>
      <c r="AK382" s="826">
        <f>+AVERAGE(S382:V382)</f>
        <v>1.2112180651368326E-2</v>
      </c>
      <c r="AL382" s="930">
        <f>+AVERAGE(W382:Z382)</f>
        <v>1.195216300409105E-2</v>
      </c>
      <c r="AM382" s="930"/>
      <c r="AN382" s="930"/>
      <c r="AO382" s="794" t="s">
        <v>305</v>
      </c>
      <c r="AP382" s="794" t="s">
        <v>308</v>
      </c>
      <c r="AR382" s="794" t="s">
        <v>305</v>
      </c>
      <c r="AS382" s="794" t="s">
        <v>308</v>
      </c>
      <c r="BD382" s="929"/>
      <c r="BE382" s="929"/>
      <c r="BF382" s="929"/>
      <c r="BG382" s="929"/>
      <c r="BH382" s="929"/>
    </row>
    <row r="383" spans="1:60" s="794" customFormat="1" x14ac:dyDescent="0.25">
      <c r="A383" s="794" t="str">
        <f>+AO383&amp;" / "&amp;AP383&amp;" - avg"</f>
        <v>USD / HKD - avg</v>
      </c>
      <c r="C383" s="932">
        <f>_xll.ciqfunctions.udf.CIQAVG("$"&amp;$AO383&amp;$AP383,"iq_lastsaleprice",S$604,S$605)</f>
        <v>0.127764341</v>
      </c>
      <c r="D383" s="930">
        <f>_xll.ciqfunctions.udf.CIQAVG("$"&amp;$AO383&amp;$AP383,"iq_lastsaleprice",D$377,D$378)</f>
        <v>0.127554690758242</v>
      </c>
      <c r="E383" s="930">
        <f>_xll.ciqfunctions.udf.CIQAVG("$"&amp;$AO383&amp;$AP383,"iq_lastsaleprice",E$377,E$378)</f>
        <v>0.12772358259340699</v>
      </c>
      <c r="F383" s="931">
        <f>_xll.ciqfunctions.udf.CIQAVG("$"&amp;$AO383&amp;$AP383,"iq_lastsaleprice",F$377,F$378)</f>
        <v>0.12779542451612899</v>
      </c>
      <c r="G383" s="930">
        <f>_xll.ciqfunctions.udf.CIQAVG("$"&amp;$AO383&amp;$AP383,"iq_lastsaleprice",G$377,G$378)</f>
        <v>0.12868793760439601</v>
      </c>
      <c r="H383" s="930">
        <f>_xll.ciqfunctions.udf.CIQAVG("$"&amp;$AO383&amp;$AP383,"iq_lastsaleprice",H$377,H$378)</f>
        <v>0.12900970458241801</v>
      </c>
      <c r="I383" s="930">
        <f>_xll.ciqfunctions.udf.CIQAVG("$"&amp;$AO383&amp;$AP383,"iq_lastsaleprice",I$377,I$378)</f>
        <v>0.12902246643478299</v>
      </c>
      <c r="J383" s="931">
        <f>_xll.ciqfunctions.udf.CIQAVG("$"&amp;$AO383&amp;$AP383,"iq_lastsaleprice",J$377,J$378)</f>
        <v>0.129003192576087</v>
      </c>
      <c r="K383" s="930">
        <f>_xll.ciqfunctions.udf.CIQAVG("$"&amp;$AO383&amp;$AP383,"iq_lastsaleprice",K$377,K$378)</f>
        <v>0.128907207755556</v>
      </c>
      <c r="L383" s="930">
        <f>_xll.ciqfunctions.udf.CIQAVG("$"&amp;$AO383&amp;$AP383,"iq_lastsaleprice",L$377,L$378)</f>
        <v>0.12877488440659299</v>
      </c>
      <c r="M383" s="930">
        <f>_xll.ciqfunctions.udf.CIQAVG("$"&amp;$AO383&amp;$AP383,"iq_lastsaleprice",M$377,M$378)</f>
        <v>0.12857047708695701</v>
      </c>
      <c r="N383" s="931">
        <f>_xll.ciqfunctions.udf.CIQAVG("$"&amp;$AO383&amp;$AP383,"iq_lastsaleprice",N$377,N$378)</f>
        <v>0.128373815065217</v>
      </c>
      <c r="O383" s="930">
        <f>_xll.ciqfunctions.udf.CIQAVG("$"&amp;$AO383&amp;$AP383,"iq_lastsaleprice",O$377,O$378)</f>
        <v>0.12812535914444401</v>
      </c>
      <c r="P383" s="930">
        <f>_xll.ciqfunctions.udf.CIQAVG("$"&amp;$AO383&amp;$AP383,"iq_lastsaleprice",P$377,P$378)</f>
        <v>0.12744739713186801</v>
      </c>
      <c r="Q383" s="930">
        <f>_xll.ciqfunctions.udf.CIQAVG("$"&amp;$AO383&amp;$AP383,"iq_lastsaleprice",Q$377,Q$378)</f>
        <v>0.12741755551612899</v>
      </c>
      <c r="R383" s="931">
        <f>_xll.ciqfunctions.udf.CIQAVG("$"&amp;$AO383&amp;$AP383,"iq_lastsaleprice",R$377,R$378)</f>
        <v>0.12783845933695701</v>
      </c>
      <c r="S383" s="930">
        <f>_xll.ciqfunctions.udf.CIQAVG("$"&amp;$AO383&amp;$AP383,"iq_lastsaleprice",S$377,S$378)</f>
        <v>0.12758709498888901</v>
      </c>
      <c r="T383" s="930">
        <f>_xll.ciqfunctions.udf.CIQAVG("$"&amp;$AO383&amp;$AP383,"iq_lastsaleprice",T$377,T$378)</f>
        <v>0.12756256205494501</v>
      </c>
      <c r="U383" s="930">
        <f>_xll.ciqfunctions.udf.CIQAVG("$"&amp;$AO383&amp;$AP383,"iq_lastsaleprice",U$377,U$378)</f>
        <v>0.12780274713043499</v>
      </c>
      <c r="V383" s="930">
        <f>_xll.ciqfunctions.udf.CIQAVG("$"&amp;$AO383&amp;$AP383,"iq_lastsaleprice",V$377,V$378)</f>
        <v>0.12797040596739101</v>
      </c>
      <c r="W383" s="1002">
        <f>_xll.ciqfunctions.udf.CIQAVG("$"&amp;$AO383&amp;$AP383,"iq_lastsaleprice",W$377,W$378)</f>
        <v>0.12787035736263699</v>
      </c>
      <c r="X383" s="930">
        <f>_xll.ciqfunctions.udf.CIQAVG("$"&amp;$AO383&amp;$AP383,"iq_lastsaleprice",X$377,X$378)</f>
        <v>0.12791678674725299</v>
      </c>
      <c r="Y383" s="826">
        <f>_xll.ciqfunctions.udf.CIQAVG("$"&amp;$AO383&amp;$AP383,"iq_lastsaleprice",Y$377,Y$378)</f>
        <v>0.12821705261956501</v>
      </c>
      <c r="Z383" s="931">
        <f>_xll.ciqfunctions.udf.CIQAVG("$"&amp;$AO383&amp;$AP383,"iq_lastsaleprice",Z$377,Z$378)</f>
        <v>0.12862662331521699</v>
      </c>
      <c r="AA383" s="930">
        <f>_xll.ciqfunctions.udf.CIQAVG("$"&amp;$AO383&amp;$AP383,"iq_lastsaleprice",AA$377,AA$378)</f>
        <v>0.12877820149999999</v>
      </c>
      <c r="AB383" s="930">
        <f>_xll.ciqfunctions.udf.CIQAVG("$"&amp;$AO383&amp;$AP383,"iq_lastsaleprice",AB$377,AB$378)</f>
        <v>0.12877820149999999</v>
      </c>
      <c r="AC383" s="930">
        <f t="shared" ref="AC383:AD383" si="1131">+AB383</f>
        <v>0.12877820149999999</v>
      </c>
      <c r="AD383" s="930">
        <f t="shared" si="1131"/>
        <v>0.12877820149999999</v>
      </c>
      <c r="AF383" s="930">
        <f>_xll.ciqfunctions.udf.CIQAVG("$"&amp;$AO383&amp;$AP383,"iq_lastsaleprice",AF$377,AF$378)</f>
        <v>0.127593555449315</v>
      </c>
      <c r="AG383" s="930">
        <f>_xll.ciqfunctions.udf.CIQAVG("$"&amp;$AO383&amp;$AP383,"iq_lastsaleprice",AG$377,AG$378)</f>
        <v>0.12763338102739699</v>
      </c>
      <c r="AH383" s="930">
        <f>_xll.ciqfunctions.udf.CIQAVG("$"&amp;$AO383&amp;$AP383,"iq_lastsaleprice",AH$377,AH$378)</f>
        <v>0.12893127340983601</v>
      </c>
      <c r="AI383" s="930">
        <f>_xll.ciqfunctions.udf.CIQAVG("$"&amp;$AO383&amp;$AP383,"iq_lastsaleprice",AI$377,AI$378)</f>
        <v>0.12865489878630099</v>
      </c>
      <c r="AJ383" s="930">
        <f>_xll.ciqfunctions.udf.CIQAVG("$"&amp;$AO383&amp;$AP383,"iq_lastsaleprice",AJ$377,AJ$378)</f>
        <v>0.127705690515068</v>
      </c>
      <c r="AK383" s="826">
        <f>+AVERAGE(S383:V383)</f>
        <v>0.12773070253541502</v>
      </c>
      <c r="AL383" s="930">
        <f>+AVERAGE(W383:Z383)</f>
        <v>0.12815770501116799</v>
      </c>
      <c r="AM383" s="930"/>
      <c r="AN383" s="930"/>
      <c r="AO383" s="794" t="s">
        <v>305</v>
      </c>
      <c r="AP383" s="794" t="s">
        <v>309</v>
      </c>
      <c r="AR383" s="794" t="s">
        <v>305</v>
      </c>
      <c r="AS383" s="794" t="s">
        <v>309</v>
      </c>
      <c r="BD383" s="929"/>
      <c r="BE383" s="929"/>
      <c r="BF383" s="929"/>
      <c r="BG383" s="929"/>
      <c r="BH383" s="929"/>
    </row>
    <row r="384" spans="1:60" x14ac:dyDescent="0.25">
      <c r="C384" s="744"/>
      <c r="D384" s="744"/>
      <c r="E384" s="744"/>
      <c r="F384" s="745"/>
      <c r="G384" s="744"/>
      <c r="H384" s="744"/>
      <c r="I384" s="744"/>
      <c r="J384" s="745"/>
      <c r="K384" s="744"/>
      <c r="L384" s="744"/>
      <c r="M384" s="744"/>
      <c r="N384" s="745"/>
      <c r="O384" s="744"/>
      <c r="P384" s="744"/>
      <c r="Q384" s="744"/>
      <c r="R384" s="745"/>
      <c r="S384" s="744"/>
      <c r="T384" s="744"/>
      <c r="U384" s="744"/>
      <c r="V384" s="744"/>
      <c r="W384" s="985"/>
      <c r="X384" s="744"/>
      <c r="Y384" s="792"/>
      <c r="Z384" s="745"/>
      <c r="AA384" s="744"/>
      <c r="AB384" s="744"/>
      <c r="AC384" s="744"/>
      <c r="AD384" s="744"/>
      <c r="AE384" s="744"/>
      <c r="AF384" s="744"/>
      <c r="AG384" s="744"/>
      <c r="AH384" s="744"/>
      <c r="AI384" s="744"/>
      <c r="AJ384" s="744"/>
      <c r="AK384" s="792"/>
      <c r="AL384" s="744"/>
      <c r="AM384" s="744"/>
    </row>
    <row r="385" spans="1:60" ht="12" x14ac:dyDescent="0.3">
      <c r="A385" s="933" t="s">
        <v>29</v>
      </c>
      <c r="C385" s="744"/>
      <c r="D385" s="744"/>
      <c r="E385" s="744"/>
      <c r="F385" s="745"/>
      <c r="G385" s="744"/>
      <c r="H385" s="744"/>
      <c r="I385" s="744"/>
      <c r="J385" s="745"/>
      <c r="K385" s="744"/>
      <c r="L385" s="744"/>
      <c r="M385" s="744"/>
      <c r="N385" s="745"/>
      <c r="O385" s="744"/>
      <c r="P385" s="744"/>
      <c r="Q385" s="744"/>
      <c r="R385" s="745"/>
      <c r="S385" s="744"/>
      <c r="T385" s="744"/>
      <c r="U385" s="744"/>
      <c r="V385" s="744"/>
      <c r="W385" s="985"/>
      <c r="X385" s="744"/>
      <c r="Y385" s="792"/>
      <c r="Z385" s="745"/>
      <c r="AA385" s="744"/>
      <c r="AB385" s="744"/>
      <c r="AC385" s="744"/>
      <c r="AD385" s="744"/>
      <c r="AE385" s="744"/>
      <c r="AF385" s="744"/>
      <c r="AG385" s="744"/>
      <c r="AH385" s="744"/>
      <c r="AI385" s="744"/>
      <c r="AJ385" s="744"/>
      <c r="AK385" s="792"/>
      <c r="AL385" s="744"/>
      <c r="AM385" s="744"/>
    </row>
    <row r="386" spans="1:60" s="794" customFormat="1" ht="12" x14ac:dyDescent="0.3">
      <c r="A386" s="934" t="str">
        <f>+A380</f>
        <v>USD / GBP - avg</v>
      </c>
      <c r="B386" s="935"/>
      <c r="C386" s="936"/>
      <c r="D386" s="936"/>
      <c r="E386" s="936"/>
      <c r="F386" s="937"/>
      <c r="G386" s="936">
        <f t="shared" ref="G386:V389" si="1132">G380/C380-1</f>
        <v>-1.6429464640068003E-2</v>
      </c>
      <c r="H386" s="936">
        <f t="shared" si="1132"/>
        <v>-3.445505373796276E-2</v>
      </c>
      <c r="I386" s="936">
        <f t="shared" si="1132"/>
        <v>4.7682254684718428E-2</v>
      </c>
      <c r="J386" s="937">
        <f t="shared" si="1132"/>
        <v>2.6127113343878738E-2</v>
      </c>
      <c r="K386" s="936">
        <f t="shared" si="1132"/>
        <v>7.6473040341962228E-2</v>
      </c>
      <c r="L386" s="936">
        <f t="shared" si="1132"/>
        <v>0.12621781427342604</v>
      </c>
      <c r="M386" s="936">
        <f t="shared" si="1132"/>
        <v>6.7048172815994622E-2</v>
      </c>
      <c r="N386" s="937">
        <f t="shared" si="1132"/>
        <v>2.0429237217357565E-2</v>
      </c>
      <c r="O386" s="936">
        <f t="shared" si="1132"/>
        <v>-2.6642184630809806E-2</v>
      </c>
      <c r="P386" s="936">
        <f t="shared" si="1132"/>
        <v>-0.10085948515971321</v>
      </c>
      <c r="Q386" s="936">
        <f t="shared" si="1132"/>
        <v>-0.14611033974859411</v>
      </c>
      <c r="R386" s="937">
        <f t="shared" si="1132"/>
        <v>-0.12922791688565904</v>
      </c>
      <c r="S386" s="936">
        <f t="shared" si="1132"/>
        <v>-9.4986955302520548E-2</v>
      </c>
      <c r="T386" s="936">
        <f t="shared" si="1132"/>
        <v>-3.9034677095529657E-3</v>
      </c>
      <c r="U386" s="936">
        <f t="shared" si="1132"/>
        <v>7.5825759585997243E-2</v>
      </c>
      <c r="V386" s="936">
        <f t="shared" si="1132"/>
        <v>5.800392899599438E-2</v>
      </c>
      <c r="W386" s="1450">
        <f t="shared" ref="W386:W389" si="1133">W380/S380-1</f>
        <v>4.4198297231415662E-2</v>
      </c>
      <c r="X386" s="936">
        <f t="shared" ref="X386:X389" si="1134">X380/T380-1</f>
        <v>7.8047825946239158E-3</v>
      </c>
      <c r="Y386" s="938">
        <f t="shared" ref="Y386:Y389" si="1135">Y380/U380-1</f>
        <v>2.7427283232257738E-2</v>
      </c>
      <c r="Z386" s="937">
        <f t="shared" ref="Z386:Z389" si="1136">Z380/V380-1</f>
        <v>3.1588249310558814E-2</v>
      </c>
      <c r="AA386" s="936">
        <f t="shared" ref="AA386:AA389" si="1137">AA380/W380-1</f>
        <v>-1.2938318344053124E-2</v>
      </c>
      <c r="AB386" s="936">
        <f t="shared" ref="AB386:AB389" si="1138">AB380/X380-1</f>
        <v>-7.8146627897375254E-3</v>
      </c>
      <c r="AC386" s="936">
        <f t="shared" ref="AC386:AC389" si="1139">AC380/Y380-1</f>
        <v>-3.786644997217592E-2</v>
      </c>
      <c r="AD386" s="936">
        <f t="shared" ref="AD386:AD389" si="1140">AD380/Z380-1</f>
        <v>-2.3044052000054327E-2</v>
      </c>
      <c r="AF386" s="936"/>
      <c r="AG386" s="936">
        <f t="shared" ref="AG386:AK389" si="1141">+AG380/AF380-1</f>
        <v>-4.349416596342115E-2</v>
      </c>
      <c r="AH386" s="936">
        <f t="shared" si="1141"/>
        <v>5.3437270999354691E-3</v>
      </c>
      <c r="AI386" s="936">
        <f t="shared" si="1141"/>
        <v>7.1541764005591535E-2</v>
      </c>
      <c r="AJ386" s="936">
        <f t="shared" si="1141"/>
        <v>-0.10083065356324772</v>
      </c>
      <c r="AK386" s="938">
        <f t="shared" si="1141"/>
        <v>5.4137139066448015E-3</v>
      </c>
      <c r="AL386" s="936">
        <f t="shared" ref="AL386:AL389" si="1142">+AL380/AK380-1</f>
        <v>2.7622663449971663E-2</v>
      </c>
      <c r="AM386" s="936"/>
      <c r="AN386" s="936"/>
      <c r="AO386" s="935"/>
      <c r="AP386" s="936"/>
      <c r="AQ386" s="935"/>
      <c r="AR386" s="935"/>
      <c r="AS386" s="935"/>
      <c r="AT386" s="935"/>
      <c r="AU386" s="935"/>
      <c r="BD386" s="929"/>
      <c r="BE386" s="929"/>
      <c r="BF386" s="929"/>
      <c r="BG386" s="929"/>
      <c r="BH386" s="929"/>
    </row>
    <row r="387" spans="1:60" s="794" customFormat="1" ht="12" x14ac:dyDescent="0.3">
      <c r="A387" s="934" t="str">
        <f>+A381</f>
        <v>USD / EUR - avg</v>
      </c>
      <c r="B387" s="935"/>
      <c r="C387" s="936"/>
      <c r="D387" s="936"/>
      <c r="E387" s="936"/>
      <c r="F387" s="937"/>
      <c r="G387" s="936">
        <f t="shared" si="1132"/>
        <v>-2.9237046291078927E-2</v>
      </c>
      <c r="H387" s="936">
        <f t="shared" si="1132"/>
        <v>-2.0096193041647559E-2</v>
      </c>
      <c r="I387" s="936">
        <f t="shared" si="1132"/>
        <v>5.1190424963195591E-2</v>
      </c>
      <c r="J387" s="937">
        <f t="shared" si="1132"/>
        <v>7.7231865725825743E-2</v>
      </c>
      <c r="K387" s="936">
        <f t="shared" si="1132"/>
        <v>9.3377271393370709E-2</v>
      </c>
      <c r="L387" s="936">
        <f t="shared" si="1132"/>
        <v>9.3953480947331469E-2</v>
      </c>
      <c r="M387" s="936">
        <f t="shared" si="1132"/>
        <v>8.5548365618435263E-3</v>
      </c>
      <c r="N387" s="937">
        <f t="shared" si="1132"/>
        <v>-4.108302950217424E-2</v>
      </c>
      <c r="O387" s="936">
        <f t="shared" si="1132"/>
        <v>-6.8773745849703971E-2</v>
      </c>
      <c r="P387" s="936">
        <f t="shared" si="1132"/>
        <v>-0.11590445514602665</v>
      </c>
      <c r="Q387" s="936">
        <f t="shared" si="1132"/>
        <v>-0.14525952820499199</v>
      </c>
      <c r="R387" s="937">
        <f t="shared" si="1132"/>
        <v>-0.10696074359424734</v>
      </c>
      <c r="S387" s="936">
        <f t="shared" si="1132"/>
        <v>-4.447578869864488E-2</v>
      </c>
      <c r="T387" s="936">
        <f t="shared" si="1132"/>
        <v>2.1981012293670554E-2</v>
      </c>
      <c r="U387" s="936">
        <f t="shared" si="1132"/>
        <v>8.0161607165232684E-2</v>
      </c>
      <c r="V387" s="936">
        <f t="shared" si="1132"/>
        <v>5.3925340476906225E-2</v>
      </c>
      <c r="W387" s="1450">
        <f t="shared" si="1133"/>
        <v>1.2246724996555214E-2</v>
      </c>
      <c r="X387" s="936">
        <f t="shared" si="1134"/>
        <v>-1.1171142831587377E-2</v>
      </c>
      <c r="Y387" s="938">
        <f t="shared" si="1135"/>
        <v>9.7607275806859128E-3</v>
      </c>
      <c r="Z387" s="937">
        <f t="shared" si="1136"/>
        <v>-9.2613704690084342E-3</v>
      </c>
      <c r="AA387" s="936">
        <f t="shared" si="1137"/>
        <v>-4.5277247171932489E-2</v>
      </c>
      <c r="AB387" s="936">
        <f t="shared" si="1138"/>
        <v>-3.7073815119799014E-2</v>
      </c>
      <c r="AC387" s="936">
        <f t="shared" si="1139"/>
        <v>-5.7001806383521036E-2</v>
      </c>
      <c r="AD387" s="936">
        <f t="shared" si="1140"/>
        <v>-2.8113799253256189E-2</v>
      </c>
      <c r="AF387" s="936"/>
      <c r="AG387" s="936">
        <f t="shared" si="1141"/>
        <v>-5.1909516093116115E-2</v>
      </c>
      <c r="AH387" s="936">
        <f t="shared" si="1141"/>
        <v>1.9641753089883807E-2</v>
      </c>
      <c r="AI387" s="936">
        <f t="shared" si="1141"/>
        <v>3.6315607711775666E-2</v>
      </c>
      <c r="AJ387" s="936">
        <f t="shared" si="1141"/>
        <v>-0.10919586681796312</v>
      </c>
      <c r="AK387" s="938">
        <f t="shared" si="1141"/>
        <v>2.6254151182433239E-2</v>
      </c>
      <c r="AL387" s="936">
        <f t="shared" si="1142"/>
        <v>3.7672491535678532E-4</v>
      </c>
      <c r="AM387" s="936"/>
      <c r="AN387" s="936"/>
      <c r="AO387" s="935"/>
      <c r="AP387" s="936"/>
      <c r="AQ387" s="935"/>
      <c r="AR387" s="935"/>
      <c r="AS387" s="935"/>
      <c r="AT387" s="935"/>
      <c r="AU387" s="935"/>
      <c r="BD387" s="929"/>
      <c r="BE387" s="929"/>
      <c r="BF387" s="929"/>
      <c r="BG387" s="929"/>
      <c r="BH387" s="929"/>
    </row>
    <row r="388" spans="1:60" s="794" customFormat="1" ht="12" x14ac:dyDescent="0.3">
      <c r="A388" s="934" t="str">
        <f>+A382</f>
        <v>USD / INR - avg</v>
      </c>
      <c r="B388" s="935"/>
      <c r="C388" s="936"/>
      <c r="D388" s="936"/>
      <c r="E388" s="936"/>
      <c r="F388" s="937"/>
      <c r="G388" s="936">
        <f t="shared" si="1132"/>
        <v>0.18040873243740507</v>
      </c>
      <c r="H388" s="936">
        <f t="shared" si="1132"/>
        <v>-8.3740421719054936E-2</v>
      </c>
      <c r="I388" s="936">
        <f t="shared" si="1132"/>
        <v>-5.3733146007609256E-2</v>
      </c>
      <c r="J388" s="937">
        <f t="shared" si="1132"/>
        <v>-3.5043364655683806E-2</v>
      </c>
      <c r="K388" s="936">
        <f t="shared" si="1132"/>
        <v>-6.320311166050363E-3</v>
      </c>
      <c r="L388" s="936">
        <f t="shared" si="1132"/>
        <v>2.9105422575544049E-2</v>
      </c>
      <c r="M388" s="936">
        <f t="shared" si="1132"/>
        <v>3.4293550478983192E-3</v>
      </c>
      <c r="N388" s="937">
        <f t="shared" si="1132"/>
        <v>-1.5302275403911159E-2</v>
      </c>
      <c r="O388" s="936">
        <f t="shared" si="1132"/>
        <v>-3.0444132212312791E-2</v>
      </c>
      <c r="P388" s="936">
        <f t="shared" si="1132"/>
        <v>-4.4732908480985212E-2</v>
      </c>
      <c r="Q388" s="936">
        <f t="shared" si="1132"/>
        <v>-7.1266196600750065E-2</v>
      </c>
      <c r="R388" s="937">
        <f t="shared" si="1132"/>
        <v>-8.7481749854055657E-2</v>
      </c>
      <c r="S388" s="936">
        <f t="shared" si="1132"/>
        <v>-8.4840981094873813E-2</v>
      </c>
      <c r="T388" s="936">
        <f t="shared" si="1132"/>
        <v>-6.0391292704292887E-2</v>
      </c>
      <c r="U388" s="936">
        <f t="shared" si="1132"/>
        <v>-3.5153663337055385E-2</v>
      </c>
      <c r="V388" s="936">
        <f t="shared" si="1132"/>
        <v>-1.3376596467586821E-2</v>
      </c>
      <c r="W388" s="1450">
        <f t="shared" si="1133"/>
        <v>-1.0238700869753203E-2</v>
      </c>
      <c r="X388" s="936">
        <f t="shared" si="1134"/>
        <v>-1.5145265775110883E-2</v>
      </c>
      <c r="Y388" s="938">
        <f t="shared" si="1135"/>
        <v>-1.2988307662733956E-2</v>
      </c>
      <c r="Z388" s="937">
        <f t="shared" si="1136"/>
        <v>-1.4486934920491357E-2</v>
      </c>
      <c r="AA388" s="936">
        <f t="shared" si="1137"/>
        <v>-2.9197706907415633E-2</v>
      </c>
      <c r="AB388" s="936">
        <f t="shared" si="1138"/>
        <v>-2.4752959556899823E-2</v>
      </c>
      <c r="AC388" s="936">
        <f t="shared" si="1139"/>
        <v>-2.0767495923513235E-2</v>
      </c>
      <c r="AD388" s="936">
        <f t="shared" si="1140"/>
        <v>-1.2556613423093221E-2</v>
      </c>
      <c r="AF388" s="936"/>
      <c r="AG388" s="936">
        <f t="shared" si="1141"/>
        <v>-3.0145304460482136E-2</v>
      </c>
      <c r="AH388" s="936">
        <f t="shared" si="1141"/>
        <v>-5.0179253091433118E-2</v>
      </c>
      <c r="AI388" s="936">
        <f t="shared" si="1141"/>
        <v>2.4187442881804522E-3</v>
      </c>
      <c r="AJ388" s="936">
        <f t="shared" si="1141"/>
        <v>-5.8413209548337841E-2</v>
      </c>
      <c r="AK388" s="938">
        <f t="shared" si="1141"/>
        <v>-4.9108314216966709E-2</v>
      </c>
      <c r="AL388" s="936">
        <f t="shared" si="1142"/>
        <v>-1.3211299590317638E-2</v>
      </c>
      <c r="AM388" s="936"/>
      <c r="AN388" s="936"/>
      <c r="AO388" s="935"/>
      <c r="AP388" s="936"/>
      <c r="AQ388" s="935"/>
      <c r="AR388" s="935"/>
      <c r="AS388" s="935"/>
      <c r="AT388" s="935"/>
      <c r="AU388" s="935"/>
      <c r="BD388" s="929"/>
      <c r="BE388" s="929"/>
      <c r="BF388" s="929"/>
      <c r="BG388" s="929"/>
      <c r="BH388" s="929"/>
    </row>
    <row r="389" spans="1:60" s="794" customFormat="1" ht="12" x14ac:dyDescent="0.3">
      <c r="A389" s="934" t="str">
        <f>+A383</f>
        <v>USD / HKD - avg</v>
      </c>
      <c r="B389" s="935"/>
      <c r="C389" s="936"/>
      <c r="D389" s="936"/>
      <c r="E389" s="936"/>
      <c r="F389" s="937"/>
      <c r="G389" s="936">
        <f t="shared" si="1132"/>
        <v>7.2289075118072699E-3</v>
      </c>
      <c r="H389" s="936">
        <f t="shared" si="1132"/>
        <v>1.1406980139474054E-2</v>
      </c>
      <c r="I389" s="936">
        <f t="shared" si="1132"/>
        <v>1.0169491138616538E-2</v>
      </c>
      <c r="J389" s="937">
        <f t="shared" si="1132"/>
        <v>9.4507926596822944E-3</v>
      </c>
      <c r="K389" s="936">
        <f t="shared" si="1132"/>
        <v>1.7038904752211259E-3</v>
      </c>
      <c r="L389" s="936">
        <f t="shared" si="1132"/>
        <v>-1.8201745100113742E-3</v>
      </c>
      <c r="M389" s="936">
        <f t="shared" si="1132"/>
        <v>-3.5031832851718514E-3</v>
      </c>
      <c r="N389" s="937">
        <f t="shared" si="1132"/>
        <v>-4.8787746900045281E-3</v>
      </c>
      <c r="O389" s="936">
        <f t="shared" si="1132"/>
        <v>-6.065204768026633E-3</v>
      </c>
      <c r="P389" s="936">
        <f t="shared" si="1132"/>
        <v>-1.0308588362103133E-2</v>
      </c>
      <c r="Q389" s="936">
        <f t="shared" si="1132"/>
        <v>-8.96723413453826E-3</v>
      </c>
      <c r="R389" s="937">
        <f t="shared" si="1132"/>
        <v>-4.1702875932138062E-3</v>
      </c>
      <c r="S389" s="936">
        <f t="shared" si="1132"/>
        <v>-4.201074316195097E-3</v>
      </c>
      <c r="T389" s="936">
        <f t="shared" si="1132"/>
        <v>9.0362710944846825E-4</v>
      </c>
      <c r="U389" s="936">
        <f t="shared" si="1132"/>
        <v>3.0230654853304895E-3</v>
      </c>
      <c r="V389" s="936">
        <f t="shared" si="1132"/>
        <v>1.0321356430478268E-3</v>
      </c>
      <c r="W389" s="1450">
        <f t="shared" si="1133"/>
        <v>2.220149097153179E-3</v>
      </c>
      <c r="X389" s="936">
        <f t="shared" si="1134"/>
        <v>2.7768703183885801E-3</v>
      </c>
      <c r="Y389" s="938">
        <f t="shared" si="1135"/>
        <v>3.2417573051632953E-3</v>
      </c>
      <c r="Z389" s="937">
        <f t="shared" si="1136"/>
        <v>5.1278836139130313E-3</v>
      </c>
      <c r="AA389" s="936">
        <f t="shared" si="1137"/>
        <v>7.099723157794724E-3</v>
      </c>
      <c r="AB389" s="936">
        <f t="shared" si="1138"/>
        <v>6.7341806705092377E-3</v>
      </c>
      <c r="AC389" s="936">
        <f t="shared" si="1139"/>
        <v>4.3765542021931836E-3</v>
      </c>
      <c r="AD389" s="936">
        <f t="shared" si="1140"/>
        <v>1.1784355437174376E-3</v>
      </c>
      <c r="AF389" s="936"/>
      <c r="AG389" s="936">
        <f t="shared" si="1141"/>
        <v>3.1212844521610883E-4</v>
      </c>
      <c r="AH389" s="936">
        <f t="shared" si="1141"/>
        <v>1.0168910139271681E-2</v>
      </c>
      <c r="AI389" s="936">
        <f t="shared" si="1141"/>
        <v>-2.1435809654691829E-3</v>
      </c>
      <c r="AJ389" s="936">
        <f t="shared" si="1141"/>
        <v>-7.3779411447801868E-3</v>
      </c>
      <c r="AK389" s="938">
        <f t="shared" si="1141"/>
        <v>1.9585674096544992E-4</v>
      </c>
      <c r="AL389" s="936">
        <f t="shared" si="1142"/>
        <v>3.3429901133956719E-3</v>
      </c>
      <c r="AM389" s="936"/>
      <c r="AN389" s="936"/>
      <c r="AO389" s="935"/>
      <c r="AP389" s="936"/>
      <c r="AQ389" s="935"/>
      <c r="AR389" s="935"/>
      <c r="AS389" s="935"/>
      <c r="AT389" s="935"/>
      <c r="AU389" s="935"/>
      <c r="BD389" s="929"/>
      <c r="BE389" s="929"/>
      <c r="BF389" s="929"/>
      <c r="BG389" s="929"/>
      <c r="BH389" s="929"/>
    </row>
    <row r="390" spans="1:60" x14ac:dyDescent="0.25">
      <c r="C390" s="744"/>
      <c r="D390" s="744"/>
      <c r="E390" s="744"/>
      <c r="F390" s="745"/>
      <c r="G390" s="744"/>
      <c r="H390" s="744"/>
      <c r="I390" s="744"/>
      <c r="J390" s="745"/>
      <c r="K390" s="744"/>
      <c r="L390" s="744"/>
      <c r="M390" s="744"/>
      <c r="N390" s="745"/>
      <c r="O390" s="744"/>
      <c r="P390" s="744"/>
      <c r="Q390" s="744"/>
      <c r="R390" s="745"/>
      <c r="S390" s="744"/>
      <c r="T390" s="744"/>
      <c r="U390" s="744"/>
      <c r="V390" s="744"/>
      <c r="W390" s="985"/>
      <c r="X390" s="744"/>
      <c r="Y390" s="792"/>
      <c r="Z390" s="745"/>
      <c r="AA390" s="744"/>
      <c r="AB390" s="744"/>
      <c r="AC390" s="744"/>
      <c r="AD390" s="744"/>
      <c r="AE390" s="744"/>
      <c r="AF390" s="744"/>
      <c r="AG390" s="744"/>
      <c r="AH390" s="744"/>
      <c r="AI390" s="744"/>
      <c r="AJ390" s="744"/>
      <c r="AK390" s="792"/>
      <c r="AL390" s="744"/>
      <c r="AM390" s="744"/>
    </row>
    <row r="391" spans="1:60" ht="12" x14ac:dyDescent="0.3">
      <c r="A391" s="933" t="s">
        <v>310</v>
      </c>
      <c r="C391" s="744"/>
      <c r="D391" s="744"/>
      <c r="E391" s="744"/>
      <c r="F391" s="745"/>
      <c r="G391" s="744"/>
      <c r="H391" s="744"/>
      <c r="I391" s="744"/>
      <c r="J391" s="745"/>
      <c r="K391" s="744"/>
      <c r="L391" s="744"/>
      <c r="M391" s="744"/>
      <c r="N391" s="745"/>
      <c r="O391" s="744"/>
      <c r="P391" s="744"/>
      <c r="Q391" s="744"/>
      <c r="R391" s="745"/>
      <c r="S391" s="744"/>
      <c r="T391" s="744"/>
      <c r="U391" s="744"/>
      <c r="V391" s="744"/>
      <c r="W391" s="985"/>
      <c r="X391" s="744"/>
      <c r="Y391" s="792"/>
      <c r="Z391" s="745"/>
      <c r="AA391" s="744"/>
      <c r="AB391" s="744"/>
      <c r="AC391" s="744"/>
      <c r="AD391" s="744"/>
      <c r="AE391" s="744"/>
      <c r="AF391" s="744"/>
      <c r="AG391" s="744"/>
      <c r="AH391" s="744"/>
      <c r="AI391" s="744"/>
      <c r="AJ391" s="744"/>
      <c r="AK391" s="792"/>
      <c r="AL391" s="744"/>
      <c r="AM391" s="744"/>
    </row>
    <row r="392" spans="1:60" s="939" customFormat="1" ht="12" x14ac:dyDescent="0.3">
      <c r="A392" s="934" t="s">
        <v>311</v>
      </c>
      <c r="C392" s="916"/>
      <c r="D392" s="916"/>
      <c r="E392" s="916"/>
      <c r="F392" s="940"/>
      <c r="G392" s="941">
        <v>0.5</v>
      </c>
      <c r="H392" s="941">
        <v>0.5</v>
      </c>
      <c r="I392" s="941">
        <v>0.5</v>
      </c>
      <c r="J392" s="942">
        <v>0.5</v>
      </c>
      <c r="K392" s="941">
        <v>0.5</v>
      </c>
      <c r="L392" s="941">
        <v>0.5</v>
      </c>
      <c r="M392" s="941">
        <v>0.5</v>
      </c>
      <c r="N392" s="942">
        <v>0.5</v>
      </c>
      <c r="O392" s="941">
        <v>0.5</v>
      </c>
      <c r="P392" s="941">
        <v>0.5</v>
      </c>
      <c r="Q392" s="941">
        <v>0.5</v>
      </c>
      <c r="R392" s="942">
        <v>0.5</v>
      </c>
      <c r="S392" s="941">
        <v>0.5</v>
      </c>
      <c r="T392" s="941">
        <v>0.5</v>
      </c>
      <c r="U392" s="941">
        <v>0.5</v>
      </c>
      <c r="V392" s="941">
        <v>0.5</v>
      </c>
      <c r="W392" s="1451">
        <v>0.5</v>
      </c>
      <c r="X392" s="941">
        <v>0.5</v>
      </c>
      <c r="Y392" s="943">
        <v>0.5</v>
      </c>
      <c r="Z392" s="942">
        <v>0.5</v>
      </c>
      <c r="AA392" s="941">
        <v>0.5</v>
      </c>
      <c r="AB392" s="941">
        <v>0.5</v>
      </c>
      <c r="AC392" s="941">
        <v>0.5</v>
      </c>
      <c r="AD392" s="941">
        <v>0.5</v>
      </c>
      <c r="AE392" s="916"/>
      <c r="AF392" s="916"/>
      <c r="AG392" s="941">
        <v>0.5</v>
      </c>
      <c r="AH392" s="941">
        <v>0.5</v>
      </c>
      <c r="AI392" s="941">
        <v>0.5</v>
      </c>
      <c r="AJ392" s="941">
        <v>0.5</v>
      </c>
      <c r="AK392" s="943">
        <v>0.5</v>
      </c>
      <c r="AL392" s="941">
        <v>0.5</v>
      </c>
      <c r="AM392" s="941"/>
    </row>
    <row r="393" spans="1:60" s="939" customFormat="1" ht="12" x14ac:dyDescent="0.3">
      <c r="A393" s="934" t="s">
        <v>312</v>
      </c>
      <c r="C393" s="916"/>
      <c r="D393" s="916"/>
      <c r="E393" s="916"/>
      <c r="F393" s="940"/>
      <c r="G393" s="941">
        <v>0.2</v>
      </c>
      <c r="H393" s="941">
        <v>0.2</v>
      </c>
      <c r="I393" s="941">
        <v>0.2</v>
      </c>
      <c r="J393" s="942">
        <v>0.2</v>
      </c>
      <c r="K393" s="941">
        <v>0.2</v>
      </c>
      <c r="L393" s="941">
        <v>0.2</v>
      </c>
      <c r="M393" s="941">
        <v>0.2</v>
      </c>
      <c r="N393" s="942">
        <v>0.2</v>
      </c>
      <c r="O393" s="941">
        <v>0.2</v>
      </c>
      <c r="P393" s="941">
        <v>0.2</v>
      </c>
      <c r="Q393" s="941">
        <v>0.2</v>
      </c>
      <c r="R393" s="942">
        <v>0.2</v>
      </c>
      <c r="S393" s="941">
        <v>0.2</v>
      </c>
      <c r="T393" s="941">
        <v>0.2</v>
      </c>
      <c r="U393" s="941">
        <v>0.2</v>
      </c>
      <c r="V393" s="941">
        <v>0.2</v>
      </c>
      <c r="W393" s="1451">
        <v>0.2</v>
      </c>
      <c r="X393" s="941">
        <v>0.2</v>
      </c>
      <c r="Y393" s="943">
        <v>0.2</v>
      </c>
      <c r="Z393" s="942">
        <v>0.2</v>
      </c>
      <c r="AA393" s="941">
        <v>0.2</v>
      </c>
      <c r="AB393" s="941">
        <v>0.2</v>
      </c>
      <c r="AC393" s="941">
        <v>0.2</v>
      </c>
      <c r="AD393" s="941">
        <v>0.2</v>
      </c>
      <c r="AE393" s="916"/>
      <c r="AF393" s="916"/>
      <c r="AG393" s="941">
        <v>0.2</v>
      </c>
      <c r="AH393" s="941">
        <v>0.2</v>
      </c>
      <c r="AI393" s="941">
        <v>0.2</v>
      </c>
      <c r="AJ393" s="941">
        <v>0.2</v>
      </c>
      <c r="AK393" s="943">
        <v>0.2</v>
      </c>
      <c r="AL393" s="941">
        <v>0.2</v>
      </c>
      <c r="AM393" s="941"/>
    </row>
    <row r="394" spans="1:60" s="939" customFormat="1" ht="12" x14ac:dyDescent="0.3">
      <c r="A394" s="934" t="s">
        <v>313</v>
      </c>
      <c r="C394" s="916"/>
      <c r="D394" s="916"/>
      <c r="E394" s="916"/>
      <c r="F394" s="940"/>
      <c r="G394" s="941">
        <v>0.2</v>
      </c>
      <c r="H394" s="941">
        <v>0.2</v>
      </c>
      <c r="I394" s="941">
        <v>0.2</v>
      </c>
      <c r="J394" s="942">
        <v>0.2</v>
      </c>
      <c r="K394" s="941">
        <v>0.2</v>
      </c>
      <c r="L394" s="941">
        <v>0.2</v>
      </c>
      <c r="M394" s="941">
        <v>0.2</v>
      </c>
      <c r="N394" s="942">
        <v>0.2</v>
      </c>
      <c r="O394" s="941">
        <v>0.2</v>
      </c>
      <c r="P394" s="941">
        <v>0.2</v>
      </c>
      <c r="Q394" s="941">
        <v>0.2</v>
      </c>
      <c r="R394" s="942">
        <v>0.2</v>
      </c>
      <c r="S394" s="941">
        <v>0.2</v>
      </c>
      <c r="T394" s="941">
        <v>0.2</v>
      </c>
      <c r="U394" s="941">
        <v>0.2</v>
      </c>
      <c r="V394" s="941">
        <v>0.2</v>
      </c>
      <c r="W394" s="1451">
        <v>0.2</v>
      </c>
      <c r="X394" s="941">
        <v>0.2</v>
      </c>
      <c r="Y394" s="943">
        <v>0.2</v>
      </c>
      <c r="Z394" s="942">
        <v>0.2</v>
      </c>
      <c r="AA394" s="941">
        <v>0.2</v>
      </c>
      <c r="AB394" s="941">
        <v>0.2</v>
      </c>
      <c r="AC394" s="941">
        <v>0.2</v>
      </c>
      <c r="AD394" s="941">
        <v>0.2</v>
      </c>
      <c r="AE394" s="916"/>
      <c r="AF394" s="916"/>
      <c r="AG394" s="941">
        <v>0.2</v>
      </c>
      <c r="AH394" s="941">
        <v>0.2</v>
      </c>
      <c r="AI394" s="941">
        <v>0.2</v>
      </c>
      <c r="AJ394" s="941">
        <v>0.2</v>
      </c>
      <c r="AK394" s="943">
        <v>0.2</v>
      </c>
      <c r="AL394" s="941">
        <v>0.2</v>
      </c>
      <c r="AM394" s="941"/>
    </row>
    <row r="395" spans="1:60" s="939" customFormat="1" ht="12" x14ac:dyDescent="0.3">
      <c r="A395" s="934" t="s">
        <v>314</v>
      </c>
      <c r="C395" s="916"/>
      <c r="D395" s="916"/>
      <c r="E395" s="916"/>
      <c r="F395" s="940"/>
      <c r="G395" s="944">
        <f t="shared" ref="G395:V395" si="1143">1-G392-G393-G394</f>
        <v>9.9999999999999978E-2</v>
      </c>
      <c r="H395" s="944">
        <f t="shared" si="1143"/>
        <v>9.9999999999999978E-2</v>
      </c>
      <c r="I395" s="944">
        <f t="shared" si="1143"/>
        <v>9.9999999999999978E-2</v>
      </c>
      <c r="J395" s="945">
        <f t="shared" si="1143"/>
        <v>9.9999999999999978E-2</v>
      </c>
      <c r="K395" s="944">
        <f t="shared" si="1143"/>
        <v>9.9999999999999978E-2</v>
      </c>
      <c r="L395" s="944">
        <f t="shared" si="1143"/>
        <v>9.9999999999999978E-2</v>
      </c>
      <c r="M395" s="944">
        <f t="shared" si="1143"/>
        <v>9.9999999999999978E-2</v>
      </c>
      <c r="N395" s="945">
        <f t="shared" si="1143"/>
        <v>9.9999999999999978E-2</v>
      </c>
      <c r="O395" s="944">
        <f t="shared" si="1143"/>
        <v>9.9999999999999978E-2</v>
      </c>
      <c r="P395" s="944">
        <f t="shared" si="1143"/>
        <v>9.9999999999999978E-2</v>
      </c>
      <c r="Q395" s="944">
        <f t="shared" si="1143"/>
        <v>9.9999999999999978E-2</v>
      </c>
      <c r="R395" s="945">
        <f t="shared" si="1143"/>
        <v>9.9999999999999978E-2</v>
      </c>
      <c r="S395" s="944">
        <f t="shared" si="1143"/>
        <v>9.9999999999999978E-2</v>
      </c>
      <c r="T395" s="944">
        <f t="shared" si="1143"/>
        <v>9.9999999999999978E-2</v>
      </c>
      <c r="U395" s="944">
        <f t="shared" si="1143"/>
        <v>9.9999999999999978E-2</v>
      </c>
      <c r="V395" s="944">
        <f t="shared" si="1143"/>
        <v>9.9999999999999978E-2</v>
      </c>
      <c r="W395" s="1452">
        <f t="shared" ref="W395:Z395" si="1144">1-W392-W393-W394</f>
        <v>9.9999999999999978E-2</v>
      </c>
      <c r="X395" s="944">
        <f t="shared" si="1144"/>
        <v>9.9999999999999978E-2</v>
      </c>
      <c r="Y395" s="946">
        <f t="shared" si="1144"/>
        <v>9.9999999999999978E-2</v>
      </c>
      <c r="Z395" s="945">
        <f t="shared" si="1144"/>
        <v>9.9999999999999978E-2</v>
      </c>
      <c r="AA395" s="944">
        <f t="shared" ref="AA395:AD395" si="1145">1-AA392-AA393-AA394</f>
        <v>9.9999999999999978E-2</v>
      </c>
      <c r="AB395" s="944">
        <f t="shared" si="1145"/>
        <v>9.9999999999999978E-2</v>
      </c>
      <c r="AC395" s="944">
        <f t="shared" si="1145"/>
        <v>9.9999999999999978E-2</v>
      </c>
      <c r="AD395" s="944">
        <f t="shared" si="1145"/>
        <v>9.9999999999999978E-2</v>
      </c>
      <c r="AE395" s="916"/>
      <c r="AF395" s="916"/>
      <c r="AG395" s="944">
        <f>1-AG392-AG393-AG394</f>
        <v>9.9999999999999978E-2</v>
      </c>
      <c r="AH395" s="944">
        <f t="shared" ref="AH395:AK395" si="1146">1-AH392-AH393-AH394</f>
        <v>9.9999999999999978E-2</v>
      </c>
      <c r="AI395" s="944">
        <f t="shared" si="1146"/>
        <v>9.9999999999999978E-2</v>
      </c>
      <c r="AJ395" s="944">
        <f t="shared" si="1146"/>
        <v>9.9999999999999978E-2</v>
      </c>
      <c r="AK395" s="946">
        <f t="shared" si="1146"/>
        <v>9.9999999999999978E-2</v>
      </c>
      <c r="AL395" s="944">
        <f t="shared" ref="AL395" si="1147">1-AL392-AL393-AL394</f>
        <v>9.9999999999999978E-2</v>
      </c>
      <c r="AM395" s="944"/>
    </row>
    <row r="396" spans="1:60" x14ac:dyDescent="0.25">
      <c r="C396" s="744"/>
      <c r="D396" s="744"/>
      <c r="E396" s="744"/>
      <c r="F396" s="745"/>
      <c r="G396" s="744"/>
      <c r="H396" s="744"/>
      <c r="I396" s="744"/>
      <c r="J396" s="745"/>
      <c r="K396" s="744"/>
      <c r="L396" s="744"/>
      <c r="M396" s="744"/>
      <c r="N396" s="745"/>
      <c r="O396" s="744"/>
      <c r="P396" s="744"/>
      <c r="Q396" s="744"/>
      <c r="R396" s="745"/>
      <c r="S396" s="744"/>
      <c r="T396" s="744"/>
      <c r="U396" s="744"/>
      <c r="V396" s="744"/>
      <c r="W396" s="985"/>
      <c r="X396" s="744"/>
      <c r="Y396" s="792"/>
      <c r="Z396" s="745"/>
      <c r="AA396" s="744"/>
      <c r="AB396" s="744"/>
      <c r="AC396" s="744"/>
      <c r="AD396" s="744"/>
      <c r="AE396" s="744"/>
      <c r="AF396" s="744"/>
      <c r="AG396" s="744"/>
      <c r="AH396" s="744"/>
      <c r="AI396" s="744"/>
      <c r="AJ396" s="744"/>
      <c r="AK396" s="792"/>
      <c r="AL396" s="744"/>
      <c r="AM396" s="744"/>
    </row>
    <row r="397" spans="1:60" s="794" customFormat="1" x14ac:dyDescent="0.25">
      <c r="A397" s="460" t="s">
        <v>315</v>
      </c>
      <c r="C397" s="947"/>
      <c r="D397" s="947"/>
      <c r="E397" s="947"/>
      <c r="F397" s="948"/>
      <c r="G397" s="947">
        <f>+SUMPRODUCT(G392:G395,G386:G389)</f>
        <v>2.2742495660411956E-2</v>
      </c>
      <c r="H397" s="947">
        <f t="shared" ref="H397:V397" si="1148">+SUMPRODUCT(H392:H395,H386:H389)</f>
        <v>-3.6854151807174468E-2</v>
      </c>
      <c r="I397" s="947">
        <f t="shared" si="1148"/>
        <v>2.4349532247338133E-2</v>
      </c>
      <c r="J397" s="948">
        <f t="shared" si="1148"/>
        <v>2.2446336151935985E-2</v>
      </c>
      <c r="K397" s="947">
        <f t="shared" si="1148"/>
        <v>5.58183012639673E-2</v>
      </c>
      <c r="L397" s="947">
        <f t="shared" si="1148"/>
        <v>8.7538670390286996E-2</v>
      </c>
      <c r="M397" s="947">
        <f t="shared" si="1148"/>
        <v>3.5570606401428492E-2</v>
      </c>
      <c r="N397" s="948">
        <f t="shared" si="1148"/>
        <v>-1.55031984153875E-3</v>
      </c>
      <c r="O397" s="947">
        <f t="shared" si="1148"/>
        <v>-3.3771188404610922E-2</v>
      </c>
      <c r="P397" s="947">
        <f t="shared" si="1148"/>
        <v>-8.3588074141469293E-2</v>
      </c>
      <c r="Q397" s="947">
        <f t="shared" si="1148"/>
        <v>-0.1172570382488993</v>
      </c>
      <c r="R397" s="948">
        <f t="shared" si="1148"/>
        <v>-0.10391948589181151</v>
      </c>
      <c r="S397" s="947">
        <f t="shared" si="1148"/>
        <v>-7.3776939041583514E-2</v>
      </c>
      <c r="T397" s="947">
        <f t="shared" si="1148"/>
        <v>-9.5434272259561029E-3</v>
      </c>
      <c r="U397" s="947">
        <f t="shared" si="1148"/>
        <v>4.7216775107167132E-2</v>
      </c>
      <c r="V397" s="947">
        <f t="shared" si="1148"/>
        <v>3.7214926864165852E-2</v>
      </c>
      <c r="W397" s="1453">
        <f t="shared" ref="W397:Z397" si="1149">+SUMPRODUCT(W392:W395,W386:W389)</f>
        <v>2.2722768350783549E-2</v>
      </c>
      <c r="X397" s="947">
        <f t="shared" si="1149"/>
        <v>-1.0832033921888366E-3</v>
      </c>
      <c r="Y397" s="949">
        <f t="shared" si="1149"/>
        <v>1.3392301330235591E-2</v>
      </c>
      <c r="Z397" s="948">
        <f t="shared" si="1149"/>
        <v>1.1557251938770751E-2</v>
      </c>
      <c r="AA397" s="947">
        <f t="shared" ref="AA397:AD397" si="1150">+SUMPRODUCT(AA392:AA395,AA386:AA389)</f>
        <v>-2.0654177672116716E-2</v>
      </c>
      <c r="AB397" s="947">
        <f t="shared" si="1150"/>
        <v>-1.5599268263157608E-2</v>
      </c>
      <c r="AC397" s="947">
        <f t="shared" si="1150"/>
        <v>-3.4049430027275493E-2</v>
      </c>
      <c r="AD397" s="947">
        <f t="shared" si="1150"/>
        <v>-1.9538264980925306E-2</v>
      </c>
      <c r="AF397" s="947"/>
      <c r="AG397" s="947">
        <f t="shared" ref="AG397:AJ397" si="1151">+SUMPRODUCT(AG392:AG395,AG386:AG389)</f>
        <v>-3.8126834247908616E-2</v>
      </c>
      <c r="AH397" s="947">
        <f t="shared" si="1151"/>
        <v>-2.4187454364149601E-3</v>
      </c>
      <c r="AI397" s="947">
        <f t="shared" si="1151"/>
        <v>4.330339430624007E-2</v>
      </c>
      <c r="AJ397" s="947">
        <f t="shared" si="1151"/>
        <v>-8.4674936169362072E-2</v>
      </c>
      <c r="AK397" s="949">
        <f t="shared" ref="AK397:AL397" si="1152">+SUMPRODUCT(AK392:AK395,AK386:AK389)</f>
        <v>-1.8443899794877497E-3</v>
      </c>
      <c r="AL397" s="947">
        <f t="shared" si="1152"/>
        <v>1.1578715801333229E-2</v>
      </c>
      <c r="AM397" s="947"/>
      <c r="AN397" s="947"/>
      <c r="AP397" s="947"/>
      <c r="BD397" s="929"/>
      <c r="BE397" s="929"/>
      <c r="BF397" s="929"/>
      <c r="BG397" s="929"/>
      <c r="BH397" s="929"/>
    </row>
    <row r="398" spans="1:60" s="911" customFormat="1" x14ac:dyDescent="0.25">
      <c r="A398" s="460" t="s">
        <v>316</v>
      </c>
      <c r="C398" s="950"/>
      <c r="D398" s="950"/>
      <c r="E398" s="950"/>
      <c r="F398" s="951"/>
      <c r="G398" s="950">
        <f t="shared" ref="G398:S398" si="1153">+G10/G12</f>
        <v>0.12188850494861915</v>
      </c>
      <c r="H398" s="950">
        <f t="shared" si="1153"/>
        <v>0.10952158715342929</v>
      </c>
      <c r="I398" s="950">
        <f>+I10/I12</f>
        <v>8.7667607363757338E-2</v>
      </c>
      <c r="J398" s="951">
        <f t="shared" si="1153"/>
        <v>8.6129139411283751E-2</v>
      </c>
      <c r="K398" s="950">
        <f t="shared" si="1153"/>
        <v>0.12540319527523286</v>
      </c>
      <c r="L398" s="950">
        <f t="shared" si="1153"/>
        <v>0.17205678789196116</v>
      </c>
      <c r="M398" s="950">
        <f t="shared" si="1153"/>
        <v>0.18455723374138655</v>
      </c>
      <c r="N398" s="951">
        <f t="shared" si="1153"/>
        <v>0.1494927822633767</v>
      </c>
      <c r="O398" s="950">
        <f t="shared" si="1153"/>
        <v>0.16716259130718714</v>
      </c>
      <c r="P398" s="950">
        <f t="shared" si="1153"/>
        <v>0.16394044482811654</v>
      </c>
      <c r="Q398" s="950">
        <f t="shared" si="1153"/>
        <v>0.15354441563989787</v>
      </c>
      <c r="R398" s="951">
        <f t="shared" si="1153"/>
        <v>0.12317787342129402</v>
      </c>
      <c r="S398" s="950">
        <f t="shared" si="1153"/>
        <v>0.14156791248860529</v>
      </c>
      <c r="T398" s="950">
        <f t="shared" ref="T398:V398" si="1154">+S398</f>
        <v>0.14156791248860529</v>
      </c>
      <c r="U398" s="950">
        <f t="shared" si="1154"/>
        <v>0.14156791248860529</v>
      </c>
      <c r="V398" s="950">
        <f t="shared" si="1154"/>
        <v>0.14156791248860529</v>
      </c>
      <c r="W398" s="1454">
        <f t="shared" ref="W398" si="1155">+V398</f>
        <v>0.14156791248860529</v>
      </c>
      <c r="X398" s="950">
        <f t="shared" ref="X398" si="1156">+W398</f>
        <v>0.14156791248860529</v>
      </c>
      <c r="Y398" s="952">
        <f t="shared" ref="Y398" si="1157">+X398</f>
        <v>0.14156791248860529</v>
      </c>
      <c r="Z398" s="951">
        <f t="shared" ref="Z398" si="1158">+Y398</f>
        <v>0.14156791248860529</v>
      </c>
      <c r="AA398" s="950">
        <f t="shared" ref="AA398" si="1159">+Z398</f>
        <v>0.14156791248860529</v>
      </c>
      <c r="AB398" s="950">
        <f t="shared" ref="AB398" si="1160">+AA398</f>
        <v>0.14156791248860529</v>
      </c>
      <c r="AC398" s="950">
        <f t="shared" ref="AC398" si="1161">+AB398</f>
        <v>0.14156791248860529</v>
      </c>
      <c r="AD398" s="950">
        <f t="shared" ref="AD398" si="1162">+AC398</f>
        <v>0.14156791248860529</v>
      </c>
      <c r="AF398" s="950"/>
      <c r="AG398" s="950">
        <f>+AG10/AG12</f>
        <v>0.13066067206761778</v>
      </c>
      <c r="AH398" s="950">
        <f>+AH10/AH12</f>
        <v>9.9150748103717157E-2</v>
      </c>
      <c r="AI398" s="950">
        <f>+AI10/AI12</f>
        <v>0.16005868355105676</v>
      </c>
      <c r="AJ398" s="950">
        <f>+AJ10/AJ12</f>
        <v>0.15135372699293723</v>
      </c>
      <c r="AK398" s="952">
        <f>AVERAGE(S398:V398)</f>
        <v>0.14156791248860529</v>
      </c>
      <c r="AL398" s="950">
        <f>AVERAGE(T398:W398)</f>
        <v>0.14156791248860529</v>
      </c>
      <c r="AM398" s="950"/>
      <c r="AN398" s="950"/>
      <c r="AP398" s="950"/>
      <c r="BD398" s="953"/>
      <c r="BE398" s="953"/>
      <c r="BF398" s="953"/>
      <c r="BG398" s="953"/>
      <c r="BH398" s="953"/>
    </row>
    <row r="399" spans="1:60" x14ac:dyDescent="0.25">
      <c r="A399" s="474" t="s">
        <v>317</v>
      </c>
      <c r="C399" s="744"/>
      <c r="D399" s="744"/>
      <c r="E399" s="744"/>
      <c r="F399" s="745"/>
      <c r="G399" s="954">
        <f>+G398*G397</f>
        <v>2.7720487948480724E-3</v>
      </c>
      <c r="H399" s="954">
        <f t="shared" ref="H399:V399" si="1163">+H398*H397</f>
        <v>-4.0363251991151717E-3</v>
      </c>
      <c r="I399" s="954">
        <f t="shared" si="1163"/>
        <v>2.1346652325507872E-3</v>
      </c>
      <c r="J399" s="955">
        <f t="shared" si="1163"/>
        <v>1.933283615702633E-3</v>
      </c>
      <c r="K399" s="954">
        <f t="shared" si="1163"/>
        <v>6.9997933333370687E-3</v>
      </c>
      <c r="L399" s="954">
        <f t="shared" si="1163"/>
        <v>1.5061622443685911E-2</v>
      </c>
      <c r="M399" s="954">
        <f t="shared" si="1163"/>
        <v>6.5648127199512988E-3</v>
      </c>
      <c r="N399" s="955">
        <f t="shared" si="1163"/>
        <v>-2.3176162650974502E-4</v>
      </c>
      <c r="O399" s="954">
        <f t="shared" si="1163"/>
        <v>-5.6452793652379931E-3</v>
      </c>
      <c r="P399" s="954">
        <f t="shared" si="1163"/>
        <v>-1.3703466057078062E-2</v>
      </c>
      <c r="Q399" s="954">
        <f t="shared" si="1163"/>
        <v>-1.8004163417592398E-2</v>
      </c>
      <c r="R399" s="955">
        <f t="shared" si="1163"/>
        <v>-1.2800581279187507E-2</v>
      </c>
      <c r="S399" s="954">
        <f t="shared" si="1163"/>
        <v>-1.0444447249916061E-2</v>
      </c>
      <c r="T399" s="954">
        <f t="shared" si="1163"/>
        <v>-1.3510430703655267E-3</v>
      </c>
      <c r="U399" s="954">
        <f t="shared" si="1163"/>
        <v>6.6843802863655929E-3</v>
      </c>
      <c r="V399" s="954">
        <f t="shared" si="1163"/>
        <v>5.2684395095760773E-3</v>
      </c>
      <c r="W399" s="1455">
        <f t="shared" ref="W399:Z399" si="1164">+W398*W397</f>
        <v>3.2168148813825751E-3</v>
      </c>
      <c r="X399" s="954">
        <f t="shared" si="1164"/>
        <v>-1.533468430327496E-4</v>
      </c>
      <c r="Y399" s="956">
        <f t="shared" si="1164"/>
        <v>1.8959201427398242E-3</v>
      </c>
      <c r="Z399" s="955">
        <f t="shared" si="1164"/>
        <v>1.6361360310766615E-3</v>
      </c>
      <c r="AA399" s="954">
        <f t="shared" ref="AA399:AD399" si="1165">+AA398*AA397</f>
        <v>-2.9239688172103245E-3</v>
      </c>
      <c r="AB399" s="954">
        <f t="shared" si="1165"/>
        <v>-2.2083558443649742E-3</v>
      </c>
      <c r="AC399" s="954">
        <f t="shared" si="1165"/>
        <v>-4.8203067303882264E-3</v>
      </c>
      <c r="AD399" s="954">
        <f t="shared" si="1165"/>
        <v>-2.7659913869988151E-3</v>
      </c>
      <c r="AE399" s="744"/>
      <c r="AF399" s="744"/>
      <c r="AG399" s="954">
        <f t="shared" ref="AG399" si="1166">+AG398*AG397</f>
        <v>-4.9816777866424061E-3</v>
      </c>
      <c r="AH399" s="954">
        <f t="shared" ref="AH399" si="1167">+AH398*AH397</f>
        <v>-2.3982041949299513E-4</v>
      </c>
      <c r="AI399" s="954">
        <f t="shared" ref="AI399" si="1168">+AI398*AI397</f>
        <v>6.9310842859491122E-3</v>
      </c>
      <c r="AJ399" s="954">
        <f t="shared" ref="AJ399" si="1169">+AJ398*AJ397</f>
        <v>-1.2815867172122013E-2</v>
      </c>
      <c r="AK399" s="956">
        <f t="shared" ref="AK399:AL399" si="1170">+AK398*AK397</f>
        <v>-2.6110643921098224E-4</v>
      </c>
      <c r="AL399" s="954">
        <f t="shared" si="1170"/>
        <v>1.6391746252935738E-3</v>
      </c>
      <c r="AM399" s="954"/>
    </row>
    <row r="400" spans="1:60" x14ac:dyDescent="0.25">
      <c r="A400" s="474" t="s">
        <v>318</v>
      </c>
      <c r="C400" s="744"/>
      <c r="D400" s="744"/>
      <c r="E400" s="744"/>
      <c r="F400" s="745"/>
      <c r="G400" s="954"/>
      <c r="H400" s="954"/>
      <c r="I400" s="954"/>
      <c r="J400" s="955"/>
      <c r="K400" s="954"/>
      <c r="L400" s="954"/>
      <c r="M400" s="954">
        <f t="shared" ref="M400:Q400" si="1171">+M13-M15</f>
        <v>2.9244469139774187E-3</v>
      </c>
      <c r="N400" s="955">
        <f t="shared" si="1171"/>
        <v>5.1103843008992733E-4</v>
      </c>
      <c r="O400" s="954">
        <f t="shared" si="1171"/>
        <v>-7.2764443098357057E-3</v>
      </c>
      <c r="P400" s="954">
        <f t="shared" si="1171"/>
        <v>-1.2583940603800359E-2</v>
      </c>
      <c r="Q400" s="954">
        <f t="shared" si="1171"/>
        <v>-1.7979032182799642E-2</v>
      </c>
      <c r="R400" s="955">
        <f t="shared" ref="R400:U400" si="1172">+(R164+R172)/N153*-1</f>
        <v>-1.6712777369996046E-2</v>
      </c>
      <c r="S400" s="954">
        <f t="shared" si="1172"/>
        <v>-1.1043758985891163E-2</v>
      </c>
      <c r="T400" s="954">
        <f t="shared" si="1172"/>
        <v>-5.1349219343027669E-3</v>
      </c>
      <c r="U400" s="954">
        <f t="shared" si="1172"/>
        <v>2.5098793121862651E-3</v>
      </c>
      <c r="V400" s="954">
        <f>+(V164+V172)/R153*-1</f>
        <v>3.2550154048778196E-3</v>
      </c>
      <c r="W400" s="1455">
        <f t="shared" ref="W400:Y400" si="1173">+(W164+W172)/S153*-1</f>
        <v>6.7798541476754776E-4</v>
      </c>
      <c r="X400" s="954">
        <f t="shared" si="1173"/>
        <v>-1.8886760380972941E-4</v>
      </c>
      <c r="Y400" s="956">
        <f t="shared" si="1173"/>
        <v>6.3384639955281388E-4</v>
      </c>
      <c r="Z400" s="955"/>
      <c r="AA400" s="954"/>
      <c r="AB400" s="954"/>
      <c r="AC400" s="954"/>
      <c r="AD400" s="954"/>
      <c r="AE400" s="954"/>
      <c r="AF400" s="744"/>
      <c r="AG400" s="954"/>
      <c r="AH400" s="954"/>
      <c r="AI400" s="954">
        <f t="shared" ref="AI400:AJ400" si="1174">+(AI164+AI172)/AH153*-1</f>
        <v>3.2094518555804306E-3</v>
      </c>
      <c r="AJ400" s="954">
        <f t="shared" si="1174"/>
        <v>-1.4001221404053096E-2</v>
      </c>
      <c r="AK400" s="956">
        <f>+(AK164+AK172)/AJ153*-1</f>
        <v>-2.3740066640083055E-3</v>
      </c>
      <c r="AL400" s="954"/>
      <c r="AM400" s="954"/>
    </row>
    <row r="401" spans="1:60" x14ac:dyDescent="0.25">
      <c r="A401" s="474"/>
      <c r="C401" s="744"/>
      <c r="D401" s="744"/>
      <c r="E401" s="744"/>
      <c r="F401" s="745"/>
      <c r="G401" s="954"/>
      <c r="H401" s="954"/>
      <c r="I401" s="954"/>
      <c r="J401" s="955"/>
      <c r="K401" s="954"/>
      <c r="L401" s="954"/>
      <c r="M401" s="954"/>
      <c r="N401" s="955"/>
      <c r="O401" s="954"/>
      <c r="P401" s="954"/>
      <c r="Q401" s="954"/>
      <c r="R401" s="955"/>
      <c r="S401" s="954"/>
      <c r="T401" s="954"/>
      <c r="U401" s="954"/>
      <c r="V401" s="954"/>
      <c r="W401" s="1455"/>
      <c r="X401" s="954"/>
      <c r="Y401" s="956"/>
      <c r="Z401" s="955"/>
      <c r="AA401" s="954"/>
      <c r="AB401" s="954"/>
      <c r="AC401" s="954"/>
      <c r="AD401" s="954"/>
      <c r="AE401" s="954"/>
      <c r="AF401" s="744"/>
      <c r="AG401" s="954"/>
      <c r="AH401" s="954"/>
      <c r="AI401" s="954"/>
      <c r="AJ401" s="954"/>
      <c r="AK401" s="956"/>
      <c r="AL401" s="954"/>
      <c r="AM401" s="954"/>
    </row>
    <row r="402" spans="1:60" ht="12" x14ac:dyDescent="0.3">
      <c r="A402" s="933" t="s">
        <v>319</v>
      </c>
      <c r="C402" s="744"/>
      <c r="D402" s="744"/>
      <c r="E402" s="744"/>
      <c r="F402" s="745"/>
      <c r="G402" s="744"/>
      <c r="H402" s="744"/>
      <c r="I402" s="744"/>
      <c r="J402" s="745"/>
      <c r="K402" s="744"/>
      <c r="L402" s="744"/>
      <c r="M402" s="744"/>
      <c r="N402" s="745"/>
      <c r="O402" s="744"/>
      <c r="P402" s="744"/>
      <c r="Q402" s="744"/>
      <c r="R402" s="745"/>
      <c r="S402" s="744"/>
      <c r="T402" s="744"/>
      <c r="U402" s="744"/>
      <c r="V402" s="744"/>
      <c r="W402" s="985"/>
      <c r="X402" s="744"/>
      <c r="Y402" s="792"/>
      <c r="Z402" s="745"/>
      <c r="AA402" s="744"/>
      <c r="AB402" s="744"/>
      <c r="AC402" s="744"/>
      <c r="AD402" s="744"/>
      <c r="AE402" s="744"/>
      <c r="AF402" s="744"/>
      <c r="AG402" s="744"/>
      <c r="AH402" s="744"/>
      <c r="AI402" s="744"/>
      <c r="AJ402" s="744"/>
      <c r="AK402" s="792"/>
      <c r="AL402" s="744"/>
      <c r="AM402" s="744"/>
    </row>
    <row r="403" spans="1:60" s="794" customFormat="1" ht="12" x14ac:dyDescent="0.3">
      <c r="A403" s="934" t="str">
        <f>+A386</f>
        <v>USD / GBP - avg</v>
      </c>
      <c r="B403" s="935"/>
      <c r="C403" s="936"/>
      <c r="D403" s="936"/>
      <c r="E403" s="936"/>
      <c r="F403" s="937"/>
      <c r="G403" s="936">
        <f t="shared" ref="G403:H403" si="1175">+G380/F380-1</f>
        <v>-5.2832943246330366E-3</v>
      </c>
      <c r="H403" s="936">
        <f t="shared" si="1175"/>
        <v>-3.0970088767722448E-2</v>
      </c>
      <c r="I403" s="936">
        <f t="shared" ref="I403:AD406" si="1176">+I380/H380-1</f>
        <v>4.0893830669693543E-2</v>
      </c>
      <c r="J403" s="937">
        <f t="shared" si="1176"/>
        <v>2.2723262078168105E-2</v>
      </c>
      <c r="K403" s="936">
        <f t="shared" si="1176"/>
        <v>4.3521511626267939E-2</v>
      </c>
      <c r="L403" s="936">
        <f t="shared" si="1176"/>
        <v>1.3809642874941908E-2</v>
      </c>
      <c r="M403" s="936">
        <f t="shared" si="1176"/>
        <v>-1.3793028280155606E-2</v>
      </c>
      <c r="N403" s="937">
        <f t="shared" si="1176"/>
        <v>-2.1959134747670084E-2</v>
      </c>
      <c r="O403" s="936">
        <f t="shared" si="1176"/>
        <v>-4.6151346887125522E-3</v>
      </c>
      <c r="P403" s="936">
        <f t="shared" si="1176"/>
        <v>-6.3492058263411533E-2</v>
      </c>
      <c r="Q403" s="936">
        <f t="shared" si="1176"/>
        <v>-6.3425658036320387E-2</v>
      </c>
      <c r="R403" s="937">
        <f t="shared" si="1176"/>
        <v>-2.6220936368088754E-3</v>
      </c>
      <c r="S403" s="936">
        <f t="shared" si="1176"/>
        <v>3.4525916792477185E-2</v>
      </c>
      <c r="T403" s="936">
        <f t="shared" si="1176"/>
        <v>3.0761179291185048E-2</v>
      </c>
      <c r="U403" s="936">
        <f t="shared" si="1176"/>
        <v>1.1539313900585269E-2</v>
      </c>
      <c r="V403" s="936">
        <f t="shared" si="1176"/>
        <v>-1.9144378888889757E-2</v>
      </c>
      <c r="W403" s="1450">
        <f t="shared" si="1176"/>
        <v>2.1026643806125067E-2</v>
      </c>
      <c r="X403" s="936">
        <f t="shared" si="1176"/>
        <v>-5.1640105554491278E-3</v>
      </c>
      <c r="Y403" s="938">
        <f t="shared" si="1176"/>
        <v>3.1234527869409945E-2</v>
      </c>
      <c r="Z403" s="937">
        <f t="shared" si="1176"/>
        <v>-1.5172022855755696E-2</v>
      </c>
      <c r="AA403" s="936">
        <f t="shared" si="1176"/>
        <v>-2.3044052000054327E-2</v>
      </c>
      <c r="AB403" s="936">
        <f t="shared" si="1176"/>
        <v>0</v>
      </c>
      <c r="AC403" s="936">
        <f t="shared" si="1176"/>
        <v>0</v>
      </c>
      <c r="AD403" s="936">
        <f t="shared" si="1176"/>
        <v>0</v>
      </c>
      <c r="AF403" s="936"/>
      <c r="AG403" s="936"/>
      <c r="AH403" s="936"/>
      <c r="AI403" s="936"/>
      <c r="AJ403" s="936"/>
      <c r="AK403" s="938"/>
      <c r="AL403" s="936"/>
      <c r="AM403" s="936"/>
      <c r="AN403" s="936"/>
      <c r="AO403" s="935"/>
      <c r="AP403" s="936"/>
      <c r="AQ403" s="935"/>
      <c r="AR403" s="935"/>
      <c r="AS403" s="935"/>
      <c r="AT403" s="935"/>
      <c r="AU403" s="935"/>
      <c r="BD403" s="929"/>
      <c r="BE403" s="929"/>
      <c r="BF403" s="929"/>
      <c r="BG403" s="929"/>
      <c r="BH403" s="929"/>
    </row>
    <row r="404" spans="1:60" s="794" customFormat="1" ht="12" x14ac:dyDescent="0.3">
      <c r="A404" s="934" t="str">
        <f t="shared" ref="A404:A406" si="1177">+A387</f>
        <v>USD / EUR - avg</v>
      </c>
      <c r="B404" s="935"/>
      <c r="C404" s="936"/>
      <c r="D404" s="936"/>
      <c r="E404" s="936"/>
      <c r="F404" s="937"/>
      <c r="G404" s="936">
        <f t="shared" ref="G404:H404" si="1178">+G381/F381-1</f>
        <v>-4.3321046625464099E-3</v>
      </c>
      <c r="H404" s="936">
        <f t="shared" si="1178"/>
        <v>-9.7676297636006826E-4</v>
      </c>
      <c r="I404" s="936">
        <f t="shared" si="1176"/>
        <v>6.1458830191979175E-2</v>
      </c>
      <c r="J404" s="937">
        <f t="shared" si="1176"/>
        <v>2.0271942849949154E-2</v>
      </c>
      <c r="K404" s="936">
        <f t="shared" si="1176"/>
        <v>1.0590831236256149E-2</v>
      </c>
      <c r="L404" s="936">
        <f t="shared" si="1176"/>
        <v>-4.5027797537933179E-4</v>
      </c>
      <c r="M404" s="936">
        <f t="shared" si="1176"/>
        <v>-2.1403144058427803E-2</v>
      </c>
      <c r="N404" s="937">
        <f t="shared" si="1176"/>
        <v>-2.994260197411458E-2</v>
      </c>
      <c r="O404" s="936">
        <f t="shared" si="1176"/>
        <v>-1.8592075013332376E-2</v>
      </c>
      <c r="P404" s="936">
        <f t="shared" si="1176"/>
        <v>-5.103893692480721E-2</v>
      </c>
      <c r="Q404" s="936">
        <f t="shared" si="1176"/>
        <v>-5.3895992109351476E-2</v>
      </c>
      <c r="R404" s="937">
        <f t="shared" si="1176"/>
        <v>1.352324593294818E-2</v>
      </c>
      <c r="S404" s="936">
        <f t="shared" si="1176"/>
        <v>5.0075936484603734E-2</v>
      </c>
      <c r="T404" s="936">
        <f t="shared" si="1176"/>
        <v>1.4961396475802635E-2</v>
      </c>
      <c r="U404" s="936">
        <f t="shared" si="1176"/>
        <v>-3.501687860041347E-5</v>
      </c>
      <c r="V404" s="936">
        <f t="shared" si="1176"/>
        <v>-1.1094427939853602E-2</v>
      </c>
      <c r="W404" s="1450">
        <f t="shared" si="1176"/>
        <v>8.5495498412129223E-3</v>
      </c>
      <c r="X404" s="936">
        <f t="shared" si="1176"/>
        <v>-8.5192740429569369E-3</v>
      </c>
      <c r="Y404" s="938">
        <f t="shared" si="1176"/>
        <v>2.1132586890009186E-2</v>
      </c>
      <c r="Z404" s="937">
        <f t="shared" si="1176"/>
        <v>-2.9723651913227012E-2</v>
      </c>
      <c r="AA404" s="936">
        <f t="shared" si="1176"/>
        <v>-2.8113799253256189E-2</v>
      </c>
      <c r="AB404" s="936">
        <f t="shared" si="1176"/>
        <v>0</v>
      </c>
      <c r="AC404" s="936">
        <f t="shared" si="1176"/>
        <v>0</v>
      </c>
      <c r="AD404" s="936">
        <f t="shared" si="1176"/>
        <v>0</v>
      </c>
      <c r="AF404" s="936"/>
      <c r="AG404" s="936"/>
      <c r="AH404" s="936"/>
      <c r="AI404" s="936"/>
      <c r="AJ404" s="936"/>
      <c r="AK404" s="938"/>
      <c r="AL404" s="936"/>
      <c r="AM404" s="936"/>
      <c r="AN404" s="936"/>
      <c r="AO404" s="935"/>
      <c r="AP404" s="936"/>
      <c r="AQ404" s="935"/>
      <c r="AR404" s="935"/>
      <c r="AS404" s="935"/>
      <c r="AT404" s="935"/>
      <c r="AU404" s="935"/>
      <c r="BD404" s="929"/>
      <c r="BE404" s="929"/>
      <c r="BF404" s="929"/>
      <c r="BG404" s="929"/>
      <c r="BH404" s="929"/>
    </row>
    <row r="405" spans="1:60" s="794" customFormat="1" ht="12" x14ac:dyDescent="0.3">
      <c r="A405" s="934" t="str">
        <f t="shared" si="1177"/>
        <v>USD / INR - avg</v>
      </c>
      <c r="B405" s="935"/>
      <c r="C405" s="936"/>
      <c r="D405" s="936"/>
      <c r="E405" s="936"/>
      <c r="F405" s="937"/>
      <c r="G405" s="936">
        <f t="shared" ref="G405:H405" si="1179">+G382/F382-1</f>
        <v>-1.7344663255686399E-2</v>
      </c>
      <c r="H405" s="936">
        <f t="shared" si="1179"/>
        <v>-4.5098569993182736E-2</v>
      </c>
      <c r="I405" s="936">
        <f t="shared" si="1176"/>
        <v>2.0878854988539253E-2</v>
      </c>
      <c r="J405" s="937">
        <f t="shared" si="1176"/>
        <v>7.334776346907379E-3</v>
      </c>
      <c r="K405" s="936">
        <f t="shared" si="1176"/>
        <v>1.1905212609574001E-2</v>
      </c>
      <c r="L405" s="936">
        <f t="shared" si="1176"/>
        <v>-1.1055322265551837E-2</v>
      </c>
      <c r="M405" s="936">
        <f t="shared" si="1176"/>
        <v>-4.5919605792480445E-3</v>
      </c>
      <c r="N405" s="937">
        <f t="shared" si="1176"/>
        <v>-1.1469758996675239E-2</v>
      </c>
      <c r="O405" s="936">
        <f t="shared" si="1176"/>
        <v>-3.6550181600201181E-3</v>
      </c>
      <c r="P405" s="936">
        <f t="shared" si="1176"/>
        <v>-2.5629840054284592E-2</v>
      </c>
      <c r="Q405" s="936">
        <f t="shared" si="1176"/>
        <v>-3.2240194817782286E-2</v>
      </c>
      <c r="R405" s="937">
        <f t="shared" si="1176"/>
        <v>-2.8729349104005042E-2</v>
      </c>
      <c r="S405" s="936">
        <f t="shared" si="1176"/>
        <v>-7.7166026444941416E-4</v>
      </c>
      <c r="T405" s="936">
        <f t="shared" si="1176"/>
        <v>4.0175259313812717E-4</v>
      </c>
      <c r="U405" s="936">
        <f t="shared" si="1176"/>
        <v>-6.2464347663311326E-3</v>
      </c>
      <c r="V405" s="936">
        <f t="shared" si="1176"/>
        <v>-6.8072822326423754E-3</v>
      </c>
      <c r="W405" s="1450">
        <f t="shared" si="1176"/>
        <v>2.4063245646765985E-3</v>
      </c>
      <c r="X405" s="936">
        <f t="shared" si="1176"/>
        <v>-4.5575604602670072E-3</v>
      </c>
      <c r="Y405" s="938">
        <f t="shared" si="1176"/>
        <v>-4.0699870733409416E-3</v>
      </c>
      <c r="Z405" s="937">
        <f t="shared" si="1176"/>
        <v>-8.3152944381793548E-3</v>
      </c>
      <c r="AA405" s="936">
        <f t="shared" si="1176"/>
        <v>-1.2556613423093221E-2</v>
      </c>
      <c r="AB405" s="936">
        <f t="shared" si="1176"/>
        <v>0</v>
      </c>
      <c r="AC405" s="936">
        <f t="shared" si="1176"/>
        <v>0</v>
      </c>
      <c r="AD405" s="936">
        <f t="shared" si="1176"/>
        <v>0</v>
      </c>
      <c r="AF405" s="936"/>
      <c r="AG405" s="936"/>
      <c r="AH405" s="936"/>
      <c r="AI405" s="936"/>
      <c r="AJ405" s="936"/>
      <c r="AK405" s="938"/>
      <c r="AL405" s="936"/>
      <c r="AM405" s="936"/>
      <c r="AN405" s="936"/>
      <c r="AO405" s="935"/>
      <c r="AP405" s="936"/>
      <c r="AQ405" s="935"/>
      <c r="AR405" s="935"/>
      <c r="AS405" s="935"/>
      <c r="AT405" s="935"/>
      <c r="AU405" s="935"/>
      <c r="BD405" s="929"/>
      <c r="BE405" s="929"/>
      <c r="BF405" s="929"/>
      <c r="BG405" s="929"/>
      <c r="BH405" s="929"/>
    </row>
    <row r="406" spans="1:60" s="794" customFormat="1" ht="12" x14ac:dyDescent="0.3">
      <c r="A406" s="934" t="str">
        <f t="shared" si="1177"/>
        <v>USD / HKD - avg</v>
      </c>
      <c r="B406" s="935"/>
      <c r="C406" s="936"/>
      <c r="D406" s="936"/>
      <c r="E406" s="936"/>
      <c r="F406" s="937"/>
      <c r="G406" s="936">
        <f t="shared" ref="G406:H406" si="1180">+G383/F383-1</f>
        <v>6.9839205249040415E-3</v>
      </c>
      <c r="H406" s="936">
        <f t="shared" si="1180"/>
        <v>2.5003662659599524E-3</v>
      </c>
      <c r="I406" s="936">
        <f t="shared" si="1176"/>
        <v>9.8921646292327026E-5</v>
      </c>
      <c r="J406" s="937">
        <f t="shared" si="1176"/>
        <v>-1.4938374089856765E-4</v>
      </c>
      <c r="K406" s="936">
        <f t="shared" si="1176"/>
        <v>-7.4404996197585671E-4</v>
      </c>
      <c r="L406" s="936">
        <f t="shared" si="1176"/>
        <v>-1.0265007773183621E-3</v>
      </c>
      <c r="M406" s="936">
        <f t="shared" si="1176"/>
        <v>-1.5873228741606349E-3</v>
      </c>
      <c r="N406" s="937">
        <f t="shared" si="1176"/>
        <v>-1.5296048221630221E-3</v>
      </c>
      <c r="O406" s="936">
        <f t="shared" si="1176"/>
        <v>-1.9354096522470332E-3</v>
      </c>
      <c r="P406" s="936">
        <f t="shared" si="1176"/>
        <v>-5.2913959976625957E-3</v>
      </c>
      <c r="Q406" s="936">
        <f t="shared" si="1176"/>
        <v>-2.3414849114677949E-4</v>
      </c>
      <c r="R406" s="937">
        <f t="shared" si="1176"/>
        <v>3.3033424564068437E-3</v>
      </c>
      <c r="S406" s="936">
        <f t="shared" si="1176"/>
        <v>-1.9662654679328817E-3</v>
      </c>
      <c r="T406" s="936">
        <f t="shared" si="1176"/>
        <v>-1.9228381950486817E-4</v>
      </c>
      <c r="U406" s="936">
        <f t="shared" si="1176"/>
        <v>1.8828806165442913E-3</v>
      </c>
      <c r="V406" s="936">
        <f t="shared" si="1176"/>
        <v>1.3118562841603065E-3</v>
      </c>
      <c r="W406" s="1450">
        <f t="shared" si="1176"/>
        <v>-7.8181048186654056E-4</v>
      </c>
      <c r="X406" s="936">
        <f t="shared" si="1176"/>
        <v>3.6309732430250818E-4</v>
      </c>
      <c r="Y406" s="938">
        <f t="shared" si="1176"/>
        <v>2.3473531500233236E-3</v>
      </c>
      <c r="Z406" s="937">
        <f t="shared" si="1176"/>
        <v>3.1943543178083456E-3</v>
      </c>
      <c r="AA406" s="936">
        <f t="shared" si="1176"/>
        <v>1.1784355437174376E-3</v>
      </c>
      <c r="AB406" s="936">
        <f t="shared" si="1176"/>
        <v>0</v>
      </c>
      <c r="AC406" s="936">
        <f t="shared" si="1176"/>
        <v>0</v>
      </c>
      <c r="AD406" s="936">
        <f t="shared" si="1176"/>
        <v>0</v>
      </c>
      <c r="AF406" s="936"/>
      <c r="AG406" s="936"/>
      <c r="AH406" s="936"/>
      <c r="AI406" s="936"/>
      <c r="AJ406" s="936"/>
      <c r="AK406" s="938"/>
      <c r="AL406" s="936"/>
      <c r="AM406" s="936"/>
      <c r="AN406" s="936"/>
      <c r="AO406" s="935"/>
      <c r="AP406" s="936"/>
      <c r="AQ406" s="935"/>
      <c r="AR406" s="935"/>
      <c r="AS406" s="935"/>
      <c r="AT406" s="935"/>
      <c r="AU406" s="935"/>
      <c r="BD406" s="929"/>
      <c r="BE406" s="929"/>
      <c r="BF406" s="929"/>
      <c r="BG406" s="929"/>
      <c r="BH406" s="929"/>
    </row>
    <row r="407" spans="1:60" x14ac:dyDescent="0.25">
      <c r="C407" s="744"/>
      <c r="D407" s="744"/>
      <c r="E407" s="744"/>
      <c r="F407" s="745"/>
      <c r="G407" s="744"/>
      <c r="H407" s="744"/>
      <c r="I407" s="744"/>
      <c r="J407" s="745"/>
      <c r="K407" s="744"/>
      <c r="L407" s="744"/>
      <c r="M407" s="744"/>
      <c r="N407" s="745"/>
      <c r="O407" s="744"/>
      <c r="P407" s="744"/>
      <c r="Q407" s="744"/>
      <c r="R407" s="745"/>
      <c r="S407" s="744"/>
      <c r="T407" s="744"/>
      <c r="U407" s="744"/>
      <c r="V407" s="744"/>
      <c r="W407" s="985"/>
      <c r="X407" s="744"/>
      <c r="Y407" s="792"/>
      <c r="Z407" s="745"/>
      <c r="AA407" s="744"/>
      <c r="AB407" s="744"/>
      <c r="AC407" s="744"/>
      <c r="AD407" s="744"/>
      <c r="AE407" s="744"/>
      <c r="AF407" s="744"/>
      <c r="AG407" s="744"/>
      <c r="AH407" s="744"/>
      <c r="AI407" s="744"/>
      <c r="AJ407" s="744"/>
      <c r="AK407" s="792"/>
      <c r="AL407" s="744"/>
      <c r="AM407" s="744"/>
    </row>
    <row r="408" spans="1:60" ht="12" x14ac:dyDescent="0.3">
      <c r="A408" s="933" t="s">
        <v>310</v>
      </c>
      <c r="C408" s="744"/>
      <c r="D408" s="744"/>
      <c r="E408" s="744"/>
      <c r="F408" s="745"/>
      <c r="G408" s="744"/>
      <c r="H408" s="744"/>
      <c r="I408" s="744"/>
      <c r="J408" s="745"/>
      <c r="K408" s="744"/>
      <c r="L408" s="744"/>
      <c r="M408" s="744"/>
      <c r="N408" s="745"/>
      <c r="O408" s="744"/>
      <c r="P408" s="744"/>
      <c r="Q408" s="744"/>
      <c r="R408" s="745"/>
      <c r="S408" s="744"/>
      <c r="T408" s="744"/>
      <c r="U408" s="744"/>
      <c r="V408" s="744"/>
      <c r="W408" s="985"/>
      <c r="X408" s="744"/>
      <c r="Y408" s="792"/>
      <c r="Z408" s="745"/>
      <c r="AA408" s="744"/>
      <c r="AB408" s="744"/>
      <c r="AC408" s="744"/>
      <c r="AD408" s="744"/>
      <c r="AE408" s="744"/>
      <c r="AF408" s="744"/>
      <c r="AG408" s="744"/>
      <c r="AH408" s="744"/>
      <c r="AI408" s="744"/>
      <c r="AJ408" s="744"/>
      <c r="AK408" s="792"/>
      <c r="AL408" s="744"/>
      <c r="AM408" s="744"/>
    </row>
    <row r="409" spans="1:60" s="939" customFormat="1" ht="12" x14ac:dyDescent="0.3">
      <c r="A409" s="934" t="s">
        <v>311</v>
      </c>
      <c r="C409" s="916"/>
      <c r="D409" s="916"/>
      <c r="E409" s="916"/>
      <c r="F409" s="940"/>
      <c r="G409" s="1118">
        <f t="shared" ref="G409:H409" si="1181">+G392</f>
        <v>0.5</v>
      </c>
      <c r="H409" s="1118">
        <f t="shared" si="1181"/>
        <v>0.5</v>
      </c>
      <c r="I409" s="1118">
        <f>+I392</f>
        <v>0.5</v>
      </c>
      <c r="J409" s="1492">
        <f t="shared" ref="J409:AD409" si="1182">+J392</f>
        <v>0.5</v>
      </c>
      <c r="K409" s="1118">
        <f t="shared" si="1182"/>
        <v>0.5</v>
      </c>
      <c r="L409" s="1118">
        <f t="shared" si="1182"/>
        <v>0.5</v>
      </c>
      <c r="M409" s="1118">
        <f t="shared" si="1182"/>
        <v>0.5</v>
      </c>
      <c r="N409" s="1492">
        <f t="shared" si="1182"/>
        <v>0.5</v>
      </c>
      <c r="O409" s="1118">
        <f t="shared" si="1182"/>
        <v>0.5</v>
      </c>
      <c r="P409" s="1118">
        <f t="shared" si="1182"/>
        <v>0.5</v>
      </c>
      <c r="Q409" s="1118">
        <f t="shared" si="1182"/>
        <v>0.5</v>
      </c>
      <c r="R409" s="1492">
        <f t="shared" si="1182"/>
        <v>0.5</v>
      </c>
      <c r="S409" s="1118">
        <f t="shared" si="1182"/>
        <v>0.5</v>
      </c>
      <c r="T409" s="1118">
        <f t="shared" si="1182"/>
        <v>0.5</v>
      </c>
      <c r="U409" s="1118">
        <f t="shared" si="1182"/>
        <v>0.5</v>
      </c>
      <c r="V409" s="1118">
        <f t="shared" si="1182"/>
        <v>0.5</v>
      </c>
      <c r="W409" s="2331">
        <f t="shared" si="1182"/>
        <v>0.5</v>
      </c>
      <c r="X409" s="1118">
        <f t="shared" si="1182"/>
        <v>0.5</v>
      </c>
      <c r="Y409" s="2275">
        <f t="shared" si="1182"/>
        <v>0.5</v>
      </c>
      <c r="Z409" s="1492">
        <f t="shared" si="1182"/>
        <v>0.5</v>
      </c>
      <c r="AA409" s="1118">
        <f t="shared" si="1182"/>
        <v>0.5</v>
      </c>
      <c r="AB409" s="1118">
        <f t="shared" si="1182"/>
        <v>0.5</v>
      </c>
      <c r="AC409" s="1118">
        <f t="shared" si="1182"/>
        <v>0.5</v>
      </c>
      <c r="AD409" s="1118">
        <f t="shared" si="1182"/>
        <v>0.5</v>
      </c>
      <c r="AE409" s="916"/>
      <c r="AF409" s="916"/>
      <c r="AG409" s="941"/>
      <c r="AH409" s="941"/>
      <c r="AI409" s="941"/>
      <c r="AJ409" s="941"/>
      <c r="AK409" s="943"/>
      <c r="AL409" s="941"/>
      <c r="AM409" s="941"/>
    </row>
    <row r="410" spans="1:60" s="939" customFormat="1" ht="12" x14ac:dyDescent="0.3">
      <c r="A410" s="934" t="s">
        <v>312</v>
      </c>
      <c r="C410" s="916"/>
      <c r="D410" s="916"/>
      <c r="E410" s="916"/>
      <c r="F410" s="940"/>
      <c r="G410" s="1118">
        <f t="shared" ref="G410:H410" si="1183">+G393</f>
        <v>0.2</v>
      </c>
      <c r="H410" s="1118">
        <f t="shared" si="1183"/>
        <v>0.2</v>
      </c>
      <c r="I410" s="1118">
        <f t="shared" ref="I410:AD412" si="1184">+I393</f>
        <v>0.2</v>
      </c>
      <c r="J410" s="1492">
        <f t="shared" si="1184"/>
        <v>0.2</v>
      </c>
      <c r="K410" s="1118">
        <f t="shared" si="1184"/>
        <v>0.2</v>
      </c>
      <c r="L410" s="1118">
        <f t="shared" si="1184"/>
        <v>0.2</v>
      </c>
      <c r="M410" s="1118">
        <f t="shared" si="1184"/>
        <v>0.2</v>
      </c>
      <c r="N410" s="1492">
        <f t="shared" si="1184"/>
        <v>0.2</v>
      </c>
      <c r="O410" s="1118">
        <f t="shared" si="1184"/>
        <v>0.2</v>
      </c>
      <c r="P410" s="1118">
        <f t="shared" si="1184"/>
        <v>0.2</v>
      </c>
      <c r="Q410" s="1118">
        <f t="shared" si="1184"/>
        <v>0.2</v>
      </c>
      <c r="R410" s="1492">
        <f t="shared" si="1184"/>
        <v>0.2</v>
      </c>
      <c r="S410" s="1118">
        <f t="shared" si="1184"/>
        <v>0.2</v>
      </c>
      <c r="T410" s="1118">
        <f t="shared" si="1184"/>
        <v>0.2</v>
      </c>
      <c r="U410" s="1118">
        <f t="shared" si="1184"/>
        <v>0.2</v>
      </c>
      <c r="V410" s="1118">
        <f t="shared" si="1184"/>
        <v>0.2</v>
      </c>
      <c r="W410" s="2331">
        <f t="shared" si="1184"/>
        <v>0.2</v>
      </c>
      <c r="X410" s="1118">
        <f t="shared" si="1184"/>
        <v>0.2</v>
      </c>
      <c r="Y410" s="2275">
        <f t="shared" si="1184"/>
        <v>0.2</v>
      </c>
      <c r="Z410" s="1492">
        <f t="shared" si="1184"/>
        <v>0.2</v>
      </c>
      <c r="AA410" s="1118">
        <f t="shared" si="1184"/>
        <v>0.2</v>
      </c>
      <c r="AB410" s="1118">
        <f t="shared" si="1184"/>
        <v>0.2</v>
      </c>
      <c r="AC410" s="1118">
        <f t="shared" si="1184"/>
        <v>0.2</v>
      </c>
      <c r="AD410" s="1118">
        <f t="shared" si="1184"/>
        <v>0.2</v>
      </c>
      <c r="AE410" s="916"/>
      <c r="AF410" s="916"/>
      <c r="AG410" s="941"/>
      <c r="AH410" s="941"/>
      <c r="AI410" s="941"/>
      <c r="AJ410" s="941"/>
      <c r="AK410" s="943"/>
      <c r="AL410" s="941"/>
      <c r="AM410" s="941"/>
    </row>
    <row r="411" spans="1:60" s="939" customFormat="1" ht="12" x14ac:dyDescent="0.3">
      <c r="A411" s="934" t="s">
        <v>313</v>
      </c>
      <c r="C411" s="916"/>
      <c r="D411" s="916"/>
      <c r="E411" s="916"/>
      <c r="F411" s="940"/>
      <c r="G411" s="1118">
        <f t="shared" ref="G411:H411" si="1185">+G394</f>
        <v>0.2</v>
      </c>
      <c r="H411" s="1118">
        <f t="shared" si="1185"/>
        <v>0.2</v>
      </c>
      <c r="I411" s="1118">
        <f t="shared" si="1184"/>
        <v>0.2</v>
      </c>
      <c r="J411" s="1492">
        <f t="shared" si="1184"/>
        <v>0.2</v>
      </c>
      <c r="K411" s="1118">
        <f t="shared" si="1184"/>
        <v>0.2</v>
      </c>
      <c r="L411" s="1118">
        <f t="shared" si="1184"/>
        <v>0.2</v>
      </c>
      <c r="M411" s="1118">
        <f t="shared" si="1184"/>
        <v>0.2</v>
      </c>
      <c r="N411" s="1492">
        <f t="shared" si="1184"/>
        <v>0.2</v>
      </c>
      <c r="O411" s="1118">
        <f t="shared" si="1184"/>
        <v>0.2</v>
      </c>
      <c r="P411" s="1118">
        <f t="shared" si="1184"/>
        <v>0.2</v>
      </c>
      <c r="Q411" s="1118">
        <f t="shared" si="1184"/>
        <v>0.2</v>
      </c>
      <c r="R411" s="1492">
        <f t="shared" si="1184"/>
        <v>0.2</v>
      </c>
      <c r="S411" s="1118">
        <f t="shared" si="1184"/>
        <v>0.2</v>
      </c>
      <c r="T411" s="1118">
        <f t="shared" si="1184"/>
        <v>0.2</v>
      </c>
      <c r="U411" s="1118">
        <f t="shared" si="1184"/>
        <v>0.2</v>
      </c>
      <c r="V411" s="1118">
        <f t="shared" si="1184"/>
        <v>0.2</v>
      </c>
      <c r="W411" s="2331">
        <f t="shared" si="1184"/>
        <v>0.2</v>
      </c>
      <c r="X411" s="1118">
        <f t="shared" si="1184"/>
        <v>0.2</v>
      </c>
      <c r="Y411" s="2275">
        <f t="shared" si="1184"/>
        <v>0.2</v>
      </c>
      <c r="Z411" s="1492">
        <f t="shared" si="1184"/>
        <v>0.2</v>
      </c>
      <c r="AA411" s="1118">
        <f t="shared" si="1184"/>
        <v>0.2</v>
      </c>
      <c r="AB411" s="1118">
        <f t="shared" si="1184"/>
        <v>0.2</v>
      </c>
      <c r="AC411" s="1118">
        <f t="shared" si="1184"/>
        <v>0.2</v>
      </c>
      <c r="AD411" s="1118">
        <f t="shared" si="1184"/>
        <v>0.2</v>
      </c>
      <c r="AE411" s="916"/>
      <c r="AF411" s="916"/>
      <c r="AG411" s="941"/>
      <c r="AH411" s="941"/>
      <c r="AI411" s="941"/>
      <c r="AJ411" s="941"/>
      <c r="AK411" s="943"/>
      <c r="AL411" s="941"/>
      <c r="AM411" s="941"/>
    </row>
    <row r="412" spans="1:60" s="939" customFormat="1" ht="12" x14ac:dyDescent="0.3">
      <c r="A412" s="934" t="s">
        <v>314</v>
      </c>
      <c r="C412" s="916"/>
      <c r="D412" s="916"/>
      <c r="E412" s="916"/>
      <c r="F412" s="940"/>
      <c r="G412" s="1118">
        <f t="shared" ref="G412:H412" si="1186">+G395</f>
        <v>9.9999999999999978E-2</v>
      </c>
      <c r="H412" s="1118">
        <f t="shared" si="1186"/>
        <v>9.9999999999999978E-2</v>
      </c>
      <c r="I412" s="1118">
        <f t="shared" si="1184"/>
        <v>9.9999999999999978E-2</v>
      </c>
      <c r="J412" s="1492">
        <f t="shared" si="1184"/>
        <v>9.9999999999999978E-2</v>
      </c>
      <c r="K412" s="1118">
        <f t="shared" si="1184"/>
        <v>9.9999999999999978E-2</v>
      </c>
      <c r="L412" s="1118">
        <f t="shared" si="1184"/>
        <v>9.9999999999999978E-2</v>
      </c>
      <c r="M412" s="1118">
        <f t="shared" si="1184"/>
        <v>9.9999999999999978E-2</v>
      </c>
      <c r="N412" s="1492">
        <f t="shared" si="1184"/>
        <v>9.9999999999999978E-2</v>
      </c>
      <c r="O412" s="1118">
        <f t="shared" si="1184"/>
        <v>9.9999999999999978E-2</v>
      </c>
      <c r="P412" s="1118">
        <f t="shared" si="1184"/>
        <v>9.9999999999999978E-2</v>
      </c>
      <c r="Q412" s="1118">
        <f t="shared" si="1184"/>
        <v>9.9999999999999978E-2</v>
      </c>
      <c r="R412" s="1492">
        <f t="shared" si="1184"/>
        <v>9.9999999999999978E-2</v>
      </c>
      <c r="S412" s="1118">
        <f t="shared" si="1184"/>
        <v>9.9999999999999978E-2</v>
      </c>
      <c r="T412" s="1118">
        <f t="shared" si="1184"/>
        <v>9.9999999999999978E-2</v>
      </c>
      <c r="U412" s="1118">
        <f t="shared" si="1184"/>
        <v>9.9999999999999978E-2</v>
      </c>
      <c r="V412" s="1118">
        <f t="shared" si="1184"/>
        <v>9.9999999999999978E-2</v>
      </c>
      <c r="W412" s="2331">
        <f t="shared" si="1184"/>
        <v>9.9999999999999978E-2</v>
      </c>
      <c r="X412" s="1118">
        <f t="shared" si="1184"/>
        <v>9.9999999999999978E-2</v>
      </c>
      <c r="Y412" s="2275">
        <f t="shared" si="1184"/>
        <v>9.9999999999999978E-2</v>
      </c>
      <c r="Z412" s="1492">
        <f t="shared" si="1184"/>
        <v>9.9999999999999978E-2</v>
      </c>
      <c r="AA412" s="1118">
        <f t="shared" si="1184"/>
        <v>9.9999999999999978E-2</v>
      </c>
      <c r="AB412" s="1118">
        <f t="shared" si="1184"/>
        <v>9.9999999999999978E-2</v>
      </c>
      <c r="AC412" s="1118">
        <f t="shared" si="1184"/>
        <v>9.9999999999999978E-2</v>
      </c>
      <c r="AD412" s="1118">
        <f t="shared" si="1184"/>
        <v>9.9999999999999978E-2</v>
      </c>
      <c r="AE412" s="916"/>
      <c r="AF412" s="916"/>
      <c r="AG412" s="944"/>
      <c r="AH412" s="944"/>
      <c r="AI412" s="944"/>
      <c r="AJ412" s="944"/>
      <c r="AK412" s="946"/>
      <c r="AL412" s="944"/>
      <c r="AM412" s="944"/>
    </row>
    <row r="413" spans="1:60" x14ac:dyDescent="0.25">
      <c r="C413" s="744"/>
      <c r="D413" s="744"/>
      <c r="E413" s="744"/>
      <c r="F413" s="745"/>
      <c r="G413" s="744"/>
      <c r="H413" s="744"/>
      <c r="I413" s="744"/>
      <c r="J413" s="745"/>
      <c r="K413" s="744"/>
      <c r="L413" s="744"/>
      <c r="M413" s="744"/>
      <c r="N413" s="745"/>
      <c r="O413" s="744"/>
      <c r="P413" s="744"/>
      <c r="Q413" s="744"/>
      <c r="R413" s="745"/>
      <c r="S413" s="744"/>
      <c r="T413" s="744"/>
      <c r="U413" s="744"/>
      <c r="V413" s="744"/>
      <c r="W413" s="985"/>
      <c r="X413" s="744"/>
      <c r="Y413" s="792"/>
      <c r="Z413" s="745"/>
      <c r="AA413" s="744"/>
      <c r="AB413" s="744"/>
      <c r="AC413" s="744"/>
      <c r="AD413" s="744"/>
      <c r="AE413" s="744"/>
      <c r="AF413" s="744"/>
      <c r="AG413" s="744"/>
      <c r="AH413" s="744"/>
      <c r="AI413" s="744"/>
      <c r="AJ413" s="744"/>
      <c r="AK413" s="792"/>
      <c r="AL413" s="744"/>
      <c r="AM413" s="744"/>
    </row>
    <row r="414" spans="1:60" s="794" customFormat="1" x14ac:dyDescent="0.25">
      <c r="A414" s="460" t="s">
        <v>320</v>
      </c>
      <c r="C414" s="947"/>
      <c r="D414" s="947"/>
      <c r="E414" s="947"/>
      <c r="F414" s="948"/>
      <c r="G414" s="947">
        <f t="shared" ref="G414:H414" si="1187">+SUMPRODUCT(G409:G412,G403:G406)</f>
        <v>-6.2786086934726757E-3</v>
      </c>
      <c r="H414" s="947">
        <f t="shared" si="1187"/>
        <v>-2.445007435117379E-2</v>
      </c>
      <c r="I414" s="947">
        <f t="shared" ref="I414:AD414" si="1188">+SUMPRODUCT(I409:I412,I403:I406)</f>
        <v>3.692434453557969E-2</v>
      </c>
      <c r="J414" s="948">
        <f t="shared" si="1188"/>
        <v>1.6868036504365504E-2</v>
      </c>
      <c r="K414" s="947">
        <f t="shared" si="1188"/>
        <v>2.6185559586102414E-2</v>
      </c>
      <c r="L414" s="947">
        <f t="shared" si="1188"/>
        <v>4.501051311552884E-3</v>
      </c>
      <c r="M414" s="947">
        <f t="shared" si="1188"/>
        <v>-1.2254267355029035E-2</v>
      </c>
      <c r="N414" s="948">
        <f t="shared" si="1188"/>
        <v>-1.9415000050209307E-2</v>
      </c>
      <c r="O414" s="947">
        <f t="shared" si="1188"/>
        <v>-6.9505269442514785E-3</v>
      </c>
      <c r="P414" s="947">
        <f t="shared" si="1188"/>
        <v>-4.760892412729039E-2</v>
      </c>
      <c r="Q414" s="947">
        <f t="shared" si="1188"/>
        <v>-4.8963481252701627E-2</v>
      </c>
      <c r="R414" s="948">
        <f t="shared" si="1188"/>
        <v>-4.0219332069751264E-3</v>
      </c>
      <c r="S414" s="947">
        <f t="shared" si="1188"/>
        <v>2.6927187093476166E-2</v>
      </c>
      <c r="T414" s="947">
        <f t="shared" si="1188"/>
        <v>1.8433991077430191E-2</v>
      </c>
      <c r="U414" s="947">
        <f t="shared" si="1188"/>
        <v>4.7016546829607535E-3</v>
      </c>
      <c r="V414" s="947">
        <f t="shared" si="1188"/>
        <v>-1.3021345850528044E-2</v>
      </c>
      <c r="W414" s="1453">
        <f t="shared" si="1188"/>
        <v>1.2626315736053783E-2</v>
      </c>
      <c r="X414" s="947">
        <f t="shared" si="1188"/>
        <v>-5.1610624459391017E-3</v>
      </c>
      <c r="Y414" s="949">
        <f t="shared" si="1188"/>
        <v>1.9264519213040954E-2</v>
      </c>
      <c r="Z414" s="948">
        <f t="shared" si="1188"/>
        <v>-1.4874365266378288E-2</v>
      </c>
      <c r="AA414" s="947">
        <f t="shared" si="1188"/>
        <v>-1.9538264980925306E-2</v>
      </c>
      <c r="AB414" s="947">
        <f t="shared" si="1188"/>
        <v>0</v>
      </c>
      <c r="AC414" s="947">
        <f t="shared" si="1188"/>
        <v>0</v>
      </c>
      <c r="AD414" s="947">
        <f t="shared" si="1188"/>
        <v>0</v>
      </c>
      <c r="AF414" s="947"/>
      <c r="AG414" s="947"/>
      <c r="AH414" s="947"/>
      <c r="AI414" s="947"/>
      <c r="AJ414" s="947"/>
      <c r="AK414" s="949"/>
      <c r="AL414" s="947"/>
      <c r="AM414" s="947"/>
      <c r="AN414" s="947"/>
      <c r="AP414" s="947"/>
      <c r="BD414" s="929"/>
      <c r="BE414" s="929"/>
      <c r="BF414" s="929"/>
      <c r="BG414" s="929"/>
      <c r="BH414" s="929"/>
    </row>
    <row r="415" spans="1:60" s="911" customFormat="1" x14ac:dyDescent="0.25">
      <c r="A415" s="460" t="s">
        <v>316</v>
      </c>
      <c r="C415" s="950"/>
      <c r="D415" s="950"/>
      <c r="E415" s="950"/>
      <c r="F415" s="951"/>
      <c r="G415" s="950">
        <f t="shared" ref="G415:H415" si="1189">+G10/G12</f>
        <v>0.12188850494861915</v>
      </c>
      <c r="H415" s="950">
        <f t="shared" si="1189"/>
        <v>0.10952158715342929</v>
      </c>
      <c r="I415" s="950">
        <f>+I10/I12</f>
        <v>8.7667607363757338E-2</v>
      </c>
      <c r="J415" s="951">
        <f t="shared" ref="J415:AD415" si="1190">+J10/J12</f>
        <v>8.6129139411283751E-2</v>
      </c>
      <c r="K415" s="950">
        <f t="shared" si="1190"/>
        <v>0.12540319527523286</v>
      </c>
      <c r="L415" s="950">
        <f t="shared" si="1190"/>
        <v>0.17205678789196116</v>
      </c>
      <c r="M415" s="950">
        <f t="shared" si="1190"/>
        <v>0.18455723374138655</v>
      </c>
      <c r="N415" s="951">
        <f t="shared" si="1190"/>
        <v>0.1494927822633767</v>
      </c>
      <c r="O415" s="950">
        <f t="shared" si="1190"/>
        <v>0.16716259130718714</v>
      </c>
      <c r="P415" s="950">
        <f t="shared" si="1190"/>
        <v>0.16394044482811654</v>
      </c>
      <c r="Q415" s="950">
        <f t="shared" si="1190"/>
        <v>0.15354441563989787</v>
      </c>
      <c r="R415" s="951">
        <f t="shared" si="1190"/>
        <v>0.12317787342129402</v>
      </c>
      <c r="S415" s="950">
        <f t="shared" si="1190"/>
        <v>0.14156791248860529</v>
      </c>
      <c r="T415" s="950">
        <f t="shared" si="1190"/>
        <v>0.13011898659040014</v>
      </c>
      <c r="U415" s="950">
        <f t="shared" si="1190"/>
        <v>0.12879060110598711</v>
      </c>
      <c r="V415" s="950">
        <f t="shared" si="1190"/>
        <v>0.10892961167445031</v>
      </c>
      <c r="W415" s="1454">
        <f t="shared" si="1190"/>
        <v>0.12999362515937102</v>
      </c>
      <c r="X415" s="950">
        <f t="shared" si="1190"/>
        <v>0.13106217420047037</v>
      </c>
      <c r="Y415" s="952">
        <f t="shared" si="1190"/>
        <v>0.13370898809254766</v>
      </c>
      <c r="Z415" s="951">
        <f t="shared" si="1190"/>
        <v>0.10791850478115943</v>
      </c>
      <c r="AA415" s="950">
        <f t="shared" si="1190"/>
        <v>0.1322160248404558</v>
      </c>
      <c r="AB415" s="950">
        <f t="shared" si="1190"/>
        <v>0.13273767621556251</v>
      </c>
      <c r="AC415" s="950">
        <f t="shared" si="1190"/>
        <v>0.13738629097751948</v>
      </c>
      <c r="AD415" s="950">
        <f t="shared" si="1190"/>
        <v>0.10965880109240454</v>
      </c>
      <c r="AF415" s="950"/>
      <c r="AG415" s="950"/>
      <c r="AH415" s="950"/>
      <c r="AI415" s="950"/>
      <c r="AJ415" s="950"/>
      <c r="AK415" s="952"/>
      <c r="AL415" s="950"/>
      <c r="AM415" s="950"/>
      <c r="AN415" s="950"/>
      <c r="AP415" s="950"/>
      <c r="BD415" s="953"/>
      <c r="BE415" s="953"/>
      <c r="BF415" s="953"/>
      <c r="BG415" s="953"/>
      <c r="BH415" s="953"/>
    </row>
    <row r="416" spans="1:60" x14ac:dyDescent="0.25">
      <c r="A416" s="474" t="s">
        <v>321</v>
      </c>
      <c r="C416" s="744"/>
      <c r="D416" s="744"/>
      <c r="E416" s="744"/>
      <c r="F416" s="745"/>
      <c r="G416" s="954">
        <f t="shared" ref="G416:H416" si="1191">+G415*G414</f>
        <v>-7.6529022680478748E-4</v>
      </c>
      <c r="H416" s="954">
        <f t="shared" si="1191"/>
        <v>-2.6778109489599064E-3</v>
      </c>
      <c r="I416" s="954">
        <f t="shared" ref="I416:AD416" si="1192">+I415*I414</f>
        <v>3.2370689389092989E-3</v>
      </c>
      <c r="J416" s="955">
        <f t="shared" si="1192"/>
        <v>1.4528294676791199E-3</v>
      </c>
      <c r="K416" s="954">
        <f t="shared" si="1192"/>
        <v>3.2837528421672466E-3</v>
      </c>
      <c r="L416" s="954">
        <f t="shared" si="1192"/>
        <v>7.7443643080268821E-4</v>
      </c>
      <c r="M416" s="954">
        <f t="shared" si="1192"/>
        <v>-2.2616136845715362E-3</v>
      </c>
      <c r="N416" s="955">
        <f t="shared" si="1192"/>
        <v>-2.9024023751493878E-3</v>
      </c>
      <c r="O416" s="954">
        <f t="shared" si="1192"/>
        <v>-1.1618680949515021E-3</v>
      </c>
      <c r="P416" s="954">
        <f t="shared" si="1192"/>
        <v>-7.8050281992160363E-3</v>
      </c>
      <c r="Q416" s="954">
        <f t="shared" si="1192"/>
        <v>-7.518069116641166E-3</v>
      </c>
      <c r="R416" s="955">
        <f t="shared" si="1192"/>
        <v>-4.9541317947768119E-4</v>
      </c>
      <c r="S416" s="954">
        <f t="shared" si="1192"/>
        <v>3.8120256660135357E-3</v>
      </c>
      <c r="T416" s="954">
        <f t="shared" si="1192"/>
        <v>2.3986122378116949E-3</v>
      </c>
      <c r="U416" s="954">
        <f t="shared" si="1192"/>
        <v>6.0552893281129471E-4</v>
      </c>
      <c r="V416" s="954">
        <f t="shared" si="1192"/>
        <v>-1.4184101469767348E-3</v>
      </c>
      <c r="W416" s="1455">
        <f t="shared" si="1192"/>
        <v>1.6413405549364432E-3</v>
      </c>
      <c r="X416" s="954">
        <f t="shared" si="1192"/>
        <v>-6.7642006534917622E-4</v>
      </c>
      <c r="Y416" s="956">
        <f t="shared" si="1192"/>
        <v>2.5758393700651486E-3</v>
      </c>
      <c r="Z416" s="955">
        <f t="shared" si="1192"/>
        <v>-1.605219259116357E-3</v>
      </c>
      <c r="AA416" s="954">
        <f t="shared" si="1192"/>
        <v>-2.583271728057428E-3</v>
      </c>
      <c r="AB416" s="954">
        <f t="shared" si="1192"/>
        <v>0</v>
      </c>
      <c r="AC416" s="954">
        <f t="shared" si="1192"/>
        <v>0</v>
      </c>
      <c r="AD416" s="954">
        <f t="shared" si="1192"/>
        <v>0</v>
      </c>
      <c r="AE416" s="744"/>
      <c r="AF416" s="744"/>
      <c r="AG416" s="954"/>
      <c r="AH416" s="954"/>
      <c r="AI416" s="954"/>
      <c r="AJ416" s="954"/>
      <c r="AK416" s="956"/>
      <c r="AL416" s="954"/>
      <c r="AM416" s="954"/>
    </row>
    <row r="417" spans="1:39" x14ac:dyDescent="0.25">
      <c r="A417" s="474"/>
      <c r="C417" s="744"/>
      <c r="D417" s="744"/>
      <c r="E417" s="744"/>
      <c r="F417" s="745"/>
      <c r="G417" s="954"/>
      <c r="H417" s="954"/>
      <c r="I417" s="954"/>
      <c r="J417" s="955"/>
      <c r="K417" s="954"/>
      <c r="L417" s="954"/>
      <c r="M417" s="954"/>
      <c r="N417" s="955"/>
      <c r="O417" s="954"/>
      <c r="P417" s="954"/>
      <c r="Q417" s="954"/>
      <c r="R417" s="955"/>
      <c r="S417" s="954"/>
      <c r="T417" s="954"/>
      <c r="U417" s="954"/>
      <c r="V417" s="954"/>
      <c r="W417" s="1455"/>
      <c r="X417" s="954"/>
      <c r="Y417" s="956"/>
      <c r="Z417" s="955"/>
      <c r="AA417" s="954"/>
      <c r="AB417" s="954"/>
      <c r="AC417" s="954"/>
      <c r="AD417" s="954"/>
      <c r="AE417" s="954"/>
      <c r="AF417" s="744"/>
      <c r="AG417" s="954"/>
      <c r="AH417" s="954"/>
      <c r="AI417" s="954"/>
      <c r="AJ417" s="954"/>
      <c r="AK417" s="956"/>
      <c r="AL417" s="954"/>
      <c r="AM417" s="954"/>
    </row>
    <row r="418" spans="1:39" x14ac:dyDescent="0.25">
      <c r="A418" s="474"/>
      <c r="C418" s="744"/>
      <c r="D418" s="744"/>
      <c r="E418" s="744"/>
      <c r="F418" s="745"/>
      <c r="G418" s="954"/>
      <c r="H418" s="954"/>
      <c r="I418" s="954"/>
      <c r="J418" s="955"/>
      <c r="K418" s="954"/>
      <c r="L418" s="954"/>
      <c r="M418" s="954"/>
      <c r="N418" s="955"/>
      <c r="O418" s="954"/>
      <c r="P418" s="954"/>
      <c r="Q418" s="954"/>
      <c r="R418" s="955"/>
      <c r="S418" s="954"/>
      <c r="T418" s="954"/>
      <c r="U418" s="954"/>
      <c r="V418" s="954"/>
      <c r="W418" s="1455"/>
      <c r="X418" s="954"/>
      <c r="Y418" s="956"/>
      <c r="Z418" s="955"/>
      <c r="AA418" s="954"/>
      <c r="AB418" s="954"/>
      <c r="AC418" s="954"/>
      <c r="AD418" s="954"/>
      <c r="AE418" s="954"/>
      <c r="AF418" s="744"/>
      <c r="AG418" s="954"/>
      <c r="AH418" s="954"/>
      <c r="AI418" s="954"/>
      <c r="AJ418" s="954"/>
      <c r="AK418" s="956"/>
      <c r="AL418" s="954"/>
      <c r="AM418" s="954"/>
    </row>
    <row r="419" spans="1:39" x14ac:dyDescent="0.25">
      <c r="A419" s="474"/>
      <c r="C419" s="744"/>
      <c r="D419" s="744"/>
      <c r="E419" s="744"/>
      <c r="F419" s="745"/>
      <c r="G419" s="954"/>
      <c r="H419" s="954"/>
      <c r="I419" s="954"/>
      <c r="J419" s="955"/>
      <c r="K419" s="954"/>
      <c r="L419" s="954"/>
      <c r="M419" s="954"/>
      <c r="N419" s="955"/>
      <c r="O419" s="954"/>
      <c r="P419" s="954"/>
      <c r="Q419" s="954"/>
      <c r="R419" s="955"/>
      <c r="S419" s="954"/>
      <c r="T419" s="954"/>
      <c r="U419" s="954"/>
      <c r="V419" s="954"/>
      <c r="W419" s="1455"/>
      <c r="X419" s="954"/>
      <c r="Y419" s="956"/>
      <c r="Z419" s="955"/>
      <c r="AA419" s="954"/>
      <c r="AB419" s="954"/>
      <c r="AC419" s="954"/>
      <c r="AD419" s="954"/>
      <c r="AE419" s="954"/>
      <c r="AF419" s="744"/>
      <c r="AG419" s="954"/>
      <c r="AH419" s="954"/>
      <c r="AI419" s="954"/>
      <c r="AJ419" s="954"/>
      <c r="AK419" s="956"/>
      <c r="AL419" s="954"/>
      <c r="AM419" s="954"/>
    </row>
    <row r="420" spans="1:39" x14ac:dyDescent="0.25">
      <c r="A420" s="474"/>
      <c r="C420" s="744"/>
      <c r="D420" s="744"/>
      <c r="E420" s="744"/>
      <c r="F420" s="745"/>
      <c r="G420" s="954"/>
      <c r="H420" s="954"/>
      <c r="I420" s="954"/>
      <c r="J420" s="955"/>
      <c r="K420" s="954"/>
      <c r="L420" s="954"/>
      <c r="M420" s="954"/>
      <c r="N420" s="955"/>
      <c r="O420" s="954"/>
      <c r="P420" s="954"/>
      <c r="Q420" s="954"/>
      <c r="R420" s="955"/>
      <c r="S420" s="954"/>
      <c r="T420" s="954"/>
      <c r="U420" s="954"/>
      <c r="V420" s="954"/>
      <c r="W420" s="1455"/>
      <c r="X420" s="954"/>
      <c r="Y420" s="956"/>
      <c r="Z420" s="955"/>
      <c r="AA420" s="954"/>
      <c r="AB420" s="954"/>
      <c r="AC420" s="954"/>
      <c r="AD420" s="954"/>
      <c r="AE420" s="954"/>
      <c r="AF420" s="744"/>
      <c r="AG420" s="954"/>
      <c r="AH420" s="954"/>
      <c r="AI420" s="954"/>
      <c r="AJ420" s="954"/>
      <c r="AK420" s="956"/>
      <c r="AL420" s="954"/>
      <c r="AM420" s="954"/>
    </row>
    <row r="421" spans="1:39" x14ac:dyDescent="0.25">
      <c r="C421" s="744"/>
      <c r="D421" s="744"/>
      <c r="E421" s="744"/>
      <c r="F421" s="745"/>
      <c r="G421" s="744"/>
      <c r="H421" s="744"/>
      <c r="I421" s="744"/>
      <c r="J421" s="745"/>
      <c r="K421" s="744"/>
      <c r="L421" s="744"/>
      <c r="M421" s="744"/>
      <c r="N421" s="745"/>
      <c r="O421" s="744"/>
      <c r="P421" s="744"/>
      <c r="Q421" s="744"/>
      <c r="R421" s="745"/>
      <c r="S421" s="744"/>
      <c r="T421" s="744"/>
      <c r="U421" s="744"/>
      <c r="V421" s="744"/>
      <c r="W421" s="985"/>
      <c r="X421" s="744"/>
      <c r="Y421" s="792"/>
      <c r="Z421" s="745"/>
      <c r="AA421" s="744"/>
      <c r="AB421" s="744"/>
      <c r="AC421" s="744"/>
      <c r="AD421" s="744"/>
      <c r="AE421" s="744"/>
      <c r="AF421" s="744"/>
      <c r="AG421" s="744"/>
      <c r="AH421" s="744"/>
      <c r="AI421" s="744"/>
      <c r="AJ421" s="744"/>
      <c r="AK421" s="792"/>
      <c r="AL421" s="744"/>
      <c r="AM421" s="744"/>
    </row>
    <row r="422" spans="1:39" x14ac:dyDescent="0.25">
      <c r="C422" s="744"/>
      <c r="D422" s="744"/>
      <c r="E422" s="744"/>
      <c r="F422" s="745"/>
      <c r="G422" s="744"/>
      <c r="H422" s="744"/>
      <c r="I422" s="744"/>
      <c r="J422" s="745"/>
      <c r="K422" s="744"/>
      <c r="L422" s="744"/>
      <c r="M422" s="744"/>
      <c r="N422" s="745"/>
      <c r="O422" s="744"/>
      <c r="P422" s="744"/>
      <c r="Q422" s="744"/>
      <c r="R422" s="745"/>
      <c r="S422" s="744"/>
      <c r="T422" s="744"/>
      <c r="U422" s="744"/>
      <c r="V422" s="744"/>
      <c r="W422" s="985"/>
      <c r="X422" s="744"/>
      <c r="Y422" s="792"/>
      <c r="Z422" s="745"/>
      <c r="AA422" s="744"/>
      <c r="AB422" s="744"/>
      <c r="AC422" s="744"/>
      <c r="AD422" s="744"/>
      <c r="AE422" s="744"/>
      <c r="AF422" s="744"/>
      <c r="AG422" s="744"/>
      <c r="AH422" s="744"/>
      <c r="AI422" s="744"/>
      <c r="AJ422" s="744"/>
      <c r="AK422" s="792"/>
      <c r="AL422" s="744"/>
      <c r="AM422" s="744"/>
    </row>
    <row r="423" spans="1:39" ht="12" x14ac:dyDescent="0.3">
      <c r="A423" s="740" t="s">
        <v>249</v>
      </c>
      <c r="B423" s="816"/>
      <c r="C423" s="744"/>
      <c r="D423" s="744"/>
      <c r="E423" s="744"/>
      <c r="F423" s="745"/>
      <c r="G423" s="744"/>
      <c r="H423" s="744"/>
      <c r="I423" s="744"/>
      <c r="J423" s="745"/>
      <c r="K423" s="744"/>
      <c r="L423" s="744"/>
      <c r="M423" s="744"/>
      <c r="N423" s="745"/>
      <c r="O423" s="744"/>
      <c r="P423" s="744"/>
      <c r="Q423" s="744"/>
      <c r="R423" s="745"/>
      <c r="S423" s="744"/>
      <c r="T423" s="744"/>
      <c r="U423" s="744"/>
      <c r="V423" s="744"/>
      <c r="W423" s="985"/>
      <c r="X423" s="744"/>
      <c r="Y423" s="792"/>
      <c r="Z423" s="745"/>
      <c r="AA423" s="744"/>
      <c r="AB423" s="744"/>
      <c r="AC423" s="744"/>
      <c r="AD423" s="744"/>
      <c r="AE423" s="744"/>
      <c r="AF423" s="744"/>
      <c r="AG423" s="744"/>
      <c r="AH423" s="744"/>
      <c r="AI423" s="744"/>
      <c r="AJ423" s="744"/>
      <c r="AK423" s="792"/>
      <c r="AL423" s="744"/>
      <c r="AM423" s="744"/>
    </row>
    <row r="424" spans="1:39" x14ac:dyDescent="0.25">
      <c r="C424" s="744"/>
      <c r="D424" s="744"/>
      <c r="E424" s="744"/>
      <c r="F424" s="745"/>
      <c r="G424" s="744"/>
      <c r="H424" s="744"/>
      <c r="I424" s="744"/>
      <c r="J424" s="745"/>
      <c r="K424" s="744"/>
      <c r="L424" s="744"/>
      <c r="M424" s="744"/>
      <c r="N424" s="745"/>
      <c r="O424" s="744"/>
      <c r="P424" s="744"/>
      <c r="Q424" s="744"/>
      <c r="R424" s="745"/>
      <c r="S424" s="985"/>
      <c r="T424" s="744"/>
      <c r="U424" s="744"/>
      <c r="V424" s="744"/>
      <c r="W424" s="985"/>
      <c r="X424" s="744"/>
      <c r="Y424" s="792"/>
      <c r="Z424" s="745"/>
      <c r="AA424" s="744"/>
      <c r="AB424" s="744"/>
      <c r="AC424" s="744"/>
      <c r="AD424" s="744"/>
      <c r="AE424" s="744"/>
      <c r="AF424" s="744"/>
      <c r="AG424" s="744"/>
      <c r="AH424" s="744"/>
      <c r="AI424" s="744"/>
      <c r="AJ424" s="744"/>
      <c r="AK424" s="792"/>
      <c r="AL424" s="744"/>
      <c r="AM424" s="744"/>
    </row>
    <row r="425" spans="1:39" x14ac:dyDescent="0.25">
      <c r="C425" s="744"/>
      <c r="D425" s="744"/>
      <c r="E425" s="744"/>
      <c r="F425" s="745"/>
      <c r="G425" s="744"/>
      <c r="H425" s="744"/>
      <c r="I425" s="744"/>
      <c r="J425" s="745"/>
      <c r="K425" s="744"/>
      <c r="L425" s="744"/>
      <c r="M425" s="744"/>
      <c r="N425" s="745"/>
      <c r="O425" s="744"/>
      <c r="P425" s="744"/>
      <c r="Q425" s="744"/>
      <c r="R425" s="745"/>
      <c r="S425" s="985"/>
      <c r="T425" s="744"/>
      <c r="U425" s="744"/>
      <c r="V425" s="744"/>
      <c r="W425" s="985"/>
      <c r="X425" s="744"/>
      <c r="Y425" s="792"/>
      <c r="Z425" s="745"/>
      <c r="AA425" s="744"/>
      <c r="AB425" s="744"/>
      <c r="AC425" s="744"/>
      <c r="AD425" s="744"/>
      <c r="AE425" s="744"/>
      <c r="AF425" s="744"/>
      <c r="AG425" s="744"/>
      <c r="AH425" s="744"/>
      <c r="AI425" s="744"/>
      <c r="AJ425" s="744"/>
      <c r="AK425" s="792"/>
      <c r="AL425" s="744"/>
      <c r="AM425" s="744"/>
    </row>
    <row r="426" spans="1:39" x14ac:dyDescent="0.25">
      <c r="C426" s="744"/>
      <c r="D426" s="744"/>
      <c r="E426" s="744"/>
      <c r="F426" s="745"/>
      <c r="G426" s="744"/>
      <c r="H426" s="744"/>
      <c r="I426" s="744"/>
      <c r="J426" s="745"/>
      <c r="K426" s="744"/>
      <c r="L426" s="744"/>
      <c r="M426" s="744"/>
      <c r="N426" s="745"/>
      <c r="O426" s="744"/>
      <c r="P426" s="744"/>
      <c r="Q426" s="744"/>
      <c r="R426" s="745"/>
      <c r="S426" s="985"/>
      <c r="T426" s="744"/>
      <c r="U426" s="744"/>
      <c r="V426" s="744"/>
      <c r="W426" s="985"/>
      <c r="X426" s="744"/>
      <c r="Y426" s="792"/>
      <c r="Z426" s="745"/>
      <c r="AA426" s="744"/>
      <c r="AB426" s="744"/>
      <c r="AC426" s="744"/>
      <c r="AD426" s="744"/>
      <c r="AE426" s="744"/>
      <c r="AF426" s="744"/>
      <c r="AG426" s="744"/>
      <c r="AH426" s="744"/>
      <c r="AI426" s="744"/>
      <c r="AJ426" s="744"/>
      <c r="AK426" s="792"/>
      <c r="AL426" s="744"/>
      <c r="AM426" s="744"/>
    </row>
    <row r="427" spans="1:39" x14ac:dyDescent="0.25">
      <c r="C427" s="744"/>
      <c r="D427" s="744"/>
      <c r="E427" s="744"/>
      <c r="F427" s="745"/>
      <c r="G427" s="744"/>
      <c r="H427" s="744"/>
      <c r="I427" s="744"/>
      <c r="J427" s="745"/>
      <c r="K427" s="744"/>
      <c r="L427" s="744"/>
      <c r="M427" s="744"/>
      <c r="N427" s="745"/>
      <c r="O427" s="744"/>
      <c r="P427" s="744"/>
      <c r="Q427" s="744"/>
      <c r="R427" s="745"/>
      <c r="S427" s="985"/>
      <c r="T427" s="744"/>
      <c r="U427" s="744"/>
      <c r="V427" s="744"/>
      <c r="W427" s="985"/>
      <c r="X427" s="744"/>
      <c r="Y427" s="792"/>
      <c r="Z427" s="745"/>
      <c r="AA427" s="744"/>
      <c r="AB427" s="744"/>
      <c r="AC427" s="744"/>
      <c r="AD427" s="744"/>
      <c r="AE427" s="744"/>
      <c r="AF427" s="744"/>
      <c r="AG427" s="744"/>
      <c r="AH427" s="744"/>
      <c r="AI427" s="744"/>
      <c r="AJ427" s="744"/>
      <c r="AK427" s="792"/>
      <c r="AL427" s="744"/>
      <c r="AM427" s="744"/>
    </row>
    <row r="428" spans="1:39" x14ac:dyDescent="0.25">
      <c r="C428" s="744"/>
      <c r="D428" s="744"/>
      <c r="E428" s="744"/>
      <c r="F428" s="745"/>
      <c r="G428" s="744"/>
      <c r="H428" s="744"/>
      <c r="I428" s="744"/>
      <c r="J428" s="745"/>
      <c r="K428" s="744"/>
      <c r="L428" s="744"/>
      <c r="M428" s="744"/>
      <c r="N428" s="745"/>
      <c r="O428" s="744"/>
      <c r="P428" s="744"/>
      <c r="Q428" s="744"/>
      <c r="R428" s="745"/>
      <c r="S428" s="985"/>
      <c r="T428" s="744"/>
      <c r="U428" s="744"/>
      <c r="V428" s="744"/>
      <c r="W428" s="985"/>
      <c r="X428" s="744"/>
      <c r="Y428" s="792"/>
      <c r="Z428" s="745"/>
      <c r="AA428" s="744"/>
      <c r="AB428" s="744"/>
      <c r="AC428" s="744"/>
      <c r="AD428" s="744"/>
      <c r="AE428" s="744"/>
      <c r="AF428" s="744"/>
      <c r="AG428" s="744"/>
      <c r="AH428" s="744"/>
      <c r="AI428" s="744"/>
      <c r="AJ428" s="744"/>
      <c r="AK428" s="792"/>
      <c r="AL428" s="744"/>
      <c r="AM428" s="744"/>
    </row>
    <row r="429" spans="1:39" x14ac:dyDescent="0.25">
      <c r="C429" s="744"/>
      <c r="D429" s="744"/>
      <c r="E429" s="744"/>
      <c r="F429" s="745"/>
      <c r="G429" s="744"/>
      <c r="H429" s="744"/>
      <c r="I429" s="744"/>
      <c r="J429" s="745"/>
      <c r="K429" s="744"/>
      <c r="L429" s="744"/>
      <c r="M429" s="744"/>
      <c r="N429" s="745"/>
      <c r="O429" s="744"/>
      <c r="P429" s="744"/>
      <c r="Q429" s="744"/>
      <c r="R429" s="745"/>
      <c r="S429" s="985"/>
      <c r="T429" s="744"/>
      <c r="U429" s="744"/>
      <c r="V429" s="744"/>
      <c r="W429" s="985"/>
      <c r="X429" s="744"/>
      <c r="Y429" s="792"/>
      <c r="Z429" s="745"/>
      <c r="AA429" s="744"/>
      <c r="AB429" s="744"/>
      <c r="AC429" s="744"/>
      <c r="AD429" s="744"/>
      <c r="AE429" s="744"/>
      <c r="AF429" s="744"/>
      <c r="AG429" s="744"/>
      <c r="AH429" s="744"/>
      <c r="AI429" s="744"/>
      <c r="AJ429" s="744"/>
      <c r="AK429" s="792"/>
      <c r="AL429" s="744"/>
      <c r="AM429" s="744"/>
    </row>
    <row r="430" spans="1:39" x14ac:dyDescent="0.25">
      <c r="C430" s="744"/>
      <c r="D430" s="744"/>
      <c r="E430" s="744"/>
      <c r="F430" s="745"/>
      <c r="G430" s="744"/>
      <c r="H430" s="744"/>
      <c r="I430" s="744"/>
      <c r="J430" s="745"/>
      <c r="K430" s="744"/>
      <c r="L430" s="744"/>
      <c r="M430" s="744"/>
      <c r="N430" s="745"/>
      <c r="O430" s="744"/>
      <c r="P430" s="744"/>
      <c r="Q430" s="744"/>
      <c r="R430" s="745"/>
      <c r="S430" s="985"/>
      <c r="T430" s="744"/>
      <c r="U430" s="744"/>
      <c r="V430" s="744"/>
      <c r="W430" s="985"/>
      <c r="X430" s="744"/>
      <c r="Y430" s="792"/>
      <c r="Z430" s="745"/>
      <c r="AA430" s="744"/>
      <c r="AB430" s="744"/>
      <c r="AC430" s="744"/>
      <c r="AD430" s="744"/>
      <c r="AE430" s="744"/>
      <c r="AF430" s="744"/>
      <c r="AG430" s="744"/>
      <c r="AH430" s="744"/>
      <c r="AI430" s="744"/>
      <c r="AJ430" s="744"/>
      <c r="AK430" s="792"/>
      <c r="AL430" s="744"/>
      <c r="AM430" s="744"/>
    </row>
    <row r="431" spans="1:39" x14ac:dyDescent="0.25">
      <c r="C431" s="744"/>
      <c r="D431" s="744"/>
      <c r="E431" s="744"/>
      <c r="F431" s="745"/>
      <c r="G431" s="744"/>
      <c r="H431" s="744"/>
      <c r="I431" s="744"/>
      <c r="J431" s="745"/>
      <c r="K431" s="744"/>
      <c r="L431" s="744"/>
      <c r="M431" s="744"/>
      <c r="N431" s="745"/>
      <c r="O431" s="744"/>
      <c r="P431" s="744"/>
      <c r="Q431" s="744"/>
      <c r="R431" s="745"/>
      <c r="S431" s="985"/>
      <c r="T431" s="744"/>
      <c r="U431" s="744"/>
      <c r="V431" s="744"/>
      <c r="W431" s="985"/>
      <c r="X431" s="744"/>
      <c r="Y431" s="792"/>
      <c r="Z431" s="745"/>
      <c r="AA431" s="744"/>
      <c r="AB431" s="744"/>
      <c r="AC431" s="744"/>
      <c r="AD431" s="744"/>
      <c r="AE431" s="744"/>
      <c r="AF431" s="744"/>
      <c r="AG431" s="744"/>
      <c r="AH431" s="744"/>
      <c r="AI431" s="744"/>
      <c r="AJ431" s="744"/>
      <c r="AK431" s="792"/>
      <c r="AL431" s="744"/>
      <c r="AM431" s="744"/>
    </row>
    <row r="432" spans="1:39" x14ac:dyDescent="0.25">
      <c r="C432" s="744"/>
      <c r="D432" s="744"/>
      <c r="E432" s="744"/>
      <c r="F432" s="745"/>
      <c r="G432" s="744"/>
      <c r="H432" s="744"/>
      <c r="I432" s="744"/>
      <c r="J432" s="745"/>
      <c r="K432" s="744"/>
      <c r="L432" s="744"/>
      <c r="M432" s="744"/>
      <c r="N432" s="745"/>
      <c r="O432" s="744"/>
      <c r="P432" s="744"/>
      <c r="Q432" s="744"/>
      <c r="R432" s="745"/>
      <c r="S432" s="985"/>
      <c r="T432" s="744"/>
      <c r="U432" s="744"/>
      <c r="V432" s="744"/>
      <c r="W432" s="985"/>
      <c r="X432" s="744"/>
      <c r="Y432" s="792"/>
      <c r="Z432" s="745"/>
      <c r="AA432" s="744"/>
      <c r="AB432" s="744"/>
      <c r="AC432" s="744"/>
      <c r="AD432" s="744"/>
      <c r="AE432" s="744"/>
      <c r="AF432" s="744"/>
      <c r="AG432" s="744"/>
      <c r="AH432" s="744"/>
      <c r="AI432" s="744"/>
      <c r="AJ432" s="744"/>
      <c r="AK432" s="792"/>
      <c r="AL432" s="744"/>
      <c r="AM432" s="744"/>
    </row>
    <row r="433" spans="3:39" x14ac:dyDescent="0.25">
      <c r="C433" s="744"/>
      <c r="D433" s="744"/>
      <c r="E433" s="744"/>
      <c r="F433" s="745"/>
      <c r="G433" s="744"/>
      <c r="H433" s="744"/>
      <c r="I433" s="744"/>
      <c r="J433" s="745"/>
      <c r="K433" s="744"/>
      <c r="L433" s="744"/>
      <c r="M433" s="744"/>
      <c r="N433" s="745"/>
      <c r="O433" s="744"/>
      <c r="P433" s="744"/>
      <c r="Q433" s="744"/>
      <c r="R433" s="745"/>
      <c r="S433" s="985"/>
      <c r="T433" s="744"/>
      <c r="U433" s="744"/>
      <c r="V433" s="744"/>
      <c r="W433" s="985"/>
      <c r="X433" s="744"/>
      <c r="Y433" s="792"/>
      <c r="Z433" s="745"/>
      <c r="AA433" s="744"/>
      <c r="AB433" s="744"/>
      <c r="AC433" s="744"/>
      <c r="AD433" s="744"/>
      <c r="AE433" s="744"/>
      <c r="AF433" s="744"/>
      <c r="AG433" s="744"/>
      <c r="AH433" s="744"/>
      <c r="AI433" s="744"/>
      <c r="AJ433" s="744"/>
      <c r="AK433" s="792"/>
      <c r="AL433" s="744"/>
      <c r="AM433" s="744"/>
    </row>
    <row r="434" spans="3:39" x14ac:dyDescent="0.25">
      <c r="C434" s="744"/>
      <c r="D434" s="744"/>
      <c r="E434" s="744"/>
      <c r="F434" s="745"/>
      <c r="G434" s="744"/>
      <c r="H434" s="744"/>
      <c r="I434" s="744"/>
      <c r="J434" s="745"/>
      <c r="K434" s="744"/>
      <c r="L434" s="744"/>
      <c r="M434" s="744"/>
      <c r="N434" s="745"/>
      <c r="O434" s="744"/>
      <c r="P434" s="744"/>
      <c r="Q434" s="744"/>
      <c r="R434" s="745"/>
      <c r="S434" s="985"/>
      <c r="T434" s="744"/>
      <c r="U434" s="744"/>
      <c r="V434" s="744"/>
      <c r="W434" s="985"/>
      <c r="X434" s="744"/>
      <c r="Y434" s="792"/>
      <c r="Z434" s="745"/>
      <c r="AA434" s="744"/>
      <c r="AB434" s="744"/>
      <c r="AC434" s="744"/>
      <c r="AD434" s="744"/>
      <c r="AE434" s="744"/>
      <c r="AF434" s="744"/>
      <c r="AG434" s="744"/>
      <c r="AH434" s="744"/>
      <c r="AI434" s="744"/>
      <c r="AJ434" s="744"/>
      <c r="AK434" s="792"/>
      <c r="AL434" s="744"/>
      <c r="AM434" s="744"/>
    </row>
    <row r="435" spans="3:39" x14ac:dyDescent="0.25">
      <c r="C435" s="744"/>
      <c r="D435" s="744"/>
      <c r="E435" s="744"/>
      <c r="F435" s="745"/>
      <c r="G435" s="744"/>
      <c r="H435" s="744"/>
      <c r="I435" s="744"/>
      <c r="J435" s="745"/>
      <c r="K435" s="744"/>
      <c r="L435" s="744"/>
      <c r="M435" s="744"/>
      <c r="N435" s="745"/>
      <c r="O435" s="744"/>
      <c r="P435" s="744"/>
      <c r="Q435" s="744"/>
      <c r="R435" s="745"/>
      <c r="S435" s="985"/>
      <c r="T435" s="744"/>
      <c r="U435" s="744"/>
      <c r="V435" s="744"/>
      <c r="W435" s="985"/>
      <c r="X435" s="744"/>
      <c r="Y435" s="792"/>
      <c r="Z435" s="745"/>
      <c r="AA435" s="744"/>
      <c r="AB435" s="744"/>
      <c r="AC435" s="744"/>
      <c r="AD435" s="744"/>
      <c r="AE435" s="744"/>
      <c r="AF435" s="744"/>
      <c r="AG435" s="744"/>
      <c r="AH435" s="744"/>
      <c r="AI435" s="744"/>
      <c r="AJ435" s="744"/>
      <c r="AK435" s="792"/>
      <c r="AL435" s="744"/>
      <c r="AM435" s="744"/>
    </row>
    <row r="436" spans="3:39" x14ac:dyDescent="0.25">
      <c r="C436" s="744"/>
      <c r="D436" s="744"/>
      <c r="E436" s="744"/>
      <c r="F436" s="745"/>
      <c r="G436" s="744"/>
      <c r="H436" s="744"/>
      <c r="I436" s="744"/>
      <c r="J436" s="745"/>
      <c r="K436" s="744"/>
      <c r="L436" s="744"/>
      <c r="M436" s="744"/>
      <c r="N436" s="745"/>
      <c r="O436" s="744"/>
      <c r="P436" s="744"/>
      <c r="Q436" s="744"/>
      <c r="R436" s="745"/>
      <c r="S436" s="985"/>
      <c r="T436" s="744"/>
      <c r="U436" s="744"/>
      <c r="V436" s="744"/>
      <c r="W436" s="985"/>
      <c r="X436" s="744"/>
      <c r="Y436" s="792"/>
      <c r="Z436" s="745"/>
      <c r="AA436" s="744"/>
      <c r="AB436" s="744"/>
      <c r="AC436" s="744"/>
      <c r="AD436" s="744"/>
      <c r="AE436" s="744"/>
      <c r="AF436" s="744"/>
      <c r="AG436" s="744"/>
      <c r="AH436" s="744"/>
      <c r="AI436" s="744"/>
      <c r="AJ436" s="744"/>
      <c r="AK436" s="792"/>
      <c r="AL436" s="744"/>
      <c r="AM436" s="744"/>
    </row>
    <row r="437" spans="3:39" x14ac:dyDescent="0.25">
      <c r="C437" s="744"/>
      <c r="D437" s="744"/>
      <c r="E437" s="744"/>
      <c r="F437" s="745"/>
      <c r="G437" s="744"/>
      <c r="H437" s="744"/>
      <c r="I437" s="744"/>
      <c r="J437" s="745"/>
      <c r="K437" s="744"/>
      <c r="L437" s="744"/>
      <c r="M437" s="744"/>
      <c r="N437" s="745"/>
      <c r="O437" s="744"/>
      <c r="P437" s="744"/>
      <c r="Q437" s="744"/>
      <c r="R437" s="745"/>
      <c r="S437" s="985"/>
      <c r="T437" s="744"/>
      <c r="U437" s="744"/>
      <c r="V437" s="744"/>
      <c r="W437" s="985"/>
      <c r="X437" s="744"/>
      <c r="Y437" s="792"/>
      <c r="Z437" s="745"/>
      <c r="AA437" s="744"/>
      <c r="AB437" s="744"/>
      <c r="AC437" s="744"/>
      <c r="AD437" s="744"/>
      <c r="AE437" s="744"/>
      <c r="AF437" s="744"/>
      <c r="AG437" s="744"/>
      <c r="AH437" s="744"/>
      <c r="AI437" s="744"/>
      <c r="AJ437" s="744"/>
      <c r="AK437" s="792"/>
      <c r="AL437" s="744"/>
      <c r="AM437" s="744"/>
    </row>
    <row r="438" spans="3:39" x14ac:dyDescent="0.25">
      <c r="C438" s="744"/>
      <c r="D438" s="744"/>
      <c r="E438" s="744"/>
      <c r="F438" s="745"/>
      <c r="G438" s="744"/>
      <c r="H438" s="744"/>
      <c r="I438" s="744"/>
      <c r="J438" s="745"/>
      <c r="K438" s="744"/>
      <c r="L438" s="744"/>
      <c r="M438" s="744"/>
      <c r="N438" s="745"/>
      <c r="O438" s="744"/>
      <c r="P438" s="744"/>
      <c r="Q438" s="744"/>
      <c r="R438" s="745"/>
      <c r="S438" s="985"/>
      <c r="T438" s="744"/>
      <c r="U438" s="744"/>
      <c r="V438" s="744"/>
      <c r="W438" s="985"/>
      <c r="X438" s="744"/>
      <c r="Y438" s="792"/>
      <c r="Z438" s="745"/>
      <c r="AA438" s="744"/>
      <c r="AB438" s="744"/>
      <c r="AC438" s="744"/>
      <c r="AD438" s="744"/>
      <c r="AE438" s="744"/>
      <c r="AF438" s="744"/>
      <c r="AG438" s="744"/>
      <c r="AH438" s="744"/>
      <c r="AI438" s="744"/>
      <c r="AJ438" s="744"/>
      <c r="AK438" s="792"/>
      <c r="AL438" s="744"/>
      <c r="AM438" s="744"/>
    </row>
    <row r="439" spans="3:39" x14ac:dyDescent="0.25">
      <c r="C439" s="744"/>
      <c r="D439" s="744"/>
      <c r="E439" s="744"/>
      <c r="F439" s="745"/>
      <c r="G439" s="744"/>
      <c r="H439" s="744"/>
      <c r="I439" s="744"/>
      <c r="J439" s="745"/>
      <c r="K439" s="744"/>
      <c r="L439" s="744"/>
      <c r="M439" s="744"/>
      <c r="N439" s="745"/>
      <c r="O439" s="744"/>
      <c r="P439" s="744"/>
      <c r="Q439" s="744"/>
      <c r="R439" s="745"/>
      <c r="S439" s="985"/>
      <c r="T439" s="744"/>
      <c r="U439" s="744"/>
      <c r="V439" s="744"/>
      <c r="W439" s="985"/>
      <c r="X439" s="744"/>
      <c r="Y439" s="792"/>
      <c r="Z439" s="745"/>
      <c r="AA439" s="744"/>
      <c r="AB439" s="744"/>
      <c r="AC439" s="744"/>
      <c r="AD439" s="744"/>
      <c r="AE439" s="744"/>
      <c r="AF439" s="744"/>
      <c r="AG439" s="744"/>
      <c r="AH439" s="744"/>
      <c r="AI439" s="744"/>
      <c r="AJ439" s="744"/>
      <c r="AK439" s="792"/>
      <c r="AL439" s="744"/>
      <c r="AM439" s="744"/>
    </row>
    <row r="440" spans="3:39" x14ac:dyDescent="0.25">
      <c r="C440" s="744"/>
      <c r="D440" s="744"/>
      <c r="E440" s="744"/>
      <c r="F440" s="745"/>
      <c r="G440" s="744"/>
      <c r="H440" s="744"/>
      <c r="I440" s="744"/>
      <c r="J440" s="745"/>
      <c r="K440" s="744"/>
      <c r="L440" s="744"/>
      <c r="M440" s="744"/>
      <c r="N440" s="745"/>
      <c r="O440" s="744"/>
      <c r="P440" s="744"/>
      <c r="Q440" s="744"/>
      <c r="R440" s="745"/>
      <c r="S440" s="985"/>
      <c r="T440" s="744"/>
      <c r="U440" s="744"/>
      <c r="V440" s="744"/>
      <c r="W440" s="985"/>
      <c r="X440" s="744"/>
      <c r="Y440" s="792"/>
      <c r="Z440" s="745"/>
      <c r="AA440" s="744"/>
      <c r="AB440" s="744"/>
      <c r="AC440" s="744"/>
      <c r="AD440" s="744"/>
      <c r="AE440" s="744"/>
      <c r="AF440" s="744"/>
      <c r="AG440" s="744"/>
      <c r="AH440" s="744"/>
      <c r="AI440" s="744"/>
      <c r="AJ440" s="744"/>
      <c r="AK440" s="792"/>
      <c r="AL440" s="744"/>
      <c r="AM440" s="744"/>
    </row>
    <row r="441" spans="3:39" x14ac:dyDescent="0.25">
      <c r="C441" s="744"/>
      <c r="D441" s="744"/>
      <c r="E441" s="744"/>
      <c r="F441" s="745"/>
      <c r="G441" s="744"/>
      <c r="H441" s="744"/>
      <c r="I441" s="744"/>
      <c r="J441" s="745"/>
      <c r="K441" s="744"/>
      <c r="L441" s="744"/>
      <c r="M441" s="744"/>
      <c r="N441" s="745"/>
      <c r="O441" s="744"/>
      <c r="P441" s="744"/>
      <c r="Q441" s="744"/>
      <c r="R441" s="745"/>
      <c r="S441" s="985"/>
      <c r="T441" s="744"/>
      <c r="U441" s="744"/>
      <c r="V441" s="744"/>
      <c r="W441" s="985"/>
      <c r="X441" s="744"/>
      <c r="Y441" s="792"/>
      <c r="Z441" s="745"/>
      <c r="AA441" s="744"/>
      <c r="AB441" s="744"/>
      <c r="AC441" s="744"/>
      <c r="AD441" s="744"/>
      <c r="AE441" s="744"/>
      <c r="AF441" s="744"/>
      <c r="AG441" s="744"/>
      <c r="AH441" s="744"/>
      <c r="AI441" s="744"/>
      <c r="AJ441" s="744"/>
      <c r="AK441" s="792"/>
      <c r="AL441" s="744"/>
      <c r="AM441" s="744"/>
    </row>
    <row r="442" spans="3:39" x14ac:dyDescent="0.25">
      <c r="C442" s="744"/>
      <c r="D442" s="744"/>
      <c r="E442" s="744"/>
      <c r="F442" s="745"/>
      <c r="G442" s="744"/>
      <c r="H442" s="744"/>
      <c r="I442" s="744"/>
      <c r="J442" s="745"/>
      <c r="K442" s="744"/>
      <c r="L442" s="744"/>
      <c r="M442" s="744"/>
      <c r="N442" s="745"/>
      <c r="O442" s="744"/>
      <c r="P442" s="744"/>
      <c r="Q442" s="744"/>
      <c r="R442" s="745"/>
      <c r="S442" s="985"/>
      <c r="T442" s="744"/>
      <c r="U442" s="744"/>
      <c r="V442" s="744"/>
      <c r="W442" s="985"/>
      <c r="X442" s="744"/>
      <c r="Y442" s="744"/>
      <c r="Z442" s="745"/>
      <c r="AA442" s="744"/>
      <c r="AB442" s="744"/>
      <c r="AC442" s="744"/>
      <c r="AD442" s="744"/>
      <c r="AE442" s="744"/>
      <c r="AF442" s="744"/>
      <c r="AG442" s="744"/>
      <c r="AH442" s="744"/>
      <c r="AI442" s="744"/>
      <c r="AJ442" s="744"/>
      <c r="AK442" s="792"/>
      <c r="AL442" s="744"/>
      <c r="AM442" s="744"/>
    </row>
    <row r="443" spans="3:39" x14ac:dyDescent="0.25">
      <c r="C443" s="744"/>
      <c r="D443" s="744"/>
      <c r="E443" s="744"/>
      <c r="F443" s="745"/>
      <c r="G443" s="744"/>
      <c r="H443" s="744"/>
      <c r="I443" s="744"/>
      <c r="J443" s="745"/>
      <c r="K443" s="744"/>
      <c r="L443" s="744"/>
      <c r="M443" s="744"/>
      <c r="N443" s="745"/>
      <c r="O443" s="744"/>
      <c r="P443" s="744"/>
      <c r="Q443" s="744"/>
      <c r="R443" s="745"/>
      <c r="S443" s="985"/>
      <c r="T443" s="744"/>
      <c r="U443" s="744"/>
      <c r="V443" s="744"/>
      <c r="W443" s="985"/>
      <c r="X443" s="744"/>
      <c r="Y443" s="744"/>
      <c r="Z443" s="745"/>
      <c r="AA443" s="744"/>
      <c r="AB443" s="744"/>
      <c r="AC443" s="744"/>
      <c r="AD443" s="744"/>
      <c r="AE443" s="744"/>
      <c r="AF443" s="744"/>
      <c r="AG443" s="744"/>
      <c r="AH443" s="744"/>
      <c r="AI443" s="744"/>
      <c r="AJ443" s="744"/>
      <c r="AK443" s="792"/>
      <c r="AL443" s="744"/>
      <c r="AM443" s="744"/>
    </row>
    <row r="444" spans="3:39" x14ac:dyDescent="0.25">
      <c r="C444" s="744"/>
      <c r="D444" s="744"/>
      <c r="E444" s="744"/>
      <c r="F444" s="745"/>
      <c r="G444" s="744"/>
      <c r="H444" s="744"/>
      <c r="I444" s="744"/>
      <c r="J444" s="745"/>
      <c r="K444" s="744"/>
      <c r="L444" s="744"/>
      <c r="M444" s="744"/>
      <c r="N444" s="745"/>
      <c r="O444" s="744"/>
      <c r="P444" s="744"/>
      <c r="Q444" s="744"/>
      <c r="R444" s="745"/>
      <c r="S444" s="985"/>
      <c r="T444" s="744"/>
      <c r="U444" s="744"/>
      <c r="V444" s="744"/>
      <c r="W444" s="985"/>
      <c r="X444" s="744"/>
      <c r="Y444" s="744"/>
      <c r="Z444" s="745"/>
      <c r="AA444" s="744"/>
      <c r="AB444" s="744"/>
      <c r="AC444" s="744"/>
      <c r="AD444" s="744"/>
      <c r="AE444" s="744"/>
      <c r="AF444" s="744"/>
      <c r="AG444" s="744"/>
      <c r="AH444" s="744"/>
      <c r="AI444" s="744"/>
      <c r="AJ444" s="744"/>
      <c r="AK444" s="792"/>
      <c r="AL444" s="744"/>
      <c r="AM444" s="744"/>
    </row>
    <row r="445" spans="3:39" x14ac:dyDescent="0.25">
      <c r="C445" s="744"/>
      <c r="D445" s="744"/>
      <c r="E445" s="744"/>
      <c r="F445" s="745"/>
      <c r="G445" s="744"/>
      <c r="H445" s="744"/>
      <c r="I445" s="744"/>
      <c r="J445" s="745"/>
      <c r="K445" s="744"/>
      <c r="L445" s="744"/>
      <c r="M445" s="744"/>
      <c r="N445" s="745"/>
      <c r="O445" s="744"/>
      <c r="P445" s="744"/>
      <c r="Q445" s="744"/>
      <c r="R445" s="745"/>
      <c r="S445" s="985"/>
      <c r="T445" s="744"/>
      <c r="U445" s="744"/>
      <c r="V445" s="744"/>
      <c r="W445" s="985"/>
      <c r="X445" s="744"/>
      <c r="Y445" s="744"/>
      <c r="Z445" s="745"/>
      <c r="AA445" s="744"/>
      <c r="AB445" s="744"/>
      <c r="AC445" s="744"/>
      <c r="AD445" s="744"/>
      <c r="AE445" s="744"/>
      <c r="AF445" s="744"/>
      <c r="AG445" s="744"/>
      <c r="AH445" s="744"/>
      <c r="AI445" s="744"/>
      <c r="AJ445" s="744"/>
      <c r="AK445" s="792"/>
      <c r="AL445" s="744"/>
      <c r="AM445" s="744"/>
    </row>
    <row r="446" spans="3:39" x14ac:dyDescent="0.25">
      <c r="C446" s="744"/>
      <c r="D446" s="744"/>
      <c r="E446" s="744"/>
      <c r="F446" s="745"/>
      <c r="G446" s="744"/>
      <c r="H446" s="744"/>
      <c r="I446" s="744"/>
      <c r="J446" s="745"/>
      <c r="K446" s="744"/>
      <c r="L446" s="744"/>
      <c r="M446" s="744"/>
      <c r="N446" s="745"/>
      <c r="O446" s="744"/>
      <c r="P446" s="744"/>
      <c r="Q446" s="744"/>
      <c r="R446" s="745"/>
      <c r="S446" s="985"/>
      <c r="T446" s="744"/>
      <c r="U446" s="744"/>
      <c r="V446" s="744"/>
      <c r="W446" s="985"/>
      <c r="X446" s="744"/>
      <c r="Y446" s="744"/>
      <c r="Z446" s="745"/>
      <c r="AA446" s="744"/>
      <c r="AB446" s="744"/>
      <c r="AC446" s="744"/>
      <c r="AD446" s="744"/>
      <c r="AE446" s="744"/>
      <c r="AF446" s="744"/>
      <c r="AG446" s="744"/>
      <c r="AH446" s="744"/>
      <c r="AI446" s="744"/>
      <c r="AJ446" s="744"/>
      <c r="AK446" s="792"/>
      <c r="AL446" s="744"/>
      <c r="AM446" s="744"/>
    </row>
    <row r="447" spans="3:39" x14ac:dyDescent="0.25">
      <c r="C447" s="744"/>
      <c r="D447" s="744"/>
      <c r="E447" s="744"/>
      <c r="F447" s="745"/>
      <c r="G447" s="744"/>
      <c r="H447" s="744"/>
      <c r="I447" s="744"/>
      <c r="J447" s="745"/>
      <c r="K447" s="744"/>
      <c r="L447" s="744"/>
      <c r="M447" s="744"/>
      <c r="N447" s="745"/>
      <c r="O447" s="744"/>
      <c r="P447" s="744"/>
      <c r="Q447" s="744"/>
      <c r="R447" s="745"/>
      <c r="S447" s="985"/>
      <c r="T447" s="744"/>
      <c r="U447" s="744"/>
      <c r="V447" s="744"/>
      <c r="W447" s="985"/>
      <c r="X447" s="744"/>
      <c r="Y447" s="744"/>
      <c r="Z447" s="745"/>
      <c r="AA447" s="744"/>
      <c r="AB447" s="744"/>
      <c r="AC447" s="744"/>
      <c r="AD447" s="744"/>
      <c r="AE447" s="744"/>
      <c r="AF447" s="744"/>
      <c r="AG447" s="744"/>
      <c r="AH447" s="744"/>
      <c r="AI447" s="744"/>
      <c r="AJ447" s="744"/>
      <c r="AK447" s="792"/>
      <c r="AL447" s="744"/>
      <c r="AM447" s="744"/>
    </row>
    <row r="448" spans="3:39" x14ac:dyDescent="0.25">
      <c r="C448" s="744"/>
      <c r="D448" s="744"/>
      <c r="E448" s="744"/>
      <c r="F448" s="745"/>
      <c r="G448" s="744"/>
      <c r="H448" s="744"/>
      <c r="I448" s="744"/>
      <c r="J448" s="745"/>
      <c r="K448" s="744"/>
      <c r="L448" s="744"/>
      <c r="M448" s="744"/>
      <c r="N448" s="745"/>
      <c r="O448" s="744"/>
      <c r="P448" s="744"/>
      <c r="Q448" s="744"/>
      <c r="R448" s="745"/>
      <c r="S448" s="985"/>
      <c r="T448" s="744"/>
      <c r="U448" s="744"/>
      <c r="V448" s="744"/>
      <c r="W448" s="985"/>
      <c r="X448" s="744"/>
      <c r="Y448" s="744"/>
      <c r="Z448" s="745"/>
      <c r="AA448" s="744"/>
      <c r="AB448" s="744"/>
      <c r="AC448" s="744"/>
      <c r="AD448" s="744"/>
      <c r="AE448" s="744"/>
      <c r="AF448" s="744"/>
      <c r="AG448" s="744"/>
      <c r="AH448" s="744"/>
      <c r="AI448" s="744"/>
      <c r="AJ448" s="744"/>
      <c r="AK448" s="792"/>
      <c r="AL448" s="744"/>
      <c r="AM448" s="744"/>
    </row>
    <row r="449" spans="3:39" x14ac:dyDescent="0.25">
      <c r="C449" s="744"/>
      <c r="D449" s="744"/>
      <c r="E449" s="744"/>
      <c r="F449" s="745"/>
      <c r="G449" s="744"/>
      <c r="H449" s="744"/>
      <c r="I449" s="744"/>
      <c r="J449" s="745"/>
      <c r="K449" s="744"/>
      <c r="L449" s="744"/>
      <c r="M449" s="744"/>
      <c r="N449" s="745"/>
      <c r="O449" s="744"/>
      <c r="P449" s="744"/>
      <c r="Q449" s="744"/>
      <c r="R449" s="745"/>
      <c r="S449" s="985"/>
      <c r="T449" s="744"/>
      <c r="U449" s="744"/>
      <c r="V449" s="744"/>
      <c r="W449" s="985"/>
      <c r="X449" s="744"/>
      <c r="Y449" s="744"/>
      <c r="Z449" s="745"/>
      <c r="AA449" s="744"/>
      <c r="AB449" s="744"/>
      <c r="AC449" s="744"/>
      <c r="AD449" s="744"/>
      <c r="AE449" s="744"/>
      <c r="AF449" s="744"/>
      <c r="AG449" s="744"/>
      <c r="AH449" s="744"/>
      <c r="AI449" s="744"/>
      <c r="AJ449" s="744"/>
      <c r="AK449" s="792"/>
      <c r="AL449" s="744"/>
      <c r="AM449" s="744"/>
    </row>
    <row r="450" spans="3:39" x14ac:dyDescent="0.25">
      <c r="C450" s="744"/>
      <c r="D450" s="744"/>
      <c r="E450" s="744"/>
      <c r="F450" s="745"/>
      <c r="G450" s="744"/>
      <c r="H450" s="744"/>
      <c r="I450" s="744"/>
      <c r="J450" s="745"/>
      <c r="K450" s="744"/>
      <c r="L450" s="744"/>
      <c r="M450" s="744"/>
      <c r="N450" s="745"/>
      <c r="O450" s="744"/>
      <c r="P450" s="744"/>
      <c r="Q450" s="744"/>
      <c r="R450" s="745"/>
      <c r="S450" s="985"/>
      <c r="T450" s="744"/>
      <c r="U450" s="744"/>
      <c r="V450" s="744"/>
      <c r="W450" s="985"/>
      <c r="X450" s="744"/>
      <c r="Y450" s="744"/>
      <c r="Z450" s="745"/>
      <c r="AA450" s="744"/>
      <c r="AB450" s="744"/>
      <c r="AC450" s="744"/>
      <c r="AD450" s="744"/>
      <c r="AE450" s="744"/>
      <c r="AF450" s="744"/>
      <c r="AG450" s="744"/>
      <c r="AH450" s="744"/>
      <c r="AI450" s="744"/>
      <c r="AJ450" s="744"/>
      <c r="AK450" s="792"/>
      <c r="AL450" s="744"/>
      <c r="AM450" s="744"/>
    </row>
    <row r="451" spans="3:39" x14ac:dyDescent="0.25">
      <c r="C451" s="744"/>
      <c r="D451" s="744"/>
      <c r="E451" s="744"/>
      <c r="F451" s="745"/>
      <c r="G451" s="744"/>
      <c r="H451" s="744"/>
      <c r="I451" s="744"/>
      <c r="J451" s="745"/>
      <c r="K451" s="744"/>
      <c r="L451" s="744"/>
      <c r="M451" s="744"/>
      <c r="N451" s="745"/>
      <c r="O451" s="744"/>
      <c r="P451" s="744"/>
      <c r="Q451" s="744"/>
      <c r="R451" s="745"/>
      <c r="S451" s="985"/>
      <c r="T451" s="744"/>
      <c r="U451" s="744"/>
      <c r="V451" s="744"/>
      <c r="W451" s="985"/>
      <c r="X451" s="744"/>
      <c r="Y451" s="744"/>
      <c r="Z451" s="745"/>
      <c r="AA451" s="744"/>
      <c r="AB451" s="744"/>
      <c r="AC451" s="744"/>
      <c r="AD451" s="744"/>
      <c r="AE451" s="744"/>
      <c r="AF451" s="744"/>
      <c r="AG451" s="744"/>
      <c r="AH451" s="744"/>
      <c r="AI451" s="744"/>
      <c r="AJ451" s="744"/>
      <c r="AK451" s="792"/>
      <c r="AL451" s="744"/>
      <c r="AM451" s="744"/>
    </row>
    <row r="452" spans="3:39" x14ac:dyDescent="0.25">
      <c r="C452" s="744"/>
      <c r="D452" s="744"/>
      <c r="E452" s="744"/>
      <c r="F452" s="745"/>
      <c r="G452" s="744"/>
      <c r="H452" s="744"/>
      <c r="I452" s="744"/>
      <c r="J452" s="745"/>
      <c r="K452" s="744"/>
      <c r="L452" s="744"/>
      <c r="M452" s="744"/>
      <c r="N452" s="745"/>
      <c r="O452" s="744"/>
      <c r="P452" s="744"/>
      <c r="Q452" s="744"/>
      <c r="R452" s="745"/>
      <c r="S452" s="985"/>
      <c r="T452" s="744"/>
      <c r="U452" s="744"/>
      <c r="V452" s="744"/>
      <c r="W452" s="985"/>
      <c r="X452" s="744"/>
      <c r="Y452" s="744"/>
      <c r="Z452" s="745"/>
      <c r="AA452" s="744"/>
      <c r="AB452" s="744"/>
      <c r="AC452" s="744"/>
      <c r="AD452" s="744"/>
      <c r="AE452" s="744"/>
      <c r="AF452" s="744"/>
      <c r="AG452" s="744"/>
      <c r="AH452" s="744"/>
      <c r="AI452" s="744"/>
      <c r="AJ452" s="744"/>
      <c r="AK452" s="792"/>
      <c r="AL452" s="744"/>
      <c r="AM452" s="744"/>
    </row>
    <row r="453" spans="3:39" x14ac:dyDescent="0.25">
      <c r="C453" s="744"/>
      <c r="D453" s="744"/>
      <c r="E453" s="744"/>
      <c r="F453" s="745"/>
      <c r="G453" s="744"/>
      <c r="H453" s="744"/>
      <c r="I453" s="744"/>
      <c r="J453" s="745"/>
      <c r="K453" s="744"/>
      <c r="L453" s="744"/>
      <c r="M453" s="744"/>
      <c r="N453" s="745"/>
      <c r="O453" s="744"/>
      <c r="P453" s="744"/>
      <c r="Q453" s="744"/>
      <c r="R453" s="745"/>
      <c r="S453" s="985"/>
      <c r="T453" s="744"/>
      <c r="U453" s="744"/>
      <c r="V453" s="744"/>
      <c r="W453" s="985"/>
      <c r="X453" s="744"/>
      <c r="Y453" s="744"/>
      <c r="Z453" s="745"/>
      <c r="AA453" s="744"/>
      <c r="AB453" s="744"/>
      <c r="AC453" s="744"/>
      <c r="AD453" s="744"/>
      <c r="AE453" s="744"/>
      <c r="AF453" s="744"/>
      <c r="AG453" s="744"/>
      <c r="AH453" s="744"/>
      <c r="AI453" s="744"/>
      <c r="AJ453" s="744"/>
      <c r="AK453" s="792"/>
      <c r="AL453" s="744"/>
      <c r="AM453" s="744"/>
    </row>
    <row r="454" spans="3:39" x14ac:dyDescent="0.25">
      <c r="C454" s="744"/>
      <c r="D454" s="744"/>
      <c r="E454" s="744"/>
      <c r="F454" s="745"/>
      <c r="G454" s="744"/>
      <c r="H454" s="744"/>
      <c r="I454" s="744"/>
      <c r="J454" s="745"/>
      <c r="K454" s="744"/>
      <c r="L454" s="744"/>
      <c r="M454" s="744"/>
      <c r="N454" s="745"/>
      <c r="O454" s="744"/>
      <c r="P454" s="744"/>
      <c r="Q454" s="744"/>
      <c r="R454" s="745"/>
      <c r="S454" s="985"/>
      <c r="T454" s="744"/>
      <c r="U454" s="744"/>
      <c r="V454" s="744"/>
      <c r="W454" s="985"/>
      <c r="X454" s="744"/>
      <c r="Y454" s="744"/>
      <c r="Z454" s="745"/>
      <c r="AA454" s="744"/>
      <c r="AB454" s="744"/>
      <c r="AC454" s="744"/>
      <c r="AD454" s="744"/>
      <c r="AE454" s="744"/>
      <c r="AF454" s="744"/>
      <c r="AG454" s="744"/>
      <c r="AH454" s="744"/>
      <c r="AI454" s="744"/>
      <c r="AJ454" s="744"/>
      <c r="AK454" s="792"/>
      <c r="AL454" s="744"/>
      <c r="AM454" s="744"/>
    </row>
    <row r="455" spans="3:39" x14ac:dyDescent="0.25">
      <c r="C455" s="744"/>
      <c r="D455" s="744"/>
      <c r="E455" s="744"/>
      <c r="F455" s="745"/>
      <c r="G455" s="744"/>
      <c r="H455" s="744"/>
      <c r="I455" s="744"/>
      <c r="J455" s="745"/>
      <c r="K455" s="744"/>
      <c r="L455" s="744"/>
      <c r="M455" s="744"/>
      <c r="N455" s="745"/>
      <c r="O455" s="744"/>
      <c r="P455" s="744"/>
      <c r="Q455" s="744"/>
      <c r="R455" s="745"/>
      <c r="S455" s="985"/>
      <c r="T455" s="744"/>
      <c r="U455" s="744"/>
      <c r="V455" s="744"/>
      <c r="W455" s="985"/>
      <c r="X455" s="744"/>
      <c r="Y455" s="744"/>
      <c r="Z455" s="745"/>
      <c r="AA455" s="744"/>
      <c r="AB455" s="744"/>
      <c r="AC455" s="744"/>
      <c r="AD455" s="744"/>
      <c r="AE455" s="744"/>
      <c r="AF455" s="744"/>
      <c r="AG455" s="744"/>
      <c r="AH455" s="744"/>
      <c r="AI455" s="744"/>
      <c r="AJ455" s="744"/>
      <c r="AK455" s="792"/>
      <c r="AL455" s="744"/>
      <c r="AM455" s="744"/>
    </row>
    <row r="456" spans="3:39" x14ac:dyDescent="0.25">
      <c r="C456" s="744"/>
      <c r="D456" s="744"/>
      <c r="E456" s="744"/>
      <c r="F456" s="745"/>
      <c r="G456" s="744"/>
      <c r="H456" s="744"/>
      <c r="I456" s="744"/>
      <c r="J456" s="745"/>
      <c r="K456" s="744"/>
      <c r="L456" s="744"/>
      <c r="M456" s="744"/>
      <c r="N456" s="745"/>
      <c r="O456" s="744"/>
      <c r="P456" s="744"/>
      <c r="Q456" s="744"/>
      <c r="R456" s="745"/>
      <c r="S456" s="985"/>
      <c r="T456" s="744"/>
      <c r="U456" s="744"/>
      <c r="V456" s="744"/>
      <c r="W456" s="985"/>
      <c r="X456" s="744"/>
      <c r="Y456" s="744"/>
      <c r="Z456" s="745"/>
      <c r="AA456" s="744"/>
      <c r="AB456" s="744"/>
      <c r="AC456" s="744"/>
      <c r="AD456" s="744"/>
      <c r="AE456" s="744"/>
      <c r="AF456" s="744"/>
      <c r="AG456" s="744"/>
      <c r="AH456" s="744"/>
      <c r="AI456" s="744"/>
      <c r="AJ456" s="744"/>
      <c r="AK456" s="792"/>
      <c r="AL456" s="744"/>
      <c r="AM456" s="744"/>
    </row>
    <row r="457" spans="3:39" x14ac:dyDescent="0.25">
      <c r="C457" s="744"/>
      <c r="D457" s="744"/>
      <c r="E457" s="744"/>
      <c r="F457" s="745"/>
      <c r="G457" s="744"/>
      <c r="H457" s="744"/>
      <c r="I457" s="744"/>
      <c r="J457" s="745"/>
      <c r="K457" s="744"/>
      <c r="L457" s="744"/>
      <c r="M457" s="744"/>
      <c r="N457" s="745"/>
      <c r="O457" s="744"/>
      <c r="P457" s="744"/>
      <c r="Q457" s="744"/>
      <c r="R457" s="745"/>
      <c r="S457" s="985"/>
      <c r="T457" s="744"/>
      <c r="U457" s="744"/>
      <c r="V457" s="744"/>
      <c r="W457" s="985"/>
      <c r="X457" s="744"/>
      <c r="Y457" s="744"/>
      <c r="Z457" s="745"/>
      <c r="AA457" s="744"/>
      <c r="AB457" s="744"/>
      <c r="AC457" s="744"/>
      <c r="AD457" s="744"/>
      <c r="AE457" s="744"/>
      <c r="AF457" s="744"/>
      <c r="AG457" s="744"/>
      <c r="AH457" s="744"/>
      <c r="AI457" s="744"/>
      <c r="AJ457" s="744"/>
      <c r="AK457" s="792"/>
      <c r="AL457" s="744"/>
      <c r="AM457" s="744"/>
    </row>
    <row r="458" spans="3:39" x14ac:dyDescent="0.25">
      <c r="C458" s="744"/>
      <c r="D458" s="744"/>
      <c r="E458" s="744"/>
      <c r="F458" s="745"/>
      <c r="G458" s="744"/>
      <c r="H458" s="744"/>
      <c r="I458" s="744"/>
      <c r="J458" s="745"/>
      <c r="K458" s="744"/>
      <c r="L458" s="744"/>
      <c r="M458" s="744"/>
      <c r="N458" s="745"/>
      <c r="O458" s="744"/>
      <c r="P458" s="744"/>
      <c r="Q458" s="744"/>
      <c r="R458" s="745"/>
      <c r="S458" s="985"/>
      <c r="T458" s="744"/>
      <c r="U458" s="744"/>
      <c r="V458" s="744"/>
      <c r="W458" s="985"/>
      <c r="X458" s="744"/>
      <c r="Y458" s="744"/>
      <c r="Z458" s="745"/>
      <c r="AA458" s="744"/>
      <c r="AB458" s="744"/>
      <c r="AC458" s="744"/>
      <c r="AD458" s="744"/>
      <c r="AE458" s="744"/>
      <c r="AF458" s="744"/>
      <c r="AG458" s="744"/>
      <c r="AH458" s="744"/>
      <c r="AI458" s="744"/>
      <c r="AJ458" s="744"/>
      <c r="AK458" s="792"/>
      <c r="AL458" s="744"/>
      <c r="AM458" s="744"/>
    </row>
    <row r="459" spans="3:39" x14ac:dyDescent="0.25">
      <c r="C459" s="744"/>
      <c r="D459" s="744"/>
      <c r="E459" s="744"/>
      <c r="F459" s="745"/>
      <c r="G459" s="744"/>
      <c r="H459" s="744"/>
      <c r="I459" s="744"/>
      <c r="J459" s="745"/>
      <c r="K459" s="744"/>
      <c r="L459" s="744"/>
      <c r="M459" s="744"/>
      <c r="N459" s="745"/>
      <c r="O459" s="744"/>
      <c r="P459" s="744"/>
      <c r="Q459" s="744"/>
      <c r="R459" s="745"/>
      <c r="S459" s="985"/>
      <c r="T459" s="744"/>
      <c r="U459" s="744"/>
      <c r="V459" s="744"/>
      <c r="W459" s="985"/>
      <c r="X459" s="744"/>
      <c r="Y459" s="744"/>
      <c r="Z459" s="745"/>
      <c r="AA459" s="744"/>
      <c r="AB459" s="744"/>
      <c r="AC459" s="744"/>
      <c r="AD459" s="744"/>
      <c r="AE459" s="744"/>
      <c r="AF459" s="744"/>
      <c r="AG459" s="744"/>
      <c r="AH459" s="744"/>
      <c r="AI459" s="744"/>
      <c r="AJ459" s="744"/>
      <c r="AK459" s="792"/>
      <c r="AL459" s="744"/>
      <c r="AM459" s="744"/>
    </row>
    <row r="460" spans="3:39" x14ac:dyDescent="0.25">
      <c r="C460" s="744"/>
      <c r="D460" s="744"/>
      <c r="E460" s="744"/>
      <c r="F460" s="745"/>
      <c r="G460" s="744"/>
      <c r="H460" s="744"/>
      <c r="I460" s="744"/>
      <c r="J460" s="745"/>
      <c r="K460" s="744"/>
      <c r="L460" s="744"/>
      <c r="M460" s="744"/>
      <c r="N460" s="745"/>
      <c r="O460" s="744"/>
      <c r="P460" s="744"/>
      <c r="Q460" s="744"/>
      <c r="R460" s="745"/>
      <c r="S460" s="985"/>
      <c r="T460" s="744"/>
      <c r="U460" s="744"/>
      <c r="V460" s="744"/>
      <c r="W460" s="985"/>
      <c r="X460" s="744"/>
      <c r="Y460" s="744"/>
      <c r="Z460" s="745"/>
      <c r="AA460" s="744"/>
      <c r="AB460" s="744"/>
      <c r="AC460" s="744"/>
      <c r="AD460" s="744"/>
      <c r="AE460" s="744"/>
      <c r="AF460" s="744"/>
      <c r="AG460" s="744"/>
      <c r="AH460" s="744"/>
      <c r="AI460" s="744"/>
      <c r="AJ460" s="744"/>
      <c r="AK460" s="792"/>
      <c r="AL460" s="744"/>
      <c r="AM460" s="744"/>
    </row>
    <row r="461" spans="3:39" x14ac:dyDescent="0.25">
      <c r="C461" s="744"/>
      <c r="D461" s="744"/>
      <c r="E461" s="744"/>
      <c r="F461" s="745"/>
      <c r="G461" s="744"/>
      <c r="H461" s="744"/>
      <c r="I461" s="744"/>
      <c r="J461" s="745"/>
      <c r="K461" s="744"/>
      <c r="L461" s="744"/>
      <c r="M461" s="744"/>
      <c r="N461" s="745"/>
      <c r="O461" s="744"/>
      <c r="P461" s="744"/>
      <c r="Q461" s="744"/>
      <c r="R461" s="745"/>
      <c r="S461" s="985"/>
      <c r="T461" s="744"/>
      <c r="U461" s="744"/>
      <c r="V461" s="744"/>
      <c r="W461" s="985"/>
      <c r="X461" s="744"/>
      <c r="Y461" s="744"/>
      <c r="Z461" s="745"/>
      <c r="AA461" s="744"/>
      <c r="AB461" s="744"/>
      <c r="AC461" s="744"/>
      <c r="AD461" s="744"/>
      <c r="AE461" s="744"/>
      <c r="AF461" s="744"/>
      <c r="AG461" s="744"/>
      <c r="AH461" s="744"/>
      <c r="AI461" s="744"/>
      <c r="AJ461" s="744"/>
      <c r="AK461" s="792"/>
      <c r="AL461" s="744"/>
      <c r="AM461" s="744"/>
    </row>
    <row r="462" spans="3:39" x14ac:dyDescent="0.25">
      <c r="C462" s="744"/>
      <c r="D462" s="744"/>
      <c r="E462" s="744"/>
      <c r="F462" s="745"/>
      <c r="G462" s="744"/>
      <c r="H462" s="744"/>
      <c r="I462" s="744"/>
      <c r="J462" s="745"/>
      <c r="K462" s="744"/>
      <c r="L462" s="744"/>
      <c r="M462" s="744"/>
      <c r="N462" s="745"/>
      <c r="O462" s="744"/>
      <c r="P462" s="744"/>
      <c r="Q462" s="744"/>
      <c r="R462" s="745"/>
      <c r="S462" s="985"/>
      <c r="T462" s="744"/>
      <c r="U462" s="744"/>
      <c r="V462" s="744"/>
      <c r="W462" s="985"/>
      <c r="X462" s="744"/>
      <c r="Y462" s="744"/>
      <c r="Z462" s="745"/>
      <c r="AA462" s="744"/>
      <c r="AB462" s="744"/>
      <c r="AC462" s="744"/>
      <c r="AD462" s="744"/>
      <c r="AE462" s="744"/>
      <c r="AF462" s="744"/>
      <c r="AG462" s="744"/>
      <c r="AH462" s="744"/>
      <c r="AI462" s="744"/>
      <c r="AJ462" s="744"/>
      <c r="AK462" s="792"/>
      <c r="AL462" s="744"/>
      <c r="AM462" s="744"/>
    </row>
    <row r="463" spans="3:39" x14ac:dyDescent="0.25">
      <c r="C463" s="744"/>
      <c r="D463" s="744"/>
      <c r="E463" s="744"/>
      <c r="F463" s="745"/>
      <c r="G463" s="744"/>
      <c r="H463" s="744"/>
      <c r="I463" s="744"/>
      <c r="J463" s="745"/>
      <c r="K463" s="744"/>
      <c r="L463" s="744"/>
      <c r="M463" s="744"/>
      <c r="N463" s="745"/>
      <c r="O463" s="744"/>
      <c r="P463" s="744"/>
      <c r="Q463" s="744"/>
      <c r="R463" s="745"/>
      <c r="S463" s="985"/>
      <c r="T463" s="744"/>
      <c r="U463" s="744"/>
      <c r="V463" s="744"/>
      <c r="W463" s="985"/>
      <c r="X463" s="744"/>
      <c r="Y463" s="744"/>
      <c r="Z463" s="745"/>
      <c r="AA463" s="744"/>
      <c r="AB463" s="744"/>
      <c r="AC463" s="744"/>
      <c r="AD463" s="744"/>
      <c r="AE463" s="744"/>
      <c r="AF463" s="744"/>
      <c r="AG463" s="744"/>
      <c r="AH463" s="744"/>
      <c r="AI463" s="744"/>
      <c r="AJ463" s="744"/>
      <c r="AK463" s="792"/>
      <c r="AL463" s="744"/>
      <c r="AM463" s="744"/>
    </row>
    <row r="464" spans="3:39" x14ac:dyDescent="0.25">
      <c r="C464" s="744"/>
      <c r="D464" s="744"/>
      <c r="E464" s="744"/>
      <c r="F464" s="745"/>
      <c r="G464" s="744"/>
      <c r="H464" s="744"/>
      <c r="I464" s="744"/>
      <c r="J464" s="745"/>
      <c r="K464" s="744"/>
      <c r="L464" s="744"/>
      <c r="M464" s="744"/>
      <c r="N464" s="745"/>
      <c r="O464" s="744"/>
      <c r="P464" s="744"/>
      <c r="Q464" s="744"/>
      <c r="R464" s="745"/>
      <c r="S464" s="985"/>
      <c r="T464" s="744"/>
      <c r="U464" s="744"/>
      <c r="V464" s="744"/>
      <c r="W464" s="985"/>
      <c r="X464" s="744"/>
      <c r="Y464" s="744"/>
      <c r="Z464" s="745"/>
      <c r="AA464" s="744"/>
      <c r="AB464" s="744"/>
      <c r="AC464" s="744"/>
      <c r="AD464" s="744"/>
      <c r="AE464" s="744"/>
      <c r="AF464" s="744"/>
      <c r="AG464" s="744"/>
      <c r="AH464" s="744"/>
      <c r="AI464" s="744"/>
      <c r="AJ464" s="744"/>
      <c r="AK464" s="792"/>
      <c r="AL464" s="744"/>
      <c r="AM464" s="744"/>
    </row>
    <row r="465" spans="3:39" x14ac:dyDescent="0.25">
      <c r="C465" s="744"/>
      <c r="D465" s="744"/>
      <c r="E465" s="744"/>
      <c r="F465" s="745"/>
      <c r="G465" s="744"/>
      <c r="H465" s="744"/>
      <c r="I465" s="744"/>
      <c r="J465" s="745"/>
      <c r="K465" s="744"/>
      <c r="L465" s="744"/>
      <c r="M465" s="744"/>
      <c r="N465" s="745"/>
      <c r="O465" s="744"/>
      <c r="P465" s="744"/>
      <c r="Q465" s="744"/>
      <c r="R465" s="745"/>
      <c r="S465" s="985"/>
      <c r="T465" s="744"/>
      <c r="U465" s="744"/>
      <c r="V465" s="744"/>
      <c r="W465" s="985"/>
      <c r="X465" s="744"/>
      <c r="Y465" s="744"/>
      <c r="Z465" s="745"/>
      <c r="AA465" s="744"/>
      <c r="AB465" s="744"/>
      <c r="AC465" s="744"/>
      <c r="AD465" s="744"/>
      <c r="AE465" s="744"/>
      <c r="AF465" s="744"/>
      <c r="AG465" s="744"/>
      <c r="AH465" s="744"/>
      <c r="AI465" s="744"/>
      <c r="AJ465" s="744"/>
      <c r="AK465" s="792"/>
      <c r="AL465" s="744"/>
      <c r="AM465" s="744"/>
    </row>
    <row r="466" spans="3:39" x14ac:dyDescent="0.25">
      <c r="C466" s="744"/>
      <c r="D466" s="744"/>
      <c r="E466" s="744"/>
      <c r="F466" s="745"/>
      <c r="G466" s="744"/>
      <c r="H466" s="744"/>
      <c r="I466" s="744"/>
      <c r="J466" s="745"/>
      <c r="K466" s="744"/>
      <c r="L466" s="744"/>
      <c r="M466" s="744"/>
      <c r="N466" s="745"/>
      <c r="O466" s="744"/>
      <c r="P466" s="744"/>
      <c r="Q466" s="744"/>
      <c r="R466" s="745"/>
      <c r="S466" s="985"/>
      <c r="T466" s="744"/>
      <c r="U466" s="744"/>
      <c r="V466" s="744"/>
      <c r="W466" s="985"/>
      <c r="X466" s="744"/>
      <c r="Y466" s="744"/>
      <c r="Z466" s="745"/>
      <c r="AA466" s="744"/>
      <c r="AB466" s="744"/>
      <c r="AC466" s="744"/>
      <c r="AD466" s="744"/>
      <c r="AE466" s="744"/>
      <c r="AF466" s="744"/>
      <c r="AG466" s="744"/>
      <c r="AH466" s="744"/>
      <c r="AI466" s="744"/>
      <c r="AJ466" s="744"/>
      <c r="AK466" s="792"/>
      <c r="AL466" s="744"/>
      <c r="AM466" s="744"/>
    </row>
    <row r="467" spans="3:39" x14ac:dyDescent="0.25">
      <c r="C467" s="744"/>
      <c r="D467" s="744"/>
      <c r="E467" s="744"/>
      <c r="F467" s="745"/>
      <c r="G467" s="744"/>
      <c r="H467" s="744"/>
      <c r="I467" s="744"/>
      <c r="J467" s="745"/>
      <c r="K467" s="744"/>
      <c r="L467" s="744"/>
      <c r="M467" s="744"/>
      <c r="N467" s="745"/>
      <c r="O467" s="744"/>
      <c r="P467" s="744"/>
      <c r="Q467" s="744"/>
      <c r="R467" s="745"/>
      <c r="S467" s="985"/>
      <c r="T467" s="744"/>
      <c r="U467" s="744"/>
      <c r="V467" s="744"/>
      <c r="W467" s="985"/>
      <c r="X467" s="744"/>
      <c r="Y467" s="744"/>
      <c r="Z467" s="745"/>
      <c r="AA467" s="744"/>
      <c r="AB467" s="744"/>
      <c r="AC467" s="744"/>
      <c r="AD467" s="744"/>
      <c r="AE467" s="744"/>
      <c r="AF467" s="744"/>
      <c r="AG467" s="744"/>
      <c r="AH467" s="744"/>
      <c r="AI467" s="744"/>
      <c r="AJ467" s="744"/>
      <c r="AK467" s="792"/>
      <c r="AL467" s="744"/>
      <c r="AM467" s="744"/>
    </row>
    <row r="468" spans="3:39" x14ac:dyDescent="0.25">
      <c r="C468" s="744"/>
      <c r="D468" s="744"/>
      <c r="E468" s="744"/>
      <c r="F468" s="745"/>
      <c r="G468" s="744"/>
      <c r="H468" s="744"/>
      <c r="I468" s="744"/>
      <c r="J468" s="745"/>
      <c r="K468" s="744"/>
      <c r="L468" s="744"/>
      <c r="M468" s="744"/>
      <c r="N468" s="745"/>
      <c r="O468" s="744"/>
      <c r="P468" s="744"/>
      <c r="Q468" s="744"/>
      <c r="R468" s="745"/>
      <c r="S468" s="985"/>
      <c r="T468" s="744"/>
      <c r="U468" s="744"/>
      <c r="V468" s="744"/>
      <c r="W468" s="985"/>
      <c r="X468" s="744"/>
      <c r="Y468" s="744"/>
      <c r="Z468" s="745"/>
      <c r="AA468" s="744"/>
      <c r="AB468" s="744"/>
      <c r="AC468" s="744"/>
      <c r="AD468" s="744"/>
      <c r="AE468" s="744"/>
      <c r="AF468" s="744"/>
      <c r="AG468" s="744"/>
      <c r="AH468" s="744"/>
      <c r="AI468" s="744"/>
      <c r="AJ468" s="744"/>
      <c r="AK468" s="792"/>
      <c r="AL468" s="744"/>
      <c r="AM468" s="744"/>
    </row>
    <row r="469" spans="3:39" x14ac:dyDescent="0.25">
      <c r="C469" s="744"/>
      <c r="D469" s="744"/>
      <c r="E469" s="744"/>
      <c r="F469" s="745"/>
      <c r="G469" s="744"/>
      <c r="H469" s="744"/>
      <c r="I469" s="744"/>
      <c r="J469" s="745"/>
      <c r="K469" s="744"/>
      <c r="L469" s="744"/>
      <c r="M469" s="744"/>
      <c r="N469" s="745"/>
      <c r="O469" s="744"/>
      <c r="P469" s="744"/>
      <c r="Q469" s="744"/>
      <c r="R469" s="745"/>
      <c r="S469" s="985"/>
      <c r="T469" s="744"/>
      <c r="U469" s="744"/>
      <c r="V469" s="744"/>
      <c r="W469" s="985"/>
      <c r="X469" s="744"/>
      <c r="Y469" s="744"/>
      <c r="Z469" s="745"/>
      <c r="AA469" s="744"/>
      <c r="AB469" s="744"/>
      <c r="AC469" s="744"/>
      <c r="AD469" s="744"/>
      <c r="AE469" s="744"/>
      <c r="AF469" s="744"/>
      <c r="AG469" s="744"/>
      <c r="AH469" s="744"/>
      <c r="AI469" s="744"/>
      <c r="AJ469" s="744"/>
      <c r="AK469" s="792"/>
      <c r="AL469" s="744"/>
      <c r="AM469" s="744"/>
    </row>
    <row r="470" spans="3:39" x14ac:dyDescent="0.25">
      <c r="C470" s="744"/>
      <c r="D470" s="744"/>
      <c r="E470" s="744"/>
      <c r="F470" s="745"/>
      <c r="G470" s="744"/>
      <c r="H470" s="744"/>
      <c r="I470" s="744"/>
      <c r="J470" s="745"/>
      <c r="K470" s="744"/>
      <c r="L470" s="744"/>
      <c r="M470" s="744"/>
      <c r="N470" s="745"/>
      <c r="O470" s="744"/>
      <c r="P470" s="744"/>
      <c r="Q470" s="744"/>
      <c r="R470" s="745"/>
      <c r="S470" s="985"/>
      <c r="T470" s="744"/>
      <c r="U470" s="744"/>
      <c r="V470" s="744"/>
      <c r="W470" s="985"/>
      <c r="X470" s="744"/>
      <c r="Y470" s="744"/>
      <c r="Z470" s="745"/>
      <c r="AA470" s="744"/>
      <c r="AB470" s="744"/>
      <c r="AC470" s="744"/>
      <c r="AD470" s="744"/>
      <c r="AE470" s="744"/>
      <c r="AF470" s="744"/>
      <c r="AG470" s="744"/>
      <c r="AH470" s="744"/>
      <c r="AI470" s="744"/>
      <c r="AJ470" s="744"/>
      <c r="AK470" s="792"/>
      <c r="AL470" s="744"/>
      <c r="AM470" s="744"/>
    </row>
    <row r="471" spans="3:39" x14ac:dyDescent="0.25">
      <c r="C471" s="744"/>
      <c r="D471" s="744"/>
      <c r="E471" s="744"/>
      <c r="F471" s="745"/>
      <c r="G471" s="744"/>
      <c r="H471" s="744"/>
      <c r="I471" s="744"/>
      <c r="J471" s="745"/>
      <c r="K471" s="744"/>
      <c r="L471" s="744"/>
      <c r="M471" s="744"/>
      <c r="N471" s="745"/>
      <c r="O471" s="744"/>
      <c r="P471" s="744"/>
      <c r="Q471" s="744"/>
      <c r="R471" s="745"/>
      <c r="S471" s="985"/>
      <c r="T471" s="744"/>
      <c r="U471" s="744"/>
      <c r="V471" s="744"/>
      <c r="W471" s="985"/>
      <c r="X471" s="744"/>
      <c r="Y471" s="744"/>
      <c r="Z471" s="745"/>
      <c r="AA471" s="744"/>
      <c r="AB471" s="744"/>
      <c r="AC471" s="744"/>
      <c r="AD471" s="744"/>
      <c r="AE471" s="744"/>
      <c r="AF471" s="744"/>
      <c r="AG471" s="744"/>
      <c r="AH471" s="744"/>
      <c r="AI471" s="744"/>
      <c r="AJ471" s="744"/>
      <c r="AK471" s="792"/>
      <c r="AL471" s="744"/>
      <c r="AM471" s="744"/>
    </row>
    <row r="472" spans="3:39" x14ac:dyDescent="0.25">
      <c r="C472" s="744"/>
      <c r="D472" s="744"/>
      <c r="E472" s="744"/>
      <c r="F472" s="745"/>
      <c r="G472" s="744"/>
      <c r="H472" s="744"/>
      <c r="I472" s="744"/>
      <c r="J472" s="745"/>
      <c r="K472" s="744"/>
      <c r="L472" s="744"/>
      <c r="M472" s="744"/>
      <c r="N472" s="745"/>
      <c r="O472" s="744"/>
      <c r="P472" s="744"/>
      <c r="Q472" s="744"/>
      <c r="R472" s="745"/>
      <c r="S472" s="985"/>
      <c r="T472" s="744"/>
      <c r="U472" s="744"/>
      <c r="V472" s="744"/>
      <c r="W472" s="985"/>
      <c r="X472" s="744"/>
      <c r="Y472" s="744"/>
      <c r="Z472" s="745"/>
      <c r="AA472" s="744"/>
      <c r="AB472" s="744"/>
      <c r="AC472" s="744"/>
      <c r="AD472" s="744"/>
      <c r="AE472" s="744"/>
      <c r="AF472" s="744"/>
      <c r="AG472" s="744"/>
      <c r="AH472" s="744"/>
      <c r="AI472" s="744"/>
      <c r="AJ472" s="744"/>
      <c r="AK472" s="792"/>
      <c r="AL472" s="744"/>
      <c r="AM472" s="744"/>
    </row>
    <row r="473" spans="3:39" x14ac:dyDescent="0.25">
      <c r="C473" s="744"/>
      <c r="D473" s="744"/>
      <c r="E473" s="744"/>
      <c r="F473" s="745"/>
      <c r="G473" s="744"/>
      <c r="H473" s="744"/>
      <c r="I473" s="744"/>
      <c r="J473" s="745"/>
      <c r="K473" s="744"/>
      <c r="L473" s="744"/>
      <c r="M473" s="744"/>
      <c r="N473" s="745"/>
      <c r="O473" s="744"/>
      <c r="P473" s="744"/>
      <c r="Q473" s="744"/>
      <c r="R473" s="745"/>
      <c r="S473" s="985"/>
      <c r="T473" s="744"/>
      <c r="U473" s="744"/>
      <c r="V473" s="744"/>
      <c r="W473" s="985"/>
      <c r="X473" s="744"/>
      <c r="Y473" s="744"/>
      <c r="Z473" s="745"/>
      <c r="AA473" s="744"/>
      <c r="AB473" s="744"/>
      <c r="AC473" s="744"/>
      <c r="AD473" s="744"/>
      <c r="AE473" s="744"/>
      <c r="AF473" s="744"/>
      <c r="AG473" s="744"/>
      <c r="AH473" s="744"/>
      <c r="AI473" s="744"/>
      <c r="AJ473" s="744"/>
      <c r="AK473" s="792"/>
      <c r="AL473" s="744"/>
      <c r="AM473" s="744"/>
    </row>
    <row r="474" spans="3:39" x14ac:dyDescent="0.25">
      <c r="C474" s="744"/>
      <c r="D474" s="744"/>
      <c r="E474" s="744"/>
      <c r="F474" s="745"/>
      <c r="G474" s="744"/>
      <c r="H474" s="744"/>
      <c r="I474" s="744"/>
      <c r="J474" s="745"/>
      <c r="K474" s="744"/>
      <c r="L474" s="744"/>
      <c r="M474" s="744"/>
      <c r="N474" s="745"/>
      <c r="O474" s="744"/>
      <c r="P474" s="744"/>
      <c r="Q474" s="744"/>
      <c r="R474" s="745"/>
      <c r="S474" s="985"/>
      <c r="T474" s="744"/>
      <c r="U474" s="744"/>
      <c r="V474" s="744"/>
      <c r="W474" s="985"/>
      <c r="X474" s="744"/>
      <c r="Y474" s="744"/>
      <c r="Z474" s="745"/>
      <c r="AA474" s="744"/>
      <c r="AB474" s="744"/>
      <c r="AC474" s="744"/>
      <c r="AD474" s="744"/>
      <c r="AE474" s="744"/>
      <c r="AF474" s="744"/>
      <c r="AG474" s="744"/>
      <c r="AH474" s="744"/>
      <c r="AI474" s="744"/>
      <c r="AJ474" s="744"/>
      <c r="AK474" s="792"/>
      <c r="AL474" s="744"/>
      <c r="AM474" s="744"/>
    </row>
    <row r="475" spans="3:39" x14ac:dyDescent="0.25">
      <c r="C475" s="744"/>
      <c r="D475" s="744"/>
      <c r="E475" s="744"/>
      <c r="F475" s="745"/>
      <c r="G475" s="744"/>
      <c r="H475" s="744"/>
      <c r="I475" s="744"/>
      <c r="J475" s="745"/>
      <c r="K475" s="744"/>
      <c r="L475" s="744"/>
      <c r="M475" s="744"/>
      <c r="N475" s="745"/>
      <c r="O475" s="744"/>
      <c r="P475" s="744"/>
      <c r="Q475" s="744"/>
      <c r="R475" s="745"/>
      <c r="S475" s="985"/>
      <c r="T475" s="744"/>
      <c r="U475" s="744"/>
      <c r="V475" s="744"/>
      <c r="W475" s="985"/>
      <c r="X475" s="744"/>
      <c r="Y475" s="744"/>
      <c r="Z475" s="745"/>
      <c r="AA475" s="744"/>
      <c r="AB475" s="744"/>
      <c r="AC475" s="744"/>
      <c r="AD475" s="744"/>
      <c r="AE475" s="744"/>
      <c r="AF475" s="744"/>
      <c r="AG475" s="744"/>
      <c r="AH475" s="744"/>
      <c r="AI475" s="744"/>
      <c r="AJ475" s="744"/>
      <c r="AK475" s="792"/>
      <c r="AL475" s="744"/>
      <c r="AM475" s="744"/>
    </row>
    <row r="476" spans="3:39" x14ac:dyDescent="0.25">
      <c r="C476" s="744"/>
      <c r="D476" s="744"/>
      <c r="E476" s="744"/>
      <c r="F476" s="745"/>
      <c r="G476" s="744"/>
      <c r="H476" s="744"/>
      <c r="I476" s="744"/>
      <c r="J476" s="745"/>
      <c r="K476" s="744"/>
      <c r="L476" s="744"/>
      <c r="M476" s="744"/>
      <c r="N476" s="745"/>
      <c r="O476" s="744"/>
      <c r="P476" s="744"/>
      <c r="Q476" s="744"/>
      <c r="R476" s="745"/>
      <c r="S476" s="985"/>
      <c r="T476" s="744"/>
      <c r="U476" s="744"/>
      <c r="V476" s="744"/>
      <c r="W476" s="985"/>
      <c r="X476" s="744"/>
      <c r="Y476" s="744"/>
      <c r="Z476" s="745"/>
      <c r="AA476" s="744"/>
      <c r="AB476" s="744"/>
      <c r="AC476" s="744"/>
      <c r="AD476" s="744"/>
      <c r="AE476" s="744"/>
      <c r="AF476" s="744"/>
      <c r="AG476" s="744"/>
      <c r="AH476" s="744"/>
      <c r="AI476" s="744"/>
      <c r="AJ476" s="744"/>
      <c r="AK476" s="792"/>
      <c r="AL476" s="744"/>
      <c r="AM476" s="744"/>
    </row>
    <row r="477" spans="3:39" x14ac:dyDescent="0.25">
      <c r="C477" s="744"/>
      <c r="D477" s="744"/>
      <c r="E477" s="744"/>
      <c r="F477" s="745"/>
      <c r="G477" s="744"/>
      <c r="H477" s="744"/>
      <c r="I477" s="744"/>
      <c r="J477" s="745"/>
      <c r="K477" s="744"/>
      <c r="L477" s="744"/>
      <c r="M477" s="744"/>
      <c r="N477" s="745"/>
      <c r="O477" s="744"/>
      <c r="P477" s="744"/>
      <c r="Q477" s="744"/>
      <c r="R477" s="745"/>
      <c r="S477" s="985"/>
      <c r="T477" s="744"/>
      <c r="U477" s="744"/>
      <c r="V477" s="744"/>
      <c r="W477" s="985"/>
      <c r="X477" s="744"/>
      <c r="Y477" s="744"/>
      <c r="Z477" s="745"/>
      <c r="AA477" s="744"/>
      <c r="AB477" s="744"/>
      <c r="AC477" s="744"/>
      <c r="AD477" s="744"/>
      <c r="AE477" s="744"/>
      <c r="AF477" s="744"/>
      <c r="AG477" s="744"/>
      <c r="AH477" s="744"/>
      <c r="AI477" s="744"/>
      <c r="AJ477" s="744"/>
      <c r="AK477" s="792"/>
      <c r="AL477" s="744"/>
      <c r="AM477" s="744"/>
    </row>
    <row r="478" spans="3:39" x14ac:dyDescent="0.25">
      <c r="C478" s="744"/>
      <c r="D478" s="744"/>
      <c r="E478" s="744"/>
      <c r="F478" s="745"/>
      <c r="G478" s="744"/>
      <c r="H478" s="744"/>
      <c r="I478" s="744"/>
      <c r="J478" s="745"/>
      <c r="K478" s="744"/>
      <c r="L478" s="744"/>
      <c r="M478" s="744"/>
      <c r="N478" s="745"/>
      <c r="O478" s="744"/>
      <c r="P478" s="744"/>
      <c r="Q478" s="744"/>
      <c r="R478" s="745"/>
      <c r="S478" s="985"/>
      <c r="T478" s="744"/>
      <c r="U478" s="744"/>
      <c r="V478" s="744"/>
      <c r="W478" s="985"/>
      <c r="X478" s="744"/>
      <c r="Y478" s="744"/>
      <c r="Z478" s="745"/>
      <c r="AA478" s="744"/>
      <c r="AB478" s="744"/>
      <c r="AC478" s="744"/>
      <c r="AD478" s="744"/>
      <c r="AE478" s="744"/>
      <c r="AF478" s="744"/>
      <c r="AG478" s="744"/>
      <c r="AH478" s="744"/>
      <c r="AI478" s="744"/>
      <c r="AJ478" s="744"/>
      <c r="AK478" s="792"/>
      <c r="AL478" s="744"/>
      <c r="AM478" s="744"/>
    </row>
    <row r="479" spans="3:39" x14ac:dyDescent="0.25">
      <c r="C479" s="744"/>
      <c r="D479" s="744"/>
      <c r="E479" s="744"/>
      <c r="F479" s="745"/>
      <c r="G479" s="744"/>
      <c r="H479" s="744"/>
      <c r="I479" s="744"/>
      <c r="J479" s="745"/>
      <c r="K479" s="744"/>
      <c r="L479" s="744"/>
      <c r="M479" s="744"/>
      <c r="N479" s="745"/>
      <c r="O479" s="744"/>
      <c r="P479" s="744"/>
      <c r="Q479" s="744"/>
      <c r="R479" s="745"/>
      <c r="S479" s="985"/>
      <c r="T479" s="744"/>
      <c r="U479" s="744"/>
      <c r="V479" s="744"/>
      <c r="W479" s="985"/>
      <c r="X479" s="744"/>
      <c r="Y479" s="744"/>
      <c r="Z479" s="745"/>
      <c r="AA479" s="744"/>
      <c r="AB479" s="744"/>
      <c r="AC479" s="744"/>
      <c r="AD479" s="744"/>
      <c r="AE479" s="744"/>
      <c r="AF479" s="744"/>
      <c r="AG479" s="744"/>
      <c r="AH479" s="744"/>
      <c r="AI479" s="744"/>
      <c r="AJ479" s="744"/>
      <c r="AK479" s="792"/>
      <c r="AL479" s="744"/>
      <c r="AM479" s="744"/>
    </row>
    <row r="480" spans="3:39" x14ac:dyDescent="0.25">
      <c r="C480" s="744"/>
      <c r="D480" s="744"/>
      <c r="E480" s="744"/>
      <c r="F480" s="745"/>
      <c r="G480" s="744"/>
      <c r="H480" s="744"/>
      <c r="I480" s="744"/>
      <c r="J480" s="745"/>
      <c r="K480" s="744"/>
      <c r="L480" s="744"/>
      <c r="M480" s="744"/>
      <c r="N480" s="745"/>
      <c r="O480" s="744"/>
      <c r="P480" s="744"/>
      <c r="Q480" s="744"/>
      <c r="R480" s="745"/>
      <c r="S480" s="985"/>
      <c r="T480" s="744"/>
      <c r="U480" s="744"/>
      <c r="V480" s="744"/>
      <c r="W480" s="985"/>
      <c r="X480" s="744"/>
      <c r="Y480" s="744"/>
      <c r="Z480" s="745"/>
      <c r="AA480" s="744"/>
      <c r="AB480" s="744"/>
      <c r="AC480" s="744"/>
      <c r="AD480" s="744"/>
      <c r="AE480" s="744"/>
      <c r="AF480" s="744"/>
      <c r="AG480" s="744"/>
      <c r="AH480" s="744"/>
      <c r="AI480" s="744"/>
      <c r="AJ480" s="744"/>
      <c r="AK480" s="792"/>
      <c r="AL480" s="744"/>
      <c r="AM480" s="744"/>
    </row>
    <row r="481" spans="3:39" x14ac:dyDescent="0.25">
      <c r="C481" s="744"/>
      <c r="D481" s="744"/>
      <c r="E481" s="744"/>
      <c r="F481" s="745"/>
      <c r="G481" s="744"/>
      <c r="H481" s="744"/>
      <c r="I481" s="744"/>
      <c r="J481" s="745"/>
      <c r="K481" s="744"/>
      <c r="L481" s="744"/>
      <c r="M481" s="744"/>
      <c r="N481" s="745"/>
      <c r="O481" s="744"/>
      <c r="P481" s="744"/>
      <c r="Q481" s="744"/>
      <c r="R481" s="745"/>
      <c r="S481" s="985"/>
      <c r="T481" s="744"/>
      <c r="U481" s="744"/>
      <c r="V481" s="744"/>
      <c r="W481" s="985"/>
      <c r="X481" s="744"/>
      <c r="Y481" s="744"/>
      <c r="Z481" s="744"/>
      <c r="AA481" s="744"/>
      <c r="AB481" s="744"/>
      <c r="AC481" s="744"/>
      <c r="AD481" s="744"/>
      <c r="AE481" s="744"/>
      <c r="AF481" s="744"/>
      <c r="AG481" s="744"/>
      <c r="AH481" s="744"/>
      <c r="AI481" s="744"/>
      <c r="AJ481" s="744"/>
      <c r="AK481" s="792"/>
      <c r="AL481" s="744"/>
      <c r="AM481" s="744"/>
    </row>
    <row r="482" spans="3:39" x14ac:dyDescent="0.25">
      <c r="C482" s="744"/>
      <c r="D482" s="744"/>
      <c r="E482" s="744"/>
      <c r="F482" s="745"/>
      <c r="G482" s="744"/>
      <c r="H482" s="744"/>
      <c r="I482" s="744"/>
      <c r="J482" s="745"/>
      <c r="K482" s="744"/>
      <c r="L482" s="744"/>
      <c r="M482" s="744"/>
      <c r="N482" s="745"/>
      <c r="O482" s="744"/>
      <c r="P482" s="744"/>
      <c r="Q482" s="744"/>
      <c r="R482" s="745"/>
      <c r="S482" s="985"/>
      <c r="T482" s="744"/>
      <c r="U482" s="744"/>
      <c r="V482" s="744"/>
      <c r="W482" s="985"/>
      <c r="X482" s="744"/>
      <c r="Y482" s="744"/>
      <c r="Z482" s="744"/>
      <c r="AA482" s="744"/>
      <c r="AB482" s="744"/>
      <c r="AC482" s="744"/>
      <c r="AD482" s="744"/>
      <c r="AE482" s="744"/>
      <c r="AF482" s="744"/>
      <c r="AG482" s="744"/>
      <c r="AH482" s="744"/>
      <c r="AI482" s="744"/>
      <c r="AJ482" s="744"/>
      <c r="AK482" s="792"/>
      <c r="AL482" s="744"/>
      <c r="AM482" s="744"/>
    </row>
    <row r="483" spans="3:39" x14ac:dyDescent="0.25">
      <c r="C483" s="744"/>
      <c r="D483" s="744"/>
      <c r="E483" s="744"/>
      <c r="F483" s="745"/>
      <c r="G483" s="744"/>
      <c r="H483" s="744"/>
      <c r="I483" s="744"/>
      <c r="J483" s="745"/>
      <c r="K483" s="744"/>
      <c r="L483" s="744"/>
      <c r="M483" s="744"/>
      <c r="N483" s="745"/>
      <c r="O483" s="744"/>
      <c r="P483" s="744"/>
      <c r="Q483" s="744"/>
      <c r="R483" s="745"/>
      <c r="S483" s="985"/>
      <c r="T483" s="744"/>
      <c r="U483" s="744"/>
      <c r="V483" s="744"/>
      <c r="W483" s="985"/>
      <c r="X483" s="744"/>
      <c r="Y483" s="744"/>
      <c r="Z483" s="744"/>
      <c r="AA483" s="744"/>
      <c r="AB483" s="744"/>
      <c r="AC483" s="744"/>
      <c r="AD483" s="744"/>
      <c r="AE483" s="744"/>
      <c r="AF483" s="744"/>
      <c r="AG483" s="744"/>
      <c r="AH483" s="744"/>
      <c r="AI483" s="744"/>
      <c r="AJ483" s="744"/>
      <c r="AK483" s="792"/>
      <c r="AL483" s="744"/>
      <c r="AM483" s="744"/>
    </row>
    <row r="484" spans="3:39" x14ac:dyDescent="0.25">
      <c r="C484" s="744"/>
      <c r="D484" s="744"/>
      <c r="E484" s="744"/>
      <c r="F484" s="745"/>
      <c r="G484" s="744"/>
      <c r="H484" s="744"/>
      <c r="I484" s="744"/>
      <c r="J484" s="745"/>
      <c r="K484" s="744"/>
      <c r="L484" s="744"/>
      <c r="M484" s="744"/>
      <c r="N484" s="745"/>
      <c r="O484" s="744"/>
      <c r="P484" s="744"/>
      <c r="Q484" s="744"/>
      <c r="R484" s="745"/>
      <c r="S484" s="985"/>
      <c r="T484" s="744"/>
      <c r="U484" s="744"/>
      <c r="V484" s="744"/>
      <c r="W484" s="985"/>
      <c r="X484" s="744"/>
      <c r="Y484" s="744"/>
      <c r="Z484" s="744"/>
      <c r="AA484" s="744"/>
      <c r="AB484" s="744"/>
      <c r="AC484" s="744"/>
      <c r="AD484" s="744"/>
      <c r="AE484" s="744"/>
      <c r="AF484" s="744"/>
      <c r="AG484" s="744"/>
      <c r="AH484" s="744"/>
      <c r="AI484" s="744"/>
      <c r="AJ484" s="744"/>
      <c r="AK484" s="792"/>
      <c r="AL484" s="744"/>
      <c r="AM484" s="744"/>
    </row>
    <row r="485" spans="3:39" x14ac:dyDescent="0.25">
      <c r="C485" s="744"/>
      <c r="D485" s="744"/>
      <c r="E485" s="744"/>
      <c r="F485" s="745"/>
      <c r="G485" s="744"/>
      <c r="H485" s="744"/>
      <c r="I485" s="744"/>
      <c r="J485" s="745"/>
      <c r="K485" s="744"/>
      <c r="L485" s="744"/>
      <c r="M485" s="744"/>
      <c r="N485" s="745"/>
      <c r="O485" s="744"/>
      <c r="P485" s="744"/>
      <c r="Q485" s="744"/>
      <c r="R485" s="745"/>
      <c r="S485" s="985"/>
      <c r="T485" s="744"/>
      <c r="U485" s="744"/>
      <c r="V485" s="744"/>
      <c r="W485" s="985"/>
      <c r="X485" s="744"/>
      <c r="Y485" s="744"/>
      <c r="Z485" s="744"/>
      <c r="AA485" s="744"/>
      <c r="AB485" s="744"/>
      <c r="AC485" s="744"/>
      <c r="AD485" s="744"/>
      <c r="AE485" s="744"/>
      <c r="AF485" s="744"/>
      <c r="AG485" s="744"/>
      <c r="AH485" s="744"/>
      <c r="AI485" s="744"/>
      <c r="AJ485" s="744"/>
      <c r="AK485" s="792"/>
      <c r="AL485" s="744"/>
      <c r="AM485" s="744"/>
    </row>
    <row r="486" spans="3:39" x14ac:dyDescent="0.25">
      <c r="C486" s="744"/>
      <c r="D486" s="744"/>
      <c r="E486" s="744"/>
      <c r="F486" s="745"/>
      <c r="G486" s="744"/>
      <c r="H486" s="744"/>
      <c r="I486" s="744"/>
      <c r="J486" s="745"/>
      <c r="K486" s="744"/>
      <c r="L486" s="744"/>
      <c r="M486" s="744"/>
      <c r="N486" s="745"/>
      <c r="O486" s="744"/>
      <c r="P486" s="744"/>
      <c r="Q486" s="744"/>
      <c r="R486" s="745"/>
      <c r="S486" s="985"/>
      <c r="T486" s="744"/>
      <c r="U486" s="744"/>
      <c r="V486" s="744"/>
      <c r="W486" s="985"/>
      <c r="X486" s="744"/>
      <c r="Y486" s="744"/>
      <c r="Z486" s="744"/>
      <c r="AA486" s="744"/>
      <c r="AB486" s="744"/>
      <c r="AC486" s="744"/>
      <c r="AD486" s="744"/>
      <c r="AE486" s="744"/>
      <c r="AF486" s="744"/>
      <c r="AG486" s="744"/>
      <c r="AH486" s="744"/>
      <c r="AI486" s="744"/>
      <c r="AJ486" s="744"/>
      <c r="AK486" s="792"/>
      <c r="AL486" s="744"/>
      <c r="AM486" s="744"/>
    </row>
    <row r="487" spans="3:39" x14ac:dyDescent="0.25">
      <c r="C487" s="744"/>
      <c r="D487" s="744"/>
      <c r="E487" s="744"/>
      <c r="F487" s="745"/>
      <c r="G487" s="744"/>
      <c r="H487" s="744"/>
      <c r="I487" s="744"/>
      <c r="J487" s="745"/>
      <c r="K487" s="744"/>
      <c r="L487" s="744"/>
      <c r="M487" s="744"/>
      <c r="N487" s="745"/>
      <c r="O487" s="744"/>
      <c r="P487" s="744"/>
      <c r="Q487" s="744"/>
      <c r="R487" s="745"/>
      <c r="S487" s="985"/>
      <c r="T487" s="744"/>
      <c r="U487" s="744"/>
      <c r="V487" s="744"/>
      <c r="W487" s="985"/>
      <c r="X487" s="744"/>
      <c r="Y487" s="744"/>
      <c r="Z487" s="744"/>
      <c r="AA487" s="744"/>
      <c r="AB487" s="744"/>
      <c r="AC487" s="744"/>
      <c r="AD487" s="744"/>
      <c r="AE487" s="744"/>
      <c r="AF487" s="744"/>
      <c r="AG487" s="744"/>
      <c r="AH487" s="744"/>
      <c r="AI487" s="744"/>
      <c r="AJ487" s="744"/>
      <c r="AK487" s="792"/>
      <c r="AL487" s="744"/>
      <c r="AM487" s="744"/>
    </row>
    <row r="488" spans="3:39" x14ac:dyDescent="0.25">
      <c r="C488" s="744"/>
      <c r="D488" s="744"/>
      <c r="E488" s="744"/>
      <c r="F488" s="745"/>
      <c r="G488" s="744"/>
      <c r="H488" s="744"/>
      <c r="I488" s="744"/>
      <c r="J488" s="745"/>
      <c r="K488" s="744"/>
      <c r="L488" s="744"/>
      <c r="M488" s="744"/>
      <c r="N488" s="745"/>
      <c r="O488" s="744"/>
      <c r="P488" s="744"/>
      <c r="Q488" s="744"/>
      <c r="R488" s="745"/>
      <c r="S488" s="985"/>
      <c r="T488" s="744"/>
      <c r="U488" s="744"/>
      <c r="V488" s="744"/>
      <c r="W488" s="985"/>
      <c r="X488" s="744"/>
      <c r="Y488" s="744"/>
      <c r="Z488" s="744"/>
      <c r="AA488" s="744"/>
      <c r="AB488" s="744"/>
      <c r="AC488" s="744"/>
      <c r="AD488" s="744"/>
      <c r="AE488" s="744"/>
      <c r="AF488" s="744"/>
      <c r="AG488" s="744"/>
      <c r="AH488" s="744"/>
      <c r="AI488" s="744"/>
      <c r="AJ488" s="744"/>
      <c r="AK488" s="792"/>
      <c r="AL488" s="744"/>
      <c r="AM488" s="744"/>
    </row>
    <row r="489" spans="3:39" x14ac:dyDescent="0.25">
      <c r="C489" s="744"/>
      <c r="D489" s="744"/>
      <c r="E489" s="744"/>
      <c r="F489" s="745"/>
      <c r="G489" s="744"/>
      <c r="H489" s="744"/>
      <c r="I489" s="744"/>
      <c r="J489" s="745"/>
      <c r="K489" s="744"/>
      <c r="L489" s="744"/>
      <c r="M489" s="744"/>
      <c r="N489" s="745"/>
      <c r="O489" s="744"/>
      <c r="P489" s="744"/>
      <c r="Q489" s="744"/>
      <c r="R489" s="745"/>
      <c r="S489" s="985"/>
      <c r="T489" s="744"/>
      <c r="U489" s="744"/>
      <c r="V489" s="744"/>
      <c r="W489" s="985"/>
      <c r="X489" s="744"/>
      <c r="Y489" s="744"/>
      <c r="Z489" s="744"/>
      <c r="AA489" s="744"/>
      <c r="AB489" s="744"/>
      <c r="AC489" s="744"/>
      <c r="AD489" s="744"/>
      <c r="AE489" s="744"/>
      <c r="AF489" s="744"/>
      <c r="AG489" s="744"/>
      <c r="AH489" s="744"/>
      <c r="AI489" s="744"/>
      <c r="AJ489" s="744"/>
      <c r="AK489" s="792"/>
      <c r="AL489" s="744"/>
      <c r="AM489" s="744"/>
    </row>
    <row r="490" spans="3:39" x14ac:dyDescent="0.25">
      <c r="C490" s="744"/>
      <c r="D490" s="744"/>
      <c r="E490" s="744"/>
      <c r="F490" s="745"/>
      <c r="G490" s="744"/>
      <c r="H490" s="744"/>
      <c r="I490" s="744"/>
      <c r="J490" s="745"/>
      <c r="K490" s="744"/>
      <c r="L490" s="744"/>
      <c r="M490" s="744"/>
      <c r="N490" s="745"/>
      <c r="O490" s="744"/>
      <c r="P490" s="744"/>
      <c r="Q490" s="744"/>
      <c r="R490" s="745"/>
      <c r="S490" s="985"/>
      <c r="T490" s="744"/>
      <c r="U490" s="744"/>
      <c r="V490" s="744"/>
      <c r="W490" s="985"/>
      <c r="X490" s="744"/>
      <c r="Y490" s="744"/>
      <c r="Z490" s="744"/>
      <c r="AA490" s="744"/>
      <c r="AB490" s="744"/>
      <c r="AC490" s="744"/>
      <c r="AD490" s="744"/>
      <c r="AE490" s="744"/>
      <c r="AF490" s="744"/>
      <c r="AG490" s="744"/>
      <c r="AH490" s="744"/>
      <c r="AI490" s="744"/>
      <c r="AJ490" s="744"/>
      <c r="AK490" s="792"/>
      <c r="AL490" s="744"/>
      <c r="AM490" s="744"/>
    </row>
    <row r="491" spans="3:39" x14ac:dyDescent="0.25">
      <c r="C491" s="744"/>
      <c r="D491" s="744"/>
      <c r="E491" s="744"/>
      <c r="F491" s="745"/>
      <c r="G491" s="744"/>
      <c r="H491" s="744"/>
      <c r="I491" s="744"/>
      <c r="J491" s="745"/>
      <c r="K491" s="744"/>
      <c r="L491" s="744"/>
      <c r="M491" s="744"/>
      <c r="N491" s="745"/>
      <c r="O491" s="744"/>
      <c r="P491" s="744"/>
      <c r="Q491" s="744"/>
      <c r="R491" s="745"/>
      <c r="S491" s="985"/>
      <c r="T491" s="744"/>
      <c r="U491" s="744"/>
      <c r="V491" s="744"/>
      <c r="W491" s="985"/>
      <c r="X491" s="744"/>
      <c r="Y491" s="744"/>
      <c r="Z491" s="744"/>
      <c r="AA491" s="744"/>
      <c r="AB491" s="744"/>
      <c r="AC491" s="744"/>
      <c r="AD491" s="744"/>
      <c r="AE491" s="744"/>
      <c r="AF491" s="744"/>
      <c r="AG491" s="744"/>
      <c r="AH491" s="744"/>
      <c r="AI491" s="744"/>
      <c r="AJ491" s="744"/>
      <c r="AK491" s="792"/>
      <c r="AL491" s="744"/>
      <c r="AM491" s="744"/>
    </row>
    <row r="492" spans="3:39" x14ac:dyDescent="0.25">
      <c r="C492" s="744"/>
      <c r="D492" s="744"/>
      <c r="E492" s="744"/>
      <c r="F492" s="745"/>
      <c r="G492" s="744"/>
      <c r="H492" s="744"/>
      <c r="I492" s="744"/>
      <c r="J492" s="745"/>
      <c r="K492" s="744"/>
      <c r="L492" s="744"/>
      <c r="M492" s="744"/>
      <c r="N492" s="745"/>
      <c r="O492" s="744"/>
      <c r="P492" s="744"/>
      <c r="Q492" s="744"/>
      <c r="R492" s="745"/>
      <c r="S492" s="985"/>
      <c r="T492" s="744"/>
      <c r="U492" s="744"/>
      <c r="V492" s="744"/>
      <c r="W492" s="985"/>
      <c r="X492" s="744"/>
      <c r="Y492" s="744"/>
      <c r="Z492" s="744"/>
      <c r="AA492" s="744"/>
      <c r="AB492" s="744"/>
      <c r="AC492" s="744"/>
      <c r="AD492" s="744"/>
      <c r="AE492" s="744"/>
      <c r="AF492" s="744"/>
      <c r="AG492" s="744"/>
      <c r="AH492" s="744"/>
      <c r="AI492" s="744"/>
      <c r="AJ492" s="744"/>
      <c r="AK492" s="792"/>
      <c r="AL492" s="744"/>
      <c r="AM492" s="744"/>
    </row>
    <row r="493" spans="3:39" x14ac:dyDescent="0.25">
      <c r="C493" s="744"/>
      <c r="D493" s="744"/>
      <c r="E493" s="744"/>
      <c r="F493" s="745"/>
      <c r="G493" s="744"/>
      <c r="H493" s="744"/>
      <c r="I493" s="744"/>
      <c r="J493" s="745"/>
      <c r="K493" s="744"/>
      <c r="L493" s="744"/>
      <c r="M493" s="744"/>
      <c r="N493" s="745"/>
      <c r="O493" s="744"/>
      <c r="P493" s="744"/>
      <c r="Q493" s="744"/>
      <c r="R493" s="745"/>
      <c r="S493" s="985"/>
      <c r="T493" s="744"/>
      <c r="U493" s="744"/>
      <c r="V493" s="744"/>
      <c r="W493" s="985"/>
      <c r="X493" s="744"/>
      <c r="Y493" s="744"/>
      <c r="Z493" s="744"/>
      <c r="AA493" s="744"/>
      <c r="AB493" s="744"/>
      <c r="AC493" s="744"/>
      <c r="AD493" s="744"/>
      <c r="AE493" s="744"/>
      <c r="AF493" s="744"/>
      <c r="AG493" s="744"/>
      <c r="AH493" s="744"/>
      <c r="AI493" s="744"/>
      <c r="AJ493" s="744"/>
      <c r="AK493" s="792"/>
      <c r="AL493" s="744"/>
      <c r="AM493" s="744"/>
    </row>
    <row r="494" spans="3:39" x14ac:dyDescent="0.25">
      <c r="C494" s="744"/>
      <c r="D494" s="744"/>
      <c r="E494" s="744"/>
      <c r="F494" s="745"/>
      <c r="G494" s="744"/>
      <c r="H494" s="744"/>
      <c r="I494" s="744"/>
      <c r="J494" s="745"/>
      <c r="K494" s="744"/>
      <c r="L494" s="744"/>
      <c r="M494" s="744"/>
      <c r="N494" s="745"/>
      <c r="O494" s="744"/>
      <c r="P494" s="744"/>
      <c r="Q494" s="744"/>
      <c r="R494" s="745"/>
      <c r="S494" s="985"/>
      <c r="T494" s="744"/>
      <c r="U494" s="744"/>
      <c r="V494" s="744"/>
      <c r="W494" s="985"/>
      <c r="X494" s="744"/>
      <c r="Y494" s="744"/>
      <c r="Z494" s="744"/>
      <c r="AA494" s="744"/>
      <c r="AB494" s="744"/>
      <c r="AC494" s="744"/>
      <c r="AD494" s="744"/>
      <c r="AE494" s="744"/>
      <c r="AF494" s="744"/>
      <c r="AG494" s="744"/>
      <c r="AH494" s="744"/>
      <c r="AI494" s="744"/>
      <c r="AJ494" s="744"/>
      <c r="AK494" s="792"/>
      <c r="AL494" s="744"/>
      <c r="AM494" s="744"/>
    </row>
    <row r="495" spans="3:39" x14ac:dyDescent="0.25">
      <c r="C495" s="744"/>
      <c r="D495" s="744"/>
      <c r="E495" s="744"/>
      <c r="F495" s="745"/>
      <c r="G495" s="744"/>
      <c r="H495" s="744"/>
      <c r="I495" s="744"/>
      <c r="J495" s="745"/>
      <c r="K495" s="744"/>
      <c r="L495" s="744"/>
      <c r="M495" s="744"/>
      <c r="N495" s="745"/>
      <c r="O495" s="744"/>
      <c r="P495" s="744"/>
      <c r="Q495" s="744"/>
      <c r="R495" s="745"/>
      <c r="S495" s="985"/>
      <c r="T495" s="744"/>
      <c r="U495" s="744"/>
      <c r="V495" s="744"/>
      <c r="W495" s="985"/>
      <c r="X495" s="744"/>
      <c r="Y495" s="744"/>
      <c r="Z495" s="744"/>
      <c r="AA495" s="744"/>
      <c r="AB495" s="744"/>
      <c r="AC495" s="744"/>
      <c r="AD495" s="744"/>
      <c r="AE495" s="744"/>
      <c r="AF495" s="744"/>
      <c r="AG495" s="744"/>
      <c r="AH495" s="744"/>
      <c r="AI495" s="744"/>
      <c r="AJ495" s="744"/>
      <c r="AK495" s="792"/>
      <c r="AL495" s="744"/>
      <c r="AM495" s="744"/>
    </row>
    <row r="496" spans="3:39" x14ac:dyDescent="0.25">
      <c r="C496" s="744"/>
      <c r="D496" s="744"/>
      <c r="E496" s="744"/>
      <c r="F496" s="745"/>
      <c r="G496" s="744"/>
      <c r="H496" s="744"/>
      <c r="I496" s="744"/>
      <c r="J496" s="745"/>
      <c r="K496" s="744"/>
      <c r="L496" s="744"/>
      <c r="M496" s="744"/>
      <c r="N496" s="745"/>
      <c r="O496" s="744"/>
      <c r="P496" s="744"/>
      <c r="Q496" s="744"/>
      <c r="R496" s="745"/>
      <c r="S496" s="985"/>
      <c r="T496" s="744"/>
      <c r="U496" s="744"/>
      <c r="V496" s="744"/>
      <c r="W496" s="985"/>
      <c r="X496" s="744"/>
      <c r="Y496" s="744"/>
      <c r="Z496" s="744"/>
      <c r="AA496" s="744"/>
      <c r="AB496" s="744"/>
      <c r="AC496" s="744"/>
      <c r="AD496" s="744"/>
      <c r="AE496" s="744"/>
      <c r="AF496" s="744"/>
      <c r="AG496" s="744"/>
      <c r="AH496" s="744"/>
      <c r="AI496" s="744"/>
      <c r="AJ496" s="744"/>
      <c r="AK496" s="792"/>
      <c r="AL496" s="744"/>
      <c r="AM496" s="744"/>
    </row>
    <row r="497" spans="3:39" x14ac:dyDescent="0.25">
      <c r="C497" s="744"/>
      <c r="D497" s="744"/>
      <c r="E497" s="744"/>
      <c r="F497" s="745"/>
      <c r="G497" s="744"/>
      <c r="H497" s="744"/>
      <c r="I497" s="744"/>
      <c r="J497" s="745"/>
      <c r="K497" s="744"/>
      <c r="L497" s="744"/>
      <c r="M497" s="744"/>
      <c r="N497" s="745"/>
      <c r="O497" s="744"/>
      <c r="P497" s="744"/>
      <c r="Q497" s="744"/>
      <c r="R497" s="745"/>
      <c r="S497" s="985"/>
      <c r="T497" s="744"/>
      <c r="U497" s="744"/>
      <c r="V497" s="744"/>
      <c r="W497" s="985"/>
      <c r="X497" s="744"/>
      <c r="Y497" s="744"/>
      <c r="Z497" s="744"/>
      <c r="AA497" s="744"/>
      <c r="AB497" s="744"/>
      <c r="AC497" s="744"/>
      <c r="AD497" s="744"/>
      <c r="AE497" s="744"/>
      <c r="AF497" s="744"/>
      <c r="AG497" s="744"/>
      <c r="AH497" s="744"/>
      <c r="AI497" s="744"/>
      <c r="AJ497" s="744"/>
      <c r="AK497" s="792"/>
      <c r="AL497" s="744"/>
      <c r="AM497" s="744"/>
    </row>
    <row r="498" spans="3:39" x14ac:dyDescent="0.25">
      <c r="C498" s="744"/>
      <c r="D498" s="744"/>
      <c r="E498" s="744"/>
      <c r="F498" s="745"/>
      <c r="G498" s="744"/>
      <c r="H498" s="744"/>
      <c r="I498" s="744"/>
      <c r="J498" s="745"/>
      <c r="K498" s="744"/>
      <c r="L498" s="744"/>
      <c r="M498" s="744"/>
      <c r="N498" s="745"/>
      <c r="O498" s="744"/>
      <c r="P498" s="744"/>
      <c r="Q498" s="744"/>
      <c r="R498" s="745"/>
      <c r="S498" s="985"/>
      <c r="T498" s="744"/>
      <c r="U498" s="744"/>
      <c r="V498" s="744"/>
      <c r="W498" s="985"/>
      <c r="X498" s="744"/>
      <c r="Y498" s="744"/>
      <c r="Z498" s="744"/>
      <c r="AA498" s="744"/>
      <c r="AB498" s="744"/>
      <c r="AC498" s="744"/>
      <c r="AD498" s="744"/>
      <c r="AE498" s="744"/>
      <c r="AF498" s="744"/>
      <c r="AG498" s="744"/>
      <c r="AH498" s="744"/>
      <c r="AI498" s="744"/>
      <c r="AJ498" s="744"/>
      <c r="AK498" s="792"/>
      <c r="AL498" s="744"/>
      <c r="AM498" s="744"/>
    </row>
    <row r="499" spans="3:39" x14ac:dyDescent="0.25">
      <c r="C499" s="744"/>
      <c r="D499" s="744"/>
      <c r="E499" s="744"/>
      <c r="F499" s="745"/>
      <c r="G499" s="744"/>
      <c r="H499" s="744"/>
      <c r="I499" s="744"/>
      <c r="J499" s="745"/>
      <c r="K499" s="744"/>
      <c r="L499" s="744"/>
      <c r="M499" s="744"/>
      <c r="N499" s="745"/>
      <c r="O499" s="744"/>
      <c r="P499" s="744"/>
      <c r="Q499" s="744"/>
      <c r="R499" s="745"/>
      <c r="S499" s="985"/>
      <c r="T499" s="744"/>
      <c r="U499" s="744"/>
      <c r="V499" s="744"/>
      <c r="W499" s="985"/>
      <c r="X499" s="744"/>
      <c r="Y499" s="744"/>
      <c r="Z499" s="744"/>
      <c r="AA499" s="744"/>
      <c r="AB499" s="744"/>
      <c r="AC499" s="744"/>
      <c r="AD499" s="744"/>
      <c r="AE499" s="744"/>
      <c r="AF499" s="744"/>
      <c r="AG499" s="744"/>
      <c r="AH499" s="744"/>
      <c r="AI499" s="744"/>
      <c r="AJ499" s="744"/>
      <c r="AK499" s="792"/>
      <c r="AL499" s="744"/>
      <c r="AM499" s="744"/>
    </row>
    <row r="500" spans="3:39" x14ac:dyDescent="0.25">
      <c r="C500" s="744"/>
      <c r="D500" s="744"/>
      <c r="E500" s="744"/>
      <c r="F500" s="745"/>
      <c r="G500" s="744"/>
      <c r="H500" s="744"/>
      <c r="I500" s="744"/>
      <c r="J500" s="745"/>
      <c r="K500" s="744"/>
      <c r="L500" s="744"/>
      <c r="M500" s="744"/>
      <c r="N500" s="745"/>
      <c r="O500" s="744"/>
      <c r="P500" s="744"/>
      <c r="Q500" s="744"/>
      <c r="R500" s="745"/>
      <c r="S500" s="985"/>
      <c r="T500" s="744"/>
      <c r="U500" s="744"/>
      <c r="V500" s="744"/>
      <c r="W500" s="985"/>
      <c r="X500" s="744"/>
      <c r="Y500" s="744"/>
      <c r="Z500" s="744"/>
      <c r="AA500" s="744"/>
      <c r="AB500" s="744"/>
      <c r="AC500" s="744"/>
      <c r="AD500" s="744"/>
      <c r="AE500" s="744"/>
      <c r="AF500" s="744"/>
      <c r="AG500" s="744"/>
      <c r="AH500" s="744"/>
      <c r="AI500" s="744"/>
      <c r="AJ500" s="744"/>
      <c r="AK500" s="792"/>
      <c r="AL500" s="744"/>
      <c r="AM500" s="744"/>
    </row>
    <row r="501" spans="3:39" x14ac:dyDescent="0.25">
      <c r="C501" s="744"/>
      <c r="D501" s="744"/>
      <c r="E501" s="744"/>
      <c r="F501" s="745"/>
      <c r="G501" s="744"/>
      <c r="H501" s="744"/>
      <c r="I501" s="744"/>
      <c r="J501" s="745"/>
      <c r="K501" s="744"/>
      <c r="L501" s="744"/>
      <c r="M501" s="744"/>
      <c r="N501" s="745"/>
      <c r="O501" s="744"/>
      <c r="P501" s="744"/>
      <c r="Q501" s="744"/>
      <c r="R501" s="745"/>
      <c r="S501" s="985"/>
      <c r="T501" s="744"/>
      <c r="U501" s="744"/>
      <c r="V501" s="744"/>
      <c r="W501" s="985"/>
      <c r="X501" s="744"/>
      <c r="Y501" s="744"/>
      <c r="Z501" s="744"/>
      <c r="AA501" s="744"/>
      <c r="AB501" s="744"/>
      <c r="AC501" s="744"/>
      <c r="AD501" s="744"/>
      <c r="AE501" s="744"/>
      <c r="AF501" s="744"/>
      <c r="AG501" s="744"/>
      <c r="AH501" s="744"/>
      <c r="AI501" s="744"/>
      <c r="AJ501" s="744"/>
      <c r="AK501" s="792"/>
      <c r="AL501" s="744"/>
      <c r="AM501" s="744"/>
    </row>
    <row r="502" spans="3:39" x14ac:dyDescent="0.25">
      <c r="C502" s="744"/>
      <c r="D502" s="744"/>
      <c r="E502" s="744"/>
      <c r="F502" s="745"/>
      <c r="G502" s="744"/>
      <c r="H502" s="744"/>
      <c r="I502" s="744"/>
      <c r="J502" s="745"/>
      <c r="K502" s="744"/>
      <c r="L502" s="744"/>
      <c r="M502" s="744"/>
      <c r="N502" s="745"/>
      <c r="O502" s="744"/>
      <c r="P502" s="744"/>
      <c r="Q502" s="744"/>
      <c r="R502" s="745"/>
      <c r="S502" s="985"/>
      <c r="T502" s="744"/>
      <c r="U502" s="744"/>
      <c r="V502" s="744"/>
      <c r="W502" s="985"/>
      <c r="X502" s="744"/>
      <c r="Y502" s="744"/>
      <c r="Z502" s="744"/>
      <c r="AA502" s="744"/>
      <c r="AB502" s="744"/>
      <c r="AC502" s="744"/>
      <c r="AD502" s="744"/>
      <c r="AE502" s="744"/>
      <c r="AF502" s="744"/>
      <c r="AG502" s="744"/>
      <c r="AH502" s="744"/>
      <c r="AI502" s="744"/>
      <c r="AJ502" s="744"/>
      <c r="AK502" s="792"/>
      <c r="AL502" s="744"/>
      <c r="AM502" s="744"/>
    </row>
    <row r="503" spans="3:39" x14ac:dyDescent="0.25">
      <c r="C503" s="744"/>
      <c r="D503" s="744"/>
      <c r="E503" s="744"/>
      <c r="F503" s="745"/>
      <c r="G503" s="744"/>
      <c r="H503" s="744"/>
      <c r="I503" s="744"/>
      <c r="J503" s="745"/>
      <c r="K503" s="744"/>
      <c r="L503" s="744"/>
      <c r="M503" s="744"/>
      <c r="N503" s="745"/>
      <c r="O503" s="744"/>
      <c r="P503" s="744"/>
      <c r="Q503" s="744"/>
      <c r="R503" s="745"/>
      <c r="S503" s="985"/>
      <c r="T503" s="744"/>
      <c r="U503" s="744"/>
      <c r="V503" s="744"/>
      <c r="W503" s="985"/>
      <c r="X503" s="744"/>
      <c r="Y503" s="744"/>
      <c r="Z503" s="744"/>
      <c r="AA503" s="744"/>
      <c r="AB503" s="744"/>
      <c r="AC503" s="744"/>
      <c r="AD503" s="744"/>
      <c r="AE503" s="744"/>
      <c r="AF503" s="744"/>
      <c r="AG503" s="744"/>
      <c r="AH503" s="744"/>
      <c r="AI503" s="744"/>
      <c r="AJ503" s="744"/>
      <c r="AK503" s="792"/>
      <c r="AL503" s="744"/>
      <c r="AM503" s="744"/>
    </row>
    <row r="504" spans="3:39" x14ac:dyDescent="0.25">
      <c r="C504" s="744"/>
      <c r="D504" s="744"/>
      <c r="E504" s="744"/>
      <c r="F504" s="745"/>
      <c r="G504" s="744"/>
      <c r="H504" s="744"/>
      <c r="I504" s="744"/>
      <c r="J504" s="745"/>
      <c r="K504" s="744"/>
      <c r="L504" s="744"/>
      <c r="M504" s="744"/>
      <c r="N504" s="745"/>
      <c r="O504" s="744"/>
      <c r="P504" s="744"/>
      <c r="Q504" s="744"/>
      <c r="R504" s="745"/>
      <c r="S504" s="985"/>
      <c r="T504" s="744"/>
      <c r="U504" s="744"/>
      <c r="V504" s="744"/>
      <c r="W504" s="985"/>
      <c r="X504" s="744"/>
      <c r="Y504" s="744"/>
      <c r="Z504" s="744"/>
      <c r="AA504" s="744"/>
      <c r="AB504" s="744"/>
      <c r="AC504" s="744"/>
      <c r="AD504" s="744"/>
      <c r="AE504" s="744"/>
      <c r="AF504" s="744"/>
      <c r="AG504" s="744"/>
      <c r="AH504" s="744"/>
      <c r="AI504" s="744"/>
      <c r="AJ504" s="744"/>
      <c r="AK504" s="792"/>
      <c r="AL504" s="744"/>
      <c r="AM504" s="744"/>
    </row>
    <row r="505" spans="3:39" x14ac:dyDescent="0.25">
      <c r="C505" s="744"/>
      <c r="D505" s="744"/>
      <c r="E505" s="744"/>
      <c r="F505" s="745"/>
      <c r="G505" s="744"/>
      <c r="H505" s="744"/>
      <c r="I505" s="744"/>
      <c r="J505" s="745"/>
      <c r="K505" s="744"/>
      <c r="L505" s="744"/>
      <c r="M505" s="744"/>
      <c r="N505" s="745"/>
      <c r="O505" s="744"/>
      <c r="P505" s="744"/>
      <c r="Q505" s="744"/>
      <c r="R505" s="745"/>
      <c r="S505" s="985"/>
      <c r="T505" s="744"/>
      <c r="U505" s="744"/>
      <c r="V505" s="744"/>
      <c r="W505" s="985"/>
      <c r="X505" s="744"/>
      <c r="Y505" s="744"/>
      <c r="Z505" s="744"/>
      <c r="AA505" s="744"/>
      <c r="AB505" s="744"/>
      <c r="AC505" s="744"/>
      <c r="AD505" s="744"/>
      <c r="AE505" s="744"/>
      <c r="AF505" s="744"/>
      <c r="AG505" s="744"/>
      <c r="AH505" s="744"/>
      <c r="AI505" s="744"/>
      <c r="AJ505" s="744"/>
      <c r="AK505" s="792"/>
      <c r="AL505" s="744"/>
      <c r="AM505" s="744"/>
    </row>
    <row r="506" spans="3:39" x14ac:dyDescent="0.25">
      <c r="C506" s="744"/>
      <c r="D506" s="744"/>
      <c r="E506" s="744"/>
      <c r="F506" s="745"/>
      <c r="G506" s="744"/>
      <c r="H506" s="744"/>
      <c r="I506" s="744"/>
      <c r="J506" s="745"/>
      <c r="K506" s="744"/>
      <c r="L506" s="744"/>
      <c r="M506" s="744"/>
      <c r="N506" s="745"/>
      <c r="O506" s="744"/>
      <c r="P506" s="744"/>
      <c r="Q506" s="744"/>
      <c r="R506" s="745"/>
      <c r="S506" s="985"/>
      <c r="T506" s="744"/>
      <c r="U506" s="744"/>
      <c r="V506" s="744"/>
      <c r="W506" s="985"/>
      <c r="X506" s="744"/>
      <c r="Y506" s="744"/>
      <c r="Z506" s="744"/>
      <c r="AA506" s="744"/>
      <c r="AB506" s="744"/>
      <c r="AC506" s="744"/>
      <c r="AD506" s="744"/>
      <c r="AE506" s="744"/>
      <c r="AF506" s="744"/>
      <c r="AG506" s="744"/>
      <c r="AH506" s="744"/>
      <c r="AI506" s="744"/>
      <c r="AJ506" s="744"/>
      <c r="AK506" s="792"/>
      <c r="AL506" s="744"/>
      <c r="AM506" s="744"/>
    </row>
    <row r="507" spans="3:39" x14ac:dyDescent="0.25">
      <c r="C507" s="744"/>
      <c r="D507" s="744"/>
      <c r="E507" s="744"/>
      <c r="F507" s="745"/>
      <c r="G507" s="744"/>
      <c r="H507" s="744"/>
      <c r="I507" s="744"/>
      <c r="J507" s="745"/>
      <c r="K507" s="744"/>
      <c r="L507" s="744"/>
      <c r="M507" s="744"/>
      <c r="N507" s="745"/>
      <c r="O507" s="744"/>
      <c r="P507" s="744"/>
      <c r="Q507" s="744"/>
      <c r="R507" s="745"/>
      <c r="S507" s="985"/>
      <c r="T507" s="744"/>
      <c r="U507" s="744"/>
      <c r="V507" s="744"/>
      <c r="W507" s="985"/>
      <c r="X507" s="744"/>
      <c r="Y507" s="744"/>
      <c r="Z507" s="744"/>
      <c r="AA507" s="744"/>
      <c r="AB507" s="744"/>
      <c r="AC507" s="744"/>
      <c r="AD507" s="744"/>
      <c r="AE507" s="744"/>
      <c r="AF507" s="744"/>
      <c r="AG507" s="744"/>
      <c r="AH507" s="744"/>
      <c r="AI507" s="744"/>
      <c r="AJ507" s="744"/>
      <c r="AK507" s="792"/>
      <c r="AL507" s="744"/>
      <c r="AM507" s="744"/>
    </row>
    <row r="508" spans="3:39" x14ac:dyDescent="0.25">
      <c r="C508" s="744"/>
      <c r="D508" s="744"/>
      <c r="E508" s="744"/>
      <c r="F508" s="745"/>
      <c r="G508" s="744"/>
      <c r="H508" s="744"/>
      <c r="I508" s="744"/>
      <c r="J508" s="745"/>
      <c r="K508" s="744"/>
      <c r="L508" s="744"/>
      <c r="M508" s="744"/>
      <c r="N508" s="745"/>
      <c r="O508" s="744"/>
      <c r="P508" s="744"/>
      <c r="Q508" s="744"/>
      <c r="R508" s="745"/>
      <c r="S508" s="985"/>
      <c r="T508" s="744"/>
      <c r="U508" s="744"/>
      <c r="V508" s="744"/>
      <c r="W508" s="985"/>
      <c r="X508" s="744"/>
      <c r="Y508" s="744"/>
      <c r="Z508" s="744"/>
      <c r="AA508" s="744"/>
      <c r="AB508" s="744"/>
      <c r="AC508" s="744"/>
      <c r="AD508" s="744"/>
      <c r="AE508" s="744"/>
      <c r="AF508" s="744"/>
      <c r="AG508" s="744"/>
      <c r="AH508" s="744"/>
      <c r="AI508" s="744"/>
      <c r="AJ508" s="744"/>
      <c r="AK508" s="792"/>
      <c r="AL508" s="744"/>
      <c r="AM508" s="744"/>
    </row>
    <row r="509" spans="3:39" x14ac:dyDescent="0.25">
      <c r="C509" s="744"/>
      <c r="D509" s="744"/>
      <c r="E509" s="744"/>
      <c r="F509" s="745"/>
      <c r="G509" s="744"/>
      <c r="H509" s="744"/>
      <c r="I509" s="744"/>
      <c r="J509" s="745"/>
      <c r="K509" s="744"/>
      <c r="L509" s="744"/>
      <c r="M509" s="744"/>
      <c r="N509" s="745"/>
      <c r="O509" s="744"/>
      <c r="P509" s="744"/>
      <c r="Q509" s="744"/>
      <c r="R509" s="745"/>
      <c r="S509" s="985"/>
      <c r="T509" s="744"/>
      <c r="U509" s="744"/>
      <c r="V509" s="744"/>
      <c r="W509" s="985"/>
      <c r="X509" s="744"/>
      <c r="Y509" s="744"/>
      <c r="Z509" s="744"/>
      <c r="AA509" s="744"/>
      <c r="AB509" s="744"/>
      <c r="AC509" s="744"/>
      <c r="AD509" s="744"/>
      <c r="AE509" s="744"/>
      <c r="AF509" s="744"/>
      <c r="AG509" s="744"/>
      <c r="AH509" s="744"/>
      <c r="AI509" s="744"/>
      <c r="AJ509" s="744"/>
      <c r="AK509" s="792"/>
      <c r="AL509" s="744"/>
      <c r="AM509" s="744"/>
    </row>
    <row r="510" spans="3:39" x14ac:dyDescent="0.25">
      <c r="C510" s="744"/>
      <c r="D510" s="744"/>
      <c r="E510" s="744"/>
      <c r="F510" s="745"/>
      <c r="G510" s="744"/>
      <c r="H510" s="744"/>
      <c r="I510" s="744"/>
      <c r="J510" s="745"/>
      <c r="K510" s="744"/>
      <c r="L510" s="744"/>
      <c r="M510" s="744"/>
      <c r="N510" s="745"/>
      <c r="O510" s="744"/>
      <c r="P510" s="744"/>
      <c r="Q510" s="744"/>
      <c r="R510" s="745"/>
      <c r="S510" s="985"/>
      <c r="T510" s="744"/>
      <c r="U510" s="744"/>
      <c r="V510" s="744"/>
      <c r="W510" s="985"/>
      <c r="X510" s="744"/>
      <c r="Y510" s="744"/>
      <c r="Z510" s="744"/>
      <c r="AA510" s="744"/>
      <c r="AB510" s="744"/>
      <c r="AC510" s="744"/>
      <c r="AD510" s="744"/>
      <c r="AE510" s="744"/>
      <c r="AF510" s="744"/>
      <c r="AG510" s="744"/>
      <c r="AH510" s="744"/>
      <c r="AI510" s="744"/>
      <c r="AJ510" s="744"/>
      <c r="AK510" s="792"/>
      <c r="AL510" s="744"/>
      <c r="AM510" s="744"/>
    </row>
    <row r="511" spans="3:39" x14ac:dyDescent="0.25">
      <c r="C511" s="744"/>
      <c r="D511" s="744"/>
      <c r="E511" s="744"/>
      <c r="F511" s="745"/>
      <c r="G511" s="744"/>
      <c r="H511" s="744"/>
      <c r="I511" s="744"/>
      <c r="J511" s="745"/>
      <c r="K511" s="744"/>
      <c r="L511" s="744"/>
      <c r="M511" s="744"/>
      <c r="N511" s="745"/>
      <c r="O511" s="744"/>
      <c r="P511" s="744"/>
      <c r="Q511" s="744"/>
      <c r="R511" s="745"/>
      <c r="S511" s="985"/>
      <c r="T511" s="744"/>
      <c r="U511" s="744"/>
      <c r="V511" s="744"/>
      <c r="W511" s="985"/>
      <c r="X511" s="744"/>
      <c r="Y511" s="744"/>
      <c r="Z511" s="744"/>
      <c r="AA511" s="744"/>
      <c r="AB511" s="744"/>
      <c r="AC511" s="744"/>
      <c r="AD511" s="744"/>
      <c r="AE511" s="744"/>
      <c r="AF511" s="744"/>
      <c r="AG511" s="744"/>
      <c r="AH511" s="744"/>
      <c r="AI511" s="744"/>
      <c r="AJ511" s="744"/>
      <c r="AK511" s="792"/>
      <c r="AL511" s="744"/>
      <c r="AM511" s="744"/>
    </row>
    <row r="512" spans="3:39" x14ac:dyDescent="0.25">
      <c r="C512" s="744"/>
      <c r="D512" s="744"/>
      <c r="E512" s="744"/>
      <c r="F512" s="745"/>
      <c r="G512" s="744"/>
      <c r="H512" s="744"/>
      <c r="I512" s="744"/>
      <c r="J512" s="745"/>
      <c r="K512" s="744"/>
      <c r="L512" s="744"/>
      <c r="M512" s="744"/>
      <c r="N512" s="745"/>
      <c r="O512" s="744"/>
      <c r="P512" s="744"/>
      <c r="Q512" s="744"/>
      <c r="R512" s="745"/>
      <c r="S512" s="985"/>
      <c r="T512" s="744"/>
      <c r="U512" s="744"/>
      <c r="V512" s="744"/>
      <c r="W512" s="985"/>
      <c r="X512" s="744"/>
      <c r="Y512" s="744"/>
      <c r="Z512" s="744"/>
      <c r="AA512" s="744"/>
      <c r="AB512" s="744"/>
      <c r="AC512" s="744"/>
      <c r="AD512" s="744"/>
      <c r="AE512" s="744"/>
      <c r="AF512" s="744"/>
      <c r="AG512" s="744"/>
      <c r="AH512" s="744"/>
      <c r="AI512" s="744"/>
      <c r="AJ512" s="744"/>
      <c r="AK512" s="792"/>
      <c r="AL512" s="744"/>
      <c r="AM512" s="744"/>
    </row>
    <row r="513" spans="3:39" x14ac:dyDescent="0.25">
      <c r="C513" s="744"/>
      <c r="D513" s="744"/>
      <c r="E513" s="744"/>
      <c r="F513" s="745"/>
      <c r="G513" s="744"/>
      <c r="H513" s="744"/>
      <c r="I513" s="744"/>
      <c r="J513" s="745"/>
      <c r="K513" s="744"/>
      <c r="L513" s="744"/>
      <c r="M513" s="744"/>
      <c r="N513" s="745"/>
      <c r="O513" s="744"/>
      <c r="P513" s="744"/>
      <c r="Q513" s="744"/>
      <c r="R513" s="745"/>
      <c r="S513" s="985"/>
      <c r="T513" s="744"/>
      <c r="U513" s="744"/>
      <c r="V513" s="744"/>
      <c r="W513" s="985"/>
      <c r="X513" s="744"/>
      <c r="Y513" s="744"/>
      <c r="Z513" s="744"/>
      <c r="AA513" s="744"/>
      <c r="AB513" s="744"/>
      <c r="AC513" s="744"/>
      <c r="AD513" s="744"/>
      <c r="AE513" s="744"/>
      <c r="AF513" s="744"/>
      <c r="AG513" s="744"/>
      <c r="AH513" s="744"/>
      <c r="AI513" s="744"/>
      <c r="AJ513" s="744"/>
      <c r="AK513" s="792"/>
      <c r="AL513" s="744"/>
      <c r="AM513" s="744"/>
    </row>
    <row r="514" spans="3:39" x14ac:dyDescent="0.25">
      <c r="C514" s="744"/>
      <c r="D514" s="744"/>
      <c r="E514" s="744"/>
      <c r="F514" s="745"/>
      <c r="G514" s="744"/>
      <c r="H514" s="744"/>
      <c r="I514" s="744"/>
      <c r="J514" s="745"/>
      <c r="K514" s="744"/>
      <c r="L514" s="744"/>
      <c r="M514" s="744"/>
      <c r="N514" s="745"/>
      <c r="O514" s="744"/>
      <c r="P514" s="744"/>
      <c r="Q514" s="744"/>
      <c r="R514" s="745"/>
      <c r="S514" s="985"/>
      <c r="T514" s="744"/>
      <c r="U514" s="744"/>
      <c r="V514" s="744"/>
      <c r="W514" s="985"/>
      <c r="X514" s="744"/>
      <c r="Y514" s="744"/>
      <c r="Z514" s="744"/>
      <c r="AA514" s="744"/>
      <c r="AB514" s="744"/>
      <c r="AC514" s="744"/>
      <c r="AD514" s="744"/>
      <c r="AE514" s="744"/>
      <c r="AF514" s="744"/>
      <c r="AG514" s="744"/>
      <c r="AH514" s="744"/>
      <c r="AI514" s="744"/>
      <c r="AJ514" s="744"/>
      <c r="AK514" s="792"/>
      <c r="AL514" s="744"/>
      <c r="AM514" s="744"/>
    </row>
    <row r="515" spans="3:39" x14ac:dyDescent="0.25">
      <c r="C515" s="744"/>
      <c r="D515" s="744"/>
      <c r="E515" s="744"/>
      <c r="F515" s="745"/>
      <c r="G515" s="744"/>
      <c r="H515" s="744"/>
      <c r="I515" s="744"/>
      <c r="J515" s="745"/>
      <c r="K515" s="744"/>
      <c r="L515" s="744"/>
      <c r="M515" s="744"/>
      <c r="N515" s="745"/>
      <c r="O515" s="744"/>
      <c r="P515" s="744"/>
      <c r="Q515" s="744"/>
      <c r="R515" s="745"/>
      <c r="S515" s="985"/>
      <c r="T515" s="744"/>
      <c r="U515" s="744"/>
      <c r="V515" s="744"/>
      <c r="W515" s="985"/>
      <c r="X515" s="744"/>
      <c r="Y515" s="744"/>
      <c r="Z515" s="744"/>
      <c r="AA515" s="744"/>
      <c r="AB515" s="744"/>
      <c r="AC515" s="744"/>
      <c r="AD515" s="744"/>
      <c r="AE515" s="744"/>
      <c r="AF515" s="744"/>
      <c r="AG515" s="744"/>
      <c r="AH515" s="744"/>
      <c r="AI515" s="744"/>
      <c r="AJ515" s="744"/>
      <c r="AK515" s="792"/>
      <c r="AL515" s="744"/>
      <c r="AM515" s="744"/>
    </row>
    <row r="516" spans="3:39" x14ac:dyDescent="0.25">
      <c r="C516" s="744"/>
      <c r="D516" s="744"/>
      <c r="E516" s="744"/>
      <c r="F516" s="745"/>
      <c r="G516" s="744"/>
      <c r="H516" s="744"/>
      <c r="I516" s="744"/>
      <c r="J516" s="745"/>
      <c r="K516" s="744"/>
      <c r="L516" s="744"/>
      <c r="M516" s="744"/>
      <c r="N516" s="745"/>
      <c r="O516" s="744"/>
      <c r="P516" s="744"/>
      <c r="Q516" s="744"/>
      <c r="R516" s="745"/>
      <c r="S516" s="985"/>
      <c r="T516" s="744"/>
      <c r="U516" s="744"/>
      <c r="V516" s="744"/>
      <c r="W516" s="985"/>
      <c r="X516" s="744"/>
      <c r="Y516" s="744"/>
      <c r="Z516" s="744"/>
      <c r="AA516" s="744"/>
      <c r="AB516" s="744"/>
      <c r="AC516" s="744"/>
      <c r="AD516" s="744"/>
      <c r="AE516" s="744"/>
      <c r="AF516" s="744"/>
      <c r="AG516" s="744"/>
      <c r="AH516" s="744"/>
      <c r="AI516" s="744"/>
      <c r="AJ516" s="744"/>
      <c r="AK516" s="792"/>
      <c r="AL516" s="744"/>
      <c r="AM516" s="744"/>
    </row>
    <row r="517" spans="3:39" x14ac:dyDescent="0.25">
      <c r="C517" s="744"/>
      <c r="D517" s="744"/>
      <c r="E517" s="744"/>
      <c r="F517" s="745"/>
      <c r="G517" s="744"/>
      <c r="H517" s="744"/>
      <c r="I517" s="744"/>
      <c r="J517" s="745"/>
      <c r="K517" s="744"/>
      <c r="L517" s="744"/>
      <c r="M517" s="744"/>
      <c r="N517" s="745"/>
      <c r="O517" s="744"/>
      <c r="P517" s="744"/>
      <c r="Q517" s="744"/>
      <c r="R517" s="745"/>
      <c r="S517" s="985"/>
      <c r="T517" s="744"/>
      <c r="U517" s="744"/>
      <c r="V517" s="744"/>
      <c r="W517" s="985"/>
      <c r="X517" s="744"/>
      <c r="Y517" s="744"/>
      <c r="Z517" s="744"/>
      <c r="AA517" s="744"/>
      <c r="AB517" s="744"/>
      <c r="AC517" s="744"/>
      <c r="AD517" s="744"/>
      <c r="AE517" s="744"/>
      <c r="AF517" s="744"/>
      <c r="AG517" s="744"/>
      <c r="AH517" s="744"/>
      <c r="AI517" s="744"/>
      <c r="AJ517" s="744"/>
      <c r="AK517" s="792"/>
      <c r="AL517" s="744"/>
      <c r="AM517" s="744"/>
    </row>
    <row r="518" spans="3:39" x14ac:dyDescent="0.25">
      <c r="C518" s="744"/>
      <c r="D518" s="744"/>
      <c r="E518" s="744"/>
      <c r="F518" s="745"/>
      <c r="G518" s="744"/>
      <c r="H518" s="744"/>
      <c r="I518" s="744"/>
      <c r="J518" s="745"/>
      <c r="K518" s="744"/>
      <c r="L518" s="744"/>
      <c r="M518" s="744"/>
      <c r="N518" s="745"/>
      <c r="O518" s="744"/>
      <c r="P518" s="744"/>
      <c r="Q518" s="744"/>
      <c r="R518" s="745"/>
      <c r="S518" s="985"/>
      <c r="T518" s="744"/>
      <c r="U518" s="744"/>
      <c r="V518" s="744"/>
      <c r="W518" s="985"/>
      <c r="X518" s="744"/>
      <c r="Y518" s="744"/>
      <c r="Z518" s="744"/>
      <c r="AA518" s="744"/>
      <c r="AB518" s="744"/>
      <c r="AC518" s="744"/>
      <c r="AD518" s="744"/>
      <c r="AE518" s="744"/>
      <c r="AF518" s="744"/>
      <c r="AG518" s="744"/>
      <c r="AH518" s="744"/>
      <c r="AI518" s="744"/>
      <c r="AJ518" s="744"/>
      <c r="AK518" s="792"/>
      <c r="AL518" s="744"/>
      <c r="AM518" s="744"/>
    </row>
    <row r="519" spans="3:39" x14ac:dyDescent="0.25">
      <c r="C519" s="744"/>
      <c r="D519" s="744"/>
      <c r="E519" s="744"/>
      <c r="F519" s="745"/>
      <c r="G519" s="744"/>
      <c r="H519" s="744"/>
      <c r="I519" s="744"/>
      <c r="J519" s="745"/>
      <c r="K519" s="744"/>
      <c r="L519" s="744"/>
      <c r="M519" s="744"/>
      <c r="N519" s="745"/>
      <c r="O519" s="744"/>
      <c r="P519" s="744"/>
      <c r="Q519" s="744"/>
      <c r="R519" s="745"/>
      <c r="S519" s="985"/>
      <c r="T519" s="744"/>
      <c r="U519" s="744"/>
      <c r="V519" s="744"/>
      <c r="W519" s="985"/>
      <c r="X519" s="744"/>
      <c r="Y519" s="744"/>
      <c r="Z519" s="744"/>
      <c r="AA519" s="744"/>
      <c r="AB519" s="744"/>
      <c r="AC519" s="744"/>
      <c r="AD519" s="744"/>
      <c r="AE519" s="744"/>
      <c r="AF519" s="744"/>
      <c r="AG519" s="744"/>
      <c r="AH519" s="744"/>
      <c r="AI519" s="744"/>
      <c r="AJ519" s="744"/>
      <c r="AK519" s="792"/>
      <c r="AL519" s="744"/>
      <c r="AM519" s="744"/>
    </row>
    <row r="520" spans="3:39" x14ac:dyDescent="0.25">
      <c r="C520" s="744"/>
      <c r="D520" s="744"/>
      <c r="E520" s="744"/>
      <c r="F520" s="745"/>
      <c r="G520" s="744"/>
      <c r="H520" s="744"/>
      <c r="I520" s="744"/>
      <c r="J520" s="745"/>
      <c r="K520" s="744"/>
      <c r="L520" s="744"/>
      <c r="M520" s="744"/>
      <c r="N520" s="745"/>
      <c r="O520" s="744"/>
      <c r="P520" s="744"/>
      <c r="Q520" s="744"/>
      <c r="R520" s="745"/>
      <c r="S520" s="985"/>
      <c r="T520" s="744"/>
      <c r="U520" s="744"/>
      <c r="V520" s="744"/>
      <c r="W520" s="985"/>
      <c r="X520" s="744"/>
      <c r="Y520" s="744"/>
      <c r="Z520" s="744"/>
      <c r="AA520" s="744"/>
      <c r="AB520" s="744"/>
      <c r="AC520" s="744"/>
      <c r="AD520" s="744"/>
      <c r="AE520" s="744"/>
      <c r="AF520" s="744"/>
      <c r="AG520" s="744"/>
      <c r="AH520" s="744"/>
      <c r="AI520" s="744"/>
      <c r="AJ520" s="744"/>
      <c r="AK520" s="792"/>
      <c r="AL520" s="744"/>
      <c r="AM520" s="744"/>
    </row>
    <row r="521" spans="3:39" x14ac:dyDescent="0.25">
      <c r="C521" s="744"/>
      <c r="D521" s="744"/>
      <c r="E521" s="744"/>
      <c r="F521" s="745"/>
      <c r="G521" s="744"/>
      <c r="H521" s="744"/>
      <c r="I521" s="744"/>
      <c r="J521" s="745"/>
      <c r="K521" s="744"/>
      <c r="L521" s="744"/>
      <c r="M521" s="744"/>
      <c r="N521" s="745"/>
      <c r="O521" s="744"/>
      <c r="P521" s="744"/>
      <c r="Q521" s="744"/>
      <c r="R521" s="745"/>
      <c r="S521" s="985"/>
      <c r="T521" s="744"/>
      <c r="U521" s="744"/>
      <c r="V521" s="744"/>
      <c r="W521" s="985"/>
      <c r="X521" s="744"/>
      <c r="Y521" s="744"/>
      <c r="Z521" s="744"/>
      <c r="AA521" s="744"/>
      <c r="AB521" s="744"/>
      <c r="AC521" s="744"/>
      <c r="AD521" s="744"/>
      <c r="AE521" s="744"/>
      <c r="AF521" s="744"/>
      <c r="AG521" s="744"/>
      <c r="AH521" s="744"/>
      <c r="AI521" s="744"/>
      <c r="AJ521" s="744"/>
      <c r="AK521" s="792"/>
      <c r="AL521" s="744"/>
      <c r="AM521" s="744"/>
    </row>
    <row r="522" spans="3:39" x14ac:dyDescent="0.25">
      <c r="C522" s="744"/>
      <c r="D522" s="744"/>
      <c r="E522" s="744"/>
      <c r="F522" s="745"/>
      <c r="G522" s="744"/>
      <c r="H522" s="744"/>
      <c r="I522" s="744"/>
      <c r="J522" s="745"/>
      <c r="K522" s="744"/>
      <c r="L522" s="744"/>
      <c r="M522" s="744"/>
      <c r="N522" s="745"/>
      <c r="O522" s="744"/>
      <c r="P522" s="744"/>
      <c r="Q522" s="744"/>
      <c r="R522" s="745"/>
      <c r="S522" s="985"/>
      <c r="T522" s="744"/>
      <c r="U522" s="744"/>
      <c r="V522" s="744"/>
      <c r="W522" s="985"/>
      <c r="X522" s="744"/>
      <c r="Y522" s="744"/>
      <c r="Z522" s="744"/>
      <c r="AA522" s="744"/>
      <c r="AB522" s="744"/>
      <c r="AC522" s="744"/>
      <c r="AD522" s="744"/>
      <c r="AE522" s="744"/>
      <c r="AF522" s="744"/>
      <c r="AG522" s="744"/>
      <c r="AH522" s="744"/>
      <c r="AI522" s="744"/>
      <c r="AJ522" s="744"/>
      <c r="AK522" s="792"/>
      <c r="AL522" s="744"/>
      <c r="AM522" s="744"/>
    </row>
    <row r="523" spans="3:39" x14ac:dyDescent="0.25">
      <c r="C523" s="744"/>
      <c r="D523" s="744"/>
      <c r="E523" s="744"/>
      <c r="F523" s="745"/>
      <c r="G523" s="744"/>
      <c r="H523" s="744"/>
      <c r="I523" s="744"/>
      <c r="J523" s="745"/>
      <c r="K523" s="744"/>
      <c r="L523" s="744"/>
      <c r="M523" s="744"/>
      <c r="N523" s="745"/>
      <c r="O523" s="744"/>
      <c r="P523" s="744"/>
      <c r="Q523" s="744"/>
      <c r="R523" s="745"/>
      <c r="S523" s="985"/>
      <c r="T523" s="744"/>
      <c r="U523" s="744"/>
      <c r="V523" s="744"/>
      <c r="W523" s="985"/>
      <c r="X523" s="744"/>
      <c r="Y523" s="744"/>
      <c r="Z523" s="744"/>
      <c r="AA523" s="744"/>
      <c r="AB523" s="744"/>
      <c r="AC523" s="744"/>
      <c r="AD523" s="744"/>
      <c r="AE523" s="744"/>
      <c r="AF523" s="744"/>
      <c r="AG523" s="744"/>
      <c r="AH523" s="744"/>
      <c r="AI523" s="744"/>
      <c r="AJ523" s="744"/>
      <c r="AK523" s="792"/>
      <c r="AL523" s="744"/>
      <c r="AM523" s="744"/>
    </row>
    <row r="524" spans="3:39" x14ac:dyDescent="0.25">
      <c r="C524" s="744"/>
      <c r="D524" s="744"/>
      <c r="E524" s="744"/>
      <c r="F524" s="745"/>
      <c r="G524" s="744"/>
      <c r="H524" s="744"/>
      <c r="I524" s="744"/>
      <c r="J524" s="745"/>
      <c r="K524" s="744"/>
      <c r="L524" s="744"/>
      <c r="M524" s="744"/>
      <c r="N524" s="745"/>
      <c r="O524" s="744"/>
      <c r="P524" s="744"/>
      <c r="Q524" s="744"/>
      <c r="R524" s="745"/>
      <c r="S524" s="985"/>
      <c r="T524" s="744"/>
      <c r="U524" s="744"/>
      <c r="V524" s="744"/>
      <c r="W524" s="985"/>
      <c r="X524" s="744"/>
      <c r="Y524" s="744"/>
      <c r="Z524" s="744"/>
      <c r="AA524" s="744"/>
      <c r="AB524" s="744"/>
      <c r="AC524" s="744"/>
      <c r="AD524" s="744"/>
      <c r="AE524" s="744"/>
      <c r="AF524" s="744"/>
      <c r="AG524" s="744"/>
      <c r="AH524" s="744"/>
      <c r="AI524" s="744"/>
      <c r="AJ524" s="744"/>
      <c r="AK524" s="792"/>
      <c r="AL524" s="744"/>
      <c r="AM524" s="744"/>
    </row>
    <row r="525" spans="3:39" x14ac:dyDescent="0.25">
      <c r="C525" s="744"/>
      <c r="D525" s="744"/>
      <c r="E525" s="744"/>
      <c r="F525" s="745"/>
      <c r="G525" s="744"/>
      <c r="H525" s="744"/>
      <c r="I525" s="744"/>
      <c r="J525" s="745"/>
      <c r="K525" s="744"/>
      <c r="L525" s="744"/>
      <c r="M525" s="744"/>
      <c r="N525" s="745"/>
      <c r="O525" s="744"/>
      <c r="P525" s="744"/>
      <c r="Q525" s="744"/>
      <c r="R525" s="745"/>
      <c r="S525" s="985"/>
      <c r="T525" s="744"/>
      <c r="U525" s="744"/>
      <c r="V525" s="744"/>
      <c r="W525" s="985"/>
      <c r="X525" s="744"/>
      <c r="Y525" s="744"/>
      <c r="Z525" s="744"/>
      <c r="AA525" s="744"/>
      <c r="AB525" s="744"/>
      <c r="AC525" s="744"/>
      <c r="AD525" s="744"/>
      <c r="AE525" s="744"/>
      <c r="AF525" s="744"/>
      <c r="AG525" s="744"/>
      <c r="AH525" s="744"/>
      <c r="AI525" s="744"/>
      <c r="AJ525" s="744"/>
      <c r="AK525" s="792"/>
      <c r="AL525" s="744"/>
      <c r="AM525" s="744"/>
    </row>
    <row r="526" spans="3:39" x14ac:dyDescent="0.25">
      <c r="C526" s="744"/>
      <c r="D526" s="744"/>
      <c r="E526" s="744"/>
      <c r="F526" s="745"/>
      <c r="G526" s="744"/>
      <c r="H526" s="744"/>
      <c r="I526" s="744"/>
      <c r="J526" s="745"/>
      <c r="K526" s="744"/>
      <c r="L526" s="744"/>
      <c r="M526" s="744"/>
      <c r="N526" s="745"/>
      <c r="O526" s="744"/>
      <c r="P526" s="744"/>
      <c r="Q526" s="744"/>
      <c r="R526" s="745"/>
      <c r="S526" s="985"/>
      <c r="T526" s="744"/>
      <c r="U526" s="744"/>
      <c r="V526" s="744"/>
      <c r="W526" s="985"/>
      <c r="X526" s="744"/>
      <c r="Y526" s="744"/>
      <c r="Z526" s="744"/>
      <c r="AA526" s="744"/>
      <c r="AB526" s="744"/>
      <c r="AC526" s="744"/>
      <c r="AD526" s="744"/>
      <c r="AE526" s="744"/>
      <c r="AF526" s="744"/>
      <c r="AG526" s="744"/>
      <c r="AH526" s="744"/>
      <c r="AI526" s="744"/>
      <c r="AJ526" s="744"/>
      <c r="AK526" s="792"/>
      <c r="AL526" s="744"/>
      <c r="AM526" s="744"/>
    </row>
    <row r="527" spans="3:39" x14ac:dyDescent="0.25">
      <c r="C527" s="744"/>
      <c r="D527" s="744"/>
      <c r="E527" s="744"/>
      <c r="F527" s="745"/>
      <c r="G527" s="744"/>
      <c r="H527" s="744"/>
      <c r="I527" s="744"/>
      <c r="J527" s="745"/>
      <c r="K527" s="744"/>
      <c r="L527" s="744"/>
      <c r="M527" s="744"/>
      <c r="N527" s="745"/>
      <c r="O527" s="744"/>
      <c r="P527" s="744"/>
      <c r="Q527" s="744"/>
      <c r="R527" s="745"/>
      <c r="S527" s="985"/>
      <c r="T527" s="744"/>
      <c r="U527" s="744"/>
      <c r="V527" s="744"/>
      <c r="W527" s="985"/>
      <c r="X527" s="744"/>
      <c r="Y527" s="744"/>
      <c r="Z527" s="744"/>
      <c r="AA527" s="744"/>
      <c r="AB527" s="744"/>
      <c r="AC527" s="744"/>
      <c r="AD527" s="744"/>
      <c r="AE527" s="744"/>
      <c r="AF527" s="744"/>
      <c r="AG527" s="744"/>
      <c r="AH527" s="744"/>
      <c r="AI527" s="744"/>
      <c r="AJ527" s="744"/>
      <c r="AK527" s="792"/>
      <c r="AL527" s="744"/>
      <c r="AM527" s="744"/>
    </row>
    <row r="528" spans="3:39" x14ac:dyDescent="0.25">
      <c r="C528" s="744"/>
      <c r="D528" s="744"/>
      <c r="E528" s="744"/>
      <c r="F528" s="745"/>
      <c r="G528" s="744"/>
      <c r="H528" s="744"/>
      <c r="I528" s="744"/>
      <c r="J528" s="745"/>
      <c r="K528" s="744"/>
      <c r="L528" s="744"/>
      <c r="M528" s="744"/>
      <c r="N528" s="745"/>
      <c r="O528" s="744"/>
      <c r="P528" s="744"/>
      <c r="Q528" s="744"/>
      <c r="R528" s="745"/>
      <c r="S528" s="985"/>
      <c r="T528" s="744"/>
      <c r="U528" s="744"/>
      <c r="V528" s="744"/>
      <c r="W528" s="985"/>
      <c r="X528" s="744"/>
      <c r="Y528" s="744"/>
      <c r="Z528" s="744"/>
      <c r="AA528" s="744"/>
      <c r="AB528" s="744"/>
      <c r="AC528" s="744"/>
      <c r="AD528" s="744"/>
      <c r="AE528" s="744"/>
      <c r="AF528" s="744"/>
      <c r="AG528" s="744"/>
      <c r="AH528" s="744"/>
      <c r="AI528" s="744"/>
      <c r="AJ528" s="744"/>
      <c r="AK528" s="792"/>
      <c r="AL528" s="744"/>
      <c r="AM528" s="744"/>
    </row>
    <row r="529" spans="1:39" x14ac:dyDescent="0.25">
      <c r="C529" s="744"/>
      <c r="D529" s="744"/>
      <c r="E529" s="744"/>
      <c r="F529" s="745"/>
      <c r="G529" s="744"/>
      <c r="H529" s="744"/>
      <c r="I529" s="744"/>
      <c r="J529" s="745"/>
      <c r="K529" s="744"/>
      <c r="L529" s="744"/>
      <c r="M529" s="744"/>
      <c r="N529" s="745"/>
      <c r="O529" s="744"/>
      <c r="P529" s="744"/>
      <c r="Q529" s="744"/>
      <c r="R529" s="745"/>
      <c r="S529" s="985"/>
      <c r="T529" s="744"/>
      <c r="U529" s="744"/>
      <c r="V529" s="744"/>
      <c r="W529" s="985"/>
      <c r="X529" s="744"/>
      <c r="Y529" s="744"/>
      <c r="Z529" s="744"/>
      <c r="AA529" s="744"/>
      <c r="AB529" s="744"/>
      <c r="AC529" s="744"/>
      <c r="AD529" s="744"/>
      <c r="AE529" s="744"/>
      <c r="AF529" s="744"/>
      <c r="AG529" s="744"/>
      <c r="AH529" s="744"/>
      <c r="AI529" s="744"/>
      <c r="AJ529" s="744"/>
      <c r="AK529" s="792"/>
      <c r="AL529" s="744"/>
      <c r="AM529" s="744"/>
    </row>
    <row r="530" spans="1:39" x14ac:dyDescent="0.25">
      <c r="C530" s="744"/>
      <c r="D530" s="744"/>
      <c r="E530" s="744"/>
      <c r="F530" s="745"/>
      <c r="G530" s="744"/>
      <c r="H530" s="744"/>
      <c r="I530" s="744"/>
      <c r="J530" s="745"/>
      <c r="K530" s="744"/>
      <c r="L530" s="744"/>
      <c r="M530" s="744"/>
      <c r="N530" s="745"/>
      <c r="O530" s="744"/>
      <c r="P530" s="744"/>
      <c r="Q530" s="744"/>
      <c r="R530" s="745"/>
      <c r="S530" s="985"/>
      <c r="T530" s="744"/>
      <c r="U530" s="744"/>
      <c r="V530" s="744"/>
      <c r="W530" s="985"/>
      <c r="X530" s="744"/>
      <c r="Y530" s="744"/>
      <c r="Z530" s="744"/>
      <c r="AA530" s="744"/>
      <c r="AB530" s="744"/>
      <c r="AC530" s="744"/>
      <c r="AD530" s="744"/>
      <c r="AE530" s="744"/>
      <c r="AF530" s="744"/>
      <c r="AG530" s="744"/>
      <c r="AH530" s="744"/>
      <c r="AI530" s="744"/>
      <c r="AJ530" s="744"/>
      <c r="AK530" s="792"/>
      <c r="AL530" s="744"/>
      <c r="AM530" s="744"/>
    </row>
    <row r="531" spans="1:39" x14ac:dyDescent="0.25">
      <c r="C531" s="744"/>
      <c r="D531" s="744"/>
      <c r="E531" s="744"/>
      <c r="F531" s="745"/>
      <c r="G531" s="744"/>
      <c r="H531" s="744"/>
      <c r="I531" s="744"/>
      <c r="J531" s="745"/>
      <c r="K531" s="744"/>
      <c r="L531" s="744"/>
      <c r="M531" s="744"/>
      <c r="N531" s="745"/>
      <c r="O531" s="744"/>
      <c r="P531" s="744"/>
      <c r="Q531" s="744"/>
      <c r="R531" s="745"/>
      <c r="S531" s="985"/>
      <c r="T531" s="744"/>
      <c r="U531" s="744"/>
      <c r="V531" s="744"/>
      <c r="W531" s="985"/>
      <c r="X531" s="744"/>
      <c r="Y531" s="744"/>
      <c r="Z531" s="744"/>
      <c r="AA531" s="744"/>
      <c r="AB531" s="744"/>
      <c r="AC531" s="744"/>
      <c r="AD531" s="744"/>
      <c r="AE531" s="744"/>
      <c r="AF531" s="744"/>
      <c r="AG531" s="744"/>
      <c r="AH531" s="744"/>
      <c r="AI531" s="744"/>
      <c r="AJ531" s="744"/>
      <c r="AK531" s="792"/>
      <c r="AL531" s="744"/>
      <c r="AM531" s="744"/>
    </row>
    <row r="532" spans="1:39" x14ac:dyDescent="0.25">
      <c r="C532" s="744"/>
      <c r="D532" s="744"/>
      <c r="E532" s="744"/>
      <c r="F532" s="745"/>
      <c r="G532" s="744"/>
      <c r="H532" s="744"/>
      <c r="I532" s="744"/>
      <c r="J532" s="745"/>
      <c r="K532" s="744"/>
      <c r="L532" s="744"/>
      <c r="M532" s="744"/>
      <c r="N532" s="745"/>
      <c r="O532" s="744"/>
      <c r="P532" s="744"/>
      <c r="Q532" s="744"/>
      <c r="R532" s="745"/>
      <c r="S532" s="985"/>
      <c r="T532" s="744"/>
      <c r="U532" s="744"/>
      <c r="V532" s="744"/>
      <c r="W532" s="985"/>
      <c r="X532" s="744"/>
      <c r="Y532" s="744"/>
      <c r="Z532" s="744"/>
      <c r="AA532" s="744"/>
      <c r="AB532" s="744"/>
      <c r="AC532" s="744"/>
      <c r="AD532" s="744"/>
      <c r="AE532" s="744"/>
      <c r="AF532" s="744"/>
      <c r="AG532" s="744"/>
      <c r="AH532" s="744"/>
      <c r="AI532" s="744"/>
      <c r="AJ532" s="744"/>
      <c r="AK532" s="792"/>
      <c r="AL532" s="744"/>
      <c r="AM532" s="744"/>
    </row>
    <row r="533" spans="1:39" x14ac:dyDescent="0.25">
      <c r="C533" s="744"/>
      <c r="D533" s="744"/>
      <c r="E533" s="744"/>
      <c r="F533" s="745"/>
      <c r="G533" s="744"/>
      <c r="H533" s="744"/>
      <c r="I533" s="744"/>
      <c r="J533" s="745"/>
      <c r="K533" s="744"/>
      <c r="L533" s="744"/>
      <c r="M533" s="744"/>
      <c r="N533" s="745"/>
      <c r="O533" s="744"/>
      <c r="P533" s="744"/>
      <c r="Q533" s="744"/>
      <c r="R533" s="745"/>
      <c r="S533" s="985"/>
      <c r="T533" s="744"/>
      <c r="U533" s="744"/>
      <c r="V533" s="744"/>
      <c r="W533" s="985"/>
      <c r="X533" s="744"/>
      <c r="Y533" s="744"/>
      <c r="Z533" s="744"/>
      <c r="AA533" s="744"/>
      <c r="AB533" s="744"/>
      <c r="AC533" s="744"/>
      <c r="AD533" s="744"/>
      <c r="AE533" s="744"/>
      <c r="AF533" s="744"/>
      <c r="AG533" s="744"/>
      <c r="AH533" s="744"/>
      <c r="AI533" s="744"/>
      <c r="AJ533" s="744"/>
      <c r="AK533" s="792"/>
      <c r="AL533" s="744"/>
      <c r="AM533" s="744"/>
    </row>
    <row r="534" spans="1:39" x14ac:dyDescent="0.25">
      <c r="C534" s="744"/>
      <c r="D534" s="744"/>
      <c r="E534" s="744"/>
      <c r="F534" s="745"/>
      <c r="G534" s="744"/>
      <c r="H534" s="744"/>
      <c r="I534" s="744"/>
      <c r="J534" s="745"/>
      <c r="K534" s="744"/>
      <c r="L534" s="744"/>
      <c r="M534" s="744"/>
      <c r="N534" s="745"/>
      <c r="O534" s="744"/>
      <c r="P534" s="744"/>
      <c r="Q534" s="744"/>
      <c r="R534" s="745"/>
      <c r="S534" s="985"/>
      <c r="T534" s="744"/>
      <c r="U534" s="744"/>
      <c r="V534" s="744"/>
      <c r="W534" s="985"/>
      <c r="X534" s="744"/>
      <c r="Y534" s="744"/>
      <c r="Z534" s="744"/>
      <c r="AA534" s="744"/>
      <c r="AB534" s="744"/>
      <c r="AC534" s="744"/>
      <c r="AD534" s="744"/>
      <c r="AE534" s="744"/>
      <c r="AF534" s="744"/>
      <c r="AG534" s="744"/>
      <c r="AH534" s="744"/>
      <c r="AI534" s="744"/>
      <c r="AJ534" s="744"/>
      <c r="AK534" s="792"/>
      <c r="AL534" s="744"/>
      <c r="AM534" s="744"/>
    </row>
    <row r="535" spans="1:39" x14ac:dyDescent="0.25">
      <c r="C535" s="744"/>
      <c r="D535" s="744"/>
      <c r="E535" s="744"/>
      <c r="F535" s="745"/>
      <c r="G535" s="744"/>
      <c r="H535" s="744"/>
      <c r="I535" s="744"/>
      <c r="J535" s="745"/>
      <c r="K535" s="744"/>
      <c r="L535" s="744"/>
      <c r="M535" s="744"/>
      <c r="N535" s="745"/>
      <c r="O535" s="744"/>
      <c r="P535" s="744"/>
      <c r="Q535" s="744"/>
      <c r="R535" s="745"/>
      <c r="S535" s="985"/>
      <c r="T535" s="744"/>
      <c r="U535" s="744"/>
      <c r="V535" s="744"/>
      <c r="W535" s="985"/>
      <c r="X535" s="744"/>
      <c r="Y535" s="744"/>
      <c r="Z535" s="744"/>
      <c r="AA535" s="744"/>
      <c r="AB535" s="744"/>
      <c r="AC535" s="744"/>
      <c r="AD535" s="744"/>
      <c r="AE535" s="744"/>
      <c r="AF535" s="744"/>
      <c r="AG535" s="744"/>
      <c r="AH535" s="744"/>
      <c r="AI535" s="744"/>
      <c r="AJ535" s="744"/>
      <c r="AK535" s="792"/>
      <c r="AL535" s="744"/>
      <c r="AM535" s="744"/>
    </row>
    <row r="536" spans="1:39" x14ac:dyDescent="0.25">
      <c r="C536" s="744"/>
      <c r="D536" s="744"/>
      <c r="E536" s="744"/>
      <c r="F536" s="745"/>
      <c r="G536" s="744"/>
      <c r="H536" s="744"/>
      <c r="I536" s="744"/>
      <c r="J536" s="745"/>
      <c r="K536" s="744"/>
      <c r="L536" s="744"/>
      <c r="M536" s="744"/>
      <c r="N536" s="745"/>
      <c r="O536" s="744"/>
      <c r="P536" s="744"/>
      <c r="Q536" s="744"/>
      <c r="R536" s="745"/>
      <c r="S536" s="985"/>
      <c r="T536" s="744"/>
      <c r="U536" s="744"/>
      <c r="V536" s="744"/>
      <c r="W536" s="985"/>
      <c r="X536" s="744"/>
      <c r="Y536" s="744"/>
      <c r="Z536" s="744"/>
      <c r="AA536" s="744"/>
      <c r="AB536" s="744"/>
      <c r="AC536" s="744"/>
      <c r="AD536" s="744"/>
      <c r="AE536" s="744"/>
      <c r="AF536" s="744"/>
      <c r="AG536" s="744"/>
      <c r="AH536" s="744"/>
      <c r="AI536" s="744"/>
      <c r="AJ536" s="744"/>
      <c r="AK536" s="792"/>
      <c r="AL536" s="744"/>
      <c r="AM536" s="744"/>
    </row>
    <row r="537" spans="1:39" x14ac:dyDescent="0.25">
      <c r="C537" s="744"/>
      <c r="D537" s="744"/>
      <c r="E537" s="744"/>
      <c r="F537" s="745"/>
      <c r="G537" s="744"/>
      <c r="H537" s="744"/>
      <c r="I537" s="744"/>
      <c r="J537" s="745"/>
      <c r="K537" s="744"/>
      <c r="L537" s="744"/>
      <c r="M537" s="744"/>
      <c r="N537" s="745"/>
      <c r="O537" s="744"/>
      <c r="P537" s="744"/>
      <c r="Q537" s="744"/>
      <c r="R537" s="745"/>
      <c r="S537" s="985"/>
      <c r="T537" s="744"/>
      <c r="U537" s="744"/>
      <c r="V537" s="744"/>
      <c r="W537" s="985"/>
      <c r="X537" s="744"/>
      <c r="Y537" s="744"/>
      <c r="Z537" s="744"/>
      <c r="AA537" s="744"/>
      <c r="AB537" s="744"/>
      <c r="AC537" s="744"/>
      <c r="AD537" s="744"/>
      <c r="AE537" s="744"/>
      <c r="AF537" s="744"/>
      <c r="AG537" s="744"/>
      <c r="AH537" s="744"/>
      <c r="AI537" s="744"/>
      <c r="AJ537" s="744"/>
      <c r="AK537" s="792"/>
      <c r="AL537" s="744"/>
      <c r="AM537" s="744"/>
    </row>
    <row r="538" spans="1:39" x14ac:dyDescent="0.25">
      <c r="C538" s="744"/>
      <c r="D538" s="744"/>
      <c r="E538" s="744"/>
      <c r="F538" s="745"/>
      <c r="G538" s="744"/>
      <c r="H538" s="744"/>
      <c r="I538" s="744"/>
      <c r="J538" s="745"/>
      <c r="K538" s="744"/>
      <c r="L538" s="744"/>
      <c r="M538" s="744"/>
      <c r="N538" s="745"/>
      <c r="O538" s="744"/>
      <c r="P538" s="744"/>
      <c r="Q538" s="744"/>
      <c r="R538" s="745"/>
      <c r="S538" s="985"/>
      <c r="T538" s="744"/>
      <c r="U538" s="744"/>
      <c r="V538" s="744"/>
      <c r="W538" s="985"/>
      <c r="X538" s="744"/>
      <c r="Y538" s="744"/>
      <c r="Z538" s="744"/>
      <c r="AA538" s="744"/>
      <c r="AB538" s="744"/>
      <c r="AC538" s="744"/>
      <c r="AD538" s="744"/>
      <c r="AE538" s="744"/>
      <c r="AK538" s="1093"/>
    </row>
    <row r="539" spans="1:39" x14ac:dyDescent="0.25">
      <c r="A539" s="789" t="s">
        <v>322</v>
      </c>
      <c r="B539" s="789"/>
      <c r="C539" s="869" t="s">
        <v>323</v>
      </c>
      <c r="D539" s="869" t="s">
        <v>324</v>
      </c>
      <c r="E539" s="869" t="s">
        <v>28</v>
      </c>
      <c r="F539" s="744"/>
      <c r="G539" s="744"/>
      <c r="H539" s="744"/>
      <c r="I539" s="744"/>
      <c r="J539" s="744"/>
      <c r="K539" s="744"/>
      <c r="L539" s="744"/>
      <c r="M539" s="744"/>
      <c r="N539" s="744"/>
      <c r="O539" s="744"/>
      <c r="P539" s="744"/>
      <c r="Q539" s="744"/>
      <c r="R539" s="744"/>
      <c r="S539" s="744"/>
      <c r="T539" s="744"/>
      <c r="U539" s="744"/>
      <c r="V539" s="744"/>
      <c r="W539" s="985"/>
      <c r="X539" s="744"/>
      <c r="Y539" s="744"/>
      <c r="Z539" s="744"/>
      <c r="AA539" s="744"/>
      <c r="AB539" s="744"/>
      <c r="AC539" s="744"/>
      <c r="AD539" s="744"/>
      <c r="AE539" s="744"/>
      <c r="AF539" s="744"/>
      <c r="AG539" s="744"/>
      <c r="AH539" s="744"/>
      <c r="AI539" s="744"/>
      <c r="AJ539" s="744"/>
      <c r="AK539" s="792"/>
      <c r="AL539" s="744"/>
      <c r="AM539" s="744"/>
    </row>
    <row r="540" spans="1:39" x14ac:dyDescent="0.25">
      <c r="A540" s="460" t="s">
        <v>325</v>
      </c>
      <c r="C540" s="957">
        <v>44286</v>
      </c>
      <c r="D540" s="744">
        <v>7.6</v>
      </c>
      <c r="E540" s="744"/>
      <c r="F540" s="744"/>
      <c r="G540" s="744"/>
      <c r="H540" s="744"/>
      <c r="I540" s="744"/>
      <c r="J540" s="744"/>
      <c r="K540" s="744"/>
      <c r="L540" s="744"/>
      <c r="M540" s="744"/>
      <c r="N540" s="744"/>
      <c r="O540" s="744"/>
      <c r="P540" s="744"/>
      <c r="Q540" s="744"/>
      <c r="R540" s="744"/>
      <c r="S540" s="744"/>
      <c r="T540" s="744"/>
      <c r="U540" s="744"/>
      <c r="V540" s="744"/>
      <c r="W540" s="985"/>
      <c r="X540" s="744"/>
      <c r="Y540" s="744"/>
      <c r="Z540" s="744"/>
      <c r="AA540" s="744"/>
      <c r="AB540" s="744"/>
      <c r="AC540" s="744"/>
      <c r="AD540" s="744"/>
      <c r="AE540" s="744"/>
      <c r="AF540" s="744"/>
      <c r="AG540" s="744"/>
      <c r="AH540" s="744"/>
      <c r="AI540" s="744"/>
      <c r="AJ540" s="744"/>
      <c r="AK540" s="792"/>
      <c r="AL540" s="744"/>
      <c r="AM540" s="744"/>
    </row>
    <row r="541" spans="1:39" x14ac:dyDescent="0.25">
      <c r="A541" s="460" t="s">
        <v>326</v>
      </c>
      <c r="C541" s="957">
        <v>44530</v>
      </c>
      <c r="D541" s="958" t="s">
        <v>126</v>
      </c>
      <c r="E541" s="744" t="s">
        <v>327</v>
      </c>
      <c r="F541" s="744"/>
      <c r="G541" s="744"/>
      <c r="H541" s="744"/>
      <c r="I541" s="744"/>
      <c r="J541" s="744"/>
      <c r="K541" s="744"/>
      <c r="L541" s="744"/>
      <c r="M541" s="744"/>
      <c r="N541" s="744"/>
      <c r="O541" s="744"/>
      <c r="P541" s="744"/>
      <c r="Q541" s="744"/>
      <c r="R541" s="744"/>
      <c r="S541" s="744"/>
      <c r="T541" s="744"/>
      <c r="U541" s="744"/>
      <c r="V541" s="744"/>
      <c r="W541" s="985"/>
      <c r="X541" s="744"/>
      <c r="Y541" s="744"/>
      <c r="Z541" s="744"/>
      <c r="AA541" s="744"/>
      <c r="AB541" s="744"/>
      <c r="AC541" s="744"/>
      <c r="AD541" s="744"/>
      <c r="AE541" s="744"/>
      <c r="AF541" s="744"/>
      <c r="AG541" s="744"/>
      <c r="AH541" s="744"/>
      <c r="AI541" s="744"/>
      <c r="AJ541" s="744"/>
      <c r="AK541" s="792"/>
      <c r="AL541" s="744"/>
      <c r="AM541" s="744"/>
    </row>
    <row r="542" spans="1:39" x14ac:dyDescent="0.25">
      <c r="A542" s="460" t="s">
        <v>328</v>
      </c>
      <c r="C542" s="957">
        <v>44530</v>
      </c>
      <c r="D542" s="744">
        <v>39.4</v>
      </c>
      <c r="E542" s="744" t="s">
        <v>329</v>
      </c>
      <c r="F542" s="744"/>
      <c r="G542" s="744"/>
      <c r="H542" s="744"/>
      <c r="I542" s="744"/>
      <c r="J542" s="744"/>
      <c r="K542" s="744"/>
      <c r="L542" s="744"/>
      <c r="M542" s="744"/>
      <c r="N542" s="744"/>
      <c r="O542" s="744"/>
      <c r="P542" s="744"/>
      <c r="Q542" s="744"/>
      <c r="R542" s="744"/>
      <c r="S542" s="744"/>
      <c r="T542" s="744"/>
      <c r="U542" s="744"/>
      <c r="V542" s="744"/>
      <c r="W542" s="985"/>
      <c r="X542" s="744"/>
      <c r="Y542" s="744"/>
      <c r="Z542" s="744"/>
      <c r="AA542" s="744"/>
      <c r="AB542" s="744"/>
      <c r="AC542" s="744"/>
      <c r="AD542" s="744"/>
      <c r="AE542" s="744"/>
      <c r="AF542" s="744"/>
      <c r="AG542" s="744"/>
      <c r="AH542" s="744"/>
      <c r="AI542" s="744"/>
      <c r="AJ542" s="744"/>
      <c r="AK542" s="792"/>
      <c r="AL542" s="744"/>
      <c r="AM542" s="744"/>
    </row>
    <row r="543" spans="1:39" x14ac:dyDescent="0.25">
      <c r="A543" s="460" t="s">
        <v>330</v>
      </c>
      <c r="C543" s="957">
        <v>44562</v>
      </c>
      <c r="D543" s="744">
        <v>19.8</v>
      </c>
      <c r="E543" s="744"/>
      <c r="F543" s="744"/>
      <c r="G543" s="744"/>
      <c r="H543" s="744"/>
      <c r="I543" s="744"/>
      <c r="J543" s="744"/>
      <c r="K543" s="744"/>
      <c r="L543" s="744"/>
      <c r="M543" s="744"/>
      <c r="N543" s="744"/>
      <c r="O543" s="744"/>
      <c r="P543" s="744"/>
      <c r="Q543" s="744"/>
      <c r="R543" s="744"/>
      <c r="S543" s="744"/>
      <c r="T543" s="744"/>
      <c r="U543" s="744"/>
      <c r="V543" s="744"/>
      <c r="W543" s="985"/>
      <c r="X543" s="744"/>
      <c r="Y543" s="744"/>
      <c r="Z543" s="744"/>
      <c r="AA543" s="744"/>
      <c r="AB543" s="744"/>
      <c r="AC543" s="744"/>
      <c r="AD543" s="744"/>
      <c r="AE543" s="744"/>
      <c r="AF543" s="744"/>
      <c r="AG543" s="744"/>
      <c r="AH543" s="744"/>
      <c r="AI543" s="744"/>
      <c r="AJ543" s="744"/>
      <c r="AK543" s="792"/>
      <c r="AL543" s="744"/>
      <c r="AM543" s="744"/>
    </row>
    <row r="544" spans="1:39" x14ac:dyDescent="0.25">
      <c r="C544" s="744"/>
      <c r="D544" s="744"/>
      <c r="E544" s="744"/>
      <c r="F544" s="744"/>
      <c r="G544" s="744"/>
      <c r="H544" s="744"/>
      <c r="I544" s="744"/>
      <c r="J544" s="744"/>
      <c r="K544" s="744"/>
      <c r="L544" s="744"/>
      <c r="M544" s="744"/>
      <c r="N544" s="744"/>
      <c r="O544" s="744"/>
      <c r="P544" s="744"/>
      <c r="Q544" s="744"/>
      <c r="R544" s="744"/>
      <c r="S544" s="744"/>
      <c r="T544" s="744"/>
      <c r="U544" s="744"/>
      <c r="V544" s="744"/>
      <c r="W544" s="985"/>
      <c r="X544" s="744"/>
      <c r="Y544" s="744"/>
      <c r="Z544" s="744"/>
      <c r="AA544" s="744"/>
      <c r="AB544" s="744"/>
      <c r="AC544" s="744"/>
      <c r="AD544" s="744"/>
      <c r="AE544" s="744"/>
      <c r="AF544" s="744"/>
      <c r="AG544" s="744"/>
      <c r="AH544" s="744"/>
      <c r="AI544" s="744"/>
      <c r="AJ544" s="744"/>
      <c r="AK544" s="792"/>
      <c r="AL544" s="744"/>
      <c r="AM544" s="744"/>
    </row>
    <row r="545" spans="3:39" x14ac:dyDescent="0.25">
      <c r="C545" s="744"/>
      <c r="D545" s="744"/>
      <c r="E545" s="744"/>
      <c r="F545" s="744"/>
      <c r="G545" s="744"/>
      <c r="H545" s="744"/>
      <c r="I545" s="744"/>
      <c r="J545" s="744"/>
      <c r="K545" s="744"/>
      <c r="L545" s="744"/>
      <c r="M545" s="744"/>
      <c r="N545" s="744"/>
      <c r="O545" s="744"/>
      <c r="P545" s="744"/>
      <c r="Q545" s="744"/>
      <c r="R545" s="744"/>
      <c r="S545" s="744"/>
      <c r="T545" s="744"/>
      <c r="U545" s="744"/>
      <c r="V545" s="744"/>
      <c r="W545" s="985"/>
      <c r="X545" s="744"/>
      <c r="Y545" s="744"/>
      <c r="Z545" s="744"/>
      <c r="AA545" s="744"/>
      <c r="AB545" s="744"/>
      <c r="AC545" s="744"/>
      <c r="AD545" s="744"/>
      <c r="AE545" s="744"/>
      <c r="AF545" s="744"/>
      <c r="AG545" s="744"/>
      <c r="AH545" s="744"/>
      <c r="AI545" s="744"/>
      <c r="AJ545" s="744"/>
      <c r="AK545" s="792"/>
      <c r="AL545" s="744"/>
      <c r="AM545" s="744"/>
    </row>
    <row r="546" spans="3:39" x14ac:dyDescent="0.25">
      <c r="C546" s="744"/>
      <c r="D546" s="744"/>
      <c r="E546" s="744"/>
      <c r="F546" s="744"/>
      <c r="G546" s="744"/>
      <c r="H546" s="744"/>
      <c r="I546" s="744"/>
      <c r="J546" s="744"/>
      <c r="K546" s="744"/>
      <c r="L546" s="744"/>
      <c r="M546" s="744"/>
      <c r="N546" s="744"/>
      <c r="O546" s="744"/>
      <c r="P546" s="744"/>
      <c r="Q546" s="744"/>
      <c r="R546" s="744"/>
      <c r="S546" s="744"/>
      <c r="T546" s="744"/>
      <c r="U546" s="744"/>
      <c r="V546" s="744"/>
      <c r="W546" s="985"/>
      <c r="X546" s="744"/>
      <c r="Y546" s="744"/>
      <c r="Z546" s="744"/>
      <c r="AA546" s="744"/>
      <c r="AB546" s="744"/>
      <c r="AC546" s="744"/>
      <c r="AD546" s="744"/>
      <c r="AE546" s="744"/>
      <c r="AF546" s="744"/>
      <c r="AG546" s="744"/>
      <c r="AH546" s="744"/>
      <c r="AI546" s="744"/>
      <c r="AJ546" s="744"/>
      <c r="AK546" s="792"/>
      <c r="AL546" s="744"/>
      <c r="AM546" s="744"/>
    </row>
    <row r="547" spans="3:39" x14ac:dyDescent="0.25">
      <c r="C547" s="744"/>
      <c r="D547" s="744"/>
      <c r="E547" s="744"/>
      <c r="F547" s="744"/>
      <c r="G547" s="744"/>
      <c r="H547" s="744"/>
      <c r="I547" s="744"/>
      <c r="J547" s="744"/>
      <c r="K547" s="744"/>
      <c r="L547" s="744"/>
      <c r="M547" s="744"/>
      <c r="N547" s="744"/>
      <c r="O547" s="744"/>
      <c r="P547" s="744"/>
      <c r="Q547" s="744"/>
      <c r="R547" s="744"/>
      <c r="S547" s="744"/>
      <c r="T547" s="744"/>
      <c r="U547" s="744"/>
      <c r="V547" s="744"/>
      <c r="W547" s="985"/>
      <c r="X547" s="744"/>
      <c r="Y547" s="744"/>
      <c r="Z547" s="744"/>
      <c r="AA547" s="744"/>
      <c r="AB547" s="744"/>
      <c r="AC547" s="744"/>
      <c r="AD547" s="744"/>
      <c r="AE547" s="744"/>
      <c r="AF547" s="744"/>
      <c r="AG547" s="744"/>
      <c r="AH547" s="744"/>
      <c r="AI547" s="744"/>
      <c r="AJ547" s="744"/>
      <c r="AK547" s="792"/>
      <c r="AL547" s="744"/>
      <c r="AM547" s="744"/>
    </row>
    <row r="548" spans="3:39" x14ac:dyDescent="0.25">
      <c r="C548" s="744"/>
      <c r="D548" s="744"/>
      <c r="E548" s="744"/>
      <c r="F548" s="744"/>
      <c r="G548" s="744"/>
      <c r="H548" s="744"/>
      <c r="I548" s="744"/>
      <c r="J548" s="744"/>
      <c r="K548" s="744"/>
      <c r="L548" s="744"/>
      <c r="M548" s="744"/>
      <c r="N548" s="744"/>
      <c r="O548" s="744"/>
      <c r="P548" s="744"/>
      <c r="Q548" s="744"/>
      <c r="R548" s="744"/>
      <c r="S548" s="744"/>
      <c r="T548" s="744"/>
      <c r="U548" s="744"/>
      <c r="V548" s="744"/>
      <c r="W548" s="985"/>
      <c r="X548" s="744"/>
      <c r="Y548" s="744"/>
      <c r="Z548" s="744"/>
      <c r="AA548" s="744"/>
      <c r="AB548" s="744"/>
      <c r="AC548" s="744"/>
      <c r="AD548" s="744"/>
      <c r="AE548" s="744"/>
      <c r="AF548" s="744"/>
      <c r="AG548" s="744"/>
      <c r="AH548" s="744"/>
      <c r="AI548" s="744"/>
      <c r="AJ548" s="744"/>
      <c r="AK548" s="792"/>
      <c r="AL548" s="744"/>
      <c r="AM548" s="744"/>
    </row>
    <row r="549" spans="3:39" x14ac:dyDescent="0.25">
      <c r="C549" s="744"/>
      <c r="D549" s="744"/>
      <c r="E549" s="744"/>
      <c r="F549" s="744"/>
      <c r="G549" s="744"/>
      <c r="H549" s="744"/>
      <c r="I549" s="744"/>
      <c r="J549" s="744"/>
      <c r="K549" s="744"/>
      <c r="L549" s="744"/>
      <c r="M549" s="744"/>
      <c r="N549" s="744"/>
      <c r="O549" s="744"/>
      <c r="P549" s="744"/>
      <c r="Q549" s="744"/>
      <c r="R549" s="744"/>
      <c r="S549" s="744"/>
      <c r="T549" s="744"/>
      <c r="U549" s="744"/>
      <c r="V549" s="744"/>
      <c r="W549" s="985"/>
      <c r="X549" s="744"/>
      <c r="Y549" s="744"/>
      <c r="Z549" s="744"/>
      <c r="AA549" s="744"/>
      <c r="AB549" s="744"/>
      <c r="AC549" s="744"/>
      <c r="AD549" s="744"/>
      <c r="AE549" s="744"/>
      <c r="AF549" s="744"/>
      <c r="AG549" s="744"/>
      <c r="AH549" s="744"/>
      <c r="AI549" s="744"/>
      <c r="AJ549" s="744"/>
      <c r="AK549" s="792"/>
      <c r="AL549" s="744"/>
      <c r="AM549" s="744"/>
    </row>
    <row r="550" spans="3:39" x14ac:dyDescent="0.25">
      <c r="C550" s="744"/>
      <c r="D550" s="744"/>
      <c r="E550" s="744"/>
      <c r="F550" s="744"/>
      <c r="G550" s="744"/>
      <c r="H550" s="744"/>
      <c r="I550" s="744"/>
      <c r="J550" s="744"/>
      <c r="K550" s="744"/>
      <c r="L550" s="744"/>
      <c r="M550" s="744"/>
      <c r="N550" s="744"/>
      <c r="O550" s="744"/>
      <c r="P550" s="744"/>
      <c r="Q550" s="744"/>
      <c r="R550" s="744"/>
      <c r="S550" s="744"/>
      <c r="T550" s="744"/>
      <c r="U550" s="744"/>
      <c r="V550" s="744"/>
      <c r="W550" s="985"/>
      <c r="X550" s="744"/>
      <c r="Y550" s="744"/>
      <c r="Z550" s="744"/>
      <c r="AA550" s="744"/>
      <c r="AB550" s="744"/>
      <c r="AC550" s="744"/>
      <c r="AD550" s="744"/>
      <c r="AE550" s="744"/>
      <c r="AF550" s="744"/>
      <c r="AG550" s="744"/>
      <c r="AH550" s="744"/>
      <c r="AI550" s="744"/>
      <c r="AJ550" s="744"/>
      <c r="AK550" s="792"/>
      <c r="AL550" s="744"/>
      <c r="AM550" s="744"/>
    </row>
    <row r="551" spans="3:39" x14ac:dyDescent="0.25">
      <c r="C551" s="744"/>
      <c r="D551" s="744"/>
      <c r="E551" s="744"/>
      <c r="F551" s="744"/>
      <c r="G551" s="744"/>
      <c r="H551" s="744"/>
      <c r="I551" s="744"/>
      <c r="J551" s="744"/>
      <c r="K551" s="744"/>
      <c r="L551" s="744"/>
      <c r="M551" s="744"/>
      <c r="N551" s="744"/>
      <c r="O551" s="744"/>
      <c r="P551" s="744"/>
      <c r="Q551" s="744"/>
      <c r="R551" s="744"/>
      <c r="S551" s="744"/>
      <c r="T551" s="744"/>
      <c r="U551" s="744"/>
      <c r="V551" s="744"/>
      <c r="W551" s="985"/>
      <c r="X551" s="744"/>
      <c r="Y551" s="744"/>
      <c r="Z551" s="744"/>
      <c r="AA551" s="744"/>
      <c r="AB551" s="744"/>
      <c r="AC551" s="744"/>
      <c r="AD551" s="744"/>
      <c r="AE551" s="744"/>
      <c r="AF551" s="744"/>
      <c r="AG551" s="744"/>
      <c r="AH551" s="744"/>
      <c r="AI551" s="744"/>
      <c r="AJ551" s="744"/>
      <c r="AK551" s="792"/>
      <c r="AL551" s="744"/>
      <c r="AM551" s="744"/>
    </row>
    <row r="552" spans="3:39" x14ac:dyDescent="0.25">
      <c r="C552" s="744"/>
      <c r="D552" s="744"/>
      <c r="E552" s="744"/>
      <c r="F552" s="744"/>
      <c r="G552" s="744"/>
      <c r="H552" s="744"/>
      <c r="I552" s="744"/>
      <c r="J552" s="744"/>
      <c r="K552" s="744"/>
      <c r="L552" s="744"/>
      <c r="M552" s="744"/>
      <c r="N552" s="744"/>
      <c r="O552" s="744"/>
      <c r="P552" s="744"/>
      <c r="Q552" s="744"/>
      <c r="R552" s="744"/>
      <c r="S552" s="744"/>
      <c r="T552" s="744"/>
      <c r="U552" s="744"/>
      <c r="V552" s="744"/>
      <c r="W552" s="985"/>
      <c r="X552" s="744"/>
      <c r="Y552" s="744"/>
      <c r="Z552" s="744"/>
      <c r="AA552" s="744"/>
      <c r="AB552" s="744"/>
      <c r="AC552" s="744"/>
      <c r="AD552" s="744"/>
      <c r="AE552" s="744"/>
      <c r="AF552" s="744"/>
      <c r="AG552" s="744"/>
      <c r="AH552" s="744"/>
      <c r="AI552" s="744"/>
      <c r="AJ552" s="744"/>
      <c r="AK552" s="792"/>
      <c r="AL552" s="744"/>
      <c r="AM552" s="744"/>
    </row>
    <row r="553" spans="3:39" x14ac:dyDescent="0.25">
      <c r="C553" s="744"/>
      <c r="D553" s="744"/>
      <c r="E553" s="744"/>
      <c r="F553" s="744"/>
      <c r="G553" s="744"/>
      <c r="H553" s="744"/>
      <c r="I553" s="744"/>
      <c r="J553" s="744"/>
      <c r="K553" s="744"/>
      <c r="L553" s="744"/>
      <c r="M553" s="744"/>
      <c r="N553" s="744"/>
      <c r="O553" s="744"/>
      <c r="P553" s="744"/>
      <c r="Q553" s="744"/>
      <c r="R553" s="744"/>
      <c r="S553" s="744"/>
      <c r="T553" s="744"/>
      <c r="U553" s="744"/>
      <c r="V553" s="744"/>
      <c r="W553" s="985"/>
      <c r="X553" s="744"/>
      <c r="Y553" s="744"/>
      <c r="Z553" s="744"/>
      <c r="AA553" s="744"/>
      <c r="AB553" s="744"/>
      <c r="AC553" s="744"/>
      <c r="AD553" s="744"/>
      <c r="AE553" s="744"/>
      <c r="AF553" s="744"/>
      <c r="AG553" s="744"/>
      <c r="AH553" s="744"/>
      <c r="AI553" s="744"/>
      <c r="AJ553" s="744"/>
      <c r="AK553" s="792"/>
      <c r="AL553" s="744"/>
      <c r="AM553" s="744"/>
    </row>
    <row r="554" spans="3:39" x14ac:dyDescent="0.25">
      <c r="C554" s="744"/>
      <c r="D554" s="744"/>
      <c r="E554" s="744"/>
      <c r="F554" s="744"/>
      <c r="G554" s="744"/>
      <c r="H554" s="744"/>
      <c r="I554" s="744"/>
      <c r="J554" s="744"/>
      <c r="K554" s="744"/>
      <c r="L554" s="744"/>
      <c r="M554" s="744"/>
      <c r="N554" s="744"/>
      <c r="O554" s="744"/>
      <c r="P554" s="744"/>
      <c r="Q554" s="744"/>
      <c r="R554" s="744"/>
      <c r="S554" s="744"/>
      <c r="T554" s="744"/>
      <c r="U554" s="744"/>
      <c r="V554" s="744"/>
      <c r="W554" s="985"/>
      <c r="X554" s="744"/>
      <c r="Y554" s="744"/>
      <c r="Z554" s="744"/>
      <c r="AA554" s="744"/>
      <c r="AB554" s="744"/>
      <c r="AC554" s="744"/>
      <c r="AD554" s="744"/>
      <c r="AE554" s="744"/>
      <c r="AF554" s="744"/>
      <c r="AG554" s="744"/>
      <c r="AH554" s="744"/>
      <c r="AI554" s="744"/>
      <c r="AJ554" s="744"/>
      <c r="AK554" s="792"/>
      <c r="AL554" s="744"/>
      <c r="AM554" s="744"/>
    </row>
    <row r="555" spans="3:39" x14ac:dyDescent="0.25">
      <c r="C555" s="744"/>
      <c r="D555" s="744"/>
      <c r="E555" s="744"/>
      <c r="F555" s="744"/>
      <c r="G555" s="744"/>
      <c r="H555" s="744"/>
      <c r="I555" s="744"/>
      <c r="J555" s="744"/>
      <c r="K555" s="744"/>
      <c r="L555" s="744"/>
      <c r="M555" s="744"/>
      <c r="N555" s="744"/>
      <c r="O555" s="744"/>
      <c r="P555" s="744"/>
      <c r="Q555" s="744"/>
      <c r="R555" s="744"/>
      <c r="S555" s="744"/>
      <c r="T555" s="744"/>
      <c r="U555" s="744"/>
      <c r="V555" s="744"/>
      <c r="W555" s="985"/>
      <c r="X555" s="744"/>
      <c r="Y555" s="744"/>
      <c r="Z555" s="744"/>
      <c r="AA555" s="744"/>
      <c r="AB555" s="744"/>
      <c r="AC555" s="744"/>
      <c r="AD555" s="744"/>
      <c r="AE555" s="744"/>
      <c r="AF555" s="744"/>
      <c r="AG555" s="744"/>
      <c r="AH555" s="744"/>
      <c r="AI555" s="744"/>
      <c r="AJ555" s="744"/>
      <c r="AK555" s="744"/>
      <c r="AL555" s="744"/>
      <c r="AM555" s="744"/>
    </row>
    <row r="556" spans="3:39" x14ac:dyDescent="0.25">
      <c r="C556" s="744"/>
      <c r="D556" s="744"/>
      <c r="E556" s="744"/>
      <c r="F556" s="744"/>
      <c r="G556" s="744"/>
      <c r="H556" s="744"/>
      <c r="I556" s="744"/>
      <c r="J556" s="744"/>
      <c r="K556" s="744"/>
      <c r="L556" s="744"/>
      <c r="M556" s="744"/>
      <c r="N556" s="744"/>
      <c r="O556" s="744"/>
      <c r="P556" s="744"/>
      <c r="Q556" s="744"/>
      <c r="R556" s="744"/>
      <c r="S556" s="744"/>
      <c r="T556" s="744"/>
      <c r="U556" s="744"/>
      <c r="V556" s="744"/>
      <c r="W556" s="985"/>
      <c r="X556" s="744"/>
      <c r="Y556" s="744"/>
      <c r="Z556" s="744"/>
      <c r="AA556" s="744"/>
      <c r="AB556" s="744"/>
      <c r="AC556" s="744"/>
      <c r="AD556" s="744"/>
      <c r="AE556" s="744"/>
      <c r="AF556" s="744"/>
      <c r="AG556" s="744"/>
      <c r="AH556" s="744"/>
      <c r="AI556" s="744"/>
      <c r="AJ556" s="744"/>
      <c r="AK556" s="744"/>
      <c r="AL556" s="744"/>
      <c r="AM556" s="744"/>
    </row>
    <row r="557" spans="3:39" x14ac:dyDescent="0.25">
      <c r="C557" s="744"/>
      <c r="D557" s="744"/>
      <c r="E557" s="744"/>
      <c r="F557" s="744"/>
      <c r="G557" s="744"/>
      <c r="H557" s="744"/>
      <c r="I557" s="744"/>
      <c r="J557" s="744"/>
      <c r="K557" s="744"/>
      <c r="L557" s="744"/>
      <c r="M557" s="744"/>
      <c r="N557" s="744"/>
      <c r="O557" s="744"/>
      <c r="P557" s="744"/>
      <c r="Q557" s="744"/>
      <c r="R557" s="744"/>
      <c r="S557" s="744"/>
      <c r="T557" s="744"/>
      <c r="U557" s="744"/>
      <c r="V557" s="744"/>
      <c r="W557" s="985"/>
      <c r="X557" s="744"/>
      <c r="Y557" s="744"/>
      <c r="Z557" s="744"/>
      <c r="AA557" s="744"/>
      <c r="AB557" s="744"/>
      <c r="AC557" s="744"/>
      <c r="AD557" s="744"/>
      <c r="AE557" s="744"/>
      <c r="AF557" s="744"/>
      <c r="AG557" s="744"/>
      <c r="AH557" s="744"/>
      <c r="AI557" s="744"/>
      <c r="AJ557" s="744"/>
      <c r="AK557" s="744"/>
      <c r="AL557" s="744"/>
      <c r="AM557" s="744"/>
    </row>
    <row r="558" spans="3:39" x14ac:dyDescent="0.25">
      <c r="C558" s="744"/>
      <c r="D558" s="744"/>
      <c r="E558" s="744"/>
      <c r="F558" s="744"/>
      <c r="G558" s="744"/>
      <c r="H558" s="744"/>
      <c r="I558" s="744"/>
      <c r="J558" s="744"/>
      <c r="K558" s="744"/>
      <c r="L558" s="744"/>
      <c r="M558" s="744"/>
      <c r="N558" s="744"/>
      <c r="O558" s="744"/>
      <c r="P558" s="744"/>
      <c r="Q558" s="744"/>
      <c r="R558" s="744"/>
      <c r="S558" s="744"/>
      <c r="T558" s="744"/>
      <c r="U558" s="744"/>
      <c r="V558" s="744"/>
      <c r="W558" s="985"/>
      <c r="X558" s="744"/>
      <c r="Y558" s="744"/>
      <c r="Z558" s="744"/>
      <c r="AA558" s="744"/>
      <c r="AB558" s="744"/>
      <c r="AC558" s="744"/>
      <c r="AD558" s="744"/>
      <c r="AE558" s="744"/>
      <c r="AF558" s="744"/>
      <c r="AG558" s="744"/>
      <c r="AH558" s="744"/>
      <c r="AI558" s="744"/>
      <c r="AJ558" s="744"/>
      <c r="AK558" s="744"/>
      <c r="AL558" s="744"/>
      <c r="AM558" s="744"/>
    </row>
    <row r="559" spans="3:39" x14ac:dyDescent="0.25">
      <c r="C559" s="744"/>
      <c r="D559" s="744"/>
      <c r="E559" s="744"/>
      <c r="F559" s="744"/>
      <c r="G559" s="744"/>
      <c r="H559" s="744"/>
      <c r="I559" s="744"/>
      <c r="J559" s="744"/>
      <c r="K559" s="744"/>
      <c r="L559" s="744"/>
      <c r="M559" s="744"/>
      <c r="N559" s="744"/>
      <c r="O559" s="744"/>
      <c r="P559" s="744"/>
      <c r="Q559" s="744"/>
      <c r="R559" s="744"/>
      <c r="S559" s="744"/>
      <c r="T559" s="744"/>
      <c r="U559" s="744"/>
      <c r="V559" s="744"/>
      <c r="W559" s="985"/>
      <c r="X559" s="744"/>
      <c r="Y559" s="744"/>
      <c r="Z559" s="744"/>
      <c r="AA559" s="744"/>
      <c r="AB559" s="744"/>
      <c r="AC559" s="744"/>
      <c r="AD559" s="744"/>
      <c r="AE559" s="744"/>
      <c r="AF559" s="744"/>
      <c r="AG559" s="744"/>
      <c r="AH559" s="744"/>
      <c r="AI559" s="744"/>
      <c r="AJ559" s="744"/>
      <c r="AK559" s="744"/>
      <c r="AL559" s="744"/>
      <c r="AM559" s="744"/>
    </row>
    <row r="560" spans="3:39" x14ac:dyDescent="0.25">
      <c r="C560" s="744"/>
      <c r="D560" s="744"/>
      <c r="E560" s="744"/>
      <c r="F560" s="744"/>
      <c r="G560" s="744"/>
      <c r="H560" s="744"/>
      <c r="I560" s="744"/>
      <c r="J560" s="744"/>
      <c r="K560" s="744"/>
      <c r="L560" s="744"/>
      <c r="M560" s="744"/>
      <c r="N560" s="744"/>
      <c r="O560" s="744"/>
      <c r="P560" s="744"/>
      <c r="Q560" s="744"/>
      <c r="R560" s="744"/>
      <c r="S560" s="744"/>
      <c r="T560" s="744"/>
      <c r="U560" s="744"/>
      <c r="V560" s="744"/>
      <c r="W560" s="985"/>
      <c r="X560" s="744"/>
      <c r="Y560" s="744"/>
      <c r="Z560" s="744"/>
      <c r="AA560" s="744"/>
      <c r="AB560" s="744"/>
      <c r="AC560" s="744"/>
      <c r="AD560" s="744"/>
      <c r="AE560" s="744"/>
      <c r="AF560" s="744"/>
      <c r="AG560" s="744"/>
      <c r="AH560" s="744"/>
      <c r="AI560" s="744"/>
      <c r="AJ560" s="744"/>
      <c r="AK560" s="744"/>
      <c r="AL560" s="744"/>
      <c r="AM560" s="744"/>
    </row>
    <row r="561" spans="3:39" x14ac:dyDescent="0.25">
      <c r="C561" s="744"/>
      <c r="D561" s="744"/>
      <c r="E561" s="744"/>
      <c r="F561" s="744"/>
      <c r="G561" s="744"/>
      <c r="H561" s="744"/>
      <c r="I561" s="744"/>
      <c r="J561" s="744"/>
      <c r="K561" s="744"/>
      <c r="L561" s="744"/>
      <c r="M561" s="744"/>
      <c r="N561" s="744"/>
      <c r="O561" s="744"/>
      <c r="P561" s="744"/>
      <c r="Q561" s="744"/>
      <c r="R561" s="744"/>
      <c r="S561" s="744"/>
      <c r="T561" s="744"/>
      <c r="U561" s="744"/>
      <c r="V561" s="744"/>
      <c r="W561" s="985"/>
      <c r="X561" s="744"/>
      <c r="Y561" s="744"/>
      <c r="Z561" s="744"/>
      <c r="AA561" s="744"/>
      <c r="AB561" s="744"/>
      <c r="AC561" s="744"/>
      <c r="AD561" s="744"/>
      <c r="AE561" s="744"/>
      <c r="AF561" s="744"/>
      <c r="AG561" s="744"/>
      <c r="AH561" s="744"/>
      <c r="AI561" s="744"/>
      <c r="AJ561" s="744"/>
      <c r="AK561" s="744"/>
      <c r="AL561" s="744"/>
      <c r="AM561" s="744"/>
    </row>
    <row r="562" spans="3:39" x14ac:dyDescent="0.25">
      <c r="C562" s="744"/>
      <c r="D562" s="744"/>
      <c r="E562" s="744"/>
      <c r="F562" s="744"/>
      <c r="G562" s="744"/>
      <c r="H562" s="744"/>
      <c r="I562" s="744"/>
      <c r="J562" s="744"/>
      <c r="K562" s="744"/>
      <c r="L562" s="744"/>
      <c r="M562" s="744"/>
      <c r="N562" s="744"/>
      <c r="O562" s="744"/>
      <c r="P562" s="744"/>
      <c r="Q562" s="744"/>
      <c r="R562" s="744"/>
      <c r="S562" s="744"/>
      <c r="T562" s="744"/>
      <c r="U562" s="744"/>
      <c r="V562" s="744"/>
      <c r="W562" s="985"/>
      <c r="X562" s="744"/>
      <c r="Y562" s="744"/>
      <c r="Z562" s="744"/>
      <c r="AA562" s="744"/>
      <c r="AB562" s="744"/>
      <c r="AC562" s="744"/>
      <c r="AD562" s="744"/>
      <c r="AE562" s="744"/>
      <c r="AF562" s="744"/>
      <c r="AG562" s="744"/>
      <c r="AH562" s="744"/>
      <c r="AI562" s="744"/>
      <c r="AJ562" s="744"/>
      <c r="AK562" s="744"/>
      <c r="AL562" s="744"/>
      <c r="AM562" s="744"/>
    </row>
    <row r="563" spans="3:39" x14ac:dyDescent="0.25">
      <c r="C563" s="744"/>
      <c r="D563" s="744"/>
      <c r="E563" s="744"/>
      <c r="F563" s="744"/>
      <c r="G563" s="744"/>
      <c r="H563" s="744"/>
      <c r="I563" s="744"/>
      <c r="J563" s="744"/>
      <c r="K563" s="744"/>
      <c r="L563" s="744"/>
      <c r="M563" s="744"/>
      <c r="N563" s="744"/>
      <c r="O563" s="744"/>
      <c r="P563" s="744"/>
      <c r="Q563" s="744"/>
      <c r="R563" s="744"/>
      <c r="S563" s="744"/>
      <c r="T563" s="744"/>
      <c r="U563" s="744"/>
      <c r="V563" s="744"/>
      <c r="W563" s="985"/>
      <c r="X563" s="744"/>
      <c r="Y563" s="744"/>
      <c r="Z563" s="744"/>
      <c r="AA563" s="744"/>
      <c r="AB563" s="744"/>
      <c r="AC563" s="744"/>
      <c r="AD563" s="744"/>
      <c r="AE563" s="744"/>
      <c r="AF563" s="744"/>
      <c r="AG563" s="744"/>
      <c r="AH563" s="744"/>
      <c r="AI563" s="744"/>
      <c r="AJ563" s="744"/>
      <c r="AK563" s="744"/>
      <c r="AL563" s="744"/>
      <c r="AM563" s="744"/>
    </row>
    <row r="564" spans="3:39" x14ac:dyDescent="0.25">
      <c r="C564" s="744"/>
      <c r="D564" s="744"/>
      <c r="E564" s="744"/>
      <c r="F564" s="744"/>
      <c r="G564" s="744"/>
      <c r="H564" s="744"/>
      <c r="I564" s="744"/>
      <c r="J564" s="744"/>
      <c r="K564" s="744"/>
      <c r="L564" s="744"/>
      <c r="M564" s="744"/>
      <c r="N564" s="744"/>
      <c r="O564" s="744"/>
      <c r="P564" s="744"/>
      <c r="Q564" s="744"/>
      <c r="R564" s="744"/>
      <c r="S564" s="744"/>
      <c r="T564" s="744"/>
      <c r="U564" s="744"/>
      <c r="V564" s="744"/>
      <c r="W564" s="985"/>
      <c r="X564" s="744"/>
      <c r="Y564" s="744"/>
      <c r="Z564" s="744"/>
      <c r="AA564" s="744"/>
      <c r="AB564" s="744"/>
      <c r="AC564" s="744"/>
      <c r="AD564" s="744"/>
      <c r="AE564" s="744"/>
      <c r="AF564" s="744"/>
      <c r="AG564" s="744"/>
      <c r="AH564" s="744"/>
      <c r="AI564" s="744"/>
      <c r="AJ564" s="744"/>
      <c r="AK564" s="744"/>
      <c r="AL564" s="744"/>
      <c r="AM564" s="744"/>
    </row>
    <row r="565" spans="3:39" x14ac:dyDescent="0.25">
      <c r="C565" s="744"/>
      <c r="D565" s="744"/>
      <c r="E565" s="744"/>
      <c r="F565" s="744"/>
      <c r="G565" s="744"/>
      <c r="H565" s="744"/>
      <c r="I565" s="744"/>
      <c r="J565" s="744"/>
      <c r="K565" s="744"/>
      <c r="L565" s="744"/>
      <c r="M565" s="744"/>
      <c r="N565" s="744"/>
      <c r="O565" s="744"/>
      <c r="P565" s="744"/>
      <c r="Q565" s="744"/>
      <c r="R565" s="744"/>
      <c r="S565" s="744"/>
      <c r="T565" s="744"/>
      <c r="U565" s="744"/>
      <c r="V565" s="744"/>
      <c r="W565" s="985"/>
      <c r="X565" s="744"/>
      <c r="Y565" s="744"/>
      <c r="Z565" s="744"/>
      <c r="AA565" s="744"/>
      <c r="AB565" s="744"/>
      <c r="AC565" s="744"/>
      <c r="AD565" s="744"/>
      <c r="AE565" s="744"/>
      <c r="AF565" s="744"/>
      <c r="AG565" s="744"/>
      <c r="AH565" s="744"/>
      <c r="AI565" s="744"/>
      <c r="AJ565" s="744"/>
      <c r="AK565" s="744"/>
      <c r="AL565" s="744"/>
      <c r="AM565" s="744"/>
    </row>
    <row r="566" spans="3:39" x14ac:dyDescent="0.25">
      <c r="C566" s="744"/>
      <c r="D566" s="744"/>
      <c r="E566" s="744"/>
      <c r="F566" s="744"/>
      <c r="G566" s="744"/>
      <c r="H566" s="744"/>
      <c r="I566" s="744"/>
      <c r="J566" s="744"/>
      <c r="K566" s="744"/>
      <c r="L566" s="744"/>
      <c r="M566" s="744"/>
      <c r="N566" s="744"/>
      <c r="O566" s="744"/>
      <c r="P566" s="744"/>
      <c r="Q566" s="744"/>
      <c r="R566" s="744"/>
      <c r="S566" s="744"/>
      <c r="T566" s="744"/>
      <c r="U566" s="744"/>
      <c r="V566" s="744"/>
      <c r="W566" s="985"/>
      <c r="X566" s="744"/>
      <c r="Y566" s="744"/>
      <c r="Z566" s="744"/>
      <c r="AA566" s="744"/>
      <c r="AB566" s="744"/>
      <c r="AC566" s="744"/>
      <c r="AD566" s="744"/>
      <c r="AE566" s="744"/>
      <c r="AF566" s="744"/>
      <c r="AG566" s="744"/>
      <c r="AH566" s="744"/>
      <c r="AI566" s="744"/>
      <c r="AJ566" s="744"/>
      <c r="AK566" s="744"/>
      <c r="AL566" s="744"/>
      <c r="AM566" s="744"/>
    </row>
    <row r="567" spans="3:39" x14ac:dyDescent="0.25">
      <c r="C567" s="744"/>
      <c r="D567" s="744"/>
      <c r="E567" s="744"/>
      <c r="F567" s="744"/>
      <c r="G567" s="744"/>
      <c r="H567" s="744"/>
      <c r="I567" s="744"/>
      <c r="J567" s="744"/>
      <c r="K567" s="744"/>
      <c r="L567" s="744"/>
      <c r="M567" s="744"/>
      <c r="N567" s="744"/>
      <c r="O567" s="744"/>
      <c r="P567" s="744"/>
      <c r="Q567" s="744"/>
      <c r="R567" s="744"/>
      <c r="S567" s="744"/>
      <c r="T567" s="744"/>
      <c r="U567" s="744"/>
      <c r="V567" s="744"/>
      <c r="W567" s="985"/>
      <c r="X567" s="744"/>
      <c r="Y567" s="744"/>
      <c r="Z567" s="744"/>
      <c r="AA567" s="744"/>
      <c r="AB567" s="744"/>
      <c r="AC567" s="744"/>
      <c r="AD567" s="744"/>
      <c r="AE567" s="744"/>
      <c r="AF567" s="744"/>
      <c r="AG567" s="744"/>
      <c r="AH567" s="744"/>
      <c r="AI567" s="744"/>
      <c r="AJ567" s="744"/>
      <c r="AK567" s="744"/>
      <c r="AL567" s="744"/>
      <c r="AM567" s="744"/>
    </row>
    <row r="568" spans="3:39" x14ac:dyDescent="0.25">
      <c r="C568" s="744"/>
      <c r="D568" s="744"/>
      <c r="E568" s="744"/>
      <c r="F568" s="744"/>
      <c r="G568" s="744"/>
      <c r="H568" s="744"/>
      <c r="I568" s="744"/>
      <c r="J568" s="744"/>
      <c r="K568" s="744"/>
      <c r="L568" s="744"/>
      <c r="M568" s="744"/>
      <c r="N568" s="744"/>
      <c r="O568" s="744"/>
      <c r="P568" s="744"/>
      <c r="Q568" s="744"/>
      <c r="R568" s="744"/>
      <c r="S568" s="744"/>
      <c r="T568" s="744"/>
      <c r="U568" s="744"/>
      <c r="V568" s="744"/>
      <c r="W568" s="985"/>
      <c r="X568" s="744"/>
      <c r="Y568" s="744"/>
      <c r="Z568" s="744"/>
      <c r="AA568" s="744"/>
      <c r="AB568" s="744"/>
      <c r="AC568" s="744"/>
      <c r="AD568" s="744"/>
      <c r="AE568" s="744"/>
      <c r="AF568" s="744"/>
      <c r="AG568" s="744"/>
      <c r="AH568" s="744"/>
      <c r="AI568" s="744"/>
      <c r="AJ568" s="744"/>
      <c r="AK568" s="744"/>
      <c r="AL568" s="744"/>
      <c r="AM568" s="744"/>
    </row>
    <row r="569" spans="3:39" x14ac:dyDescent="0.25">
      <c r="C569" s="744"/>
      <c r="D569" s="744"/>
      <c r="E569" s="744"/>
      <c r="F569" s="744"/>
      <c r="G569" s="744"/>
      <c r="H569" s="744"/>
      <c r="I569" s="744"/>
      <c r="J569" s="744"/>
      <c r="K569" s="744"/>
      <c r="L569" s="744"/>
      <c r="M569" s="744"/>
      <c r="N569" s="744"/>
      <c r="O569" s="744"/>
      <c r="P569" s="744"/>
      <c r="Q569" s="744"/>
      <c r="R569" s="744"/>
      <c r="S569" s="744"/>
      <c r="T569" s="744"/>
      <c r="U569" s="744"/>
      <c r="V569" s="744"/>
      <c r="W569" s="985"/>
      <c r="X569" s="744"/>
      <c r="Y569" s="744"/>
      <c r="Z569" s="744"/>
      <c r="AA569" s="744"/>
      <c r="AB569" s="744"/>
      <c r="AC569" s="744"/>
      <c r="AD569" s="744"/>
      <c r="AE569" s="744"/>
      <c r="AF569" s="744"/>
      <c r="AG569" s="744"/>
      <c r="AH569" s="744"/>
      <c r="AI569" s="744"/>
      <c r="AJ569" s="744"/>
      <c r="AK569" s="744"/>
      <c r="AL569" s="744"/>
      <c r="AM569" s="744"/>
    </row>
    <row r="570" spans="3:39" x14ac:dyDescent="0.25">
      <c r="C570" s="744"/>
      <c r="D570" s="744"/>
      <c r="E570" s="744"/>
      <c r="F570" s="744"/>
      <c r="G570" s="744"/>
      <c r="H570" s="744"/>
      <c r="I570" s="744"/>
      <c r="J570" s="744"/>
      <c r="K570" s="744"/>
      <c r="L570" s="744"/>
      <c r="M570" s="744"/>
      <c r="N570" s="744"/>
      <c r="O570" s="744"/>
      <c r="P570" s="744"/>
      <c r="Q570" s="744"/>
      <c r="R570" s="744"/>
      <c r="S570" s="744"/>
      <c r="T570" s="744"/>
      <c r="U570" s="744"/>
      <c r="V570" s="744"/>
      <c r="W570" s="985"/>
      <c r="X570" s="744"/>
      <c r="Y570" s="744"/>
      <c r="Z570" s="744"/>
      <c r="AA570" s="744"/>
      <c r="AB570" s="744"/>
      <c r="AC570" s="744"/>
      <c r="AD570" s="744"/>
      <c r="AE570" s="744"/>
      <c r="AF570" s="744"/>
      <c r="AG570" s="744"/>
      <c r="AH570" s="744"/>
      <c r="AI570" s="744"/>
      <c r="AJ570" s="744"/>
      <c r="AK570" s="744"/>
      <c r="AL570" s="744"/>
      <c r="AM570" s="744"/>
    </row>
    <row r="571" spans="3:39" x14ac:dyDescent="0.25">
      <c r="C571" s="744"/>
      <c r="D571" s="744"/>
      <c r="E571" s="744"/>
      <c r="F571" s="744"/>
      <c r="G571" s="744"/>
      <c r="H571" s="744"/>
      <c r="I571" s="744"/>
      <c r="J571" s="744"/>
      <c r="K571" s="744"/>
      <c r="L571" s="744"/>
      <c r="M571" s="744"/>
      <c r="N571" s="744"/>
      <c r="O571" s="744"/>
      <c r="P571" s="744"/>
      <c r="Q571" s="744"/>
      <c r="R571" s="744"/>
      <c r="S571" s="744"/>
      <c r="T571" s="744"/>
      <c r="U571" s="744"/>
      <c r="V571" s="744"/>
      <c r="W571" s="985"/>
      <c r="X571" s="744"/>
      <c r="Y571" s="744"/>
      <c r="Z571" s="744"/>
      <c r="AA571" s="744"/>
      <c r="AB571" s="744"/>
      <c r="AC571" s="744"/>
      <c r="AD571" s="744"/>
      <c r="AE571" s="744"/>
      <c r="AF571" s="744"/>
      <c r="AG571" s="744"/>
      <c r="AH571" s="744"/>
      <c r="AI571" s="744"/>
      <c r="AJ571" s="744"/>
      <c r="AK571" s="744"/>
      <c r="AL571" s="744"/>
      <c r="AM571" s="744"/>
    </row>
    <row r="572" spans="3:39" x14ac:dyDescent="0.25">
      <c r="C572" s="744"/>
      <c r="D572" s="744"/>
      <c r="E572" s="744"/>
      <c r="F572" s="744"/>
      <c r="G572" s="744"/>
      <c r="H572" s="744"/>
      <c r="I572" s="744"/>
      <c r="J572" s="744"/>
      <c r="K572" s="744"/>
      <c r="L572" s="744"/>
      <c r="M572" s="744"/>
      <c r="N572" s="744"/>
      <c r="O572" s="744"/>
      <c r="P572" s="744"/>
      <c r="Q572" s="744"/>
      <c r="R572" s="744"/>
      <c r="S572" s="744"/>
      <c r="T572" s="744"/>
      <c r="U572" s="744"/>
      <c r="V572" s="744"/>
      <c r="W572" s="985"/>
      <c r="X572" s="744"/>
      <c r="Y572" s="744"/>
      <c r="Z572" s="744"/>
      <c r="AA572" s="744"/>
      <c r="AB572" s="744"/>
      <c r="AC572" s="744"/>
      <c r="AD572" s="744"/>
      <c r="AE572" s="744"/>
      <c r="AF572" s="744"/>
      <c r="AG572" s="744"/>
      <c r="AH572" s="744"/>
      <c r="AI572" s="744"/>
      <c r="AJ572" s="744"/>
      <c r="AK572" s="744"/>
      <c r="AL572" s="744"/>
      <c r="AM572" s="744"/>
    </row>
    <row r="573" spans="3:39" x14ac:dyDescent="0.25">
      <c r="C573" s="744"/>
      <c r="D573" s="744"/>
      <c r="E573" s="744"/>
      <c r="F573" s="744"/>
      <c r="G573" s="744"/>
      <c r="H573" s="744"/>
      <c r="I573" s="744"/>
      <c r="J573" s="744"/>
      <c r="K573" s="744"/>
      <c r="L573" s="744"/>
      <c r="M573" s="744"/>
      <c r="N573" s="744"/>
      <c r="O573" s="744"/>
      <c r="P573" s="744"/>
      <c r="Q573" s="744"/>
      <c r="R573" s="744"/>
      <c r="S573" s="744"/>
      <c r="T573" s="744"/>
      <c r="U573" s="744"/>
      <c r="V573" s="744"/>
      <c r="W573" s="985"/>
      <c r="X573" s="744"/>
      <c r="Y573" s="744"/>
      <c r="Z573" s="744"/>
      <c r="AA573" s="744"/>
      <c r="AB573" s="744"/>
      <c r="AC573" s="744"/>
      <c r="AD573" s="744"/>
      <c r="AE573" s="744"/>
      <c r="AF573" s="744"/>
      <c r="AG573" s="744"/>
      <c r="AH573" s="744"/>
      <c r="AI573" s="744"/>
      <c r="AJ573" s="744"/>
      <c r="AK573" s="744"/>
      <c r="AL573" s="744"/>
      <c r="AM573" s="744"/>
    </row>
    <row r="574" spans="3:39" x14ac:dyDescent="0.25">
      <c r="C574" s="744"/>
      <c r="D574" s="744"/>
      <c r="E574" s="744"/>
      <c r="F574" s="744"/>
      <c r="G574" s="744"/>
      <c r="H574" s="744"/>
      <c r="I574" s="744"/>
      <c r="J574" s="744"/>
      <c r="K574" s="744"/>
      <c r="L574" s="744"/>
      <c r="M574" s="744"/>
      <c r="N574" s="744"/>
      <c r="O574" s="744"/>
      <c r="P574" s="744"/>
      <c r="Q574" s="744"/>
      <c r="R574" s="744"/>
      <c r="S574" s="744"/>
      <c r="T574" s="744"/>
      <c r="U574" s="744"/>
      <c r="V574" s="744"/>
      <c r="W574" s="985"/>
      <c r="X574" s="744"/>
      <c r="Y574" s="744"/>
      <c r="Z574" s="744"/>
      <c r="AA574" s="744"/>
      <c r="AB574" s="744"/>
      <c r="AC574" s="744"/>
      <c r="AD574" s="744"/>
      <c r="AE574" s="744"/>
      <c r="AF574" s="744"/>
      <c r="AG574" s="744"/>
      <c r="AH574" s="744"/>
      <c r="AI574" s="744"/>
      <c r="AJ574" s="744"/>
      <c r="AK574" s="744"/>
      <c r="AL574" s="744"/>
      <c r="AM574" s="744"/>
    </row>
    <row r="575" spans="3:39" x14ac:dyDescent="0.25">
      <c r="C575" s="744"/>
      <c r="D575" s="744"/>
      <c r="E575" s="744"/>
      <c r="F575" s="744"/>
      <c r="G575" s="744"/>
      <c r="H575" s="744"/>
      <c r="I575" s="744"/>
      <c r="J575" s="744"/>
      <c r="K575" s="744"/>
      <c r="L575" s="744"/>
      <c r="M575" s="744"/>
      <c r="N575" s="744"/>
      <c r="O575" s="744"/>
      <c r="P575" s="744"/>
      <c r="Q575" s="744"/>
      <c r="R575" s="744"/>
      <c r="S575" s="744"/>
      <c r="T575" s="744"/>
      <c r="U575" s="744"/>
      <c r="V575" s="744"/>
      <c r="W575" s="985"/>
      <c r="X575" s="744"/>
      <c r="Y575" s="744"/>
      <c r="Z575" s="744"/>
      <c r="AA575" s="744"/>
      <c r="AB575" s="744"/>
      <c r="AC575" s="744"/>
      <c r="AD575" s="744"/>
      <c r="AE575" s="744"/>
      <c r="AF575" s="744"/>
      <c r="AG575" s="744"/>
      <c r="AH575" s="744"/>
      <c r="AI575" s="744"/>
      <c r="AJ575" s="744"/>
      <c r="AK575" s="744"/>
      <c r="AL575" s="744"/>
      <c r="AM575" s="744"/>
    </row>
    <row r="576" spans="3:39" x14ac:dyDescent="0.25">
      <c r="C576" s="744"/>
      <c r="D576" s="744"/>
      <c r="E576" s="744"/>
      <c r="F576" s="744"/>
      <c r="G576" s="744"/>
      <c r="H576" s="744"/>
      <c r="I576" s="744"/>
      <c r="J576" s="744"/>
      <c r="K576" s="744"/>
      <c r="L576" s="744"/>
      <c r="M576" s="744"/>
      <c r="N576" s="744"/>
      <c r="O576" s="744"/>
      <c r="P576" s="744"/>
      <c r="Q576" s="744"/>
      <c r="R576" s="744"/>
      <c r="S576" s="744"/>
      <c r="T576" s="744"/>
      <c r="U576" s="744"/>
      <c r="V576" s="744"/>
      <c r="W576" s="985"/>
      <c r="X576" s="744"/>
      <c r="Y576" s="744"/>
      <c r="Z576" s="744"/>
      <c r="AA576" s="744"/>
      <c r="AB576" s="744"/>
      <c r="AC576" s="744"/>
      <c r="AD576" s="744"/>
      <c r="AE576" s="744"/>
      <c r="AF576" s="744"/>
      <c r="AG576" s="744"/>
      <c r="AH576" s="744"/>
      <c r="AI576" s="744"/>
      <c r="AJ576" s="744"/>
      <c r="AK576" s="744"/>
      <c r="AL576" s="744"/>
      <c r="AM576" s="744"/>
    </row>
    <row r="577" spans="3:39" x14ac:dyDescent="0.25">
      <c r="C577" s="744"/>
      <c r="D577" s="744"/>
      <c r="E577" s="744"/>
      <c r="F577" s="744"/>
      <c r="G577" s="744"/>
      <c r="H577" s="744"/>
      <c r="I577" s="744"/>
      <c r="J577" s="744"/>
      <c r="K577" s="744"/>
      <c r="L577" s="744"/>
      <c r="M577" s="744"/>
      <c r="N577" s="744"/>
      <c r="O577" s="744"/>
      <c r="P577" s="744"/>
      <c r="Q577" s="744"/>
      <c r="R577" s="744"/>
      <c r="S577" s="744"/>
      <c r="T577" s="744"/>
      <c r="U577" s="744"/>
      <c r="V577" s="744"/>
      <c r="W577" s="985"/>
      <c r="X577" s="744"/>
      <c r="Y577" s="744"/>
      <c r="Z577" s="744"/>
      <c r="AA577" s="744"/>
      <c r="AB577" s="744"/>
      <c r="AC577" s="744"/>
      <c r="AD577" s="744"/>
      <c r="AE577" s="744"/>
      <c r="AF577" s="744"/>
      <c r="AG577" s="744"/>
      <c r="AH577" s="744"/>
      <c r="AI577" s="744"/>
      <c r="AJ577" s="744"/>
      <c r="AK577" s="744"/>
      <c r="AL577" s="744"/>
      <c r="AM577" s="744"/>
    </row>
    <row r="578" spans="3:39" x14ac:dyDescent="0.25">
      <c r="C578" s="744"/>
      <c r="D578" s="744"/>
      <c r="E578" s="744"/>
      <c r="F578" s="744"/>
      <c r="G578" s="744"/>
      <c r="H578" s="744"/>
      <c r="I578" s="744"/>
      <c r="J578" s="744"/>
      <c r="K578" s="744"/>
      <c r="L578" s="744"/>
      <c r="M578" s="744"/>
      <c r="N578" s="744"/>
      <c r="O578" s="744"/>
      <c r="P578" s="744"/>
      <c r="Q578" s="744"/>
      <c r="R578" s="744"/>
      <c r="S578" s="744"/>
      <c r="T578" s="744"/>
      <c r="U578" s="744"/>
      <c r="V578" s="744"/>
      <c r="W578" s="985"/>
      <c r="X578" s="744"/>
      <c r="Y578" s="744"/>
      <c r="Z578" s="744"/>
      <c r="AA578" s="744"/>
      <c r="AB578" s="744"/>
      <c r="AC578" s="744"/>
      <c r="AD578" s="744"/>
      <c r="AE578" s="744"/>
      <c r="AF578" s="744"/>
      <c r="AG578" s="744"/>
      <c r="AH578" s="744"/>
      <c r="AI578" s="744"/>
      <c r="AJ578" s="744"/>
      <c r="AK578" s="744"/>
      <c r="AL578" s="744"/>
      <c r="AM578" s="744"/>
    </row>
    <row r="579" spans="3:39" x14ac:dyDescent="0.25">
      <c r="C579" s="744"/>
      <c r="D579" s="744"/>
      <c r="E579" s="744"/>
      <c r="F579" s="744"/>
      <c r="G579" s="744"/>
      <c r="H579" s="744"/>
      <c r="I579" s="744"/>
      <c r="J579" s="744"/>
      <c r="K579" s="744"/>
      <c r="L579" s="744"/>
      <c r="M579" s="744"/>
      <c r="N579" s="744"/>
      <c r="O579" s="744"/>
      <c r="P579" s="744"/>
      <c r="Q579" s="744"/>
      <c r="R579" s="744"/>
      <c r="S579" s="744"/>
      <c r="T579" s="744"/>
      <c r="U579" s="744"/>
      <c r="V579" s="744"/>
      <c r="W579" s="985"/>
      <c r="X579" s="744"/>
      <c r="Y579" s="744"/>
      <c r="Z579" s="744"/>
      <c r="AA579" s="744"/>
      <c r="AB579" s="744"/>
      <c r="AC579" s="744"/>
      <c r="AD579" s="744"/>
      <c r="AE579" s="744"/>
      <c r="AF579" s="744"/>
      <c r="AG579" s="744"/>
      <c r="AH579" s="744"/>
      <c r="AI579" s="744"/>
      <c r="AJ579" s="744"/>
      <c r="AK579" s="744"/>
      <c r="AL579" s="744"/>
      <c r="AM579" s="744"/>
    </row>
    <row r="580" spans="3:39" x14ac:dyDescent="0.25">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c r="AA580" s="744"/>
      <c r="AB580" s="744"/>
      <c r="AC580" s="744"/>
      <c r="AD580" s="744"/>
      <c r="AE580" s="744"/>
      <c r="AF580" s="744"/>
      <c r="AG580" s="744"/>
      <c r="AH580" s="744"/>
      <c r="AI580" s="744"/>
      <c r="AJ580" s="744"/>
      <c r="AK580" s="744"/>
      <c r="AL580" s="744"/>
      <c r="AM580" s="744"/>
    </row>
    <row r="581" spans="3:39" x14ac:dyDescent="0.25">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c r="AA581" s="744"/>
      <c r="AB581" s="744"/>
      <c r="AC581" s="744"/>
      <c r="AD581" s="744"/>
      <c r="AE581" s="744"/>
      <c r="AF581" s="744"/>
      <c r="AG581" s="744"/>
      <c r="AH581" s="744"/>
      <c r="AI581" s="744"/>
      <c r="AJ581" s="744"/>
      <c r="AK581" s="744"/>
      <c r="AL581" s="744"/>
      <c r="AM581" s="744"/>
    </row>
    <row r="582" spans="3:39" x14ac:dyDescent="0.25">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c r="AA582" s="744"/>
      <c r="AB582" s="744"/>
      <c r="AC582" s="744"/>
      <c r="AD582" s="744"/>
      <c r="AE582" s="744"/>
      <c r="AF582" s="744"/>
      <c r="AG582" s="744"/>
      <c r="AH582" s="744"/>
      <c r="AI582" s="744"/>
      <c r="AJ582" s="744"/>
      <c r="AK582" s="744"/>
      <c r="AL582" s="744"/>
      <c r="AM582" s="744"/>
    </row>
    <row r="583" spans="3:39" x14ac:dyDescent="0.25">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c r="AA583" s="744"/>
      <c r="AB583" s="744"/>
      <c r="AC583" s="744"/>
      <c r="AD583" s="744"/>
      <c r="AE583" s="744"/>
      <c r="AF583" s="744"/>
      <c r="AG583" s="744"/>
      <c r="AH583" s="744"/>
      <c r="AI583" s="744"/>
      <c r="AJ583" s="744"/>
      <c r="AK583" s="744"/>
      <c r="AL583" s="744"/>
      <c r="AM583" s="744"/>
    </row>
    <row r="584" spans="3:39" x14ac:dyDescent="0.25">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c r="AA584" s="744"/>
      <c r="AB584" s="744"/>
      <c r="AC584" s="744"/>
      <c r="AD584" s="744"/>
      <c r="AE584" s="744"/>
      <c r="AF584" s="744"/>
      <c r="AG584" s="744"/>
      <c r="AH584" s="744"/>
      <c r="AI584" s="744"/>
      <c r="AJ584" s="744"/>
      <c r="AK584" s="744"/>
      <c r="AL584" s="744"/>
      <c r="AM584" s="744"/>
    </row>
    <row r="585" spans="3:39" x14ac:dyDescent="0.25">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c r="AA585" s="744"/>
      <c r="AB585" s="744"/>
      <c r="AC585" s="744"/>
      <c r="AD585" s="744"/>
      <c r="AE585" s="744"/>
      <c r="AF585" s="744"/>
      <c r="AG585" s="744"/>
      <c r="AH585" s="744"/>
      <c r="AI585" s="744"/>
      <c r="AJ585" s="744"/>
      <c r="AK585" s="744"/>
      <c r="AL585" s="744"/>
      <c r="AM585" s="744"/>
    </row>
    <row r="586" spans="3:39" x14ac:dyDescent="0.25">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c r="AA586" s="744"/>
      <c r="AB586" s="744"/>
      <c r="AC586" s="744"/>
      <c r="AD586" s="744"/>
      <c r="AE586" s="744"/>
      <c r="AF586" s="744"/>
      <c r="AG586" s="744"/>
      <c r="AH586" s="744"/>
      <c r="AI586" s="744"/>
      <c r="AJ586" s="744"/>
      <c r="AK586" s="744"/>
      <c r="AL586" s="744"/>
      <c r="AM586" s="744"/>
    </row>
    <row r="587" spans="3:39" x14ac:dyDescent="0.25">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c r="AA587" s="744"/>
      <c r="AB587" s="744"/>
      <c r="AC587" s="744"/>
      <c r="AD587" s="744"/>
      <c r="AE587" s="744"/>
      <c r="AF587" s="744"/>
      <c r="AG587" s="744"/>
      <c r="AH587" s="744"/>
      <c r="AI587" s="744"/>
      <c r="AJ587" s="744"/>
      <c r="AK587" s="744"/>
      <c r="AL587" s="744"/>
      <c r="AM587" s="744"/>
    </row>
    <row r="588" spans="3:39" x14ac:dyDescent="0.25">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c r="AA588" s="744"/>
      <c r="AB588" s="744"/>
      <c r="AC588" s="744"/>
      <c r="AD588" s="744"/>
      <c r="AE588" s="744"/>
      <c r="AF588" s="744"/>
      <c r="AG588" s="744"/>
      <c r="AH588" s="744"/>
      <c r="AI588" s="744"/>
      <c r="AJ588" s="744"/>
      <c r="AK588" s="744"/>
      <c r="AL588" s="744"/>
      <c r="AM588" s="744"/>
    </row>
    <row r="589" spans="3:39" x14ac:dyDescent="0.25">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c r="AA589" s="744"/>
      <c r="AB589" s="744"/>
      <c r="AC589" s="744"/>
      <c r="AD589" s="744"/>
      <c r="AE589" s="744"/>
      <c r="AF589" s="744"/>
      <c r="AG589" s="744"/>
      <c r="AH589" s="744"/>
      <c r="AI589" s="744"/>
      <c r="AJ589" s="744"/>
      <c r="AK589" s="744"/>
      <c r="AL589" s="744"/>
      <c r="AM589" s="744"/>
    </row>
    <row r="590" spans="3:39" x14ac:dyDescent="0.25">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c r="AA590" s="744"/>
      <c r="AB590" s="744"/>
      <c r="AC590" s="744"/>
      <c r="AD590" s="744"/>
      <c r="AE590" s="744"/>
      <c r="AF590" s="744"/>
      <c r="AG590" s="744"/>
      <c r="AH590" s="744"/>
      <c r="AI590" s="744"/>
      <c r="AJ590" s="744"/>
      <c r="AK590" s="744"/>
      <c r="AL590" s="744"/>
      <c r="AM590" s="744"/>
    </row>
    <row r="591" spans="3:39" x14ac:dyDescent="0.25">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c r="AA591" s="744"/>
      <c r="AB591" s="744"/>
      <c r="AC591" s="744"/>
      <c r="AD591" s="744"/>
      <c r="AE591" s="744"/>
      <c r="AF591" s="744"/>
      <c r="AG591" s="744"/>
      <c r="AH591" s="744"/>
      <c r="AI591" s="744"/>
      <c r="AJ591" s="744"/>
      <c r="AK591" s="744"/>
      <c r="AL591" s="744"/>
      <c r="AM591" s="744"/>
    </row>
    <row r="592" spans="3:39" x14ac:dyDescent="0.25">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c r="AA592" s="744"/>
      <c r="AB592" s="744"/>
      <c r="AC592" s="744"/>
      <c r="AD592" s="744"/>
      <c r="AE592" s="744"/>
      <c r="AF592" s="744"/>
      <c r="AG592" s="744"/>
      <c r="AH592" s="744"/>
      <c r="AI592" s="744"/>
      <c r="AJ592" s="744"/>
      <c r="AK592" s="744"/>
      <c r="AL592" s="744"/>
      <c r="AM592" s="744"/>
    </row>
    <row r="593" spans="3:39" x14ac:dyDescent="0.25">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c r="AA593" s="744"/>
      <c r="AB593" s="744"/>
      <c r="AC593" s="744"/>
      <c r="AD593" s="744"/>
      <c r="AE593" s="744"/>
      <c r="AF593" s="744"/>
      <c r="AG593" s="744"/>
      <c r="AH593" s="744"/>
      <c r="AI593" s="744"/>
      <c r="AJ593" s="744"/>
      <c r="AK593" s="744"/>
      <c r="AL593" s="744"/>
      <c r="AM593" s="744"/>
    </row>
    <row r="594" spans="3:39" x14ac:dyDescent="0.25">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c r="AA594" s="744"/>
      <c r="AB594" s="744"/>
      <c r="AC594" s="744"/>
      <c r="AD594" s="744"/>
      <c r="AE594" s="744"/>
      <c r="AF594" s="744"/>
      <c r="AG594" s="744"/>
      <c r="AH594" s="744"/>
      <c r="AI594" s="744"/>
      <c r="AJ594" s="744"/>
      <c r="AK594" s="744"/>
      <c r="AL594" s="744"/>
      <c r="AM594" s="744"/>
    </row>
    <row r="595" spans="3:39" x14ac:dyDescent="0.25">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c r="AA595" s="744"/>
      <c r="AB595" s="744"/>
      <c r="AC595" s="744"/>
      <c r="AD595" s="744"/>
      <c r="AE595" s="744"/>
      <c r="AF595" s="744"/>
      <c r="AG595" s="744"/>
      <c r="AH595" s="744"/>
      <c r="AI595" s="744"/>
      <c r="AJ595" s="744"/>
      <c r="AK595" s="744"/>
      <c r="AL595" s="744"/>
      <c r="AM595" s="744"/>
    </row>
    <row r="596" spans="3:39" x14ac:dyDescent="0.25">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c r="AA596" s="744"/>
      <c r="AB596" s="744"/>
      <c r="AC596" s="744"/>
      <c r="AD596" s="744"/>
      <c r="AE596" s="744"/>
      <c r="AF596" s="744"/>
      <c r="AG596" s="744"/>
      <c r="AH596" s="744"/>
      <c r="AI596" s="744"/>
      <c r="AJ596" s="744"/>
      <c r="AK596" s="744"/>
      <c r="AL596" s="744"/>
      <c r="AM596" s="744"/>
    </row>
    <row r="597" spans="3:39" x14ac:dyDescent="0.25">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c r="AA597" s="744"/>
      <c r="AB597" s="744"/>
      <c r="AC597" s="744"/>
      <c r="AD597" s="744"/>
      <c r="AE597" s="744"/>
      <c r="AF597" s="744"/>
      <c r="AG597" s="744"/>
      <c r="AH597" s="744"/>
      <c r="AI597" s="744"/>
      <c r="AJ597" s="744"/>
      <c r="AK597" s="744"/>
      <c r="AL597" s="744"/>
      <c r="AM597" s="744"/>
    </row>
    <row r="598" spans="3:39" x14ac:dyDescent="0.25">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c r="AA598" s="744"/>
      <c r="AB598" s="744"/>
      <c r="AC598" s="744"/>
      <c r="AD598" s="744"/>
      <c r="AE598" s="744"/>
      <c r="AF598" s="744"/>
      <c r="AG598" s="744"/>
      <c r="AH598" s="744"/>
      <c r="AI598" s="744"/>
      <c r="AJ598" s="744"/>
      <c r="AK598" s="744"/>
      <c r="AL598" s="744"/>
      <c r="AM598" s="744"/>
    </row>
    <row r="599" spans="3:39" x14ac:dyDescent="0.25">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c r="AA599" s="744"/>
      <c r="AB599" s="744"/>
      <c r="AC599" s="744"/>
      <c r="AD599" s="744"/>
      <c r="AE599" s="744"/>
      <c r="AF599" s="744"/>
      <c r="AG599" s="744"/>
      <c r="AH599" s="744"/>
      <c r="AI599" s="744"/>
      <c r="AJ599" s="744"/>
      <c r="AK599" s="744"/>
      <c r="AL599" s="744"/>
      <c r="AM599" s="744"/>
    </row>
    <row r="600" spans="3:39" x14ac:dyDescent="0.25">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c r="AA600" s="744"/>
      <c r="AB600" s="744"/>
      <c r="AC600" s="744"/>
      <c r="AD600" s="744"/>
      <c r="AE600" s="744"/>
      <c r="AF600" s="744"/>
      <c r="AG600" s="744"/>
      <c r="AH600" s="744"/>
      <c r="AI600" s="744"/>
      <c r="AJ600" s="744"/>
      <c r="AK600" s="744"/>
      <c r="AL600" s="744"/>
      <c r="AM600" s="744"/>
    </row>
    <row r="601" spans="3:39" x14ac:dyDescent="0.25">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c r="AA601" s="744"/>
      <c r="AB601" s="744"/>
      <c r="AC601" s="744"/>
      <c r="AD601" s="744"/>
      <c r="AE601" s="744"/>
      <c r="AF601" s="744"/>
      <c r="AG601" s="744"/>
      <c r="AH601" s="744"/>
      <c r="AI601" s="744"/>
      <c r="AJ601" s="744"/>
      <c r="AK601" s="744"/>
      <c r="AL601" s="744"/>
      <c r="AM601" s="744"/>
    </row>
    <row r="602" spans="3:39" x14ac:dyDescent="0.25">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c r="AA602" s="744"/>
      <c r="AB602" s="744"/>
      <c r="AC602" s="744"/>
      <c r="AD602" s="744"/>
      <c r="AE602" s="744"/>
      <c r="AF602" s="744"/>
      <c r="AG602" s="744"/>
      <c r="AH602" s="744"/>
      <c r="AI602" s="744"/>
      <c r="AJ602" s="744"/>
      <c r="AK602" s="744"/>
      <c r="AL602" s="744"/>
      <c r="AM602" s="744"/>
    </row>
    <row r="603" spans="3:39" x14ac:dyDescent="0.25">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c r="AA603" s="744"/>
      <c r="AB603" s="744"/>
      <c r="AC603" s="744"/>
      <c r="AD603" s="744"/>
      <c r="AE603" s="744"/>
      <c r="AF603" s="744"/>
      <c r="AG603" s="744"/>
      <c r="AH603" s="744"/>
      <c r="AI603" s="744"/>
      <c r="AJ603" s="744"/>
      <c r="AK603" s="744"/>
      <c r="AL603" s="744"/>
      <c r="AM603" s="744"/>
    </row>
    <row r="604" spans="3:39" x14ac:dyDescent="0.25">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c r="AA604" s="744"/>
      <c r="AB604" s="744"/>
      <c r="AC604" s="744"/>
      <c r="AD604" s="744"/>
      <c r="AE604" s="744"/>
      <c r="AF604" s="744"/>
      <c r="AG604" s="744"/>
      <c r="AH604" s="744"/>
      <c r="AI604" s="744"/>
      <c r="AJ604" s="744"/>
      <c r="AK604" s="744"/>
      <c r="AL604" s="744"/>
      <c r="AM604" s="744"/>
    </row>
    <row r="605" spans="3:39" x14ac:dyDescent="0.25">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c r="AA605" s="744"/>
      <c r="AB605" s="744"/>
      <c r="AC605" s="744"/>
      <c r="AD605" s="744"/>
      <c r="AE605" s="744"/>
      <c r="AF605" s="744"/>
      <c r="AG605" s="744"/>
      <c r="AH605" s="744"/>
      <c r="AI605" s="744"/>
      <c r="AJ605" s="744"/>
      <c r="AK605" s="744"/>
      <c r="AL605" s="744"/>
      <c r="AM605" s="744"/>
    </row>
    <row r="606" spans="3:39" x14ac:dyDescent="0.25">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c r="AA606" s="744"/>
      <c r="AB606" s="744"/>
      <c r="AC606" s="744"/>
      <c r="AD606" s="744"/>
      <c r="AE606" s="744"/>
      <c r="AF606" s="744"/>
      <c r="AG606" s="744"/>
      <c r="AH606" s="744"/>
      <c r="AI606" s="744"/>
      <c r="AJ606" s="744"/>
      <c r="AK606" s="744"/>
      <c r="AL606" s="744"/>
      <c r="AM606" s="744"/>
    </row>
    <row r="607" spans="3:39" x14ac:dyDescent="0.25">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c r="AA607" s="744"/>
      <c r="AB607" s="744"/>
      <c r="AC607" s="744"/>
      <c r="AD607" s="744"/>
      <c r="AE607" s="744"/>
      <c r="AF607" s="744"/>
      <c r="AG607" s="744"/>
      <c r="AH607" s="744"/>
      <c r="AI607" s="744"/>
      <c r="AJ607" s="744"/>
      <c r="AK607" s="744"/>
      <c r="AL607" s="744"/>
      <c r="AM607" s="744"/>
    </row>
    <row r="608" spans="3:39" x14ac:dyDescent="0.25">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c r="AA608" s="744"/>
      <c r="AB608" s="744"/>
      <c r="AC608" s="744"/>
      <c r="AD608" s="744"/>
      <c r="AE608" s="744"/>
      <c r="AF608" s="744"/>
      <c r="AG608" s="744"/>
      <c r="AH608" s="744"/>
      <c r="AI608" s="744"/>
      <c r="AJ608" s="744"/>
      <c r="AK608" s="744"/>
      <c r="AL608" s="744"/>
      <c r="AM608" s="744"/>
    </row>
    <row r="609" spans="3:39" x14ac:dyDescent="0.25">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c r="AA609" s="744"/>
      <c r="AB609" s="744"/>
      <c r="AC609" s="744"/>
      <c r="AD609" s="744"/>
      <c r="AE609" s="744"/>
      <c r="AF609" s="744"/>
      <c r="AG609" s="744"/>
      <c r="AH609" s="744"/>
      <c r="AI609" s="744"/>
      <c r="AJ609" s="744"/>
      <c r="AK609" s="744"/>
      <c r="AL609" s="744"/>
      <c r="AM609" s="744"/>
    </row>
    <row r="610" spans="3:39" x14ac:dyDescent="0.25">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c r="AA610" s="744"/>
      <c r="AB610" s="744"/>
      <c r="AC610" s="744"/>
      <c r="AD610" s="744"/>
      <c r="AE610" s="744"/>
      <c r="AF610" s="744"/>
      <c r="AG610" s="744"/>
      <c r="AH610" s="744"/>
      <c r="AI610" s="744"/>
      <c r="AJ610" s="744"/>
      <c r="AK610" s="744"/>
      <c r="AL610" s="744"/>
      <c r="AM610" s="744"/>
    </row>
    <row r="611" spans="3:39" x14ac:dyDescent="0.25">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c r="AA611" s="744"/>
      <c r="AB611" s="744"/>
      <c r="AC611" s="744"/>
      <c r="AD611" s="744"/>
      <c r="AE611" s="744"/>
      <c r="AF611" s="744"/>
      <c r="AG611" s="744"/>
      <c r="AH611" s="744"/>
      <c r="AI611" s="744"/>
      <c r="AJ611" s="744"/>
      <c r="AK611" s="744"/>
      <c r="AL611" s="744"/>
      <c r="AM611" s="744"/>
    </row>
    <row r="612" spans="3:39" x14ac:dyDescent="0.25">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c r="AA612" s="744"/>
      <c r="AB612" s="744"/>
      <c r="AC612" s="744"/>
      <c r="AD612" s="744"/>
      <c r="AE612" s="744"/>
      <c r="AF612" s="744"/>
      <c r="AG612" s="744"/>
      <c r="AH612" s="744"/>
      <c r="AI612" s="744"/>
      <c r="AJ612" s="744"/>
      <c r="AK612" s="744"/>
      <c r="AL612" s="744"/>
      <c r="AM612" s="744"/>
    </row>
    <row r="613" spans="3:39" x14ac:dyDescent="0.25">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c r="AA613" s="744"/>
      <c r="AB613" s="744"/>
      <c r="AC613" s="744"/>
      <c r="AD613" s="744"/>
      <c r="AE613" s="744"/>
      <c r="AF613" s="744"/>
      <c r="AG613" s="744"/>
      <c r="AH613" s="744"/>
      <c r="AI613" s="744"/>
      <c r="AJ613" s="744"/>
      <c r="AK613" s="744"/>
      <c r="AL613" s="744"/>
      <c r="AM613" s="744"/>
    </row>
    <row r="614" spans="3:39" x14ac:dyDescent="0.25">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c r="AA614" s="744"/>
      <c r="AB614" s="744"/>
      <c r="AC614" s="744"/>
      <c r="AD614" s="744"/>
      <c r="AE614" s="744"/>
      <c r="AF614" s="744"/>
      <c r="AG614" s="744"/>
      <c r="AH614" s="744"/>
      <c r="AI614" s="744"/>
      <c r="AJ614" s="744"/>
      <c r="AK614" s="744"/>
      <c r="AL614" s="744"/>
      <c r="AM614" s="744"/>
    </row>
    <row r="615" spans="3:39" x14ac:dyDescent="0.25">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c r="AA615" s="744"/>
      <c r="AB615" s="744"/>
      <c r="AC615" s="744"/>
      <c r="AD615" s="744"/>
      <c r="AE615" s="744"/>
      <c r="AF615" s="744"/>
      <c r="AG615" s="744"/>
      <c r="AH615" s="744"/>
      <c r="AI615" s="744"/>
      <c r="AJ615" s="744"/>
      <c r="AK615" s="744"/>
      <c r="AL615" s="744"/>
      <c r="AM615" s="744"/>
    </row>
    <row r="616" spans="3:39" x14ac:dyDescent="0.25">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c r="AA616" s="744"/>
      <c r="AB616" s="744"/>
      <c r="AC616" s="744"/>
      <c r="AD616" s="744"/>
      <c r="AE616" s="744"/>
      <c r="AF616" s="744"/>
      <c r="AG616" s="744"/>
      <c r="AH616" s="744"/>
      <c r="AI616" s="744"/>
      <c r="AJ616" s="744"/>
      <c r="AK616" s="744"/>
      <c r="AL616" s="744"/>
      <c r="AM616" s="744"/>
    </row>
    <row r="617" spans="3:39" x14ac:dyDescent="0.25">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c r="AA617" s="744"/>
      <c r="AB617" s="744"/>
      <c r="AC617" s="744"/>
      <c r="AD617" s="744"/>
      <c r="AE617" s="744"/>
      <c r="AF617" s="744"/>
      <c r="AG617" s="744"/>
      <c r="AH617" s="744"/>
      <c r="AI617" s="744"/>
      <c r="AJ617" s="744"/>
      <c r="AK617" s="744"/>
      <c r="AL617" s="744"/>
      <c r="AM617" s="744"/>
    </row>
    <row r="618" spans="3:39" x14ac:dyDescent="0.25">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c r="AA618" s="744"/>
      <c r="AB618" s="744"/>
      <c r="AC618" s="744"/>
      <c r="AD618" s="744"/>
      <c r="AE618" s="744"/>
      <c r="AF618" s="744"/>
      <c r="AG618" s="744"/>
      <c r="AH618" s="744"/>
      <c r="AI618" s="744"/>
      <c r="AJ618" s="744"/>
      <c r="AK618" s="744"/>
      <c r="AL618" s="744"/>
      <c r="AM618" s="744"/>
    </row>
    <row r="619" spans="3:39" x14ac:dyDescent="0.25">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c r="AA619" s="744"/>
      <c r="AB619" s="744"/>
      <c r="AC619" s="744"/>
      <c r="AD619" s="744"/>
      <c r="AE619" s="744"/>
      <c r="AF619" s="744"/>
      <c r="AG619" s="744"/>
      <c r="AH619" s="744"/>
      <c r="AI619" s="744"/>
      <c r="AJ619" s="744"/>
      <c r="AK619" s="744"/>
      <c r="AL619" s="744"/>
      <c r="AM619" s="744"/>
    </row>
    <row r="620" spans="3:39" x14ac:dyDescent="0.25">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c r="AA620" s="744"/>
      <c r="AB620" s="744"/>
      <c r="AC620" s="744"/>
      <c r="AD620" s="744"/>
      <c r="AE620" s="744"/>
      <c r="AF620" s="744"/>
      <c r="AG620" s="744"/>
      <c r="AH620" s="744"/>
      <c r="AI620" s="744"/>
      <c r="AJ620" s="744"/>
      <c r="AK620" s="744"/>
      <c r="AL620" s="744"/>
      <c r="AM620" s="744"/>
    </row>
    <row r="621" spans="3:39" x14ac:dyDescent="0.25">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c r="AA621" s="744"/>
      <c r="AB621" s="744"/>
      <c r="AC621" s="744"/>
      <c r="AD621" s="744"/>
      <c r="AE621" s="744"/>
      <c r="AF621" s="744"/>
      <c r="AG621" s="744"/>
      <c r="AH621" s="744"/>
      <c r="AI621" s="744"/>
      <c r="AJ621" s="744"/>
      <c r="AK621" s="744"/>
      <c r="AL621" s="744"/>
      <c r="AM621" s="744"/>
    </row>
    <row r="622" spans="3:39" x14ac:dyDescent="0.25">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c r="AA622" s="744"/>
      <c r="AB622" s="744"/>
      <c r="AC622" s="744"/>
      <c r="AD622" s="744"/>
      <c r="AE622" s="744"/>
      <c r="AF622" s="744"/>
      <c r="AG622" s="744"/>
      <c r="AH622" s="744"/>
      <c r="AI622" s="744"/>
      <c r="AJ622" s="744"/>
      <c r="AK622" s="744"/>
      <c r="AL622" s="744"/>
      <c r="AM622" s="744"/>
    </row>
    <row r="623" spans="3:39" x14ac:dyDescent="0.25">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c r="AA623" s="744"/>
      <c r="AB623" s="744"/>
      <c r="AC623" s="744"/>
      <c r="AD623" s="744"/>
      <c r="AE623" s="744"/>
      <c r="AF623" s="744"/>
      <c r="AG623" s="744"/>
      <c r="AH623" s="744"/>
      <c r="AI623" s="744"/>
      <c r="AJ623" s="744"/>
      <c r="AK623" s="744"/>
      <c r="AL623" s="744"/>
      <c r="AM623" s="744"/>
    </row>
    <row r="624" spans="3:39" x14ac:dyDescent="0.25">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c r="AA624" s="744"/>
      <c r="AB624" s="744"/>
      <c r="AC624" s="744"/>
      <c r="AD624" s="744"/>
      <c r="AE624" s="744"/>
      <c r="AF624" s="744"/>
      <c r="AG624" s="744"/>
      <c r="AH624" s="744"/>
      <c r="AI624" s="744"/>
      <c r="AJ624" s="744"/>
      <c r="AK624" s="744"/>
      <c r="AL624" s="744"/>
      <c r="AM624" s="744"/>
    </row>
    <row r="625" spans="3:39" x14ac:dyDescent="0.25">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c r="AA625" s="744"/>
      <c r="AB625" s="744"/>
      <c r="AC625" s="744"/>
      <c r="AD625" s="744"/>
      <c r="AE625" s="744"/>
      <c r="AF625" s="744"/>
      <c r="AG625" s="744"/>
      <c r="AH625" s="744"/>
      <c r="AI625" s="744"/>
      <c r="AJ625" s="744"/>
      <c r="AK625" s="744"/>
      <c r="AL625" s="744"/>
      <c r="AM625" s="744"/>
    </row>
    <row r="626" spans="3:39" x14ac:dyDescent="0.25">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c r="AA626" s="744"/>
      <c r="AB626" s="744"/>
      <c r="AC626" s="744"/>
      <c r="AD626" s="744"/>
      <c r="AE626" s="744"/>
      <c r="AF626" s="744"/>
      <c r="AG626" s="744"/>
      <c r="AH626" s="744"/>
      <c r="AI626" s="744"/>
      <c r="AJ626" s="744"/>
      <c r="AK626" s="744"/>
      <c r="AL626" s="744"/>
      <c r="AM626" s="744"/>
    </row>
    <row r="627" spans="3:39" x14ac:dyDescent="0.25">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c r="AA627" s="744"/>
      <c r="AB627" s="744"/>
      <c r="AC627" s="744"/>
      <c r="AD627" s="744"/>
      <c r="AE627" s="744"/>
      <c r="AF627" s="744"/>
      <c r="AG627" s="744"/>
      <c r="AH627" s="744"/>
      <c r="AI627" s="744"/>
      <c r="AJ627" s="744"/>
      <c r="AK627" s="744"/>
      <c r="AL627" s="744"/>
      <c r="AM627" s="744"/>
    </row>
    <row r="628" spans="3:39" x14ac:dyDescent="0.25">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c r="AA628" s="744"/>
      <c r="AB628" s="744"/>
      <c r="AC628" s="744"/>
      <c r="AD628" s="744"/>
      <c r="AE628" s="744"/>
      <c r="AF628" s="744"/>
      <c r="AG628" s="744"/>
      <c r="AH628" s="744"/>
      <c r="AI628" s="744"/>
      <c r="AJ628" s="744"/>
      <c r="AK628" s="744"/>
      <c r="AL628" s="744"/>
      <c r="AM628" s="744"/>
    </row>
    <row r="629" spans="3:39" x14ac:dyDescent="0.25">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c r="AA629" s="744"/>
      <c r="AB629" s="744"/>
      <c r="AC629" s="744"/>
      <c r="AD629" s="744"/>
      <c r="AE629" s="744"/>
      <c r="AF629" s="744"/>
      <c r="AG629" s="744"/>
      <c r="AH629" s="744"/>
      <c r="AI629" s="744"/>
      <c r="AJ629" s="744"/>
      <c r="AK629" s="744"/>
      <c r="AL629" s="744"/>
      <c r="AM629" s="744"/>
    </row>
    <row r="630" spans="3:39" x14ac:dyDescent="0.25">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c r="AA630" s="744"/>
      <c r="AB630" s="744"/>
      <c r="AC630" s="744"/>
      <c r="AD630" s="744"/>
      <c r="AE630" s="744"/>
      <c r="AF630" s="744"/>
      <c r="AG630" s="744"/>
      <c r="AH630" s="744"/>
      <c r="AI630" s="744"/>
      <c r="AJ630" s="744"/>
      <c r="AK630" s="744"/>
      <c r="AL630" s="744"/>
      <c r="AM630" s="744"/>
    </row>
    <row r="631" spans="3:39" x14ac:dyDescent="0.25">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c r="AA631" s="744"/>
      <c r="AB631" s="744"/>
      <c r="AC631" s="744"/>
      <c r="AD631" s="744"/>
      <c r="AE631" s="744"/>
      <c r="AF631" s="744"/>
      <c r="AG631" s="744"/>
      <c r="AH631" s="744"/>
      <c r="AI631" s="744"/>
      <c r="AJ631" s="744"/>
      <c r="AK631" s="744"/>
      <c r="AL631" s="744"/>
      <c r="AM631" s="744"/>
    </row>
    <row r="632" spans="3:39" x14ac:dyDescent="0.25">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c r="AA632" s="744"/>
      <c r="AB632" s="744"/>
      <c r="AC632" s="744"/>
      <c r="AD632" s="744"/>
      <c r="AE632" s="744"/>
      <c r="AF632" s="744"/>
      <c r="AG632" s="744"/>
      <c r="AH632" s="744"/>
      <c r="AI632" s="744"/>
      <c r="AJ632" s="744"/>
      <c r="AK632" s="744"/>
      <c r="AL632" s="744"/>
      <c r="AM632" s="744"/>
    </row>
    <row r="633" spans="3:39" x14ac:dyDescent="0.25">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c r="AA633" s="744"/>
      <c r="AB633" s="744"/>
      <c r="AC633" s="744"/>
      <c r="AD633" s="744"/>
      <c r="AE633" s="744"/>
      <c r="AF633" s="744"/>
      <c r="AG633" s="744"/>
      <c r="AH633" s="744"/>
      <c r="AI633" s="744"/>
      <c r="AJ633" s="744"/>
      <c r="AK633" s="744"/>
      <c r="AL633" s="744"/>
      <c r="AM633" s="744"/>
    </row>
    <row r="634" spans="3:39" x14ac:dyDescent="0.25">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c r="AA634" s="744"/>
      <c r="AB634" s="744"/>
      <c r="AC634" s="744"/>
      <c r="AD634" s="744"/>
      <c r="AE634" s="744"/>
      <c r="AF634" s="744"/>
      <c r="AG634" s="744"/>
      <c r="AH634" s="744"/>
      <c r="AI634" s="744"/>
      <c r="AJ634" s="744"/>
      <c r="AK634" s="744"/>
      <c r="AL634" s="744"/>
      <c r="AM634" s="744"/>
    </row>
    <row r="635" spans="3:39" x14ac:dyDescent="0.25">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c r="AA635" s="744"/>
      <c r="AB635" s="744"/>
      <c r="AC635" s="744"/>
      <c r="AD635" s="744"/>
      <c r="AE635" s="744"/>
      <c r="AF635" s="744"/>
      <c r="AG635" s="744"/>
      <c r="AH635" s="744"/>
      <c r="AI635" s="744"/>
      <c r="AJ635" s="744"/>
      <c r="AK635" s="744"/>
      <c r="AL635" s="744"/>
      <c r="AM635" s="744"/>
    </row>
    <row r="636" spans="3:39" x14ac:dyDescent="0.25">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c r="AA636" s="744"/>
      <c r="AB636" s="744"/>
      <c r="AC636" s="744"/>
      <c r="AD636" s="744"/>
      <c r="AE636" s="744"/>
      <c r="AF636" s="744"/>
      <c r="AG636" s="744"/>
      <c r="AH636" s="744"/>
      <c r="AI636" s="744"/>
      <c r="AJ636" s="744"/>
      <c r="AK636" s="744"/>
      <c r="AL636" s="744"/>
      <c r="AM636" s="744"/>
    </row>
    <row r="637" spans="3:39" x14ac:dyDescent="0.25">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c r="AA637" s="744"/>
      <c r="AB637" s="744"/>
      <c r="AC637" s="744"/>
      <c r="AD637" s="744"/>
      <c r="AE637" s="744"/>
      <c r="AF637" s="744"/>
      <c r="AG637" s="744"/>
      <c r="AH637" s="744"/>
      <c r="AI637" s="744"/>
      <c r="AJ637" s="744"/>
      <c r="AK637" s="744"/>
      <c r="AL637" s="744"/>
      <c r="AM637" s="744"/>
    </row>
    <row r="638" spans="3:39" x14ac:dyDescent="0.25">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c r="AA638" s="744"/>
      <c r="AB638" s="744"/>
      <c r="AC638" s="744"/>
      <c r="AD638" s="744"/>
      <c r="AE638" s="744"/>
      <c r="AF638" s="744"/>
      <c r="AG638" s="744"/>
      <c r="AH638" s="744"/>
      <c r="AI638" s="744"/>
      <c r="AJ638" s="744"/>
      <c r="AK638" s="744"/>
      <c r="AL638" s="744"/>
      <c r="AM638" s="744"/>
    </row>
    <row r="639" spans="3:39" x14ac:dyDescent="0.25">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c r="AA639" s="744"/>
      <c r="AB639" s="744"/>
      <c r="AC639" s="744"/>
      <c r="AD639" s="744"/>
      <c r="AE639" s="744"/>
      <c r="AF639" s="744"/>
      <c r="AG639" s="744"/>
      <c r="AH639" s="744"/>
      <c r="AI639" s="744"/>
      <c r="AJ639" s="744"/>
      <c r="AK639" s="744"/>
      <c r="AL639" s="744"/>
      <c r="AM639" s="744"/>
    </row>
    <row r="640" spans="3:39" x14ac:dyDescent="0.25">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c r="AA640" s="744"/>
      <c r="AB640" s="744"/>
      <c r="AC640" s="744"/>
      <c r="AD640" s="744"/>
      <c r="AE640" s="744"/>
      <c r="AF640" s="744"/>
      <c r="AG640" s="744"/>
      <c r="AH640" s="744"/>
      <c r="AI640" s="744"/>
      <c r="AJ640" s="744"/>
      <c r="AK640" s="744"/>
      <c r="AL640" s="744"/>
      <c r="AM640" s="744"/>
    </row>
    <row r="641" spans="3:39" x14ac:dyDescent="0.25">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c r="AA641" s="744"/>
      <c r="AB641" s="744"/>
      <c r="AC641" s="744"/>
      <c r="AD641" s="744"/>
      <c r="AE641" s="744"/>
      <c r="AF641" s="744"/>
      <c r="AG641" s="744"/>
      <c r="AH641" s="744"/>
      <c r="AI641" s="744"/>
      <c r="AJ641" s="744"/>
      <c r="AK641" s="744"/>
      <c r="AL641" s="744"/>
      <c r="AM641" s="744"/>
    </row>
    <row r="642" spans="3:39" x14ac:dyDescent="0.25">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c r="AA642" s="744"/>
      <c r="AB642" s="744"/>
      <c r="AC642" s="744"/>
      <c r="AD642" s="744"/>
      <c r="AE642" s="744"/>
      <c r="AF642" s="744"/>
      <c r="AG642" s="744"/>
      <c r="AH642" s="744"/>
      <c r="AI642" s="744"/>
      <c r="AJ642" s="744"/>
      <c r="AK642" s="744"/>
      <c r="AL642" s="744"/>
      <c r="AM642" s="744"/>
    </row>
    <row r="643" spans="3:39" x14ac:dyDescent="0.25">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c r="AA643" s="744"/>
      <c r="AB643" s="744"/>
      <c r="AC643" s="744"/>
      <c r="AD643" s="744"/>
      <c r="AE643" s="744"/>
      <c r="AF643" s="744"/>
      <c r="AG643" s="744"/>
      <c r="AH643" s="744"/>
      <c r="AI643" s="744"/>
      <c r="AJ643" s="744"/>
      <c r="AK643" s="744"/>
      <c r="AL643" s="744"/>
      <c r="AM643" s="744"/>
    </row>
    <row r="644" spans="3:39" x14ac:dyDescent="0.25">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c r="AA644" s="744"/>
      <c r="AB644" s="744"/>
      <c r="AC644" s="744"/>
      <c r="AD644" s="744"/>
      <c r="AE644" s="744"/>
      <c r="AF644" s="744"/>
      <c r="AG644" s="744"/>
      <c r="AH644" s="744"/>
      <c r="AI644" s="744"/>
      <c r="AJ644" s="744"/>
      <c r="AK644" s="744"/>
      <c r="AL644" s="744"/>
      <c r="AM644" s="744"/>
    </row>
    <row r="645" spans="3:39" x14ac:dyDescent="0.25">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c r="AA645" s="744"/>
      <c r="AB645" s="744"/>
      <c r="AC645" s="744"/>
      <c r="AD645" s="744"/>
      <c r="AE645" s="744"/>
      <c r="AF645" s="744"/>
      <c r="AG645" s="744"/>
      <c r="AH645" s="744"/>
      <c r="AI645" s="744"/>
      <c r="AJ645" s="744"/>
      <c r="AK645" s="744"/>
      <c r="AL645" s="744"/>
      <c r="AM645" s="744"/>
    </row>
    <row r="646" spans="3:39" x14ac:dyDescent="0.25">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c r="AA646" s="744"/>
      <c r="AB646" s="744"/>
      <c r="AC646" s="744"/>
      <c r="AD646" s="744"/>
      <c r="AE646" s="744"/>
      <c r="AF646" s="744"/>
      <c r="AG646" s="744"/>
      <c r="AH646" s="744"/>
      <c r="AI646" s="744"/>
      <c r="AJ646" s="744"/>
      <c r="AK646" s="744"/>
      <c r="AL646" s="744"/>
      <c r="AM646" s="744"/>
    </row>
    <row r="647" spans="3:39" x14ac:dyDescent="0.25">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c r="AA647" s="744"/>
      <c r="AB647" s="744"/>
      <c r="AC647" s="744"/>
      <c r="AD647" s="744"/>
      <c r="AE647" s="744"/>
      <c r="AF647" s="744"/>
      <c r="AG647" s="744"/>
      <c r="AH647" s="744"/>
      <c r="AI647" s="744"/>
      <c r="AJ647" s="744"/>
      <c r="AK647" s="744"/>
      <c r="AL647" s="744"/>
      <c r="AM647" s="744"/>
    </row>
    <row r="648" spans="3:39" x14ac:dyDescent="0.25">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c r="AA648" s="744"/>
      <c r="AB648" s="744"/>
      <c r="AC648" s="744"/>
      <c r="AD648" s="744"/>
      <c r="AE648" s="744"/>
      <c r="AF648" s="744"/>
      <c r="AG648" s="744"/>
      <c r="AH648" s="744"/>
      <c r="AI648" s="744"/>
      <c r="AJ648" s="744"/>
      <c r="AK648" s="744"/>
      <c r="AL648" s="744"/>
      <c r="AM648" s="744"/>
    </row>
    <row r="649" spans="3:39" x14ac:dyDescent="0.25">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c r="AA649" s="744"/>
      <c r="AB649" s="744"/>
      <c r="AC649" s="744"/>
      <c r="AD649" s="744"/>
      <c r="AE649" s="744"/>
      <c r="AF649" s="744"/>
      <c r="AG649" s="744"/>
      <c r="AH649" s="744"/>
      <c r="AI649" s="744"/>
      <c r="AJ649" s="744"/>
      <c r="AK649" s="744"/>
      <c r="AL649" s="744"/>
      <c r="AM649" s="744"/>
    </row>
    <row r="650" spans="3:39" x14ac:dyDescent="0.25">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c r="AA650" s="744"/>
      <c r="AB650" s="744"/>
      <c r="AC650" s="744"/>
      <c r="AD650" s="744"/>
      <c r="AE650" s="744"/>
      <c r="AF650" s="744"/>
      <c r="AG650" s="744"/>
      <c r="AH650" s="744"/>
      <c r="AI650" s="744"/>
      <c r="AJ650" s="744"/>
      <c r="AK650" s="744"/>
      <c r="AL650" s="744"/>
      <c r="AM650" s="744"/>
    </row>
    <row r="651" spans="3:39" x14ac:dyDescent="0.25">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c r="AA651" s="744"/>
      <c r="AB651" s="744"/>
      <c r="AC651" s="744"/>
      <c r="AD651" s="744"/>
      <c r="AE651" s="744"/>
      <c r="AF651" s="744"/>
      <c r="AG651" s="744"/>
      <c r="AH651" s="744"/>
      <c r="AI651" s="744"/>
      <c r="AJ651" s="744"/>
      <c r="AK651" s="744"/>
      <c r="AL651" s="744"/>
      <c r="AM651" s="744"/>
    </row>
    <row r="652" spans="3:39" x14ac:dyDescent="0.25">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c r="AA652" s="744"/>
      <c r="AB652" s="744"/>
      <c r="AC652" s="744"/>
      <c r="AD652" s="744"/>
      <c r="AE652" s="744"/>
      <c r="AF652" s="744"/>
      <c r="AG652" s="744"/>
      <c r="AH652" s="744"/>
      <c r="AI652" s="744"/>
      <c r="AJ652" s="744"/>
      <c r="AK652" s="744"/>
      <c r="AL652" s="744"/>
      <c r="AM652" s="744"/>
    </row>
    <row r="653" spans="3:39" x14ac:dyDescent="0.25">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c r="AA653" s="744"/>
      <c r="AB653" s="744"/>
      <c r="AC653" s="744"/>
      <c r="AD653" s="744"/>
      <c r="AE653" s="744"/>
      <c r="AF653" s="744"/>
      <c r="AG653" s="744"/>
      <c r="AH653" s="744"/>
      <c r="AI653" s="744"/>
      <c r="AJ653" s="744"/>
      <c r="AK653" s="744"/>
      <c r="AL653" s="744"/>
      <c r="AM653" s="744"/>
    </row>
    <row r="654" spans="3:39" x14ac:dyDescent="0.25">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c r="AA654" s="744"/>
      <c r="AB654" s="744"/>
      <c r="AC654" s="744"/>
      <c r="AD654" s="744"/>
      <c r="AE654" s="744"/>
      <c r="AF654" s="744"/>
      <c r="AG654" s="744"/>
      <c r="AH654" s="744"/>
      <c r="AI654" s="744"/>
      <c r="AJ654" s="744"/>
      <c r="AK654" s="744"/>
      <c r="AL654" s="744"/>
      <c r="AM654" s="744"/>
    </row>
    <row r="655" spans="3:39" x14ac:dyDescent="0.25">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c r="AA655" s="744"/>
      <c r="AB655" s="744"/>
      <c r="AC655" s="744"/>
      <c r="AD655" s="744"/>
      <c r="AE655" s="744"/>
      <c r="AF655" s="744"/>
      <c r="AG655" s="744"/>
      <c r="AH655" s="744"/>
      <c r="AI655" s="744"/>
      <c r="AJ655" s="744"/>
      <c r="AK655" s="744"/>
      <c r="AL655" s="744"/>
      <c r="AM655" s="744"/>
    </row>
    <row r="656" spans="3:39" x14ac:dyDescent="0.25">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c r="AA656" s="744"/>
      <c r="AB656" s="744"/>
      <c r="AC656" s="744"/>
      <c r="AD656" s="744"/>
      <c r="AE656" s="744"/>
      <c r="AF656" s="744"/>
      <c r="AG656" s="744"/>
      <c r="AH656" s="744"/>
      <c r="AI656" s="744"/>
      <c r="AJ656" s="744"/>
      <c r="AK656" s="744"/>
      <c r="AL656" s="744"/>
      <c r="AM656" s="744"/>
    </row>
    <row r="657" spans="3:39" x14ac:dyDescent="0.25">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c r="AA657" s="744"/>
      <c r="AB657" s="744"/>
      <c r="AC657" s="744"/>
      <c r="AD657" s="744"/>
      <c r="AE657" s="744"/>
      <c r="AF657" s="744"/>
      <c r="AG657" s="744"/>
      <c r="AH657" s="744"/>
      <c r="AI657" s="744"/>
      <c r="AJ657" s="744"/>
      <c r="AK657" s="744"/>
      <c r="AL657" s="744"/>
      <c r="AM657" s="744"/>
    </row>
    <row r="658" spans="3:39" x14ac:dyDescent="0.25">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c r="AA658" s="744"/>
      <c r="AB658" s="744"/>
      <c r="AC658" s="744"/>
      <c r="AD658" s="744"/>
      <c r="AE658" s="744"/>
      <c r="AF658" s="744"/>
      <c r="AG658" s="744"/>
      <c r="AH658" s="744"/>
      <c r="AI658" s="744"/>
      <c r="AJ658" s="744"/>
      <c r="AK658" s="744"/>
      <c r="AL658" s="744"/>
      <c r="AM658" s="744"/>
    </row>
    <row r="659" spans="3:39" x14ac:dyDescent="0.25">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c r="AA659" s="744"/>
      <c r="AB659" s="744"/>
      <c r="AC659" s="744"/>
      <c r="AD659" s="744"/>
      <c r="AE659" s="744"/>
      <c r="AF659" s="744"/>
      <c r="AG659" s="744"/>
      <c r="AH659" s="744"/>
      <c r="AI659" s="744"/>
      <c r="AJ659" s="744"/>
      <c r="AK659" s="744"/>
      <c r="AL659" s="744"/>
      <c r="AM659" s="744"/>
    </row>
    <row r="660" spans="3:39" x14ac:dyDescent="0.25">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c r="AA660" s="744"/>
      <c r="AB660" s="744"/>
      <c r="AC660" s="744"/>
      <c r="AD660" s="744"/>
      <c r="AE660" s="744"/>
      <c r="AF660" s="744"/>
      <c r="AG660" s="744"/>
      <c r="AH660" s="744"/>
      <c r="AI660" s="744"/>
      <c r="AJ660" s="744"/>
      <c r="AK660" s="744"/>
      <c r="AL660" s="744"/>
      <c r="AM660" s="744"/>
    </row>
    <row r="661" spans="3:39" x14ac:dyDescent="0.25">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c r="AA661" s="744"/>
      <c r="AB661" s="744"/>
      <c r="AC661" s="744"/>
      <c r="AD661" s="744"/>
      <c r="AE661" s="744"/>
      <c r="AF661" s="744"/>
      <c r="AG661" s="744"/>
      <c r="AH661" s="744"/>
      <c r="AI661" s="744"/>
      <c r="AJ661" s="744"/>
      <c r="AK661" s="744"/>
      <c r="AL661" s="744"/>
      <c r="AM661" s="744"/>
    </row>
    <row r="662" spans="3:39" x14ac:dyDescent="0.25">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c r="AA662" s="744"/>
      <c r="AB662" s="744"/>
      <c r="AC662" s="744"/>
      <c r="AD662" s="744"/>
      <c r="AE662" s="744"/>
      <c r="AF662" s="744"/>
      <c r="AG662" s="744"/>
      <c r="AH662" s="744"/>
      <c r="AI662" s="744"/>
      <c r="AJ662" s="744"/>
      <c r="AK662" s="744"/>
      <c r="AL662" s="744"/>
      <c r="AM662" s="744"/>
    </row>
    <row r="663" spans="3:39" x14ac:dyDescent="0.25">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c r="AA663" s="744"/>
      <c r="AB663" s="744"/>
      <c r="AC663" s="744"/>
      <c r="AD663" s="744"/>
      <c r="AE663" s="744"/>
      <c r="AF663" s="744"/>
      <c r="AG663" s="744"/>
      <c r="AH663" s="744"/>
      <c r="AI663" s="744"/>
      <c r="AJ663" s="744"/>
      <c r="AK663" s="744"/>
      <c r="AL663" s="744"/>
      <c r="AM663" s="744"/>
    </row>
    <row r="664" spans="3:39" x14ac:dyDescent="0.25">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c r="AA664" s="744"/>
      <c r="AB664" s="744"/>
      <c r="AC664" s="744"/>
      <c r="AD664" s="744"/>
      <c r="AE664" s="744"/>
      <c r="AF664" s="744"/>
      <c r="AG664" s="744"/>
      <c r="AH664" s="744"/>
      <c r="AI664" s="744"/>
      <c r="AJ664" s="744"/>
      <c r="AK664" s="744"/>
      <c r="AL664" s="744"/>
      <c r="AM664" s="744"/>
    </row>
    <row r="665" spans="3:39" x14ac:dyDescent="0.25">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c r="AA665" s="744"/>
      <c r="AB665" s="744"/>
      <c r="AC665" s="744"/>
      <c r="AD665" s="744"/>
      <c r="AE665" s="744"/>
      <c r="AF665" s="744"/>
      <c r="AG665" s="744"/>
      <c r="AH665" s="744"/>
      <c r="AI665" s="744"/>
      <c r="AJ665" s="744"/>
      <c r="AK665" s="744"/>
      <c r="AL665" s="744"/>
      <c r="AM665" s="744"/>
    </row>
    <row r="666" spans="3:39" x14ac:dyDescent="0.25">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c r="AA666" s="744"/>
      <c r="AB666" s="744"/>
      <c r="AC666" s="744"/>
      <c r="AD666" s="744"/>
      <c r="AE666" s="744"/>
      <c r="AF666" s="744"/>
      <c r="AG666" s="744"/>
      <c r="AH666" s="744"/>
      <c r="AI666" s="744"/>
      <c r="AJ666" s="744"/>
      <c r="AK666" s="744"/>
      <c r="AL666" s="744"/>
      <c r="AM666" s="744"/>
    </row>
    <row r="667" spans="3:39" x14ac:dyDescent="0.25">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c r="AA667" s="744"/>
      <c r="AB667" s="744"/>
      <c r="AC667" s="744"/>
      <c r="AD667" s="744"/>
      <c r="AE667" s="744"/>
      <c r="AF667" s="744"/>
      <c r="AG667" s="744"/>
      <c r="AH667" s="744"/>
      <c r="AI667" s="744"/>
      <c r="AJ667" s="744"/>
      <c r="AK667" s="744"/>
      <c r="AL667" s="744"/>
      <c r="AM667" s="744"/>
    </row>
    <row r="668" spans="3:39" x14ac:dyDescent="0.25">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c r="AA668" s="744"/>
      <c r="AB668" s="744"/>
      <c r="AC668" s="744"/>
      <c r="AD668" s="744"/>
      <c r="AE668" s="744"/>
      <c r="AF668" s="744"/>
      <c r="AG668" s="744"/>
      <c r="AH668" s="744"/>
      <c r="AI668" s="744"/>
      <c r="AJ668" s="744"/>
      <c r="AK668" s="744"/>
      <c r="AL668" s="744"/>
      <c r="AM668" s="744"/>
    </row>
    <row r="669" spans="3:39" x14ac:dyDescent="0.25">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c r="AA669" s="744"/>
      <c r="AB669" s="744"/>
      <c r="AC669" s="744"/>
      <c r="AD669" s="744"/>
      <c r="AE669" s="744"/>
      <c r="AF669" s="744"/>
      <c r="AG669" s="744"/>
      <c r="AH669" s="744"/>
      <c r="AI669" s="744"/>
      <c r="AJ669" s="744"/>
      <c r="AK669" s="744"/>
      <c r="AL669" s="744"/>
      <c r="AM669" s="744"/>
    </row>
    <row r="670" spans="3:39" x14ac:dyDescent="0.25">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c r="AA670" s="744"/>
      <c r="AB670" s="744"/>
      <c r="AC670" s="744"/>
      <c r="AD670" s="744"/>
      <c r="AE670" s="744"/>
      <c r="AF670" s="744"/>
      <c r="AG670" s="744"/>
      <c r="AH670" s="744"/>
      <c r="AI670" s="744"/>
      <c r="AJ670" s="744"/>
      <c r="AK670" s="744"/>
      <c r="AL670" s="744"/>
      <c r="AM670" s="744"/>
    </row>
    <row r="671" spans="3:39" x14ac:dyDescent="0.25">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c r="AA671" s="744"/>
      <c r="AB671" s="744"/>
      <c r="AC671" s="744"/>
      <c r="AD671" s="744"/>
      <c r="AE671" s="744"/>
      <c r="AF671" s="744"/>
      <c r="AG671" s="744"/>
      <c r="AH671" s="744"/>
      <c r="AI671" s="744"/>
      <c r="AJ671" s="744"/>
      <c r="AK671" s="744"/>
      <c r="AL671" s="744"/>
      <c r="AM671" s="744"/>
    </row>
    <row r="672" spans="3:39" x14ac:dyDescent="0.25">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c r="AA672" s="744"/>
      <c r="AB672" s="744"/>
      <c r="AC672" s="744"/>
      <c r="AD672" s="744"/>
      <c r="AE672" s="744"/>
      <c r="AF672" s="744"/>
      <c r="AG672" s="744"/>
      <c r="AH672" s="744"/>
      <c r="AI672" s="744"/>
      <c r="AJ672" s="744"/>
      <c r="AK672" s="744"/>
      <c r="AL672" s="744"/>
      <c r="AM672" s="744"/>
    </row>
    <row r="673" spans="3:39" x14ac:dyDescent="0.25">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c r="AA673" s="744"/>
      <c r="AB673" s="744"/>
      <c r="AC673" s="744"/>
      <c r="AD673" s="744"/>
      <c r="AE673" s="744"/>
      <c r="AF673" s="744"/>
      <c r="AG673" s="744"/>
      <c r="AH673" s="744"/>
      <c r="AI673" s="744"/>
      <c r="AJ673" s="744"/>
      <c r="AK673" s="744"/>
      <c r="AL673" s="744"/>
      <c r="AM673" s="744"/>
    </row>
    <row r="674" spans="3:39" x14ac:dyDescent="0.25">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c r="AA674" s="744"/>
      <c r="AB674" s="744"/>
      <c r="AC674" s="744"/>
      <c r="AD674" s="744"/>
      <c r="AE674" s="744"/>
      <c r="AF674" s="744"/>
      <c r="AG674" s="744"/>
      <c r="AH674" s="744"/>
      <c r="AI674" s="744"/>
      <c r="AJ674" s="744"/>
      <c r="AK674" s="744"/>
      <c r="AL674" s="744"/>
      <c r="AM674" s="744"/>
    </row>
    <row r="675" spans="3:39" x14ac:dyDescent="0.25">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c r="AA675" s="744"/>
      <c r="AB675" s="744"/>
      <c r="AC675" s="744"/>
      <c r="AD675" s="744"/>
      <c r="AE675" s="744"/>
      <c r="AF675" s="744"/>
      <c r="AG675" s="744"/>
      <c r="AH675" s="744"/>
      <c r="AI675" s="744"/>
      <c r="AJ675" s="744"/>
      <c r="AK675" s="744"/>
      <c r="AL675" s="744"/>
      <c r="AM675" s="744"/>
    </row>
    <row r="676" spans="3:39" x14ac:dyDescent="0.25">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c r="AA676" s="744"/>
      <c r="AB676" s="744"/>
      <c r="AC676" s="744"/>
      <c r="AD676" s="744"/>
      <c r="AE676" s="744"/>
      <c r="AF676" s="744"/>
      <c r="AG676" s="744"/>
      <c r="AH676" s="744"/>
      <c r="AI676" s="744"/>
      <c r="AJ676" s="744"/>
      <c r="AK676" s="744"/>
      <c r="AL676" s="744"/>
      <c r="AM676" s="744"/>
    </row>
    <row r="677" spans="3:39" x14ac:dyDescent="0.25">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c r="AA677" s="744"/>
      <c r="AB677" s="744"/>
      <c r="AC677" s="744"/>
      <c r="AD677" s="744"/>
      <c r="AE677" s="744"/>
      <c r="AF677" s="744"/>
      <c r="AG677" s="744"/>
      <c r="AH677" s="744"/>
      <c r="AI677" s="744"/>
      <c r="AJ677" s="744"/>
      <c r="AK677" s="744"/>
      <c r="AL677" s="744"/>
      <c r="AM677" s="744"/>
    </row>
    <row r="678" spans="3:39" x14ac:dyDescent="0.25">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c r="AA678" s="744"/>
      <c r="AB678" s="744"/>
      <c r="AC678" s="744"/>
      <c r="AD678" s="744"/>
      <c r="AE678" s="744"/>
      <c r="AF678" s="744"/>
      <c r="AG678" s="744"/>
      <c r="AH678" s="744"/>
      <c r="AI678" s="744"/>
      <c r="AJ678" s="744"/>
      <c r="AK678" s="744"/>
      <c r="AL678" s="744"/>
      <c r="AM678" s="744"/>
    </row>
    <row r="679" spans="3:39" x14ac:dyDescent="0.25">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c r="AA679" s="744"/>
      <c r="AB679" s="744"/>
      <c r="AC679" s="744"/>
      <c r="AD679" s="744"/>
      <c r="AE679" s="744"/>
      <c r="AF679" s="744"/>
      <c r="AG679" s="744"/>
      <c r="AH679" s="744"/>
      <c r="AI679" s="744"/>
      <c r="AJ679" s="744"/>
      <c r="AK679" s="744"/>
      <c r="AL679" s="744"/>
      <c r="AM679" s="744"/>
    </row>
    <row r="680" spans="3:39" x14ac:dyDescent="0.25">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c r="AA680" s="744"/>
      <c r="AB680" s="744"/>
      <c r="AC680" s="744"/>
      <c r="AD680" s="744"/>
      <c r="AE680" s="744"/>
      <c r="AF680" s="744"/>
      <c r="AG680" s="744"/>
      <c r="AH680" s="744"/>
      <c r="AI680" s="744"/>
      <c r="AJ680" s="744"/>
      <c r="AK680" s="744"/>
      <c r="AL680" s="744"/>
      <c r="AM680" s="744"/>
    </row>
    <row r="681" spans="3:39" x14ac:dyDescent="0.25">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c r="AA681" s="744"/>
      <c r="AB681" s="744"/>
      <c r="AC681" s="744"/>
      <c r="AD681" s="744"/>
      <c r="AE681" s="744"/>
      <c r="AF681" s="744"/>
      <c r="AG681" s="744"/>
      <c r="AH681" s="744"/>
      <c r="AI681" s="744"/>
      <c r="AJ681" s="744"/>
      <c r="AK681" s="744"/>
      <c r="AL681" s="744"/>
      <c r="AM681" s="744"/>
    </row>
    <row r="682" spans="3:39" x14ac:dyDescent="0.25">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c r="AA682" s="744"/>
      <c r="AB682" s="744"/>
      <c r="AC682" s="744"/>
      <c r="AD682" s="744"/>
      <c r="AE682" s="744"/>
      <c r="AF682" s="744"/>
      <c r="AG682" s="744"/>
      <c r="AH682" s="744"/>
      <c r="AI682" s="744"/>
      <c r="AJ682" s="744"/>
      <c r="AK682" s="744"/>
      <c r="AL682" s="744"/>
      <c r="AM682" s="744"/>
    </row>
    <row r="683" spans="3:39" x14ac:dyDescent="0.25">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c r="AA683" s="744"/>
      <c r="AB683" s="744"/>
      <c r="AC683" s="744"/>
      <c r="AD683" s="744"/>
      <c r="AE683" s="744"/>
      <c r="AF683" s="744"/>
      <c r="AG683" s="744"/>
      <c r="AH683" s="744"/>
      <c r="AI683" s="744"/>
      <c r="AJ683" s="744"/>
      <c r="AK683" s="744"/>
      <c r="AL683" s="744"/>
      <c r="AM683" s="744"/>
    </row>
    <row r="684" spans="3:39" x14ac:dyDescent="0.25">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c r="AA684" s="744"/>
      <c r="AB684" s="744"/>
      <c r="AC684" s="744"/>
      <c r="AD684" s="744"/>
      <c r="AE684" s="744"/>
      <c r="AF684" s="744"/>
      <c r="AG684" s="744"/>
      <c r="AH684" s="744"/>
      <c r="AI684" s="744"/>
      <c r="AJ684" s="744"/>
      <c r="AK684" s="744"/>
      <c r="AL684" s="744"/>
      <c r="AM684" s="744"/>
    </row>
    <row r="685" spans="3:39" x14ac:dyDescent="0.25">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c r="AA685" s="744"/>
      <c r="AB685" s="744"/>
      <c r="AC685" s="744"/>
      <c r="AD685" s="744"/>
      <c r="AE685" s="744"/>
      <c r="AF685" s="744"/>
      <c r="AG685" s="744"/>
      <c r="AH685" s="744"/>
      <c r="AI685" s="744"/>
      <c r="AJ685" s="744"/>
      <c r="AK685" s="744"/>
      <c r="AL685" s="744"/>
      <c r="AM685" s="744"/>
    </row>
    <row r="686" spans="3:39" x14ac:dyDescent="0.25">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c r="AA686" s="744"/>
      <c r="AB686" s="744"/>
      <c r="AC686" s="744"/>
      <c r="AD686" s="744"/>
      <c r="AE686" s="744"/>
      <c r="AF686" s="744"/>
      <c r="AG686" s="744"/>
      <c r="AH686" s="744"/>
      <c r="AI686" s="744"/>
      <c r="AJ686" s="744"/>
      <c r="AK686" s="744"/>
      <c r="AL686" s="744"/>
      <c r="AM686" s="744"/>
    </row>
    <row r="687" spans="3:39" x14ac:dyDescent="0.25">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c r="AA687" s="744"/>
      <c r="AB687" s="744"/>
      <c r="AC687" s="744"/>
      <c r="AD687" s="744"/>
      <c r="AE687" s="744"/>
      <c r="AF687" s="744"/>
      <c r="AG687" s="744"/>
      <c r="AH687" s="744"/>
      <c r="AI687" s="744"/>
      <c r="AJ687" s="744"/>
      <c r="AK687" s="744"/>
      <c r="AL687" s="744"/>
      <c r="AM687" s="744"/>
    </row>
    <row r="688" spans="3:39" x14ac:dyDescent="0.25">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c r="AA688" s="744"/>
      <c r="AB688" s="744"/>
      <c r="AC688" s="744"/>
      <c r="AD688" s="744"/>
      <c r="AE688" s="744"/>
      <c r="AF688" s="744"/>
      <c r="AG688" s="744"/>
      <c r="AH688" s="744"/>
      <c r="AI688" s="744"/>
      <c r="AJ688" s="744"/>
      <c r="AK688" s="744"/>
      <c r="AL688" s="744"/>
      <c r="AM688" s="744"/>
    </row>
    <row r="689" spans="3:39" x14ac:dyDescent="0.25">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c r="AA689" s="744"/>
      <c r="AB689" s="744"/>
      <c r="AC689" s="744"/>
      <c r="AD689" s="744"/>
      <c r="AE689" s="744"/>
      <c r="AF689" s="744"/>
      <c r="AG689" s="744"/>
      <c r="AH689" s="744"/>
      <c r="AI689" s="744"/>
      <c r="AJ689" s="744"/>
      <c r="AK689" s="744"/>
      <c r="AL689" s="744"/>
      <c r="AM689" s="744"/>
    </row>
    <row r="690" spans="3:39" x14ac:dyDescent="0.25">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c r="AA690" s="744"/>
      <c r="AB690" s="744"/>
      <c r="AC690" s="744"/>
      <c r="AD690" s="744"/>
      <c r="AE690" s="744"/>
      <c r="AF690" s="744"/>
      <c r="AG690" s="744"/>
      <c r="AH690" s="744"/>
      <c r="AI690" s="744"/>
      <c r="AJ690" s="744"/>
      <c r="AK690" s="744"/>
      <c r="AL690" s="744"/>
      <c r="AM690" s="744"/>
    </row>
    <row r="691" spans="3:39" x14ac:dyDescent="0.25">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c r="AA691" s="744"/>
      <c r="AB691" s="744"/>
      <c r="AC691" s="744"/>
      <c r="AD691" s="744"/>
      <c r="AE691" s="744"/>
      <c r="AF691" s="744"/>
      <c r="AG691" s="744"/>
      <c r="AH691" s="744"/>
      <c r="AI691" s="744"/>
      <c r="AJ691" s="744"/>
      <c r="AK691" s="744"/>
      <c r="AL691" s="744"/>
      <c r="AM691" s="744"/>
    </row>
    <row r="692" spans="3:39" x14ac:dyDescent="0.25">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c r="AA692" s="744"/>
      <c r="AB692" s="744"/>
      <c r="AC692" s="744"/>
      <c r="AD692" s="744"/>
      <c r="AE692" s="744"/>
      <c r="AF692" s="744"/>
      <c r="AG692" s="744"/>
      <c r="AH692" s="744"/>
      <c r="AI692" s="744"/>
      <c r="AJ692" s="744"/>
      <c r="AK692" s="744"/>
      <c r="AL692" s="744"/>
      <c r="AM692" s="744"/>
    </row>
    <row r="693" spans="3:39" x14ac:dyDescent="0.25">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c r="AA693" s="744"/>
      <c r="AB693" s="744"/>
      <c r="AC693" s="744"/>
      <c r="AD693" s="744"/>
      <c r="AE693" s="744"/>
      <c r="AF693" s="744"/>
      <c r="AG693" s="744"/>
      <c r="AH693" s="744"/>
      <c r="AI693" s="744"/>
      <c r="AJ693" s="744"/>
      <c r="AK693" s="744"/>
      <c r="AL693" s="744"/>
      <c r="AM693" s="744"/>
    </row>
    <row r="694" spans="3:39" x14ac:dyDescent="0.25">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c r="AA694" s="744"/>
      <c r="AB694" s="744"/>
      <c r="AC694" s="744"/>
      <c r="AD694" s="744"/>
      <c r="AE694" s="744"/>
      <c r="AF694" s="744"/>
      <c r="AG694" s="744"/>
      <c r="AH694" s="744"/>
      <c r="AI694" s="744"/>
      <c r="AJ694" s="744"/>
      <c r="AK694" s="744"/>
      <c r="AL694" s="744"/>
      <c r="AM694" s="744"/>
    </row>
    <row r="695" spans="3:39" x14ac:dyDescent="0.25">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c r="AA695" s="744"/>
      <c r="AB695" s="744"/>
      <c r="AC695" s="744"/>
      <c r="AD695" s="744"/>
      <c r="AE695" s="744"/>
      <c r="AF695" s="744"/>
      <c r="AG695" s="744"/>
      <c r="AH695" s="744"/>
      <c r="AI695" s="744"/>
      <c r="AJ695" s="744"/>
      <c r="AK695" s="744"/>
      <c r="AL695" s="744"/>
      <c r="AM695" s="744"/>
    </row>
    <row r="696" spans="3:39" x14ac:dyDescent="0.25">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c r="AA696" s="744"/>
      <c r="AB696" s="744"/>
      <c r="AC696" s="744"/>
      <c r="AD696" s="744"/>
      <c r="AE696" s="744"/>
      <c r="AF696" s="744"/>
      <c r="AG696" s="744"/>
      <c r="AH696" s="744"/>
      <c r="AI696" s="744"/>
      <c r="AJ696" s="744"/>
      <c r="AK696" s="744"/>
      <c r="AL696" s="744"/>
      <c r="AM696" s="744"/>
    </row>
    <row r="697" spans="3:39" x14ac:dyDescent="0.25">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c r="AA697" s="744"/>
      <c r="AB697" s="744"/>
      <c r="AC697" s="744"/>
      <c r="AD697" s="744"/>
      <c r="AE697" s="744"/>
      <c r="AF697" s="744"/>
      <c r="AG697" s="744"/>
      <c r="AH697" s="744"/>
      <c r="AI697" s="744"/>
      <c r="AJ697" s="744"/>
      <c r="AK697" s="744"/>
      <c r="AL697" s="744"/>
      <c r="AM697" s="744"/>
    </row>
    <row r="698" spans="3:39" x14ac:dyDescent="0.25">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c r="AA698" s="744"/>
      <c r="AB698" s="744"/>
      <c r="AC698" s="744"/>
      <c r="AD698" s="744"/>
      <c r="AE698" s="744"/>
      <c r="AF698" s="744"/>
      <c r="AG698" s="744"/>
      <c r="AH698" s="744"/>
      <c r="AI698" s="744"/>
      <c r="AJ698" s="744"/>
      <c r="AK698" s="744"/>
      <c r="AL698" s="744"/>
      <c r="AM698" s="744"/>
    </row>
    <row r="699" spans="3:39" x14ac:dyDescent="0.25">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c r="AA699" s="744"/>
      <c r="AB699" s="744"/>
      <c r="AC699" s="744"/>
      <c r="AD699" s="744"/>
      <c r="AE699" s="744"/>
      <c r="AF699" s="744"/>
      <c r="AG699" s="744"/>
      <c r="AH699" s="744"/>
      <c r="AI699" s="744"/>
      <c r="AJ699" s="744"/>
      <c r="AK699" s="744"/>
      <c r="AL699" s="744"/>
      <c r="AM699" s="744"/>
    </row>
    <row r="700" spans="3:39" x14ac:dyDescent="0.25">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c r="AA700" s="744"/>
      <c r="AB700" s="744"/>
      <c r="AC700" s="744"/>
      <c r="AD700" s="744"/>
      <c r="AE700" s="744"/>
      <c r="AF700" s="744"/>
      <c r="AG700" s="744"/>
      <c r="AH700" s="744"/>
      <c r="AI700" s="744"/>
      <c r="AJ700" s="744"/>
      <c r="AK700" s="744"/>
      <c r="AL700" s="744"/>
      <c r="AM700" s="744"/>
    </row>
    <row r="701" spans="3:39" x14ac:dyDescent="0.25">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c r="AA701" s="744"/>
      <c r="AB701" s="744"/>
      <c r="AC701" s="744"/>
      <c r="AD701" s="744"/>
      <c r="AE701" s="744"/>
      <c r="AF701" s="744"/>
      <c r="AG701" s="744"/>
      <c r="AH701" s="744"/>
      <c r="AI701" s="744"/>
      <c r="AJ701" s="744"/>
      <c r="AK701" s="744"/>
      <c r="AL701" s="744"/>
      <c r="AM701" s="744"/>
    </row>
    <row r="702" spans="3:39" x14ac:dyDescent="0.25">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c r="AA702" s="744"/>
      <c r="AB702" s="744"/>
      <c r="AC702" s="744"/>
      <c r="AD702" s="744"/>
      <c r="AE702" s="744"/>
      <c r="AF702" s="744"/>
      <c r="AG702" s="744"/>
      <c r="AH702" s="744"/>
      <c r="AI702" s="744"/>
      <c r="AJ702" s="744"/>
      <c r="AK702" s="744"/>
      <c r="AL702" s="744"/>
      <c r="AM702" s="744"/>
    </row>
    <row r="703" spans="3:39" x14ac:dyDescent="0.25">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c r="AA703" s="744"/>
      <c r="AB703" s="744"/>
      <c r="AC703" s="744"/>
      <c r="AD703" s="744"/>
      <c r="AE703" s="744"/>
      <c r="AF703" s="744"/>
      <c r="AG703" s="744"/>
      <c r="AH703" s="744"/>
      <c r="AI703" s="744"/>
      <c r="AJ703" s="744"/>
      <c r="AK703" s="744"/>
      <c r="AL703" s="744"/>
      <c r="AM703" s="744"/>
    </row>
    <row r="704" spans="3:39" x14ac:dyDescent="0.25">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c r="AA704" s="744"/>
      <c r="AB704" s="744"/>
      <c r="AC704" s="744"/>
      <c r="AD704" s="744"/>
      <c r="AE704" s="744"/>
      <c r="AF704" s="744"/>
      <c r="AG704" s="744"/>
      <c r="AH704" s="744"/>
      <c r="AI704" s="744"/>
      <c r="AJ704" s="744"/>
      <c r="AK704" s="744"/>
      <c r="AL704" s="744"/>
      <c r="AM704" s="744"/>
    </row>
    <row r="705" spans="3:39" x14ac:dyDescent="0.25">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c r="AA705" s="744"/>
      <c r="AB705" s="744"/>
      <c r="AC705" s="744"/>
      <c r="AD705" s="744"/>
      <c r="AE705" s="744"/>
      <c r="AF705" s="744"/>
      <c r="AG705" s="744"/>
      <c r="AH705" s="744"/>
      <c r="AI705" s="744"/>
      <c r="AJ705" s="744"/>
      <c r="AK705" s="744"/>
      <c r="AL705" s="744"/>
      <c r="AM705" s="744"/>
    </row>
    <row r="706" spans="3:39" x14ac:dyDescent="0.25">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c r="AA706" s="744"/>
      <c r="AB706" s="744"/>
      <c r="AC706" s="744"/>
      <c r="AD706" s="744"/>
      <c r="AE706" s="744"/>
      <c r="AF706" s="744"/>
      <c r="AG706" s="744"/>
      <c r="AH706" s="744"/>
      <c r="AI706" s="744"/>
      <c r="AJ706" s="744"/>
      <c r="AK706" s="744"/>
      <c r="AL706" s="744"/>
      <c r="AM706" s="744"/>
    </row>
    <row r="707" spans="3:39" x14ac:dyDescent="0.25">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c r="AA707" s="744"/>
      <c r="AB707" s="744"/>
      <c r="AC707" s="744"/>
      <c r="AD707" s="744"/>
      <c r="AE707" s="744"/>
      <c r="AF707" s="744"/>
      <c r="AG707" s="744"/>
      <c r="AH707" s="744"/>
      <c r="AI707" s="744"/>
      <c r="AJ707" s="744"/>
      <c r="AK707" s="744"/>
      <c r="AL707" s="744"/>
      <c r="AM707" s="744"/>
    </row>
    <row r="708" spans="3:39" x14ac:dyDescent="0.25">
      <c r="C708" s="959"/>
      <c r="D708" s="959"/>
      <c r="E708" s="959"/>
      <c r="F708" s="959"/>
      <c r="G708" s="959"/>
      <c r="H708" s="959"/>
      <c r="I708" s="959"/>
      <c r="J708" s="959"/>
      <c r="K708" s="959"/>
      <c r="L708" s="959"/>
      <c r="M708" s="959"/>
      <c r="N708" s="959"/>
      <c r="O708" s="959"/>
      <c r="P708" s="959"/>
      <c r="Q708" s="959"/>
      <c r="R708" s="959"/>
      <c r="S708" s="959"/>
      <c r="T708" s="959"/>
      <c r="U708" s="959"/>
      <c r="V708" s="959"/>
      <c r="W708" s="959"/>
      <c r="X708" s="959"/>
      <c r="Y708" s="959"/>
      <c r="Z708" s="959"/>
      <c r="AA708" s="959"/>
      <c r="AB708" s="959"/>
      <c r="AC708" s="959"/>
      <c r="AD708" s="959"/>
      <c r="AE708" s="959"/>
      <c r="AF708" s="959"/>
      <c r="AG708" s="959"/>
      <c r="AH708" s="959"/>
      <c r="AI708" s="959"/>
      <c r="AJ708" s="959"/>
      <c r="AK708" s="959"/>
      <c r="AL708" s="959"/>
      <c r="AM708" s="959"/>
    </row>
    <row r="709" spans="3:39" x14ac:dyDescent="0.25">
      <c r="C709" s="959"/>
      <c r="D709" s="959"/>
      <c r="E709" s="959"/>
      <c r="F709" s="959"/>
      <c r="G709" s="959"/>
      <c r="H709" s="959"/>
      <c r="I709" s="959"/>
      <c r="J709" s="959"/>
      <c r="K709" s="959"/>
      <c r="L709" s="959"/>
      <c r="M709" s="959"/>
      <c r="N709" s="959"/>
      <c r="O709" s="959"/>
      <c r="P709" s="959"/>
      <c r="Q709" s="959"/>
      <c r="R709" s="959"/>
      <c r="S709" s="959"/>
      <c r="T709" s="959"/>
      <c r="U709" s="959"/>
      <c r="V709" s="959"/>
      <c r="W709" s="959"/>
      <c r="X709" s="959"/>
      <c r="Y709" s="959"/>
      <c r="Z709" s="959"/>
      <c r="AA709" s="959"/>
      <c r="AB709" s="959"/>
      <c r="AC709" s="959"/>
      <c r="AD709" s="959"/>
      <c r="AE709" s="959"/>
      <c r="AF709" s="959"/>
      <c r="AG709" s="959"/>
      <c r="AH709" s="959"/>
      <c r="AI709" s="959"/>
      <c r="AJ709" s="959"/>
      <c r="AK709" s="959"/>
      <c r="AL709" s="959"/>
      <c r="AM709" s="959"/>
    </row>
    <row r="710" spans="3:39" x14ac:dyDescent="0.25">
      <c r="C710" s="959"/>
      <c r="D710" s="959"/>
      <c r="E710" s="959"/>
      <c r="F710" s="959"/>
      <c r="G710" s="959"/>
      <c r="H710" s="959"/>
      <c r="I710" s="959"/>
      <c r="J710" s="959"/>
      <c r="K710" s="959"/>
      <c r="L710" s="959"/>
      <c r="M710" s="959"/>
      <c r="N710" s="959"/>
      <c r="O710" s="959"/>
      <c r="P710" s="959"/>
      <c r="Q710" s="959"/>
      <c r="R710" s="959"/>
      <c r="S710" s="959"/>
      <c r="T710" s="959"/>
      <c r="U710" s="959"/>
      <c r="V710" s="959"/>
      <c r="W710" s="959"/>
      <c r="X710" s="959"/>
      <c r="Y710" s="959"/>
      <c r="Z710" s="959"/>
      <c r="AA710" s="959"/>
      <c r="AB710" s="959"/>
      <c r="AC710" s="959"/>
      <c r="AD710" s="959"/>
      <c r="AE710" s="959"/>
      <c r="AF710" s="959"/>
      <c r="AG710" s="959"/>
      <c r="AH710" s="959"/>
      <c r="AI710" s="959"/>
      <c r="AJ710" s="959"/>
      <c r="AK710" s="959"/>
      <c r="AL710" s="959"/>
      <c r="AM710" s="959"/>
    </row>
    <row r="711" spans="3:39" x14ac:dyDescent="0.25">
      <c r="C711" s="959"/>
      <c r="D711" s="959"/>
      <c r="E711" s="959"/>
      <c r="F711" s="959"/>
      <c r="G711" s="959"/>
      <c r="H711" s="959"/>
      <c r="I711" s="959"/>
      <c r="J711" s="959"/>
      <c r="K711" s="959"/>
      <c r="L711" s="959"/>
      <c r="M711" s="959"/>
      <c r="N711" s="959"/>
      <c r="O711" s="959"/>
      <c r="P711" s="959"/>
      <c r="Q711" s="959"/>
      <c r="R711" s="959"/>
      <c r="S711" s="959"/>
      <c r="T711" s="959"/>
      <c r="U711" s="959"/>
      <c r="V711" s="959"/>
      <c r="W711" s="959"/>
      <c r="X711" s="959"/>
      <c r="Y711" s="959"/>
      <c r="Z711" s="959"/>
      <c r="AA711" s="959"/>
      <c r="AB711" s="959"/>
      <c r="AC711" s="959"/>
      <c r="AD711" s="959"/>
      <c r="AE711" s="959"/>
      <c r="AF711" s="959"/>
      <c r="AG711" s="959"/>
      <c r="AH711" s="959"/>
      <c r="AI711" s="959"/>
      <c r="AJ711" s="959"/>
      <c r="AK711" s="959"/>
      <c r="AL711" s="959"/>
      <c r="AM711" s="959"/>
    </row>
    <row r="712" spans="3:39" x14ac:dyDescent="0.25">
      <c r="C712" s="959"/>
      <c r="D712" s="959"/>
      <c r="E712" s="959"/>
      <c r="F712" s="959"/>
      <c r="G712" s="959"/>
      <c r="H712" s="959"/>
      <c r="I712" s="959"/>
      <c r="J712" s="959"/>
      <c r="K712" s="959"/>
      <c r="L712" s="959"/>
      <c r="M712" s="959"/>
      <c r="N712" s="959"/>
      <c r="O712" s="959"/>
      <c r="P712" s="959"/>
      <c r="Q712" s="959"/>
      <c r="R712" s="959"/>
      <c r="S712" s="959"/>
      <c r="T712" s="959"/>
      <c r="U712" s="959"/>
      <c r="V712" s="959"/>
      <c r="W712" s="959"/>
      <c r="X712" s="959"/>
      <c r="Y712" s="959"/>
      <c r="Z712" s="959"/>
      <c r="AA712" s="959"/>
      <c r="AB712" s="959"/>
      <c r="AC712" s="959"/>
      <c r="AD712" s="959"/>
      <c r="AE712" s="959"/>
      <c r="AF712" s="959"/>
      <c r="AG712" s="959"/>
      <c r="AH712" s="959"/>
      <c r="AI712" s="959"/>
      <c r="AJ712" s="959"/>
      <c r="AK712" s="959"/>
      <c r="AL712" s="959"/>
      <c r="AM712" s="959"/>
    </row>
    <row r="713" spans="3:39" x14ac:dyDescent="0.25">
      <c r="C713" s="959"/>
      <c r="D713" s="959"/>
      <c r="E713" s="959"/>
      <c r="F713" s="959"/>
      <c r="G713" s="959"/>
      <c r="H713" s="959"/>
      <c r="I713" s="959"/>
      <c r="J713" s="959"/>
      <c r="K713" s="959"/>
      <c r="L713" s="959"/>
      <c r="M713" s="959"/>
      <c r="N713" s="959"/>
      <c r="O713" s="959"/>
      <c r="P713" s="959"/>
      <c r="Q713" s="959"/>
      <c r="R713" s="959"/>
      <c r="S713" s="959"/>
      <c r="T713" s="959"/>
      <c r="U713" s="959"/>
      <c r="V713" s="959"/>
      <c r="W713" s="959"/>
      <c r="X713" s="959"/>
      <c r="Y713" s="959"/>
      <c r="Z713" s="959"/>
      <c r="AA713" s="959"/>
      <c r="AB713" s="959"/>
      <c r="AC713" s="959"/>
      <c r="AD713" s="959"/>
      <c r="AE713" s="959"/>
      <c r="AF713" s="959"/>
      <c r="AG713" s="959"/>
      <c r="AH713" s="959"/>
      <c r="AI713" s="959"/>
      <c r="AJ713" s="959"/>
      <c r="AK713" s="959"/>
      <c r="AL713" s="959"/>
      <c r="AM713" s="959"/>
    </row>
    <row r="714" spans="3:39" x14ac:dyDescent="0.25">
      <c r="C714" s="959"/>
      <c r="D714" s="959"/>
      <c r="E714" s="959"/>
      <c r="F714" s="959"/>
      <c r="G714" s="959"/>
      <c r="H714" s="959"/>
      <c r="I714" s="959"/>
      <c r="J714" s="959"/>
      <c r="K714" s="959"/>
      <c r="L714" s="959"/>
      <c r="M714" s="959"/>
      <c r="N714" s="959"/>
      <c r="O714" s="959"/>
      <c r="P714" s="959"/>
      <c r="Q714" s="959"/>
      <c r="R714" s="959"/>
      <c r="S714" s="959"/>
      <c r="T714" s="959"/>
      <c r="U714" s="959"/>
      <c r="V714" s="959"/>
      <c r="W714" s="959"/>
      <c r="X714" s="959"/>
      <c r="Y714" s="959"/>
      <c r="Z714" s="959"/>
      <c r="AA714" s="959"/>
      <c r="AB714" s="959"/>
      <c r="AC714" s="959"/>
      <c r="AD714" s="959"/>
      <c r="AE714" s="959"/>
      <c r="AF714" s="959"/>
      <c r="AG714" s="959"/>
      <c r="AH714" s="959"/>
      <c r="AI714" s="959"/>
      <c r="AJ714" s="959"/>
      <c r="AK714" s="959"/>
      <c r="AL714" s="959"/>
      <c r="AM714" s="959"/>
    </row>
    <row r="715" spans="3:39" x14ac:dyDescent="0.25">
      <c r="C715" s="959"/>
      <c r="D715" s="959"/>
      <c r="E715" s="959"/>
      <c r="F715" s="959"/>
      <c r="G715" s="959"/>
      <c r="H715" s="959"/>
      <c r="I715" s="959"/>
      <c r="J715" s="959"/>
      <c r="K715" s="959"/>
      <c r="L715" s="959"/>
      <c r="M715" s="959"/>
      <c r="N715" s="959"/>
      <c r="O715" s="959"/>
      <c r="P715" s="959"/>
      <c r="Q715" s="959"/>
      <c r="R715" s="959"/>
      <c r="S715" s="959"/>
      <c r="T715" s="959"/>
      <c r="U715" s="959"/>
      <c r="V715" s="959"/>
      <c r="W715" s="959"/>
      <c r="X715" s="959"/>
      <c r="Y715" s="959"/>
      <c r="Z715" s="959"/>
      <c r="AA715" s="959"/>
      <c r="AB715" s="959"/>
      <c r="AC715" s="959"/>
      <c r="AD715" s="959"/>
      <c r="AE715" s="959"/>
      <c r="AF715" s="959"/>
      <c r="AG715" s="959"/>
      <c r="AH715" s="959"/>
      <c r="AI715" s="959"/>
      <c r="AJ715" s="959"/>
      <c r="AK715" s="959"/>
      <c r="AL715" s="959"/>
      <c r="AM715" s="959"/>
    </row>
    <row r="716" spans="3:39" x14ac:dyDescent="0.25">
      <c r="C716" s="959"/>
      <c r="D716" s="959"/>
      <c r="E716" s="959"/>
      <c r="F716" s="959"/>
      <c r="G716" s="959"/>
      <c r="H716" s="959"/>
      <c r="I716" s="959"/>
      <c r="J716" s="959"/>
      <c r="K716" s="959"/>
      <c r="L716" s="959"/>
      <c r="M716" s="959"/>
      <c r="N716" s="959"/>
      <c r="O716" s="959"/>
      <c r="P716" s="959"/>
      <c r="Q716" s="959"/>
      <c r="R716" s="959"/>
      <c r="S716" s="959"/>
      <c r="T716" s="959"/>
      <c r="U716" s="959"/>
      <c r="V716" s="959"/>
      <c r="W716" s="959"/>
      <c r="X716" s="959"/>
      <c r="Y716" s="959"/>
      <c r="Z716" s="959"/>
      <c r="AA716" s="959"/>
      <c r="AB716" s="959"/>
      <c r="AC716" s="959"/>
      <c r="AD716" s="959"/>
      <c r="AE716" s="959"/>
      <c r="AF716" s="959"/>
      <c r="AG716" s="959"/>
      <c r="AH716" s="959"/>
      <c r="AI716" s="959"/>
      <c r="AJ716" s="959"/>
      <c r="AK716" s="959"/>
      <c r="AL716" s="959"/>
      <c r="AM716" s="959"/>
    </row>
    <row r="717" spans="3:39" x14ac:dyDescent="0.25">
      <c r="C717" s="959"/>
      <c r="D717" s="959"/>
      <c r="E717" s="959"/>
      <c r="F717" s="959"/>
      <c r="G717" s="959"/>
      <c r="H717" s="959"/>
      <c r="I717" s="959"/>
      <c r="J717" s="959"/>
      <c r="K717" s="959"/>
      <c r="L717" s="959"/>
      <c r="M717" s="959"/>
      <c r="N717" s="959"/>
      <c r="O717" s="959"/>
      <c r="P717" s="959"/>
      <c r="Q717" s="959"/>
      <c r="R717" s="959"/>
      <c r="S717" s="959"/>
      <c r="T717" s="959"/>
      <c r="U717" s="959"/>
      <c r="V717" s="959"/>
      <c r="W717" s="959"/>
      <c r="X717" s="959"/>
      <c r="Y717" s="959"/>
      <c r="Z717" s="959"/>
      <c r="AA717" s="959"/>
      <c r="AB717" s="959"/>
      <c r="AC717" s="959"/>
      <c r="AD717" s="959"/>
      <c r="AE717" s="959"/>
      <c r="AF717" s="959"/>
      <c r="AG717" s="959"/>
      <c r="AH717" s="959"/>
      <c r="AI717" s="959"/>
      <c r="AJ717" s="959"/>
      <c r="AK717" s="959"/>
      <c r="AL717" s="959"/>
      <c r="AM717" s="959"/>
    </row>
    <row r="718" spans="3:39" x14ac:dyDescent="0.25">
      <c r="C718" s="959"/>
      <c r="D718" s="959"/>
      <c r="E718" s="959"/>
      <c r="F718" s="959"/>
      <c r="G718" s="959"/>
      <c r="H718" s="959"/>
      <c r="I718" s="959"/>
      <c r="J718" s="959"/>
      <c r="K718" s="959"/>
      <c r="L718" s="959"/>
      <c r="M718" s="959"/>
      <c r="N718" s="959"/>
      <c r="O718" s="959"/>
      <c r="P718" s="959"/>
      <c r="Q718" s="959"/>
      <c r="R718" s="959"/>
      <c r="S718" s="959"/>
      <c r="T718" s="959"/>
      <c r="U718" s="959"/>
      <c r="V718" s="959"/>
      <c r="W718" s="959"/>
      <c r="X718" s="959"/>
      <c r="Y718" s="959"/>
      <c r="Z718" s="959"/>
      <c r="AA718" s="959"/>
      <c r="AB718" s="959"/>
      <c r="AC718" s="959"/>
      <c r="AD718" s="959"/>
      <c r="AE718" s="959"/>
      <c r="AF718" s="959"/>
      <c r="AG718" s="959"/>
      <c r="AH718" s="959"/>
      <c r="AI718" s="959"/>
      <c r="AJ718" s="959"/>
      <c r="AK718" s="959"/>
      <c r="AL718" s="959"/>
      <c r="AM718" s="959"/>
    </row>
    <row r="719" spans="3:39" x14ac:dyDescent="0.25">
      <c r="C719" s="959"/>
      <c r="D719" s="959"/>
      <c r="E719" s="959"/>
      <c r="F719" s="959"/>
      <c r="G719" s="959"/>
      <c r="H719" s="959"/>
      <c r="I719" s="959"/>
      <c r="J719" s="959"/>
      <c r="K719" s="959"/>
      <c r="L719" s="959"/>
      <c r="M719" s="959"/>
      <c r="N719" s="959"/>
      <c r="O719" s="959"/>
      <c r="P719" s="959"/>
      <c r="Q719" s="959"/>
      <c r="R719" s="959"/>
      <c r="S719" s="959"/>
      <c r="T719" s="959"/>
      <c r="U719" s="959"/>
      <c r="V719" s="959"/>
      <c r="W719" s="959"/>
      <c r="X719" s="959"/>
      <c r="Y719" s="959"/>
      <c r="Z719" s="959"/>
      <c r="AA719" s="959"/>
      <c r="AB719" s="959"/>
      <c r="AC719" s="959"/>
      <c r="AD719" s="959"/>
      <c r="AE719" s="959"/>
      <c r="AF719" s="959"/>
      <c r="AG719" s="959"/>
      <c r="AH719" s="959"/>
      <c r="AI719" s="959"/>
      <c r="AJ719" s="959"/>
      <c r="AK719" s="959"/>
      <c r="AL719" s="959"/>
      <c r="AM719" s="959"/>
    </row>
    <row r="720" spans="3:39" x14ac:dyDescent="0.25">
      <c r="C720" s="959"/>
      <c r="D720" s="959"/>
      <c r="E720" s="959"/>
      <c r="F720" s="959"/>
      <c r="G720" s="959"/>
      <c r="H720" s="959"/>
      <c r="I720" s="959"/>
      <c r="J720" s="959"/>
      <c r="K720" s="959"/>
      <c r="L720" s="959"/>
      <c r="M720" s="959"/>
      <c r="N720" s="959"/>
      <c r="O720" s="959"/>
      <c r="P720" s="959"/>
      <c r="Q720" s="959"/>
      <c r="R720" s="959"/>
      <c r="S720" s="959"/>
      <c r="T720" s="959"/>
      <c r="U720" s="959"/>
      <c r="V720" s="959"/>
      <c r="W720" s="959"/>
      <c r="X720" s="959"/>
      <c r="Y720" s="959"/>
      <c r="Z720" s="959"/>
      <c r="AA720" s="959"/>
      <c r="AB720" s="959"/>
      <c r="AC720" s="959"/>
      <c r="AD720" s="959"/>
      <c r="AE720" s="959"/>
      <c r="AF720" s="959"/>
      <c r="AG720" s="959"/>
      <c r="AH720" s="959"/>
      <c r="AI720" s="959"/>
      <c r="AJ720" s="959"/>
      <c r="AK720" s="959"/>
      <c r="AL720" s="959"/>
      <c r="AM720" s="959"/>
    </row>
    <row r="721" spans="3:39" x14ac:dyDescent="0.25">
      <c r="C721" s="959"/>
      <c r="D721" s="959"/>
      <c r="E721" s="959"/>
      <c r="F721" s="959"/>
      <c r="G721" s="959"/>
      <c r="H721" s="959"/>
      <c r="I721" s="959"/>
      <c r="J721" s="959"/>
      <c r="K721" s="959"/>
      <c r="L721" s="959"/>
      <c r="M721" s="959"/>
      <c r="N721" s="959"/>
      <c r="O721" s="959"/>
      <c r="P721" s="959"/>
      <c r="Q721" s="959"/>
      <c r="R721" s="959"/>
      <c r="S721" s="959"/>
      <c r="T721" s="959"/>
      <c r="U721" s="959"/>
      <c r="V721" s="959"/>
      <c r="W721" s="959"/>
      <c r="X721" s="959"/>
      <c r="Y721" s="959"/>
      <c r="Z721" s="959"/>
      <c r="AA721" s="959"/>
      <c r="AB721" s="959"/>
      <c r="AC721" s="959"/>
      <c r="AD721" s="959"/>
      <c r="AE721" s="959"/>
      <c r="AF721" s="959"/>
      <c r="AG721" s="959"/>
      <c r="AH721" s="959"/>
      <c r="AI721" s="959"/>
      <c r="AJ721" s="959"/>
      <c r="AK721" s="959"/>
      <c r="AL721" s="959"/>
      <c r="AM721" s="959"/>
    </row>
    <row r="722" spans="3:39" x14ac:dyDescent="0.25">
      <c r="C722" s="959"/>
      <c r="D722" s="959"/>
      <c r="E722" s="959"/>
      <c r="F722" s="959"/>
      <c r="G722" s="959"/>
      <c r="H722" s="959"/>
      <c r="I722" s="959"/>
      <c r="J722" s="959"/>
      <c r="K722" s="959"/>
      <c r="L722" s="959"/>
      <c r="M722" s="959"/>
      <c r="N722" s="959"/>
      <c r="O722" s="959"/>
      <c r="P722" s="959"/>
      <c r="Q722" s="959"/>
      <c r="R722" s="959"/>
      <c r="S722" s="959"/>
      <c r="T722" s="959"/>
      <c r="U722" s="959"/>
      <c r="V722" s="959"/>
      <c r="W722" s="959"/>
      <c r="X722" s="959"/>
      <c r="Y722" s="959"/>
      <c r="Z722" s="959"/>
      <c r="AA722" s="959"/>
      <c r="AB722" s="959"/>
      <c r="AC722" s="959"/>
      <c r="AD722" s="959"/>
      <c r="AE722" s="959"/>
      <c r="AF722" s="959"/>
      <c r="AG722" s="959"/>
      <c r="AH722" s="959"/>
      <c r="AI722" s="959"/>
      <c r="AJ722" s="959"/>
      <c r="AK722" s="959"/>
      <c r="AL722" s="959"/>
      <c r="AM722" s="959"/>
    </row>
    <row r="723" spans="3:39" x14ac:dyDescent="0.25">
      <c r="C723" s="959"/>
      <c r="D723" s="959"/>
      <c r="E723" s="959"/>
      <c r="F723" s="959"/>
      <c r="G723" s="959"/>
      <c r="H723" s="959"/>
      <c r="I723" s="959"/>
      <c r="J723" s="959"/>
      <c r="K723" s="959"/>
      <c r="L723" s="959"/>
      <c r="M723" s="959"/>
      <c r="N723" s="959"/>
      <c r="O723" s="959"/>
      <c r="P723" s="959"/>
      <c r="Q723" s="959"/>
      <c r="R723" s="959"/>
      <c r="S723" s="959"/>
      <c r="T723" s="959"/>
      <c r="U723" s="959"/>
      <c r="V723" s="959"/>
      <c r="W723" s="959"/>
      <c r="X723" s="959"/>
      <c r="Y723" s="959"/>
      <c r="Z723" s="959"/>
      <c r="AA723" s="959"/>
      <c r="AB723" s="959"/>
      <c r="AC723" s="959"/>
      <c r="AD723" s="959"/>
      <c r="AE723" s="959"/>
      <c r="AF723" s="959"/>
      <c r="AG723" s="959"/>
      <c r="AH723" s="959"/>
      <c r="AI723" s="959"/>
      <c r="AJ723" s="959"/>
      <c r="AK723" s="959"/>
      <c r="AL723" s="959"/>
      <c r="AM723" s="959"/>
    </row>
    <row r="724" spans="3:39" x14ac:dyDescent="0.25">
      <c r="C724" s="959"/>
      <c r="D724" s="959"/>
      <c r="E724" s="959"/>
      <c r="F724" s="959"/>
      <c r="G724" s="959"/>
      <c r="H724" s="959"/>
      <c r="I724" s="959"/>
      <c r="J724" s="959"/>
      <c r="K724" s="959"/>
      <c r="L724" s="959"/>
      <c r="M724" s="959"/>
      <c r="N724" s="959"/>
      <c r="O724" s="959"/>
      <c r="P724" s="959"/>
      <c r="Q724" s="959"/>
      <c r="R724" s="959"/>
      <c r="S724" s="959"/>
      <c r="T724" s="959"/>
      <c r="U724" s="959"/>
      <c r="V724" s="959"/>
      <c r="W724" s="959"/>
      <c r="X724" s="959"/>
      <c r="Y724" s="959"/>
      <c r="Z724" s="959"/>
      <c r="AA724" s="959"/>
      <c r="AB724" s="959"/>
      <c r="AC724" s="959"/>
      <c r="AD724" s="959"/>
      <c r="AE724" s="959"/>
      <c r="AF724" s="959"/>
      <c r="AG724" s="959"/>
      <c r="AH724" s="959"/>
      <c r="AI724" s="959"/>
      <c r="AJ724" s="959"/>
      <c r="AK724" s="959"/>
      <c r="AL724" s="959"/>
      <c r="AM724" s="959"/>
    </row>
    <row r="725" spans="3:39" x14ac:dyDescent="0.25">
      <c r="C725" s="959"/>
      <c r="D725" s="959"/>
      <c r="E725" s="959"/>
      <c r="F725" s="959"/>
      <c r="G725" s="959"/>
      <c r="H725" s="959"/>
      <c r="I725" s="959"/>
      <c r="J725" s="959"/>
      <c r="K725" s="959"/>
      <c r="L725" s="959"/>
      <c r="M725" s="959"/>
      <c r="N725" s="959"/>
      <c r="O725" s="959"/>
      <c r="P725" s="959"/>
      <c r="Q725" s="959"/>
      <c r="R725" s="959"/>
      <c r="S725" s="959"/>
      <c r="T725" s="959"/>
      <c r="U725" s="959"/>
      <c r="V725" s="959"/>
      <c r="W725" s="959"/>
      <c r="X725" s="959"/>
      <c r="Y725" s="959"/>
      <c r="Z725" s="959"/>
      <c r="AA725" s="959"/>
      <c r="AB725" s="959"/>
      <c r="AC725" s="959"/>
      <c r="AD725" s="959"/>
      <c r="AE725" s="959"/>
      <c r="AF725" s="959"/>
      <c r="AG725" s="959"/>
      <c r="AH725" s="959"/>
      <c r="AI725" s="959"/>
      <c r="AJ725" s="959"/>
      <c r="AK725" s="959"/>
      <c r="AL725" s="959"/>
      <c r="AM725" s="959"/>
    </row>
    <row r="726" spans="3:39" x14ac:dyDescent="0.25">
      <c r="C726" s="959"/>
      <c r="D726" s="959"/>
      <c r="E726" s="959"/>
      <c r="F726" s="959"/>
      <c r="G726" s="959"/>
      <c r="H726" s="959"/>
      <c r="I726" s="959"/>
      <c r="J726" s="959"/>
      <c r="K726" s="959"/>
      <c r="L726" s="959"/>
      <c r="M726" s="959"/>
      <c r="N726" s="959"/>
      <c r="O726" s="959"/>
      <c r="P726" s="959"/>
      <c r="Q726" s="959"/>
      <c r="R726" s="959"/>
      <c r="S726" s="959"/>
      <c r="T726" s="959"/>
      <c r="U726" s="959"/>
      <c r="V726" s="959"/>
      <c r="W726" s="959"/>
      <c r="X726" s="959"/>
      <c r="Y726" s="959"/>
      <c r="Z726" s="959"/>
      <c r="AA726" s="959"/>
      <c r="AB726" s="959"/>
      <c r="AC726" s="959"/>
      <c r="AD726" s="959"/>
      <c r="AE726" s="959"/>
      <c r="AF726" s="959"/>
      <c r="AG726" s="959"/>
      <c r="AH726" s="959"/>
      <c r="AI726" s="959"/>
      <c r="AJ726" s="959"/>
      <c r="AK726" s="959"/>
      <c r="AL726" s="959"/>
      <c r="AM726" s="959"/>
    </row>
    <row r="727" spans="3:39" x14ac:dyDescent="0.25">
      <c r="C727" s="959"/>
      <c r="D727" s="959"/>
      <c r="E727" s="959"/>
      <c r="F727" s="959"/>
      <c r="G727" s="959"/>
      <c r="H727" s="959"/>
      <c r="I727" s="959"/>
      <c r="J727" s="959"/>
      <c r="K727" s="959"/>
      <c r="L727" s="959"/>
      <c r="M727" s="959"/>
      <c r="N727" s="959"/>
      <c r="O727" s="959"/>
      <c r="P727" s="959"/>
      <c r="Q727" s="959"/>
      <c r="R727" s="959"/>
      <c r="S727" s="959"/>
      <c r="T727" s="959"/>
      <c r="U727" s="959"/>
      <c r="V727" s="959"/>
      <c r="W727" s="959"/>
      <c r="X727" s="959"/>
      <c r="Y727" s="959"/>
      <c r="Z727" s="959"/>
      <c r="AA727" s="959"/>
      <c r="AB727" s="959"/>
      <c r="AC727" s="959"/>
      <c r="AD727" s="959"/>
      <c r="AE727" s="959"/>
      <c r="AF727" s="959"/>
      <c r="AG727" s="959"/>
      <c r="AH727" s="959"/>
      <c r="AI727" s="959"/>
      <c r="AJ727" s="959"/>
      <c r="AK727" s="959"/>
      <c r="AL727" s="959"/>
      <c r="AM727" s="959"/>
    </row>
    <row r="728" spans="3:39" x14ac:dyDescent="0.25">
      <c r="C728" s="959"/>
      <c r="D728" s="959"/>
      <c r="E728" s="959"/>
      <c r="F728" s="959"/>
      <c r="G728" s="959"/>
      <c r="H728" s="959"/>
      <c r="I728" s="959"/>
      <c r="J728" s="959"/>
      <c r="K728" s="959"/>
      <c r="L728" s="959"/>
      <c r="M728" s="959"/>
      <c r="N728" s="959"/>
      <c r="O728" s="959"/>
      <c r="P728" s="959"/>
      <c r="Q728" s="959"/>
      <c r="R728" s="959"/>
      <c r="S728" s="959"/>
      <c r="T728" s="959"/>
      <c r="U728" s="959"/>
      <c r="V728" s="959"/>
      <c r="W728" s="959"/>
      <c r="X728" s="959"/>
      <c r="Y728" s="959"/>
      <c r="Z728" s="959"/>
      <c r="AA728" s="959"/>
      <c r="AB728" s="959"/>
      <c r="AC728" s="959"/>
      <c r="AD728" s="959"/>
      <c r="AE728" s="959"/>
      <c r="AF728" s="959"/>
      <c r="AG728" s="959"/>
      <c r="AH728" s="959"/>
      <c r="AI728" s="959"/>
      <c r="AJ728" s="959"/>
      <c r="AK728" s="959"/>
      <c r="AL728" s="959"/>
      <c r="AM728" s="959"/>
    </row>
    <row r="729" spans="3:39" x14ac:dyDescent="0.25">
      <c r="C729" s="959"/>
      <c r="D729" s="959"/>
      <c r="E729" s="959"/>
      <c r="F729" s="959"/>
      <c r="G729" s="959"/>
      <c r="H729" s="959"/>
      <c r="I729" s="959"/>
      <c r="J729" s="959"/>
      <c r="K729" s="959"/>
      <c r="L729" s="959"/>
      <c r="M729" s="959"/>
      <c r="N729" s="959"/>
      <c r="O729" s="959"/>
      <c r="P729" s="959"/>
      <c r="Q729" s="959"/>
      <c r="R729" s="959"/>
      <c r="S729" s="959"/>
      <c r="T729" s="959"/>
      <c r="U729" s="959"/>
      <c r="V729" s="959"/>
      <c r="W729" s="959"/>
      <c r="X729" s="959"/>
      <c r="Y729" s="959"/>
      <c r="Z729" s="959"/>
      <c r="AA729" s="959"/>
      <c r="AB729" s="959"/>
      <c r="AC729" s="959"/>
      <c r="AD729" s="959"/>
      <c r="AE729" s="959"/>
      <c r="AF729" s="959"/>
      <c r="AG729" s="959"/>
      <c r="AH729" s="959"/>
      <c r="AI729" s="959"/>
      <c r="AJ729" s="959"/>
      <c r="AK729" s="959"/>
      <c r="AL729" s="959"/>
      <c r="AM729" s="959"/>
    </row>
    <row r="730" spans="3:39" x14ac:dyDescent="0.25">
      <c r="C730" s="959"/>
      <c r="D730" s="959"/>
      <c r="E730" s="959"/>
      <c r="F730" s="959"/>
      <c r="G730" s="959"/>
      <c r="H730" s="959"/>
      <c r="I730" s="959"/>
      <c r="J730" s="959"/>
      <c r="K730" s="959"/>
      <c r="L730" s="959"/>
      <c r="M730" s="959"/>
      <c r="N730" s="959"/>
      <c r="O730" s="959"/>
      <c r="P730" s="959"/>
      <c r="Q730" s="959"/>
      <c r="R730" s="959"/>
      <c r="S730" s="959"/>
      <c r="T730" s="959"/>
      <c r="U730" s="959"/>
      <c r="V730" s="959"/>
      <c r="W730" s="959"/>
      <c r="X730" s="959"/>
      <c r="Y730" s="959"/>
      <c r="Z730" s="959"/>
      <c r="AA730" s="959"/>
      <c r="AB730" s="959"/>
      <c r="AC730" s="959"/>
      <c r="AD730" s="959"/>
      <c r="AE730" s="959"/>
      <c r="AF730" s="959"/>
      <c r="AG730" s="959"/>
      <c r="AH730" s="959"/>
      <c r="AI730" s="959"/>
      <c r="AJ730" s="959"/>
      <c r="AK730" s="959"/>
      <c r="AL730" s="959"/>
      <c r="AM730" s="959"/>
    </row>
    <row r="731" spans="3:39" x14ac:dyDescent="0.25">
      <c r="C731" s="959"/>
      <c r="D731" s="959"/>
      <c r="E731" s="959"/>
      <c r="F731" s="959"/>
      <c r="G731" s="959"/>
      <c r="H731" s="959"/>
      <c r="I731" s="959"/>
      <c r="J731" s="959"/>
      <c r="K731" s="959"/>
      <c r="L731" s="959"/>
      <c r="M731" s="959"/>
      <c r="N731" s="959"/>
      <c r="O731" s="959"/>
      <c r="P731" s="959"/>
      <c r="Q731" s="959"/>
      <c r="R731" s="959"/>
      <c r="S731" s="959"/>
      <c r="T731" s="959"/>
      <c r="U731" s="959"/>
      <c r="V731" s="959"/>
      <c r="W731" s="959"/>
      <c r="X731" s="959"/>
      <c r="Y731" s="959"/>
      <c r="Z731" s="959"/>
      <c r="AA731" s="959"/>
      <c r="AB731" s="959"/>
      <c r="AC731" s="959"/>
      <c r="AD731" s="959"/>
      <c r="AE731" s="959"/>
      <c r="AF731" s="959"/>
      <c r="AG731" s="959"/>
      <c r="AH731" s="959"/>
      <c r="AI731" s="959"/>
      <c r="AJ731" s="959"/>
      <c r="AK731" s="959"/>
      <c r="AL731" s="959"/>
      <c r="AM731" s="959"/>
    </row>
    <row r="732" spans="3:39" x14ac:dyDescent="0.25">
      <c r="C732" s="959"/>
      <c r="D732" s="959"/>
      <c r="E732" s="959"/>
      <c r="F732" s="959"/>
      <c r="G732" s="959"/>
      <c r="H732" s="959"/>
      <c r="I732" s="959"/>
      <c r="J732" s="959"/>
      <c r="K732" s="959"/>
      <c r="L732" s="959"/>
      <c r="M732" s="959"/>
      <c r="N732" s="959"/>
      <c r="O732" s="959"/>
      <c r="P732" s="959"/>
      <c r="Q732" s="959"/>
      <c r="R732" s="959"/>
      <c r="S732" s="959"/>
      <c r="T732" s="959"/>
      <c r="U732" s="959"/>
      <c r="V732" s="959"/>
      <c r="W732" s="959"/>
      <c r="X732" s="959"/>
      <c r="Y732" s="959"/>
      <c r="Z732" s="959"/>
      <c r="AA732" s="959"/>
      <c r="AB732" s="959"/>
      <c r="AC732" s="959"/>
      <c r="AD732" s="959"/>
      <c r="AE732" s="959"/>
      <c r="AF732" s="959"/>
      <c r="AG732" s="959"/>
      <c r="AH732" s="959"/>
      <c r="AI732" s="959"/>
      <c r="AJ732" s="959"/>
      <c r="AK732" s="959"/>
      <c r="AL732" s="959"/>
      <c r="AM732" s="959"/>
    </row>
    <row r="733" spans="3:39" x14ac:dyDescent="0.25">
      <c r="C733" s="959"/>
      <c r="D733" s="959"/>
      <c r="E733" s="959"/>
      <c r="F733" s="959"/>
      <c r="G733" s="959"/>
      <c r="H733" s="959"/>
      <c r="I733" s="959"/>
      <c r="J733" s="959"/>
      <c r="K733" s="959"/>
      <c r="L733" s="959"/>
      <c r="M733" s="959"/>
      <c r="N733" s="959"/>
      <c r="O733" s="959"/>
      <c r="P733" s="959"/>
      <c r="Q733" s="959"/>
      <c r="R733" s="959"/>
      <c r="S733" s="959"/>
      <c r="T733" s="959"/>
      <c r="U733" s="959"/>
      <c r="V733" s="959"/>
      <c r="W733" s="959"/>
      <c r="X733" s="959"/>
      <c r="Y733" s="959"/>
      <c r="Z733" s="959"/>
      <c r="AA733" s="959"/>
      <c r="AB733" s="959"/>
      <c r="AC733" s="959"/>
      <c r="AD733" s="959"/>
      <c r="AE733" s="959"/>
      <c r="AF733" s="959"/>
      <c r="AG733" s="959"/>
      <c r="AH733" s="959"/>
      <c r="AI733" s="959"/>
      <c r="AJ733" s="959"/>
      <c r="AK733" s="959"/>
      <c r="AL733" s="959"/>
      <c r="AM733" s="959"/>
    </row>
    <row r="734" spans="3:39" x14ac:dyDescent="0.25">
      <c r="C734" s="959"/>
      <c r="D734" s="959"/>
      <c r="E734" s="959"/>
      <c r="F734" s="959"/>
      <c r="G734" s="959"/>
      <c r="H734" s="959"/>
      <c r="I734" s="959"/>
      <c r="J734" s="959"/>
      <c r="K734" s="959"/>
      <c r="L734" s="959"/>
      <c r="M734" s="959"/>
      <c r="N734" s="959"/>
      <c r="O734" s="959"/>
      <c r="P734" s="959"/>
      <c r="Q734" s="959"/>
      <c r="R734" s="959"/>
      <c r="S734" s="959"/>
      <c r="T734" s="959"/>
      <c r="U734" s="959"/>
      <c r="V734" s="959"/>
      <c r="W734" s="959"/>
      <c r="X734" s="959"/>
      <c r="Y734" s="959"/>
      <c r="Z734" s="959"/>
      <c r="AA734" s="959"/>
      <c r="AB734" s="959"/>
      <c r="AC734" s="959"/>
      <c r="AD734" s="959"/>
      <c r="AE734" s="959"/>
      <c r="AF734" s="959"/>
      <c r="AG734" s="959"/>
      <c r="AH734" s="959"/>
      <c r="AI734" s="959"/>
      <c r="AJ734" s="959"/>
      <c r="AK734" s="959"/>
      <c r="AL734" s="959"/>
      <c r="AM734" s="959"/>
    </row>
    <row r="735" spans="3:39" x14ac:dyDescent="0.25">
      <c r="C735" s="959"/>
      <c r="D735" s="959"/>
      <c r="E735" s="959"/>
      <c r="F735" s="959"/>
      <c r="G735" s="959"/>
      <c r="H735" s="959"/>
      <c r="I735" s="959"/>
      <c r="J735" s="959"/>
      <c r="K735" s="959"/>
      <c r="L735" s="959"/>
      <c r="M735" s="959"/>
      <c r="N735" s="959"/>
      <c r="O735" s="959"/>
      <c r="P735" s="959"/>
      <c r="Q735" s="959"/>
      <c r="R735" s="959"/>
      <c r="S735" s="959"/>
      <c r="T735" s="959"/>
      <c r="U735" s="959"/>
      <c r="V735" s="959"/>
      <c r="W735" s="959"/>
      <c r="X735" s="959"/>
      <c r="Y735" s="959"/>
      <c r="Z735" s="959"/>
      <c r="AA735" s="959"/>
      <c r="AB735" s="959"/>
      <c r="AC735" s="959"/>
      <c r="AD735" s="959"/>
      <c r="AE735" s="959"/>
      <c r="AF735" s="959"/>
      <c r="AG735" s="959"/>
      <c r="AH735" s="959"/>
      <c r="AI735" s="959"/>
      <c r="AJ735" s="959"/>
      <c r="AK735" s="959"/>
      <c r="AL735" s="959"/>
      <c r="AM735" s="959"/>
    </row>
    <row r="736" spans="3:39" x14ac:dyDescent="0.25">
      <c r="C736" s="959"/>
      <c r="D736" s="959"/>
      <c r="E736" s="959"/>
      <c r="F736" s="959"/>
      <c r="G736" s="959"/>
      <c r="H736" s="959"/>
      <c r="I736" s="959"/>
      <c r="J736" s="959"/>
      <c r="K736" s="959"/>
      <c r="L736" s="959"/>
      <c r="M736" s="959"/>
      <c r="N736" s="959"/>
      <c r="O736" s="959"/>
      <c r="P736" s="959"/>
      <c r="Q736" s="959"/>
      <c r="R736" s="959"/>
      <c r="S736" s="959"/>
      <c r="T736" s="959"/>
      <c r="U736" s="959"/>
      <c r="V736" s="959"/>
      <c r="W736" s="959"/>
      <c r="X736" s="959"/>
      <c r="Y736" s="959"/>
      <c r="Z736" s="959"/>
      <c r="AA736" s="959"/>
      <c r="AB736" s="959"/>
      <c r="AC736" s="959"/>
      <c r="AD736" s="959"/>
      <c r="AE736" s="959"/>
      <c r="AF736" s="959"/>
      <c r="AG736" s="959"/>
      <c r="AH736" s="959"/>
      <c r="AI736" s="959"/>
      <c r="AJ736" s="959"/>
      <c r="AK736" s="959"/>
      <c r="AL736" s="959"/>
      <c r="AM736" s="959"/>
    </row>
    <row r="737" spans="3:39" x14ac:dyDescent="0.25">
      <c r="C737" s="959"/>
      <c r="D737" s="959"/>
      <c r="E737" s="959"/>
      <c r="F737" s="959"/>
      <c r="G737" s="959"/>
      <c r="H737" s="959"/>
      <c r="I737" s="959"/>
      <c r="J737" s="959"/>
      <c r="K737" s="959"/>
      <c r="L737" s="959"/>
      <c r="M737" s="959"/>
      <c r="N737" s="959"/>
      <c r="O737" s="959"/>
      <c r="P737" s="959"/>
      <c r="Q737" s="959"/>
      <c r="R737" s="959"/>
      <c r="S737" s="959"/>
      <c r="T737" s="959"/>
      <c r="U737" s="959"/>
      <c r="V737" s="959"/>
      <c r="W737" s="959"/>
      <c r="X737" s="959"/>
      <c r="Y737" s="959"/>
      <c r="Z737" s="959"/>
      <c r="AA737" s="959"/>
      <c r="AB737" s="959"/>
      <c r="AC737" s="959"/>
      <c r="AD737" s="959"/>
      <c r="AE737" s="959"/>
      <c r="AF737" s="959"/>
      <c r="AG737" s="959"/>
      <c r="AH737" s="959"/>
      <c r="AI737" s="959"/>
      <c r="AJ737" s="959"/>
      <c r="AK737" s="959"/>
      <c r="AL737" s="959"/>
      <c r="AM737" s="959"/>
    </row>
    <row r="738" spans="3:39" x14ac:dyDescent="0.25">
      <c r="C738" s="959"/>
      <c r="D738" s="959"/>
      <c r="E738" s="959"/>
      <c r="F738" s="959"/>
      <c r="G738" s="959"/>
      <c r="H738" s="959"/>
      <c r="I738" s="959"/>
      <c r="J738" s="959"/>
      <c r="K738" s="959"/>
      <c r="L738" s="959"/>
      <c r="M738" s="959"/>
      <c r="N738" s="959"/>
      <c r="O738" s="959"/>
      <c r="P738" s="959"/>
      <c r="Q738" s="959"/>
      <c r="R738" s="959"/>
      <c r="S738" s="959"/>
      <c r="T738" s="959"/>
      <c r="U738" s="959"/>
      <c r="V738" s="959"/>
      <c r="W738" s="959"/>
      <c r="X738" s="959"/>
      <c r="Y738" s="959"/>
      <c r="Z738" s="959"/>
      <c r="AA738" s="959"/>
      <c r="AB738" s="959"/>
      <c r="AC738" s="959"/>
      <c r="AD738" s="959"/>
      <c r="AE738" s="959"/>
      <c r="AF738" s="959"/>
      <c r="AG738" s="959"/>
      <c r="AH738" s="959"/>
      <c r="AI738" s="959"/>
      <c r="AJ738" s="959"/>
      <c r="AK738" s="959"/>
      <c r="AL738" s="959"/>
      <c r="AM738" s="959"/>
    </row>
    <row r="739" spans="3:39" x14ac:dyDescent="0.25">
      <c r="C739" s="959"/>
      <c r="D739" s="959"/>
      <c r="E739" s="959"/>
      <c r="F739" s="959"/>
      <c r="G739" s="959"/>
      <c r="H739" s="959"/>
      <c r="I739" s="959"/>
      <c r="J739" s="959"/>
      <c r="K739" s="959"/>
      <c r="L739" s="959"/>
      <c r="M739" s="959"/>
      <c r="N739" s="959"/>
      <c r="O739" s="959"/>
      <c r="P739" s="959"/>
      <c r="Q739" s="959"/>
      <c r="R739" s="959"/>
      <c r="S739" s="959"/>
      <c r="T739" s="959"/>
      <c r="U739" s="959"/>
      <c r="V739" s="959"/>
      <c r="W739" s="959"/>
      <c r="X739" s="959"/>
      <c r="Y739" s="959"/>
      <c r="Z739" s="959"/>
      <c r="AA739" s="959"/>
      <c r="AB739" s="959"/>
      <c r="AC739" s="959"/>
      <c r="AD739" s="959"/>
      <c r="AE739" s="959"/>
      <c r="AF739" s="959"/>
      <c r="AG739" s="959"/>
      <c r="AH739" s="959"/>
      <c r="AI739" s="959"/>
      <c r="AJ739" s="959"/>
      <c r="AK739" s="959"/>
      <c r="AL739" s="959"/>
      <c r="AM739" s="959"/>
    </row>
    <row r="740" spans="3:39" x14ac:dyDescent="0.25">
      <c r="C740" s="959"/>
      <c r="D740" s="959"/>
      <c r="E740" s="959"/>
      <c r="F740" s="959"/>
      <c r="G740" s="959"/>
      <c r="H740" s="959"/>
      <c r="I740" s="959"/>
      <c r="J740" s="959"/>
      <c r="K740" s="959"/>
      <c r="L740" s="959"/>
      <c r="M740" s="959"/>
      <c r="N740" s="959"/>
      <c r="O740" s="959"/>
      <c r="P740" s="959"/>
      <c r="Q740" s="959"/>
      <c r="R740" s="959"/>
      <c r="S740" s="959"/>
      <c r="T740" s="959"/>
      <c r="U740" s="959"/>
      <c r="V740" s="959"/>
      <c r="W740" s="959"/>
      <c r="X740" s="959"/>
      <c r="Y740" s="959"/>
      <c r="Z740" s="959"/>
      <c r="AA740" s="959"/>
      <c r="AB740" s="959"/>
      <c r="AC740" s="959"/>
      <c r="AD740" s="959"/>
      <c r="AE740" s="959"/>
      <c r="AF740" s="959"/>
      <c r="AG740" s="959"/>
      <c r="AH740" s="959"/>
      <c r="AI740" s="959"/>
      <c r="AJ740" s="959"/>
      <c r="AK740" s="959"/>
      <c r="AL740" s="959"/>
      <c r="AM740" s="959"/>
    </row>
    <row r="741" spans="3:39" x14ac:dyDescent="0.25">
      <c r="C741" s="959"/>
      <c r="D741" s="959"/>
      <c r="E741" s="959"/>
      <c r="F741" s="959"/>
      <c r="G741" s="959"/>
      <c r="H741" s="959"/>
      <c r="I741" s="959"/>
      <c r="J741" s="959"/>
      <c r="K741" s="959"/>
      <c r="L741" s="959"/>
      <c r="M741" s="959"/>
      <c r="N741" s="959"/>
      <c r="O741" s="959"/>
      <c r="P741" s="959"/>
      <c r="Q741" s="959"/>
      <c r="R741" s="959"/>
      <c r="S741" s="959"/>
      <c r="T741" s="959"/>
      <c r="U741" s="959"/>
      <c r="V741" s="959"/>
      <c r="W741" s="959"/>
      <c r="X741" s="959"/>
      <c r="Y741" s="959"/>
      <c r="Z741" s="959"/>
      <c r="AA741" s="959"/>
      <c r="AB741" s="959"/>
      <c r="AC741" s="959"/>
      <c r="AD741" s="959"/>
      <c r="AE741" s="959"/>
      <c r="AF741" s="959"/>
      <c r="AG741" s="959"/>
      <c r="AH741" s="959"/>
      <c r="AI741" s="959"/>
      <c r="AJ741" s="959"/>
      <c r="AK741" s="959"/>
      <c r="AL741" s="959"/>
      <c r="AM741" s="959"/>
    </row>
    <row r="742" spans="3:39" x14ac:dyDescent="0.25">
      <c r="C742" s="959"/>
      <c r="D742" s="959"/>
      <c r="E742" s="959"/>
      <c r="F742" s="959"/>
      <c r="G742" s="959"/>
      <c r="H742" s="959"/>
      <c r="I742" s="959"/>
      <c r="J742" s="959"/>
      <c r="K742" s="959"/>
      <c r="L742" s="959"/>
      <c r="M742" s="959"/>
      <c r="N742" s="959"/>
      <c r="O742" s="959"/>
      <c r="P742" s="959"/>
      <c r="Q742" s="959"/>
      <c r="R742" s="959"/>
      <c r="S742" s="959"/>
      <c r="T742" s="959"/>
      <c r="U742" s="959"/>
      <c r="V742" s="959"/>
      <c r="W742" s="959"/>
      <c r="X742" s="959"/>
      <c r="Y742" s="959"/>
      <c r="Z742" s="959"/>
      <c r="AA742" s="959"/>
      <c r="AB742" s="959"/>
      <c r="AC742" s="959"/>
      <c r="AD742" s="959"/>
      <c r="AE742" s="959"/>
      <c r="AF742" s="959"/>
      <c r="AG742" s="959"/>
      <c r="AH742" s="959"/>
      <c r="AI742" s="959"/>
      <c r="AJ742" s="959"/>
      <c r="AK742" s="959"/>
      <c r="AL742" s="959"/>
      <c r="AM742" s="959"/>
    </row>
    <row r="743" spans="3:39" x14ac:dyDescent="0.25">
      <c r="C743" s="959"/>
      <c r="D743" s="959"/>
      <c r="E743" s="959"/>
      <c r="F743" s="959"/>
      <c r="G743" s="959"/>
      <c r="H743" s="959"/>
      <c r="I743" s="959"/>
      <c r="J743" s="959"/>
      <c r="K743" s="959"/>
      <c r="L743" s="959"/>
      <c r="M743" s="959"/>
      <c r="N743" s="959"/>
      <c r="O743" s="959"/>
      <c r="P743" s="959"/>
      <c r="Q743" s="959"/>
      <c r="R743" s="959"/>
      <c r="S743" s="959"/>
      <c r="T743" s="959"/>
      <c r="U743" s="959"/>
      <c r="V743" s="959"/>
      <c r="W743" s="959"/>
      <c r="X743" s="959"/>
      <c r="Y743" s="959"/>
      <c r="Z743" s="959"/>
      <c r="AA743" s="959"/>
      <c r="AB743" s="959"/>
      <c r="AC743" s="959"/>
      <c r="AD743" s="959"/>
      <c r="AE743" s="959"/>
      <c r="AF743" s="959"/>
      <c r="AG743" s="959"/>
      <c r="AH743" s="959"/>
      <c r="AI743" s="959"/>
      <c r="AJ743" s="959"/>
      <c r="AK743" s="959"/>
      <c r="AL743" s="959"/>
      <c r="AM743" s="959"/>
    </row>
    <row r="744" spans="3:39" x14ac:dyDescent="0.25">
      <c r="C744" s="959"/>
      <c r="D744" s="959"/>
      <c r="E744" s="959"/>
      <c r="F744" s="959"/>
      <c r="G744" s="959"/>
      <c r="H744" s="959"/>
      <c r="I744" s="959"/>
      <c r="J744" s="959"/>
      <c r="K744" s="959"/>
      <c r="L744" s="959"/>
      <c r="M744" s="959"/>
      <c r="N744" s="959"/>
      <c r="O744" s="959"/>
      <c r="P744" s="959"/>
      <c r="Q744" s="959"/>
      <c r="R744" s="959"/>
      <c r="S744" s="959"/>
      <c r="T744" s="959"/>
      <c r="U744" s="959"/>
      <c r="V744" s="959"/>
      <c r="W744" s="959"/>
      <c r="X744" s="959"/>
      <c r="Y744" s="959"/>
      <c r="Z744" s="959"/>
      <c r="AA744" s="959"/>
      <c r="AB744" s="959"/>
      <c r="AC744" s="959"/>
      <c r="AD744" s="959"/>
      <c r="AE744" s="959"/>
      <c r="AF744" s="959"/>
      <c r="AG744" s="959"/>
      <c r="AH744" s="959"/>
      <c r="AI744" s="959"/>
      <c r="AJ744" s="959"/>
      <c r="AK744" s="959"/>
      <c r="AL744" s="959"/>
      <c r="AM744" s="959"/>
    </row>
    <row r="745" spans="3:39" x14ac:dyDescent="0.25">
      <c r="C745" s="959"/>
      <c r="D745" s="959"/>
      <c r="E745" s="959"/>
      <c r="F745" s="959"/>
      <c r="G745" s="959"/>
      <c r="H745" s="959"/>
      <c r="I745" s="959"/>
      <c r="J745" s="959"/>
      <c r="K745" s="959"/>
      <c r="L745" s="959"/>
      <c r="M745" s="959"/>
      <c r="N745" s="959"/>
      <c r="O745" s="959"/>
      <c r="P745" s="959"/>
      <c r="Q745" s="959"/>
      <c r="R745" s="959"/>
      <c r="S745" s="959"/>
      <c r="T745" s="959"/>
      <c r="U745" s="959"/>
      <c r="V745" s="959"/>
      <c r="W745" s="959"/>
      <c r="X745" s="959"/>
      <c r="Y745" s="959"/>
      <c r="Z745" s="959"/>
      <c r="AA745" s="959"/>
      <c r="AB745" s="959"/>
      <c r="AC745" s="959"/>
      <c r="AD745" s="959"/>
      <c r="AE745" s="959"/>
      <c r="AF745" s="959"/>
      <c r="AG745" s="959"/>
      <c r="AH745" s="959"/>
      <c r="AI745" s="959"/>
      <c r="AJ745" s="959"/>
      <c r="AK745" s="959"/>
      <c r="AL745" s="959"/>
      <c r="AM745" s="959"/>
    </row>
    <row r="746" spans="3:39" x14ac:dyDescent="0.25">
      <c r="C746" s="959"/>
      <c r="D746" s="959"/>
      <c r="E746" s="959"/>
      <c r="F746" s="959"/>
      <c r="G746" s="959"/>
      <c r="H746" s="959"/>
      <c r="I746" s="959"/>
      <c r="J746" s="959"/>
      <c r="K746" s="959"/>
      <c r="L746" s="959"/>
      <c r="M746" s="959"/>
      <c r="N746" s="959"/>
      <c r="O746" s="959"/>
      <c r="P746" s="959"/>
      <c r="Q746" s="959"/>
      <c r="R746" s="959"/>
      <c r="S746" s="959"/>
      <c r="T746" s="959"/>
      <c r="U746" s="959"/>
      <c r="V746" s="959"/>
      <c r="W746" s="959"/>
      <c r="X746" s="959"/>
      <c r="Y746" s="959"/>
      <c r="Z746" s="959"/>
      <c r="AA746" s="959"/>
      <c r="AB746" s="959"/>
      <c r="AC746" s="959"/>
      <c r="AD746" s="959"/>
      <c r="AE746" s="959"/>
      <c r="AF746" s="959"/>
      <c r="AG746" s="959"/>
      <c r="AH746" s="959"/>
      <c r="AI746" s="959"/>
      <c r="AJ746" s="959"/>
      <c r="AK746" s="959"/>
      <c r="AL746" s="959"/>
      <c r="AM746" s="959"/>
    </row>
    <row r="747" spans="3:39" x14ac:dyDescent="0.25">
      <c r="C747" s="959"/>
      <c r="D747" s="959"/>
      <c r="E747" s="959"/>
      <c r="F747" s="959"/>
      <c r="G747" s="959"/>
      <c r="H747" s="959"/>
      <c r="I747" s="959"/>
      <c r="J747" s="959"/>
      <c r="K747" s="959"/>
      <c r="L747" s="959"/>
      <c r="M747" s="959"/>
      <c r="N747" s="959"/>
      <c r="O747" s="959"/>
      <c r="P747" s="959"/>
      <c r="Q747" s="959"/>
      <c r="R747" s="959"/>
      <c r="S747" s="959"/>
      <c r="T747" s="959"/>
      <c r="U747" s="959"/>
      <c r="V747" s="959"/>
      <c r="W747" s="959"/>
      <c r="X747" s="959"/>
      <c r="Y747" s="959"/>
      <c r="Z747" s="959"/>
      <c r="AA747" s="959"/>
      <c r="AB747" s="959"/>
      <c r="AC747" s="959"/>
      <c r="AD747" s="959"/>
      <c r="AE747" s="959"/>
      <c r="AF747" s="959"/>
      <c r="AG747" s="959"/>
      <c r="AH747" s="959"/>
      <c r="AI747" s="959"/>
      <c r="AJ747" s="959"/>
      <c r="AK747" s="959"/>
      <c r="AL747" s="959"/>
      <c r="AM747" s="959"/>
    </row>
    <row r="748" spans="3:39" x14ac:dyDescent="0.25">
      <c r="C748" s="959"/>
      <c r="D748" s="959"/>
      <c r="E748" s="959"/>
      <c r="F748" s="959"/>
      <c r="G748" s="959"/>
      <c r="H748" s="959"/>
      <c r="I748" s="959"/>
      <c r="J748" s="959"/>
      <c r="K748" s="959"/>
      <c r="L748" s="959"/>
      <c r="M748" s="959"/>
      <c r="N748" s="959"/>
      <c r="O748" s="959"/>
      <c r="P748" s="959"/>
      <c r="Q748" s="959"/>
      <c r="R748" s="959"/>
      <c r="S748" s="959"/>
      <c r="T748" s="959"/>
      <c r="U748" s="959"/>
      <c r="V748" s="959"/>
      <c r="W748" s="959"/>
      <c r="X748" s="959"/>
      <c r="Y748" s="959"/>
      <c r="Z748" s="959"/>
      <c r="AA748" s="959"/>
      <c r="AB748" s="959"/>
      <c r="AC748" s="959"/>
      <c r="AD748" s="959"/>
      <c r="AE748" s="959"/>
      <c r="AF748" s="959"/>
      <c r="AG748" s="959"/>
      <c r="AH748" s="959"/>
      <c r="AI748" s="959"/>
      <c r="AJ748" s="959"/>
      <c r="AK748" s="959"/>
      <c r="AL748" s="959"/>
      <c r="AM748" s="959"/>
    </row>
    <row r="749" spans="3:39" x14ac:dyDescent="0.25">
      <c r="C749" s="959"/>
      <c r="D749" s="959"/>
      <c r="E749" s="959"/>
      <c r="F749" s="959"/>
      <c r="G749" s="959"/>
      <c r="H749" s="959"/>
      <c r="I749" s="959"/>
      <c r="J749" s="959"/>
      <c r="K749" s="959"/>
      <c r="L749" s="959"/>
      <c r="M749" s="959"/>
      <c r="N749" s="959"/>
      <c r="O749" s="959"/>
      <c r="P749" s="959"/>
      <c r="Q749" s="959"/>
      <c r="R749" s="959"/>
      <c r="S749" s="959"/>
      <c r="T749" s="959"/>
      <c r="U749" s="959"/>
      <c r="V749" s="959"/>
      <c r="W749" s="959"/>
      <c r="X749" s="959"/>
      <c r="Y749" s="959"/>
      <c r="Z749" s="959"/>
      <c r="AA749" s="959"/>
      <c r="AB749" s="959"/>
      <c r="AC749" s="959"/>
      <c r="AD749" s="959"/>
      <c r="AE749" s="959"/>
      <c r="AF749" s="959"/>
      <c r="AG749" s="959"/>
      <c r="AH749" s="959"/>
      <c r="AI749" s="959"/>
      <c r="AJ749" s="959"/>
      <c r="AK749" s="959"/>
      <c r="AL749" s="959"/>
      <c r="AM749" s="959"/>
    </row>
    <row r="750" spans="3:39" x14ac:dyDescent="0.25">
      <c r="C750" s="959"/>
      <c r="D750" s="959"/>
      <c r="E750" s="959"/>
      <c r="F750" s="959"/>
      <c r="G750" s="959"/>
      <c r="H750" s="959"/>
      <c r="I750" s="959"/>
      <c r="J750" s="959"/>
      <c r="K750" s="959"/>
      <c r="L750" s="959"/>
      <c r="M750" s="959"/>
      <c r="N750" s="959"/>
      <c r="O750" s="959"/>
      <c r="P750" s="959"/>
      <c r="Q750" s="959"/>
      <c r="R750" s="959"/>
      <c r="S750" s="959"/>
      <c r="T750" s="959"/>
      <c r="U750" s="959"/>
      <c r="V750" s="959"/>
      <c r="W750" s="959"/>
      <c r="X750" s="959"/>
      <c r="Y750" s="959"/>
      <c r="Z750" s="959"/>
      <c r="AA750" s="959"/>
      <c r="AB750" s="959"/>
      <c r="AC750" s="959"/>
      <c r="AD750" s="959"/>
      <c r="AE750" s="959"/>
      <c r="AF750" s="959"/>
      <c r="AG750" s="959"/>
      <c r="AH750" s="959"/>
      <c r="AI750" s="959"/>
      <c r="AJ750" s="959"/>
      <c r="AK750" s="959"/>
      <c r="AL750" s="959"/>
      <c r="AM750" s="959"/>
    </row>
    <row r="751" spans="3:39" x14ac:dyDescent="0.25">
      <c r="C751" s="959"/>
      <c r="D751" s="959"/>
      <c r="E751" s="959"/>
      <c r="F751" s="959"/>
      <c r="G751" s="959"/>
      <c r="H751" s="959"/>
      <c r="I751" s="959"/>
      <c r="J751" s="959"/>
      <c r="K751" s="959"/>
      <c r="L751" s="959"/>
      <c r="M751" s="959"/>
      <c r="N751" s="959"/>
      <c r="O751" s="959"/>
      <c r="P751" s="959"/>
      <c r="Q751" s="959"/>
      <c r="R751" s="959"/>
      <c r="S751" s="959"/>
      <c r="T751" s="959"/>
      <c r="U751" s="959"/>
      <c r="V751" s="959"/>
      <c r="W751" s="959"/>
      <c r="X751" s="959"/>
      <c r="Y751" s="959"/>
      <c r="Z751" s="959"/>
      <c r="AA751" s="959"/>
      <c r="AB751" s="959"/>
      <c r="AC751" s="959"/>
      <c r="AD751" s="959"/>
      <c r="AE751" s="959"/>
      <c r="AF751" s="959"/>
      <c r="AG751" s="959"/>
      <c r="AH751" s="959"/>
      <c r="AI751" s="959"/>
      <c r="AJ751" s="959"/>
      <c r="AK751" s="959"/>
      <c r="AL751" s="959"/>
      <c r="AM751" s="959"/>
    </row>
    <row r="752" spans="3:39" x14ac:dyDescent="0.25">
      <c r="C752" s="959"/>
      <c r="D752" s="959"/>
      <c r="E752" s="959"/>
      <c r="F752" s="959"/>
      <c r="G752" s="959"/>
      <c r="H752" s="959"/>
      <c r="I752" s="959"/>
      <c r="J752" s="959"/>
      <c r="K752" s="959"/>
      <c r="L752" s="959"/>
      <c r="M752" s="959"/>
      <c r="N752" s="959"/>
      <c r="O752" s="959"/>
      <c r="P752" s="959"/>
      <c r="Q752" s="959"/>
      <c r="R752" s="959"/>
      <c r="S752" s="959"/>
      <c r="T752" s="959"/>
      <c r="U752" s="959"/>
      <c r="V752" s="959"/>
      <c r="W752" s="959"/>
      <c r="X752" s="959"/>
      <c r="Y752" s="959"/>
      <c r="Z752" s="959"/>
      <c r="AA752" s="959"/>
      <c r="AB752" s="959"/>
      <c r="AC752" s="959"/>
      <c r="AD752" s="959"/>
      <c r="AE752" s="959"/>
      <c r="AF752" s="959"/>
      <c r="AG752" s="959"/>
      <c r="AH752" s="959"/>
      <c r="AI752" s="959"/>
      <c r="AJ752" s="959"/>
      <c r="AK752" s="959"/>
      <c r="AL752" s="959"/>
      <c r="AM752" s="959"/>
    </row>
    <row r="753" spans="3:39" x14ac:dyDescent="0.25">
      <c r="C753" s="959"/>
      <c r="D753" s="959"/>
      <c r="E753" s="959"/>
      <c r="F753" s="959"/>
      <c r="G753" s="959"/>
      <c r="H753" s="959"/>
      <c r="I753" s="959"/>
      <c r="J753" s="959"/>
      <c r="K753" s="959"/>
      <c r="L753" s="959"/>
      <c r="M753" s="959"/>
      <c r="N753" s="959"/>
      <c r="O753" s="959"/>
      <c r="P753" s="959"/>
      <c r="Q753" s="959"/>
      <c r="R753" s="959"/>
      <c r="S753" s="959"/>
      <c r="T753" s="959"/>
      <c r="U753" s="959"/>
      <c r="V753" s="959"/>
      <c r="W753" s="959"/>
      <c r="X753" s="959"/>
      <c r="Y753" s="959"/>
      <c r="Z753" s="959"/>
      <c r="AA753" s="959"/>
      <c r="AB753" s="959"/>
      <c r="AC753" s="959"/>
      <c r="AD753" s="959"/>
      <c r="AE753" s="959"/>
      <c r="AF753" s="959"/>
      <c r="AG753" s="959"/>
      <c r="AH753" s="959"/>
      <c r="AI753" s="959"/>
      <c r="AJ753" s="959"/>
      <c r="AK753" s="959"/>
      <c r="AL753" s="959"/>
      <c r="AM753" s="959"/>
    </row>
    <row r="754" spans="3:39" x14ac:dyDescent="0.25">
      <c r="C754" s="959"/>
      <c r="D754" s="959"/>
      <c r="E754" s="959"/>
      <c r="F754" s="959"/>
      <c r="G754" s="959"/>
      <c r="H754" s="959"/>
      <c r="I754" s="959"/>
      <c r="J754" s="959"/>
      <c r="K754" s="959"/>
      <c r="L754" s="959"/>
      <c r="M754" s="959"/>
      <c r="N754" s="959"/>
      <c r="O754" s="959"/>
      <c r="P754" s="959"/>
      <c r="Q754" s="959"/>
      <c r="R754" s="959"/>
      <c r="S754" s="959"/>
      <c r="T754" s="959"/>
      <c r="U754" s="959"/>
      <c r="V754" s="959"/>
      <c r="W754" s="959"/>
      <c r="X754" s="959"/>
      <c r="Y754" s="959"/>
      <c r="Z754" s="959"/>
      <c r="AA754" s="959"/>
      <c r="AB754" s="959"/>
      <c r="AC754" s="959"/>
      <c r="AD754" s="959"/>
      <c r="AE754" s="959"/>
      <c r="AF754" s="959"/>
      <c r="AG754" s="959"/>
      <c r="AH754" s="959"/>
      <c r="AI754" s="959"/>
      <c r="AJ754" s="959"/>
      <c r="AK754" s="959"/>
      <c r="AL754" s="959"/>
      <c r="AM754" s="959"/>
    </row>
    <row r="755" spans="3:39" x14ac:dyDescent="0.25">
      <c r="C755" s="959"/>
      <c r="D755" s="959"/>
      <c r="E755" s="959"/>
      <c r="F755" s="959"/>
      <c r="G755" s="959"/>
      <c r="H755" s="959"/>
      <c r="I755" s="959"/>
      <c r="J755" s="959"/>
      <c r="K755" s="959"/>
      <c r="L755" s="959"/>
      <c r="M755" s="959"/>
      <c r="N755" s="959"/>
      <c r="O755" s="959"/>
      <c r="P755" s="959"/>
      <c r="Q755" s="959"/>
      <c r="R755" s="959"/>
      <c r="S755" s="959"/>
      <c r="T755" s="959"/>
      <c r="U755" s="959"/>
      <c r="V755" s="959"/>
      <c r="W755" s="959"/>
      <c r="X755" s="959"/>
      <c r="Y755" s="959"/>
      <c r="Z755" s="959"/>
      <c r="AA755" s="959"/>
      <c r="AB755" s="959"/>
      <c r="AC755" s="959"/>
      <c r="AD755" s="959"/>
      <c r="AE755" s="959"/>
      <c r="AF755" s="959"/>
      <c r="AG755" s="959"/>
      <c r="AH755" s="959"/>
      <c r="AI755" s="959"/>
      <c r="AJ755" s="959"/>
      <c r="AK755" s="959"/>
      <c r="AL755" s="959"/>
      <c r="AM755" s="959"/>
    </row>
    <row r="756" spans="3:39" x14ac:dyDescent="0.25">
      <c r="C756" s="959"/>
      <c r="D756" s="959"/>
      <c r="E756" s="959"/>
      <c r="F756" s="959"/>
      <c r="G756" s="959"/>
      <c r="H756" s="959"/>
      <c r="I756" s="959"/>
      <c r="J756" s="959"/>
      <c r="K756" s="959"/>
      <c r="L756" s="959"/>
      <c r="M756" s="959"/>
      <c r="N756" s="959"/>
      <c r="O756" s="959"/>
      <c r="P756" s="959"/>
      <c r="Q756" s="959"/>
      <c r="R756" s="959"/>
      <c r="S756" s="959"/>
      <c r="T756" s="959"/>
      <c r="U756" s="959"/>
      <c r="V756" s="959"/>
      <c r="W756" s="959"/>
      <c r="X756" s="959"/>
      <c r="Y756" s="959"/>
      <c r="Z756" s="959"/>
      <c r="AA756" s="959"/>
      <c r="AB756" s="959"/>
      <c r="AC756" s="959"/>
      <c r="AD756" s="959"/>
      <c r="AE756" s="959"/>
      <c r="AF756" s="959"/>
      <c r="AG756" s="959"/>
      <c r="AH756" s="959"/>
      <c r="AI756" s="959"/>
      <c r="AJ756" s="959"/>
      <c r="AK756" s="959"/>
      <c r="AL756" s="959"/>
      <c r="AM756" s="959"/>
    </row>
    <row r="757" spans="3:39" x14ac:dyDescent="0.25">
      <c r="C757" s="959"/>
      <c r="D757" s="959"/>
      <c r="E757" s="959"/>
      <c r="F757" s="959"/>
      <c r="G757" s="959"/>
      <c r="H757" s="959"/>
      <c r="I757" s="959"/>
      <c r="J757" s="959"/>
      <c r="K757" s="959"/>
      <c r="L757" s="959"/>
      <c r="M757" s="959"/>
      <c r="N757" s="959"/>
      <c r="O757" s="959"/>
      <c r="P757" s="959"/>
      <c r="Q757" s="959"/>
      <c r="R757" s="959"/>
      <c r="S757" s="959"/>
      <c r="T757" s="959"/>
      <c r="U757" s="959"/>
      <c r="V757" s="959"/>
      <c r="W757" s="959"/>
      <c r="X757" s="959"/>
      <c r="Y757" s="959"/>
      <c r="Z757" s="959"/>
      <c r="AA757" s="959"/>
      <c r="AB757" s="959"/>
      <c r="AC757" s="959"/>
      <c r="AD757" s="959"/>
      <c r="AE757" s="959"/>
      <c r="AF757" s="959"/>
      <c r="AG757" s="959"/>
      <c r="AH757" s="959"/>
      <c r="AI757" s="959"/>
      <c r="AJ757" s="959"/>
      <c r="AK757" s="959"/>
      <c r="AL757" s="959"/>
      <c r="AM757" s="959"/>
    </row>
    <row r="758" spans="3:39" x14ac:dyDescent="0.25">
      <c r="C758" s="959"/>
      <c r="D758" s="959"/>
      <c r="E758" s="959"/>
      <c r="F758" s="959"/>
      <c r="G758" s="959"/>
      <c r="H758" s="959"/>
      <c r="I758" s="959"/>
      <c r="J758" s="959"/>
      <c r="K758" s="959"/>
      <c r="L758" s="959"/>
      <c r="M758" s="959"/>
      <c r="N758" s="959"/>
      <c r="O758" s="959"/>
      <c r="P758" s="959"/>
      <c r="Q758" s="959"/>
      <c r="R758" s="959"/>
      <c r="S758" s="959"/>
      <c r="T758" s="959"/>
      <c r="U758" s="959"/>
      <c r="V758" s="959"/>
      <c r="W758" s="959"/>
      <c r="X758" s="959"/>
      <c r="Y758" s="959"/>
      <c r="Z758" s="959"/>
      <c r="AA758" s="959"/>
      <c r="AB758" s="959"/>
      <c r="AC758" s="959"/>
      <c r="AD758" s="959"/>
      <c r="AE758" s="959"/>
      <c r="AF758" s="959"/>
      <c r="AG758" s="959"/>
      <c r="AH758" s="959"/>
      <c r="AI758" s="959"/>
      <c r="AJ758" s="959"/>
      <c r="AK758" s="959"/>
      <c r="AL758" s="959"/>
      <c r="AM758" s="959"/>
    </row>
    <row r="759" spans="3:39" x14ac:dyDescent="0.25">
      <c r="C759" s="959"/>
      <c r="D759" s="959"/>
      <c r="E759" s="959"/>
      <c r="F759" s="959"/>
      <c r="G759" s="959"/>
      <c r="H759" s="959"/>
      <c r="I759" s="959"/>
      <c r="J759" s="959"/>
      <c r="K759" s="959"/>
      <c r="L759" s="959"/>
      <c r="M759" s="959"/>
      <c r="N759" s="959"/>
      <c r="O759" s="959"/>
      <c r="P759" s="959"/>
      <c r="Q759" s="959"/>
      <c r="R759" s="959"/>
      <c r="S759" s="959"/>
      <c r="T759" s="959"/>
      <c r="U759" s="959"/>
      <c r="V759" s="959"/>
      <c r="W759" s="959"/>
      <c r="X759" s="959"/>
      <c r="Y759" s="959"/>
      <c r="Z759" s="959"/>
      <c r="AA759" s="959"/>
      <c r="AB759" s="959"/>
      <c r="AC759" s="959"/>
      <c r="AD759" s="959"/>
      <c r="AE759" s="959"/>
      <c r="AF759" s="959"/>
      <c r="AG759" s="959"/>
      <c r="AH759" s="959"/>
      <c r="AI759" s="959"/>
      <c r="AJ759" s="959"/>
      <c r="AK759" s="959"/>
      <c r="AL759" s="959"/>
      <c r="AM759" s="959"/>
    </row>
    <row r="760" spans="3:39" x14ac:dyDescent="0.25">
      <c r="C760" s="959"/>
      <c r="D760" s="959"/>
      <c r="E760" s="959"/>
      <c r="F760" s="959"/>
      <c r="G760" s="959"/>
      <c r="H760" s="959"/>
      <c r="I760" s="959"/>
      <c r="J760" s="959"/>
      <c r="K760" s="959"/>
      <c r="L760" s="959"/>
      <c r="M760" s="959"/>
      <c r="N760" s="959"/>
      <c r="O760" s="959"/>
      <c r="P760" s="959"/>
      <c r="Q760" s="959"/>
      <c r="R760" s="959"/>
      <c r="S760" s="959"/>
      <c r="T760" s="959"/>
      <c r="U760" s="959"/>
      <c r="V760" s="959"/>
      <c r="W760" s="959"/>
      <c r="X760" s="959"/>
      <c r="Y760" s="959"/>
      <c r="Z760" s="959"/>
      <c r="AA760" s="959"/>
      <c r="AB760" s="959"/>
      <c r="AC760" s="959"/>
      <c r="AD760" s="959"/>
      <c r="AE760" s="959"/>
      <c r="AF760" s="959"/>
      <c r="AG760" s="959"/>
      <c r="AH760" s="959"/>
      <c r="AI760" s="959"/>
      <c r="AJ760" s="959"/>
      <c r="AK760" s="959"/>
      <c r="AL760" s="959"/>
      <c r="AM760" s="959"/>
    </row>
    <row r="761" spans="3:39" x14ac:dyDescent="0.25">
      <c r="C761" s="959"/>
      <c r="D761" s="959"/>
      <c r="E761" s="959"/>
      <c r="F761" s="959"/>
      <c r="G761" s="959"/>
      <c r="H761" s="959"/>
      <c r="I761" s="959"/>
      <c r="J761" s="959"/>
      <c r="K761" s="959"/>
      <c r="L761" s="959"/>
      <c r="M761" s="959"/>
      <c r="N761" s="959"/>
      <c r="O761" s="959"/>
      <c r="P761" s="959"/>
      <c r="Q761" s="959"/>
      <c r="R761" s="959"/>
      <c r="S761" s="959"/>
      <c r="T761" s="959"/>
      <c r="U761" s="959"/>
      <c r="V761" s="959"/>
      <c r="W761" s="959"/>
      <c r="X761" s="959"/>
      <c r="Y761" s="959"/>
      <c r="Z761" s="959"/>
      <c r="AA761" s="959"/>
      <c r="AB761" s="959"/>
      <c r="AC761" s="959"/>
      <c r="AD761" s="959"/>
      <c r="AE761" s="959"/>
      <c r="AF761" s="959"/>
      <c r="AG761" s="959"/>
      <c r="AH761" s="959"/>
      <c r="AI761" s="959"/>
      <c r="AJ761" s="959"/>
      <c r="AK761" s="959"/>
      <c r="AL761" s="959"/>
      <c r="AM761" s="959"/>
    </row>
    <row r="762" spans="3:39" x14ac:dyDescent="0.25">
      <c r="C762" s="959"/>
      <c r="D762" s="959"/>
      <c r="E762" s="959"/>
      <c r="F762" s="959"/>
      <c r="G762" s="959"/>
      <c r="H762" s="959"/>
      <c r="I762" s="959"/>
      <c r="J762" s="959"/>
      <c r="K762" s="959"/>
      <c r="L762" s="959"/>
      <c r="M762" s="959"/>
      <c r="N762" s="959"/>
      <c r="O762" s="959"/>
      <c r="P762" s="959"/>
      <c r="Q762" s="959"/>
      <c r="R762" s="959"/>
      <c r="S762" s="959"/>
      <c r="T762" s="959"/>
      <c r="U762" s="959"/>
      <c r="V762" s="959"/>
      <c r="W762" s="959"/>
      <c r="X762" s="959"/>
      <c r="Y762" s="959"/>
      <c r="Z762" s="959"/>
      <c r="AA762" s="959"/>
      <c r="AB762" s="959"/>
      <c r="AC762" s="959"/>
      <c r="AD762" s="959"/>
      <c r="AE762" s="959"/>
      <c r="AF762" s="959"/>
      <c r="AG762" s="959"/>
      <c r="AH762" s="959"/>
      <c r="AI762" s="959"/>
      <c r="AJ762" s="959"/>
      <c r="AK762" s="959"/>
      <c r="AL762" s="959"/>
      <c r="AM762" s="959"/>
    </row>
    <row r="763" spans="3:39" x14ac:dyDescent="0.25">
      <c r="C763" s="959"/>
      <c r="D763" s="959"/>
      <c r="E763" s="959"/>
      <c r="F763" s="959"/>
      <c r="G763" s="959"/>
      <c r="H763" s="959"/>
      <c r="I763" s="959"/>
      <c r="J763" s="959"/>
      <c r="K763" s="959"/>
      <c r="L763" s="959"/>
      <c r="M763" s="959"/>
      <c r="N763" s="959"/>
      <c r="O763" s="959"/>
      <c r="P763" s="959"/>
      <c r="Q763" s="959"/>
      <c r="R763" s="959"/>
      <c r="S763" s="959"/>
      <c r="T763" s="959"/>
      <c r="U763" s="959"/>
      <c r="V763" s="959"/>
      <c r="W763" s="959"/>
      <c r="X763" s="959"/>
      <c r="Y763" s="959"/>
      <c r="Z763" s="959"/>
      <c r="AA763" s="959"/>
      <c r="AB763" s="959"/>
      <c r="AC763" s="959"/>
      <c r="AD763" s="959"/>
      <c r="AE763" s="959"/>
      <c r="AF763" s="959"/>
      <c r="AG763" s="959"/>
      <c r="AH763" s="959"/>
      <c r="AI763" s="959"/>
      <c r="AJ763" s="959"/>
      <c r="AK763" s="959"/>
      <c r="AL763" s="959"/>
      <c r="AM763" s="959"/>
    </row>
    <row r="764" spans="3:39" x14ac:dyDescent="0.25">
      <c r="C764" s="959"/>
      <c r="D764" s="959"/>
      <c r="E764" s="959"/>
      <c r="F764" s="959"/>
      <c r="G764" s="959"/>
      <c r="H764" s="959"/>
      <c r="I764" s="959"/>
      <c r="J764" s="959"/>
      <c r="K764" s="959"/>
      <c r="L764" s="959"/>
      <c r="M764" s="959"/>
      <c r="N764" s="959"/>
      <c r="O764" s="959"/>
      <c r="P764" s="959"/>
      <c r="Q764" s="959"/>
      <c r="R764" s="959"/>
      <c r="S764" s="959"/>
      <c r="T764" s="959"/>
      <c r="U764" s="959"/>
      <c r="V764" s="959"/>
      <c r="W764" s="959"/>
      <c r="X764" s="959"/>
      <c r="Y764" s="959"/>
      <c r="Z764" s="959"/>
      <c r="AA764" s="959"/>
      <c r="AB764" s="959"/>
      <c r="AC764" s="959"/>
      <c r="AD764" s="959"/>
      <c r="AE764" s="959"/>
      <c r="AF764" s="959"/>
      <c r="AG764" s="959"/>
      <c r="AH764" s="959"/>
      <c r="AI764" s="959"/>
      <c r="AJ764" s="959"/>
      <c r="AK764" s="959"/>
      <c r="AL764" s="959"/>
      <c r="AM764" s="959"/>
    </row>
    <row r="765" spans="3:39" x14ac:dyDescent="0.25">
      <c r="C765" s="959"/>
      <c r="D765" s="959"/>
      <c r="E765" s="959"/>
      <c r="F765" s="959"/>
      <c r="G765" s="959"/>
      <c r="H765" s="959"/>
      <c r="I765" s="959"/>
      <c r="J765" s="959"/>
      <c r="K765" s="959"/>
      <c r="L765" s="959"/>
      <c r="M765" s="959"/>
      <c r="N765" s="959"/>
      <c r="O765" s="959"/>
      <c r="P765" s="959"/>
      <c r="Q765" s="959"/>
      <c r="R765" s="959"/>
      <c r="S765" s="959"/>
      <c r="T765" s="959"/>
      <c r="U765" s="959"/>
      <c r="V765" s="959"/>
      <c r="W765" s="959"/>
      <c r="X765" s="959"/>
      <c r="Y765" s="959"/>
      <c r="Z765" s="959"/>
      <c r="AA765" s="959"/>
      <c r="AB765" s="959"/>
      <c r="AC765" s="959"/>
      <c r="AD765" s="959"/>
      <c r="AE765" s="959"/>
      <c r="AF765" s="959"/>
      <c r="AG765" s="959"/>
      <c r="AH765" s="959"/>
      <c r="AI765" s="959"/>
      <c r="AJ765" s="959"/>
      <c r="AK765" s="959"/>
      <c r="AL765" s="959"/>
      <c r="AM765" s="959"/>
    </row>
    <row r="766" spans="3:39" x14ac:dyDescent="0.25">
      <c r="C766" s="959"/>
      <c r="D766" s="959"/>
      <c r="E766" s="959"/>
      <c r="F766" s="959"/>
      <c r="G766" s="959"/>
      <c r="H766" s="959"/>
      <c r="I766" s="959"/>
      <c r="J766" s="959"/>
      <c r="K766" s="959"/>
      <c r="L766" s="959"/>
      <c r="M766" s="959"/>
      <c r="N766" s="959"/>
      <c r="O766" s="959"/>
      <c r="P766" s="959"/>
      <c r="Q766" s="959"/>
      <c r="R766" s="959"/>
      <c r="S766" s="959"/>
      <c r="T766" s="959"/>
      <c r="U766" s="959"/>
      <c r="V766" s="959"/>
      <c r="W766" s="959"/>
      <c r="X766" s="959"/>
      <c r="Y766" s="959"/>
      <c r="Z766" s="959"/>
      <c r="AA766" s="959"/>
      <c r="AB766" s="959"/>
      <c r="AC766" s="959"/>
      <c r="AD766" s="959"/>
      <c r="AE766" s="959"/>
      <c r="AF766" s="959"/>
      <c r="AG766" s="959"/>
      <c r="AH766" s="959"/>
      <c r="AI766" s="959"/>
      <c r="AJ766" s="959"/>
      <c r="AK766" s="959"/>
      <c r="AL766" s="959"/>
      <c r="AM766" s="959"/>
    </row>
    <row r="767" spans="3:39" x14ac:dyDescent="0.25">
      <c r="C767" s="959"/>
      <c r="D767" s="959"/>
      <c r="E767" s="959"/>
      <c r="F767" s="959"/>
      <c r="G767" s="959"/>
      <c r="H767" s="959"/>
      <c r="I767" s="959"/>
      <c r="J767" s="959"/>
      <c r="K767" s="959"/>
      <c r="L767" s="959"/>
      <c r="M767" s="959"/>
      <c r="N767" s="959"/>
      <c r="O767" s="959"/>
      <c r="P767" s="959"/>
      <c r="Q767" s="959"/>
      <c r="R767" s="959"/>
      <c r="S767" s="959"/>
      <c r="T767" s="959"/>
      <c r="U767" s="959"/>
      <c r="V767" s="959"/>
      <c r="W767" s="959"/>
      <c r="X767" s="959"/>
      <c r="Y767" s="959"/>
      <c r="Z767" s="959"/>
      <c r="AA767" s="959"/>
      <c r="AB767" s="959"/>
      <c r="AC767" s="959"/>
      <c r="AD767" s="959"/>
      <c r="AE767" s="959"/>
      <c r="AF767" s="959"/>
      <c r="AG767" s="959"/>
      <c r="AH767" s="959"/>
      <c r="AI767" s="959"/>
      <c r="AJ767" s="959"/>
      <c r="AK767" s="959"/>
      <c r="AL767" s="959"/>
      <c r="AM767" s="959"/>
    </row>
    <row r="768" spans="3:39" x14ac:dyDescent="0.25">
      <c r="C768" s="959"/>
      <c r="D768" s="959"/>
      <c r="E768" s="959"/>
      <c r="F768" s="959"/>
      <c r="G768" s="959"/>
      <c r="H768" s="959"/>
      <c r="I768" s="959"/>
      <c r="J768" s="959"/>
      <c r="K768" s="959"/>
      <c r="L768" s="959"/>
      <c r="M768" s="959"/>
      <c r="N768" s="959"/>
      <c r="O768" s="959"/>
      <c r="P768" s="959"/>
      <c r="Q768" s="959"/>
      <c r="R768" s="959"/>
      <c r="S768" s="959"/>
      <c r="T768" s="959"/>
      <c r="U768" s="959"/>
      <c r="V768" s="959"/>
      <c r="W768" s="959"/>
      <c r="X768" s="959"/>
      <c r="Y768" s="959"/>
      <c r="Z768" s="959"/>
      <c r="AA768" s="959"/>
      <c r="AB768" s="959"/>
      <c r="AC768" s="959"/>
      <c r="AD768" s="959"/>
      <c r="AE768" s="959"/>
      <c r="AF768" s="959"/>
      <c r="AG768" s="959"/>
      <c r="AH768" s="959"/>
      <c r="AI768" s="959"/>
      <c r="AJ768" s="959"/>
      <c r="AK768" s="959"/>
      <c r="AL768" s="959"/>
      <c r="AM768" s="959"/>
    </row>
    <row r="769" spans="3:39" x14ac:dyDescent="0.25">
      <c r="C769" s="959"/>
      <c r="D769" s="959"/>
      <c r="E769" s="959"/>
      <c r="F769" s="959"/>
      <c r="G769" s="959"/>
      <c r="H769" s="959"/>
      <c r="I769" s="959"/>
      <c r="J769" s="959"/>
      <c r="K769" s="959"/>
      <c r="L769" s="959"/>
      <c r="M769" s="959"/>
      <c r="N769" s="959"/>
      <c r="O769" s="959"/>
      <c r="P769" s="959"/>
      <c r="Q769" s="959"/>
      <c r="R769" s="959"/>
      <c r="S769" s="959"/>
      <c r="T769" s="959"/>
      <c r="U769" s="959"/>
      <c r="V769" s="959"/>
      <c r="W769" s="959"/>
      <c r="X769" s="959"/>
      <c r="Y769" s="959"/>
      <c r="Z769" s="959"/>
      <c r="AA769" s="959"/>
      <c r="AB769" s="959"/>
      <c r="AC769" s="959"/>
      <c r="AD769" s="959"/>
      <c r="AE769" s="959"/>
      <c r="AF769" s="959"/>
      <c r="AG769" s="959"/>
      <c r="AH769" s="959"/>
      <c r="AI769" s="959"/>
      <c r="AJ769" s="959"/>
      <c r="AK769" s="959"/>
      <c r="AL769" s="959"/>
      <c r="AM769" s="959"/>
    </row>
    <row r="770" spans="3:39" x14ac:dyDescent="0.25">
      <c r="C770" s="959"/>
      <c r="D770" s="959"/>
      <c r="E770" s="959"/>
      <c r="F770" s="959"/>
      <c r="G770" s="959"/>
      <c r="H770" s="959"/>
      <c r="I770" s="959"/>
      <c r="J770" s="959"/>
      <c r="K770" s="959"/>
      <c r="L770" s="959"/>
      <c r="M770" s="959"/>
      <c r="N770" s="959"/>
      <c r="O770" s="959"/>
      <c r="P770" s="959"/>
      <c r="Q770" s="959"/>
      <c r="R770" s="959"/>
      <c r="S770" s="959"/>
      <c r="T770" s="959"/>
      <c r="U770" s="959"/>
      <c r="V770" s="959"/>
      <c r="W770" s="959"/>
      <c r="X770" s="959"/>
      <c r="Y770" s="959"/>
      <c r="Z770" s="959"/>
      <c r="AA770" s="959"/>
      <c r="AB770" s="959"/>
      <c r="AC770" s="959"/>
      <c r="AD770" s="959"/>
      <c r="AE770" s="959"/>
      <c r="AF770" s="959"/>
      <c r="AG770" s="959"/>
      <c r="AH770" s="959"/>
      <c r="AI770" s="959"/>
      <c r="AJ770" s="959"/>
      <c r="AK770" s="959"/>
      <c r="AL770" s="959"/>
      <c r="AM770" s="959"/>
    </row>
    <row r="771" spans="3:39" x14ac:dyDescent="0.25">
      <c r="C771" s="959"/>
      <c r="D771" s="959"/>
      <c r="E771" s="959"/>
      <c r="F771" s="959"/>
      <c r="G771" s="959"/>
      <c r="H771" s="959"/>
      <c r="I771" s="959"/>
      <c r="J771" s="959"/>
      <c r="K771" s="959"/>
      <c r="L771" s="959"/>
      <c r="M771" s="959"/>
      <c r="N771" s="959"/>
      <c r="O771" s="959"/>
      <c r="P771" s="959"/>
      <c r="Q771" s="959"/>
      <c r="R771" s="959"/>
      <c r="S771" s="959"/>
      <c r="T771" s="959"/>
      <c r="U771" s="959"/>
      <c r="V771" s="959"/>
      <c r="W771" s="959"/>
      <c r="X771" s="959"/>
      <c r="Y771" s="959"/>
      <c r="Z771" s="959"/>
      <c r="AA771" s="959"/>
      <c r="AB771" s="959"/>
      <c r="AC771" s="959"/>
      <c r="AD771" s="959"/>
      <c r="AE771" s="959"/>
      <c r="AF771" s="959"/>
      <c r="AG771" s="959"/>
      <c r="AH771" s="959"/>
      <c r="AI771" s="959"/>
      <c r="AJ771" s="959"/>
      <c r="AK771" s="959"/>
      <c r="AL771" s="959"/>
      <c r="AM771" s="959"/>
    </row>
    <row r="772" spans="3:39" x14ac:dyDescent="0.25">
      <c r="C772" s="959"/>
      <c r="D772" s="959"/>
      <c r="E772" s="959"/>
      <c r="F772" s="959"/>
      <c r="G772" s="959"/>
      <c r="H772" s="959"/>
      <c r="I772" s="959"/>
      <c r="J772" s="959"/>
      <c r="K772" s="959"/>
      <c r="L772" s="959"/>
      <c r="M772" s="959"/>
      <c r="N772" s="959"/>
      <c r="O772" s="959"/>
      <c r="P772" s="959"/>
      <c r="Q772" s="959"/>
      <c r="R772" s="959"/>
      <c r="S772" s="959"/>
      <c r="T772" s="959"/>
      <c r="U772" s="959"/>
      <c r="V772" s="959"/>
      <c r="W772" s="959"/>
      <c r="X772" s="959"/>
      <c r="Y772" s="959"/>
      <c r="Z772" s="959"/>
      <c r="AA772" s="959"/>
      <c r="AB772" s="959"/>
      <c r="AC772" s="959"/>
      <c r="AD772" s="959"/>
      <c r="AE772" s="959"/>
      <c r="AF772" s="959"/>
      <c r="AG772" s="959"/>
      <c r="AH772" s="959"/>
      <c r="AI772" s="959"/>
      <c r="AJ772" s="959"/>
      <c r="AK772" s="959"/>
      <c r="AL772" s="959"/>
      <c r="AM772" s="959"/>
    </row>
    <row r="773" spans="3:39" x14ac:dyDescent="0.25">
      <c r="C773" s="959"/>
      <c r="D773" s="959"/>
      <c r="E773" s="959"/>
      <c r="F773" s="959"/>
      <c r="G773" s="959"/>
      <c r="H773" s="959"/>
      <c r="I773" s="959"/>
      <c r="J773" s="959"/>
      <c r="K773" s="959"/>
      <c r="L773" s="959"/>
      <c r="M773" s="959"/>
      <c r="N773" s="959"/>
      <c r="O773" s="959"/>
      <c r="P773" s="959"/>
      <c r="Q773" s="959"/>
      <c r="R773" s="959"/>
      <c r="S773" s="959"/>
      <c r="T773" s="959"/>
      <c r="U773" s="959"/>
      <c r="V773" s="959"/>
      <c r="W773" s="959"/>
      <c r="X773" s="959"/>
      <c r="Y773" s="959"/>
      <c r="Z773" s="959"/>
      <c r="AA773" s="959"/>
      <c r="AB773" s="959"/>
      <c r="AC773" s="959"/>
      <c r="AD773" s="959"/>
      <c r="AE773" s="959"/>
      <c r="AF773" s="959"/>
      <c r="AG773" s="959"/>
      <c r="AH773" s="959"/>
      <c r="AI773" s="959"/>
      <c r="AJ773" s="959"/>
      <c r="AK773" s="959"/>
      <c r="AL773" s="959"/>
      <c r="AM773" s="959"/>
    </row>
    <row r="774" spans="3:39" x14ac:dyDescent="0.25">
      <c r="C774" s="959"/>
      <c r="D774" s="959"/>
      <c r="E774" s="959"/>
      <c r="F774" s="959"/>
      <c r="G774" s="959"/>
      <c r="H774" s="959"/>
      <c r="I774" s="959"/>
      <c r="J774" s="959"/>
      <c r="K774" s="959"/>
      <c r="L774" s="959"/>
      <c r="M774" s="959"/>
      <c r="N774" s="959"/>
      <c r="O774" s="959"/>
      <c r="P774" s="959"/>
      <c r="Q774" s="959"/>
      <c r="R774" s="959"/>
      <c r="S774" s="959"/>
      <c r="T774" s="959"/>
      <c r="U774" s="959"/>
      <c r="V774" s="959"/>
      <c r="W774" s="959"/>
      <c r="X774" s="959"/>
      <c r="Y774" s="959"/>
      <c r="Z774" s="959"/>
      <c r="AA774" s="959"/>
      <c r="AB774" s="959"/>
      <c r="AC774" s="959"/>
      <c r="AD774" s="959"/>
      <c r="AE774" s="959"/>
      <c r="AF774" s="959"/>
      <c r="AG774" s="959"/>
      <c r="AH774" s="959"/>
      <c r="AI774" s="959"/>
      <c r="AJ774" s="959"/>
      <c r="AK774" s="959"/>
      <c r="AL774" s="959"/>
      <c r="AM774" s="959"/>
    </row>
    <row r="775" spans="3:39" x14ac:dyDescent="0.25">
      <c r="C775" s="959"/>
      <c r="D775" s="959"/>
      <c r="E775" s="959"/>
      <c r="F775" s="959"/>
      <c r="G775" s="959"/>
      <c r="H775" s="959"/>
      <c r="I775" s="959"/>
      <c r="J775" s="959"/>
      <c r="K775" s="959"/>
      <c r="L775" s="959"/>
      <c r="M775" s="959"/>
      <c r="N775" s="959"/>
      <c r="O775" s="959"/>
      <c r="P775" s="959"/>
      <c r="Q775" s="959"/>
      <c r="R775" s="959"/>
      <c r="S775" s="959"/>
      <c r="T775" s="959"/>
      <c r="U775" s="959"/>
      <c r="V775" s="959"/>
      <c r="W775" s="959"/>
      <c r="X775" s="959"/>
      <c r="Y775" s="959"/>
      <c r="Z775" s="959"/>
      <c r="AA775" s="959"/>
      <c r="AB775" s="959"/>
      <c r="AC775" s="959"/>
      <c r="AD775" s="959"/>
      <c r="AE775" s="959"/>
      <c r="AF775" s="959"/>
      <c r="AG775" s="959"/>
      <c r="AH775" s="959"/>
      <c r="AI775" s="959"/>
      <c r="AJ775" s="959"/>
      <c r="AK775" s="959"/>
      <c r="AL775" s="959"/>
      <c r="AM775" s="959"/>
    </row>
    <row r="776" spans="3:39" x14ac:dyDescent="0.25">
      <c r="C776" s="959"/>
      <c r="D776" s="959"/>
      <c r="E776" s="959"/>
      <c r="F776" s="959"/>
      <c r="G776" s="959"/>
      <c r="H776" s="959"/>
      <c r="I776" s="959"/>
      <c r="J776" s="959"/>
      <c r="K776" s="959"/>
      <c r="L776" s="959"/>
      <c r="M776" s="959"/>
      <c r="N776" s="959"/>
      <c r="O776" s="959"/>
      <c r="P776" s="959"/>
      <c r="Q776" s="959"/>
      <c r="R776" s="959"/>
      <c r="S776" s="959"/>
      <c r="T776" s="959"/>
      <c r="U776" s="959"/>
      <c r="V776" s="959"/>
      <c r="W776" s="959"/>
      <c r="X776" s="959"/>
      <c r="Y776" s="959"/>
      <c r="Z776" s="959"/>
      <c r="AA776" s="959"/>
      <c r="AB776" s="959"/>
      <c r="AC776" s="959"/>
      <c r="AD776" s="959"/>
      <c r="AE776" s="959"/>
      <c r="AF776" s="959"/>
      <c r="AG776" s="959"/>
      <c r="AH776" s="959"/>
      <c r="AI776" s="959"/>
      <c r="AJ776" s="959"/>
      <c r="AK776" s="959"/>
      <c r="AL776" s="959"/>
      <c r="AM776" s="959"/>
    </row>
    <row r="777" spans="3:39" x14ac:dyDescent="0.25">
      <c r="C777" s="959"/>
      <c r="D777" s="959"/>
      <c r="E777" s="959"/>
      <c r="F777" s="959"/>
      <c r="G777" s="959"/>
      <c r="H777" s="959"/>
      <c r="I777" s="959"/>
      <c r="J777" s="959"/>
      <c r="K777" s="959"/>
      <c r="L777" s="959"/>
      <c r="M777" s="959"/>
      <c r="N777" s="959"/>
      <c r="O777" s="959"/>
      <c r="P777" s="959"/>
      <c r="Q777" s="959"/>
      <c r="R777" s="959"/>
      <c r="S777" s="959"/>
      <c r="T777" s="959"/>
      <c r="U777" s="959"/>
      <c r="V777" s="959"/>
      <c r="W777" s="959"/>
      <c r="X777" s="959"/>
      <c r="Y777" s="959"/>
      <c r="Z777" s="959"/>
      <c r="AA777" s="959"/>
      <c r="AB777" s="959"/>
      <c r="AC777" s="959"/>
      <c r="AD777" s="959"/>
      <c r="AE777" s="959"/>
      <c r="AF777" s="959"/>
      <c r="AG777" s="959"/>
      <c r="AH777" s="959"/>
      <c r="AI777" s="959"/>
      <c r="AJ777" s="959"/>
      <c r="AK777" s="959"/>
      <c r="AL777" s="959"/>
      <c r="AM777" s="959"/>
    </row>
    <row r="778" spans="3:39" x14ac:dyDescent="0.25">
      <c r="C778" s="959"/>
      <c r="D778" s="959"/>
      <c r="E778" s="959"/>
      <c r="F778" s="959"/>
      <c r="G778" s="959"/>
      <c r="H778" s="959"/>
      <c r="I778" s="959"/>
      <c r="J778" s="959"/>
      <c r="K778" s="959"/>
      <c r="L778" s="959"/>
      <c r="M778" s="959"/>
      <c r="N778" s="959"/>
      <c r="O778" s="959"/>
      <c r="P778" s="959"/>
      <c r="Q778" s="959"/>
      <c r="R778" s="959"/>
      <c r="S778" s="959"/>
      <c r="T778" s="959"/>
      <c r="U778" s="959"/>
      <c r="V778" s="959"/>
      <c r="W778" s="959"/>
      <c r="X778" s="959"/>
      <c r="Y778" s="959"/>
      <c r="Z778" s="959"/>
      <c r="AA778" s="959"/>
      <c r="AB778" s="959"/>
      <c r="AC778" s="959"/>
      <c r="AD778" s="959"/>
      <c r="AE778" s="959"/>
      <c r="AF778" s="959"/>
      <c r="AG778" s="959"/>
      <c r="AH778" s="959"/>
      <c r="AI778" s="959"/>
      <c r="AJ778" s="959"/>
      <c r="AK778" s="959"/>
      <c r="AL778" s="959"/>
      <c r="AM778" s="959"/>
    </row>
    <row r="779" spans="3:39" x14ac:dyDescent="0.25">
      <c r="C779" s="959"/>
      <c r="D779" s="959"/>
      <c r="E779" s="959"/>
      <c r="F779" s="959"/>
      <c r="G779" s="959"/>
      <c r="H779" s="959"/>
      <c r="I779" s="959"/>
      <c r="J779" s="959"/>
      <c r="K779" s="959"/>
      <c r="L779" s="959"/>
      <c r="M779" s="959"/>
      <c r="N779" s="959"/>
      <c r="O779" s="959"/>
      <c r="P779" s="959"/>
      <c r="Q779" s="959"/>
      <c r="R779" s="959"/>
      <c r="S779" s="959"/>
      <c r="T779" s="959"/>
      <c r="U779" s="959"/>
      <c r="V779" s="959"/>
      <c r="W779" s="959"/>
      <c r="X779" s="959"/>
      <c r="Y779" s="959"/>
      <c r="Z779" s="959"/>
      <c r="AA779" s="959"/>
      <c r="AB779" s="959"/>
      <c r="AC779" s="959"/>
      <c r="AD779" s="959"/>
      <c r="AE779" s="959"/>
      <c r="AF779" s="959"/>
      <c r="AG779" s="959"/>
      <c r="AH779" s="959"/>
      <c r="AI779" s="959"/>
      <c r="AJ779" s="959"/>
      <c r="AK779" s="959"/>
      <c r="AL779" s="959"/>
      <c r="AM779" s="959"/>
    </row>
    <row r="780" spans="3:39" x14ac:dyDescent="0.25">
      <c r="C780" s="959"/>
      <c r="D780" s="959"/>
      <c r="E780" s="959"/>
      <c r="F780" s="959"/>
      <c r="G780" s="959"/>
      <c r="H780" s="959"/>
      <c r="I780" s="959"/>
      <c r="J780" s="959"/>
      <c r="K780" s="959"/>
      <c r="L780" s="959"/>
      <c r="M780" s="959"/>
      <c r="N780" s="959"/>
      <c r="O780" s="959"/>
      <c r="P780" s="959"/>
      <c r="Q780" s="959"/>
      <c r="R780" s="959"/>
      <c r="S780" s="959"/>
      <c r="T780" s="959"/>
      <c r="U780" s="959"/>
      <c r="V780" s="959"/>
      <c r="W780" s="959"/>
      <c r="X780" s="959"/>
      <c r="Y780" s="959"/>
      <c r="Z780" s="959"/>
      <c r="AA780" s="959"/>
      <c r="AB780" s="959"/>
      <c r="AC780" s="959"/>
      <c r="AD780" s="959"/>
      <c r="AE780" s="959"/>
      <c r="AF780" s="959"/>
      <c r="AG780" s="959"/>
      <c r="AH780" s="959"/>
      <c r="AI780" s="959"/>
      <c r="AJ780" s="959"/>
      <c r="AK780" s="959"/>
      <c r="AL780" s="959"/>
      <c r="AM780" s="959"/>
    </row>
    <row r="781" spans="3:39" x14ac:dyDescent="0.25">
      <c r="C781" s="959"/>
      <c r="D781" s="959"/>
      <c r="E781" s="959"/>
      <c r="F781" s="959"/>
      <c r="G781" s="959"/>
      <c r="H781" s="959"/>
      <c r="I781" s="959"/>
      <c r="J781" s="959"/>
      <c r="K781" s="959"/>
      <c r="L781" s="959"/>
      <c r="M781" s="959"/>
      <c r="N781" s="959"/>
      <c r="O781" s="959"/>
      <c r="P781" s="959"/>
      <c r="Q781" s="959"/>
      <c r="R781" s="959"/>
      <c r="S781" s="959"/>
      <c r="T781" s="959"/>
      <c r="U781" s="959"/>
      <c r="V781" s="959"/>
      <c r="W781" s="959"/>
      <c r="X781" s="959"/>
      <c r="Y781" s="959"/>
      <c r="Z781" s="959"/>
      <c r="AA781" s="959"/>
      <c r="AB781" s="959"/>
      <c r="AC781" s="959"/>
      <c r="AD781" s="959"/>
      <c r="AE781" s="959"/>
      <c r="AF781" s="959"/>
      <c r="AG781" s="959"/>
      <c r="AH781" s="959"/>
      <c r="AI781" s="959"/>
      <c r="AJ781" s="959"/>
      <c r="AK781" s="959"/>
      <c r="AL781" s="959"/>
      <c r="AM781" s="959"/>
    </row>
    <row r="782" spans="3:39" x14ac:dyDescent="0.25">
      <c r="C782" s="959"/>
      <c r="D782" s="959"/>
      <c r="E782" s="959"/>
      <c r="F782" s="959"/>
      <c r="G782" s="959"/>
      <c r="H782" s="959"/>
      <c r="I782" s="959"/>
      <c r="J782" s="959"/>
      <c r="K782" s="959"/>
      <c r="L782" s="959"/>
      <c r="M782" s="959"/>
      <c r="N782" s="959"/>
      <c r="O782" s="959"/>
      <c r="P782" s="959"/>
      <c r="Q782" s="959"/>
      <c r="R782" s="959"/>
      <c r="S782" s="959"/>
      <c r="T782" s="959"/>
      <c r="U782" s="959"/>
      <c r="V782" s="959"/>
      <c r="W782" s="959"/>
      <c r="X782" s="959"/>
      <c r="Y782" s="959"/>
      <c r="Z782" s="959"/>
      <c r="AA782" s="959"/>
      <c r="AB782" s="959"/>
      <c r="AC782" s="959"/>
      <c r="AD782" s="959"/>
      <c r="AE782" s="959"/>
      <c r="AF782" s="959"/>
      <c r="AG782" s="959"/>
      <c r="AH782" s="959"/>
      <c r="AI782" s="959"/>
      <c r="AJ782" s="959"/>
      <c r="AK782" s="959"/>
      <c r="AL782" s="959"/>
      <c r="AM782" s="959"/>
    </row>
    <row r="783" spans="3:39" x14ac:dyDescent="0.25">
      <c r="C783" s="959"/>
      <c r="D783" s="959"/>
      <c r="E783" s="959"/>
      <c r="F783" s="959"/>
      <c r="G783" s="959"/>
      <c r="H783" s="959"/>
      <c r="I783" s="959"/>
      <c r="J783" s="959"/>
      <c r="K783" s="959"/>
      <c r="L783" s="959"/>
      <c r="M783" s="959"/>
      <c r="N783" s="959"/>
      <c r="O783" s="959"/>
      <c r="P783" s="959"/>
      <c r="Q783" s="959"/>
      <c r="R783" s="959"/>
      <c r="S783" s="959"/>
      <c r="T783" s="959"/>
      <c r="U783" s="959"/>
      <c r="V783" s="959"/>
      <c r="W783" s="959"/>
      <c r="X783" s="959"/>
      <c r="Y783" s="959"/>
      <c r="Z783" s="959"/>
      <c r="AA783" s="959"/>
      <c r="AB783" s="959"/>
      <c r="AC783" s="959"/>
      <c r="AD783" s="959"/>
      <c r="AE783" s="959"/>
      <c r="AF783" s="959"/>
      <c r="AG783" s="959"/>
      <c r="AH783" s="959"/>
      <c r="AI783" s="959"/>
      <c r="AJ783" s="959"/>
      <c r="AK783" s="959"/>
      <c r="AL783" s="959"/>
      <c r="AM783" s="959"/>
    </row>
    <row r="784" spans="3:39" x14ac:dyDescent="0.25">
      <c r="C784" s="959"/>
      <c r="D784" s="959"/>
      <c r="E784" s="959"/>
      <c r="F784" s="959"/>
      <c r="G784" s="959"/>
      <c r="H784" s="959"/>
      <c r="I784" s="959"/>
      <c r="J784" s="959"/>
      <c r="K784" s="959"/>
      <c r="L784" s="959"/>
      <c r="M784" s="959"/>
      <c r="N784" s="959"/>
      <c r="O784" s="959"/>
      <c r="P784" s="959"/>
      <c r="Q784" s="959"/>
      <c r="R784" s="959"/>
      <c r="S784" s="959"/>
      <c r="T784" s="959"/>
      <c r="U784" s="959"/>
      <c r="V784" s="959"/>
      <c r="W784" s="959"/>
      <c r="X784" s="959"/>
      <c r="Y784" s="959"/>
      <c r="Z784" s="959"/>
      <c r="AA784" s="959"/>
      <c r="AB784" s="959"/>
      <c r="AC784" s="959"/>
      <c r="AD784" s="959"/>
      <c r="AE784" s="959"/>
      <c r="AF784" s="959"/>
      <c r="AG784" s="959"/>
      <c r="AH784" s="959"/>
      <c r="AI784" s="959"/>
      <c r="AJ784" s="959"/>
      <c r="AK784" s="959"/>
      <c r="AL784" s="959"/>
      <c r="AM784" s="959"/>
    </row>
    <row r="785" spans="3:39" x14ac:dyDescent="0.25">
      <c r="C785" s="959"/>
      <c r="D785" s="959"/>
      <c r="E785" s="959"/>
      <c r="F785" s="959"/>
      <c r="G785" s="959"/>
      <c r="H785" s="959"/>
      <c r="I785" s="959"/>
      <c r="J785" s="959"/>
      <c r="K785" s="959"/>
      <c r="L785" s="959"/>
      <c r="M785" s="959"/>
      <c r="N785" s="959"/>
      <c r="O785" s="959"/>
      <c r="P785" s="959"/>
      <c r="Q785" s="959"/>
      <c r="R785" s="959"/>
      <c r="S785" s="959"/>
      <c r="T785" s="959"/>
      <c r="U785" s="959"/>
      <c r="V785" s="959"/>
      <c r="W785" s="959"/>
      <c r="X785" s="959"/>
      <c r="Y785" s="959"/>
      <c r="Z785" s="959"/>
      <c r="AA785" s="959"/>
      <c r="AB785" s="959"/>
      <c r="AC785" s="959"/>
      <c r="AD785" s="959"/>
      <c r="AE785" s="959"/>
      <c r="AF785" s="959"/>
      <c r="AG785" s="959"/>
      <c r="AH785" s="959"/>
      <c r="AI785" s="959"/>
      <c r="AJ785" s="959"/>
      <c r="AK785" s="959"/>
      <c r="AL785" s="959"/>
      <c r="AM785" s="959"/>
    </row>
    <row r="786" spans="3:39" x14ac:dyDescent="0.25">
      <c r="C786" s="959"/>
      <c r="D786" s="959"/>
      <c r="E786" s="959"/>
      <c r="F786" s="959"/>
      <c r="G786" s="959"/>
      <c r="H786" s="959"/>
      <c r="I786" s="959"/>
      <c r="J786" s="959"/>
      <c r="K786" s="959"/>
      <c r="L786" s="959"/>
      <c r="M786" s="959"/>
      <c r="N786" s="959"/>
      <c r="O786" s="959"/>
      <c r="P786" s="959"/>
      <c r="Q786" s="959"/>
      <c r="R786" s="959"/>
      <c r="S786" s="959"/>
      <c r="T786" s="959"/>
      <c r="U786" s="959"/>
      <c r="V786" s="959"/>
      <c r="W786" s="959"/>
      <c r="X786" s="959"/>
      <c r="Y786" s="959"/>
      <c r="Z786" s="959"/>
      <c r="AA786" s="959"/>
      <c r="AB786" s="959"/>
      <c r="AC786" s="959"/>
      <c r="AD786" s="959"/>
      <c r="AE786" s="959"/>
      <c r="AF786" s="959"/>
      <c r="AG786" s="959"/>
      <c r="AH786" s="959"/>
      <c r="AI786" s="959"/>
      <c r="AJ786" s="959"/>
      <c r="AK786" s="959"/>
      <c r="AL786" s="959"/>
      <c r="AM786" s="959"/>
    </row>
    <row r="787" spans="3:39" x14ac:dyDescent="0.25">
      <c r="C787" s="959"/>
      <c r="D787" s="959"/>
      <c r="E787" s="959"/>
      <c r="F787" s="959"/>
      <c r="G787" s="959"/>
      <c r="H787" s="959"/>
      <c r="I787" s="959"/>
      <c r="J787" s="959"/>
      <c r="K787" s="959"/>
      <c r="L787" s="959"/>
      <c r="M787" s="959"/>
      <c r="N787" s="959"/>
      <c r="O787" s="959"/>
      <c r="P787" s="959"/>
      <c r="Q787" s="959"/>
      <c r="R787" s="959"/>
      <c r="S787" s="959"/>
      <c r="T787" s="959"/>
      <c r="U787" s="959"/>
      <c r="V787" s="959"/>
      <c r="W787" s="959"/>
      <c r="X787" s="959"/>
      <c r="Y787" s="959"/>
      <c r="Z787" s="959"/>
      <c r="AA787" s="959"/>
      <c r="AB787" s="959"/>
      <c r="AC787" s="959"/>
      <c r="AD787" s="959"/>
      <c r="AE787" s="959"/>
      <c r="AF787" s="959"/>
      <c r="AG787" s="959"/>
      <c r="AH787" s="959"/>
      <c r="AI787" s="959"/>
      <c r="AJ787" s="959"/>
      <c r="AK787" s="959"/>
      <c r="AL787" s="959"/>
      <c r="AM787" s="959"/>
    </row>
    <row r="788" spans="3:39" x14ac:dyDescent="0.25">
      <c r="C788" s="959"/>
      <c r="D788" s="959"/>
      <c r="E788" s="959"/>
      <c r="F788" s="959"/>
      <c r="G788" s="959"/>
      <c r="H788" s="959"/>
      <c r="I788" s="959"/>
      <c r="J788" s="959"/>
      <c r="K788" s="959"/>
      <c r="L788" s="959"/>
      <c r="M788" s="959"/>
      <c r="N788" s="959"/>
      <c r="O788" s="959"/>
      <c r="P788" s="959"/>
      <c r="Q788" s="959"/>
      <c r="R788" s="959"/>
      <c r="S788" s="959"/>
      <c r="T788" s="959"/>
      <c r="U788" s="959"/>
      <c r="V788" s="959"/>
      <c r="W788" s="959"/>
      <c r="X788" s="959"/>
      <c r="Y788" s="959"/>
      <c r="Z788" s="959"/>
      <c r="AA788" s="959"/>
      <c r="AB788" s="959"/>
      <c r="AC788" s="959"/>
      <c r="AD788" s="959"/>
      <c r="AE788" s="959"/>
      <c r="AF788" s="959"/>
      <c r="AG788" s="959"/>
      <c r="AH788" s="959"/>
      <c r="AI788" s="959"/>
      <c r="AJ788" s="959"/>
      <c r="AK788" s="959"/>
      <c r="AL788" s="959"/>
      <c r="AM788" s="959"/>
    </row>
    <row r="789" spans="3:39" x14ac:dyDescent="0.25">
      <c r="C789" s="959"/>
      <c r="D789" s="959"/>
      <c r="E789" s="959"/>
      <c r="F789" s="959"/>
      <c r="G789" s="959"/>
      <c r="H789" s="959"/>
      <c r="I789" s="959"/>
      <c r="J789" s="959"/>
      <c r="K789" s="959"/>
      <c r="L789" s="959"/>
      <c r="M789" s="959"/>
      <c r="N789" s="959"/>
      <c r="O789" s="959"/>
      <c r="P789" s="959"/>
      <c r="Q789" s="959"/>
      <c r="R789" s="959"/>
      <c r="S789" s="959"/>
      <c r="T789" s="959"/>
      <c r="U789" s="959"/>
      <c r="V789" s="959"/>
      <c r="W789" s="959"/>
      <c r="X789" s="959"/>
      <c r="Y789" s="959"/>
      <c r="Z789" s="959"/>
      <c r="AA789" s="959"/>
      <c r="AB789" s="959"/>
      <c r="AC789" s="959"/>
      <c r="AD789" s="959"/>
      <c r="AE789" s="959"/>
      <c r="AF789" s="959"/>
      <c r="AG789" s="959"/>
      <c r="AH789" s="959"/>
      <c r="AI789" s="959"/>
      <c r="AJ789" s="959"/>
      <c r="AK789" s="959"/>
      <c r="AL789" s="959"/>
      <c r="AM789" s="959"/>
    </row>
    <row r="790" spans="3:39" x14ac:dyDescent="0.25">
      <c r="C790" s="959"/>
      <c r="D790" s="959"/>
      <c r="E790" s="959"/>
      <c r="F790" s="959"/>
      <c r="G790" s="959"/>
      <c r="H790" s="959"/>
      <c r="I790" s="959"/>
      <c r="J790" s="959"/>
      <c r="K790" s="959"/>
      <c r="L790" s="959"/>
      <c r="M790" s="959"/>
      <c r="N790" s="959"/>
      <c r="O790" s="959"/>
      <c r="P790" s="959"/>
      <c r="Q790" s="959"/>
      <c r="R790" s="959"/>
      <c r="S790" s="959"/>
      <c r="T790" s="959"/>
      <c r="U790" s="959"/>
      <c r="V790" s="959"/>
      <c r="W790" s="959"/>
      <c r="X790" s="959"/>
      <c r="Y790" s="959"/>
      <c r="Z790" s="959"/>
      <c r="AA790" s="959"/>
      <c r="AB790" s="959"/>
      <c r="AC790" s="959"/>
      <c r="AD790" s="959"/>
      <c r="AE790" s="959"/>
      <c r="AF790" s="959"/>
      <c r="AG790" s="959"/>
      <c r="AH790" s="959"/>
      <c r="AI790" s="959"/>
      <c r="AJ790" s="959"/>
      <c r="AK790" s="959"/>
      <c r="AL790" s="959"/>
      <c r="AM790" s="959"/>
    </row>
    <row r="791" spans="3:39" x14ac:dyDescent="0.25">
      <c r="C791" s="959"/>
      <c r="D791" s="959"/>
      <c r="E791" s="959"/>
      <c r="F791" s="959"/>
      <c r="G791" s="959"/>
      <c r="H791" s="959"/>
      <c r="I791" s="959"/>
      <c r="J791" s="959"/>
      <c r="K791" s="959"/>
      <c r="L791" s="959"/>
      <c r="M791" s="959"/>
      <c r="N791" s="959"/>
      <c r="O791" s="959"/>
      <c r="P791" s="959"/>
      <c r="Q791" s="959"/>
      <c r="R791" s="959"/>
      <c r="S791" s="959"/>
      <c r="T791" s="959"/>
      <c r="U791" s="959"/>
      <c r="V791" s="959"/>
      <c r="W791" s="959"/>
      <c r="X791" s="959"/>
      <c r="Y791" s="959"/>
      <c r="Z791" s="959"/>
      <c r="AA791" s="959"/>
      <c r="AB791" s="959"/>
      <c r="AC791" s="959"/>
      <c r="AD791" s="959"/>
      <c r="AE791" s="959"/>
      <c r="AF791" s="959"/>
      <c r="AG791" s="959"/>
      <c r="AH791" s="959"/>
      <c r="AI791" s="959"/>
      <c r="AJ791" s="959"/>
      <c r="AK791" s="959"/>
      <c r="AL791" s="959"/>
      <c r="AM791" s="959"/>
    </row>
    <row r="792" spans="3:39" x14ac:dyDescent="0.25">
      <c r="C792" s="959"/>
      <c r="D792" s="959"/>
      <c r="E792" s="959"/>
      <c r="F792" s="959"/>
      <c r="G792" s="959"/>
      <c r="H792" s="959"/>
      <c r="I792" s="959"/>
      <c r="J792" s="959"/>
      <c r="K792" s="959"/>
      <c r="L792" s="959"/>
      <c r="M792" s="959"/>
      <c r="N792" s="959"/>
      <c r="O792" s="959"/>
      <c r="P792" s="959"/>
      <c r="Q792" s="959"/>
      <c r="R792" s="959"/>
      <c r="S792" s="959"/>
      <c r="T792" s="959"/>
      <c r="U792" s="959"/>
      <c r="V792" s="959"/>
      <c r="W792" s="959"/>
      <c r="X792" s="959"/>
      <c r="Y792" s="959"/>
      <c r="Z792" s="959"/>
      <c r="AA792" s="959"/>
      <c r="AB792" s="959"/>
      <c r="AC792" s="959"/>
      <c r="AD792" s="959"/>
      <c r="AE792" s="959"/>
      <c r="AF792" s="959"/>
      <c r="AG792" s="959"/>
      <c r="AH792" s="959"/>
      <c r="AI792" s="959"/>
      <c r="AJ792" s="959"/>
      <c r="AK792" s="959"/>
      <c r="AL792" s="959"/>
      <c r="AM792" s="959"/>
    </row>
    <row r="793" spans="3:39" x14ac:dyDescent="0.25">
      <c r="C793" s="959"/>
      <c r="D793" s="959"/>
      <c r="E793" s="959"/>
      <c r="F793" s="959"/>
      <c r="G793" s="959"/>
      <c r="H793" s="959"/>
      <c r="I793" s="959"/>
      <c r="J793" s="959"/>
      <c r="K793" s="959"/>
      <c r="L793" s="959"/>
      <c r="M793" s="959"/>
      <c r="N793" s="959"/>
      <c r="O793" s="959"/>
      <c r="P793" s="959"/>
      <c r="Q793" s="959"/>
      <c r="R793" s="959"/>
      <c r="S793" s="959"/>
      <c r="T793" s="959"/>
      <c r="U793" s="959"/>
      <c r="V793" s="959"/>
      <c r="W793" s="959"/>
      <c r="X793" s="959"/>
      <c r="Y793" s="959"/>
      <c r="Z793" s="959"/>
      <c r="AA793" s="959"/>
      <c r="AB793" s="959"/>
      <c r="AC793" s="959"/>
      <c r="AD793" s="959"/>
      <c r="AE793" s="959"/>
      <c r="AF793" s="959"/>
      <c r="AG793" s="959"/>
      <c r="AH793" s="959"/>
      <c r="AI793" s="959"/>
      <c r="AJ793" s="959"/>
      <c r="AK793" s="959"/>
      <c r="AL793" s="959"/>
      <c r="AM793" s="959"/>
    </row>
    <row r="794" spans="3:39" x14ac:dyDescent="0.25">
      <c r="C794" s="959"/>
      <c r="D794" s="959"/>
      <c r="E794" s="959"/>
      <c r="F794" s="959"/>
      <c r="G794" s="959"/>
      <c r="H794" s="959"/>
      <c r="I794" s="959"/>
      <c r="J794" s="959"/>
      <c r="K794" s="959"/>
      <c r="L794" s="959"/>
      <c r="M794" s="959"/>
      <c r="N794" s="959"/>
      <c r="O794" s="959"/>
      <c r="P794" s="959"/>
      <c r="Q794" s="959"/>
      <c r="R794" s="959"/>
      <c r="S794" s="959"/>
      <c r="T794" s="959"/>
      <c r="U794" s="959"/>
      <c r="V794" s="959"/>
      <c r="W794" s="959"/>
      <c r="X794" s="959"/>
      <c r="Y794" s="959"/>
      <c r="Z794" s="959"/>
      <c r="AA794" s="959"/>
      <c r="AB794" s="959"/>
      <c r="AC794" s="959"/>
      <c r="AD794" s="959"/>
      <c r="AE794" s="959"/>
      <c r="AF794" s="959"/>
      <c r="AG794" s="959"/>
      <c r="AH794" s="959"/>
      <c r="AI794" s="959"/>
      <c r="AJ794" s="959"/>
      <c r="AK794" s="959"/>
      <c r="AL794" s="959"/>
      <c r="AM794" s="959"/>
    </row>
    <row r="795" spans="3:39" x14ac:dyDescent="0.25">
      <c r="C795" s="959"/>
      <c r="D795" s="959"/>
      <c r="E795" s="959"/>
      <c r="F795" s="959"/>
      <c r="G795" s="959"/>
      <c r="H795" s="959"/>
      <c r="I795" s="959"/>
      <c r="J795" s="959"/>
      <c r="K795" s="959"/>
      <c r="L795" s="959"/>
      <c r="M795" s="959"/>
      <c r="N795" s="959"/>
      <c r="O795" s="959"/>
      <c r="P795" s="959"/>
      <c r="Q795" s="959"/>
      <c r="R795" s="959"/>
      <c r="S795" s="959"/>
      <c r="T795" s="959"/>
      <c r="U795" s="959"/>
      <c r="V795" s="959"/>
      <c r="W795" s="959"/>
      <c r="X795" s="959"/>
      <c r="Y795" s="959"/>
      <c r="Z795" s="959"/>
      <c r="AA795" s="959"/>
      <c r="AB795" s="959"/>
      <c r="AC795" s="959"/>
      <c r="AD795" s="959"/>
      <c r="AE795" s="959"/>
      <c r="AF795" s="959"/>
      <c r="AG795" s="959"/>
      <c r="AH795" s="959"/>
      <c r="AI795" s="959"/>
      <c r="AJ795" s="959"/>
      <c r="AK795" s="959"/>
      <c r="AL795" s="959"/>
      <c r="AM795" s="959"/>
    </row>
    <row r="796" spans="3:39" x14ac:dyDescent="0.25">
      <c r="C796" s="959"/>
      <c r="D796" s="959"/>
      <c r="E796" s="959"/>
      <c r="F796" s="959"/>
      <c r="G796" s="959"/>
      <c r="H796" s="959"/>
      <c r="I796" s="959"/>
      <c r="J796" s="959"/>
      <c r="K796" s="959"/>
      <c r="L796" s="959"/>
      <c r="M796" s="959"/>
      <c r="N796" s="959"/>
      <c r="O796" s="959"/>
      <c r="P796" s="959"/>
      <c r="Q796" s="959"/>
      <c r="R796" s="959"/>
      <c r="S796" s="959"/>
      <c r="T796" s="959"/>
      <c r="U796" s="959"/>
      <c r="V796" s="959"/>
      <c r="W796" s="959"/>
      <c r="X796" s="959"/>
      <c r="Y796" s="959"/>
      <c r="Z796" s="959"/>
      <c r="AA796" s="959"/>
      <c r="AB796" s="959"/>
      <c r="AC796" s="959"/>
      <c r="AD796" s="959"/>
      <c r="AE796" s="959"/>
      <c r="AF796" s="959"/>
      <c r="AG796" s="959"/>
      <c r="AH796" s="959"/>
      <c r="AI796" s="959"/>
      <c r="AJ796" s="959"/>
      <c r="AK796" s="959"/>
      <c r="AL796" s="959"/>
      <c r="AM796" s="959"/>
    </row>
    <row r="797" spans="3:39" x14ac:dyDescent="0.25">
      <c r="C797" s="959"/>
      <c r="D797" s="959"/>
      <c r="E797" s="959"/>
      <c r="F797" s="959"/>
      <c r="G797" s="959"/>
      <c r="H797" s="959"/>
      <c r="I797" s="959"/>
      <c r="J797" s="959"/>
      <c r="K797" s="959"/>
      <c r="L797" s="959"/>
      <c r="M797" s="959"/>
      <c r="N797" s="959"/>
      <c r="O797" s="959"/>
      <c r="P797" s="959"/>
      <c r="Q797" s="959"/>
      <c r="R797" s="959"/>
      <c r="S797" s="959"/>
      <c r="T797" s="959"/>
      <c r="U797" s="959"/>
      <c r="V797" s="959"/>
      <c r="W797" s="959"/>
      <c r="X797" s="959"/>
      <c r="Y797" s="959"/>
      <c r="Z797" s="959"/>
      <c r="AA797" s="959"/>
      <c r="AB797" s="959"/>
      <c r="AC797" s="959"/>
      <c r="AD797" s="959"/>
      <c r="AE797" s="959"/>
      <c r="AF797" s="959"/>
      <c r="AG797" s="959"/>
      <c r="AH797" s="959"/>
      <c r="AI797" s="959"/>
      <c r="AJ797" s="959"/>
      <c r="AK797" s="959"/>
      <c r="AL797" s="959"/>
      <c r="AM797" s="959"/>
    </row>
    <row r="798" spans="3:39" x14ac:dyDescent="0.25">
      <c r="C798" s="959"/>
      <c r="D798" s="959"/>
      <c r="E798" s="959"/>
      <c r="F798" s="959"/>
      <c r="G798" s="959"/>
      <c r="H798" s="959"/>
      <c r="I798" s="959"/>
      <c r="J798" s="959"/>
      <c r="K798" s="959"/>
      <c r="L798" s="959"/>
      <c r="M798" s="959"/>
      <c r="N798" s="959"/>
      <c r="O798" s="959"/>
      <c r="P798" s="959"/>
      <c r="Q798" s="959"/>
      <c r="R798" s="959"/>
      <c r="S798" s="959"/>
      <c r="T798" s="959"/>
      <c r="U798" s="959"/>
      <c r="V798" s="959"/>
      <c r="W798" s="959"/>
      <c r="X798" s="959"/>
      <c r="Y798" s="959"/>
      <c r="Z798" s="959"/>
      <c r="AA798" s="959"/>
      <c r="AB798" s="959"/>
      <c r="AC798" s="959"/>
      <c r="AD798" s="959"/>
      <c r="AE798" s="959"/>
      <c r="AF798" s="959"/>
      <c r="AG798" s="959"/>
      <c r="AH798" s="959"/>
      <c r="AI798" s="959"/>
      <c r="AJ798" s="959"/>
      <c r="AK798" s="959"/>
      <c r="AL798" s="959"/>
      <c r="AM798" s="959"/>
    </row>
    <row r="799" spans="3:39" x14ac:dyDescent="0.25">
      <c r="C799" s="959"/>
      <c r="D799" s="959"/>
      <c r="E799" s="959"/>
      <c r="F799" s="959"/>
      <c r="G799" s="959"/>
      <c r="H799" s="959"/>
      <c r="I799" s="959"/>
      <c r="J799" s="959"/>
      <c r="K799" s="959"/>
      <c r="L799" s="959"/>
      <c r="M799" s="959"/>
      <c r="N799" s="959"/>
      <c r="O799" s="959"/>
      <c r="P799" s="959"/>
      <c r="Q799" s="959"/>
      <c r="R799" s="959"/>
      <c r="S799" s="959"/>
      <c r="T799" s="959"/>
      <c r="U799" s="959"/>
      <c r="V799" s="959"/>
      <c r="W799" s="959"/>
      <c r="X799" s="959"/>
      <c r="Y799" s="959"/>
      <c r="Z799" s="959"/>
      <c r="AA799" s="959"/>
      <c r="AB799" s="959"/>
      <c r="AC799" s="959"/>
      <c r="AD799" s="959"/>
      <c r="AE799" s="959"/>
      <c r="AF799" s="959"/>
      <c r="AG799" s="959"/>
      <c r="AH799" s="959"/>
      <c r="AI799" s="959"/>
      <c r="AJ799" s="959"/>
      <c r="AK799" s="959"/>
      <c r="AL799" s="959"/>
      <c r="AM799" s="959"/>
    </row>
    <row r="800" spans="3:39" x14ac:dyDescent="0.25">
      <c r="C800" s="959"/>
      <c r="D800" s="959"/>
      <c r="E800" s="959"/>
      <c r="F800" s="959"/>
      <c r="G800" s="959"/>
      <c r="H800" s="959"/>
      <c r="I800" s="959"/>
      <c r="J800" s="959"/>
      <c r="K800" s="959"/>
      <c r="L800" s="959"/>
      <c r="M800" s="959"/>
      <c r="N800" s="959"/>
      <c r="O800" s="959"/>
      <c r="P800" s="959"/>
      <c r="Q800" s="959"/>
      <c r="R800" s="959"/>
      <c r="S800" s="959"/>
      <c r="T800" s="959"/>
      <c r="U800" s="959"/>
      <c r="V800" s="959"/>
      <c r="W800" s="959"/>
      <c r="X800" s="959"/>
      <c r="Y800" s="959"/>
      <c r="Z800" s="959"/>
      <c r="AA800" s="959"/>
      <c r="AB800" s="959"/>
      <c r="AC800" s="959"/>
      <c r="AD800" s="959"/>
      <c r="AE800" s="959"/>
      <c r="AF800" s="959"/>
      <c r="AG800" s="959"/>
      <c r="AH800" s="959"/>
      <c r="AI800" s="959"/>
      <c r="AJ800" s="959"/>
      <c r="AK800" s="959"/>
      <c r="AL800" s="959"/>
      <c r="AM800" s="959"/>
    </row>
    <row r="801" spans="3:39" x14ac:dyDescent="0.25">
      <c r="C801" s="959"/>
      <c r="D801" s="959"/>
      <c r="E801" s="959"/>
      <c r="F801" s="959"/>
      <c r="G801" s="959"/>
      <c r="H801" s="959"/>
      <c r="I801" s="959"/>
      <c r="J801" s="959"/>
      <c r="K801" s="959"/>
      <c r="L801" s="959"/>
      <c r="M801" s="959"/>
      <c r="N801" s="959"/>
      <c r="O801" s="959"/>
      <c r="P801" s="959"/>
      <c r="Q801" s="959"/>
      <c r="R801" s="959"/>
      <c r="S801" s="959"/>
      <c r="T801" s="959"/>
      <c r="U801" s="959"/>
      <c r="V801" s="959"/>
      <c r="W801" s="959"/>
      <c r="X801" s="959"/>
      <c r="Y801" s="959"/>
      <c r="Z801" s="959"/>
      <c r="AA801" s="959"/>
      <c r="AB801" s="959"/>
      <c r="AC801" s="959"/>
      <c r="AD801" s="959"/>
      <c r="AE801" s="959"/>
      <c r="AF801" s="959"/>
      <c r="AG801" s="959"/>
      <c r="AH801" s="959"/>
      <c r="AI801" s="959"/>
      <c r="AJ801" s="959"/>
      <c r="AK801" s="959"/>
      <c r="AL801" s="959"/>
      <c r="AM801" s="959"/>
    </row>
    <row r="802" spans="3:39" x14ac:dyDescent="0.25">
      <c r="C802" s="959"/>
      <c r="D802" s="959"/>
      <c r="E802" s="959"/>
      <c r="F802" s="959"/>
      <c r="G802" s="959"/>
      <c r="H802" s="959"/>
      <c r="I802" s="959"/>
      <c r="J802" s="959"/>
      <c r="K802" s="959"/>
      <c r="L802" s="959"/>
      <c r="M802" s="959"/>
      <c r="N802" s="959"/>
      <c r="O802" s="959"/>
      <c r="P802" s="959"/>
      <c r="Q802" s="959"/>
      <c r="R802" s="959"/>
      <c r="S802" s="959"/>
      <c r="T802" s="959"/>
      <c r="U802" s="959"/>
      <c r="V802" s="959"/>
      <c r="W802" s="959"/>
      <c r="X802" s="959"/>
      <c r="Y802" s="959"/>
      <c r="Z802" s="959"/>
      <c r="AA802" s="959"/>
      <c r="AB802" s="959"/>
      <c r="AC802" s="959"/>
      <c r="AD802" s="959"/>
      <c r="AE802" s="959"/>
      <c r="AF802" s="959"/>
      <c r="AG802" s="959"/>
      <c r="AH802" s="959"/>
      <c r="AI802" s="959"/>
      <c r="AJ802" s="959"/>
      <c r="AK802" s="959"/>
      <c r="AL802" s="959"/>
      <c r="AM802" s="959"/>
    </row>
    <row r="803" spans="3:39" x14ac:dyDescent="0.25">
      <c r="C803" s="959"/>
      <c r="D803" s="959"/>
      <c r="E803" s="959"/>
      <c r="F803" s="959"/>
      <c r="G803" s="959"/>
      <c r="H803" s="959"/>
      <c r="I803" s="959"/>
      <c r="J803" s="959"/>
      <c r="K803" s="959"/>
      <c r="L803" s="959"/>
      <c r="M803" s="959"/>
      <c r="N803" s="959"/>
      <c r="O803" s="959"/>
      <c r="P803" s="959"/>
      <c r="Q803" s="959"/>
      <c r="R803" s="959"/>
      <c r="S803" s="959"/>
      <c r="T803" s="959"/>
      <c r="U803" s="959"/>
      <c r="V803" s="959"/>
      <c r="W803" s="959"/>
      <c r="X803" s="959"/>
      <c r="Y803" s="959"/>
      <c r="Z803" s="959"/>
      <c r="AA803" s="959"/>
      <c r="AB803" s="959"/>
      <c r="AC803" s="959"/>
      <c r="AD803" s="959"/>
      <c r="AE803" s="959"/>
      <c r="AF803" s="959"/>
      <c r="AG803" s="959"/>
      <c r="AH803" s="959"/>
      <c r="AI803" s="959"/>
      <c r="AJ803" s="959"/>
      <c r="AK803" s="959"/>
      <c r="AL803" s="959"/>
      <c r="AM803" s="959"/>
    </row>
    <row r="804" spans="3:39" x14ac:dyDescent="0.25">
      <c r="C804" s="959"/>
      <c r="D804" s="959"/>
      <c r="E804" s="959"/>
      <c r="F804" s="959"/>
      <c r="G804" s="959"/>
      <c r="H804" s="959"/>
      <c r="I804" s="959"/>
      <c r="J804" s="959"/>
      <c r="K804" s="959"/>
      <c r="L804" s="959"/>
      <c r="M804" s="959"/>
      <c r="N804" s="959"/>
      <c r="O804" s="959"/>
      <c r="P804" s="959"/>
      <c r="Q804" s="959"/>
      <c r="R804" s="959"/>
      <c r="S804" s="959"/>
      <c r="T804" s="959"/>
      <c r="U804" s="959"/>
      <c r="V804" s="959"/>
      <c r="W804" s="959"/>
      <c r="X804" s="959"/>
      <c r="Y804" s="959"/>
      <c r="Z804" s="959"/>
      <c r="AA804" s="959"/>
      <c r="AB804" s="959"/>
      <c r="AC804" s="959"/>
      <c r="AD804" s="959"/>
      <c r="AE804" s="959"/>
      <c r="AF804" s="959"/>
      <c r="AG804" s="959"/>
      <c r="AH804" s="959"/>
      <c r="AI804" s="959"/>
      <c r="AJ804" s="959"/>
      <c r="AK804" s="959"/>
      <c r="AL804" s="959"/>
      <c r="AM804" s="959"/>
    </row>
    <row r="805" spans="3:39" x14ac:dyDescent="0.25">
      <c r="C805" s="959"/>
      <c r="D805" s="959"/>
      <c r="E805" s="959"/>
      <c r="F805" s="959"/>
      <c r="G805" s="959"/>
      <c r="H805" s="959"/>
      <c r="I805" s="959"/>
      <c r="J805" s="959"/>
      <c r="K805" s="959"/>
      <c r="L805" s="959"/>
      <c r="M805" s="959"/>
      <c r="N805" s="959"/>
      <c r="O805" s="959"/>
      <c r="P805" s="959"/>
      <c r="Q805" s="959"/>
      <c r="R805" s="959"/>
      <c r="S805" s="959"/>
      <c r="T805" s="959"/>
      <c r="U805" s="959"/>
      <c r="V805" s="959"/>
      <c r="W805" s="959"/>
      <c r="X805" s="959"/>
      <c r="Y805" s="959"/>
      <c r="Z805" s="959"/>
      <c r="AA805" s="959"/>
      <c r="AB805" s="959"/>
      <c r="AC805" s="959"/>
      <c r="AD805" s="959"/>
      <c r="AE805" s="959"/>
      <c r="AF805" s="959"/>
      <c r="AG805" s="959"/>
      <c r="AH805" s="959"/>
      <c r="AI805" s="959"/>
      <c r="AJ805" s="959"/>
      <c r="AK805" s="959"/>
      <c r="AL805" s="959"/>
      <c r="AM805" s="959"/>
    </row>
    <row r="806" spans="3:39" x14ac:dyDescent="0.25">
      <c r="C806" s="959"/>
      <c r="D806" s="959"/>
      <c r="E806" s="959"/>
      <c r="F806" s="959"/>
      <c r="G806" s="959"/>
      <c r="H806" s="959"/>
      <c r="I806" s="959"/>
      <c r="J806" s="959"/>
      <c r="K806" s="959"/>
      <c r="L806" s="959"/>
      <c r="M806" s="959"/>
      <c r="N806" s="959"/>
      <c r="O806" s="959"/>
      <c r="P806" s="959"/>
      <c r="Q806" s="959"/>
      <c r="R806" s="959"/>
      <c r="S806" s="959"/>
      <c r="T806" s="959"/>
      <c r="U806" s="959"/>
      <c r="V806" s="959"/>
      <c r="W806" s="959"/>
      <c r="X806" s="959"/>
      <c r="Y806" s="959"/>
      <c r="Z806" s="959"/>
      <c r="AA806" s="959"/>
      <c r="AB806" s="959"/>
      <c r="AC806" s="959"/>
      <c r="AD806" s="959"/>
      <c r="AE806" s="959"/>
      <c r="AF806" s="959"/>
      <c r="AG806" s="959"/>
      <c r="AH806" s="959"/>
      <c r="AI806" s="959"/>
      <c r="AJ806" s="959"/>
      <c r="AK806" s="959"/>
      <c r="AL806" s="959"/>
      <c r="AM806" s="959"/>
    </row>
    <row r="807" spans="3:39" x14ac:dyDescent="0.25">
      <c r="C807" s="959"/>
      <c r="D807" s="959"/>
      <c r="E807" s="959"/>
      <c r="F807" s="959"/>
      <c r="G807" s="959"/>
      <c r="H807" s="959"/>
      <c r="I807" s="959"/>
      <c r="J807" s="959"/>
      <c r="K807" s="959"/>
      <c r="L807" s="959"/>
      <c r="M807" s="959"/>
      <c r="N807" s="959"/>
      <c r="O807" s="959"/>
      <c r="P807" s="959"/>
      <c r="Q807" s="959"/>
      <c r="R807" s="959"/>
      <c r="S807" s="959"/>
      <c r="T807" s="959"/>
      <c r="U807" s="959"/>
      <c r="V807" s="959"/>
      <c r="W807" s="959"/>
      <c r="X807" s="959"/>
      <c r="Y807" s="959"/>
      <c r="Z807" s="959"/>
      <c r="AA807" s="959"/>
      <c r="AB807" s="959"/>
      <c r="AC807" s="959"/>
      <c r="AD807" s="959"/>
      <c r="AE807" s="959"/>
      <c r="AF807" s="959"/>
      <c r="AG807" s="959"/>
      <c r="AH807" s="959"/>
      <c r="AI807" s="959"/>
      <c r="AJ807" s="959"/>
      <c r="AK807" s="959"/>
      <c r="AL807" s="959"/>
      <c r="AM807" s="959"/>
    </row>
    <row r="808" spans="3:39" x14ac:dyDescent="0.25">
      <c r="C808" s="959"/>
      <c r="D808" s="959"/>
      <c r="E808" s="959"/>
      <c r="F808" s="959"/>
      <c r="G808" s="959"/>
      <c r="H808" s="959"/>
      <c r="I808" s="959"/>
      <c r="J808" s="959"/>
      <c r="K808" s="959"/>
      <c r="L808" s="959"/>
      <c r="M808" s="959"/>
      <c r="N808" s="959"/>
      <c r="O808" s="959"/>
      <c r="P808" s="959"/>
      <c r="Q808" s="959"/>
      <c r="R808" s="959"/>
      <c r="S808" s="959"/>
      <c r="T808" s="959"/>
      <c r="U808" s="959"/>
      <c r="V808" s="959"/>
      <c r="W808" s="959"/>
      <c r="X808" s="959"/>
      <c r="Y808" s="959"/>
      <c r="Z808" s="959"/>
      <c r="AA808" s="959"/>
      <c r="AB808" s="959"/>
      <c r="AC808" s="959"/>
      <c r="AD808" s="959"/>
      <c r="AE808" s="959"/>
      <c r="AF808" s="959"/>
      <c r="AG808" s="959"/>
      <c r="AH808" s="959"/>
      <c r="AI808" s="959"/>
      <c r="AJ808" s="959"/>
      <c r="AK808" s="959"/>
      <c r="AL808" s="959"/>
      <c r="AM808" s="959"/>
    </row>
    <row r="809" spans="3:39" x14ac:dyDescent="0.25">
      <c r="C809" s="959"/>
      <c r="D809" s="959"/>
      <c r="E809" s="959"/>
      <c r="F809" s="959"/>
      <c r="G809" s="959"/>
      <c r="H809" s="959"/>
      <c r="I809" s="959"/>
      <c r="J809" s="959"/>
      <c r="K809" s="959"/>
      <c r="L809" s="959"/>
      <c r="M809" s="959"/>
      <c r="N809" s="959"/>
      <c r="O809" s="959"/>
      <c r="P809" s="959"/>
      <c r="Q809" s="959"/>
      <c r="R809" s="959"/>
      <c r="S809" s="959"/>
      <c r="T809" s="959"/>
      <c r="U809" s="959"/>
      <c r="V809" s="959"/>
      <c r="W809" s="959"/>
      <c r="X809" s="959"/>
      <c r="Y809" s="959"/>
      <c r="Z809" s="959"/>
      <c r="AA809" s="959"/>
      <c r="AB809" s="959"/>
      <c r="AC809" s="959"/>
      <c r="AD809" s="959"/>
      <c r="AE809" s="959"/>
      <c r="AF809" s="959"/>
      <c r="AG809" s="959"/>
      <c r="AH809" s="959"/>
      <c r="AI809" s="959"/>
      <c r="AJ809" s="959"/>
      <c r="AK809" s="959"/>
      <c r="AL809" s="959"/>
      <c r="AM809" s="959"/>
    </row>
    <row r="810" spans="3:39" x14ac:dyDescent="0.25">
      <c r="C810" s="959"/>
      <c r="D810" s="959"/>
      <c r="E810" s="959"/>
      <c r="F810" s="959"/>
      <c r="G810" s="959"/>
      <c r="H810" s="959"/>
      <c r="I810" s="959"/>
      <c r="J810" s="959"/>
      <c r="K810" s="959"/>
      <c r="L810" s="959"/>
      <c r="M810" s="959"/>
      <c r="N810" s="959"/>
      <c r="O810" s="959"/>
      <c r="P810" s="959"/>
      <c r="Q810" s="959"/>
      <c r="R810" s="959"/>
      <c r="S810" s="959"/>
      <c r="T810" s="959"/>
      <c r="U810" s="959"/>
      <c r="V810" s="959"/>
      <c r="W810" s="959"/>
      <c r="X810" s="959"/>
      <c r="Y810" s="959"/>
      <c r="Z810" s="959"/>
      <c r="AA810" s="959"/>
      <c r="AB810" s="959"/>
      <c r="AC810" s="959"/>
      <c r="AD810" s="959"/>
      <c r="AE810" s="959"/>
      <c r="AF810" s="959"/>
      <c r="AG810" s="959"/>
      <c r="AH810" s="959"/>
      <c r="AI810" s="959"/>
      <c r="AJ810" s="959"/>
      <c r="AK810" s="959"/>
      <c r="AL810" s="959"/>
      <c r="AM810" s="959"/>
    </row>
    <row r="811" spans="3:39" x14ac:dyDescent="0.25">
      <c r="C811" s="959"/>
      <c r="D811" s="959"/>
      <c r="E811" s="959"/>
      <c r="F811" s="959"/>
      <c r="G811" s="959"/>
      <c r="H811" s="959"/>
      <c r="I811" s="959"/>
      <c r="J811" s="959"/>
      <c r="K811" s="959"/>
      <c r="L811" s="959"/>
      <c r="M811" s="959"/>
      <c r="N811" s="959"/>
      <c r="O811" s="959"/>
      <c r="P811" s="959"/>
      <c r="Q811" s="959"/>
      <c r="R811" s="959"/>
      <c r="S811" s="959"/>
      <c r="T811" s="959"/>
      <c r="U811" s="959"/>
      <c r="V811" s="959"/>
      <c r="W811" s="959"/>
      <c r="X811" s="959"/>
      <c r="Y811" s="959"/>
      <c r="Z811" s="959"/>
      <c r="AA811" s="959"/>
      <c r="AB811" s="959"/>
      <c r="AC811" s="959"/>
      <c r="AD811" s="959"/>
      <c r="AE811" s="959"/>
      <c r="AF811" s="959"/>
      <c r="AG811" s="959"/>
      <c r="AH811" s="959"/>
      <c r="AI811" s="959"/>
      <c r="AJ811" s="959"/>
      <c r="AK811" s="959"/>
      <c r="AL811" s="959"/>
      <c r="AM811" s="959"/>
    </row>
    <row r="812" spans="3:39" x14ac:dyDescent="0.25">
      <c r="C812" s="959"/>
      <c r="D812" s="959"/>
      <c r="E812" s="959"/>
      <c r="F812" s="959"/>
      <c r="G812" s="959"/>
      <c r="H812" s="959"/>
      <c r="I812" s="959"/>
      <c r="J812" s="959"/>
      <c r="K812" s="959"/>
      <c r="L812" s="959"/>
      <c r="M812" s="959"/>
      <c r="N812" s="959"/>
      <c r="O812" s="959"/>
      <c r="P812" s="959"/>
      <c r="Q812" s="959"/>
      <c r="R812" s="959"/>
      <c r="S812" s="959"/>
      <c r="T812" s="959"/>
      <c r="U812" s="959"/>
      <c r="V812" s="959"/>
      <c r="W812" s="959"/>
      <c r="X812" s="959"/>
      <c r="Y812" s="959"/>
      <c r="Z812" s="959"/>
      <c r="AA812" s="959"/>
      <c r="AB812" s="959"/>
      <c r="AC812" s="959"/>
      <c r="AD812" s="959"/>
      <c r="AE812" s="959"/>
      <c r="AF812" s="959"/>
      <c r="AG812" s="959"/>
      <c r="AH812" s="959"/>
      <c r="AI812" s="959"/>
      <c r="AJ812" s="959"/>
      <c r="AK812" s="959"/>
      <c r="AL812" s="959"/>
      <c r="AM812" s="959"/>
    </row>
    <row r="813" spans="3:39" x14ac:dyDescent="0.25">
      <c r="C813" s="959"/>
      <c r="D813" s="959"/>
      <c r="E813" s="959"/>
      <c r="F813" s="959"/>
      <c r="G813" s="959"/>
      <c r="H813" s="959"/>
      <c r="I813" s="959"/>
      <c r="J813" s="959"/>
      <c r="K813" s="959"/>
      <c r="L813" s="959"/>
      <c r="M813" s="959"/>
      <c r="N813" s="959"/>
      <c r="O813" s="959"/>
      <c r="P813" s="959"/>
      <c r="Q813" s="959"/>
      <c r="R813" s="959"/>
      <c r="S813" s="959"/>
      <c r="T813" s="959"/>
      <c r="U813" s="959"/>
      <c r="V813" s="959"/>
      <c r="W813" s="959"/>
      <c r="X813" s="959"/>
      <c r="Y813" s="959"/>
      <c r="Z813" s="959"/>
      <c r="AA813" s="959"/>
      <c r="AB813" s="959"/>
      <c r="AC813" s="959"/>
      <c r="AD813" s="959"/>
      <c r="AE813" s="959"/>
      <c r="AF813" s="959"/>
      <c r="AG813" s="959"/>
      <c r="AH813" s="959"/>
      <c r="AI813" s="959"/>
      <c r="AJ813" s="959"/>
      <c r="AK813" s="959"/>
      <c r="AL813" s="959"/>
      <c r="AM813" s="959"/>
    </row>
    <row r="814" spans="3:39" x14ac:dyDescent="0.25">
      <c r="C814" s="959"/>
      <c r="D814" s="959"/>
      <c r="E814" s="959"/>
      <c r="F814" s="959"/>
      <c r="G814" s="959"/>
      <c r="H814" s="959"/>
      <c r="I814" s="959"/>
      <c r="J814" s="959"/>
      <c r="K814" s="959"/>
      <c r="L814" s="959"/>
      <c r="M814" s="959"/>
      <c r="N814" s="959"/>
      <c r="O814" s="959"/>
      <c r="P814" s="959"/>
      <c r="Q814" s="959"/>
      <c r="R814" s="959"/>
      <c r="S814" s="959"/>
      <c r="T814" s="959"/>
      <c r="U814" s="959"/>
      <c r="V814" s="959"/>
      <c r="W814" s="959"/>
      <c r="X814" s="959"/>
      <c r="Y814" s="959"/>
      <c r="Z814" s="959"/>
      <c r="AA814" s="959"/>
      <c r="AB814" s="959"/>
      <c r="AC814" s="959"/>
      <c r="AD814" s="959"/>
      <c r="AE814" s="959"/>
      <c r="AF814" s="959"/>
      <c r="AG814" s="959"/>
      <c r="AH814" s="959"/>
      <c r="AI814" s="959"/>
      <c r="AJ814" s="959"/>
      <c r="AK814" s="959"/>
      <c r="AL814" s="959"/>
      <c r="AM814" s="959"/>
    </row>
    <row r="815" spans="3:39" x14ac:dyDescent="0.25">
      <c r="C815" s="959"/>
      <c r="D815" s="959"/>
      <c r="E815" s="959"/>
      <c r="F815" s="959"/>
      <c r="G815" s="959"/>
      <c r="H815" s="959"/>
      <c r="I815" s="959"/>
      <c r="J815" s="959"/>
      <c r="K815" s="959"/>
      <c r="L815" s="959"/>
      <c r="M815" s="959"/>
      <c r="N815" s="959"/>
      <c r="O815" s="959"/>
      <c r="P815" s="959"/>
      <c r="Q815" s="959"/>
      <c r="R815" s="959"/>
      <c r="S815" s="959"/>
      <c r="T815" s="959"/>
      <c r="U815" s="959"/>
      <c r="V815" s="959"/>
      <c r="W815" s="959"/>
      <c r="X815" s="959"/>
      <c r="Y815" s="959"/>
      <c r="Z815" s="959"/>
      <c r="AA815" s="959"/>
      <c r="AB815" s="959"/>
      <c r="AC815" s="959"/>
      <c r="AD815" s="959"/>
      <c r="AE815" s="959"/>
      <c r="AF815" s="959"/>
      <c r="AG815" s="959"/>
      <c r="AH815" s="959"/>
      <c r="AI815" s="959"/>
      <c r="AJ815" s="959"/>
      <c r="AK815" s="959"/>
      <c r="AL815" s="959"/>
      <c r="AM815" s="959"/>
    </row>
    <row r="816" spans="3:39" x14ac:dyDescent="0.25">
      <c r="C816" s="959"/>
      <c r="D816" s="959"/>
      <c r="E816" s="959"/>
      <c r="F816" s="959"/>
      <c r="G816" s="959"/>
      <c r="H816" s="959"/>
      <c r="I816" s="959"/>
      <c r="J816" s="959"/>
      <c r="K816" s="959"/>
      <c r="L816" s="959"/>
      <c r="M816" s="959"/>
      <c r="N816" s="959"/>
      <c r="O816" s="959"/>
      <c r="P816" s="959"/>
      <c r="Q816" s="959"/>
      <c r="R816" s="959"/>
      <c r="S816" s="959"/>
      <c r="T816" s="959"/>
      <c r="U816" s="959"/>
      <c r="V816" s="959"/>
      <c r="W816" s="959"/>
      <c r="X816" s="959"/>
      <c r="Y816" s="959"/>
      <c r="Z816" s="959"/>
      <c r="AA816" s="959"/>
      <c r="AB816" s="959"/>
      <c r="AC816" s="959"/>
      <c r="AD816" s="959"/>
      <c r="AE816" s="959"/>
      <c r="AF816" s="959"/>
      <c r="AG816" s="959"/>
      <c r="AH816" s="959"/>
      <c r="AI816" s="959"/>
      <c r="AJ816" s="959"/>
      <c r="AK816" s="959"/>
      <c r="AL816" s="959"/>
      <c r="AM816" s="959"/>
    </row>
    <row r="817" spans="3:39" x14ac:dyDescent="0.25">
      <c r="C817" s="959"/>
      <c r="D817" s="959"/>
      <c r="E817" s="959"/>
      <c r="F817" s="959"/>
      <c r="G817" s="959"/>
      <c r="H817" s="959"/>
      <c r="I817" s="959"/>
      <c r="J817" s="959"/>
      <c r="K817" s="959"/>
      <c r="L817" s="959"/>
      <c r="M817" s="959"/>
      <c r="N817" s="959"/>
      <c r="O817" s="959"/>
      <c r="P817" s="959"/>
      <c r="Q817" s="959"/>
      <c r="R817" s="959"/>
      <c r="S817" s="959"/>
      <c r="T817" s="959"/>
      <c r="U817" s="959"/>
      <c r="V817" s="959"/>
      <c r="W817" s="959"/>
      <c r="X817" s="959"/>
      <c r="Y817" s="959"/>
      <c r="Z817" s="959"/>
      <c r="AA817" s="959"/>
      <c r="AB817" s="959"/>
      <c r="AC817" s="959"/>
      <c r="AD817" s="959"/>
      <c r="AE817" s="959"/>
      <c r="AF817" s="959"/>
      <c r="AG817" s="959"/>
      <c r="AH817" s="959"/>
      <c r="AI817" s="959"/>
      <c r="AJ817" s="959"/>
      <c r="AK817" s="959"/>
      <c r="AL817" s="959"/>
      <c r="AM817" s="959"/>
    </row>
    <row r="818" spans="3:39" x14ac:dyDescent="0.25">
      <c r="C818" s="959"/>
      <c r="D818" s="959"/>
      <c r="E818" s="959"/>
      <c r="F818" s="959"/>
      <c r="G818" s="959"/>
      <c r="H818" s="959"/>
      <c r="I818" s="959"/>
      <c r="J818" s="959"/>
      <c r="K818" s="959"/>
      <c r="L818" s="959"/>
      <c r="M818" s="959"/>
      <c r="N818" s="959"/>
      <c r="O818" s="959"/>
      <c r="P818" s="959"/>
      <c r="Q818" s="959"/>
      <c r="R818" s="959"/>
      <c r="S818" s="959"/>
      <c r="T818" s="959"/>
      <c r="U818" s="959"/>
      <c r="V818" s="959"/>
      <c r="W818" s="959"/>
      <c r="X818" s="959"/>
      <c r="Y818" s="959"/>
      <c r="Z818" s="959"/>
      <c r="AA818" s="959"/>
      <c r="AB818" s="959"/>
      <c r="AC818" s="959"/>
      <c r="AD818" s="959"/>
      <c r="AE818" s="959"/>
      <c r="AF818" s="959"/>
      <c r="AG818" s="959"/>
      <c r="AH818" s="959"/>
      <c r="AI818" s="959"/>
      <c r="AJ818" s="959"/>
      <c r="AK818" s="959"/>
      <c r="AL818" s="959"/>
      <c r="AM818" s="959"/>
    </row>
    <row r="819" spans="3:39" x14ac:dyDescent="0.25">
      <c r="C819" s="959"/>
      <c r="D819" s="959"/>
      <c r="E819" s="959"/>
      <c r="F819" s="959"/>
      <c r="G819" s="959"/>
      <c r="H819" s="959"/>
      <c r="I819" s="959"/>
      <c r="J819" s="959"/>
      <c r="K819" s="959"/>
      <c r="L819" s="959"/>
      <c r="M819" s="959"/>
      <c r="N819" s="959"/>
      <c r="O819" s="959"/>
      <c r="P819" s="959"/>
      <c r="Q819" s="959"/>
      <c r="R819" s="959"/>
      <c r="S819" s="959"/>
      <c r="T819" s="959"/>
      <c r="U819" s="959"/>
      <c r="V819" s="959"/>
      <c r="W819" s="959"/>
      <c r="X819" s="959"/>
      <c r="Y819" s="959"/>
      <c r="Z819" s="959"/>
      <c r="AA819" s="959"/>
      <c r="AB819" s="959"/>
      <c r="AC819" s="959"/>
      <c r="AD819" s="959"/>
      <c r="AE819" s="959"/>
      <c r="AF819" s="959"/>
      <c r="AG819" s="959"/>
      <c r="AH819" s="959"/>
      <c r="AI819" s="959"/>
      <c r="AJ819" s="959"/>
      <c r="AK819" s="959"/>
      <c r="AL819" s="959"/>
      <c r="AM819" s="959"/>
    </row>
    <row r="820" spans="3:39" x14ac:dyDescent="0.25">
      <c r="C820" s="959"/>
      <c r="D820" s="959"/>
      <c r="E820" s="959"/>
      <c r="F820" s="959"/>
      <c r="G820" s="959"/>
      <c r="H820" s="959"/>
      <c r="I820" s="959"/>
      <c r="J820" s="959"/>
      <c r="K820" s="959"/>
      <c r="L820" s="959"/>
      <c r="M820" s="959"/>
      <c r="N820" s="959"/>
      <c r="O820" s="959"/>
      <c r="P820" s="959"/>
      <c r="Q820" s="959"/>
      <c r="R820" s="959"/>
      <c r="S820" s="959"/>
      <c r="T820" s="959"/>
      <c r="U820" s="959"/>
      <c r="V820" s="959"/>
      <c r="W820" s="959"/>
      <c r="X820" s="959"/>
      <c r="Y820" s="959"/>
      <c r="Z820" s="959"/>
      <c r="AA820" s="959"/>
      <c r="AB820" s="959"/>
      <c r="AC820" s="959"/>
      <c r="AD820" s="959"/>
      <c r="AE820" s="959"/>
      <c r="AF820" s="959"/>
      <c r="AG820" s="959"/>
      <c r="AH820" s="959"/>
      <c r="AI820" s="959"/>
      <c r="AJ820" s="959"/>
      <c r="AK820" s="959"/>
      <c r="AL820" s="959"/>
      <c r="AM820" s="959"/>
    </row>
    <row r="821" spans="3:39" x14ac:dyDescent="0.25">
      <c r="C821" s="959"/>
      <c r="D821" s="959"/>
      <c r="E821" s="959"/>
      <c r="F821" s="959"/>
      <c r="G821" s="959"/>
      <c r="H821" s="959"/>
      <c r="I821" s="959"/>
      <c r="J821" s="959"/>
      <c r="K821" s="959"/>
      <c r="L821" s="959"/>
      <c r="M821" s="959"/>
      <c r="N821" s="959"/>
      <c r="O821" s="959"/>
      <c r="P821" s="959"/>
      <c r="Q821" s="959"/>
      <c r="R821" s="959"/>
      <c r="S821" s="959"/>
      <c r="T821" s="959"/>
      <c r="U821" s="959"/>
      <c r="V821" s="959"/>
      <c r="W821" s="959"/>
      <c r="X821" s="959"/>
      <c r="Y821" s="959"/>
      <c r="Z821" s="959"/>
      <c r="AA821" s="959"/>
      <c r="AB821" s="959"/>
      <c r="AC821" s="959"/>
      <c r="AD821" s="959"/>
      <c r="AE821" s="959"/>
      <c r="AF821" s="959"/>
      <c r="AG821" s="959"/>
      <c r="AH821" s="959"/>
      <c r="AI821" s="959"/>
      <c r="AJ821" s="959"/>
      <c r="AK821" s="959"/>
      <c r="AL821" s="959"/>
      <c r="AM821" s="959"/>
    </row>
    <row r="822" spans="3:39" x14ac:dyDescent="0.25">
      <c r="C822" s="959"/>
      <c r="D822" s="959"/>
      <c r="E822" s="959"/>
      <c r="F822" s="959"/>
      <c r="G822" s="959"/>
      <c r="H822" s="959"/>
      <c r="I822" s="959"/>
      <c r="J822" s="959"/>
      <c r="K822" s="959"/>
      <c r="L822" s="959"/>
      <c r="M822" s="959"/>
      <c r="N822" s="959"/>
      <c r="O822" s="959"/>
      <c r="P822" s="959"/>
      <c r="Q822" s="959"/>
      <c r="R822" s="959"/>
      <c r="S822" s="959"/>
      <c r="T822" s="959"/>
      <c r="U822" s="959"/>
      <c r="V822" s="959"/>
      <c r="W822" s="959"/>
      <c r="X822" s="959"/>
      <c r="Y822" s="959"/>
      <c r="Z822" s="959"/>
      <c r="AA822" s="959"/>
      <c r="AB822" s="959"/>
      <c r="AC822" s="959"/>
      <c r="AD822" s="959"/>
      <c r="AE822" s="959"/>
      <c r="AF822" s="959"/>
      <c r="AG822" s="959"/>
      <c r="AH822" s="959"/>
      <c r="AI822" s="959"/>
      <c r="AJ822" s="959"/>
      <c r="AK822" s="959"/>
      <c r="AL822" s="959"/>
      <c r="AM822" s="959"/>
    </row>
    <row r="823" spans="3:39" x14ac:dyDescent="0.25">
      <c r="C823" s="959"/>
      <c r="D823" s="959"/>
      <c r="E823" s="959"/>
      <c r="F823" s="959"/>
      <c r="G823" s="959"/>
      <c r="H823" s="959"/>
      <c r="I823" s="959"/>
      <c r="J823" s="959"/>
      <c r="K823" s="959"/>
      <c r="L823" s="959"/>
      <c r="M823" s="959"/>
      <c r="N823" s="959"/>
      <c r="O823" s="959"/>
      <c r="P823" s="959"/>
      <c r="Q823" s="959"/>
      <c r="R823" s="959"/>
      <c r="S823" s="959"/>
      <c r="T823" s="959"/>
      <c r="U823" s="959"/>
      <c r="V823" s="959"/>
      <c r="W823" s="959"/>
      <c r="X823" s="959"/>
      <c r="Y823" s="959"/>
      <c r="Z823" s="959"/>
      <c r="AA823" s="959"/>
      <c r="AB823" s="959"/>
      <c r="AC823" s="959"/>
      <c r="AD823" s="959"/>
      <c r="AE823" s="959"/>
      <c r="AF823" s="959"/>
      <c r="AG823" s="959"/>
      <c r="AH823" s="959"/>
      <c r="AI823" s="959"/>
      <c r="AJ823" s="959"/>
      <c r="AK823" s="959"/>
      <c r="AL823" s="959"/>
      <c r="AM823" s="959"/>
    </row>
    <row r="824" spans="3:39" x14ac:dyDescent="0.25">
      <c r="C824" s="959"/>
      <c r="D824" s="959"/>
      <c r="E824" s="959"/>
      <c r="F824" s="959"/>
      <c r="G824" s="959"/>
      <c r="H824" s="959"/>
      <c r="I824" s="959"/>
      <c r="J824" s="959"/>
      <c r="K824" s="959"/>
      <c r="L824" s="959"/>
      <c r="M824" s="959"/>
      <c r="N824" s="959"/>
      <c r="O824" s="959"/>
      <c r="P824" s="959"/>
      <c r="Q824" s="959"/>
      <c r="R824" s="959"/>
      <c r="S824" s="959"/>
      <c r="T824" s="959"/>
      <c r="U824" s="959"/>
      <c r="V824" s="959"/>
      <c r="W824" s="959"/>
      <c r="X824" s="959"/>
      <c r="Y824" s="959"/>
      <c r="Z824" s="959"/>
      <c r="AA824" s="959"/>
      <c r="AB824" s="959"/>
      <c r="AC824" s="959"/>
      <c r="AD824" s="959"/>
      <c r="AE824" s="959"/>
      <c r="AF824" s="959"/>
      <c r="AG824" s="959"/>
      <c r="AH824" s="959"/>
      <c r="AI824" s="959"/>
      <c r="AJ824" s="959"/>
      <c r="AK824" s="959"/>
      <c r="AL824" s="959"/>
      <c r="AM824" s="959"/>
    </row>
    <row r="825" spans="3:39" x14ac:dyDescent="0.25">
      <c r="C825" s="959"/>
      <c r="D825" s="959"/>
      <c r="E825" s="959"/>
      <c r="F825" s="959"/>
      <c r="G825" s="959"/>
      <c r="H825" s="959"/>
      <c r="I825" s="959"/>
      <c r="J825" s="959"/>
      <c r="K825" s="959"/>
      <c r="L825" s="959"/>
      <c r="M825" s="959"/>
      <c r="N825" s="959"/>
      <c r="O825" s="959"/>
      <c r="P825" s="959"/>
      <c r="Q825" s="959"/>
      <c r="R825" s="959"/>
      <c r="S825" s="959"/>
      <c r="T825" s="959"/>
      <c r="U825" s="959"/>
      <c r="V825" s="959"/>
      <c r="W825" s="959"/>
      <c r="X825" s="959"/>
      <c r="Y825" s="959"/>
      <c r="Z825" s="959"/>
      <c r="AA825" s="959"/>
      <c r="AB825" s="959"/>
      <c r="AC825" s="959"/>
      <c r="AD825" s="959"/>
      <c r="AE825" s="959"/>
      <c r="AF825" s="959"/>
      <c r="AG825" s="959"/>
      <c r="AH825" s="959"/>
      <c r="AI825" s="959"/>
      <c r="AJ825" s="959"/>
      <c r="AK825" s="959"/>
      <c r="AL825" s="959"/>
      <c r="AM825" s="959"/>
    </row>
    <row r="826" spans="3:39" x14ac:dyDescent="0.25">
      <c r="C826" s="959"/>
      <c r="D826" s="959"/>
      <c r="E826" s="959"/>
      <c r="F826" s="959"/>
      <c r="G826" s="959"/>
      <c r="H826" s="959"/>
      <c r="I826" s="959"/>
      <c r="J826" s="959"/>
      <c r="K826" s="959"/>
      <c r="L826" s="959"/>
      <c r="M826" s="959"/>
      <c r="N826" s="959"/>
      <c r="O826" s="959"/>
      <c r="P826" s="959"/>
      <c r="Q826" s="959"/>
      <c r="R826" s="959"/>
      <c r="S826" s="959"/>
      <c r="T826" s="959"/>
      <c r="U826" s="959"/>
      <c r="V826" s="959"/>
      <c r="W826" s="959"/>
      <c r="X826" s="959"/>
      <c r="Y826" s="959"/>
      <c r="Z826" s="959"/>
      <c r="AA826" s="959"/>
      <c r="AB826" s="959"/>
      <c r="AC826" s="959"/>
      <c r="AD826" s="959"/>
      <c r="AE826" s="959"/>
      <c r="AF826" s="959"/>
      <c r="AG826" s="959"/>
      <c r="AH826" s="959"/>
      <c r="AI826" s="959"/>
      <c r="AJ826" s="959"/>
      <c r="AK826" s="959"/>
      <c r="AL826" s="959"/>
      <c r="AM826" s="959"/>
    </row>
    <row r="827" spans="3:39" x14ac:dyDescent="0.25">
      <c r="C827" s="959"/>
      <c r="D827" s="959"/>
      <c r="E827" s="959"/>
      <c r="F827" s="959"/>
      <c r="G827" s="959"/>
      <c r="H827" s="959"/>
      <c r="I827" s="959"/>
      <c r="J827" s="959"/>
      <c r="K827" s="959"/>
      <c r="L827" s="959"/>
      <c r="M827" s="959"/>
      <c r="N827" s="959"/>
      <c r="O827" s="959"/>
      <c r="P827" s="959"/>
      <c r="Q827" s="959"/>
      <c r="R827" s="959"/>
      <c r="S827" s="959"/>
      <c r="T827" s="959"/>
      <c r="U827" s="959"/>
      <c r="V827" s="959"/>
      <c r="W827" s="959"/>
      <c r="X827" s="959"/>
      <c r="Y827" s="959"/>
      <c r="Z827" s="959"/>
      <c r="AA827" s="959"/>
      <c r="AB827" s="959"/>
      <c r="AC827" s="959"/>
      <c r="AD827" s="959"/>
      <c r="AE827" s="959"/>
      <c r="AF827" s="959"/>
      <c r="AG827" s="959"/>
      <c r="AH827" s="959"/>
      <c r="AI827" s="959"/>
      <c r="AJ827" s="959"/>
      <c r="AK827" s="959"/>
      <c r="AL827" s="959"/>
      <c r="AM827" s="959"/>
    </row>
    <row r="828" spans="3:39" x14ac:dyDescent="0.25">
      <c r="C828" s="959"/>
      <c r="D828" s="959"/>
      <c r="E828" s="959"/>
      <c r="F828" s="959"/>
      <c r="G828" s="959"/>
      <c r="H828" s="959"/>
      <c r="I828" s="959"/>
      <c r="J828" s="959"/>
      <c r="K828" s="959"/>
      <c r="L828" s="959"/>
      <c r="M828" s="959"/>
      <c r="N828" s="959"/>
      <c r="O828" s="959"/>
      <c r="P828" s="959"/>
      <c r="Q828" s="959"/>
      <c r="R828" s="959"/>
      <c r="S828" s="959"/>
      <c r="T828" s="959"/>
      <c r="U828" s="959"/>
      <c r="V828" s="959"/>
      <c r="W828" s="959"/>
      <c r="X828" s="959"/>
      <c r="Y828" s="959"/>
      <c r="Z828" s="959"/>
      <c r="AA828" s="959"/>
      <c r="AB828" s="959"/>
      <c r="AC828" s="959"/>
      <c r="AD828" s="959"/>
      <c r="AE828" s="959"/>
      <c r="AF828" s="959"/>
      <c r="AG828" s="959"/>
      <c r="AH828" s="959"/>
      <c r="AI828" s="959"/>
      <c r="AJ828" s="959"/>
      <c r="AK828" s="959"/>
      <c r="AL828" s="959"/>
      <c r="AM828" s="959"/>
    </row>
    <row r="829" spans="3:39" x14ac:dyDescent="0.25">
      <c r="C829" s="959"/>
      <c r="D829" s="959"/>
      <c r="E829" s="959"/>
      <c r="F829" s="959"/>
      <c r="G829" s="959"/>
      <c r="H829" s="959"/>
      <c r="I829" s="959"/>
      <c r="J829" s="959"/>
      <c r="K829" s="959"/>
      <c r="L829" s="959"/>
      <c r="M829" s="959"/>
      <c r="N829" s="959"/>
      <c r="O829" s="959"/>
      <c r="P829" s="959"/>
      <c r="Q829" s="959"/>
      <c r="R829" s="959"/>
      <c r="S829" s="959"/>
      <c r="T829" s="959"/>
      <c r="U829" s="959"/>
      <c r="V829" s="959"/>
      <c r="W829" s="959"/>
      <c r="X829" s="959"/>
      <c r="Y829" s="959"/>
      <c r="Z829" s="959"/>
      <c r="AA829" s="959"/>
      <c r="AB829" s="959"/>
      <c r="AC829" s="959"/>
      <c r="AD829" s="959"/>
      <c r="AE829" s="959"/>
      <c r="AF829" s="959"/>
      <c r="AG829" s="959"/>
      <c r="AH829" s="959"/>
      <c r="AI829" s="959"/>
      <c r="AJ829" s="959"/>
      <c r="AK829" s="959"/>
      <c r="AL829" s="959"/>
      <c r="AM829" s="959"/>
    </row>
    <row r="830" spans="3:39" x14ac:dyDescent="0.25">
      <c r="C830" s="959"/>
      <c r="D830" s="959"/>
      <c r="E830" s="959"/>
      <c r="F830" s="959"/>
      <c r="G830" s="959"/>
      <c r="H830" s="959"/>
      <c r="I830" s="959"/>
      <c r="J830" s="959"/>
      <c r="K830" s="959"/>
      <c r="L830" s="959"/>
      <c r="M830" s="959"/>
      <c r="N830" s="959"/>
      <c r="O830" s="959"/>
      <c r="P830" s="959"/>
      <c r="Q830" s="959"/>
      <c r="R830" s="959"/>
      <c r="S830" s="959"/>
      <c r="T830" s="959"/>
      <c r="U830" s="959"/>
      <c r="V830" s="959"/>
      <c r="W830" s="959"/>
      <c r="X830" s="959"/>
      <c r="Y830" s="959"/>
      <c r="Z830" s="959"/>
      <c r="AA830" s="959"/>
      <c r="AB830" s="959"/>
      <c r="AC830" s="959"/>
      <c r="AD830" s="959"/>
      <c r="AE830" s="959"/>
      <c r="AF830" s="959"/>
      <c r="AG830" s="959"/>
      <c r="AH830" s="959"/>
      <c r="AI830" s="959"/>
      <c r="AJ830" s="959"/>
      <c r="AK830" s="959"/>
      <c r="AL830" s="959"/>
      <c r="AM830" s="959"/>
    </row>
    <row r="831" spans="3:39" x14ac:dyDescent="0.25">
      <c r="C831" s="959"/>
      <c r="D831" s="959"/>
      <c r="E831" s="959"/>
      <c r="F831" s="959"/>
      <c r="G831" s="959"/>
      <c r="H831" s="959"/>
      <c r="I831" s="959"/>
      <c r="J831" s="959"/>
      <c r="K831" s="959"/>
      <c r="L831" s="959"/>
      <c r="M831" s="959"/>
      <c r="N831" s="959"/>
      <c r="O831" s="959"/>
      <c r="P831" s="959"/>
      <c r="Q831" s="959"/>
      <c r="R831" s="959"/>
      <c r="S831" s="959"/>
      <c r="T831" s="959"/>
      <c r="U831" s="959"/>
      <c r="V831" s="959"/>
      <c r="W831" s="959"/>
      <c r="X831" s="959"/>
      <c r="Y831" s="959"/>
      <c r="Z831" s="959"/>
      <c r="AA831" s="959"/>
      <c r="AB831" s="959"/>
      <c r="AC831" s="959"/>
      <c r="AD831" s="959"/>
      <c r="AE831" s="959"/>
      <c r="AF831" s="959"/>
      <c r="AG831" s="959"/>
      <c r="AH831" s="959"/>
      <c r="AI831" s="959"/>
      <c r="AJ831" s="959"/>
      <c r="AK831" s="959"/>
      <c r="AL831" s="959"/>
      <c r="AM831" s="959"/>
    </row>
    <row r="832" spans="3:39" x14ac:dyDescent="0.25">
      <c r="C832" s="959"/>
      <c r="D832" s="959"/>
      <c r="E832" s="959"/>
      <c r="F832" s="959"/>
      <c r="G832" s="959"/>
      <c r="H832" s="959"/>
      <c r="I832" s="959"/>
      <c r="J832" s="959"/>
      <c r="K832" s="959"/>
      <c r="L832" s="959"/>
      <c r="M832" s="959"/>
      <c r="N832" s="959"/>
      <c r="O832" s="959"/>
      <c r="P832" s="959"/>
      <c r="Q832" s="959"/>
      <c r="R832" s="959"/>
      <c r="S832" s="959"/>
      <c r="T832" s="959"/>
      <c r="U832" s="959"/>
      <c r="V832" s="959"/>
      <c r="W832" s="959"/>
      <c r="X832" s="959"/>
      <c r="Y832" s="959"/>
      <c r="Z832" s="959"/>
      <c r="AA832" s="959"/>
      <c r="AB832" s="959"/>
      <c r="AC832" s="959"/>
      <c r="AD832" s="959"/>
      <c r="AE832" s="959"/>
      <c r="AF832" s="959"/>
      <c r="AG832" s="959"/>
      <c r="AH832" s="959"/>
      <c r="AI832" s="959"/>
      <c r="AJ832" s="959"/>
      <c r="AK832" s="959"/>
      <c r="AL832" s="959"/>
      <c r="AM832" s="959"/>
    </row>
    <row r="833" spans="3:39" x14ac:dyDescent="0.25">
      <c r="C833" s="959"/>
      <c r="D833" s="959"/>
      <c r="E833" s="959"/>
      <c r="F833" s="959"/>
      <c r="G833" s="959"/>
      <c r="H833" s="959"/>
      <c r="I833" s="959"/>
      <c r="J833" s="959"/>
      <c r="K833" s="959"/>
      <c r="L833" s="959"/>
      <c r="M833" s="959"/>
      <c r="N833" s="959"/>
      <c r="O833" s="959"/>
      <c r="P833" s="959"/>
      <c r="Q833" s="959"/>
      <c r="R833" s="959"/>
      <c r="S833" s="959"/>
      <c r="T833" s="959"/>
      <c r="U833" s="959"/>
      <c r="V833" s="959"/>
      <c r="W833" s="959"/>
      <c r="X833" s="959"/>
      <c r="Y833" s="959"/>
      <c r="Z833" s="959"/>
      <c r="AA833" s="959"/>
      <c r="AB833" s="959"/>
      <c r="AC833" s="959"/>
      <c r="AD833" s="959"/>
      <c r="AE833" s="959"/>
      <c r="AF833" s="959"/>
      <c r="AG833" s="959"/>
      <c r="AH833" s="959"/>
      <c r="AI833" s="959"/>
      <c r="AJ833" s="959"/>
      <c r="AK833" s="959"/>
      <c r="AL833" s="959"/>
      <c r="AM833" s="959"/>
    </row>
    <row r="834" spans="3:39" x14ac:dyDescent="0.25">
      <c r="C834" s="959"/>
      <c r="D834" s="959"/>
      <c r="E834" s="959"/>
      <c r="F834" s="959"/>
      <c r="G834" s="959"/>
      <c r="H834" s="959"/>
      <c r="I834" s="959"/>
      <c r="J834" s="959"/>
      <c r="K834" s="959"/>
      <c r="L834" s="959"/>
      <c r="M834" s="959"/>
      <c r="N834" s="959"/>
      <c r="O834" s="959"/>
      <c r="P834" s="959"/>
      <c r="Q834" s="959"/>
      <c r="R834" s="959"/>
      <c r="S834" s="959"/>
      <c r="T834" s="959"/>
      <c r="U834" s="959"/>
      <c r="V834" s="959"/>
      <c r="W834" s="959"/>
      <c r="X834" s="959"/>
      <c r="Y834" s="959"/>
      <c r="Z834" s="959"/>
      <c r="AA834" s="959"/>
      <c r="AB834" s="959"/>
      <c r="AC834" s="959"/>
      <c r="AD834" s="959"/>
      <c r="AE834" s="959"/>
      <c r="AF834" s="959"/>
      <c r="AG834" s="959"/>
      <c r="AH834" s="959"/>
      <c r="AI834" s="959"/>
      <c r="AJ834" s="959"/>
      <c r="AK834" s="959"/>
      <c r="AL834" s="959"/>
      <c r="AM834" s="959"/>
    </row>
    <row r="835" spans="3:39" x14ac:dyDescent="0.25">
      <c r="C835" s="959"/>
      <c r="D835" s="959"/>
      <c r="E835" s="959"/>
      <c r="F835" s="959"/>
      <c r="G835" s="959"/>
      <c r="H835" s="959"/>
      <c r="I835" s="959"/>
      <c r="J835" s="959"/>
      <c r="K835" s="959"/>
      <c r="L835" s="959"/>
      <c r="M835" s="959"/>
      <c r="N835" s="959"/>
      <c r="O835" s="959"/>
      <c r="P835" s="959"/>
      <c r="Q835" s="959"/>
      <c r="R835" s="959"/>
      <c r="S835" s="959"/>
      <c r="T835" s="959"/>
      <c r="U835" s="959"/>
      <c r="V835" s="959"/>
      <c r="W835" s="959"/>
      <c r="X835" s="959"/>
      <c r="Y835" s="959"/>
      <c r="Z835" s="959"/>
      <c r="AA835" s="959"/>
      <c r="AB835" s="959"/>
      <c r="AC835" s="959"/>
      <c r="AD835" s="959"/>
      <c r="AE835" s="959"/>
      <c r="AF835" s="959"/>
      <c r="AG835" s="959"/>
      <c r="AH835" s="959"/>
      <c r="AI835" s="959"/>
      <c r="AJ835" s="959"/>
      <c r="AK835" s="959"/>
      <c r="AL835" s="959"/>
      <c r="AM835" s="959"/>
    </row>
    <row r="836" spans="3:39" x14ac:dyDescent="0.25">
      <c r="C836" s="959"/>
      <c r="D836" s="959"/>
      <c r="E836" s="959"/>
      <c r="F836" s="959"/>
      <c r="G836" s="959"/>
      <c r="H836" s="959"/>
      <c r="I836" s="959"/>
      <c r="J836" s="959"/>
      <c r="K836" s="959"/>
      <c r="L836" s="959"/>
      <c r="M836" s="959"/>
      <c r="N836" s="959"/>
      <c r="O836" s="959"/>
      <c r="P836" s="959"/>
      <c r="Q836" s="959"/>
      <c r="R836" s="959"/>
      <c r="S836" s="959"/>
      <c r="T836" s="959"/>
      <c r="U836" s="959"/>
      <c r="V836" s="959"/>
      <c r="W836" s="959"/>
      <c r="X836" s="959"/>
      <c r="Y836" s="959"/>
      <c r="Z836" s="959"/>
      <c r="AA836" s="959"/>
      <c r="AB836" s="959"/>
      <c r="AC836" s="959"/>
      <c r="AD836" s="959"/>
      <c r="AE836" s="959"/>
      <c r="AF836" s="959"/>
      <c r="AG836" s="959"/>
      <c r="AH836" s="959"/>
      <c r="AI836" s="959"/>
      <c r="AJ836" s="959"/>
      <c r="AK836" s="959"/>
      <c r="AL836" s="959"/>
      <c r="AM836" s="959"/>
    </row>
    <row r="837" spans="3:39" x14ac:dyDescent="0.25">
      <c r="C837" s="959"/>
      <c r="D837" s="959"/>
      <c r="E837" s="959"/>
      <c r="F837" s="959"/>
      <c r="G837" s="959"/>
      <c r="H837" s="959"/>
      <c r="I837" s="959"/>
      <c r="J837" s="959"/>
      <c r="K837" s="959"/>
      <c r="L837" s="959"/>
      <c r="M837" s="959"/>
      <c r="N837" s="959"/>
      <c r="O837" s="959"/>
      <c r="P837" s="959"/>
      <c r="Q837" s="959"/>
      <c r="R837" s="959"/>
      <c r="S837" s="959"/>
      <c r="T837" s="959"/>
      <c r="U837" s="959"/>
      <c r="V837" s="959"/>
      <c r="W837" s="959"/>
      <c r="X837" s="959"/>
      <c r="Y837" s="959"/>
      <c r="Z837" s="959"/>
      <c r="AA837" s="959"/>
      <c r="AB837" s="959"/>
      <c r="AC837" s="959"/>
      <c r="AD837" s="959"/>
      <c r="AE837" s="959"/>
      <c r="AF837" s="959"/>
      <c r="AG837" s="959"/>
      <c r="AH837" s="959"/>
      <c r="AI837" s="959"/>
      <c r="AJ837" s="959"/>
      <c r="AK837" s="959"/>
      <c r="AL837" s="959"/>
      <c r="AM837" s="959"/>
    </row>
    <row r="838" spans="3:39" x14ac:dyDescent="0.25">
      <c r="C838" s="959"/>
      <c r="D838" s="959"/>
      <c r="E838" s="959"/>
      <c r="F838" s="959"/>
      <c r="G838" s="959"/>
      <c r="H838" s="959"/>
      <c r="I838" s="959"/>
      <c r="J838" s="959"/>
      <c r="K838" s="959"/>
      <c r="L838" s="959"/>
      <c r="M838" s="959"/>
      <c r="N838" s="959"/>
      <c r="O838" s="959"/>
      <c r="P838" s="959"/>
      <c r="Q838" s="959"/>
      <c r="R838" s="959"/>
      <c r="S838" s="959"/>
      <c r="T838" s="959"/>
      <c r="U838" s="959"/>
      <c r="V838" s="959"/>
      <c r="W838" s="959"/>
      <c r="X838" s="959"/>
      <c r="Y838" s="959"/>
      <c r="Z838" s="959"/>
      <c r="AA838" s="959"/>
      <c r="AB838" s="959"/>
      <c r="AC838" s="959"/>
      <c r="AD838" s="959"/>
      <c r="AE838" s="959"/>
      <c r="AF838" s="959"/>
      <c r="AG838" s="959"/>
      <c r="AH838" s="959"/>
      <c r="AI838" s="959"/>
      <c r="AJ838" s="959"/>
      <c r="AK838" s="959"/>
      <c r="AL838" s="959"/>
      <c r="AM838" s="959"/>
    </row>
    <row r="839" spans="3:39" x14ac:dyDescent="0.25">
      <c r="C839" s="959"/>
      <c r="D839" s="959"/>
      <c r="E839" s="959"/>
      <c r="F839" s="959"/>
      <c r="G839" s="959"/>
      <c r="H839" s="959"/>
      <c r="I839" s="959"/>
      <c r="J839" s="959"/>
      <c r="K839" s="959"/>
      <c r="L839" s="959"/>
      <c r="M839" s="959"/>
      <c r="N839" s="959"/>
      <c r="O839" s="959"/>
      <c r="P839" s="959"/>
      <c r="Q839" s="959"/>
      <c r="R839" s="959"/>
      <c r="S839" s="959"/>
      <c r="T839" s="959"/>
      <c r="U839" s="959"/>
      <c r="V839" s="959"/>
      <c r="W839" s="959"/>
      <c r="X839" s="959"/>
      <c r="Y839" s="959"/>
      <c r="Z839" s="959"/>
      <c r="AA839" s="959"/>
      <c r="AB839" s="959"/>
      <c r="AC839" s="959"/>
      <c r="AD839" s="959"/>
      <c r="AE839" s="959"/>
      <c r="AF839" s="959"/>
      <c r="AG839" s="959"/>
      <c r="AH839" s="959"/>
      <c r="AI839" s="959"/>
      <c r="AJ839" s="959"/>
      <c r="AK839" s="959"/>
      <c r="AL839" s="959"/>
      <c r="AM839" s="959"/>
    </row>
    <row r="840" spans="3:39" x14ac:dyDescent="0.25">
      <c r="C840" s="959"/>
      <c r="D840" s="959"/>
      <c r="E840" s="959"/>
      <c r="F840" s="959"/>
      <c r="G840" s="959"/>
      <c r="H840" s="959"/>
      <c r="I840" s="959"/>
      <c r="J840" s="959"/>
      <c r="K840" s="959"/>
      <c r="L840" s="959"/>
      <c r="M840" s="959"/>
      <c r="N840" s="959"/>
      <c r="O840" s="959"/>
      <c r="P840" s="959"/>
      <c r="Q840" s="959"/>
      <c r="R840" s="959"/>
      <c r="S840" s="959"/>
      <c r="T840" s="959"/>
      <c r="U840" s="959"/>
      <c r="V840" s="959"/>
      <c r="W840" s="959"/>
      <c r="X840" s="959"/>
      <c r="Y840" s="959"/>
      <c r="Z840" s="959"/>
      <c r="AA840" s="959"/>
      <c r="AB840" s="959"/>
      <c r="AC840" s="959"/>
      <c r="AD840" s="959"/>
      <c r="AE840" s="959"/>
      <c r="AF840" s="959"/>
      <c r="AG840" s="959"/>
      <c r="AH840" s="959"/>
      <c r="AI840" s="959"/>
      <c r="AJ840" s="959"/>
      <c r="AK840" s="959"/>
      <c r="AL840" s="959"/>
      <c r="AM840" s="959"/>
    </row>
    <row r="841" spans="3:39" x14ac:dyDescent="0.25">
      <c r="C841" s="959"/>
      <c r="D841" s="959"/>
      <c r="E841" s="959"/>
      <c r="F841" s="959"/>
      <c r="G841" s="959"/>
      <c r="H841" s="959"/>
      <c r="I841" s="959"/>
      <c r="J841" s="959"/>
      <c r="K841" s="959"/>
      <c r="L841" s="959"/>
      <c r="M841" s="959"/>
      <c r="N841" s="959"/>
      <c r="O841" s="959"/>
      <c r="P841" s="959"/>
      <c r="Q841" s="959"/>
      <c r="R841" s="959"/>
      <c r="S841" s="959"/>
      <c r="T841" s="959"/>
      <c r="U841" s="959"/>
      <c r="V841" s="959"/>
      <c r="W841" s="959"/>
      <c r="X841" s="959"/>
      <c r="Y841" s="959"/>
      <c r="Z841" s="959"/>
      <c r="AA841" s="959"/>
      <c r="AB841" s="959"/>
      <c r="AC841" s="959"/>
      <c r="AD841" s="959"/>
      <c r="AE841" s="959"/>
      <c r="AF841" s="959"/>
      <c r="AG841" s="959"/>
      <c r="AH841" s="959"/>
      <c r="AI841" s="959"/>
      <c r="AJ841" s="959"/>
      <c r="AK841" s="959"/>
      <c r="AL841" s="959"/>
      <c r="AM841" s="959"/>
    </row>
    <row r="842" spans="3:39" x14ac:dyDescent="0.25">
      <c r="C842" s="959"/>
      <c r="D842" s="959"/>
      <c r="E842" s="959"/>
      <c r="F842" s="959"/>
      <c r="G842" s="959"/>
      <c r="H842" s="959"/>
      <c r="I842" s="959"/>
      <c r="J842" s="959"/>
      <c r="K842" s="959"/>
      <c r="L842" s="959"/>
      <c r="M842" s="959"/>
      <c r="N842" s="959"/>
      <c r="O842" s="959"/>
      <c r="P842" s="959"/>
      <c r="Q842" s="959"/>
      <c r="R842" s="959"/>
      <c r="S842" s="959"/>
      <c r="T842" s="959"/>
      <c r="U842" s="959"/>
      <c r="V842" s="959"/>
      <c r="W842" s="959"/>
      <c r="X842" s="959"/>
      <c r="Y842" s="959"/>
      <c r="Z842" s="959"/>
      <c r="AA842" s="959"/>
      <c r="AB842" s="959"/>
      <c r="AC842" s="959"/>
      <c r="AD842" s="959"/>
      <c r="AE842" s="959"/>
      <c r="AF842" s="959"/>
      <c r="AG842" s="959"/>
      <c r="AH842" s="959"/>
      <c r="AI842" s="959"/>
      <c r="AJ842" s="959"/>
      <c r="AK842" s="959"/>
      <c r="AL842" s="959"/>
      <c r="AM842" s="959"/>
    </row>
    <row r="843" spans="3:39" x14ac:dyDescent="0.25">
      <c r="C843" s="959"/>
      <c r="D843" s="959"/>
      <c r="E843" s="959"/>
      <c r="F843" s="959"/>
      <c r="G843" s="959"/>
      <c r="H843" s="959"/>
      <c r="I843" s="959"/>
      <c r="J843" s="959"/>
      <c r="K843" s="959"/>
      <c r="L843" s="959"/>
      <c r="M843" s="959"/>
      <c r="N843" s="959"/>
      <c r="O843" s="959"/>
      <c r="P843" s="959"/>
      <c r="Q843" s="959"/>
      <c r="R843" s="959"/>
      <c r="S843" s="959"/>
      <c r="T843" s="959"/>
      <c r="U843" s="959"/>
      <c r="V843" s="959"/>
      <c r="W843" s="959"/>
      <c r="X843" s="959"/>
      <c r="Y843" s="959"/>
      <c r="Z843" s="959"/>
      <c r="AA843" s="959"/>
      <c r="AB843" s="959"/>
      <c r="AC843" s="959"/>
      <c r="AD843" s="959"/>
      <c r="AE843" s="959"/>
      <c r="AF843" s="959"/>
      <c r="AG843" s="959"/>
      <c r="AH843" s="959"/>
      <c r="AI843" s="959"/>
      <c r="AJ843" s="959"/>
      <c r="AK843" s="959"/>
      <c r="AL843" s="959"/>
      <c r="AM843" s="959"/>
    </row>
    <row r="844" spans="3:39" x14ac:dyDescent="0.25">
      <c r="C844" s="959"/>
      <c r="D844" s="959"/>
      <c r="E844" s="959"/>
      <c r="F844" s="959"/>
      <c r="G844" s="959"/>
      <c r="H844" s="959"/>
      <c r="I844" s="959"/>
      <c r="J844" s="959"/>
      <c r="K844" s="959"/>
      <c r="L844" s="959"/>
      <c r="M844" s="959"/>
      <c r="N844" s="959"/>
      <c r="O844" s="959"/>
      <c r="P844" s="959"/>
      <c r="Q844" s="959"/>
      <c r="R844" s="959"/>
      <c r="S844" s="959"/>
      <c r="T844" s="959"/>
      <c r="U844" s="959"/>
      <c r="V844" s="959"/>
      <c r="W844" s="959"/>
      <c r="X844" s="959"/>
      <c r="Y844" s="959"/>
      <c r="Z844" s="959"/>
      <c r="AA844" s="959"/>
      <c r="AB844" s="959"/>
      <c r="AC844" s="959"/>
      <c r="AD844" s="959"/>
      <c r="AE844" s="959"/>
      <c r="AF844" s="959"/>
      <c r="AG844" s="959"/>
      <c r="AH844" s="959"/>
      <c r="AI844" s="959"/>
      <c r="AJ844" s="959"/>
      <c r="AK844" s="959"/>
      <c r="AL844" s="959"/>
      <c r="AM844" s="959"/>
    </row>
    <row r="845" spans="3:39" x14ac:dyDescent="0.25">
      <c r="C845" s="959"/>
      <c r="D845" s="959"/>
      <c r="E845" s="959"/>
      <c r="F845" s="959"/>
      <c r="G845" s="959"/>
      <c r="H845" s="959"/>
      <c r="I845" s="959"/>
      <c r="J845" s="959"/>
      <c r="K845" s="959"/>
      <c r="L845" s="959"/>
      <c r="M845" s="959"/>
      <c r="N845" s="959"/>
      <c r="O845" s="959"/>
      <c r="P845" s="959"/>
      <c r="Q845" s="959"/>
      <c r="R845" s="959"/>
      <c r="S845" s="959"/>
      <c r="T845" s="959"/>
      <c r="U845" s="959"/>
      <c r="V845" s="959"/>
      <c r="W845" s="959"/>
      <c r="X845" s="959"/>
      <c r="Y845" s="959"/>
      <c r="Z845" s="959"/>
      <c r="AA845" s="959"/>
      <c r="AB845" s="959"/>
      <c r="AC845" s="959"/>
      <c r="AD845" s="959"/>
      <c r="AE845" s="959"/>
      <c r="AF845" s="959"/>
      <c r="AG845" s="959"/>
      <c r="AH845" s="959"/>
      <c r="AI845" s="959"/>
      <c r="AJ845" s="959"/>
      <c r="AK845" s="959"/>
      <c r="AL845" s="959"/>
      <c r="AM845" s="959"/>
    </row>
    <row r="846" spans="3:39" x14ac:dyDescent="0.25">
      <c r="C846" s="959"/>
      <c r="D846" s="959"/>
      <c r="E846" s="959"/>
      <c r="F846" s="959"/>
      <c r="G846" s="959"/>
      <c r="H846" s="959"/>
      <c r="I846" s="959"/>
      <c r="J846" s="959"/>
      <c r="K846" s="959"/>
      <c r="L846" s="959"/>
      <c r="M846" s="959"/>
      <c r="N846" s="959"/>
      <c r="O846" s="959"/>
      <c r="P846" s="959"/>
      <c r="Q846" s="959"/>
      <c r="R846" s="959"/>
      <c r="S846" s="959"/>
      <c r="T846" s="959"/>
      <c r="U846" s="959"/>
      <c r="V846" s="959"/>
      <c r="W846" s="959"/>
      <c r="X846" s="959"/>
      <c r="Y846" s="959"/>
      <c r="Z846" s="959"/>
      <c r="AA846" s="959"/>
      <c r="AB846" s="959"/>
      <c r="AC846" s="959"/>
      <c r="AD846" s="959"/>
      <c r="AE846" s="959"/>
      <c r="AF846" s="959"/>
      <c r="AG846" s="959"/>
      <c r="AH846" s="959"/>
      <c r="AI846" s="959"/>
      <c r="AJ846" s="959"/>
      <c r="AK846" s="959"/>
      <c r="AL846" s="959"/>
      <c r="AM846" s="959"/>
    </row>
    <row r="847" spans="3:39" x14ac:dyDescent="0.25">
      <c r="C847" s="959"/>
      <c r="D847" s="959"/>
      <c r="E847" s="959"/>
      <c r="F847" s="959"/>
      <c r="G847" s="959"/>
      <c r="H847" s="959"/>
      <c r="I847" s="959"/>
      <c r="J847" s="959"/>
      <c r="K847" s="959"/>
      <c r="L847" s="959"/>
      <c r="M847" s="959"/>
      <c r="N847" s="959"/>
      <c r="O847" s="959"/>
      <c r="P847" s="959"/>
      <c r="Q847" s="959"/>
      <c r="R847" s="959"/>
      <c r="S847" s="959"/>
      <c r="T847" s="959"/>
      <c r="U847" s="959"/>
      <c r="V847" s="959"/>
      <c r="W847" s="959"/>
      <c r="X847" s="959"/>
      <c r="Y847" s="959"/>
      <c r="Z847" s="959"/>
      <c r="AA847" s="959"/>
      <c r="AB847" s="959"/>
      <c r="AC847" s="959"/>
      <c r="AD847" s="959"/>
      <c r="AE847" s="959"/>
      <c r="AF847" s="959"/>
      <c r="AG847" s="959"/>
      <c r="AH847" s="959"/>
      <c r="AI847" s="959"/>
      <c r="AJ847" s="959"/>
      <c r="AK847" s="959"/>
      <c r="AL847" s="959"/>
      <c r="AM847" s="959"/>
    </row>
    <row r="848" spans="3:39" x14ac:dyDescent="0.25">
      <c r="C848" s="959"/>
      <c r="D848" s="959"/>
      <c r="E848" s="959"/>
      <c r="F848" s="959"/>
      <c r="G848" s="959"/>
      <c r="H848" s="959"/>
      <c r="I848" s="959"/>
      <c r="J848" s="959"/>
      <c r="K848" s="959"/>
      <c r="L848" s="959"/>
      <c r="M848" s="959"/>
      <c r="N848" s="959"/>
      <c r="O848" s="959"/>
      <c r="P848" s="959"/>
      <c r="Q848" s="959"/>
      <c r="R848" s="959"/>
      <c r="S848" s="959"/>
      <c r="T848" s="959"/>
      <c r="U848" s="959"/>
      <c r="V848" s="959"/>
      <c r="W848" s="959"/>
      <c r="X848" s="959"/>
      <c r="Y848" s="959"/>
      <c r="Z848" s="959"/>
      <c r="AA848" s="959"/>
      <c r="AB848" s="959"/>
      <c r="AC848" s="959"/>
      <c r="AD848" s="959"/>
      <c r="AE848" s="959"/>
      <c r="AF848" s="959"/>
      <c r="AG848" s="959"/>
      <c r="AH848" s="959"/>
      <c r="AI848" s="959"/>
      <c r="AJ848" s="959"/>
      <c r="AK848" s="959"/>
      <c r="AL848" s="959"/>
      <c r="AM848" s="959"/>
    </row>
    <row r="849" spans="3:39" x14ac:dyDescent="0.25">
      <c r="C849" s="959"/>
      <c r="D849" s="959"/>
      <c r="E849" s="959"/>
      <c r="F849" s="959"/>
      <c r="G849" s="959"/>
      <c r="H849" s="959"/>
      <c r="I849" s="959"/>
      <c r="J849" s="959"/>
      <c r="K849" s="959"/>
      <c r="L849" s="959"/>
      <c r="M849" s="959"/>
      <c r="N849" s="959"/>
      <c r="O849" s="959"/>
      <c r="P849" s="959"/>
      <c r="Q849" s="959"/>
      <c r="R849" s="959"/>
      <c r="S849" s="959"/>
      <c r="T849" s="959"/>
      <c r="U849" s="959"/>
      <c r="V849" s="959"/>
      <c r="W849" s="959"/>
      <c r="X849" s="959"/>
      <c r="Y849" s="959"/>
      <c r="Z849" s="959"/>
      <c r="AA849" s="959"/>
      <c r="AB849" s="959"/>
      <c r="AC849" s="959"/>
      <c r="AD849" s="959"/>
      <c r="AE849" s="959"/>
      <c r="AF849" s="959"/>
      <c r="AG849" s="959"/>
      <c r="AH849" s="959"/>
      <c r="AI849" s="959"/>
      <c r="AJ849" s="959"/>
      <c r="AK849" s="959"/>
      <c r="AL849" s="959"/>
      <c r="AM849" s="959"/>
    </row>
    <row r="850" spans="3:39" x14ac:dyDescent="0.25">
      <c r="C850" s="959"/>
      <c r="D850" s="959"/>
      <c r="E850" s="959"/>
      <c r="F850" s="959"/>
      <c r="G850" s="959"/>
      <c r="H850" s="959"/>
      <c r="I850" s="959"/>
      <c r="J850" s="959"/>
      <c r="K850" s="959"/>
      <c r="L850" s="959"/>
      <c r="M850" s="959"/>
      <c r="N850" s="959"/>
      <c r="O850" s="959"/>
      <c r="P850" s="959"/>
      <c r="Q850" s="959"/>
      <c r="R850" s="959"/>
      <c r="S850" s="959"/>
      <c r="T850" s="959"/>
      <c r="U850" s="959"/>
      <c r="V850" s="959"/>
      <c r="W850" s="959"/>
      <c r="X850" s="959"/>
      <c r="Y850" s="959"/>
      <c r="Z850" s="959"/>
      <c r="AA850" s="959"/>
      <c r="AB850" s="959"/>
      <c r="AC850" s="959"/>
      <c r="AD850" s="959"/>
      <c r="AE850" s="959"/>
      <c r="AF850" s="959"/>
      <c r="AG850" s="959"/>
      <c r="AH850" s="959"/>
      <c r="AI850" s="959"/>
      <c r="AJ850" s="959"/>
      <c r="AK850" s="959"/>
      <c r="AL850" s="959"/>
      <c r="AM850" s="959"/>
    </row>
    <row r="851" spans="3:39" x14ac:dyDescent="0.25">
      <c r="C851" s="959"/>
      <c r="D851" s="959"/>
      <c r="E851" s="959"/>
      <c r="F851" s="959"/>
      <c r="G851" s="959"/>
      <c r="H851" s="959"/>
      <c r="I851" s="959"/>
      <c r="J851" s="959"/>
      <c r="K851" s="959"/>
      <c r="L851" s="959"/>
      <c r="M851" s="959"/>
      <c r="N851" s="959"/>
      <c r="O851" s="959"/>
      <c r="P851" s="959"/>
      <c r="Q851" s="959"/>
      <c r="R851" s="959"/>
      <c r="S851" s="959"/>
      <c r="T851" s="959"/>
      <c r="U851" s="959"/>
      <c r="V851" s="959"/>
      <c r="W851" s="959"/>
      <c r="X851" s="959"/>
      <c r="Y851" s="959"/>
      <c r="Z851" s="959"/>
      <c r="AA851" s="959"/>
      <c r="AB851" s="959"/>
      <c r="AC851" s="959"/>
      <c r="AD851" s="959"/>
      <c r="AE851" s="959"/>
      <c r="AF851" s="959"/>
      <c r="AG851" s="959"/>
      <c r="AH851" s="959"/>
      <c r="AI851" s="959"/>
      <c r="AJ851" s="959"/>
      <c r="AK851" s="959"/>
      <c r="AL851" s="959"/>
      <c r="AM851" s="959"/>
    </row>
    <row r="852" spans="3:39" x14ac:dyDescent="0.25">
      <c r="C852" s="959"/>
      <c r="D852" s="959"/>
      <c r="E852" s="959"/>
      <c r="F852" s="959"/>
      <c r="G852" s="959"/>
      <c r="H852" s="959"/>
      <c r="I852" s="959"/>
      <c r="J852" s="959"/>
      <c r="K852" s="959"/>
      <c r="L852" s="959"/>
      <c r="M852" s="959"/>
      <c r="N852" s="959"/>
      <c r="O852" s="959"/>
      <c r="P852" s="959"/>
      <c r="Q852" s="959"/>
      <c r="R852" s="959"/>
      <c r="S852" s="959"/>
      <c r="T852" s="959"/>
      <c r="U852" s="959"/>
      <c r="V852" s="959"/>
      <c r="W852" s="959"/>
      <c r="X852" s="959"/>
      <c r="Y852" s="959"/>
      <c r="Z852" s="959"/>
      <c r="AA852" s="959"/>
      <c r="AB852" s="959"/>
      <c r="AC852" s="959"/>
      <c r="AD852" s="959"/>
      <c r="AE852" s="959"/>
      <c r="AF852" s="959"/>
      <c r="AG852" s="959"/>
      <c r="AH852" s="959"/>
      <c r="AI852" s="959"/>
      <c r="AJ852" s="959"/>
      <c r="AK852" s="959"/>
      <c r="AL852" s="959"/>
      <c r="AM852" s="959"/>
    </row>
    <row r="853" spans="3:39" x14ac:dyDescent="0.25">
      <c r="C853" s="959"/>
      <c r="D853" s="959"/>
      <c r="E853" s="959"/>
      <c r="F853" s="959"/>
      <c r="G853" s="959"/>
      <c r="H853" s="959"/>
      <c r="I853" s="959"/>
      <c r="J853" s="959"/>
      <c r="K853" s="959"/>
      <c r="L853" s="959"/>
      <c r="M853" s="959"/>
      <c r="N853" s="959"/>
      <c r="O853" s="959"/>
      <c r="P853" s="959"/>
      <c r="Q853" s="959"/>
      <c r="R853" s="959"/>
      <c r="S853" s="959"/>
      <c r="T853" s="959"/>
      <c r="U853" s="959"/>
      <c r="V853" s="959"/>
      <c r="W853" s="959"/>
      <c r="X853" s="959"/>
      <c r="Y853" s="959"/>
      <c r="Z853" s="959"/>
      <c r="AA853" s="959"/>
      <c r="AB853" s="959"/>
      <c r="AC853" s="959"/>
      <c r="AD853" s="959"/>
      <c r="AE853" s="959"/>
      <c r="AF853" s="959"/>
      <c r="AG853" s="959"/>
      <c r="AH853" s="959"/>
      <c r="AI853" s="959"/>
      <c r="AJ853" s="959"/>
      <c r="AK853" s="959"/>
      <c r="AL853" s="959"/>
      <c r="AM853" s="959"/>
    </row>
    <row r="854" spans="3:39" x14ac:dyDescent="0.25">
      <c r="C854" s="959"/>
      <c r="D854" s="959"/>
      <c r="E854" s="959"/>
      <c r="F854" s="959"/>
      <c r="G854" s="959"/>
      <c r="H854" s="959"/>
      <c r="I854" s="959"/>
      <c r="J854" s="959"/>
      <c r="K854" s="959"/>
      <c r="L854" s="959"/>
      <c r="M854" s="959"/>
      <c r="N854" s="959"/>
      <c r="O854" s="959"/>
      <c r="P854" s="959"/>
      <c r="Q854" s="959"/>
      <c r="R854" s="959"/>
      <c r="S854" s="959"/>
      <c r="T854" s="959"/>
      <c r="U854" s="959"/>
      <c r="V854" s="959"/>
      <c r="W854" s="959"/>
      <c r="X854" s="959"/>
      <c r="Y854" s="959"/>
      <c r="Z854" s="959"/>
      <c r="AA854" s="959"/>
      <c r="AB854" s="959"/>
      <c r="AC854" s="959"/>
      <c r="AD854" s="959"/>
      <c r="AE854" s="959"/>
      <c r="AF854" s="959"/>
      <c r="AG854" s="959"/>
      <c r="AH854" s="959"/>
      <c r="AI854" s="959"/>
      <c r="AJ854" s="959"/>
      <c r="AK854" s="959"/>
      <c r="AL854" s="959"/>
      <c r="AM854" s="959"/>
    </row>
    <row r="855" spans="3:39" x14ac:dyDescent="0.25">
      <c r="C855" s="959"/>
      <c r="D855" s="959"/>
      <c r="E855" s="959"/>
      <c r="F855" s="959"/>
      <c r="G855" s="959"/>
      <c r="H855" s="959"/>
      <c r="I855" s="959"/>
      <c r="J855" s="959"/>
      <c r="K855" s="959"/>
      <c r="L855" s="959"/>
      <c r="M855" s="959"/>
      <c r="N855" s="959"/>
      <c r="O855" s="959"/>
      <c r="P855" s="959"/>
      <c r="Q855" s="959"/>
      <c r="R855" s="959"/>
      <c r="S855" s="959"/>
      <c r="T855" s="959"/>
      <c r="U855" s="959"/>
      <c r="V855" s="959"/>
      <c r="W855" s="959"/>
      <c r="X855" s="959"/>
      <c r="Y855" s="959"/>
      <c r="Z855" s="959"/>
      <c r="AA855" s="959"/>
      <c r="AB855" s="959"/>
      <c r="AC855" s="959"/>
      <c r="AD855" s="959"/>
      <c r="AE855" s="959"/>
      <c r="AF855" s="959"/>
      <c r="AG855" s="959"/>
      <c r="AH855" s="959"/>
      <c r="AI855" s="959"/>
      <c r="AJ855" s="959"/>
      <c r="AK855" s="959"/>
      <c r="AL855" s="959"/>
      <c r="AM855" s="959"/>
    </row>
    <row r="856" spans="3:39" x14ac:dyDescent="0.25">
      <c r="C856" s="959"/>
      <c r="D856" s="959"/>
      <c r="E856" s="959"/>
      <c r="F856" s="959"/>
      <c r="G856" s="959"/>
      <c r="H856" s="959"/>
      <c r="I856" s="959"/>
      <c r="J856" s="959"/>
      <c r="K856" s="959"/>
      <c r="L856" s="959"/>
      <c r="M856" s="959"/>
      <c r="N856" s="959"/>
      <c r="O856" s="959"/>
      <c r="P856" s="959"/>
      <c r="Q856" s="959"/>
      <c r="R856" s="959"/>
      <c r="S856" s="959"/>
      <c r="T856" s="959"/>
      <c r="U856" s="959"/>
      <c r="V856" s="959"/>
      <c r="W856" s="959"/>
      <c r="X856" s="959"/>
      <c r="Y856" s="959"/>
      <c r="Z856" s="959"/>
      <c r="AA856" s="959"/>
      <c r="AB856" s="959"/>
      <c r="AC856" s="959"/>
      <c r="AD856" s="959"/>
      <c r="AE856" s="959"/>
      <c r="AF856" s="959"/>
      <c r="AG856" s="959"/>
      <c r="AH856" s="959"/>
      <c r="AI856" s="959"/>
      <c r="AJ856" s="959"/>
      <c r="AK856" s="959"/>
      <c r="AL856" s="959"/>
      <c r="AM856" s="959"/>
    </row>
    <row r="857" spans="3:39" x14ac:dyDescent="0.25">
      <c r="C857" s="959"/>
      <c r="D857" s="959"/>
      <c r="E857" s="959"/>
      <c r="F857" s="959"/>
      <c r="G857" s="959"/>
      <c r="H857" s="959"/>
      <c r="I857" s="959"/>
      <c r="J857" s="959"/>
      <c r="K857" s="959"/>
      <c r="L857" s="959"/>
      <c r="M857" s="959"/>
      <c r="N857" s="959"/>
      <c r="O857" s="959"/>
      <c r="P857" s="959"/>
      <c r="Q857" s="959"/>
      <c r="R857" s="959"/>
      <c r="S857" s="959"/>
      <c r="T857" s="959"/>
      <c r="U857" s="959"/>
      <c r="V857" s="959"/>
      <c r="W857" s="959"/>
      <c r="X857" s="959"/>
      <c r="Y857" s="959"/>
      <c r="Z857" s="959"/>
      <c r="AA857" s="959"/>
      <c r="AB857" s="959"/>
      <c r="AC857" s="959"/>
      <c r="AD857" s="959"/>
      <c r="AE857" s="959"/>
      <c r="AF857" s="959"/>
      <c r="AG857" s="959"/>
      <c r="AH857" s="959"/>
      <c r="AI857" s="959"/>
      <c r="AJ857" s="959"/>
      <c r="AK857" s="959"/>
      <c r="AL857" s="959"/>
      <c r="AM857" s="959"/>
    </row>
    <row r="858" spans="3:39" x14ac:dyDescent="0.25">
      <c r="C858" s="959"/>
      <c r="D858" s="959"/>
      <c r="E858" s="959"/>
      <c r="F858" s="959"/>
      <c r="G858" s="959"/>
      <c r="H858" s="959"/>
      <c r="I858" s="959"/>
      <c r="J858" s="959"/>
      <c r="K858" s="959"/>
      <c r="L858" s="959"/>
      <c r="M858" s="959"/>
      <c r="N858" s="959"/>
      <c r="O858" s="959"/>
      <c r="P858" s="959"/>
      <c r="Q858" s="959"/>
      <c r="R858" s="959"/>
      <c r="S858" s="959"/>
      <c r="T858" s="959"/>
      <c r="U858" s="959"/>
      <c r="V858" s="959"/>
      <c r="W858" s="959"/>
      <c r="X858" s="959"/>
      <c r="Y858" s="959"/>
      <c r="Z858" s="959"/>
      <c r="AA858" s="959"/>
      <c r="AB858" s="959"/>
      <c r="AC858" s="959"/>
      <c r="AD858" s="959"/>
      <c r="AE858" s="959"/>
      <c r="AF858" s="959"/>
      <c r="AG858" s="959"/>
      <c r="AH858" s="959"/>
      <c r="AI858" s="959"/>
      <c r="AJ858" s="959"/>
      <c r="AK858" s="959"/>
      <c r="AL858" s="959"/>
      <c r="AM858" s="959"/>
    </row>
    <row r="859" spans="3:39" x14ac:dyDescent="0.25">
      <c r="C859" s="959"/>
      <c r="D859" s="959"/>
      <c r="E859" s="959"/>
      <c r="F859" s="959"/>
      <c r="G859" s="959"/>
      <c r="H859" s="959"/>
      <c r="I859" s="959"/>
      <c r="J859" s="959"/>
      <c r="K859" s="959"/>
      <c r="L859" s="959"/>
      <c r="M859" s="959"/>
      <c r="N859" s="959"/>
      <c r="O859" s="959"/>
      <c r="P859" s="959"/>
      <c r="Q859" s="959"/>
      <c r="R859" s="959"/>
      <c r="S859" s="959"/>
      <c r="T859" s="959"/>
      <c r="U859" s="959"/>
      <c r="V859" s="959"/>
      <c r="W859" s="959"/>
      <c r="X859" s="959"/>
      <c r="Y859" s="959"/>
      <c r="Z859" s="959"/>
      <c r="AA859" s="959"/>
      <c r="AB859" s="959"/>
      <c r="AC859" s="959"/>
      <c r="AD859" s="959"/>
      <c r="AE859" s="959"/>
      <c r="AF859" s="959"/>
      <c r="AG859" s="959"/>
      <c r="AH859" s="959"/>
      <c r="AI859" s="959"/>
      <c r="AJ859" s="959"/>
      <c r="AK859" s="959"/>
      <c r="AL859" s="959"/>
      <c r="AM859" s="959"/>
    </row>
    <row r="860" spans="3:39" x14ac:dyDescent="0.25">
      <c r="C860" s="959"/>
      <c r="D860" s="959"/>
      <c r="E860" s="959"/>
      <c r="F860" s="959"/>
      <c r="G860" s="959"/>
      <c r="H860" s="959"/>
      <c r="I860" s="959"/>
      <c r="J860" s="959"/>
      <c r="K860" s="959"/>
      <c r="L860" s="959"/>
      <c r="M860" s="959"/>
      <c r="N860" s="959"/>
      <c r="O860" s="959"/>
      <c r="P860" s="959"/>
      <c r="Q860" s="959"/>
      <c r="R860" s="959"/>
      <c r="S860" s="959"/>
      <c r="T860" s="959"/>
      <c r="U860" s="959"/>
      <c r="V860" s="959"/>
      <c r="W860" s="959"/>
      <c r="X860" s="959"/>
      <c r="Y860" s="959"/>
      <c r="Z860" s="959"/>
      <c r="AA860" s="959"/>
      <c r="AB860" s="959"/>
      <c r="AC860" s="959"/>
      <c r="AD860" s="959"/>
      <c r="AE860" s="959"/>
      <c r="AF860" s="959"/>
      <c r="AG860" s="959"/>
      <c r="AH860" s="959"/>
      <c r="AI860" s="959"/>
      <c r="AJ860" s="959"/>
      <c r="AK860" s="959"/>
      <c r="AL860" s="959"/>
      <c r="AM860" s="959"/>
    </row>
    <row r="861" spans="3:39" x14ac:dyDescent="0.25">
      <c r="C861" s="959"/>
      <c r="D861" s="959"/>
      <c r="E861" s="959"/>
      <c r="F861" s="959"/>
      <c r="G861" s="959"/>
      <c r="H861" s="959"/>
      <c r="I861" s="959"/>
      <c r="J861" s="959"/>
      <c r="K861" s="959"/>
      <c r="L861" s="959"/>
      <c r="M861" s="959"/>
      <c r="N861" s="959"/>
      <c r="O861" s="959"/>
      <c r="P861" s="959"/>
      <c r="Q861" s="959"/>
      <c r="R861" s="959"/>
      <c r="S861" s="959"/>
      <c r="T861" s="959"/>
      <c r="U861" s="959"/>
      <c r="V861" s="959"/>
      <c r="W861" s="959"/>
      <c r="X861" s="959"/>
      <c r="Y861" s="959"/>
      <c r="Z861" s="959"/>
      <c r="AA861" s="959"/>
      <c r="AB861" s="959"/>
      <c r="AC861" s="959"/>
      <c r="AD861" s="959"/>
      <c r="AE861" s="959"/>
      <c r="AF861" s="959"/>
      <c r="AG861" s="959"/>
      <c r="AH861" s="959"/>
      <c r="AI861" s="959"/>
      <c r="AJ861" s="959"/>
      <c r="AK861" s="959"/>
      <c r="AL861" s="959"/>
      <c r="AM861" s="959"/>
    </row>
    <row r="862" spans="3:39" x14ac:dyDescent="0.25">
      <c r="C862" s="959"/>
      <c r="D862" s="959"/>
      <c r="E862" s="959"/>
      <c r="F862" s="959"/>
      <c r="G862" s="959"/>
      <c r="H862" s="959"/>
      <c r="I862" s="959"/>
      <c r="J862" s="959"/>
      <c r="K862" s="959"/>
      <c r="L862" s="959"/>
      <c r="M862" s="959"/>
      <c r="N862" s="959"/>
      <c r="O862" s="959"/>
      <c r="P862" s="959"/>
      <c r="Q862" s="959"/>
      <c r="R862" s="959"/>
      <c r="S862" s="959"/>
      <c r="T862" s="959"/>
      <c r="U862" s="959"/>
      <c r="V862" s="959"/>
      <c r="W862" s="959"/>
      <c r="X862" s="959"/>
      <c r="Y862" s="959"/>
      <c r="Z862" s="959"/>
      <c r="AA862" s="959"/>
      <c r="AB862" s="959"/>
      <c r="AC862" s="959"/>
      <c r="AD862" s="959"/>
      <c r="AE862" s="959"/>
      <c r="AF862" s="959"/>
      <c r="AG862" s="959"/>
      <c r="AH862" s="959"/>
      <c r="AI862" s="959"/>
      <c r="AJ862" s="959"/>
      <c r="AK862" s="959"/>
      <c r="AL862" s="959"/>
      <c r="AM862" s="959"/>
    </row>
    <row r="863" spans="3:39" x14ac:dyDescent="0.25">
      <c r="C863" s="959"/>
      <c r="D863" s="959"/>
      <c r="E863" s="959"/>
      <c r="F863" s="959"/>
      <c r="G863" s="959"/>
      <c r="H863" s="959"/>
      <c r="I863" s="959"/>
      <c r="J863" s="959"/>
      <c r="K863" s="959"/>
      <c r="L863" s="959"/>
      <c r="M863" s="959"/>
      <c r="N863" s="959"/>
      <c r="O863" s="959"/>
      <c r="P863" s="959"/>
      <c r="Q863" s="959"/>
      <c r="R863" s="959"/>
      <c r="S863" s="959"/>
      <c r="T863" s="959"/>
      <c r="U863" s="959"/>
      <c r="V863" s="959"/>
      <c r="W863" s="959"/>
      <c r="X863" s="959"/>
      <c r="Y863" s="959"/>
      <c r="Z863" s="959"/>
      <c r="AA863" s="959"/>
      <c r="AB863" s="959"/>
      <c r="AC863" s="959"/>
      <c r="AD863" s="959"/>
      <c r="AE863" s="959"/>
      <c r="AF863" s="959"/>
      <c r="AG863" s="959"/>
      <c r="AH863" s="959"/>
      <c r="AI863" s="959"/>
      <c r="AJ863" s="959"/>
      <c r="AK863" s="959"/>
      <c r="AL863" s="959"/>
      <c r="AM863" s="959"/>
    </row>
    <row r="864" spans="3:39" x14ac:dyDescent="0.25">
      <c r="C864" s="959"/>
      <c r="D864" s="959"/>
      <c r="E864" s="959"/>
      <c r="F864" s="959"/>
      <c r="G864" s="959"/>
      <c r="H864" s="959"/>
      <c r="I864" s="959"/>
      <c r="J864" s="959"/>
      <c r="K864" s="959"/>
      <c r="L864" s="959"/>
      <c r="M864" s="959"/>
      <c r="N864" s="959"/>
      <c r="O864" s="959"/>
      <c r="P864" s="959"/>
      <c r="Q864" s="959"/>
      <c r="R864" s="959"/>
      <c r="S864" s="959"/>
      <c r="T864" s="959"/>
      <c r="U864" s="959"/>
      <c r="V864" s="959"/>
      <c r="W864" s="959"/>
      <c r="X864" s="959"/>
      <c r="Y864" s="959"/>
      <c r="Z864" s="959"/>
      <c r="AA864" s="959"/>
      <c r="AB864" s="959"/>
      <c r="AC864" s="959"/>
      <c r="AD864" s="959"/>
      <c r="AE864" s="959"/>
      <c r="AF864" s="959"/>
      <c r="AG864" s="959"/>
      <c r="AH864" s="959"/>
      <c r="AI864" s="959"/>
      <c r="AJ864" s="959"/>
      <c r="AK864" s="959"/>
      <c r="AL864" s="959"/>
      <c r="AM864" s="959"/>
    </row>
    <row r="865" spans="3:39" x14ac:dyDescent="0.25">
      <c r="C865" s="959"/>
      <c r="D865" s="959"/>
      <c r="E865" s="959"/>
      <c r="F865" s="959"/>
      <c r="G865" s="959"/>
      <c r="H865" s="959"/>
      <c r="I865" s="959"/>
      <c r="J865" s="959"/>
      <c r="K865" s="959"/>
      <c r="L865" s="959"/>
      <c r="M865" s="959"/>
      <c r="N865" s="959"/>
      <c r="O865" s="959"/>
      <c r="P865" s="959"/>
      <c r="Q865" s="959"/>
      <c r="R865" s="959"/>
      <c r="S865" s="959"/>
      <c r="T865" s="959"/>
      <c r="U865" s="959"/>
      <c r="V865" s="959"/>
      <c r="W865" s="959"/>
      <c r="X865" s="959"/>
      <c r="Y865" s="959"/>
      <c r="Z865" s="959"/>
      <c r="AA865" s="959"/>
      <c r="AB865" s="959"/>
      <c r="AC865" s="959"/>
      <c r="AD865" s="959"/>
      <c r="AE865" s="959"/>
      <c r="AF865" s="959"/>
      <c r="AG865" s="959"/>
      <c r="AH865" s="959"/>
      <c r="AI865" s="959"/>
      <c r="AJ865" s="959"/>
      <c r="AK865" s="959"/>
      <c r="AL865" s="959"/>
      <c r="AM865" s="959"/>
    </row>
    <row r="866" spans="3:39" x14ac:dyDescent="0.25">
      <c r="C866" s="959"/>
      <c r="D866" s="959"/>
      <c r="E866" s="959"/>
      <c r="F866" s="959"/>
      <c r="G866" s="959"/>
      <c r="H866" s="959"/>
      <c r="I866" s="959"/>
      <c r="J866" s="959"/>
      <c r="K866" s="959"/>
      <c r="L866" s="959"/>
      <c r="M866" s="959"/>
      <c r="N866" s="959"/>
      <c r="O866" s="959"/>
      <c r="P866" s="959"/>
      <c r="Q866" s="959"/>
      <c r="R866" s="959"/>
      <c r="S866" s="959"/>
      <c r="T866" s="959"/>
      <c r="U866" s="959"/>
      <c r="V866" s="959"/>
      <c r="W866" s="959"/>
      <c r="X866" s="959"/>
      <c r="Y866" s="959"/>
      <c r="Z866" s="959"/>
      <c r="AA866" s="959"/>
      <c r="AB866" s="959"/>
      <c r="AC866" s="959"/>
      <c r="AD866" s="959"/>
      <c r="AE866" s="959"/>
      <c r="AF866" s="959"/>
      <c r="AG866" s="959"/>
      <c r="AH866" s="959"/>
      <c r="AI866" s="959"/>
      <c r="AJ866" s="959"/>
      <c r="AK866" s="959"/>
      <c r="AL866" s="959"/>
      <c r="AM866" s="959"/>
    </row>
    <row r="867" spans="3:39" x14ac:dyDescent="0.25">
      <c r="C867" s="959"/>
      <c r="D867" s="959"/>
      <c r="E867" s="959"/>
      <c r="F867" s="959"/>
      <c r="G867" s="959"/>
      <c r="H867" s="959"/>
      <c r="I867" s="959"/>
      <c r="J867" s="959"/>
      <c r="K867" s="959"/>
      <c r="L867" s="959"/>
      <c r="M867" s="959"/>
      <c r="N867" s="959"/>
      <c r="O867" s="959"/>
      <c r="P867" s="959"/>
      <c r="Q867" s="959"/>
      <c r="R867" s="959"/>
      <c r="S867" s="959"/>
      <c r="T867" s="959"/>
      <c r="U867" s="959"/>
      <c r="V867" s="959"/>
      <c r="W867" s="959"/>
      <c r="X867" s="959"/>
      <c r="Y867" s="959"/>
      <c r="Z867" s="959"/>
      <c r="AA867" s="959"/>
      <c r="AB867" s="959"/>
      <c r="AC867" s="959"/>
      <c r="AD867" s="959"/>
      <c r="AE867" s="959"/>
      <c r="AF867" s="959"/>
      <c r="AG867" s="959"/>
      <c r="AH867" s="959"/>
      <c r="AI867" s="959"/>
      <c r="AJ867" s="959"/>
      <c r="AK867" s="959"/>
      <c r="AL867" s="959"/>
      <c r="AM867" s="959"/>
    </row>
    <row r="868" spans="3:39" x14ac:dyDescent="0.25">
      <c r="C868" s="959"/>
      <c r="D868" s="959"/>
      <c r="E868" s="959"/>
      <c r="F868" s="959"/>
      <c r="G868" s="959"/>
      <c r="H868" s="959"/>
      <c r="I868" s="959"/>
      <c r="J868" s="959"/>
      <c r="K868" s="959"/>
      <c r="L868" s="959"/>
      <c r="M868" s="959"/>
      <c r="N868" s="959"/>
      <c r="O868" s="959"/>
      <c r="P868" s="959"/>
      <c r="Q868" s="959"/>
      <c r="R868" s="959"/>
      <c r="S868" s="959"/>
      <c r="T868" s="959"/>
      <c r="U868" s="959"/>
      <c r="V868" s="959"/>
      <c r="W868" s="959"/>
      <c r="X868" s="959"/>
      <c r="Y868" s="959"/>
      <c r="Z868" s="959"/>
      <c r="AA868" s="959"/>
      <c r="AB868" s="959"/>
      <c r="AC868" s="959"/>
      <c r="AD868" s="959"/>
      <c r="AE868" s="959"/>
      <c r="AF868" s="959"/>
      <c r="AG868" s="959"/>
      <c r="AH868" s="959"/>
      <c r="AI868" s="959"/>
      <c r="AJ868" s="959"/>
      <c r="AK868" s="959"/>
      <c r="AL868" s="959"/>
      <c r="AM868" s="959"/>
    </row>
    <row r="869" spans="3:39" x14ac:dyDescent="0.25">
      <c r="C869" s="959"/>
      <c r="D869" s="959"/>
      <c r="E869" s="959"/>
      <c r="F869" s="959"/>
      <c r="G869" s="959"/>
      <c r="H869" s="959"/>
      <c r="I869" s="959"/>
      <c r="J869" s="959"/>
      <c r="K869" s="959"/>
      <c r="L869" s="959"/>
      <c r="M869" s="959"/>
      <c r="N869" s="959"/>
      <c r="O869" s="959"/>
      <c r="P869" s="959"/>
      <c r="Q869" s="959"/>
      <c r="R869" s="959"/>
      <c r="S869" s="959"/>
      <c r="T869" s="959"/>
      <c r="U869" s="959"/>
      <c r="V869" s="959"/>
      <c r="W869" s="959"/>
      <c r="X869" s="959"/>
      <c r="Y869" s="959"/>
      <c r="Z869" s="959"/>
      <c r="AA869" s="959"/>
      <c r="AB869" s="959"/>
      <c r="AC869" s="959"/>
      <c r="AD869" s="959"/>
      <c r="AE869" s="959"/>
      <c r="AF869" s="959"/>
      <c r="AG869" s="959"/>
      <c r="AH869" s="959"/>
      <c r="AI869" s="959"/>
      <c r="AJ869" s="959"/>
      <c r="AK869" s="959"/>
      <c r="AL869" s="959"/>
      <c r="AM869" s="959"/>
    </row>
    <row r="870" spans="3:39" x14ac:dyDescent="0.25">
      <c r="C870" s="959"/>
      <c r="D870" s="959"/>
      <c r="E870" s="959"/>
      <c r="F870" s="959"/>
      <c r="G870" s="959"/>
      <c r="H870" s="959"/>
      <c r="I870" s="959"/>
      <c r="J870" s="959"/>
      <c r="K870" s="959"/>
      <c r="L870" s="959"/>
      <c r="M870" s="959"/>
      <c r="N870" s="959"/>
      <c r="O870" s="959"/>
      <c r="P870" s="959"/>
      <c r="Q870" s="959"/>
      <c r="R870" s="959"/>
      <c r="S870" s="959"/>
      <c r="T870" s="959"/>
      <c r="U870" s="959"/>
      <c r="V870" s="959"/>
      <c r="W870" s="959"/>
      <c r="X870" s="959"/>
      <c r="Y870" s="959"/>
      <c r="Z870" s="959"/>
      <c r="AA870" s="959"/>
      <c r="AB870" s="959"/>
      <c r="AC870" s="959"/>
      <c r="AD870" s="959"/>
      <c r="AE870" s="959"/>
      <c r="AF870" s="959"/>
      <c r="AG870" s="959"/>
      <c r="AH870" s="959"/>
      <c r="AI870" s="959"/>
      <c r="AJ870" s="959"/>
      <c r="AK870" s="959"/>
      <c r="AL870" s="959"/>
      <c r="AM870" s="959"/>
    </row>
    <row r="871" spans="3:39" x14ac:dyDescent="0.25">
      <c r="C871" s="959"/>
      <c r="D871" s="959"/>
      <c r="E871" s="959"/>
      <c r="F871" s="959"/>
      <c r="G871" s="959"/>
      <c r="H871" s="959"/>
      <c r="I871" s="959"/>
      <c r="J871" s="959"/>
      <c r="K871" s="959"/>
      <c r="L871" s="959"/>
      <c r="M871" s="959"/>
      <c r="N871" s="959"/>
      <c r="O871" s="959"/>
      <c r="P871" s="959"/>
      <c r="Q871" s="959"/>
      <c r="R871" s="959"/>
      <c r="S871" s="959"/>
      <c r="T871" s="959"/>
      <c r="U871" s="959"/>
      <c r="V871" s="959"/>
      <c r="W871" s="959"/>
      <c r="X871" s="959"/>
      <c r="Y871" s="959"/>
      <c r="Z871" s="959"/>
      <c r="AA871" s="959"/>
      <c r="AB871" s="959"/>
      <c r="AC871" s="959"/>
      <c r="AD871" s="959"/>
      <c r="AE871" s="959"/>
      <c r="AF871" s="959"/>
      <c r="AG871" s="959"/>
      <c r="AH871" s="959"/>
      <c r="AI871" s="959"/>
      <c r="AJ871" s="959"/>
      <c r="AK871" s="959"/>
      <c r="AL871" s="959"/>
      <c r="AM871" s="959"/>
    </row>
    <row r="872" spans="3:39" x14ac:dyDescent="0.25">
      <c r="C872" s="959"/>
      <c r="D872" s="959"/>
      <c r="E872" s="959"/>
      <c r="F872" s="959"/>
      <c r="G872" s="959"/>
      <c r="H872" s="959"/>
      <c r="I872" s="959"/>
      <c r="J872" s="959"/>
      <c r="K872" s="959"/>
      <c r="L872" s="959"/>
      <c r="M872" s="959"/>
      <c r="N872" s="959"/>
      <c r="O872" s="959"/>
      <c r="P872" s="959"/>
      <c r="Q872" s="959"/>
      <c r="R872" s="959"/>
      <c r="S872" s="959"/>
      <c r="T872" s="959"/>
      <c r="U872" s="959"/>
      <c r="V872" s="959"/>
      <c r="W872" s="959"/>
      <c r="X872" s="959"/>
      <c r="Y872" s="959"/>
      <c r="Z872" s="959"/>
      <c r="AA872" s="959"/>
      <c r="AB872" s="959"/>
      <c r="AC872" s="959"/>
      <c r="AD872" s="959"/>
      <c r="AE872" s="959"/>
      <c r="AF872" s="959"/>
      <c r="AG872" s="959"/>
      <c r="AH872" s="959"/>
      <c r="AI872" s="959"/>
      <c r="AJ872" s="959"/>
      <c r="AK872" s="959"/>
      <c r="AL872" s="959"/>
      <c r="AM872" s="959"/>
    </row>
    <row r="873" spans="3:39" x14ac:dyDescent="0.25">
      <c r="C873" s="959"/>
      <c r="D873" s="959"/>
      <c r="E873" s="959"/>
      <c r="F873" s="959"/>
      <c r="G873" s="959"/>
      <c r="H873" s="959"/>
      <c r="I873" s="959"/>
      <c r="J873" s="959"/>
      <c r="K873" s="959"/>
      <c r="L873" s="959"/>
      <c r="M873" s="959"/>
      <c r="N873" s="959"/>
      <c r="O873" s="959"/>
      <c r="P873" s="959"/>
      <c r="Q873" s="959"/>
      <c r="R873" s="959"/>
      <c r="S873" s="959"/>
      <c r="T873" s="959"/>
      <c r="U873" s="959"/>
      <c r="V873" s="959"/>
      <c r="W873" s="959"/>
      <c r="X873" s="959"/>
      <c r="Y873" s="959"/>
      <c r="Z873" s="959"/>
      <c r="AA873" s="959"/>
      <c r="AB873" s="959"/>
      <c r="AC873" s="959"/>
      <c r="AD873" s="959"/>
      <c r="AE873" s="959"/>
      <c r="AF873" s="959"/>
      <c r="AG873" s="959"/>
      <c r="AH873" s="959"/>
      <c r="AI873" s="959"/>
      <c r="AJ873" s="959"/>
      <c r="AK873" s="959"/>
      <c r="AL873" s="959"/>
      <c r="AM873" s="959"/>
    </row>
    <row r="874" spans="3:39" x14ac:dyDescent="0.25">
      <c r="C874" s="959"/>
      <c r="D874" s="959"/>
      <c r="E874" s="959"/>
      <c r="F874" s="959"/>
      <c r="G874" s="959"/>
      <c r="H874" s="959"/>
      <c r="I874" s="959"/>
      <c r="J874" s="959"/>
      <c r="K874" s="959"/>
      <c r="L874" s="959"/>
      <c r="M874" s="959"/>
      <c r="N874" s="959"/>
      <c r="O874" s="959"/>
      <c r="P874" s="959"/>
      <c r="Q874" s="959"/>
      <c r="R874" s="959"/>
      <c r="S874" s="959"/>
      <c r="T874" s="959"/>
      <c r="U874" s="959"/>
      <c r="V874" s="959"/>
      <c r="W874" s="959"/>
      <c r="X874" s="959"/>
      <c r="Y874" s="959"/>
      <c r="Z874" s="959"/>
      <c r="AA874" s="959"/>
      <c r="AB874" s="959"/>
      <c r="AC874" s="959"/>
      <c r="AD874" s="959"/>
      <c r="AE874" s="959"/>
      <c r="AF874" s="959"/>
      <c r="AG874" s="959"/>
      <c r="AH874" s="959"/>
      <c r="AI874" s="959"/>
      <c r="AJ874" s="959"/>
      <c r="AK874" s="959"/>
      <c r="AL874" s="959"/>
      <c r="AM874" s="959"/>
    </row>
    <row r="875" spans="3:39" x14ac:dyDescent="0.25">
      <c r="C875" s="959"/>
      <c r="D875" s="959"/>
      <c r="E875" s="959"/>
      <c r="F875" s="959"/>
      <c r="G875" s="959"/>
      <c r="H875" s="959"/>
      <c r="I875" s="959"/>
      <c r="J875" s="959"/>
      <c r="K875" s="959"/>
      <c r="L875" s="959"/>
      <c r="M875" s="959"/>
      <c r="N875" s="959"/>
      <c r="O875" s="959"/>
      <c r="P875" s="959"/>
      <c r="Q875" s="959"/>
      <c r="R875" s="959"/>
      <c r="S875" s="959"/>
      <c r="T875" s="959"/>
      <c r="U875" s="959"/>
      <c r="V875" s="959"/>
      <c r="W875" s="959"/>
      <c r="X875" s="959"/>
      <c r="Y875" s="959"/>
      <c r="Z875" s="959"/>
      <c r="AA875" s="959"/>
      <c r="AB875" s="959"/>
      <c r="AC875" s="959"/>
      <c r="AD875" s="959"/>
      <c r="AE875" s="959"/>
      <c r="AF875" s="959"/>
      <c r="AG875" s="959"/>
      <c r="AH875" s="959"/>
      <c r="AI875" s="959"/>
      <c r="AJ875" s="959"/>
      <c r="AK875" s="959"/>
      <c r="AL875" s="959"/>
      <c r="AM875" s="959"/>
    </row>
    <row r="876" spans="3:39" x14ac:dyDescent="0.25">
      <c r="C876" s="959"/>
      <c r="D876" s="959"/>
      <c r="E876" s="959"/>
      <c r="F876" s="959"/>
      <c r="G876" s="959"/>
      <c r="H876" s="959"/>
      <c r="I876" s="959"/>
      <c r="J876" s="959"/>
      <c r="K876" s="959"/>
      <c r="L876" s="959"/>
      <c r="M876" s="959"/>
      <c r="N876" s="959"/>
      <c r="O876" s="959"/>
      <c r="P876" s="959"/>
      <c r="Q876" s="959"/>
      <c r="R876" s="959"/>
      <c r="S876" s="959"/>
      <c r="T876" s="959"/>
      <c r="U876" s="959"/>
      <c r="V876" s="959"/>
      <c r="W876" s="959"/>
      <c r="X876" s="959"/>
      <c r="Y876" s="959"/>
      <c r="Z876" s="959"/>
      <c r="AA876" s="959"/>
      <c r="AB876" s="959"/>
      <c r="AC876" s="959"/>
      <c r="AD876" s="959"/>
      <c r="AE876" s="959"/>
      <c r="AF876" s="959"/>
      <c r="AG876" s="959"/>
      <c r="AH876" s="959"/>
      <c r="AI876" s="959"/>
      <c r="AJ876" s="959"/>
      <c r="AK876" s="959"/>
      <c r="AL876" s="959"/>
      <c r="AM876" s="959"/>
    </row>
    <row r="877" spans="3:39" x14ac:dyDescent="0.25">
      <c r="C877" s="959"/>
      <c r="D877" s="959"/>
      <c r="E877" s="959"/>
      <c r="F877" s="959"/>
      <c r="G877" s="959"/>
      <c r="H877" s="959"/>
      <c r="I877" s="959"/>
      <c r="J877" s="959"/>
      <c r="K877" s="959"/>
      <c r="L877" s="959"/>
      <c r="M877" s="959"/>
      <c r="N877" s="959"/>
      <c r="O877" s="959"/>
      <c r="P877" s="959"/>
      <c r="Q877" s="959"/>
      <c r="R877" s="959"/>
      <c r="S877" s="959"/>
      <c r="T877" s="959"/>
      <c r="U877" s="959"/>
      <c r="V877" s="959"/>
      <c r="W877" s="959"/>
      <c r="X877" s="959"/>
      <c r="Y877" s="959"/>
      <c r="Z877" s="959"/>
      <c r="AA877" s="959"/>
      <c r="AB877" s="959"/>
      <c r="AC877" s="959"/>
      <c r="AD877" s="959"/>
      <c r="AE877" s="959"/>
      <c r="AF877" s="959"/>
      <c r="AG877" s="959"/>
      <c r="AH877" s="959"/>
      <c r="AI877" s="959"/>
      <c r="AJ877" s="959"/>
      <c r="AK877" s="959"/>
      <c r="AL877" s="959"/>
      <c r="AM877" s="959"/>
    </row>
    <row r="878" spans="3:39" x14ac:dyDescent="0.25">
      <c r="C878" s="959"/>
      <c r="D878" s="959"/>
      <c r="E878" s="959"/>
      <c r="F878" s="959"/>
      <c r="G878" s="959"/>
      <c r="H878" s="959"/>
      <c r="I878" s="959"/>
      <c r="J878" s="959"/>
      <c r="K878" s="959"/>
      <c r="L878" s="959"/>
      <c r="M878" s="959"/>
      <c r="N878" s="959"/>
      <c r="O878" s="959"/>
      <c r="P878" s="959"/>
      <c r="Q878" s="959"/>
      <c r="R878" s="959"/>
      <c r="S878" s="959"/>
      <c r="T878" s="959"/>
      <c r="U878" s="959"/>
      <c r="V878" s="959"/>
      <c r="W878" s="959"/>
      <c r="X878" s="959"/>
      <c r="Y878" s="959"/>
      <c r="Z878" s="959"/>
      <c r="AA878" s="959"/>
      <c r="AB878" s="959"/>
      <c r="AC878" s="959"/>
      <c r="AD878" s="959"/>
      <c r="AE878" s="959"/>
      <c r="AF878" s="959"/>
      <c r="AG878" s="959"/>
      <c r="AH878" s="959"/>
      <c r="AI878" s="959"/>
      <c r="AJ878" s="959"/>
      <c r="AK878" s="959"/>
      <c r="AL878" s="959"/>
      <c r="AM878" s="959"/>
    </row>
    <row r="879" spans="3:39" x14ac:dyDescent="0.25">
      <c r="C879" s="959"/>
      <c r="D879" s="959"/>
      <c r="E879" s="959"/>
      <c r="F879" s="959"/>
      <c r="G879" s="959"/>
      <c r="H879" s="959"/>
      <c r="I879" s="959"/>
      <c r="J879" s="959"/>
      <c r="K879" s="959"/>
      <c r="L879" s="959"/>
      <c r="M879" s="959"/>
      <c r="N879" s="959"/>
      <c r="O879" s="959"/>
      <c r="P879" s="959"/>
      <c r="Q879" s="959"/>
      <c r="R879" s="959"/>
      <c r="S879" s="959"/>
      <c r="T879" s="959"/>
      <c r="U879" s="959"/>
      <c r="V879" s="959"/>
      <c r="W879" s="959"/>
      <c r="X879" s="959"/>
      <c r="Y879" s="959"/>
      <c r="Z879" s="959"/>
      <c r="AA879" s="959"/>
      <c r="AB879" s="959"/>
      <c r="AC879" s="959"/>
      <c r="AD879" s="959"/>
      <c r="AE879" s="959"/>
      <c r="AF879" s="959"/>
      <c r="AG879" s="959"/>
      <c r="AH879" s="959"/>
      <c r="AI879" s="959"/>
      <c r="AJ879" s="959"/>
      <c r="AK879" s="959"/>
      <c r="AL879" s="959"/>
      <c r="AM879" s="959"/>
    </row>
    <row r="880" spans="3:39" x14ac:dyDescent="0.25">
      <c r="C880" s="959"/>
      <c r="D880" s="959"/>
      <c r="E880" s="959"/>
      <c r="F880" s="959"/>
      <c r="G880" s="959"/>
      <c r="H880" s="959"/>
      <c r="I880" s="959"/>
      <c r="J880" s="959"/>
      <c r="K880" s="959"/>
      <c r="L880" s="959"/>
      <c r="M880" s="959"/>
      <c r="N880" s="959"/>
      <c r="O880" s="959"/>
      <c r="P880" s="959"/>
      <c r="Q880" s="959"/>
      <c r="R880" s="959"/>
      <c r="S880" s="959"/>
      <c r="T880" s="959"/>
      <c r="U880" s="959"/>
      <c r="V880" s="959"/>
      <c r="W880" s="959"/>
      <c r="X880" s="959"/>
      <c r="Y880" s="959"/>
      <c r="Z880" s="959"/>
      <c r="AA880" s="959"/>
      <c r="AB880" s="959"/>
      <c r="AC880" s="959"/>
      <c r="AD880" s="959"/>
      <c r="AE880" s="959"/>
      <c r="AF880" s="959"/>
      <c r="AG880" s="959"/>
      <c r="AH880" s="959"/>
      <c r="AI880" s="959"/>
      <c r="AJ880" s="959"/>
      <c r="AK880" s="959"/>
      <c r="AL880" s="959"/>
      <c r="AM880" s="959"/>
    </row>
    <row r="881" spans="3:39" x14ac:dyDescent="0.25">
      <c r="C881" s="959"/>
      <c r="D881" s="959"/>
      <c r="E881" s="959"/>
      <c r="F881" s="959"/>
      <c r="G881" s="959"/>
      <c r="H881" s="959"/>
      <c r="I881" s="959"/>
      <c r="J881" s="959"/>
      <c r="K881" s="959"/>
      <c r="L881" s="959"/>
      <c r="M881" s="959"/>
      <c r="N881" s="959"/>
      <c r="O881" s="959"/>
      <c r="P881" s="959"/>
      <c r="Q881" s="959"/>
      <c r="R881" s="959"/>
      <c r="S881" s="959"/>
      <c r="T881" s="959"/>
      <c r="U881" s="959"/>
      <c r="V881" s="959"/>
      <c r="W881" s="959"/>
      <c r="X881" s="959"/>
      <c r="Y881" s="959"/>
      <c r="Z881" s="959"/>
      <c r="AA881" s="959"/>
      <c r="AB881" s="959"/>
      <c r="AC881" s="959"/>
      <c r="AD881" s="959"/>
      <c r="AE881" s="959"/>
      <c r="AF881" s="959"/>
      <c r="AG881" s="959"/>
      <c r="AH881" s="959"/>
      <c r="AI881" s="959"/>
      <c r="AJ881" s="959"/>
      <c r="AK881" s="959"/>
      <c r="AL881" s="959"/>
      <c r="AM881" s="959"/>
    </row>
    <row r="882" spans="3:39" x14ac:dyDescent="0.25">
      <c r="C882" s="959"/>
      <c r="D882" s="959"/>
      <c r="E882" s="959"/>
      <c r="F882" s="959"/>
      <c r="G882" s="959"/>
      <c r="H882" s="959"/>
      <c r="I882" s="959"/>
      <c r="J882" s="959"/>
      <c r="K882" s="959"/>
      <c r="L882" s="959"/>
      <c r="M882" s="959"/>
      <c r="N882" s="959"/>
      <c r="O882" s="959"/>
      <c r="P882" s="959"/>
      <c r="Q882" s="959"/>
      <c r="R882" s="959"/>
      <c r="S882" s="959"/>
      <c r="T882" s="959"/>
      <c r="U882" s="959"/>
      <c r="V882" s="959"/>
      <c r="W882" s="959"/>
      <c r="X882" s="959"/>
      <c r="Y882" s="959"/>
      <c r="Z882" s="959"/>
      <c r="AA882" s="959"/>
      <c r="AB882" s="959"/>
      <c r="AC882" s="959"/>
      <c r="AD882" s="959"/>
      <c r="AE882" s="959"/>
      <c r="AF882" s="959"/>
      <c r="AG882" s="959"/>
      <c r="AH882" s="959"/>
      <c r="AI882" s="959"/>
      <c r="AJ882" s="959"/>
      <c r="AK882" s="959"/>
      <c r="AL882" s="959"/>
      <c r="AM882" s="959"/>
    </row>
    <row r="883" spans="3:39" x14ac:dyDescent="0.25">
      <c r="C883" s="959"/>
      <c r="D883" s="959"/>
      <c r="E883" s="959"/>
      <c r="F883" s="959"/>
      <c r="G883" s="959"/>
      <c r="H883" s="959"/>
      <c r="I883" s="959"/>
      <c r="J883" s="959"/>
      <c r="K883" s="959"/>
      <c r="L883" s="959"/>
      <c r="M883" s="959"/>
      <c r="N883" s="959"/>
      <c r="O883" s="959"/>
      <c r="P883" s="959"/>
      <c r="Q883" s="959"/>
      <c r="R883" s="959"/>
      <c r="S883" s="959"/>
      <c r="T883" s="959"/>
      <c r="U883" s="959"/>
      <c r="V883" s="959"/>
      <c r="W883" s="959"/>
      <c r="X883" s="959"/>
      <c r="Y883" s="959"/>
      <c r="Z883" s="959"/>
      <c r="AA883" s="959"/>
      <c r="AB883" s="959"/>
      <c r="AC883" s="959"/>
      <c r="AD883" s="959"/>
      <c r="AE883" s="959"/>
      <c r="AF883" s="959"/>
      <c r="AG883" s="959"/>
      <c r="AH883" s="959"/>
      <c r="AI883" s="959"/>
      <c r="AJ883" s="959"/>
      <c r="AK883" s="959"/>
      <c r="AL883" s="959"/>
      <c r="AM883" s="959"/>
    </row>
    <row r="884" spans="3:39" x14ac:dyDescent="0.25">
      <c r="C884" s="959"/>
      <c r="D884" s="959"/>
      <c r="E884" s="959"/>
      <c r="F884" s="959"/>
      <c r="G884" s="959"/>
      <c r="H884" s="959"/>
      <c r="I884" s="959"/>
      <c r="J884" s="959"/>
      <c r="K884" s="959"/>
      <c r="L884" s="959"/>
      <c r="M884" s="959"/>
      <c r="N884" s="959"/>
      <c r="O884" s="959"/>
      <c r="P884" s="959"/>
      <c r="Q884" s="959"/>
      <c r="R884" s="959"/>
      <c r="S884" s="959"/>
      <c r="T884" s="959"/>
      <c r="U884" s="959"/>
      <c r="V884" s="959"/>
      <c r="W884" s="959"/>
      <c r="X884" s="959"/>
      <c r="Y884" s="959"/>
      <c r="Z884" s="959"/>
      <c r="AA884" s="959"/>
      <c r="AB884" s="959"/>
      <c r="AC884" s="959"/>
      <c r="AD884" s="959"/>
      <c r="AE884" s="959"/>
      <c r="AF884" s="959"/>
      <c r="AG884" s="959"/>
      <c r="AH884" s="959"/>
      <c r="AI884" s="959"/>
      <c r="AJ884" s="959"/>
      <c r="AK884" s="959"/>
      <c r="AL884" s="959"/>
      <c r="AM884" s="959"/>
    </row>
    <row r="885" spans="3:39" x14ac:dyDescent="0.25">
      <c r="C885" s="959"/>
      <c r="D885" s="959"/>
      <c r="E885" s="959"/>
      <c r="F885" s="959"/>
      <c r="G885" s="959"/>
      <c r="H885" s="959"/>
      <c r="I885" s="959"/>
      <c r="J885" s="959"/>
      <c r="K885" s="959"/>
      <c r="L885" s="959"/>
      <c r="M885" s="959"/>
      <c r="N885" s="959"/>
      <c r="O885" s="959"/>
      <c r="P885" s="959"/>
      <c r="Q885" s="959"/>
      <c r="R885" s="959"/>
      <c r="S885" s="959"/>
      <c r="T885" s="959"/>
      <c r="U885" s="959"/>
      <c r="V885" s="959"/>
      <c r="W885" s="959"/>
      <c r="X885" s="959"/>
      <c r="Y885" s="959"/>
      <c r="Z885" s="959"/>
      <c r="AA885" s="959"/>
      <c r="AB885" s="959"/>
      <c r="AC885" s="959"/>
      <c r="AD885" s="959"/>
      <c r="AE885" s="959"/>
      <c r="AF885" s="959"/>
      <c r="AG885" s="959"/>
      <c r="AH885" s="959"/>
      <c r="AI885" s="959"/>
      <c r="AJ885" s="959"/>
      <c r="AK885" s="959"/>
      <c r="AL885" s="959"/>
      <c r="AM885" s="959"/>
    </row>
    <row r="886" spans="3:39" x14ac:dyDescent="0.25">
      <c r="C886" s="959"/>
      <c r="D886" s="959"/>
      <c r="E886" s="959"/>
      <c r="F886" s="959"/>
      <c r="G886" s="959"/>
      <c r="H886" s="959"/>
      <c r="I886" s="959"/>
      <c r="J886" s="959"/>
      <c r="K886" s="959"/>
      <c r="L886" s="959"/>
      <c r="M886" s="959"/>
      <c r="N886" s="959"/>
      <c r="O886" s="959"/>
      <c r="P886" s="959"/>
      <c r="Q886" s="959"/>
      <c r="R886" s="959"/>
      <c r="S886" s="959"/>
      <c r="T886" s="959"/>
      <c r="U886" s="959"/>
      <c r="V886" s="959"/>
      <c r="W886" s="959"/>
      <c r="X886" s="959"/>
      <c r="Y886" s="959"/>
      <c r="Z886" s="959"/>
      <c r="AA886" s="959"/>
      <c r="AB886" s="959"/>
      <c r="AC886" s="959"/>
      <c r="AD886" s="959"/>
      <c r="AE886" s="959"/>
      <c r="AF886" s="959"/>
      <c r="AG886" s="959"/>
      <c r="AH886" s="959"/>
      <c r="AI886" s="959"/>
      <c r="AJ886" s="959"/>
      <c r="AK886" s="959"/>
      <c r="AL886" s="959"/>
      <c r="AM886" s="959"/>
    </row>
    <row r="887" spans="3:39" x14ac:dyDescent="0.25">
      <c r="C887" s="959"/>
      <c r="D887" s="959"/>
      <c r="E887" s="959"/>
      <c r="F887" s="959"/>
      <c r="G887" s="959"/>
      <c r="H887" s="959"/>
      <c r="I887" s="959"/>
      <c r="J887" s="959"/>
      <c r="K887" s="959"/>
      <c r="L887" s="959"/>
      <c r="M887" s="959"/>
      <c r="N887" s="959"/>
      <c r="O887" s="959"/>
      <c r="P887" s="959"/>
      <c r="Q887" s="959"/>
      <c r="R887" s="959"/>
      <c r="S887" s="959"/>
      <c r="T887" s="959"/>
      <c r="U887" s="959"/>
      <c r="V887" s="959"/>
      <c r="W887" s="959"/>
      <c r="X887" s="959"/>
      <c r="Y887" s="959"/>
      <c r="Z887" s="959"/>
      <c r="AA887" s="959"/>
      <c r="AB887" s="959"/>
      <c r="AC887" s="959"/>
      <c r="AD887" s="959"/>
      <c r="AE887" s="959"/>
      <c r="AF887" s="959"/>
      <c r="AG887" s="959"/>
      <c r="AH887" s="959"/>
      <c r="AI887" s="959"/>
      <c r="AJ887" s="959"/>
      <c r="AK887" s="959"/>
      <c r="AL887" s="959"/>
      <c r="AM887" s="959"/>
    </row>
    <row r="888" spans="3:39" x14ac:dyDescent="0.25">
      <c r="C888" s="959"/>
      <c r="D888" s="959"/>
      <c r="E888" s="959"/>
      <c r="F888" s="959"/>
      <c r="G888" s="959"/>
      <c r="H888" s="959"/>
      <c r="I888" s="959"/>
      <c r="J888" s="959"/>
      <c r="K888" s="959"/>
      <c r="L888" s="959"/>
      <c r="M888" s="959"/>
      <c r="N888" s="959"/>
      <c r="O888" s="959"/>
      <c r="P888" s="959"/>
      <c r="Q888" s="959"/>
      <c r="R888" s="959"/>
      <c r="S888" s="959"/>
      <c r="T888" s="959"/>
      <c r="U888" s="959"/>
      <c r="V888" s="959"/>
      <c r="W888" s="959"/>
      <c r="X888" s="959"/>
      <c r="Y888" s="959"/>
      <c r="Z888" s="959"/>
      <c r="AA888" s="959"/>
      <c r="AB888" s="959"/>
      <c r="AC888" s="959"/>
      <c r="AD888" s="959"/>
      <c r="AE888" s="959"/>
      <c r="AF888" s="959"/>
      <c r="AG888" s="959"/>
      <c r="AH888" s="959"/>
      <c r="AI888" s="959"/>
      <c r="AJ888" s="959"/>
      <c r="AK888" s="959"/>
      <c r="AL888" s="959"/>
      <c r="AM888" s="959"/>
    </row>
    <row r="889" spans="3:39" x14ac:dyDescent="0.25">
      <c r="C889" s="959"/>
      <c r="D889" s="959"/>
      <c r="E889" s="959"/>
      <c r="F889" s="959"/>
      <c r="G889" s="959"/>
      <c r="H889" s="959"/>
      <c r="I889" s="959"/>
      <c r="J889" s="959"/>
      <c r="K889" s="959"/>
      <c r="L889" s="959"/>
      <c r="M889" s="959"/>
      <c r="N889" s="959"/>
      <c r="O889" s="959"/>
      <c r="P889" s="959"/>
      <c r="Q889" s="959"/>
      <c r="R889" s="959"/>
      <c r="S889" s="959"/>
      <c r="T889" s="959"/>
      <c r="U889" s="959"/>
      <c r="V889" s="959"/>
      <c r="W889" s="959"/>
      <c r="X889" s="959"/>
      <c r="Y889" s="959"/>
      <c r="Z889" s="959"/>
      <c r="AA889" s="959"/>
      <c r="AB889" s="959"/>
      <c r="AC889" s="959"/>
      <c r="AD889" s="959"/>
      <c r="AE889" s="959"/>
      <c r="AF889" s="959"/>
      <c r="AG889" s="959"/>
      <c r="AH889" s="959"/>
      <c r="AI889" s="959"/>
      <c r="AJ889" s="959"/>
      <c r="AK889" s="959"/>
      <c r="AL889" s="959"/>
      <c r="AM889" s="959"/>
    </row>
    <row r="890" spans="3:39" x14ac:dyDescent="0.25">
      <c r="C890" s="959"/>
      <c r="D890" s="959"/>
      <c r="E890" s="959"/>
      <c r="F890" s="959"/>
      <c r="G890" s="959"/>
      <c r="H890" s="959"/>
      <c r="I890" s="959"/>
      <c r="J890" s="959"/>
      <c r="K890" s="959"/>
      <c r="L890" s="959"/>
      <c r="M890" s="959"/>
      <c r="N890" s="959"/>
      <c r="O890" s="959"/>
      <c r="P890" s="959"/>
      <c r="Q890" s="959"/>
      <c r="R890" s="959"/>
      <c r="S890" s="959"/>
      <c r="T890" s="959"/>
      <c r="U890" s="959"/>
      <c r="V890" s="959"/>
      <c r="W890" s="959"/>
      <c r="X890" s="959"/>
      <c r="Y890" s="959"/>
      <c r="Z890" s="959"/>
      <c r="AA890" s="959"/>
      <c r="AB890" s="959"/>
      <c r="AC890" s="959"/>
      <c r="AD890" s="959"/>
      <c r="AE890" s="959"/>
      <c r="AF890" s="959"/>
      <c r="AG890" s="959"/>
      <c r="AH890" s="959"/>
      <c r="AI890" s="959"/>
      <c r="AJ890" s="959"/>
      <c r="AK890" s="959"/>
      <c r="AL890" s="959"/>
      <c r="AM890" s="959"/>
    </row>
    <row r="891" spans="3:39" x14ac:dyDescent="0.25">
      <c r="C891" s="959"/>
      <c r="D891" s="959"/>
      <c r="E891" s="959"/>
      <c r="F891" s="959"/>
      <c r="G891" s="959"/>
      <c r="H891" s="959"/>
      <c r="I891" s="959"/>
      <c r="J891" s="959"/>
      <c r="K891" s="959"/>
      <c r="L891" s="959"/>
      <c r="M891" s="959"/>
      <c r="N891" s="959"/>
      <c r="O891" s="959"/>
      <c r="P891" s="959"/>
      <c r="Q891" s="959"/>
      <c r="R891" s="959"/>
      <c r="S891" s="959"/>
      <c r="T891" s="959"/>
      <c r="U891" s="959"/>
      <c r="V891" s="959"/>
      <c r="W891" s="959"/>
      <c r="X891" s="959"/>
      <c r="Y891" s="959"/>
      <c r="Z891" s="959"/>
      <c r="AA891" s="959"/>
      <c r="AB891" s="959"/>
      <c r="AC891" s="959"/>
      <c r="AD891" s="959"/>
      <c r="AE891" s="959"/>
      <c r="AF891" s="959"/>
      <c r="AG891" s="959"/>
      <c r="AH891" s="959"/>
      <c r="AI891" s="959"/>
      <c r="AJ891" s="959"/>
      <c r="AK891" s="959"/>
      <c r="AL891" s="959"/>
      <c r="AM891" s="959"/>
    </row>
    <row r="892" spans="3:39" x14ac:dyDescent="0.25">
      <c r="C892" s="959"/>
      <c r="D892" s="959"/>
      <c r="E892" s="959"/>
      <c r="F892" s="959"/>
      <c r="G892" s="959"/>
      <c r="H892" s="959"/>
      <c r="I892" s="959"/>
      <c r="J892" s="959"/>
      <c r="K892" s="959"/>
      <c r="L892" s="959"/>
      <c r="M892" s="959"/>
      <c r="N892" s="959"/>
      <c r="O892" s="959"/>
      <c r="P892" s="959"/>
      <c r="Q892" s="959"/>
      <c r="R892" s="959"/>
      <c r="S892" s="959"/>
      <c r="T892" s="959"/>
      <c r="U892" s="959"/>
      <c r="V892" s="959"/>
      <c r="W892" s="959"/>
      <c r="X892" s="959"/>
      <c r="Y892" s="959"/>
      <c r="Z892" s="959"/>
      <c r="AA892" s="959"/>
      <c r="AB892" s="959"/>
      <c r="AC892" s="959"/>
      <c r="AD892" s="959"/>
      <c r="AE892" s="959"/>
      <c r="AF892" s="959"/>
      <c r="AG892" s="959"/>
      <c r="AH892" s="959"/>
      <c r="AI892" s="959"/>
      <c r="AJ892" s="959"/>
      <c r="AK892" s="959"/>
      <c r="AL892" s="959"/>
      <c r="AM892" s="959"/>
    </row>
    <row r="893" spans="3:39" x14ac:dyDescent="0.25">
      <c r="C893" s="959"/>
      <c r="D893" s="959"/>
      <c r="E893" s="959"/>
      <c r="F893" s="959"/>
      <c r="G893" s="959"/>
      <c r="H893" s="959"/>
      <c r="I893" s="959"/>
      <c r="J893" s="959"/>
      <c r="K893" s="959"/>
      <c r="L893" s="959"/>
      <c r="M893" s="959"/>
      <c r="N893" s="959"/>
      <c r="O893" s="959"/>
      <c r="P893" s="959"/>
      <c r="Q893" s="959"/>
      <c r="R893" s="959"/>
      <c r="S893" s="959"/>
      <c r="T893" s="959"/>
      <c r="U893" s="959"/>
      <c r="V893" s="959"/>
      <c r="W893" s="959"/>
      <c r="X893" s="959"/>
      <c r="Y893" s="959"/>
      <c r="Z893" s="959"/>
      <c r="AA893" s="959"/>
      <c r="AB893" s="959"/>
      <c r="AC893" s="959"/>
      <c r="AD893" s="959"/>
      <c r="AE893" s="959"/>
      <c r="AF893" s="959"/>
      <c r="AG893" s="959"/>
      <c r="AH893" s="959"/>
      <c r="AI893" s="959"/>
      <c r="AJ893" s="959"/>
      <c r="AK893" s="959"/>
      <c r="AL893" s="959"/>
      <c r="AM893" s="959"/>
    </row>
    <row r="894" spans="3:39" x14ac:dyDescent="0.25">
      <c r="C894" s="959"/>
      <c r="D894" s="959"/>
      <c r="E894" s="959"/>
      <c r="F894" s="959"/>
      <c r="G894" s="959"/>
      <c r="H894" s="959"/>
      <c r="I894" s="959"/>
      <c r="J894" s="959"/>
      <c r="K894" s="959"/>
      <c r="L894" s="959"/>
      <c r="M894" s="959"/>
      <c r="N894" s="959"/>
      <c r="O894" s="959"/>
      <c r="P894" s="959"/>
      <c r="Q894" s="959"/>
      <c r="R894" s="959"/>
      <c r="S894" s="959"/>
      <c r="T894" s="959"/>
      <c r="U894" s="959"/>
      <c r="V894" s="959"/>
      <c r="W894" s="959"/>
      <c r="X894" s="959"/>
      <c r="Y894" s="959"/>
      <c r="Z894" s="959"/>
      <c r="AA894" s="959"/>
      <c r="AB894" s="959"/>
      <c r="AC894" s="959"/>
      <c r="AD894" s="959"/>
      <c r="AE894" s="959"/>
      <c r="AF894" s="959"/>
      <c r="AG894" s="959"/>
      <c r="AH894" s="959"/>
      <c r="AI894" s="959"/>
      <c r="AJ894" s="959"/>
      <c r="AK894" s="959"/>
      <c r="AL894" s="959"/>
      <c r="AM894" s="959"/>
    </row>
    <row r="895" spans="3:39" x14ac:dyDescent="0.25">
      <c r="C895" s="959"/>
      <c r="D895" s="959"/>
      <c r="E895" s="959"/>
      <c r="F895" s="959"/>
      <c r="G895" s="959"/>
      <c r="H895" s="959"/>
      <c r="I895" s="959"/>
      <c r="J895" s="959"/>
      <c r="K895" s="959"/>
      <c r="L895" s="959"/>
      <c r="M895" s="959"/>
      <c r="N895" s="959"/>
      <c r="O895" s="959"/>
      <c r="P895" s="959"/>
      <c r="Q895" s="959"/>
      <c r="R895" s="959"/>
      <c r="S895" s="959"/>
      <c r="T895" s="959"/>
      <c r="U895" s="959"/>
      <c r="V895" s="959"/>
      <c r="W895" s="959"/>
      <c r="X895" s="959"/>
      <c r="Y895" s="959"/>
      <c r="Z895" s="959"/>
      <c r="AA895" s="959"/>
      <c r="AB895" s="959"/>
      <c r="AC895" s="959"/>
      <c r="AD895" s="959"/>
      <c r="AE895" s="959"/>
      <c r="AF895" s="959"/>
      <c r="AG895" s="959"/>
      <c r="AH895" s="959"/>
      <c r="AI895" s="959"/>
      <c r="AJ895" s="959"/>
      <c r="AK895" s="959"/>
      <c r="AL895" s="959"/>
      <c r="AM895" s="959"/>
    </row>
    <row r="896" spans="3:39" x14ac:dyDescent="0.25">
      <c r="C896" s="959"/>
      <c r="D896" s="959"/>
      <c r="E896" s="959"/>
      <c r="F896" s="959"/>
      <c r="G896" s="959"/>
      <c r="H896" s="959"/>
      <c r="I896" s="959"/>
      <c r="J896" s="959"/>
      <c r="K896" s="959"/>
      <c r="L896" s="959"/>
      <c r="M896" s="959"/>
      <c r="N896" s="959"/>
      <c r="O896" s="959"/>
      <c r="P896" s="959"/>
      <c r="Q896" s="959"/>
      <c r="R896" s="959"/>
      <c r="S896" s="959"/>
      <c r="T896" s="959"/>
      <c r="U896" s="959"/>
      <c r="V896" s="959"/>
      <c r="W896" s="959"/>
      <c r="X896" s="959"/>
      <c r="Y896" s="959"/>
      <c r="Z896" s="959"/>
      <c r="AA896" s="959"/>
      <c r="AB896" s="959"/>
      <c r="AC896" s="959"/>
      <c r="AD896" s="959"/>
      <c r="AE896" s="959"/>
      <c r="AF896" s="959"/>
      <c r="AG896" s="959"/>
      <c r="AH896" s="959"/>
      <c r="AI896" s="959"/>
      <c r="AJ896" s="959"/>
      <c r="AK896" s="959"/>
      <c r="AL896" s="959"/>
      <c r="AM896" s="959"/>
    </row>
    <row r="897" spans="3:39" x14ac:dyDescent="0.25">
      <c r="C897" s="959"/>
      <c r="D897" s="959"/>
      <c r="E897" s="959"/>
      <c r="F897" s="959"/>
      <c r="G897" s="959"/>
      <c r="H897" s="959"/>
      <c r="I897" s="959"/>
      <c r="J897" s="959"/>
      <c r="K897" s="959"/>
      <c r="L897" s="959"/>
      <c r="M897" s="959"/>
      <c r="N897" s="959"/>
      <c r="O897" s="959"/>
      <c r="P897" s="959"/>
      <c r="Q897" s="959"/>
      <c r="R897" s="959"/>
      <c r="S897" s="959"/>
      <c r="T897" s="959"/>
      <c r="U897" s="959"/>
      <c r="V897" s="959"/>
      <c r="W897" s="959"/>
      <c r="X897" s="959"/>
      <c r="Y897" s="959"/>
      <c r="Z897" s="959"/>
      <c r="AA897" s="959"/>
      <c r="AB897" s="959"/>
      <c r="AC897" s="959"/>
      <c r="AD897" s="959"/>
      <c r="AE897" s="959"/>
      <c r="AF897" s="959"/>
      <c r="AG897" s="959"/>
      <c r="AH897" s="959"/>
      <c r="AI897" s="959"/>
      <c r="AJ897" s="959"/>
      <c r="AK897" s="959"/>
      <c r="AL897" s="959"/>
      <c r="AM897" s="959"/>
    </row>
    <row r="898" spans="3:39" x14ac:dyDescent="0.25">
      <c r="C898" s="959"/>
      <c r="D898" s="959"/>
      <c r="E898" s="959"/>
      <c r="F898" s="959"/>
      <c r="G898" s="959"/>
      <c r="H898" s="959"/>
      <c r="I898" s="959"/>
      <c r="J898" s="959"/>
      <c r="K898" s="959"/>
      <c r="L898" s="959"/>
      <c r="M898" s="959"/>
      <c r="N898" s="959"/>
      <c r="O898" s="959"/>
      <c r="P898" s="959"/>
      <c r="Q898" s="959"/>
      <c r="R898" s="959"/>
      <c r="S898" s="959"/>
      <c r="T898" s="959"/>
      <c r="U898" s="959"/>
      <c r="V898" s="959"/>
      <c r="W898" s="959"/>
      <c r="X898" s="959"/>
      <c r="Y898" s="959"/>
      <c r="Z898" s="959"/>
      <c r="AA898" s="959"/>
      <c r="AB898" s="959"/>
      <c r="AC898" s="959"/>
      <c r="AD898" s="959"/>
      <c r="AE898" s="959"/>
      <c r="AF898" s="959"/>
      <c r="AG898" s="959"/>
      <c r="AH898" s="959"/>
      <c r="AI898" s="959"/>
      <c r="AJ898" s="959"/>
      <c r="AK898" s="959"/>
      <c r="AL898" s="959"/>
      <c r="AM898" s="959"/>
    </row>
    <row r="899" spans="3:39" x14ac:dyDescent="0.25">
      <c r="C899" s="959"/>
      <c r="D899" s="959"/>
      <c r="E899" s="959"/>
      <c r="F899" s="959"/>
      <c r="G899" s="959"/>
      <c r="H899" s="959"/>
      <c r="I899" s="959"/>
      <c r="J899" s="959"/>
      <c r="K899" s="959"/>
      <c r="L899" s="959"/>
      <c r="M899" s="959"/>
      <c r="N899" s="959"/>
      <c r="O899" s="959"/>
      <c r="P899" s="959"/>
      <c r="Q899" s="959"/>
      <c r="R899" s="959"/>
      <c r="S899" s="959"/>
      <c r="T899" s="959"/>
      <c r="U899" s="959"/>
      <c r="V899" s="959"/>
      <c r="W899" s="959"/>
      <c r="X899" s="959"/>
      <c r="Y899" s="959"/>
      <c r="Z899" s="959"/>
      <c r="AA899" s="959"/>
      <c r="AB899" s="959"/>
      <c r="AC899" s="959"/>
      <c r="AD899" s="959"/>
      <c r="AE899" s="959"/>
      <c r="AF899" s="959"/>
      <c r="AG899" s="959"/>
      <c r="AH899" s="959"/>
      <c r="AI899" s="959"/>
      <c r="AJ899" s="959"/>
      <c r="AK899" s="959"/>
      <c r="AL899" s="959"/>
      <c r="AM899" s="959"/>
    </row>
    <row r="900" spans="3:39" x14ac:dyDescent="0.25">
      <c r="C900" s="959"/>
      <c r="D900" s="959"/>
      <c r="E900" s="959"/>
      <c r="F900" s="959"/>
      <c r="G900" s="959"/>
      <c r="H900" s="959"/>
      <c r="I900" s="959"/>
      <c r="J900" s="959"/>
      <c r="K900" s="959"/>
      <c r="L900" s="959"/>
      <c r="M900" s="959"/>
      <c r="N900" s="959"/>
      <c r="O900" s="959"/>
      <c r="P900" s="959"/>
      <c r="Q900" s="959"/>
      <c r="R900" s="959"/>
      <c r="S900" s="959"/>
      <c r="T900" s="959"/>
      <c r="U900" s="959"/>
      <c r="V900" s="959"/>
      <c r="W900" s="959"/>
      <c r="X900" s="959"/>
      <c r="Y900" s="959"/>
      <c r="Z900" s="959"/>
      <c r="AA900" s="959"/>
      <c r="AB900" s="959"/>
      <c r="AC900" s="959"/>
      <c r="AD900" s="959"/>
      <c r="AE900" s="959"/>
      <c r="AF900" s="959"/>
      <c r="AG900" s="959"/>
      <c r="AH900" s="959"/>
      <c r="AI900" s="959"/>
      <c r="AJ900" s="959"/>
      <c r="AK900" s="959"/>
      <c r="AL900" s="959"/>
      <c r="AM900" s="959"/>
    </row>
    <row r="901" spans="3:39" x14ac:dyDescent="0.25">
      <c r="C901" s="959"/>
      <c r="D901" s="959"/>
      <c r="E901" s="959"/>
      <c r="F901" s="959"/>
      <c r="G901" s="959"/>
      <c r="H901" s="959"/>
      <c r="I901" s="959"/>
      <c r="J901" s="959"/>
      <c r="K901" s="959"/>
      <c r="L901" s="959"/>
      <c r="M901" s="959"/>
      <c r="N901" s="959"/>
      <c r="O901" s="959"/>
      <c r="P901" s="959"/>
      <c r="Q901" s="959"/>
      <c r="R901" s="959"/>
      <c r="S901" s="959"/>
      <c r="T901" s="959"/>
      <c r="U901" s="959"/>
      <c r="V901" s="959"/>
      <c r="W901" s="959"/>
      <c r="X901" s="959"/>
      <c r="Y901" s="959"/>
      <c r="Z901" s="959"/>
      <c r="AA901" s="959"/>
      <c r="AB901" s="959"/>
      <c r="AC901" s="959"/>
      <c r="AD901" s="959"/>
      <c r="AE901" s="959"/>
      <c r="AF901" s="959"/>
      <c r="AG901" s="959"/>
      <c r="AH901" s="959"/>
      <c r="AI901" s="959"/>
      <c r="AJ901" s="959"/>
      <c r="AK901" s="959"/>
      <c r="AL901" s="959"/>
      <c r="AM901" s="959"/>
    </row>
    <row r="902" spans="3:39" x14ac:dyDescent="0.25">
      <c r="C902" s="959"/>
      <c r="D902" s="959"/>
      <c r="E902" s="959"/>
      <c r="F902" s="959"/>
      <c r="G902" s="959"/>
      <c r="H902" s="959"/>
      <c r="I902" s="959"/>
      <c r="J902" s="959"/>
      <c r="K902" s="959"/>
      <c r="L902" s="959"/>
      <c r="M902" s="959"/>
      <c r="N902" s="959"/>
      <c r="O902" s="959"/>
      <c r="P902" s="959"/>
      <c r="Q902" s="959"/>
      <c r="R902" s="959"/>
      <c r="S902" s="959"/>
      <c r="T902" s="959"/>
      <c r="U902" s="959"/>
      <c r="V902" s="959"/>
      <c r="W902" s="959"/>
      <c r="X902" s="959"/>
      <c r="Y902" s="959"/>
      <c r="Z902" s="959"/>
      <c r="AA902" s="959"/>
      <c r="AB902" s="959"/>
      <c r="AC902" s="959"/>
      <c r="AD902" s="959"/>
      <c r="AE902" s="959"/>
      <c r="AF902" s="959"/>
      <c r="AG902" s="959"/>
      <c r="AH902" s="959"/>
      <c r="AI902" s="959"/>
      <c r="AJ902" s="959"/>
      <c r="AK902" s="959"/>
      <c r="AL902" s="959"/>
      <c r="AM902" s="959"/>
    </row>
    <row r="903" spans="3:39" x14ac:dyDescent="0.25">
      <c r="C903" s="959"/>
      <c r="D903" s="959"/>
      <c r="E903" s="959"/>
      <c r="F903" s="959"/>
      <c r="G903" s="959"/>
      <c r="H903" s="959"/>
      <c r="I903" s="959"/>
      <c r="J903" s="959"/>
      <c r="K903" s="959"/>
      <c r="L903" s="959"/>
      <c r="M903" s="959"/>
      <c r="N903" s="959"/>
      <c r="O903" s="959"/>
      <c r="P903" s="959"/>
      <c r="Q903" s="959"/>
      <c r="R903" s="959"/>
      <c r="S903" s="959"/>
      <c r="T903" s="959"/>
      <c r="U903" s="959"/>
      <c r="V903" s="959"/>
      <c r="W903" s="959"/>
      <c r="X903" s="959"/>
      <c r="Y903" s="959"/>
      <c r="Z903" s="959"/>
      <c r="AA903" s="959"/>
      <c r="AB903" s="959"/>
      <c r="AC903" s="959"/>
      <c r="AD903" s="959"/>
      <c r="AE903" s="959"/>
      <c r="AF903" s="959"/>
      <c r="AG903" s="959"/>
      <c r="AH903" s="959"/>
      <c r="AI903" s="959"/>
      <c r="AJ903" s="959"/>
      <c r="AK903" s="959"/>
      <c r="AL903" s="959"/>
      <c r="AM903" s="959"/>
    </row>
    <row r="904" spans="3:39" x14ac:dyDescent="0.25">
      <c r="C904" s="959"/>
      <c r="D904" s="959"/>
      <c r="E904" s="959"/>
      <c r="F904" s="959"/>
      <c r="G904" s="959"/>
      <c r="H904" s="959"/>
      <c r="I904" s="959"/>
      <c r="J904" s="959"/>
      <c r="K904" s="959"/>
      <c r="L904" s="959"/>
      <c r="M904" s="959"/>
      <c r="N904" s="959"/>
      <c r="O904" s="959"/>
      <c r="P904" s="959"/>
      <c r="Q904" s="959"/>
      <c r="R904" s="959"/>
      <c r="S904" s="959"/>
      <c r="T904" s="959"/>
      <c r="U904" s="959"/>
      <c r="V904" s="959"/>
      <c r="W904" s="959"/>
      <c r="X904" s="959"/>
      <c r="Y904" s="959"/>
      <c r="Z904" s="959"/>
      <c r="AA904" s="959"/>
      <c r="AB904" s="959"/>
      <c r="AC904" s="959"/>
      <c r="AD904" s="959"/>
      <c r="AE904" s="959"/>
      <c r="AF904" s="959"/>
      <c r="AG904" s="959"/>
      <c r="AH904" s="959"/>
      <c r="AI904" s="959"/>
      <c r="AJ904" s="959"/>
      <c r="AK904" s="959"/>
      <c r="AL904" s="959"/>
      <c r="AM904" s="959"/>
    </row>
    <row r="905" spans="3:39" x14ac:dyDescent="0.25">
      <c r="C905" s="959"/>
      <c r="D905" s="959"/>
      <c r="E905" s="959"/>
      <c r="F905" s="959"/>
      <c r="G905" s="959"/>
      <c r="H905" s="959"/>
      <c r="I905" s="959"/>
      <c r="J905" s="959"/>
      <c r="K905" s="959"/>
      <c r="L905" s="959"/>
      <c r="M905" s="959"/>
      <c r="N905" s="959"/>
      <c r="O905" s="959"/>
      <c r="P905" s="959"/>
      <c r="Q905" s="959"/>
      <c r="R905" s="959"/>
      <c r="S905" s="959"/>
      <c r="T905" s="959"/>
      <c r="U905" s="959"/>
      <c r="V905" s="959"/>
      <c r="W905" s="959"/>
      <c r="X905" s="959"/>
      <c r="Y905" s="959"/>
      <c r="Z905" s="959"/>
      <c r="AA905" s="959"/>
      <c r="AB905" s="959"/>
      <c r="AC905" s="959"/>
      <c r="AD905" s="959"/>
      <c r="AE905" s="959"/>
      <c r="AF905" s="959"/>
      <c r="AG905" s="959"/>
      <c r="AH905" s="959"/>
      <c r="AI905" s="959"/>
      <c r="AJ905" s="959"/>
      <c r="AK905" s="959"/>
      <c r="AL905" s="959"/>
      <c r="AM905" s="959"/>
    </row>
    <row r="906" spans="3:39" x14ac:dyDescent="0.25">
      <c r="C906" s="959"/>
      <c r="D906" s="959"/>
      <c r="E906" s="959"/>
      <c r="F906" s="959"/>
      <c r="G906" s="959"/>
      <c r="H906" s="959"/>
      <c r="I906" s="959"/>
      <c r="J906" s="959"/>
      <c r="K906" s="959"/>
      <c r="L906" s="959"/>
      <c r="M906" s="959"/>
      <c r="N906" s="959"/>
      <c r="O906" s="959"/>
      <c r="P906" s="959"/>
      <c r="Q906" s="959"/>
      <c r="R906" s="959"/>
      <c r="S906" s="959"/>
      <c r="T906" s="959"/>
      <c r="U906" s="959"/>
      <c r="V906" s="959"/>
      <c r="W906" s="959"/>
      <c r="X906" s="959"/>
      <c r="Y906" s="959"/>
      <c r="Z906" s="959"/>
      <c r="AA906" s="959"/>
      <c r="AB906" s="959"/>
      <c r="AC906" s="959"/>
      <c r="AD906" s="959"/>
      <c r="AE906" s="959"/>
      <c r="AF906" s="959"/>
      <c r="AG906" s="959"/>
      <c r="AH906" s="959"/>
      <c r="AI906" s="959"/>
      <c r="AJ906" s="959"/>
      <c r="AK906" s="959"/>
      <c r="AL906" s="959"/>
      <c r="AM906" s="959"/>
    </row>
    <row r="907" spans="3:39" x14ac:dyDescent="0.25">
      <c r="C907" s="959"/>
      <c r="D907" s="959"/>
      <c r="E907" s="959"/>
      <c r="F907" s="959"/>
      <c r="G907" s="959"/>
      <c r="H907" s="959"/>
      <c r="I907" s="959"/>
      <c r="J907" s="959"/>
      <c r="K907" s="959"/>
      <c r="L907" s="959"/>
      <c r="M907" s="959"/>
      <c r="N907" s="959"/>
      <c r="O907" s="959"/>
      <c r="P907" s="959"/>
      <c r="Q907" s="959"/>
      <c r="R907" s="959"/>
      <c r="S907" s="959"/>
      <c r="T907" s="959"/>
      <c r="U907" s="959"/>
      <c r="V907" s="959"/>
      <c r="W907" s="959"/>
      <c r="X907" s="959"/>
      <c r="Y907" s="959"/>
      <c r="Z907" s="959"/>
      <c r="AA907" s="959"/>
      <c r="AB907" s="959"/>
      <c r="AC907" s="959"/>
      <c r="AD907" s="959"/>
      <c r="AE907" s="959"/>
      <c r="AF907" s="959"/>
      <c r="AG907" s="959"/>
      <c r="AH907" s="959"/>
      <c r="AI907" s="959"/>
      <c r="AJ907" s="959"/>
      <c r="AK907" s="959"/>
      <c r="AL907" s="959"/>
      <c r="AM907" s="959"/>
    </row>
    <row r="908" spans="3:39" x14ac:dyDescent="0.25">
      <c r="C908" s="959"/>
      <c r="D908" s="959"/>
      <c r="E908" s="959"/>
      <c r="F908" s="959"/>
      <c r="G908" s="959"/>
      <c r="H908" s="959"/>
      <c r="I908" s="959"/>
      <c r="J908" s="959"/>
      <c r="K908" s="959"/>
      <c r="L908" s="959"/>
      <c r="M908" s="959"/>
      <c r="N908" s="959"/>
      <c r="O908" s="959"/>
      <c r="P908" s="959"/>
      <c r="Q908" s="959"/>
      <c r="R908" s="959"/>
      <c r="S908" s="959"/>
      <c r="T908" s="959"/>
      <c r="U908" s="959"/>
      <c r="V908" s="959"/>
      <c r="W908" s="959"/>
      <c r="X908" s="959"/>
      <c r="Y908" s="959"/>
      <c r="Z908" s="959"/>
      <c r="AA908" s="959"/>
      <c r="AB908" s="959"/>
      <c r="AC908" s="959"/>
      <c r="AD908" s="959"/>
      <c r="AE908" s="959"/>
      <c r="AF908" s="959"/>
      <c r="AG908" s="959"/>
      <c r="AH908" s="959"/>
      <c r="AI908" s="959"/>
      <c r="AJ908" s="959"/>
      <c r="AK908" s="959"/>
      <c r="AL908" s="959"/>
      <c r="AM908" s="959"/>
    </row>
    <row r="909" spans="3:39" x14ac:dyDescent="0.25">
      <c r="C909" s="959"/>
      <c r="D909" s="959"/>
      <c r="E909" s="959"/>
      <c r="F909" s="959"/>
      <c r="G909" s="959"/>
      <c r="H909" s="959"/>
      <c r="I909" s="959"/>
      <c r="J909" s="959"/>
      <c r="K909" s="959"/>
      <c r="L909" s="959"/>
      <c r="M909" s="959"/>
      <c r="N909" s="959"/>
      <c r="O909" s="959"/>
      <c r="P909" s="959"/>
      <c r="Q909" s="959"/>
      <c r="R909" s="959"/>
      <c r="S909" s="959"/>
      <c r="T909" s="959"/>
      <c r="U909" s="959"/>
      <c r="V909" s="959"/>
      <c r="W909" s="959"/>
      <c r="X909" s="959"/>
      <c r="Y909" s="959"/>
      <c r="Z909" s="959"/>
      <c r="AA909" s="959"/>
      <c r="AB909" s="959"/>
      <c r="AC909" s="959"/>
      <c r="AD909" s="959"/>
      <c r="AE909" s="959"/>
      <c r="AF909" s="959"/>
      <c r="AG909" s="959"/>
      <c r="AH909" s="959"/>
      <c r="AI909" s="959"/>
      <c r="AJ909" s="959"/>
      <c r="AK909" s="959"/>
      <c r="AL909" s="959"/>
      <c r="AM909" s="959"/>
    </row>
    <row r="910" spans="3:39" x14ac:dyDescent="0.25">
      <c r="C910" s="959"/>
      <c r="D910" s="959"/>
      <c r="E910" s="959"/>
      <c r="F910" s="959"/>
      <c r="G910" s="959"/>
      <c r="H910" s="959"/>
      <c r="I910" s="959"/>
      <c r="J910" s="959"/>
      <c r="K910" s="959"/>
      <c r="L910" s="959"/>
      <c r="M910" s="959"/>
      <c r="N910" s="959"/>
      <c r="O910" s="959"/>
      <c r="P910" s="959"/>
      <c r="Q910" s="959"/>
      <c r="R910" s="959"/>
      <c r="S910" s="959"/>
      <c r="T910" s="959"/>
      <c r="U910" s="959"/>
      <c r="V910" s="959"/>
      <c r="W910" s="959"/>
      <c r="X910" s="959"/>
      <c r="Y910" s="959"/>
      <c r="Z910" s="959"/>
      <c r="AA910" s="959"/>
      <c r="AB910" s="959"/>
      <c r="AC910" s="959"/>
      <c r="AD910" s="959"/>
      <c r="AE910" s="959"/>
      <c r="AF910" s="959"/>
      <c r="AG910" s="959"/>
      <c r="AH910" s="959"/>
      <c r="AI910" s="959"/>
      <c r="AJ910" s="959"/>
      <c r="AK910" s="959"/>
      <c r="AL910" s="959"/>
      <c r="AM910" s="959"/>
    </row>
    <row r="911" spans="3:39" x14ac:dyDescent="0.25">
      <c r="C911" s="959"/>
      <c r="D911" s="959"/>
      <c r="E911" s="959"/>
      <c r="F911" s="959"/>
      <c r="G911" s="959"/>
      <c r="H911" s="959"/>
      <c r="I911" s="959"/>
      <c r="J911" s="959"/>
      <c r="K911" s="959"/>
      <c r="L911" s="959"/>
      <c r="M911" s="959"/>
      <c r="N911" s="959"/>
      <c r="O911" s="959"/>
      <c r="P911" s="959"/>
      <c r="Q911" s="959"/>
      <c r="R911" s="959"/>
      <c r="S911" s="959"/>
      <c r="T911" s="959"/>
      <c r="U911" s="959"/>
      <c r="V911" s="959"/>
      <c r="W911" s="959"/>
      <c r="X911" s="959"/>
      <c r="Y911" s="959"/>
      <c r="Z911" s="959"/>
      <c r="AA911" s="959"/>
      <c r="AB911" s="959"/>
      <c r="AC911" s="959"/>
      <c r="AD911" s="959"/>
      <c r="AE911" s="959"/>
      <c r="AF911" s="959"/>
      <c r="AG911" s="959"/>
      <c r="AH911" s="959"/>
      <c r="AI911" s="959"/>
      <c r="AJ911" s="959"/>
      <c r="AK911" s="959"/>
      <c r="AL911" s="959"/>
      <c r="AM911" s="959"/>
    </row>
    <row r="912" spans="3:39" x14ac:dyDescent="0.25">
      <c r="C912" s="959"/>
      <c r="D912" s="959"/>
      <c r="E912" s="959"/>
      <c r="F912" s="959"/>
      <c r="G912" s="959"/>
      <c r="H912" s="959"/>
      <c r="I912" s="959"/>
      <c r="J912" s="959"/>
      <c r="K912" s="959"/>
      <c r="L912" s="959"/>
      <c r="M912" s="959"/>
      <c r="N912" s="959"/>
      <c r="O912" s="959"/>
      <c r="P912" s="959"/>
      <c r="Q912" s="959"/>
      <c r="R912" s="959"/>
      <c r="S912" s="959"/>
      <c r="T912" s="959"/>
      <c r="U912" s="959"/>
      <c r="V912" s="959"/>
      <c r="W912" s="959"/>
      <c r="X912" s="959"/>
      <c r="Y912" s="959"/>
      <c r="Z912" s="959"/>
      <c r="AA912" s="959"/>
      <c r="AB912" s="959"/>
      <c r="AC912" s="959"/>
      <c r="AD912" s="959"/>
      <c r="AE912" s="959"/>
      <c r="AF912" s="959"/>
      <c r="AG912" s="959"/>
      <c r="AH912" s="959"/>
      <c r="AI912" s="959"/>
      <c r="AJ912" s="959"/>
      <c r="AK912" s="959"/>
      <c r="AL912" s="959"/>
      <c r="AM912" s="959"/>
    </row>
    <row r="913" spans="3:39" x14ac:dyDescent="0.25">
      <c r="C913" s="959"/>
      <c r="D913" s="959"/>
      <c r="E913" s="959"/>
      <c r="F913" s="959"/>
      <c r="G913" s="959"/>
      <c r="H913" s="959"/>
      <c r="I913" s="959"/>
      <c r="J913" s="959"/>
      <c r="K913" s="959"/>
      <c r="L913" s="959"/>
      <c r="M913" s="959"/>
      <c r="N913" s="959"/>
      <c r="O913" s="959"/>
      <c r="P913" s="959"/>
      <c r="Q913" s="959"/>
      <c r="R913" s="959"/>
      <c r="S913" s="959"/>
      <c r="T913" s="959"/>
      <c r="U913" s="959"/>
      <c r="V913" s="959"/>
      <c r="W913" s="959"/>
      <c r="X913" s="959"/>
      <c r="Y913" s="959"/>
      <c r="Z913" s="959"/>
      <c r="AA913" s="959"/>
      <c r="AB913" s="959"/>
      <c r="AC913" s="959"/>
      <c r="AD913" s="959"/>
      <c r="AE913" s="959"/>
      <c r="AF913" s="959"/>
      <c r="AG913" s="959"/>
      <c r="AH913" s="959"/>
      <c r="AI913" s="959"/>
      <c r="AJ913" s="959"/>
      <c r="AK913" s="959"/>
      <c r="AL913" s="959"/>
      <c r="AM913" s="959"/>
    </row>
    <row r="914" spans="3:39" x14ac:dyDescent="0.25">
      <c r="C914" s="959"/>
      <c r="D914" s="959"/>
      <c r="E914" s="959"/>
      <c r="F914" s="959"/>
      <c r="G914" s="959"/>
      <c r="H914" s="959"/>
      <c r="I914" s="959"/>
      <c r="J914" s="959"/>
      <c r="K914" s="959"/>
      <c r="L914" s="959"/>
      <c r="M914" s="959"/>
      <c r="N914" s="959"/>
      <c r="O914" s="959"/>
      <c r="P914" s="959"/>
      <c r="Q914" s="959"/>
      <c r="R914" s="959"/>
      <c r="S914" s="959"/>
      <c r="T914" s="959"/>
      <c r="U914" s="959"/>
      <c r="V914" s="959"/>
      <c r="W914" s="959"/>
      <c r="X914" s="959"/>
      <c r="Y914" s="959"/>
      <c r="Z914" s="959"/>
      <c r="AA914" s="959"/>
      <c r="AB914" s="959"/>
      <c r="AC914" s="959"/>
      <c r="AD914" s="959"/>
      <c r="AE914" s="959"/>
      <c r="AF914" s="959"/>
      <c r="AG914" s="959"/>
      <c r="AH914" s="959"/>
      <c r="AI914" s="959"/>
      <c r="AJ914" s="959"/>
      <c r="AK914" s="959"/>
      <c r="AL914" s="959"/>
      <c r="AM914" s="959"/>
    </row>
    <row r="915" spans="3:39" x14ac:dyDescent="0.25">
      <c r="C915" s="959"/>
      <c r="D915" s="959"/>
      <c r="E915" s="959"/>
      <c r="F915" s="959"/>
      <c r="G915" s="959"/>
      <c r="H915" s="959"/>
      <c r="I915" s="959"/>
      <c r="J915" s="959"/>
      <c r="K915" s="959"/>
      <c r="L915" s="959"/>
      <c r="M915" s="959"/>
      <c r="N915" s="959"/>
      <c r="O915" s="959"/>
      <c r="P915" s="959"/>
      <c r="Q915" s="959"/>
      <c r="R915" s="959"/>
      <c r="S915" s="959"/>
      <c r="T915" s="959"/>
      <c r="U915" s="959"/>
      <c r="V915" s="959"/>
      <c r="W915" s="959"/>
      <c r="X915" s="959"/>
      <c r="Y915" s="959"/>
      <c r="Z915" s="959"/>
      <c r="AA915" s="959"/>
      <c r="AB915" s="959"/>
      <c r="AC915" s="959"/>
      <c r="AD915" s="959"/>
      <c r="AE915" s="959"/>
      <c r="AF915" s="959"/>
      <c r="AG915" s="959"/>
      <c r="AH915" s="959"/>
      <c r="AI915" s="959"/>
      <c r="AJ915" s="959"/>
      <c r="AK915" s="959"/>
      <c r="AL915" s="959"/>
      <c r="AM915" s="959"/>
    </row>
    <row r="916" spans="3:39" x14ac:dyDescent="0.25">
      <c r="C916" s="959"/>
      <c r="D916" s="959"/>
      <c r="E916" s="959"/>
      <c r="F916" s="959"/>
      <c r="G916" s="959"/>
      <c r="H916" s="959"/>
      <c r="I916" s="959"/>
      <c r="J916" s="959"/>
      <c r="K916" s="959"/>
      <c r="L916" s="959"/>
      <c r="M916" s="959"/>
      <c r="N916" s="959"/>
      <c r="O916" s="959"/>
      <c r="P916" s="959"/>
      <c r="Q916" s="959"/>
      <c r="R916" s="959"/>
      <c r="S916" s="959"/>
      <c r="T916" s="959"/>
      <c r="U916" s="959"/>
      <c r="V916" s="959"/>
      <c r="W916" s="959"/>
      <c r="X916" s="959"/>
      <c r="Y916" s="959"/>
      <c r="Z916" s="959"/>
      <c r="AA916" s="959"/>
      <c r="AB916" s="959"/>
      <c r="AC916" s="959"/>
      <c r="AD916" s="959"/>
      <c r="AE916" s="959"/>
      <c r="AF916" s="959"/>
      <c r="AG916" s="959"/>
      <c r="AH916" s="959"/>
      <c r="AI916" s="959"/>
      <c r="AJ916" s="959"/>
      <c r="AK916" s="959"/>
      <c r="AL916" s="959"/>
      <c r="AM916" s="959"/>
    </row>
    <row r="917" spans="3:39" x14ac:dyDescent="0.25">
      <c r="C917" s="959"/>
      <c r="D917" s="959"/>
      <c r="E917" s="959"/>
      <c r="F917" s="959"/>
      <c r="G917" s="959"/>
      <c r="H917" s="959"/>
      <c r="I917" s="959"/>
      <c r="J917" s="959"/>
      <c r="K917" s="959"/>
      <c r="L917" s="959"/>
      <c r="M917" s="959"/>
      <c r="N917" s="959"/>
      <c r="O917" s="959"/>
      <c r="P917" s="959"/>
      <c r="Q917" s="959"/>
      <c r="R917" s="959"/>
      <c r="S917" s="959"/>
      <c r="T917" s="959"/>
      <c r="U917" s="959"/>
      <c r="V917" s="959"/>
      <c r="W917" s="959"/>
      <c r="X917" s="959"/>
      <c r="Y917" s="959"/>
      <c r="Z917" s="959"/>
      <c r="AA917" s="959"/>
      <c r="AB917" s="959"/>
      <c r="AC917" s="959"/>
      <c r="AD917" s="959"/>
      <c r="AE917" s="959"/>
      <c r="AF917" s="959"/>
      <c r="AG917" s="959"/>
      <c r="AH917" s="959"/>
      <c r="AI917" s="959"/>
      <c r="AJ917" s="959"/>
      <c r="AK917" s="959"/>
      <c r="AL917" s="959"/>
      <c r="AM917" s="959"/>
    </row>
    <row r="918" spans="3:39" x14ac:dyDescent="0.25">
      <c r="C918" s="959"/>
      <c r="D918" s="959"/>
      <c r="E918" s="959"/>
      <c r="F918" s="959"/>
      <c r="G918" s="959"/>
      <c r="H918" s="959"/>
      <c r="I918" s="959"/>
      <c r="J918" s="959"/>
      <c r="K918" s="959"/>
      <c r="L918" s="959"/>
      <c r="M918" s="959"/>
      <c r="N918" s="959"/>
      <c r="O918" s="959"/>
      <c r="P918" s="959"/>
      <c r="Q918" s="959"/>
      <c r="R918" s="959"/>
      <c r="S918" s="959"/>
      <c r="T918" s="959"/>
      <c r="U918" s="959"/>
      <c r="V918" s="959"/>
      <c r="W918" s="959"/>
      <c r="X918" s="959"/>
      <c r="Y918" s="959"/>
      <c r="Z918" s="959"/>
      <c r="AA918" s="959"/>
      <c r="AB918" s="959"/>
      <c r="AC918" s="959"/>
      <c r="AD918" s="959"/>
      <c r="AE918" s="959"/>
      <c r="AF918" s="959"/>
      <c r="AG918" s="959"/>
      <c r="AH918" s="959"/>
      <c r="AI918" s="959"/>
      <c r="AJ918" s="959"/>
      <c r="AK918" s="959"/>
      <c r="AL918" s="959"/>
      <c r="AM918" s="959"/>
    </row>
    <row r="919" spans="3:39" x14ac:dyDescent="0.25">
      <c r="C919" s="959"/>
      <c r="D919" s="959"/>
      <c r="E919" s="959"/>
      <c r="F919" s="959"/>
      <c r="G919" s="959"/>
      <c r="H919" s="959"/>
      <c r="I919" s="959"/>
      <c r="J919" s="959"/>
      <c r="K919" s="959"/>
      <c r="L919" s="959"/>
      <c r="M919" s="959"/>
      <c r="N919" s="959"/>
      <c r="O919" s="959"/>
      <c r="P919" s="959"/>
      <c r="Q919" s="959"/>
      <c r="R919" s="959"/>
      <c r="S919" s="959"/>
      <c r="T919" s="959"/>
      <c r="U919" s="959"/>
      <c r="V919" s="959"/>
      <c r="W919" s="959"/>
      <c r="X919" s="959"/>
      <c r="Y919" s="959"/>
      <c r="Z919" s="959"/>
      <c r="AA919" s="959"/>
      <c r="AB919" s="959"/>
      <c r="AC919" s="959"/>
      <c r="AD919" s="959"/>
      <c r="AE919" s="959"/>
      <c r="AF919" s="959"/>
      <c r="AG919" s="959"/>
      <c r="AH919" s="959"/>
      <c r="AI919" s="959"/>
      <c r="AJ919" s="959"/>
      <c r="AK919" s="959"/>
      <c r="AL919" s="959"/>
      <c r="AM919" s="959"/>
    </row>
    <row r="920" spans="3:39" x14ac:dyDescent="0.25">
      <c r="C920" s="959"/>
      <c r="D920" s="959"/>
      <c r="E920" s="959"/>
      <c r="F920" s="959"/>
      <c r="G920" s="959"/>
      <c r="H920" s="959"/>
      <c r="I920" s="959"/>
      <c r="J920" s="959"/>
      <c r="K920" s="959"/>
      <c r="L920" s="959"/>
      <c r="M920" s="959"/>
      <c r="N920" s="959"/>
      <c r="O920" s="959"/>
      <c r="P920" s="959"/>
      <c r="Q920" s="959"/>
      <c r="R920" s="959"/>
      <c r="S920" s="959"/>
      <c r="T920" s="959"/>
      <c r="U920" s="959"/>
      <c r="V920" s="959"/>
      <c r="W920" s="959"/>
      <c r="X920" s="959"/>
      <c r="Y920" s="959"/>
      <c r="Z920" s="959"/>
      <c r="AA920" s="959"/>
      <c r="AB920" s="959"/>
      <c r="AC920" s="959"/>
      <c r="AD920" s="959"/>
      <c r="AE920" s="959"/>
      <c r="AF920" s="959"/>
      <c r="AG920" s="959"/>
      <c r="AH920" s="959"/>
      <c r="AI920" s="959"/>
      <c r="AJ920" s="959"/>
      <c r="AK920" s="959"/>
      <c r="AL920" s="959"/>
      <c r="AM920" s="959"/>
    </row>
    <row r="921" spans="3:39" x14ac:dyDescent="0.25">
      <c r="C921" s="959"/>
      <c r="D921" s="959"/>
      <c r="E921" s="959"/>
      <c r="F921" s="959"/>
      <c r="G921" s="959"/>
      <c r="H921" s="959"/>
      <c r="I921" s="959"/>
      <c r="J921" s="959"/>
      <c r="K921" s="959"/>
      <c r="L921" s="959"/>
      <c r="M921" s="959"/>
      <c r="N921" s="959"/>
      <c r="O921" s="959"/>
      <c r="P921" s="959"/>
      <c r="Q921" s="959"/>
      <c r="R921" s="959"/>
      <c r="S921" s="959"/>
      <c r="T921" s="959"/>
      <c r="U921" s="959"/>
      <c r="V921" s="959"/>
      <c r="W921" s="959"/>
      <c r="X921" s="959"/>
      <c r="Y921" s="959"/>
      <c r="Z921" s="959"/>
      <c r="AA921" s="959"/>
      <c r="AB921" s="959"/>
      <c r="AC921" s="959"/>
      <c r="AD921" s="959"/>
      <c r="AE921" s="959"/>
      <c r="AF921" s="959"/>
      <c r="AG921" s="959"/>
      <c r="AH921" s="959"/>
      <c r="AI921" s="959"/>
      <c r="AJ921" s="959"/>
      <c r="AK921" s="959"/>
      <c r="AL921" s="959"/>
      <c r="AM921" s="959"/>
    </row>
    <row r="922" spans="3:39" x14ac:dyDescent="0.25">
      <c r="C922" s="959"/>
      <c r="D922" s="959"/>
      <c r="E922" s="959"/>
      <c r="F922" s="959"/>
      <c r="G922" s="959"/>
      <c r="H922" s="959"/>
      <c r="I922" s="959"/>
      <c r="J922" s="959"/>
      <c r="K922" s="959"/>
      <c r="L922" s="959"/>
      <c r="M922" s="959"/>
      <c r="N922" s="959"/>
      <c r="O922" s="959"/>
      <c r="P922" s="959"/>
      <c r="Q922" s="959"/>
      <c r="R922" s="959"/>
      <c r="S922" s="959"/>
      <c r="T922" s="959"/>
      <c r="U922" s="959"/>
      <c r="V922" s="959"/>
      <c r="W922" s="959"/>
      <c r="X922" s="959"/>
      <c r="Y922" s="959"/>
      <c r="Z922" s="959"/>
      <c r="AA922" s="959"/>
      <c r="AB922" s="959"/>
      <c r="AC922" s="959"/>
      <c r="AD922" s="959"/>
      <c r="AE922" s="959"/>
      <c r="AF922" s="959"/>
      <c r="AG922" s="959"/>
      <c r="AH922" s="959"/>
      <c r="AI922" s="959"/>
      <c r="AJ922" s="959"/>
      <c r="AK922" s="959"/>
      <c r="AL922" s="959"/>
      <c r="AM922" s="959"/>
    </row>
    <row r="923" spans="3:39" x14ac:dyDescent="0.25">
      <c r="C923" s="959"/>
      <c r="D923" s="959"/>
      <c r="E923" s="959"/>
      <c r="F923" s="959"/>
      <c r="G923" s="959"/>
      <c r="H923" s="959"/>
      <c r="I923" s="959"/>
      <c r="J923" s="959"/>
      <c r="K923" s="959"/>
      <c r="L923" s="959"/>
      <c r="M923" s="959"/>
      <c r="N923" s="959"/>
      <c r="O923" s="959"/>
      <c r="P923" s="959"/>
      <c r="Q923" s="959"/>
      <c r="R923" s="959"/>
      <c r="S923" s="959"/>
      <c r="T923" s="959"/>
      <c r="U923" s="959"/>
      <c r="V923" s="959"/>
      <c r="W923" s="959"/>
      <c r="X923" s="959"/>
      <c r="Y923" s="959"/>
      <c r="Z923" s="959"/>
      <c r="AA923" s="959"/>
      <c r="AB923" s="959"/>
      <c r="AC923" s="959"/>
      <c r="AD923" s="959"/>
      <c r="AE923" s="959"/>
      <c r="AF923" s="959"/>
      <c r="AG923" s="959"/>
      <c r="AH923" s="959"/>
      <c r="AI923" s="959"/>
      <c r="AJ923" s="959"/>
      <c r="AK923" s="959"/>
      <c r="AL923" s="959"/>
      <c r="AM923" s="959"/>
    </row>
    <row r="924" spans="3:39" x14ac:dyDescent="0.25">
      <c r="C924" s="959"/>
      <c r="D924" s="959"/>
      <c r="E924" s="959"/>
      <c r="F924" s="959"/>
      <c r="G924" s="959"/>
      <c r="H924" s="959"/>
      <c r="I924" s="959"/>
      <c r="J924" s="959"/>
      <c r="K924" s="959"/>
      <c r="L924" s="959"/>
      <c r="M924" s="959"/>
      <c r="N924" s="959"/>
      <c r="O924" s="959"/>
      <c r="P924" s="959"/>
      <c r="Q924" s="959"/>
      <c r="R924" s="959"/>
      <c r="S924" s="959"/>
      <c r="T924" s="959"/>
      <c r="U924" s="959"/>
      <c r="V924" s="959"/>
      <c r="W924" s="959"/>
      <c r="X924" s="959"/>
      <c r="Y924" s="959"/>
      <c r="Z924" s="959"/>
      <c r="AA924" s="959"/>
      <c r="AB924" s="959"/>
      <c r="AC924" s="959"/>
      <c r="AD924" s="959"/>
      <c r="AE924" s="959"/>
      <c r="AF924" s="959"/>
      <c r="AG924" s="959"/>
      <c r="AH924" s="959"/>
      <c r="AI924" s="959"/>
      <c r="AJ924" s="959"/>
      <c r="AK924" s="959"/>
      <c r="AL924" s="959"/>
      <c r="AM924" s="959"/>
    </row>
    <row r="925" spans="3:39" x14ac:dyDescent="0.25">
      <c r="C925" s="959"/>
      <c r="D925" s="959"/>
      <c r="E925" s="959"/>
      <c r="F925" s="959"/>
      <c r="G925" s="959"/>
      <c r="H925" s="959"/>
      <c r="I925" s="959"/>
      <c r="J925" s="959"/>
      <c r="K925" s="959"/>
      <c r="L925" s="959"/>
      <c r="M925" s="959"/>
      <c r="N925" s="959"/>
      <c r="O925" s="959"/>
      <c r="P925" s="959"/>
      <c r="Q925" s="959"/>
      <c r="R925" s="959"/>
      <c r="S925" s="959"/>
      <c r="T925" s="959"/>
      <c r="U925" s="959"/>
      <c r="V925" s="959"/>
      <c r="W925" s="959"/>
      <c r="X925" s="959"/>
      <c r="Y925" s="959"/>
      <c r="Z925" s="959"/>
      <c r="AA925" s="959"/>
      <c r="AB925" s="959"/>
      <c r="AC925" s="959"/>
      <c r="AD925" s="959"/>
      <c r="AE925" s="959"/>
      <c r="AF925" s="959"/>
      <c r="AG925" s="959"/>
      <c r="AH925" s="959"/>
      <c r="AI925" s="959"/>
      <c r="AJ925" s="959"/>
      <c r="AK925" s="959"/>
      <c r="AL925" s="959"/>
      <c r="AM925" s="959"/>
    </row>
    <row r="926" spans="3:39" x14ac:dyDescent="0.25">
      <c r="C926" s="959"/>
      <c r="D926" s="959"/>
      <c r="E926" s="959"/>
      <c r="F926" s="959"/>
      <c r="G926" s="959"/>
      <c r="H926" s="959"/>
      <c r="I926" s="959"/>
      <c r="J926" s="959"/>
      <c r="K926" s="959"/>
      <c r="L926" s="959"/>
      <c r="M926" s="959"/>
      <c r="N926" s="959"/>
      <c r="O926" s="959"/>
      <c r="P926" s="959"/>
      <c r="Q926" s="959"/>
      <c r="R926" s="959"/>
      <c r="S926" s="959"/>
      <c r="T926" s="959"/>
      <c r="U926" s="959"/>
      <c r="V926" s="959"/>
      <c r="W926" s="959"/>
      <c r="X926" s="959"/>
      <c r="Y926" s="959"/>
      <c r="Z926" s="959"/>
      <c r="AA926" s="959"/>
      <c r="AB926" s="959"/>
      <c r="AC926" s="959"/>
      <c r="AD926" s="959"/>
      <c r="AE926" s="959"/>
      <c r="AF926" s="959"/>
      <c r="AG926" s="959"/>
      <c r="AH926" s="959"/>
      <c r="AI926" s="959"/>
      <c r="AJ926" s="959"/>
      <c r="AK926" s="959"/>
      <c r="AL926" s="959"/>
      <c r="AM926" s="959"/>
    </row>
    <row r="927" spans="3:39" x14ac:dyDescent="0.25">
      <c r="C927" s="959"/>
      <c r="D927" s="959"/>
      <c r="E927" s="959"/>
      <c r="F927" s="959"/>
      <c r="G927" s="959"/>
      <c r="H927" s="959"/>
      <c r="I927" s="959"/>
      <c r="J927" s="959"/>
      <c r="K927" s="959"/>
      <c r="L927" s="959"/>
      <c r="M927" s="959"/>
      <c r="N927" s="959"/>
      <c r="O927" s="959"/>
      <c r="P927" s="959"/>
      <c r="Q927" s="959"/>
      <c r="R927" s="959"/>
      <c r="S927" s="959"/>
      <c r="T927" s="959"/>
      <c r="U927" s="959"/>
      <c r="V927" s="959"/>
      <c r="W927" s="959"/>
      <c r="X927" s="959"/>
      <c r="Y927" s="959"/>
      <c r="Z927" s="959"/>
      <c r="AA927" s="959"/>
      <c r="AB927" s="959"/>
      <c r="AC927" s="959"/>
      <c r="AD927" s="959"/>
      <c r="AE927" s="959"/>
      <c r="AF927" s="959"/>
      <c r="AG927" s="959"/>
      <c r="AH927" s="959"/>
      <c r="AI927" s="959"/>
      <c r="AJ927" s="959"/>
      <c r="AK927" s="959"/>
      <c r="AL927" s="959"/>
      <c r="AM927" s="959"/>
    </row>
    <row r="928" spans="3:39" x14ac:dyDescent="0.25">
      <c r="C928" s="959"/>
      <c r="D928" s="959"/>
      <c r="E928" s="959"/>
      <c r="F928" s="959"/>
      <c r="G928" s="959"/>
      <c r="H928" s="959"/>
      <c r="I928" s="959"/>
      <c r="J928" s="959"/>
      <c r="K928" s="959"/>
      <c r="L928" s="959"/>
      <c r="M928" s="959"/>
      <c r="N928" s="959"/>
      <c r="O928" s="959"/>
      <c r="P928" s="959"/>
      <c r="Q928" s="959"/>
      <c r="R928" s="959"/>
      <c r="S928" s="959"/>
      <c r="T928" s="959"/>
      <c r="U928" s="959"/>
      <c r="V928" s="959"/>
      <c r="W928" s="959"/>
      <c r="X928" s="959"/>
      <c r="Y928" s="959"/>
      <c r="Z928" s="959"/>
      <c r="AA928" s="959"/>
      <c r="AB928" s="959"/>
      <c r="AC928" s="959"/>
      <c r="AD928" s="959"/>
      <c r="AE928" s="959"/>
      <c r="AF928" s="959"/>
      <c r="AG928" s="959"/>
      <c r="AH928" s="959"/>
      <c r="AI928" s="959"/>
      <c r="AJ928" s="959"/>
      <c r="AK928" s="959"/>
      <c r="AL928" s="959"/>
      <c r="AM928" s="959"/>
    </row>
    <row r="929" spans="3:39" x14ac:dyDescent="0.25">
      <c r="C929" s="959"/>
      <c r="D929" s="959"/>
      <c r="E929" s="959"/>
      <c r="F929" s="959"/>
      <c r="G929" s="959"/>
      <c r="H929" s="959"/>
      <c r="I929" s="959"/>
      <c r="J929" s="959"/>
      <c r="K929" s="959"/>
      <c r="L929" s="959"/>
      <c r="M929" s="959"/>
      <c r="N929" s="959"/>
      <c r="O929" s="959"/>
      <c r="P929" s="959"/>
      <c r="Q929" s="959"/>
      <c r="R929" s="959"/>
      <c r="S929" s="959"/>
      <c r="T929" s="959"/>
      <c r="U929" s="959"/>
      <c r="V929" s="959"/>
      <c r="W929" s="959"/>
      <c r="X929" s="959"/>
      <c r="Y929" s="959"/>
      <c r="Z929" s="959"/>
      <c r="AA929" s="959"/>
      <c r="AB929" s="959"/>
      <c r="AC929" s="959"/>
      <c r="AD929" s="959"/>
      <c r="AE929" s="959"/>
      <c r="AF929" s="959"/>
      <c r="AG929" s="959"/>
      <c r="AH929" s="959"/>
      <c r="AI929" s="959"/>
      <c r="AJ929" s="959"/>
      <c r="AK929" s="959"/>
      <c r="AL929" s="959"/>
      <c r="AM929" s="959"/>
    </row>
    <row r="930" spans="3:39" x14ac:dyDescent="0.25">
      <c r="C930" s="959"/>
      <c r="D930" s="959"/>
      <c r="E930" s="959"/>
      <c r="F930" s="959"/>
      <c r="G930" s="959"/>
      <c r="H930" s="959"/>
      <c r="I930" s="959"/>
      <c r="J930" s="959"/>
      <c r="K930" s="959"/>
      <c r="L930" s="959"/>
      <c r="M930" s="959"/>
      <c r="N930" s="959"/>
      <c r="O930" s="959"/>
      <c r="P930" s="959"/>
      <c r="Q930" s="959"/>
      <c r="R930" s="959"/>
      <c r="S930" s="959"/>
      <c r="T930" s="959"/>
      <c r="U930" s="959"/>
      <c r="V930" s="959"/>
      <c r="W930" s="959"/>
      <c r="X930" s="959"/>
      <c r="Y930" s="959"/>
      <c r="Z930" s="959"/>
      <c r="AA930" s="959"/>
      <c r="AB930" s="959"/>
      <c r="AC930" s="959"/>
      <c r="AD930" s="959"/>
      <c r="AE930" s="959"/>
      <c r="AF930" s="959"/>
      <c r="AG930" s="959"/>
      <c r="AH930" s="959"/>
      <c r="AI930" s="959"/>
      <c r="AJ930" s="959"/>
      <c r="AK930" s="959"/>
      <c r="AL930" s="959"/>
      <c r="AM930" s="959"/>
    </row>
    <row r="931" spans="3:39" x14ac:dyDescent="0.25">
      <c r="C931" s="959"/>
      <c r="D931" s="959"/>
      <c r="E931" s="959"/>
      <c r="F931" s="959"/>
      <c r="G931" s="959"/>
      <c r="H931" s="959"/>
      <c r="I931" s="959"/>
      <c r="J931" s="959"/>
      <c r="K931" s="959"/>
      <c r="L931" s="959"/>
      <c r="M931" s="959"/>
      <c r="N931" s="959"/>
      <c r="O931" s="959"/>
      <c r="P931" s="959"/>
      <c r="Q931" s="959"/>
      <c r="R931" s="959"/>
      <c r="S931" s="959"/>
      <c r="T931" s="959"/>
      <c r="U931" s="959"/>
      <c r="V931" s="959"/>
      <c r="W931" s="959"/>
      <c r="X931" s="959"/>
      <c r="Y931" s="959"/>
      <c r="Z931" s="959"/>
      <c r="AA931" s="959"/>
      <c r="AB931" s="959"/>
      <c r="AC931" s="959"/>
      <c r="AD931" s="959"/>
      <c r="AE931" s="959"/>
      <c r="AF931" s="959"/>
      <c r="AG931" s="959"/>
      <c r="AH931" s="959"/>
      <c r="AI931" s="959"/>
      <c r="AJ931" s="959"/>
      <c r="AK931" s="959"/>
      <c r="AL931" s="959"/>
      <c r="AM931" s="959"/>
    </row>
    <row r="932" spans="3:39" x14ac:dyDescent="0.25">
      <c r="C932" s="959"/>
      <c r="D932" s="959"/>
      <c r="E932" s="959"/>
      <c r="F932" s="959"/>
      <c r="G932" s="959"/>
      <c r="H932" s="959"/>
      <c r="I932" s="959"/>
      <c r="J932" s="959"/>
      <c r="K932" s="959"/>
      <c r="L932" s="959"/>
      <c r="M932" s="959"/>
      <c r="N932" s="959"/>
      <c r="O932" s="959"/>
      <c r="P932" s="959"/>
      <c r="Q932" s="959"/>
      <c r="R932" s="959"/>
      <c r="S932" s="959"/>
      <c r="T932" s="959"/>
      <c r="U932" s="959"/>
      <c r="V932" s="959"/>
      <c r="W932" s="959"/>
      <c r="X932" s="959"/>
      <c r="Y932" s="959"/>
      <c r="Z932" s="959"/>
      <c r="AA932" s="959"/>
      <c r="AB932" s="959"/>
      <c r="AC932" s="959"/>
      <c r="AD932" s="959"/>
      <c r="AE932" s="959"/>
      <c r="AF932" s="959"/>
      <c r="AG932" s="959"/>
      <c r="AH932" s="959"/>
      <c r="AI932" s="959"/>
      <c r="AJ932" s="959"/>
      <c r="AK932" s="959"/>
      <c r="AL932" s="959"/>
      <c r="AM932" s="959"/>
    </row>
    <row r="933" spans="3:39" x14ac:dyDescent="0.25">
      <c r="C933" s="959"/>
      <c r="D933" s="959"/>
      <c r="E933" s="959"/>
      <c r="F933" s="959"/>
      <c r="G933" s="959"/>
      <c r="H933" s="959"/>
      <c r="I933" s="959"/>
      <c r="J933" s="959"/>
      <c r="K933" s="959"/>
      <c r="L933" s="959"/>
      <c r="M933" s="959"/>
      <c r="N933" s="959"/>
      <c r="O933" s="959"/>
      <c r="P933" s="959"/>
      <c r="Q933" s="959"/>
      <c r="R933" s="959"/>
      <c r="S933" s="959"/>
      <c r="T933" s="959"/>
      <c r="U933" s="959"/>
      <c r="V933" s="959"/>
      <c r="W933" s="959"/>
      <c r="X933" s="959"/>
      <c r="Y933" s="959"/>
      <c r="Z933" s="959"/>
      <c r="AA933" s="959"/>
      <c r="AB933" s="959"/>
      <c r="AC933" s="959"/>
      <c r="AD933" s="959"/>
      <c r="AE933" s="959"/>
      <c r="AF933" s="959"/>
      <c r="AG933" s="959"/>
      <c r="AH933" s="959"/>
      <c r="AI933" s="959"/>
      <c r="AJ933" s="959"/>
      <c r="AK933" s="959"/>
      <c r="AL933" s="959"/>
      <c r="AM933" s="959"/>
    </row>
    <row r="934" spans="3:39" x14ac:dyDescent="0.25">
      <c r="C934" s="959"/>
      <c r="D934" s="959"/>
      <c r="E934" s="959"/>
      <c r="F934" s="959"/>
      <c r="G934" s="959"/>
      <c r="H934" s="959"/>
      <c r="I934" s="959"/>
      <c r="J934" s="959"/>
      <c r="K934" s="959"/>
      <c r="L934" s="959"/>
      <c r="M934" s="959"/>
      <c r="N934" s="959"/>
      <c r="O934" s="959"/>
      <c r="P934" s="959"/>
      <c r="Q934" s="959"/>
      <c r="R934" s="959"/>
      <c r="S934" s="959"/>
      <c r="T934" s="959"/>
      <c r="U934" s="959"/>
      <c r="V934" s="959"/>
      <c r="W934" s="959"/>
      <c r="X934" s="959"/>
      <c r="Y934" s="959"/>
      <c r="Z934" s="959"/>
      <c r="AA934" s="959"/>
      <c r="AB934" s="959"/>
      <c r="AC934" s="959"/>
      <c r="AD934" s="959"/>
      <c r="AE934" s="959"/>
      <c r="AF934" s="959"/>
      <c r="AG934" s="959"/>
      <c r="AH934" s="959"/>
      <c r="AI934" s="959"/>
      <c r="AJ934" s="959"/>
      <c r="AK934" s="959"/>
      <c r="AL934" s="959"/>
      <c r="AM934" s="959"/>
    </row>
    <row r="935" spans="3:39" x14ac:dyDescent="0.25">
      <c r="C935" s="959"/>
      <c r="D935" s="959"/>
      <c r="E935" s="959"/>
      <c r="F935" s="959"/>
      <c r="G935" s="959"/>
      <c r="H935" s="959"/>
      <c r="I935" s="959"/>
      <c r="J935" s="959"/>
      <c r="K935" s="959"/>
      <c r="L935" s="959"/>
      <c r="M935" s="959"/>
      <c r="N935" s="959"/>
      <c r="O935" s="959"/>
      <c r="P935" s="959"/>
      <c r="Q935" s="959"/>
      <c r="R935" s="959"/>
      <c r="S935" s="959"/>
      <c r="T935" s="959"/>
      <c r="U935" s="959"/>
      <c r="V935" s="959"/>
      <c r="W935" s="959"/>
      <c r="X935" s="959"/>
      <c r="Y935" s="959"/>
      <c r="Z935" s="959"/>
      <c r="AA935" s="959"/>
      <c r="AB935" s="959"/>
      <c r="AC935" s="959"/>
      <c r="AD935" s="959"/>
      <c r="AE935" s="959"/>
      <c r="AF935" s="959"/>
      <c r="AG935" s="959"/>
      <c r="AH935" s="959"/>
      <c r="AI935" s="959"/>
      <c r="AJ935" s="959"/>
      <c r="AK935" s="959"/>
      <c r="AL935" s="959"/>
      <c r="AM935" s="959"/>
    </row>
    <row r="936" spans="3:39" x14ac:dyDescent="0.25">
      <c r="C936" s="959"/>
      <c r="D936" s="959"/>
      <c r="E936" s="959"/>
      <c r="F936" s="959"/>
      <c r="G936" s="959"/>
      <c r="H936" s="959"/>
      <c r="I936" s="959"/>
      <c r="J936" s="959"/>
      <c r="K936" s="959"/>
      <c r="L936" s="959"/>
      <c r="M936" s="959"/>
      <c r="N936" s="959"/>
      <c r="O936" s="959"/>
      <c r="P936" s="959"/>
      <c r="Q936" s="959"/>
      <c r="R936" s="959"/>
      <c r="S936" s="959"/>
      <c r="T936" s="959"/>
      <c r="U936" s="959"/>
      <c r="V936" s="959"/>
      <c r="W936" s="959"/>
      <c r="X936" s="959"/>
      <c r="Y936" s="959"/>
      <c r="Z936" s="959"/>
      <c r="AA936" s="959"/>
      <c r="AB936" s="959"/>
      <c r="AC936" s="959"/>
      <c r="AD936" s="959"/>
      <c r="AE936" s="959"/>
      <c r="AF936" s="959"/>
      <c r="AG936" s="959"/>
      <c r="AH936" s="959"/>
      <c r="AI936" s="959"/>
      <c r="AJ936" s="959"/>
      <c r="AK936" s="959"/>
      <c r="AL936" s="959"/>
      <c r="AM936" s="959"/>
    </row>
    <row r="937" spans="3:39" x14ac:dyDescent="0.25">
      <c r="C937" s="959"/>
      <c r="D937" s="959"/>
      <c r="E937" s="959"/>
      <c r="F937" s="959"/>
      <c r="G937" s="959"/>
      <c r="H937" s="959"/>
      <c r="I937" s="959"/>
      <c r="J937" s="959"/>
      <c r="K937" s="959"/>
      <c r="L937" s="959"/>
      <c r="M937" s="959"/>
      <c r="N937" s="959"/>
      <c r="O937" s="959"/>
      <c r="P937" s="959"/>
      <c r="Q937" s="959"/>
      <c r="R937" s="959"/>
      <c r="S937" s="959"/>
      <c r="T937" s="959"/>
      <c r="U937" s="959"/>
      <c r="V937" s="959"/>
      <c r="W937" s="959"/>
      <c r="X937" s="959"/>
      <c r="Y937" s="959"/>
      <c r="Z937" s="959"/>
      <c r="AA937" s="959"/>
      <c r="AB937" s="959"/>
      <c r="AC937" s="959"/>
      <c r="AD937" s="959"/>
      <c r="AE937" s="959"/>
      <c r="AF937" s="959"/>
      <c r="AG937" s="959"/>
      <c r="AH937" s="959"/>
      <c r="AI937" s="959"/>
      <c r="AJ937" s="959"/>
      <c r="AK937" s="959"/>
      <c r="AL937" s="959"/>
      <c r="AM937" s="959"/>
    </row>
    <row r="938" spans="3:39" x14ac:dyDescent="0.25">
      <c r="C938" s="959"/>
      <c r="D938" s="959"/>
      <c r="E938" s="959"/>
      <c r="F938" s="959"/>
      <c r="G938" s="959"/>
      <c r="H938" s="959"/>
      <c r="I938" s="959"/>
      <c r="J938" s="959"/>
      <c r="K938" s="959"/>
      <c r="L938" s="959"/>
      <c r="M938" s="959"/>
      <c r="N938" s="959"/>
      <c r="O938" s="959"/>
      <c r="P938" s="959"/>
      <c r="Q938" s="959"/>
      <c r="R938" s="959"/>
      <c r="S938" s="959"/>
      <c r="T938" s="959"/>
      <c r="U938" s="959"/>
      <c r="V938" s="959"/>
      <c r="W938" s="959"/>
      <c r="X938" s="959"/>
      <c r="Y938" s="959"/>
      <c r="Z938" s="959"/>
      <c r="AA938" s="959"/>
      <c r="AB938" s="959"/>
      <c r="AC938" s="959"/>
      <c r="AD938" s="959"/>
      <c r="AE938" s="959"/>
      <c r="AF938" s="959"/>
      <c r="AG938" s="959"/>
      <c r="AH938" s="959"/>
      <c r="AI938" s="959"/>
      <c r="AJ938" s="959"/>
      <c r="AK938" s="959"/>
      <c r="AL938" s="959"/>
      <c r="AM938" s="959"/>
    </row>
    <row r="939" spans="3:39" x14ac:dyDescent="0.25">
      <c r="C939" s="959"/>
      <c r="D939" s="959"/>
      <c r="E939" s="959"/>
      <c r="F939" s="959"/>
      <c r="G939" s="959"/>
      <c r="H939" s="959"/>
      <c r="I939" s="959"/>
      <c r="J939" s="959"/>
      <c r="K939" s="959"/>
      <c r="L939" s="959"/>
      <c r="M939" s="959"/>
      <c r="N939" s="959"/>
      <c r="O939" s="959"/>
      <c r="P939" s="959"/>
      <c r="Q939" s="959"/>
      <c r="R939" s="959"/>
      <c r="S939" s="959"/>
      <c r="T939" s="959"/>
      <c r="U939" s="959"/>
      <c r="V939" s="959"/>
      <c r="W939" s="959"/>
      <c r="X939" s="959"/>
      <c r="Y939" s="959"/>
      <c r="Z939" s="959"/>
      <c r="AA939" s="959"/>
      <c r="AB939" s="959"/>
      <c r="AC939" s="959"/>
      <c r="AD939" s="959"/>
      <c r="AE939" s="959"/>
      <c r="AF939" s="959"/>
      <c r="AG939" s="959"/>
      <c r="AH939" s="959"/>
      <c r="AI939" s="959"/>
      <c r="AJ939" s="959"/>
      <c r="AK939" s="959"/>
      <c r="AL939" s="959"/>
      <c r="AM939" s="959"/>
    </row>
    <row r="940" spans="3:39" x14ac:dyDescent="0.25">
      <c r="C940" s="959"/>
      <c r="D940" s="959"/>
      <c r="E940" s="959"/>
      <c r="F940" s="959"/>
      <c r="G940" s="959"/>
      <c r="H940" s="959"/>
      <c r="I940" s="959"/>
      <c r="J940" s="959"/>
      <c r="K940" s="959"/>
      <c r="L940" s="959"/>
      <c r="M940" s="959"/>
      <c r="N940" s="959"/>
      <c r="O940" s="959"/>
      <c r="P940" s="959"/>
      <c r="Q940" s="959"/>
      <c r="R940" s="959"/>
      <c r="S940" s="959"/>
      <c r="T940" s="959"/>
      <c r="U940" s="959"/>
      <c r="V940" s="959"/>
      <c r="W940" s="959"/>
      <c r="X940" s="959"/>
      <c r="Y940" s="959"/>
      <c r="Z940" s="959"/>
      <c r="AA940" s="959"/>
      <c r="AB940" s="959"/>
      <c r="AC940" s="959"/>
      <c r="AD940" s="959"/>
      <c r="AE940" s="959"/>
      <c r="AF940" s="959"/>
      <c r="AG940" s="959"/>
      <c r="AH940" s="959"/>
      <c r="AI940" s="959"/>
      <c r="AJ940" s="959"/>
      <c r="AK940" s="959"/>
      <c r="AL940" s="959"/>
      <c r="AM940" s="959"/>
    </row>
    <row r="941" spans="3:39" x14ac:dyDescent="0.25">
      <c r="C941" s="959"/>
      <c r="D941" s="959"/>
      <c r="E941" s="959"/>
      <c r="F941" s="959"/>
      <c r="G941" s="959"/>
      <c r="H941" s="959"/>
      <c r="I941" s="959"/>
      <c r="J941" s="959"/>
      <c r="K941" s="959"/>
      <c r="L941" s="959"/>
      <c r="M941" s="959"/>
      <c r="N941" s="959"/>
      <c r="O941" s="959"/>
      <c r="P941" s="959"/>
      <c r="Q941" s="959"/>
      <c r="R941" s="959"/>
      <c r="S941" s="959"/>
      <c r="T941" s="959"/>
      <c r="U941" s="959"/>
      <c r="V941" s="959"/>
      <c r="W941" s="959"/>
      <c r="X941" s="959"/>
      <c r="Y941" s="959"/>
      <c r="Z941" s="959"/>
      <c r="AA941" s="959"/>
      <c r="AB941" s="959"/>
      <c r="AC941" s="959"/>
      <c r="AD941" s="959"/>
      <c r="AE941" s="959"/>
      <c r="AF941" s="959"/>
      <c r="AG941" s="959"/>
      <c r="AH941" s="959"/>
      <c r="AI941" s="959"/>
      <c r="AJ941" s="959"/>
      <c r="AK941" s="959"/>
      <c r="AL941" s="959"/>
      <c r="AM941" s="959"/>
    </row>
    <row r="942" spans="3:39" x14ac:dyDescent="0.25">
      <c r="C942" s="959"/>
      <c r="D942" s="959"/>
      <c r="E942" s="959"/>
      <c r="F942" s="959"/>
      <c r="G942" s="959"/>
      <c r="H942" s="959"/>
      <c r="I942" s="959"/>
      <c r="J942" s="959"/>
      <c r="K942" s="959"/>
      <c r="L942" s="959"/>
      <c r="M942" s="959"/>
      <c r="N942" s="959"/>
      <c r="O942" s="959"/>
      <c r="P942" s="959"/>
      <c r="Q942" s="959"/>
      <c r="R942" s="959"/>
      <c r="S942" s="959"/>
      <c r="T942" s="959"/>
      <c r="U942" s="959"/>
      <c r="V942" s="959"/>
      <c r="W942" s="959"/>
      <c r="X942" s="959"/>
      <c r="Y942" s="959"/>
      <c r="Z942" s="959"/>
      <c r="AA942" s="959"/>
      <c r="AB942" s="959"/>
      <c r="AC942" s="959"/>
      <c r="AD942" s="959"/>
      <c r="AE942" s="959"/>
      <c r="AF942" s="959"/>
      <c r="AG942" s="959"/>
      <c r="AH942" s="959"/>
      <c r="AI942" s="959"/>
      <c r="AJ942" s="959"/>
      <c r="AK942" s="959"/>
      <c r="AL942" s="959"/>
      <c r="AM942" s="959"/>
    </row>
    <row r="943" spans="3:39" x14ac:dyDescent="0.25">
      <c r="C943" s="959"/>
      <c r="D943" s="959"/>
      <c r="E943" s="959"/>
      <c r="F943" s="959"/>
      <c r="G943" s="959"/>
      <c r="H943" s="959"/>
      <c r="I943" s="959"/>
      <c r="J943" s="959"/>
      <c r="K943" s="959"/>
      <c r="L943" s="959"/>
      <c r="M943" s="959"/>
      <c r="N943" s="959"/>
      <c r="O943" s="959"/>
      <c r="P943" s="959"/>
      <c r="Q943" s="959"/>
      <c r="R943" s="959"/>
      <c r="S943" s="959"/>
      <c r="T943" s="959"/>
      <c r="U943" s="959"/>
      <c r="V943" s="959"/>
      <c r="W943" s="959"/>
      <c r="X943" s="959"/>
      <c r="Y943" s="959"/>
      <c r="Z943" s="959"/>
      <c r="AA943" s="959"/>
      <c r="AB943" s="959"/>
      <c r="AC943" s="959"/>
      <c r="AD943" s="959"/>
      <c r="AE943" s="959"/>
      <c r="AF943" s="959"/>
      <c r="AG943" s="959"/>
      <c r="AH943" s="959"/>
      <c r="AI943" s="959"/>
      <c r="AJ943" s="959"/>
      <c r="AK943" s="959"/>
      <c r="AL943" s="959"/>
      <c r="AM943" s="959"/>
    </row>
    <row r="944" spans="3:39" x14ac:dyDescent="0.25">
      <c r="C944" s="959"/>
      <c r="D944" s="959"/>
      <c r="E944" s="959"/>
      <c r="F944" s="959"/>
      <c r="G944" s="959"/>
      <c r="H944" s="959"/>
      <c r="I944" s="959"/>
      <c r="J944" s="959"/>
      <c r="K944" s="959"/>
      <c r="L944" s="959"/>
      <c r="M944" s="959"/>
      <c r="N944" s="959"/>
      <c r="O944" s="959"/>
      <c r="P944" s="959"/>
      <c r="Q944" s="959"/>
      <c r="R944" s="959"/>
      <c r="S944" s="959"/>
      <c r="T944" s="959"/>
      <c r="U944" s="959"/>
      <c r="V944" s="959"/>
      <c r="W944" s="959"/>
      <c r="X944" s="959"/>
      <c r="Y944" s="959"/>
      <c r="Z944" s="959"/>
      <c r="AA944" s="959"/>
      <c r="AB944" s="959"/>
      <c r="AC944" s="959"/>
      <c r="AD944" s="959"/>
      <c r="AE944" s="959"/>
      <c r="AF944" s="959"/>
      <c r="AG944" s="959"/>
      <c r="AH944" s="959"/>
      <c r="AI944" s="959"/>
      <c r="AJ944" s="959"/>
      <c r="AK944" s="959"/>
      <c r="AL944" s="959"/>
      <c r="AM944" s="959"/>
    </row>
    <row r="945" spans="3:39" x14ac:dyDescent="0.25">
      <c r="C945" s="959"/>
      <c r="D945" s="959"/>
      <c r="E945" s="959"/>
      <c r="F945" s="959"/>
      <c r="G945" s="959"/>
      <c r="H945" s="959"/>
      <c r="I945" s="959"/>
      <c r="J945" s="959"/>
      <c r="K945" s="959"/>
      <c r="L945" s="959"/>
      <c r="M945" s="959"/>
      <c r="N945" s="959"/>
      <c r="O945" s="959"/>
      <c r="P945" s="959"/>
      <c r="Q945" s="959"/>
      <c r="R945" s="959"/>
      <c r="S945" s="959"/>
      <c r="T945" s="959"/>
      <c r="U945" s="959"/>
      <c r="V945" s="959"/>
      <c r="W945" s="959"/>
      <c r="X945" s="959"/>
      <c r="Y945" s="959"/>
      <c r="Z945" s="959"/>
      <c r="AA945" s="959"/>
      <c r="AB945" s="959"/>
      <c r="AC945" s="959"/>
      <c r="AD945" s="959"/>
      <c r="AE945" s="959"/>
      <c r="AF945" s="959"/>
      <c r="AG945" s="959"/>
      <c r="AH945" s="959"/>
      <c r="AI945" s="959"/>
      <c r="AJ945" s="959"/>
      <c r="AK945" s="959"/>
      <c r="AL945" s="959"/>
      <c r="AM945" s="959"/>
    </row>
    <row r="946" spans="3:39" x14ac:dyDescent="0.25">
      <c r="C946" s="959"/>
      <c r="D946" s="959"/>
      <c r="E946" s="959"/>
      <c r="F946" s="959"/>
      <c r="G946" s="959"/>
      <c r="H946" s="959"/>
      <c r="I946" s="959"/>
      <c r="J946" s="959"/>
      <c r="K946" s="959"/>
      <c r="L946" s="959"/>
      <c r="M946" s="959"/>
      <c r="N946" s="959"/>
      <c r="O946" s="959"/>
      <c r="P946" s="959"/>
      <c r="Q946" s="959"/>
      <c r="R946" s="959"/>
      <c r="S946" s="959"/>
      <c r="T946" s="959"/>
      <c r="U946" s="959"/>
      <c r="V946" s="959"/>
      <c r="W946" s="959"/>
      <c r="X946" s="959"/>
      <c r="Y946" s="959"/>
      <c r="Z946" s="959"/>
      <c r="AA946" s="959"/>
      <c r="AB946" s="959"/>
      <c r="AC946" s="959"/>
      <c r="AD946" s="959"/>
      <c r="AE946" s="959"/>
      <c r="AF946" s="959"/>
      <c r="AG946" s="959"/>
      <c r="AH946" s="959"/>
      <c r="AI946" s="959"/>
      <c r="AJ946" s="959"/>
      <c r="AK946" s="959"/>
      <c r="AL946" s="959"/>
      <c r="AM946" s="959"/>
    </row>
    <row r="947" spans="3:39" x14ac:dyDescent="0.25">
      <c r="C947" s="959"/>
      <c r="D947" s="959"/>
      <c r="E947" s="959"/>
      <c r="F947" s="959"/>
      <c r="G947" s="959"/>
      <c r="H947" s="959"/>
      <c r="I947" s="959"/>
      <c r="J947" s="959"/>
      <c r="K947" s="959"/>
      <c r="L947" s="959"/>
      <c r="M947" s="959"/>
      <c r="N947" s="959"/>
      <c r="O947" s="959"/>
      <c r="P947" s="959"/>
      <c r="Q947" s="959"/>
      <c r="R947" s="959"/>
      <c r="S947" s="959"/>
      <c r="T947" s="959"/>
      <c r="U947" s="959"/>
      <c r="V947" s="959"/>
      <c r="W947" s="959"/>
      <c r="X947" s="959"/>
      <c r="Y947" s="959"/>
      <c r="Z947" s="959"/>
      <c r="AA947" s="959"/>
      <c r="AB947" s="959"/>
      <c r="AC947" s="959"/>
      <c r="AD947" s="959"/>
      <c r="AE947" s="959"/>
      <c r="AF947" s="959"/>
      <c r="AG947" s="959"/>
      <c r="AH947" s="959"/>
      <c r="AI947" s="959"/>
      <c r="AJ947" s="959"/>
      <c r="AK947" s="959"/>
      <c r="AL947" s="959"/>
      <c r="AM947" s="959"/>
    </row>
    <row r="948" spans="3:39" x14ac:dyDescent="0.25">
      <c r="C948" s="959"/>
      <c r="D948" s="959"/>
      <c r="E948" s="959"/>
      <c r="F948" s="959"/>
      <c r="G948" s="959"/>
      <c r="H948" s="959"/>
      <c r="I948" s="959"/>
      <c r="J948" s="959"/>
      <c r="K948" s="959"/>
      <c r="L948" s="959"/>
      <c r="M948" s="959"/>
      <c r="N948" s="959"/>
      <c r="O948" s="959"/>
      <c r="P948" s="959"/>
      <c r="Q948" s="959"/>
      <c r="R948" s="959"/>
      <c r="S948" s="959"/>
      <c r="T948" s="959"/>
      <c r="U948" s="959"/>
      <c r="V948" s="959"/>
      <c r="W948" s="959"/>
      <c r="X948" s="959"/>
      <c r="Y948" s="959"/>
      <c r="Z948" s="959"/>
      <c r="AA948" s="959"/>
      <c r="AB948" s="959"/>
      <c r="AC948" s="959"/>
      <c r="AD948" s="959"/>
      <c r="AE948" s="959"/>
      <c r="AF948" s="959"/>
      <c r="AG948" s="959"/>
      <c r="AH948" s="959"/>
      <c r="AI948" s="959"/>
      <c r="AJ948" s="959"/>
      <c r="AK948" s="959"/>
      <c r="AL948" s="959"/>
      <c r="AM948" s="959"/>
    </row>
    <row r="949" spans="3:39" x14ac:dyDescent="0.25">
      <c r="C949" s="959"/>
      <c r="D949" s="959"/>
      <c r="E949" s="959"/>
      <c r="F949" s="959"/>
      <c r="G949" s="959"/>
      <c r="H949" s="959"/>
      <c r="I949" s="959"/>
      <c r="J949" s="959"/>
      <c r="K949" s="959"/>
      <c r="L949" s="959"/>
      <c r="M949" s="959"/>
      <c r="N949" s="959"/>
      <c r="O949" s="959"/>
      <c r="P949" s="959"/>
      <c r="Q949" s="959"/>
      <c r="R949" s="959"/>
      <c r="S949" s="959"/>
      <c r="T949" s="959"/>
      <c r="U949" s="959"/>
      <c r="V949" s="959"/>
      <c r="W949" s="959"/>
      <c r="X949" s="959"/>
      <c r="Y949" s="959"/>
      <c r="Z949" s="959"/>
      <c r="AA949" s="959"/>
      <c r="AB949" s="959"/>
      <c r="AC949" s="959"/>
      <c r="AD949" s="959"/>
      <c r="AE949" s="959"/>
      <c r="AF949" s="959"/>
      <c r="AG949" s="959"/>
      <c r="AH949" s="959"/>
      <c r="AI949" s="959"/>
      <c r="AJ949" s="959"/>
      <c r="AK949" s="959"/>
      <c r="AL949" s="959"/>
      <c r="AM949" s="959"/>
    </row>
    <row r="950" spans="3:39" x14ac:dyDescent="0.25">
      <c r="C950" s="959"/>
      <c r="D950" s="959"/>
      <c r="E950" s="959"/>
      <c r="F950" s="959"/>
      <c r="G950" s="959"/>
      <c r="H950" s="959"/>
      <c r="I950" s="959"/>
      <c r="J950" s="959"/>
      <c r="K950" s="959"/>
      <c r="L950" s="959"/>
      <c r="M950" s="959"/>
      <c r="N950" s="959"/>
      <c r="O950" s="959"/>
      <c r="P950" s="959"/>
      <c r="Q950" s="959"/>
      <c r="R950" s="959"/>
      <c r="S950" s="959"/>
      <c r="T950" s="959"/>
      <c r="U950" s="959"/>
      <c r="V950" s="959"/>
      <c r="W950" s="959"/>
      <c r="X950" s="959"/>
      <c r="Y950" s="959"/>
      <c r="Z950" s="959"/>
      <c r="AA950" s="959"/>
      <c r="AB950" s="959"/>
      <c r="AC950" s="959"/>
      <c r="AD950" s="959"/>
      <c r="AE950" s="959"/>
      <c r="AF950" s="959"/>
      <c r="AG950" s="959"/>
      <c r="AH950" s="959"/>
      <c r="AI950" s="959"/>
      <c r="AJ950" s="959"/>
      <c r="AK950" s="959"/>
      <c r="AL950" s="959"/>
      <c r="AM950" s="959"/>
    </row>
    <row r="951" spans="3:39" x14ac:dyDescent="0.25">
      <c r="C951" s="959"/>
      <c r="D951" s="959"/>
      <c r="E951" s="959"/>
      <c r="F951" s="959"/>
      <c r="G951" s="959"/>
      <c r="H951" s="959"/>
      <c r="I951" s="959"/>
      <c r="J951" s="959"/>
      <c r="K951" s="959"/>
      <c r="L951" s="959"/>
      <c r="M951" s="959"/>
      <c r="N951" s="959"/>
      <c r="O951" s="959"/>
      <c r="P951" s="959"/>
      <c r="Q951" s="959"/>
      <c r="R951" s="959"/>
      <c r="S951" s="959"/>
      <c r="T951" s="959"/>
      <c r="U951" s="959"/>
      <c r="V951" s="959"/>
      <c r="W951" s="959"/>
      <c r="X951" s="959"/>
      <c r="Y951" s="959"/>
      <c r="Z951" s="959"/>
      <c r="AA951" s="959"/>
      <c r="AB951" s="959"/>
      <c r="AC951" s="959"/>
      <c r="AD951" s="959"/>
      <c r="AE951" s="959"/>
      <c r="AF951" s="959"/>
      <c r="AG951" s="959"/>
      <c r="AH951" s="959"/>
      <c r="AI951" s="959"/>
      <c r="AJ951" s="959"/>
      <c r="AK951" s="959"/>
      <c r="AL951" s="959"/>
      <c r="AM951" s="959"/>
    </row>
    <row r="952" spans="3:39" x14ac:dyDescent="0.25">
      <c r="C952" s="959"/>
      <c r="D952" s="959"/>
      <c r="E952" s="959"/>
      <c r="F952" s="959"/>
      <c r="G952" s="959"/>
      <c r="H952" s="959"/>
      <c r="I952" s="959"/>
      <c r="J952" s="959"/>
      <c r="K952" s="959"/>
      <c r="L952" s="959"/>
      <c r="M952" s="959"/>
      <c r="N952" s="959"/>
      <c r="O952" s="959"/>
      <c r="P952" s="959"/>
      <c r="Q952" s="959"/>
      <c r="R952" s="959"/>
      <c r="S952" s="959"/>
      <c r="T952" s="959"/>
      <c r="U952" s="959"/>
      <c r="V952" s="959"/>
      <c r="W952" s="959"/>
      <c r="X952" s="959"/>
      <c r="Y952" s="959"/>
      <c r="Z952" s="959"/>
      <c r="AA952" s="959"/>
      <c r="AB952" s="959"/>
      <c r="AC952" s="959"/>
      <c r="AD952" s="959"/>
      <c r="AE952" s="959"/>
      <c r="AF952" s="959"/>
      <c r="AG952" s="959"/>
      <c r="AH952" s="959"/>
      <c r="AI952" s="959"/>
      <c r="AJ952" s="959"/>
      <c r="AK952" s="959"/>
      <c r="AL952" s="959"/>
      <c r="AM952" s="959"/>
    </row>
    <row r="953" spans="3:39" x14ac:dyDescent="0.25">
      <c r="C953" s="959"/>
      <c r="D953" s="959"/>
      <c r="E953" s="959"/>
      <c r="F953" s="959"/>
      <c r="G953" s="959"/>
      <c r="H953" s="959"/>
      <c r="I953" s="959"/>
      <c r="J953" s="959"/>
      <c r="K953" s="959"/>
      <c r="L953" s="959"/>
      <c r="M953" s="959"/>
      <c r="N953" s="959"/>
      <c r="O953" s="959"/>
      <c r="P953" s="959"/>
      <c r="Q953" s="959"/>
      <c r="R953" s="959"/>
      <c r="S953" s="959"/>
      <c r="T953" s="959"/>
      <c r="U953" s="959"/>
      <c r="V953" s="959"/>
      <c r="W953" s="959"/>
      <c r="X953" s="959"/>
      <c r="Y953" s="959"/>
      <c r="Z953" s="959"/>
      <c r="AA953" s="959"/>
      <c r="AB953" s="959"/>
      <c r="AC953" s="959"/>
      <c r="AD953" s="959"/>
      <c r="AE953" s="959"/>
      <c r="AF953" s="959"/>
      <c r="AG953" s="959"/>
      <c r="AH953" s="959"/>
      <c r="AI953" s="959"/>
      <c r="AJ953" s="959"/>
      <c r="AK953" s="959"/>
      <c r="AL953" s="959"/>
      <c r="AM953" s="959"/>
    </row>
    <row r="954" spans="3:39" x14ac:dyDescent="0.25">
      <c r="C954" s="959"/>
      <c r="D954" s="959"/>
      <c r="E954" s="959"/>
      <c r="F954" s="959"/>
      <c r="G954" s="959"/>
      <c r="H954" s="959"/>
      <c r="I954" s="959"/>
      <c r="J954" s="959"/>
      <c r="K954" s="959"/>
      <c r="L954" s="959"/>
      <c r="M954" s="959"/>
      <c r="N954" s="959"/>
      <c r="O954" s="959"/>
      <c r="P954" s="959"/>
      <c r="Q954" s="959"/>
      <c r="R954" s="959"/>
      <c r="S954" s="959"/>
      <c r="T954" s="959"/>
      <c r="U954" s="959"/>
      <c r="V954" s="959"/>
      <c r="W954" s="959"/>
      <c r="X954" s="959"/>
      <c r="Y954" s="959"/>
      <c r="Z954" s="959"/>
      <c r="AA954" s="959"/>
      <c r="AB954" s="959"/>
      <c r="AC954" s="959"/>
      <c r="AD954" s="959"/>
      <c r="AE954" s="959"/>
      <c r="AF954" s="959"/>
      <c r="AG954" s="959"/>
      <c r="AH954" s="959"/>
      <c r="AI954" s="959"/>
      <c r="AJ954" s="959"/>
      <c r="AK954" s="959"/>
      <c r="AL954" s="959"/>
      <c r="AM954" s="959"/>
    </row>
    <row r="955" spans="3:39" x14ac:dyDescent="0.25">
      <c r="C955" s="959"/>
      <c r="D955" s="959"/>
      <c r="E955" s="959"/>
      <c r="F955" s="959"/>
      <c r="G955" s="959"/>
      <c r="H955" s="959"/>
      <c r="I955" s="959"/>
      <c r="J955" s="959"/>
      <c r="K955" s="959"/>
      <c r="L955" s="959"/>
      <c r="M955" s="959"/>
      <c r="N955" s="959"/>
      <c r="O955" s="959"/>
      <c r="P955" s="959"/>
      <c r="Q955" s="959"/>
      <c r="R955" s="959"/>
      <c r="S955" s="959"/>
      <c r="T955" s="959"/>
      <c r="U955" s="959"/>
      <c r="V955" s="959"/>
      <c r="W955" s="959"/>
      <c r="X955" s="959"/>
      <c r="Y955" s="959"/>
      <c r="Z955" s="959"/>
      <c r="AA955" s="959"/>
      <c r="AB955" s="959"/>
      <c r="AC955" s="959"/>
      <c r="AD955" s="959"/>
      <c r="AE955" s="959"/>
      <c r="AF955" s="959"/>
      <c r="AG955" s="959"/>
      <c r="AH955" s="959"/>
      <c r="AI955" s="959"/>
      <c r="AJ955" s="959"/>
      <c r="AK955" s="959"/>
      <c r="AL955" s="959"/>
      <c r="AM955" s="959"/>
    </row>
    <row r="956" spans="3:39" x14ac:dyDescent="0.25">
      <c r="C956" s="959"/>
      <c r="D956" s="959"/>
      <c r="E956" s="959"/>
      <c r="F956" s="959"/>
      <c r="G956" s="959"/>
      <c r="H956" s="959"/>
      <c r="I956" s="959"/>
      <c r="J956" s="959"/>
      <c r="K956" s="959"/>
      <c r="L956" s="959"/>
      <c r="M956" s="959"/>
      <c r="N956" s="959"/>
      <c r="O956" s="959"/>
      <c r="P956" s="959"/>
      <c r="Q956" s="959"/>
      <c r="R956" s="959"/>
      <c r="S956" s="959"/>
      <c r="T956" s="959"/>
      <c r="U956" s="959"/>
      <c r="V956" s="959"/>
      <c r="W956" s="959"/>
      <c r="X956" s="959"/>
      <c r="Y956" s="959"/>
      <c r="Z956" s="959"/>
      <c r="AA956" s="959"/>
      <c r="AB956" s="959"/>
      <c r="AC956" s="959"/>
      <c r="AD956" s="959"/>
      <c r="AE956" s="959"/>
      <c r="AF956" s="959"/>
      <c r="AG956" s="959"/>
      <c r="AH956" s="959"/>
      <c r="AI956" s="959"/>
      <c r="AJ956" s="959"/>
      <c r="AK956" s="959"/>
      <c r="AL956" s="959"/>
      <c r="AM956" s="959"/>
    </row>
    <row r="957" spans="3:39" x14ac:dyDescent="0.25">
      <c r="C957" s="959"/>
      <c r="D957" s="959"/>
      <c r="E957" s="959"/>
      <c r="F957" s="959"/>
      <c r="G957" s="959"/>
      <c r="H957" s="959"/>
      <c r="I957" s="959"/>
      <c r="J957" s="959"/>
      <c r="K957" s="959"/>
      <c r="L957" s="959"/>
      <c r="M957" s="959"/>
      <c r="N957" s="959"/>
      <c r="O957" s="959"/>
      <c r="P957" s="959"/>
      <c r="Q957" s="959"/>
      <c r="R957" s="959"/>
      <c r="S957" s="959"/>
      <c r="T957" s="959"/>
      <c r="U957" s="959"/>
      <c r="V957" s="959"/>
      <c r="W957" s="959"/>
      <c r="X957" s="959"/>
      <c r="Y957" s="959"/>
      <c r="Z957" s="959"/>
      <c r="AA957" s="959"/>
      <c r="AB957" s="959"/>
      <c r="AC957" s="959"/>
      <c r="AD957" s="959"/>
      <c r="AE957" s="959"/>
      <c r="AF957" s="959"/>
      <c r="AG957" s="959"/>
      <c r="AH957" s="959"/>
      <c r="AI957" s="959"/>
      <c r="AJ957" s="959"/>
      <c r="AK957" s="959"/>
      <c r="AL957" s="959"/>
      <c r="AM957" s="959"/>
    </row>
    <row r="958" spans="3:39" x14ac:dyDescent="0.25">
      <c r="C958" s="959"/>
      <c r="D958" s="959"/>
      <c r="E958" s="959"/>
      <c r="F958" s="959"/>
      <c r="G958" s="959"/>
      <c r="H958" s="959"/>
      <c r="I958" s="959"/>
      <c r="J958" s="959"/>
      <c r="K958" s="959"/>
      <c r="L958" s="959"/>
      <c r="M958" s="959"/>
      <c r="N958" s="959"/>
      <c r="O958" s="959"/>
      <c r="P958" s="959"/>
      <c r="Q958" s="959"/>
      <c r="R958" s="959"/>
      <c r="S958" s="959"/>
      <c r="T958" s="959"/>
      <c r="U958" s="959"/>
      <c r="V958" s="959"/>
      <c r="W958" s="959"/>
      <c r="X958" s="959"/>
      <c r="Y958" s="959"/>
      <c r="Z958" s="959"/>
      <c r="AA958" s="959"/>
      <c r="AB958" s="959"/>
      <c r="AC958" s="959"/>
      <c r="AD958" s="959"/>
      <c r="AE958" s="959"/>
      <c r="AF958" s="959"/>
      <c r="AG958" s="959"/>
      <c r="AH958" s="959"/>
      <c r="AI958" s="959"/>
      <c r="AJ958" s="959"/>
      <c r="AK958" s="959"/>
      <c r="AL958" s="959"/>
      <c r="AM958" s="959"/>
    </row>
    <row r="959" spans="3:39" x14ac:dyDescent="0.25">
      <c r="C959" s="959"/>
      <c r="D959" s="959"/>
      <c r="E959" s="959"/>
      <c r="F959" s="959"/>
      <c r="G959" s="959"/>
      <c r="H959" s="959"/>
      <c r="I959" s="959"/>
      <c r="J959" s="959"/>
      <c r="K959" s="959"/>
      <c r="L959" s="959"/>
      <c r="M959" s="959"/>
      <c r="N959" s="959"/>
      <c r="O959" s="959"/>
      <c r="P959" s="959"/>
      <c r="Q959" s="959"/>
      <c r="R959" s="959"/>
      <c r="S959" s="959"/>
      <c r="T959" s="959"/>
      <c r="U959" s="959"/>
      <c r="V959" s="959"/>
      <c r="W959" s="959"/>
      <c r="X959" s="959"/>
      <c r="Y959" s="959"/>
      <c r="Z959" s="959"/>
      <c r="AA959" s="959"/>
      <c r="AB959" s="959"/>
      <c r="AC959" s="959"/>
      <c r="AD959" s="959"/>
      <c r="AE959" s="959"/>
      <c r="AF959" s="959"/>
      <c r="AG959" s="959"/>
      <c r="AH959" s="959"/>
      <c r="AI959" s="959"/>
      <c r="AJ959" s="959"/>
      <c r="AK959" s="959"/>
      <c r="AL959" s="959"/>
      <c r="AM959" s="959"/>
    </row>
    <row r="960" spans="3:39" x14ac:dyDescent="0.25">
      <c r="C960" s="959"/>
      <c r="D960" s="959"/>
      <c r="E960" s="959"/>
      <c r="F960" s="959"/>
      <c r="G960" s="959"/>
      <c r="H960" s="959"/>
      <c r="I960" s="959"/>
      <c r="J960" s="959"/>
      <c r="K960" s="959"/>
      <c r="L960" s="959"/>
      <c r="M960" s="959"/>
      <c r="N960" s="959"/>
      <c r="O960" s="959"/>
      <c r="P960" s="959"/>
      <c r="Q960" s="959"/>
      <c r="R960" s="959"/>
      <c r="S960" s="959"/>
      <c r="T960" s="959"/>
      <c r="U960" s="959"/>
      <c r="V960" s="959"/>
      <c r="W960" s="959"/>
      <c r="X960" s="959"/>
      <c r="Y960" s="959"/>
      <c r="Z960" s="959"/>
      <c r="AA960" s="959"/>
      <c r="AB960" s="959"/>
      <c r="AC960" s="959"/>
      <c r="AD960" s="959"/>
      <c r="AE960" s="959"/>
      <c r="AF960" s="959"/>
      <c r="AG960" s="959"/>
      <c r="AH960" s="959"/>
      <c r="AI960" s="959"/>
      <c r="AJ960" s="959"/>
      <c r="AK960" s="959"/>
      <c r="AL960" s="959"/>
      <c r="AM960" s="959"/>
    </row>
    <row r="961" spans="3:39" x14ac:dyDescent="0.25">
      <c r="C961" s="959"/>
      <c r="D961" s="959"/>
      <c r="E961" s="959"/>
      <c r="F961" s="959"/>
      <c r="G961" s="959"/>
      <c r="H961" s="959"/>
      <c r="I961" s="959"/>
      <c r="J961" s="959"/>
      <c r="K961" s="959"/>
      <c r="L961" s="959"/>
      <c r="M961" s="959"/>
      <c r="N961" s="959"/>
      <c r="O961" s="959"/>
      <c r="P961" s="959"/>
      <c r="Q961" s="959"/>
      <c r="R961" s="959"/>
      <c r="S961" s="959"/>
      <c r="T961" s="959"/>
      <c r="U961" s="959"/>
      <c r="V961" s="959"/>
      <c r="W961" s="959"/>
      <c r="X961" s="959"/>
      <c r="Y961" s="959"/>
      <c r="Z961" s="959"/>
      <c r="AA961" s="959"/>
      <c r="AB961" s="959"/>
      <c r="AC961" s="959"/>
      <c r="AD961" s="959"/>
      <c r="AE961" s="959"/>
      <c r="AF961" s="959"/>
      <c r="AG961" s="959"/>
      <c r="AH961" s="959"/>
      <c r="AI961" s="959"/>
      <c r="AJ961" s="959"/>
      <c r="AK961" s="959"/>
      <c r="AL961" s="959"/>
      <c r="AM961" s="959"/>
    </row>
    <row r="962" spans="3:39" x14ac:dyDescent="0.25">
      <c r="C962" s="959"/>
      <c r="D962" s="959"/>
      <c r="E962" s="959"/>
      <c r="F962" s="959"/>
      <c r="G962" s="959"/>
      <c r="H962" s="959"/>
      <c r="I962" s="959"/>
      <c r="J962" s="959"/>
      <c r="K962" s="959"/>
      <c r="L962" s="959"/>
      <c r="M962" s="959"/>
      <c r="N962" s="959"/>
      <c r="O962" s="959"/>
      <c r="P962" s="959"/>
      <c r="Q962" s="959"/>
      <c r="R962" s="959"/>
      <c r="S962" s="959"/>
      <c r="T962" s="959"/>
      <c r="U962" s="959"/>
      <c r="V962" s="959"/>
      <c r="W962" s="959"/>
      <c r="X962" s="959"/>
      <c r="Y962" s="959"/>
      <c r="Z962" s="959"/>
      <c r="AA962" s="959"/>
      <c r="AB962" s="959"/>
      <c r="AC962" s="959"/>
      <c r="AD962" s="959"/>
      <c r="AE962" s="959"/>
      <c r="AF962" s="959"/>
      <c r="AG962" s="959"/>
      <c r="AH962" s="959"/>
      <c r="AI962" s="959"/>
      <c r="AJ962" s="959"/>
      <c r="AK962" s="959"/>
      <c r="AL962" s="959"/>
      <c r="AM962" s="959"/>
    </row>
    <row r="963" spans="3:39" x14ac:dyDescent="0.25">
      <c r="C963" s="959"/>
      <c r="D963" s="959"/>
      <c r="E963" s="959"/>
      <c r="F963" s="959"/>
      <c r="G963" s="959"/>
      <c r="H963" s="959"/>
      <c r="I963" s="959"/>
      <c r="J963" s="959"/>
      <c r="K963" s="959"/>
      <c r="L963" s="959"/>
      <c r="M963" s="959"/>
      <c r="N963" s="959"/>
      <c r="O963" s="959"/>
      <c r="P963" s="959"/>
      <c r="Q963" s="959"/>
      <c r="R963" s="959"/>
      <c r="S963" s="959"/>
      <c r="T963" s="959"/>
      <c r="U963" s="959"/>
      <c r="V963" s="959"/>
      <c r="W963" s="959"/>
      <c r="X963" s="959"/>
      <c r="Y963" s="959"/>
      <c r="Z963" s="959"/>
      <c r="AA963" s="959"/>
      <c r="AB963" s="959"/>
      <c r="AC963" s="959"/>
      <c r="AD963" s="959"/>
      <c r="AE963" s="959"/>
      <c r="AF963" s="959"/>
      <c r="AG963" s="959"/>
      <c r="AH963" s="959"/>
      <c r="AI963" s="959"/>
      <c r="AJ963" s="959"/>
      <c r="AK963" s="959"/>
      <c r="AL963" s="959"/>
      <c r="AM963" s="959"/>
    </row>
    <row r="964" spans="3:39" x14ac:dyDescent="0.25">
      <c r="C964" s="959"/>
      <c r="D964" s="959"/>
      <c r="E964" s="959"/>
      <c r="F964" s="959"/>
      <c r="G964" s="959"/>
      <c r="H964" s="959"/>
      <c r="I964" s="959"/>
      <c r="J964" s="959"/>
      <c r="K964" s="959"/>
      <c r="L964" s="959"/>
      <c r="M964" s="959"/>
      <c r="N964" s="959"/>
      <c r="O964" s="959"/>
      <c r="P964" s="959"/>
      <c r="Q964" s="959"/>
      <c r="R964" s="959"/>
      <c r="S964" s="959"/>
      <c r="T964" s="959"/>
      <c r="U964" s="959"/>
      <c r="V964" s="959"/>
      <c r="W964" s="959"/>
      <c r="X964" s="959"/>
      <c r="Y964" s="959"/>
      <c r="Z964" s="959"/>
      <c r="AA964" s="959"/>
      <c r="AB964" s="959"/>
      <c r="AC964" s="959"/>
      <c r="AD964" s="959"/>
      <c r="AE964" s="959"/>
      <c r="AF964" s="959"/>
      <c r="AG964" s="959"/>
      <c r="AH964" s="959"/>
      <c r="AI964" s="959"/>
      <c r="AJ964" s="959"/>
      <c r="AK964" s="959"/>
      <c r="AL964" s="959"/>
      <c r="AM964" s="959"/>
    </row>
    <row r="965" spans="3:39" x14ac:dyDescent="0.25">
      <c r="C965" s="959"/>
      <c r="D965" s="959"/>
      <c r="E965" s="959"/>
      <c r="F965" s="959"/>
      <c r="G965" s="959"/>
      <c r="H965" s="959"/>
      <c r="I965" s="959"/>
      <c r="J965" s="959"/>
      <c r="K965" s="959"/>
      <c r="L965" s="959"/>
      <c r="M965" s="959"/>
      <c r="N965" s="959"/>
      <c r="O965" s="959"/>
      <c r="P965" s="959"/>
      <c r="Q965" s="959"/>
      <c r="R965" s="959"/>
      <c r="S965" s="959"/>
      <c r="T965" s="959"/>
      <c r="U965" s="959"/>
      <c r="V965" s="959"/>
      <c r="W965" s="959"/>
      <c r="X965" s="959"/>
      <c r="Y965" s="959"/>
      <c r="Z965" s="959"/>
      <c r="AA965" s="959"/>
      <c r="AB965" s="959"/>
      <c r="AC965" s="959"/>
      <c r="AD965" s="959"/>
      <c r="AE965" s="959"/>
      <c r="AF965" s="959"/>
      <c r="AG965" s="959"/>
      <c r="AH965" s="959"/>
      <c r="AI965" s="959"/>
      <c r="AJ965" s="959"/>
      <c r="AK965" s="959"/>
      <c r="AL965" s="959"/>
      <c r="AM965" s="959"/>
    </row>
    <row r="966" spans="3:39" x14ac:dyDescent="0.25">
      <c r="C966" s="959"/>
      <c r="D966" s="959"/>
      <c r="E966" s="959"/>
      <c r="F966" s="959"/>
      <c r="G966" s="959"/>
      <c r="H966" s="959"/>
      <c r="I966" s="959"/>
      <c r="J966" s="959"/>
      <c r="K966" s="959"/>
      <c r="L966" s="959"/>
      <c r="M966" s="959"/>
      <c r="N966" s="959"/>
      <c r="O966" s="959"/>
      <c r="P966" s="959"/>
      <c r="Q966" s="959"/>
      <c r="R966" s="959"/>
      <c r="S966" s="959"/>
      <c r="T966" s="959"/>
      <c r="U966" s="959"/>
      <c r="V966" s="959"/>
      <c r="W966" s="959"/>
      <c r="X966" s="959"/>
      <c r="Y966" s="959"/>
      <c r="Z966" s="959"/>
      <c r="AA966" s="959"/>
      <c r="AB966" s="959"/>
      <c r="AC966" s="959"/>
      <c r="AD966" s="959"/>
      <c r="AE966" s="959"/>
      <c r="AF966" s="959"/>
      <c r="AG966" s="959"/>
      <c r="AH966" s="959"/>
      <c r="AI966" s="959"/>
      <c r="AJ966" s="959"/>
      <c r="AK966" s="959"/>
      <c r="AL966" s="959"/>
      <c r="AM966" s="959"/>
    </row>
    <row r="967" spans="3:39" x14ac:dyDescent="0.25">
      <c r="C967" s="959"/>
      <c r="D967" s="959"/>
      <c r="E967" s="959"/>
      <c r="F967" s="959"/>
      <c r="G967" s="959"/>
      <c r="H967" s="959"/>
      <c r="I967" s="959"/>
      <c r="J967" s="959"/>
      <c r="K967" s="959"/>
      <c r="L967" s="959"/>
      <c r="M967" s="959"/>
      <c r="N967" s="959"/>
      <c r="O967" s="959"/>
      <c r="P967" s="959"/>
      <c r="Q967" s="959"/>
      <c r="R967" s="959"/>
      <c r="S967" s="959"/>
      <c r="T967" s="959"/>
      <c r="U967" s="959"/>
      <c r="V967" s="959"/>
      <c r="W967" s="959"/>
      <c r="X967" s="959"/>
      <c r="Y967" s="959"/>
      <c r="Z967" s="959"/>
      <c r="AA967" s="959"/>
      <c r="AB967" s="959"/>
      <c r="AC967" s="959"/>
      <c r="AD967" s="959"/>
      <c r="AE967" s="959"/>
      <c r="AF967" s="959"/>
      <c r="AG967" s="959"/>
      <c r="AH967" s="959"/>
      <c r="AI967" s="959"/>
      <c r="AJ967" s="959"/>
      <c r="AK967" s="959"/>
      <c r="AL967" s="959"/>
      <c r="AM967" s="959"/>
    </row>
    <row r="968" spans="3:39" x14ac:dyDescent="0.25">
      <c r="C968" s="959"/>
      <c r="D968" s="959"/>
      <c r="E968" s="959"/>
      <c r="F968" s="959"/>
      <c r="G968" s="959"/>
      <c r="H968" s="959"/>
      <c r="I968" s="959"/>
      <c r="J968" s="959"/>
      <c r="K968" s="959"/>
      <c r="L968" s="959"/>
      <c r="M968" s="959"/>
      <c r="N968" s="959"/>
      <c r="O968" s="959"/>
      <c r="P968" s="959"/>
      <c r="Q968" s="959"/>
      <c r="R968" s="959"/>
      <c r="S968" s="959"/>
      <c r="T968" s="959"/>
      <c r="U968" s="959"/>
      <c r="V968" s="959"/>
      <c r="W968" s="959"/>
      <c r="X968" s="959"/>
      <c r="Y968" s="959"/>
      <c r="Z968" s="959"/>
      <c r="AA968" s="959"/>
      <c r="AB968" s="959"/>
      <c r="AC968" s="959"/>
      <c r="AD968" s="959"/>
      <c r="AE968" s="959"/>
      <c r="AF968" s="959"/>
      <c r="AG968" s="959"/>
      <c r="AH968" s="959"/>
      <c r="AI968" s="959"/>
      <c r="AJ968" s="959"/>
      <c r="AK968" s="959"/>
      <c r="AL968" s="959"/>
      <c r="AM968" s="959"/>
    </row>
    <row r="969" spans="3:39" x14ac:dyDescent="0.25">
      <c r="C969" s="959"/>
      <c r="D969" s="959"/>
      <c r="E969" s="959"/>
      <c r="F969" s="959"/>
      <c r="G969" s="959"/>
      <c r="H969" s="959"/>
      <c r="I969" s="959"/>
      <c r="J969" s="959"/>
      <c r="K969" s="959"/>
      <c r="L969" s="959"/>
      <c r="M969" s="959"/>
      <c r="N969" s="959"/>
      <c r="O969" s="959"/>
      <c r="P969" s="959"/>
      <c r="Q969" s="959"/>
      <c r="R969" s="959"/>
      <c r="S969" s="959"/>
      <c r="T969" s="959"/>
      <c r="U969" s="959"/>
      <c r="V969" s="959"/>
      <c r="W969" s="959"/>
      <c r="X969" s="959"/>
      <c r="Y969" s="959"/>
      <c r="Z969" s="959"/>
      <c r="AA969" s="959"/>
      <c r="AB969" s="959"/>
      <c r="AC969" s="959"/>
      <c r="AD969" s="959"/>
      <c r="AE969" s="959"/>
      <c r="AF969" s="959"/>
      <c r="AG969" s="959"/>
      <c r="AH969" s="959"/>
      <c r="AI969" s="959"/>
      <c r="AJ969" s="959"/>
      <c r="AK969" s="959"/>
      <c r="AL969" s="959"/>
      <c r="AM969" s="959"/>
    </row>
    <row r="970" spans="3:39" x14ac:dyDescent="0.25">
      <c r="C970" s="959"/>
      <c r="D970" s="959"/>
      <c r="E970" s="959"/>
      <c r="F970" s="959"/>
      <c r="G970" s="959"/>
      <c r="H970" s="959"/>
      <c r="I970" s="959"/>
      <c r="J970" s="959"/>
      <c r="K970" s="959"/>
      <c r="L970" s="959"/>
      <c r="M970" s="959"/>
      <c r="N970" s="959"/>
      <c r="O970" s="959"/>
      <c r="P970" s="959"/>
      <c r="Q970" s="959"/>
      <c r="R970" s="959"/>
      <c r="S970" s="959"/>
      <c r="T970" s="959"/>
      <c r="U970" s="959"/>
      <c r="V970" s="959"/>
      <c r="W970" s="959"/>
      <c r="X970" s="959"/>
      <c r="Y970" s="959"/>
      <c r="Z970" s="959"/>
      <c r="AA970" s="959"/>
      <c r="AB970" s="959"/>
      <c r="AC970" s="959"/>
      <c r="AD970" s="959"/>
      <c r="AE970" s="959"/>
      <c r="AF970" s="959"/>
      <c r="AG970" s="959"/>
      <c r="AH970" s="959"/>
      <c r="AI970" s="959"/>
      <c r="AJ970" s="959"/>
      <c r="AK970" s="959"/>
      <c r="AL970" s="959"/>
      <c r="AM970" s="959"/>
    </row>
    <row r="971" spans="3:39" x14ac:dyDescent="0.25">
      <c r="C971" s="959"/>
      <c r="D971" s="959"/>
      <c r="E971" s="959"/>
      <c r="F971" s="959"/>
      <c r="G971" s="959"/>
      <c r="H971" s="959"/>
      <c r="I971" s="959"/>
      <c r="J971" s="959"/>
      <c r="K971" s="959"/>
      <c r="L971" s="959"/>
      <c r="M971" s="959"/>
      <c r="N971" s="959"/>
      <c r="O971" s="959"/>
      <c r="P971" s="959"/>
      <c r="Q971" s="959"/>
      <c r="R971" s="959"/>
      <c r="S971" s="959"/>
      <c r="T971" s="959"/>
      <c r="U971" s="959"/>
      <c r="V971" s="959"/>
      <c r="W971" s="959"/>
      <c r="X971" s="959"/>
      <c r="Y971" s="959"/>
      <c r="Z971" s="959"/>
      <c r="AA971" s="959"/>
      <c r="AB971" s="959"/>
      <c r="AC971" s="959"/>
      <c r="AD971" s="959"/>
      <c r="AE971" s="959"/>
      <c r="AF971" s="959"/>
      <c r="AG971" s="959"/>
      <c r="AH971" s="959"/>
      <c r="AI971" s="959"/>
      <c r="AJ971" s="959"/>
      <c r="AK971" s="959"/>
      <c r="AL971" s="959"/>
      <c r="AM971" s="959"/>
    </row>
    <row r="972" spans="3:39" x14ac:dyDescent="0.25">
      <c r="C972" s="959"/>
      <c r="D972" s="959"/>
      <c r="E972" s="959"/>
      <c r="F972" s="959"/>
      <c r="G972" s="959"/>
      <c r="H972" s="959"/>
      <c r="I972" s="959"/>
      <c r="J972" s="959"/>
      <c r="K972" s="959"/>
      <c r="L972" s="959"/>
      <c r="M972" s="959"/>
      <c r="N972" s="959"/>
      <c r="O972" s="959"/>
      <c r="P972" s="959"/>
      <c r="Q972" s="959"/>
      <c r="R972" s="959"/>
      <c r="S972" s="959"/>
      <c r="T972" s="959"/>
      <c r="U972" s="959"/>
      <c r="V972" s="959"/>
      <c r="W972" s="959"/>
      <c r="X972" s="959"/>
      <c r="Y972" s="959"/>
      <c r="Z972" s="959"/>
      <c r="AA972" s="959"/>
      <c r="AB972" s="959"/>
      <c r="AC972" s="959"/>
      <c r="AD972" s="959"/>
      <c r="AE972" s="959"/>
      <c r="AF972" s="959"/>
      <c r="AG972" s="959"/>
      <c r="AH972" s="959"/>
      <c r="AI972" s="959"/>
      <c r="AJ972" s="959"/>
      <c r="AK972" s="959"/>
      <c r="AL972" s="959"/>
      <c r="AM972" s="959"/>
    </row>
    <row r="973" spans="3:39" x14ac:dyDescent="0.25">
      <c r="C973" s="959"/>
      <c r="D973" s="959"/>
      <c r="E973" s="959"/>
      <c r="F973" s="959"/>
      <c r="G973" s="959"/>
      <c r="H973" s="959"/>
      <c r="I973" s="959"/>
      <c r="J973" s="959"/>
      <c r="K973" s="959"/>
      <c r="L973" s="959"/>
      <c r="M973" s="959"/>
      <c r="N973" s="959"/>
      <c r="O973" s="959"/>
      <c r="P973" s="959"/>
      <c r="Q973" s="959"/>
      <c r="R973" s="959"/>
      <c r="S973" s="959"/>
      <c r="T973" s="959"/>
      <c r="U973" s="959"/>
      <c r="V973" s="959"/>
      <c r="W973" s="959"/>
      <c r="X973" s="959"/>
      <c r="Y973" s="959"/>
      <c r="Z973" s="959"/>
      <c r="AA973" s="959"/>
      <c r="AB973" s="959"/>
      <c r="AC973" s="959"/>
      <c r="AD973" s="959"/>
      <c r="AE973" s="959"/>
      <c r="AF973" s="959"/>
      <c r="AG973" s="959"/>
      <c r="AH973" s="959"/>
      <c r="AI973" s="959"/>
      <c r="AJ973" s="959"/>
      <c r="AK973" s="959"/>
      <c r="AL973" s="959"/>
      <c r="AM973" s="959"/>
    </row>
    <row r="974" spans="3:39" x14ac:dyDescent="0.25">
      <c r="C974" s="959"/>
      <c r="D974" s="959"/>
      <c r="E974" s="959"/>
      <c r="F974" s="959"/>
      <c r="G974" s="959"/>
      <c r="H974" s="959"/>
      <c r="I974" s="959"/>
      <c r="J974" s="959"/>
      <c r="K974" s="959"/>
      <c r="L974" s="959"/>
      <c r="M974" s="959"/>
      <c r="N974" s="959"/>
      <c r="O974" s="959"/>
      <c r="P974" s="959"/>
      <c r="Q974" s="959"/>
      <c r="R974" s="959"/>
      <c r="S974" s="959"/>
      <c r="T974" s="959"/>
      <c r="U974" s="959"/>
      <c r="V974" s="959"/>
      <c r="W974" s="959"/>
      <c r="X974" s="959"/>
      <c r="Y974" s="959"/>
      <c r="Z974" s="959"/>
      <c r="AA974" s="959"/>
      <c r="AB974" s="959"/>
      <c r="AC974" s="959"/>
      <c r="AD974" s="959"/>
      <c r="AE974" s="959"/>
      <c r="AF974" s="959"/>
      <c r="AG974" s="959"/>
      <c r="AH974" s="959"/>
      <c r="AI974" s="959"/>
      <c r="AJ974" s="959"/>
      <c r="AK974" s="959"/>
      <c r="AL974" s="959"/>
      <c r="AM974" s="959"/>
    </row>
    <row r="975" spans="3:39" x14ac:dyDescent="0.25">
      <c r="C975" s="959"/>
      <c r="D975" s="959"/>
      <c r="E975" s="959"/>
      <c r="F975" s="959"/>
      <c r="G975" s="959"/>
      <c r="H975" s="959"/>
      <c r="I975" s="959"/>
      <c r="J975" s="959"/>
      <c r="K975" s="959"/>
      <c r="L975" s="959"/>
      <c r="M975" s="959"/>
      <c r="N975" s="959"/>
      <c r="O975" s="959"/>
      <c r="P975" s="959"/>
      <c r="Q975" s="959"/>
      <c r="R975" s="959"/>
      <c r="S975" s="959"/>
      <c r="T975" s="959"/>
      <c r="U975" s="959"/>
      <c r="V975" s="959"/>
      <c r="W975" s="959"/>
      <c r="X975" s="959"/>
      <c r="Y975" s="959"/>
      <c r="Z975" s="959"/>
      <c r="AA975" s="959"/>
      <c r="AB975" s="959"/>
      <c r="AC975" s="959"/>
      <c r="AD975" s="959"/>
      <c r="AE975" s="959"/>
      <c r="AF975" s="959"/>
      <c r="AG975" s="959"/>
      <c r="AH975" s="959"/>
      <c r="AI975" s="959"/>
      <c r="AJ975" s="959"/>
      <c r="AK975" s="959"/>
      <c r="AL975" s="959"/>
      <c r="AM975" s="959"/>
    </row>
    <row r="976" spans="3:39" x14ac:dyDescent="0.25">
      <c r="C976" s="959"/>
      <c r="D976" s="959"/>
      <c r="E976" s="959"/>
      <c r="F976" s="959"/>
      <c r="G976" s="959"/>
      <c r="H976" s="959"/>
      <c r="I976" s="959"/>
      <c r="J976" s="959"/>
      <c r="K976" s="959"/>
      <c r="L976" s="959"/>
      <c r="M976" s="959"/>
      <c r="N976" s="959"/>
      <c r="O976" s="959"/>
      <c r="P976" s="959"/>
      <c r="Q976" s="959"/>
      <c r="R976" s="959"/>
      <c r="S976" s="959"/>
      <c r="T976" s="959"/>
      <c r="U976" s="959"/>
      <c r="V976" s="959"/>
      <c r="W976" s="959"/>
      <c r="X976" s="959"/>
      <c r="Y976" s="959"/>
      <c r="Z976" s="959"/>
      <c r="AA976" s="959"/>
      <c r="AB976" s="959"/>
      <c r="AC976" s="959"/>
      <c r="AD976" s="959"/>
      <c r="AE976" s="959"/>
      <c r="AF976" s="959"/>
      <c r="AG976" s="959"/>
      <c r="AH976" s="959"/>
      <c r="AI976" s="959"/>
      <c r="AJ976" s="959"/>
      <c r="AK976" s="959"/>
      <c r="AL976" s="959"/>
      <c r="AM976" s="959"/>
    </row>
    <row r="977" spans="3:39" x14ac:dyDescent="0.25">
      <c r="C977" s="959"/>
      <c r="D977" s="959"/>
      <c r="E977" s="959"/>
      <c r="F977" s="959"/>
      <c r="G977" s="959"/>
      <c r="H977" s="959"/>
      <c r="I977" s="959"/>
      <c r="J977" s="959"/>
      <c r="K977" s="959"/>
      <c r="L977" s="959"/>
      <c r="M977" s="959"/>
      <c r="N977" s="959"/>
      <c r="O977" s="959"/>
      <c r="P977" s="959"/>
      <c r="Q977" s="959"/>
      <c r="R977" s="959"/>
      <c r="S977" s="959"/>
      <c r="T977" s="959"/>
      <c r="U977" s="959"/>
      <c r="V977" s="959"/>
      <c r="W977" s="959"/>
      <c r="X977" s="959"/>
      <c r="Y977" s="959"/>
      <c r="Z977" s="959"/>
      <c r="AA977" s="959"/>
      <c r="AB977" s="959"/>
      <c r="AC977" s="959"/>
      <c r="AD977" s="959"/>
      <c r="AE977" s="959"/>
      <c r="AF977" s="959"/>
      <c r="AG977" s="959"/>
      <c r="AH977" s="959"/>
      <c r="AI977" s="959"/>
      <c r="AJ977" s="959"/>
      <c r="AK977" s="959"/>
      <c r="AL977" s="959"/>
      <c r="AM977" s="959"/>
    </row>
    <row r="978" spans="3:39" x14ac:dyDescent="0.25">
      <c r="C978" s="959"/>
      <c r="D978" s="959"/>
      <c r="E978" s="959"/>
      <c r="F978" s="959"/>
      <c r="G978" s="959"/>
      <c r="H978" s="959"/>
      <c r="I978" s="959"/>
      <c r="J978" s="959"/>
      <c r="K978" s="959"/>
      <c r="L978" s="959"/>
      <c r="M978" s="959"/>
      <c r="N978" s="959"/>
      <c r="O978" s="959"/>
      <c r="P978" s="959"/>
      <c r="Q978" s="959"/>
      <c r="R978" s="959"/>
      <c r="S978" s="959"/>
      <c r="T978" s="959"/>
      <c r="U978" s="959"/>
      <c r="V978" s="959"/>
      <c r="W978" s="959"/>
      <c r="X978" s="959"/>
      <c r="Y978" s="959"/>
      <c r="Z978" s="959"/>
      <c r="AA978" s="959"/>
      <c r="AB978" s="959"/>
      <c r="AC978" s="959"/>
      <c r="AD978" s="959"/>
      <c r="AE978" s="959"/>
      <c r="AF978" s="959"/>
      <c r="AG978" s="959"/>
      <c r="AH978" s="959"/>
      <c r="AI978" s="959"/>
      <c r="AJ978" s="959"/>
      <c r="AK978" s="959"/>
      <c r="AL978" s="959"/>
      <c r="AM978" s="959"/>
    </row>
    <row r="979" spans="3:39" x14ac:dyDescent="0.25">
      <c r="C979" s="959"/>
      <c r="D979" s="959"/>
      <c r="E979" s="959"/>
      <c r="F979" s="959"/>
      <c r="G979" s="959"/>
      <c r="H979" s="959"/>
      <c r="I979" s="959"/>
      <c r="J979" s="959"/>
      <c r="K979" s="959"/>
      <c r="L979" s="959"/>
      <c r="M979" s="959"/>
      <c r="N979" s="959"/>
      <c r="O979" s="959"/>
      <c r="P979" s="959"/>
      <c r="Q979" s="959"/>
      <c r="R979" s="959"/>
      <c r="S979" s="959"/>
      <c r="T979" s="959"/>
      <c r="U979" s="959"/>
      <c r="V979" s="959"/>
      <c r="W979" s="959"/>
      <c r="X979" s="959"/>
      <c r="Y979" s="959"/>
      <c r="Z979" s="959"/>
      <c r="AA979" s="959"/>
      <c r="AB979" s="959"/>
      <c r="AC979" s="959"/>
      <c r="AD979" s="959"/>
      <c r="AE979" s="959"/>
      <c r="AF979" s="959"/>
      <c r="AG979" s="959"/>
      <c r="AH979" s="959"/>
      <c r="AI979" s="959"/>
      <c r="AJ979" s="959"/>
      <c r="AK979" s="959"/>
      <c r="AL979" s="959"/>
      <c r="AM979" s="959"/>
    </row>
    <row r="980" spans="3:39" x14ac:dyDescent="0.25">
      <c r="C980" s="959"/>
      <c r="D980" s="959"/>
      <c r="E980" s="959"/>
      <c r="F980" s="959"/>
      <c r="G980" s="959"/>
      <c r="H980" s="959"/>
      <c r="I980" s="959"/>
      <c r="J980" s="959"/>
      <c r="K980" s="959"/>
      <c r="L980" s="959"/>
      <c r="M980" s="959"/>
      <c r="N980" s="959"/>
      <c r="O980" s="959"/>
      <c r="P980" s="959"/>
      <c r="Q980" s="959"/>
      <c r="R980" s="959"/>
      <c r="S980" s="959"/>
      <c r="T980" s="959"/>
      <c r="U980" s="959"/>
      <c r="V980" s="959"/>
      <c r="W980" s="959"/>
      <c r="X980" s="959"/>
      <c r="Y980" s="959"/>
      <c r="Z980" s="959"/>
      <c r="AA980" s="959"/>
      <c r="AB980" s="959"/>
      <c r="AC980" s="959"/>
      <c r="AD980" s="959"/>
      <c r="AE980" s="959"/>
      <c r="AF980" s="959"/>
      <c r="AG980" s="959"/>
      <c r="AH980" s="959"/>
      <c r="AI980" s="959"/>
      <c r="AJ980" s="959"/>
      <c r="AK980" s="959"/>
      <c r="AL980" s="959"/>
      <c r="AM980" s="959"/>
    </row>
    <row r="981" spans="3:39" x14ac:dyDescent="0.25">
      <c r="C981" s="959"/>
      <c r="D981" s="959"/>
      <c r="E981" s="959"/>
      <c r="F981" s="959"/>
      <c r="G981" s="959"/>
      <c r="H981" s="959"/>
      <c r="I981" s="959"/>
      <c r="J981" s="959"/>
      <c r="K981" s="959"/>
      <c r="L981" s="959"/>
      <c r="M981" s="959"/>
      <c r="N981" s="959"/>
      <c r="O981" s="959"/>
      <c r="P981" s="959"/>
      <c r="Q981" s="959"/>
      <c r="R981" s="959"/>
      <c r="S981" s="959"/>
      <c r="T981" s="959"/>
      <c r="U981" s="959"/>
      <c r="V981" s="959"/>
      <c r="W981" s="959"/>
      <c r="X981" s="959"/>
      <c r="Y981" s="959"/>
      <c r="Z981" s="959"/>
      <c r="AA981" s="959"/>
      <c r="AB981" s="959"/>
      <c r="AC981" s="959"/>
      <c r="AD981" s="959"/>
      <c r="AE981" s="959"/>
      <c r="AF981" s="959"/>
      <c r="AG981" s="959"/>
      <c r="AH981" s="959"/>
      <c r="AI981" s="959"/>
      <c r="AJ981" s="959"/>
      <c r="AK981" s="959"/>
      <c r="AL981" s="959"/>
      <c r="AM981" s="959"/>
    </row>
    <row r="982" spans="3:39" x14ac:dyDescent="0.25">
      <c r="C982" s="959"/>
      <c r="D982" s="959"/>
      <c r="E982" s="959"/>
      <c r="F982" s="959"/>
      <c r="G982" s="959"/>
      <c r="H982" s="959"/>
      <c r="I982" s="959"/>
      <c r="J982" s="959"/>
      <c r="K982" s="959"/>
      <c r="L982" s="959"/>
      <c r="M982" s="959"/>
      <c r="N982" s="959"/>
      <c r="O982" s="959"/>
      <c r="P982" s="959"/>
      <c r="Q982" s="959"/>
      <c r="R982" s="959"/>
      <c r="S982" s="959"/>
      <c r="T982" s="959"/>
      <c r="U982" s="959"/>
      <c r="V982" s="959"/>
      <c r="W982" s="959"/>
      <c r="X982" s="959"/>
      <c r="Y982" s="959"/>
      <c r="Z982" s="959"/>
      <c r="AA982" s="959"/>
      <c r="AB982" s="959"/>
      <c r="AC982" s="959"/>
      <c r="AD982" s="959"/>
      <c r="AE982" s="959"/>
      <c r="AF982" s="959"/>
      <c r="AG982" s="959"/>
      <c r="AH982" s="959"/>
      <c r="AI982" s="959"/>
      <c r="AJ982" s="959"/>
      <c r="AK982" s="959"/>
      <c r="AL982" s="959"/>
      <c r="AM982" s="959"/>
    </row>
    <row r="983" spans="3:39" x14ac:dyDescent="0.25">
      <c r="C983" s="959"/>
      <c r="D983" s="959"/>
      <c r="E983" s="959"/>
      <c r="F983" s="959"/>
      <c r="G983" s="959"/>
      <c r="H983" s="959"/>
      <c r="I983" s="959"/>
      <c r="J983" s="959"/>
      <c r="K983" s="959"/>
      <c r="L983" s="959"/>
      <c r="M983" s="959"/>
      <c r="N983" s="959"/>
      <c r="O983" s="959"/>
      <c r="P983" s="959"/>
      <c r="Q983" s="959"/>
      <c r="R983" s="959"/>
      <c r="S983" s="959"/>
      <c r="T983" s="959"/>
      <c r="U983" s="959"/>
      <c r="V983" s="959"/>
      <c r="W983" s="959"/>
      <c r="X983" s="959"/>
      <c r="Y983" s="959"/>
      <c r="Z983" s="959"/>
      <c r="AA983" s="959"/>
      <c r="AB983" s="959"/>
      <c r="AC983" s="959"/>
      <c r="AD983" s="959"/>
      <c r="AE983" s="959"/>
      <c r="AF983" s="959"/>
      <c r="AG983" s="959"/>
      <c r="AH983" s="959"/>
      <c r="AI983" s="959"/>
      <c r="AJ983" s="959"/>
      <c r="AK983" s="959"/>
      <c r="AL983" s="959"/>
      <c r="AM983" s="959"/>
    </row>
    <row r="984" spans="3:39" x14ac:dyDescent="0.25">
      <c r="C984" s="959"/>
      <c r="D984" s="959"/>
      <c r="E984" s="959"/>
      <c r="F984" s="959"/>
      <c r="G984" s="959"/>
      <c r="H984" s="959"/>
      <c r="I984" s="959"/>
      <c r="J984" s="959"/>
      <c r="K984" s="959"/>
      <c r="L984" s="959"/>
      <c r="M984" s="959"/>
      <c r="N984" s="959"/>
      <c r="O984" s="959"/>
      <c r="P984" s="959"/>
      <c r="Q984" s="959"/>
      <c r="R984" s="959"/>
      <c r="S984" s="959"/>
      <c r="T984" s="959"/>
      <c r="U984" s="959"/>
      <c r="V984" s="959"/>
      <c r="W984" s="959"/>
      <c r="X984" s="959"/>
      <c r="Y984" s="959"/>
      <c r="Z984" s="959"/>
      <c r="AA984" s="959"/>
      <c r="AB984" s="959"/>
      <c r="AC984" s="959"/>
      <c r="AD984" s="959"/>
      <c r="AE984" s="959"/>
      <c r="AF984" s="959"/>
      <c r="AG984" s="959"/>
      <c r="AH984" s="959"/>
      <c r="AI984" s="959"/>
      <c r="AJ984" s="959"/>
      <c r="AK984" s="959"/>
      <c r="AL984" s="959"/>
      <c r="AM984" s="959"/>
    </row>
    <row r="985" spans="3:39" x14ac:dyDescent="0.25">
      <c r="C985" s="959"/>
      <c r="D985" s="959"/>
      <c r="E985" s="959"/>
      <c r="F985" s="959"/>
      <c r="G985" s="959"/>
      <c r="H985" s="959"/>
      <c r="I985" s="959"/>
      <c r="J985" s="959"/>
      <c r="K985" s="959"/>
      <c r="L985" s="959"/>
      <c r="M985" s="959"/>
      <c r="N985" s="959"/>
      <c r="O985" s="959"/>
      <c r="P985" s="959"/>
      <c r="Q985" s="959"/>
      <c r="R985" s="959"/>
      <c r="S985" s="959"/>
      <c r="T985" s="959"/>
      <c r="U985" s="959"/>
      <c r="V985" s="959"/>
      <c r="W985" s="959"/>
      <c r="X985" s="959"/>
      <c r="Y985" s="959"/>
      <c r="Z985" s="959"/>
      <c r="AA985" s="959"/>
      <c r="AB985" s="959"/>
      <c r="AC985" s="959"/>
      <c r="AD985" s="959"/>
      <c r="AE985" s="959"/>
      <c r="AF985" s="959"/>
      <c r="AG985" s="959"/>
      <c r="AH985" s="959"/>
      <c r="AI985" s="959"/>
      <c r="AJ985" s="959"/>
      <c r="AK985" s="959"/>
      <c r="AL985" s="959"/>
      <c r="AM985" s="959"/>
    </row>
    <row r="986" spans="3:39" x14ac:dyDescent="0.25">
      <c r="C986" s="959"/>
      <c r="D986" s="959"/>
      <c r="E986" s="959"/>
      <c r="F986" s="959"/>
      <c r="G986" s="959"/>
      <c r="H986" s="959"/>
      <c r="I986" s="959"/>
      <c r="J986" s="959"/>
      <c r="K986" s="959"/>
      <c r="L986" s="959"/>
      <c r="M986" s="959"/>
      <c r="N986" s="959"/>
      <c r="O986" s="959"/>
      <c r="P986" s="959"/>
      <c r="Q986" s="959"/>
      <c r="R986" s="959"/>
      <c r="S986" s="959"/>
      <c r="T986" s="959"/>
      <c r="U986" s="959"/>
      <c r="V986" s="959"/>
      <c r="W986" s="959"/>
      <c r="X986" s="959"/>
      <c r="Y986" s="959"/>
      <c r="Z986" s="959"/>
      <c r="AA986" s="959"/>
      <c r="AB986" s="959"/>
      <c r="AC986" s="959"/>
      <c r="AD986" s="959"/>
      <c r="AE986" s="959"/>
      <c r="AF986" s="959"/>
      <c r="AG986" s="959"/>
      <c r="AH986" s="959"/>
      <c r="AI986" s="959"/>
      <c r="AJ986" s="959"/>
      <c r="AK986" s="959"/>
      <c r="AL986" s="959"/>
      <c r="AM986" s="959"/>
    </row>
    <row r="987" spans="3:39" x14ac:dyDescent="0.25">
      <c r="C987" s="959"/>
      <c r="D987" s="959"/>
      <c r="E987" s="959"/>
      <c r="F987" s="959"/>
      <c r="G987" s="959"/>
      <c r="H987" s="959"/>
      <c r="I987" s="959"/>
      <c r="J987" s="959"/>
      <c r="K987" s="959"/>
      <c r="L987" s="959"/>
      <c r="M987" s="959"/>
      <c r="N987" s="959"/>
      <c r="O987" s="959"/>
      <c r="P987" s="959"/>
      <c r="Q987" s="959"/>
      <c r="R987" s="959"/>
      <c r="S987" s="959"/>
      <c r="T987" s="959"/>
      <c r="U987" s="959"/>
      <c r="V987" s="959"/>
      <c r="W987" s="959"/>
      <c r="X987" s="959"/>
      <c r="Y987" s="959"/>
      <c r="Z987" s="959"/>
      <c r="AA987" s="959"/>
      <c r="AB987" s="959"/>
      <c r="AC987" s="959"/>
      <c r="AD987" s="959"/>
      <c r="AE987" s="959"/>
      <c r="AF987" s="959"/>
      <c r="AG987" s="959"/>
      <c r="AH987" s="959"/>
      <c r="AI987" s="959"/>
      <c r="AJ987" s="959"/>
      <c r="AK987" s="959"/>
      <c r="AL987" s="959"/>
      <c r="AM987" s="959"/>
    </row>
    <row r="988" spans="3:39" x14ac:dyDescent="0.25">
      <c r="C988" s="959"/>
      <c r="D988" s="959"/>
      <c r="E988" s="959"/>
      <c r="F988" s="959"/>
      <c r="G988" s="959"/>
      <c r="H988" s="959"/>
      <c r="I988" s="959"/>
      <c r="J988" s="959"/>
      <c r="K988" s="959"/>
      <c r="L988" s="959"/>
      <c r="M988" s="959"/>
      <c r="N988" s="959"/>
      <c r="O988" s="959"/>
      <c r="P988" s="959"/>
      <c r="Q988" s="959"/>
      <c r="R988" s="959"/>
      <c r="S988" s="959"/>
      <c r="T988" s="959"/>
      <c r="U988" s="959"/>
      <c r="V988" s="959"/>
      <c r="W988" s="959"/>
      <c r="X988" s="959"/>
      <c r="Y988" s="959"/>
      <c r="Z988" s="959"/>
      <c r="AA988" s="959"/>
      <c r="AB988" s="959"/>
      <c r="AC988" s="959"/>
      <c r="AD988" s="959"/>
      <c r="AE988" s="959"/>
      <c r="AF988" s="959"/>
      <c r="AG988" s="959"/>
      <c r="AH988" s="959"/>
      <c r="AI988" s="959"/>
      <c r="AJ988" s="959"/>
      <c r="AK988" s="959"/>
      <c r="AL988" s="959"/>
      <c r="AM988" s="959"/>
    </row>
    <row r="989" spans="3:39" x14ac:dyDescent="0.25">
      <c r="C989" s="959"/>
      <c r="D989" s="959"/>
      <c r="E989" s="959"/>
      <c r="F989" s="959"/>
      <c r="G989" s="959"/>
      <c r="H989" s="959"/>
      <c r="I989" s="959"/>
      <c r="J989" s="959"/>
      <c r="K989" s="959"/>
      <c r="L989" s="959"/>
      <c r="M989" s="959"/>
      <c r="N989" s="959"/>
      <c r="O989" s="959"/>
      <c r="P989" s="959"/>
      <c r="Q989" s="959"/>
      <c r="R989" s="959"/>
      <c r="S989" s="959"/>
      <c r="T989" s="959"/>
      <c r="U989" s="959"/>
      <c r="V989" s="959"/>
      <c r="W989" s="959"/>
      <c r="X989" s="959"/>
      <c r="Y989" s="959"/>
      <c r="Z989" s="959"/>
      <c r="AA989" s="959"/>
      <c r="AB989" s="959"/>
      <c r="AC989" s="959"/>
      <c r="AD989" s="959"/>
      <c r="AE989" s="959"/>
      <c r="AF989" s="959"/>
      <c r="AG989" s="959"/>
      <c r="AH989" s="959"/>
      <c r="AI989" s="959"/>
      <c r="AJ989" s="959"/>
      <c r="AK989" s="959"/>
      <c r="AL989" s="959"/>
      <c r="AM989" s="959"/>
    </row>
    <row r="990" spans="3:39" x14ac:dyDescent="0.25">
      <c r="C990" s="959"/>
      <c r="D990" s="959"/>
      <c r="E990" s="959"/>
      <c r="F990" s="959"/>
      <c r="G990" s="959"/>
      <c r="H990" s="959"/>
      <c r="I990" s="959"/>
      <c r="J990" s="959"/>
      <c r="K990" s="959"/>
      <c r="L990" s="959"/>
      <c r="M990" s="959"/>
      <c r="N990" s="959"/>
      <c r="O990" s="959"/>
      <c r="P990" s="959"/>
      <c r="Q990" s="959"/>
      <c r="R990" s="959"/>
      <c r="S990" s="959"/>
      <c r="T990" s="959"/>
      <c r="U990" s="959"/>
      <c r="V990" s="959"/>
      <c r="W990" s="959"/>
      <c r="X990" s="959"/>
      <c r="Y990" s="959"/>
      <c r="Z990" s="959"/>
      <c r="AA990" s="959"/>
      <c r="AB990" s="959"/>
      <c r="AC990" s="959"/>
      <c r="AD990" s="959"/>
      <c r="AE990" s="959"/>
      <c r="AF990" s="959"/>
      <c r="AG990" s="959"/>
      <c r="AH990" s="959"/>
      <c r="AI990" s="959"/>
      <c r="AJ990" s="959"/>
      <c r="AK990" s="959"/>
      <c r="AL990" s="959"/>
      <c r="AM990" s="959"/>
    </row>
    <row r="991" spans="3:39" x14ac:dyDescent="0.25">
      <c r="C991" s="959"/>
      <c r="D991" s="959"/>
      <c r="E991" s="959"/>
      <c r="F991" s="959"/>
      <c r="G991" s="959"/>
      <c r="H991" s="959"/>
      <c r="I991" s="959"/>
      <c r="J991" s="959"/>
      <c r="K991" s="959"/>
      <c r="L991" s="959"/>
      <c r="M991" s="959"/>
      <c r="N991" s="959"/>
      <c r="O991" s="959"/>
      <c r="P991" s="959"/>
      <c r="Q991" s="959"/>
      <c r="R991" s="959"/>
      <c r="S991" s="959"/>
      <c r="T991" s="959"/>
      <c r="U991" s="959"/>
      <c r="V991" s="959"/>
      <c r="W991" s="959"/>
      <c r="X991" s="959"/>
      <c r="Y991" s="959"/>
      <c r="Z991" s="959"/>
      <c r="AA991" s="959"/>
      <c r="AB991" s="959"/>
      <c r="AC991" s="959"/>
      <c r="AD991" s="959"/>
      <c r="AE991" s="959"/>
      <c r="AF991" s="959"/>
      <c r="AG991" s="959"/>
      <c r="AH991" s="959"/>
      <c r="AI991" s="959"/>
      <c r="AJ991" s="959"/>
      <c r="AK991" s="959"/>
      <c r="AL991" s="959"/>
      <c r="AM991" s="959"/>
    </row>
    <row r="992" spans="3:39" x14ac:dyDescent="0.25">
      <c r="C992" s="959"/>
      <c r="D992" s="959"/>
      <c r="E992" s="959"/>
      <c r="F992" s="959"/>
      <c r="G992" s="959"/>
      <c r="H992" s="959"/>
      <c r="I992" s="959"/>
      <c r="J992" s="959"/>
      <c r="K992" s="959"/>
      <c r="L992" s="959"/>
      <c r="M992" s="959"/>
      <c r="N992" s="959"/>
      <c r="O992" s="959"/>
      <c r="P992" s="959"/>
      <c r="Q992" s="959"/>
      <c r="R992" s="959"/>
      <c r="S992" s="959"/>
      <c r="T992" s="959"/>
      <c r="U992" s="959"/>
      <c r="V992" s="959"/>
      <c r="W992" s="959"/>
      <c r="X992" s="959"/>
      <c r="Y992" s="959"/>
      <c r="Z992" s="959"/>
      <c r="AA992" s="959"/>
      <c r="AB992" s="959"/>
      <c r="AC992" s="959"/>
      <c r="AD992" s="959"/>
      <c r="AE992" s="959"/>
      <c r="AF992" s="959"/>
      <c r="AG992" s="959"/>
      <c r="AH992" s="959"/>
      <c r="AI992" s="959"/>
      <c r="AJ992" s="959"/>
      <c r="AK992" s="959"/>
      <c r="AL992" s="959"/>
      <c r="AM992" s="959"/>
    </row>
    <row r="993" spans="3:39" x14ac:dyDescent="0.25">
      <c r="C993" s="959"/>
      <c r="D993" s="959"/>
      <c r="E993" s="959"/>
      <c r="F993" s="959"/>
      <c r="G993" s="959"/>
      <c r="H993" s="959"/>
      <c r="I993" s="959"/>
      <c r="J993" s="959"/>
      <c r="K993" s="959"/>
      <c r="L993" s="959"/>
      <c r="M993" s="959"/>
      <c r="N993" s="959"/>
      <c r="O993" s="959"/>
      <c r="P993" s="959"/>
      <c r="Q993" s="959"/>
      <c r="R993" s="959"/>
      <c r="S993" s="959"/>
      <c r="T993" s="959"/>
      <c r="U993" s="959"/>
      <c r="V993" s="959"/>
      <c r="W993" s="959"/>
      <c r="X993" s="959"/>
      <c r="Y993" s="959"/>
      <c r="Z993" s="959"/>
      <c r="AA993" s="959"/>
      <c r="AB993" s="959"/>
      <c r="AC993" s="959"/>
      <c r="AD993" s="959"/>
      <c r="AE993" s="959"/>
      <c r="AF993" s="959"/>
      <c r="AG993" s="959"/>
      <c r="AH993" s="959"/>
      <c r="AI993" s="959"/>
      <c r="AJ993" s="959"/>
      <c r="AK993" s="959"/>
      <c r="AL993" s="959"/>
      <c r="AM993" s="959"/>
    </row>
    <row r="994" spans="3:39" x14ac:dyDescent="0.25">
      <c r="C994" s="959"/>
      <c r="D994" s="959"/>
      <c r="E994" s="959"/>
      <c r="F994" s="959"/>
      <c r="G994" s="959"/>
      <c r="H994" s="959"/>
      <c r="I994" s="959"/>
      <c r="J994" s="959"/>
      <c r="K994" s="959"/>
      <c r="L994" s="959"/>
      <c r="M994" s="959"/>
      <c r="N994" s="959"/>
      <c r="O994" s="959"/>
      <c r="P994" s="959"/>
      <c r="Q994" s="959"/>
      <c r="R994" s="959"/>
      <c r="S994" s="959"/>
      <c r="T994" s="959"/>
      <c r="U994" s="959"/>
      <c r="V994" s="959"/>
      <c r="W994" s="959"/>
      <c r="X994" s="959"/>
      <c r="Y994" s="959"/>
      <c r="Z994" s="959"/>
      <c r="AA994" s="959"/>
      <c r="AB994" s="959"/>
      <c r="AC994" s="959"/>
      <c r="AD994" s="959"/>
      <c r="AE994" s="959"/>
      <c r="AF994" s="959"/>
      <c r="AG994" s="959"/>
      <c r="AH994" s="959"/>
      <c r="AI994" s="959"/>
      <c r="AJ994" s="959"/>
      <c r="AK994" s="959"/>
      <c r="AL994" s="959"/>
      <c r="AM994" s="959"/>
    </row>
    <row r="995" spans="3:39" x14ac:dyDescent="0.25">
      <c r="C995" s="959"/>
      <c r="D995" s="959"/>
      <c r="E995" s="959"/>
      <c r="F995" s="959"/>
      <c r="G995" s="959"/>
      <c r="H995" s="959"/>
      <c r="I995" s="959"/>
      <c r="J995" s="959"/>
      <c r="K995" s="959"/>
      <c r="L995" s="959"/>
      <c r="M995" s="959"/>
      <c r="N995" s="959"/>
      <c r="O995" s="959"/>
      <c r="P995" s="959"/>
      <c r="Q995" s="959"/>
      <c r="R995" s="959"/>
      <c r="S995" s="959"/>
      <c r="T995" s="959"/>
      <c r="U995" s="959"/>
      <c r="V995" s="959"/>
      <c r="W995" s="959"/>
      <c r="X995" s="959"/>
      <c r="Y995" s="959"/>
      <c r="Z995" s="959"/>
      <c r="AA995" s="959"/>
      <c r="AB995" s="959"/>
      <c r="AC995" s="959"/>
      <c r="AD995" s="959"/>
      <c r="AE995" s="959"/>
      <c r="AF995" s="959"/>
      <c r="AG995" s="959"/>
      <c r="AH995" s="959"/>
      <c r="AI995" s="959"/>
      <c r="AJ995" s="959"/>
      <c r="AK995" s="959"/>
      <c r="AL995" s="959"/>
      <c r="AM995" s="959"/>
    </row>
    <row r="996" spans="3:39" x14ac:dyDescent="0.25">
      <c r="C996" s="959"/>
      <c r="D996" s="959"/>
      <c r="E996" s="959"/>
      <c r="F996" s="959"/>
      <c r="G996" s="959"/>
      <c r="H996" s="959"/>
      <c r="I996" s="959"/>
      <c r="J996" s="959"/>
      <c r="K996" s="959"/>
      <c r="L996" s="959"/>
      <c r="M996" s="959"/>
      <c r="N996" s="959"/>
      <c r="O996" s="959"/>
      <c r="P996" s="959"/>
      <c r="Q996" s="959"/>
      <c r="R996" s="959"/>
      <c r="S996" s="959"/>
      <c r="T996" s="959"/>
      <c r="U996" s="959"/>
      <c r="V996" s="959"/>
      <c r="W996" s="959"/>
      <c r="X996" s="959"/>
      <c r="Y996" s="959"/>
      <c r="Z996" s="959"/>
      <c r="AA996" s="959"/>
      <c r="AB996" s="959"/>
      <c r="AC996" s="959"/>
      <c r="AD996" s="959"/>
      <c r="AE996" s="959"/>
      <c r="AF996" s="959"/>
      <c r="AG996" s="959"/>
      <c r="AH996" s="959"/>
      <c r="AI996" s="959"/>
      <c r="AJ996" s="959"/>
      <c r="AK996" s="959"/>
      <c r="AL996" s="959"/>
      <c r="AM996" s="959"/>
    </row>
    <row r="997" spans="3:39" x14ac:dyDescent="0.25">
      <c r="C997" s="959"/>
      <c r="D997" s="959"/>
      <c r="E997" s="959"/>
      <c r="F997" s="959"/>
      <c r="G997" s="959"/>
      <c r="H997" s="959"/>
      <c r="I997" s="959"/>
      <c r="J997" s="959"/>
      <c r="K997" s="959"/>
      <c r="L997" s="959"/>
      <c r="M997" s="959"/>
      <c r="N997" s="959"/>
      <c r="O997" s="959"/>
      <c r="P997" s="959"/>
      <c r="Q997" s="959"/>
      <c r="R997" s="959"/>
      <c r="S997" s="959"/>
      <c r="T997" s="959"/>
      <c r="U997" s="959"/>
      <c r="V997" s="959"/>
      <c r="W997" s="959"/>
      <c r="X997" s="959"/>
      <c r="Y997" s="959"/>
      <c r="Z997" s="959"/>
      <c r="AA997" s="959"/>
      <c r="AB997" s="959"/>
      <c r="AC997" s="959"/>
      <c r="AD997" s="959"/>
      <c r="AE997" s="959"/>
      <c r="AF997" s="959"/>
      <c r="AG997" s="959"/>
      <c r="AH997" s="959"/>
      <c r="AI997" s="959"/>
      <c r="AJ997" s="959"/>
      <c r="AK997" s="959"/>
      <c r="AL997" s="959"/>
      <c r="AM997" s="959"/>
    </row>
    <row r="998" spans="3:39" x14ac:dyDescent="0.25">
      <c r="C998" s="959"/>
      <c r="D998" s="959"/>
      <c r="E998" s="959"/>
      <c r="F998" s="959"/>
      <c r="G998" s="959"/>
      <c r="H998" s="959"/>
      <c r="I998" s="959"/>
      <c r="J998" s="959"/>
      <c r="K998" s="959"/>
      <c r="L998" s="959"/>
      <c r="M998" s="959"/>
      <c r="N998" s="959"/>
      <c r="O998" s="959"/>
      <c r="P998" s="959"/>
      <c r="Q998" s="959"/>
      <c r="R998" s="959"/>
      <c r="S998" s="959"/>
      <c r="T998" s="959"/>
      <c r="U998" s="959"/>
      <c r="V998" s="959"/>
      <c r="W998" s="959"/>
      <c r="X998" s="959"/>
      <c r="Y998" s="959"/>
      <c r="Z998" s="959"/>
      <c r="AA998" s="959"/>
      <c r="AB998" s="959"/>
      <c r="AC998" s="959"/>
      <c r="AD998" s="959"/>
      <c r="AE998" s="959"/>
      <c r="AF998" s="959"/>
      <c r="AG998" s="959"/>
      <c r="AH998" s="959"/>
      <c r="AI998" s="959"/>
      <c r="AJ998" s="959"/>
      <c r="AK998" s="959"/>
      <c r="AL998" s="959"/>
      <c r="AM998" s="959"/>
    </row>
    <row r="999" spans="3:39" x14ac:dyDescent="0.25">
      <c r="C999" s="959"/>
      <c r="D999" s="959"/>
      <c r="E999" s="959"/>
      <c r="F999" s="959"/>
      <c r="G999" s="959"/>
      <c r="H999" s="959"/>
      <c r="I999" s="959"/>
      <c r="J999" s="959"/>
      <c r="K999" s="959"/>
      <c r="L999" s="959"/>
      <c r="M999" s="959"/>
      <c r="N999" s="959"/>
      <c r="O999" s="959"/>
      <c r="P999" s="959"/>
      <c r="Q999" s="959"/>
      <c r="R999" s="959"/>
      <c r="S999" s="959"/>
      <c r="T999" s="959"/>
      <c r="U999" s="959"/>
      <c r="V999" s="959"/>
      <c r="W999" s="959"/>
      <c r="X999" s="959"/>
      <c r="Y999" s="959"/>
      <c r="Z999" s="959"/>
      <c r="AA999" s="959"/>
      <c r="AB999" s="959"/>
      <c r="AC999" s="959"/>
      <c r="AD999" s="959"/>
      <c r="AE999" s="959"/>
      <c r="AF999" s="959"/>
      <c r="AG999" s="959"/>
      <c r="AH999" s="959"/>
      <c r="AI999" s="959"/>
      <c r="AJ999" s="959"/>
      <c r="AK999" s="959"/>
      <c r="AL999" s="959"/>
      <c r="AM999" s="959"/>
    </row>
    <row r="1000" spans="3:39" x14ac:dyDescent="0.25">
      <c r="C1000" s="959"/>
      <c r="D1000" s="959"/>
      <c r="E1000" s="959"/>
      <c r="F1000" s="959"/>
      <c r="G1000" s="959"/>
      <c r="H1000" s="959"/>
      <c r="I1000" s="959"/>
      <c r="J1000" s="959"/>
      <c r="K1000" s="959"/>
      <c r="L1000" s="959"/>
      <c r="M1000" s="959"/>
      <c r="N1000" s="959"/>
      <c r="O1000" s="959"/>
      <c r="P1000" s="959"/>
      <c r="Q1000" s="959"/>
      <c r="R1000" s="959"/>
      <c r="S1000" s="959"/>
      <c r="T1000" s="959"/>
      <c r="U1000" s="959"/>
      <c r="V1000" s="959"/>
      <c r="W1000" s="959"/>
      <c r="X1000" s="959"/>
      <c r="Y1000" s="959"/>
      <c r="Z1000" s="959"/>
      <c r="AA1000" s="959"/>
      <c r="AB1000" s="959"/>
      <c r="AC1000" s="959"/>
      <c r="AD1000" s="959"/>
      <c r="AE1000" s="959"/>
      <c r="AF1000" s="959"/>
      <c r="AG1000" s="959"/>
      <c r="AH1000" s="959"/>
      <c r="AI1000" s="959"/>
      <c r="AJ1000" s="959"/>
      <c r="AK1000" s="959"/>
      <c r="AL1000" s="959"/>
      <c r="AM1000" s="959"/>
    </row>
    <row r="1001" spans="3:39" x14ac:dyDescent="0.25">
      <c r="C1001" s="959"/>
      <c r="D1001" s="959"/>
      <c r="E1001" s="959"/>
      <c r="F1001" s="959"/>
      <c r="G1001" s="959"/>
      <c r="H1001" s="959"/>
      <c r="I1001" s="959"/>
      <c r="J1001" s="959"/>
      <c r="K1001" s="959"/>
      <c r="L1001" s="959"/>
      <c r="M1001" s="959"/>
      <c r="N1001" s="959"/>
      <c r="O1001" s="959"/>
      <c r="P1001" s="959"/>
      <c r="Q1001" s="959"/>
      <c r="R1001" s="959"/>
      <c r="S1001" s="959"/>
      <c r="T1001" s="959"/>
      <c r="U1001" s="959"/>
      <c r="V1001" s="959"/>
      <c r="W1001" s="959"/>
      <c r="X1001" s="959"/>
      <c r="Y1001" s="959"/>
      <c r="Z1001" s="959"/>
      <c r="AA1001" s="959"/>
      <c r="AB1001" s="959"/>
      <c r="AC1001" s="959"/>
      <c r="AD1001" s="959"/>
      <c r="AE1001" s="959"/>
      <c r="AF1001" s="959"/>
      <c r="AG1001" s="959"/>
      <c r="AH1001" s="959"/>
      <c r="AI1001" s="959"/>
      <c r="AJ1001" s="959"/>
      <c r="AK1001" s="959"/>
      <c r="AL1001" s="959"/>
      <c r="AM1001" s="959"/>
    </row>
    <row r="1002" spans="3:39" x14ac:dyDescent="0.25">
      <c r="C1002" s="959"/>
      <c r="D1002" s="959"/>
      <c r="E1002" s="959"/>
      <c r="F1002" s="959"/>
      <c r="G1002" s="959"/>
      <c r="H1002" s="959"/>
      <c r="I1002" s="959"/>
      <c r="J1002" s="959"/>
      <c r="K1002" s="959"/>
      <c r="L1002" s="959"/>
      <c r="M1002" s="959"/>
      <c r="N1002" s="959"/>
      <c r="O1002" s="959"/>
      <c r="P1002" s="959"/>
      <c r="Q1002" s="959"/>
      <c r="R1002" s="959"/>
      <c r="S1002" s="959"/>
      <c r="T1002" s="959"/>
      <c r="U1002" s="959"/>
      <c r="V1002" s="959"/>
      <c r="W1002" s="959"/>
      <c r="X1002" s="959"/>
      <c r="Y1002" s="959"/>
      <c r="Z1002" s="959"/>
      <c r="AA1002" s="959"/>
      <c r="AB1002" s="959"/>
      <c r="AC1002" s="959"/>
      <c r="AD1002" s="959"/>
      <c r="AE1002" s="959"/>
      <c r="AF1002" s="959"/>
      <c r="AG1002" s="959"/>
      <c r="AH1002" s="959"/>
      <c r="AI1002" s="959"/>
      <c r="AJ1002" s="959"/>
      <c r="AK1002" s="959"/>
      <c r="AL1002" s="959"/>
      <c r="AM1002" s="959"/>
    </row>
    <row r="1003" spans="3:39" x14ac:dyDescent="0.25">
      <c r="C1003" s="959"/>
      <c r="D1003" s="959"/>
      <c r="E1003" s="959"/>
      <c r="F1003" s="959"/>
      <c r="G1003" s="959"/>
      <c r="H1003" s="959"/>
      <c r="I1003" s="959"/>
      <c r="J1003" s="959"/>
      <c r="K1003" s="959"/>
      <c r="L1003" s="959"/>
      <c r="M1003" s="959"/>
      <c r="N1003" s="959"/>
      <c r="O1003" s="959"/>
      <c r="P1003" s="959"/>
      <c r="Q1003" s="959"/>
      <c r="R1003" s="959"/>
      <c r="S1003" s="959"/>
      <c r="T1003" s="959"/>
      <c r="U1003" s="959"/>
      <c r="V1003" s="959"/>
      <c r="W1003" s="959"/>
      <c r="X1003" s="959"/>
      <c r="Y1003" s="959"/>
      <c r="Z1003" s="959"/>
      <c r="AA1003" s="959"/>
      <c r="AB1003" s="959"/>
      <c r="AC1003" s="959"/>
      <c r="AD1003" s="959"/>
      <c r="AE1003" s="959"/>
      <c r="AF1003" s="959"/>
      <c r="AG1003" s="959"/>
      <c r="AH1003" s="959"/>
      <c r="AI1003" s="959"/>
      <c r="AJ1003" s="959"/>
      <c r="AK1003" s="959"/>
      <c r="AL1003" s="959"/>
      <c r="AM1003" s="959"/>
    </row>
    <row r="1004" spans="3:39" x14ac:dyDescent="0.25">
      <c r="C1004" s="959"/>
      <c r="D1004" s="959"/>
      <c r="E1004" s="959"/>
      <c r="F1004" s="959"/>
      <c r="G1004" s="959"/>
      <c r="H1004" s="959"/>
      <c r="I1004" s="959"/>
      <c r="J1004" s="959"/>
      <c r="K1004" s="959"/>
      <c r="L1004" s="959"/>
      <c r="M1004" s="959"/>
      <c r="N1004" s="959"/>
      <c r="O1004" s="959"/>
      <c r="P1004" s="959"/>
      <c r="Q1004" s="959"/>
      <c r="R1004" s="959"/>
      <c r="S1004" s="959"/>
      <c r="T1004" s="959"/>
      <c r="U1004" s="959"/>
      <c r="V1004" s="959"/>
      <c r="W1004" s="959"/>
      <c r="X1004" s="959"/>
      <c r="Y1004" s="959"/>
      <c r="Z1004" s="959"/>
      <c r="AA1004" s="959"/>
      <c r="AB1004" s="959"/>
      <c r="AC1004" s="959"/>
      <c r="AD1004" s="959"/>
      <c r="AE1004" s="959"/>
      <c r="AF1004" s="959"/>
      <c r="AG1004" s="959"/>
      <c r="AH1004" s="959"/>
      <c r="AI1004" s="959"/>
      <c r="AJ1004" s="959"/>
      <c r="AK1004" s="959"/>
      <c r="AL1004" s="959"/>
      <c r="AM1004" s="959"/>
    </row>
    <row r="1005" spans="3:39" x14ac:dyDescent="0.25">
      <c r="C1005" s="959"/>
      <c r="D1005" s="959"/>
      <c r="E1005" s="959"/>
      <c r="F1005" s="959"/>
      <c r="G1005" s="959"/>
      <c r="H1005" s="959"/>
      <c r="I1005" s="959"/>
      <c r="J1005" s="959"/>
      <c r="K1005" s="959"/>
      <c r="L1005" s="959"/>
      <c r="M1005" s="959"/>
      <c r="N1005" s="959"/>
      <c r="O1005" s="959"/>
      <c r="P1005" s="959"/>
      <c r="Q1005" s="959"/>
      <c r="R1005" s="959"/>
      <c r="S1005" s="959"/>
      <c r="T1005" s="959"/>
      <c r="U1005" s="959"/>
      <c r="V1005" s="959"/>
      <c r="W1005" s="959"/>
      <c r="X1005" s="959"/>
      <c r="Y1005" s="959"/>
      <c r="Z1005" s="959"/>
      <c r="AA1005" s="959"/>
      <c r="AB1005" s="959"/>
      <c r="AC1005" s="959"/>
      <c r="AD1005" s="959"/>
      <c r="AE1005" s="959"/>
      <c r="AF1005" s="959"/>
      <c r="AG1005" s="959"/>
      <c r="AH1005" s="959"/>
      <c r="AI1005" s="959"/>
      <c r="AJ1005" s="959"/>
      <c r="AK1005" s="959"/>
      <c r="AL1005" s="959"/>
      <c r="AM1005" s="959"/>
    </row>
    <row r="1006" spans="3:39" x14ac:dyDescent="0.25">
      <c r="C1006" s="959"/>
      <c r="D1006" s="959"/>
      <c r="E1006" s="959"/>
      <c r="F1006" s="959"/>
      <c r="G1006" s="959"/>
      <c r="H1006" s="959"/>
      <c r="I1006" s="959"/>
      <c r="J1006" s="959"/>
      <c r="K1006" s="959"/>
      <c r="L1006" s="959"/>
      <c r="M1006" s="959"/>
      <c r="N1006" s="959"/>
      <c r="O1006" s="959"/>
      <c r="P1006" s="959"/>
      <c r="Q1006" s="959"/>
      <c r="R1006" s="959"/>
      <c r="S1006" s="959"/>
      <c r="T1006" s="959"/>
      <c r="U1006" s="959"/>
      <c r="V1006" s="959"/>
      <c r="W1006" s="959"/>
      <c r="X1006" s="959"/>
      <c r="Y1006" s="959"/>
      <c r="Z1006" s="959"/>
      <c r="AA1006" s="959"/>
      <c r="AB1006" s="959"/>
      <c r="AC1006" s="959"/>
      <c r="AD1006" s="959"/>
      <c r="AE1006" s="959"/>
      <c r="AF1006" s="959"/>
      <c r="AG1006" s="959"/>
      <c r="AH1006" s="959"/>
      <c r="AI1006" s="959"/>
      <c r="AJ1006" s="959"/>
      <c r="AK1006" s="959"/>
      <c r="AL1006" s="959"/>
      <c r="AM1006" s="959"/>
    </row>
    <row r="1007" spans="3:39" x14ac:dyDescent="0.25">
      <c r="C1007" s="959"/>
      <c r="D1007" s="959"/>
      <c r="E1007" s="959"/>
      <c r="F1007" s="959"/>
      <c r="G1007" s="959"/>
      <c r="H1007" s="959"/>
      <c r="I1007" s="959"/>
      <c r="J1007" s="959"/>
      <c r="K1007" s="959"/>
      <c r="L1007" s="959"/>
      <c r="M1007" s="959"/>
      <c r="N1007" s="959"/>
      <c r="O1007" s="959"/>
      <c r="P1007" s="959"/>
      <c r="Q1007" s="959"/>
      <c r="R1007" s="959"/>
      <c r="S1007" s="959"/>
      <c r="T1007" s="959"/>
      <c r="U1007" s="959"/>
      <c r="V1007" s="959"/>
      <c r="W1007" s="959"/>
      <c r="X1007" s="959"/>
      <c r="Y1007" s="959"/>
      <c r="Z1007" s="959"/>
      <c r="AA1007" s="959"/>
      <c r="AB1007" s="959"/>
      <c r="AC1007" s="959"/>
      <c r="AD1007" s="959"/>
      <c r="AE1007" s="959"/>
      <c r="AF1007" s="959"/>
      <c r="AG1007" s="959"/>
      <c r="AH1007" s="959"/>
      <c r="AI1007" s="959"/>
      <c r="AJ1007" s="959"/>
      <c r="AK1007" s="959"/>
      <c r="AL1007" s="959"/>
      <c r="AM1007" s="959"/>
    </row>
    <row r="1008" spans="3:39" x14ac:dyDescent="0.25">
      <c r="C1008" s="959"/>
      <c r="D1008" s="959"/>
      <c r="E1008" s="959"/>
      <c r="F1008" s="959"/>
      <c r="G1008" s="959"/>
      <c r="H1008" s="959"/>
      <c r="I1008" s="959"/>
      <c r="J1008" s="959"/>
      <c r="K1008" s="959"/>
      <c r="L1008" s="959"/>
      <c r="M1008" s="959"/>
      <c r="N1008" s="959"/>
      <c r="O1008" s="959"/>
      <c r="P1008" s="959"/>
      <c r="Q1008" s="959"/>
      <c r="R1008" s="959"/>
      <c r="S1008" s="959"/>
      <c r="T1008" s="959"/>
      <c r="U1008" s="959"/>
      <c r="V1008" s="959"/>
      <c r="W1008" s="959"/>
      <c r="X1008" s="959"/>
      <c r="Y1008" s="959"/>
      <c r="Z1008" s="959"/>
      <c r="AA1008" s="959"/>
      <c r="AB1008" s="959"/>
      <c r="AC1008" s="959"/>
      <c r="AD1008" s="959"/>
      <c r="AE1008" s="959"/>
      <c r="AF1008" s="959"/>
      <c r="AG1008" s="959"/>
      <c r="AH1008" s="959"/>
      <c r="AI1008" s="959"/>
      <c r="AJ1008" s="959"/>
      <c r="AK1008" s="959"/>
      <c r="AL1008" s="959"/>
      <c r="AM1008" s="959"/>
    </row>
    <row r="1009" spans="3:39" x14ac:dyDescent="0.25">
      <c r="C1009" s="959"/>
      <c r="D1009" s="959"/>
      <c r="E1009" s="959"/>
      <c r="F1009" s="959"/>
      <c r="G1009" s="959"/>
      <c r="H1009" s="959"/>
      <c r="I1009" s="959"/>
      <c r="J1009" s="959"/>
      <c r="K1009" s="959"/>
      <c r="L1009" s="959"/>
      <c r="M1009" s="959"/>
      <c r="N1009" s="959"/>
      <c r="O1009" s="959"/>
      <c r="P1009" s="959"/>
      <c r="Q1009" s="959"/>
      <c r="R1009" s="959"/>
      <c r="S1009" s="959"/>
      <c r="T1009" s="959"/>
      <c r="U1009" s="959"/>
      <c r="V1009" s="959"/>
      <c r="W1009" s="959"/>
      <c r="X1009" s="959"/>
      <c r="Y1009" s="959"/>
      <c r="Z1009" s="959"/>
      <c r="AA1009" s="959"/>
      <c r="AB1009" s="959"/>
      <c r="AC1009" s="959"/>
      <c r="AD1009" s="959"/>
      <c r="AE1009" s="959"/>
      <c r="AF1009" s="959"/>
      <c r="AG1009" s="959"/>
      <c r="AH1009" s="959"/>
      <c r="AI1009" s="959"/>
      <c r="AJ1009" s="959"/>
      <c r="AK1009" s="959"/>
      <c r="AL1009" s="959"/>
      <c r="AM1009" s="959"/>
    </row>
    <row r="1010" spans="3:39" x14ac:dyDescent="0.25">
      <c r="C1010" s="959"/>
      <c r="D1010" s="959"/>
      <c r="E1010" s="959"/>
      <c r="F1010" s="959"/>
      <c r="G1010" s="959"/>
      <c r="H1010" s="959"/>
      <c r="I1010" s="959"/>
      <c r="J1010" s="959"/>
      <c r="K1010" s="959"/>
      <c r="L1010" s="959"/>
      <c r="M1010" s="959"/>
      <c r="N1010" s="959"/>
      <c r="O1010" s="959"/>
      <c r="P1010" s="959"/>
      <c r="Q1010" s="959"/>
      <c r="R1010" s="959"/>
      <c r="S1010" s="959"/>
      <c r="T1010" s="959"/>
      <c r="U1010" s="959"/>
      <c r="V1010" s="959"/>
      <c r="W1010" s="959"/>
      <c r="X1010" s="959"/>
      <c r="Y1010" s="959"/>
      <c r="Z1010" s="959"/>
      <c r="AA1010" s="959"/>
      <c r="AB1010" s="959"/>
      <c r="AC1010" s="959"/>
      <c r="AD1010" s="959"/>
      <c r="AE1010" s="959"/>
      <c r="AF1010" s="959"/>
      <c r="AG1010" s="959"/>
      <c r="AH1010" s="959"/>
      <c r="AI1010" s="959"/>
      <c r="AJ1010" s="959"/>
      <c r="AK1010" s="959"/>
      <c r="AL1010" s="959"/>
      <c r="AM1010" s="959"/>
    </row>
    <row r="1011" spans="3:39" x14ac:dyDescent="0.25">
      <c r="C1011" s="959"/>
      <c r="D1011" s="959"/>
      <c r="E1011" s="959"/>
      <c r="F1011" s="959"/>
      <c r="G1011" s="959"/>
      <c r="H1011" s="959"/>
      <c r="I1011" s="959"/>
      <c r="J1011" s="959"/>
      <c r="K1011" s="959"/>
      <c r="L1011" s="959"/>
      <c r="M1011" s="959"/>
      <c r="N1011" s="959"/>
      <c r="O1011" s="959"/>
      <c r="P1011" s="959"/>
      <c r="Q1011" s="959"/>
      <c r="R1011" s="959"/>
      <c r="S1011" s="959"/>
      <c r="T1011" s="959"/>
      <c r="U1011" s="959"/>
      <c r="V1011" s="959"/>
      <c r="W1011" s="959"/>
      <c r="X1011" s="959"/>
      <c r="Y1011" s="959"/>
      <c r="Z1011" s="959"/>
      <c r="AA1011" s="959"/>
      <c r="AB1011" s="959"/>
      <c r="AC1011" s="959"/>
      <c r="AD1011" s="959"/>
      <c r="AE1011" s="959"/>
      <c r="AF1011" s="959"/>
      <c r="AG1011" s="959"/>
      <c r="AH1011" s="959"/>
      <c r="AI1011" s="959"/>
      <c r="AJ1011" s="959"/>
      <c r="AK1011" s="959"/>
      <c r="AL1011" s="959"/>
      <c r="AM1011" s="959"/>
    </row>
    <row r="1012" spans="3:39" x14ac:dyDescent="0.25">
      <c r="C1012" s="959"/>
      <c r="D1012" s="959"/>
      <c r="E1012" s="959"/>
      <c r="F1012" s="959"/>
      <c r="G1012" s="959"/>
      <c r="H1012" s="959"/>
      <c r="I1012" s="959"/>
      <c r="J1012" s="959"/>
      <c r="K1012" s="959"/>
      <c r="L1012" s="959"/>
      <c r="M1012" s="959"/>
      <c r="N1012" s="959"/>
      <c r="O1012" s="959"/>
      <c r="P1012" s="959"/>
      <c r="Q1012" s="959"/>
      <c r="R1012" s="959"/>
      <c r="S1012" s="959"/>
      <c r="T1012" s="959"/>
      <c r="U1012" s="959"/>
      <c r="V1012" s="959"/>
      <c r="W1012" s="959"/>
      <c r="X1012" s="959"/>
      <c r="Y1012" s="959"/>
      <c r="Z1012" s="959"/>
      <c r="AA1012" s="959"/>
      <c r="AB1012" s="959"/>
      <c r="AC1012" s="959"/>
      <c r="AD1012" s="959"/>
      <c r="AE1012" s="959"/>
      <c r="AF1012" s="959"/>
      <c r="AG1012" s="959"/>
      <c r="AH1012" s="959"/>
      <c r="AI1012" s="959"/>
      <c r="AJ1012" s="959"/>
      <c r="AK1012" s="959"/>
      <c r="AL1012" s="959"/>
      <c r="AM1012" s="959"/>
    </row>
    <row r="1013" spans="3:39" x14ac:dyDescent="0.25">
      <c r="C1013" s="959"/>
      <c r="D1013" s="959"/>
      <c r="E1013" s="959"/>
      <c r="F1013" s="959"/>
      <c r="G1013" s="959"/>
      <c r="H1013" s="959"/>
      <c r="I1013" s="959"/>
      <c r="J1013" s="959"/>
      <c r="K1013" s="959"/>
      <c r="L1013" s="959"/>
      <c r="M1013" s="959"/>
      <c r="N1013" s="959"/>
      <c r="O1013" s="959"/>
      <c r="P1013" s="959"/>
      <c r="Q1013" s="959"/>
      <c r="R1013" s="959"/>
      <c r="S1013" s="959"/>
      <c r="T1013" s="959"/>
      <c r="U1013" s="959"/>
      <c r="V1013" s="959"/>
      <c r="W1013" s="959"/>
      <c r="X1013" s="959"/>
      <c r="Y1013" s="959"/>
      <c r="Z1013" s="959"/>
      <c r="AA1013" s="959"/>
      <c r="AB1013" s="959"/>
      <c r="AC1013" s="959"/>
      <c r="AD1013" s="959"/>
      <c r="AE1013" s="959"/>
      <c r="AF1013" s="959"/>
      <c r="AG1013" s="959"/>
      <c r="AH1013" s="959"/>
      <c r="AI1013" s="959"/>
      <c r="AJ1013" s="959"/>
      <c r="AK1013" s="959"/>
      <c r="AL1013" s="959"/>
      <c r="AM1013" s="959"/>
    </row>
    <row r="1014" spans="3:39" x14ac:dyDescent="0.25">
      <c r="C1014" s="959"/>
      <c r="D1014" s="959"/>
      <c r="E1014" s="959"/>
      <c r="F1014" s="959"/>
      <c r="G1014" s="959"/>
      <c r="H1014" s="959"/>
      <c r="I1014" s="959"/>
      <c r="J1014" s="959"/>
      <c r="K1014" s="959"/>
      <c r="L1014" s="959"/>
      <c r="M1014" s="959"/>
      <c r="N1014" s="959"/>
      <c r="O1014" s="959"/>
      <c r="P1014" s="959"/>
      <c r="Q1014" s="959"/>
      <c r="R1014" s="959"/>
      <c r="S1014" s="959"/>
      <c r="T1014" s="959"/>
      <c r="U1014" s="959"/>
      <c r="V1014" s="959"/>
      <c r="W1014" s="959"/>
      <c r="X1014" s="959"/>
      <c r="Y1014" s="959"/>
      <c r="Z1014" s="959"/>
      <c r="AA1014" s="959"/>
      <c r="AB1014" s="959"/>
      <c r="AC1014" s="959"/>
      <c r="AD1014" s="959"/>
      <c r="AE1014" s="959"/>
      <c r="AF1014" s="959"/>
      <c r="AG1014" s="959"/>
      <c r="AH1014" s="959"/>
      <c r="AI1014" s="959"/>
      <c r="AJ1014" s="959"/>
      <c r="AK1014" s="959"/>
      <c r="AL1014" s="959"/>
      <c r="AM1014" s="959"/>
    </row>
    <row r="1015" spans="3:39" x14ac:dyDescent="0.25">
      <c r="C1015" s="959"/>
      <c r="D1015" s="959"/>
      <c r="E1015" s="959"/>
      <c r="F1015" s="959"/>
      <c r="G1015" s="959"/>
      <c r="H1015" s="959"/>
      <c r="I1015" s="959"/>
      <c r="J1015" s="959"/>
      <c r="K1015" s="959"/>
      <c r="L1015" s="959"/>
      <c r="M1015" s="959"/>
      <c r="N1015" s="959"/>
      <c r="O1015" s="959"/>
      <c r="P1015" s="959"/>
      <c r="Q1015" s="959"/>
      <c r="R1015" s="959"/>
      <c r="S1015" s="959"/>
      <c r="T1015" s="959"/>
      <c r="U1015" s="959"/>
      <c r="V1015" s="959"/>
      <c r="W1015" s="959"/>
      <c r="X1015" s="959"/>
      <c r="Y1015" s="959"/>
      <c r="Z1015" s="959"/>
      <c r="AA1015" s="959"/>
      <c r="AB1015" s="959"/>
      <c r="AC1015" s="959"/>
      <c r="AD1015" s="959"/>
      <c r="AE1015" s="959"/>
      <c r="AF1015" s="959"/>
      <c r="AG1015" s="959"/>
      <c r="AH1015" s="959"/>
      <c r="AI1015" s="959"/>
      <c r="AJ1015" s="959"/>
      <c r="AK1015" s="959"/>
      <c r="AL1015" s="959"/>
      <c r="AM1015" s="959"/>
    </row>
    <row r="1016" spans="3:39" x14ac:dyDescent="0.25">
      <c r="C1016" s="959"/>
      <c r="D1016" s="959"/>
      <c r="E1016" s="959"/>
      <c r="F1016" s="959"/>
      <c r="G1016" s="959"/>
      <c r="H1016" s="959"/>
      <c r="I1016" s="959"/>
      <c r="J1016" s="959"/>
      <c r="K1016" s="959"/>
      <c r="L1016" s="959"/>
      <c r="M1016" s="959"/>
      <c r="N1016" s="959"/>
      <c r="O1016" s="959"/>
      <c r="P1016" s="959"/>
      <c r="Q1016" s="959"/>
      <c r="R1016" s="959"/>
      <c r="S1016" s="959"/>
      <c r="T1016" s="959"/>
      <c r="U1016" s="959"/>
      <c r="V1016" s="959"/>
      <c r="W1016" s="959"/>
      <c r="X1016" s="959"/>
      <c r="Y1016" s="959"/>
      <c r="Z1016" s="959"/>
      <c r="AA1016" s="959"/>
      <c r="AB1016" s="959"/>
      <c r="AC1016" s="959"/>
      <c r="AD1016" s="959"/>
      <c r="AE1016" s="959"/>
      <c r="AF1016" s="959"/>
      <c r="AG1016" s="959"/>
      <c r="AH1016" s="959"/>
      <c r="AI1016" s="959"/>
      <c r="AJ1016" s="959"/>
      <c r="AK1016" s="959"/>
      <c r="AL1016" s="959"/>
      <c r="AM1016" s="959"/>
    </row>
    <row r="1017" spans="3:39" x14ac:dyDescent="0.25">
      <c r="C1017" s="959"/>
      <c r="D1017" s="959"/>
      <c r="E1017" s="959"/>
      <c r="F1017" s="959"/>
      <c r="G1017" s="959"/>
      <c r="H1017" s="959"/>
      <c r="I1017" s="959"/>
      <c r="J1017" s="959"/>
      <c r="K1017" s="959"/>
      <c r="L1017" s="959"/>
      <c r="M1017" s="959"/>
      <c r="N1017" s="959"/>
      <c r="O1017" s="959"/>
      <c r="P1017" s="959"/>
      <c r="Q1017" s="959"/>
      <c r="R1017" s="959"/>
      <c r="S1017" s="959"/>
      <c r="T1017" s="959"/>
      <c r="U1017" s="959"/>
      <c r="V1017" s="959"/>
      <c r="W1017" s="959"/>
      <c r="X1017" s="959"/>
      <c r="Y1017" s="959"/>
      <c r="Z1017" s="959"/>
      <c r="AA1017" s="959"/>
      <c r="AB1017" s="959"/>
      <c r="AC1017" s="959"/>
      <c r="AD1017" s="959"/>
      <c r="AE1017" s="959"/>
      <c r="AF1017" s="959"/>
      <c r="AG1017" s="959"/>
      <c r="AH1017" s="959"/>
      <c r="AI1017" s="959"/>
      <c r="AJ1017" s="959"/>
      <c r="AK1017" s="959"/>
      <c r="AL1017" s="959"/>
      <c r="AM1017" s="959"/>
    </row>
    <row r="1018" spans="3:39" x14ac:dyDescent="0.25">
      <c r="C1018" s="959"/>
      <c r="D1018" s="959"/>
      <c r="E1018" s="959"/>
      <c r="F1018" s="959"/>
      <c r="G1018" s="959"/>
      <c r="H1018" s="959"/>
      <c r="I1018" s="959"/>
      <c r="J1018" s="959"/>
      <c r="K1018" s="959"/>
      <c r="L1018" s="959"/>
      <c r="M1018" s="959"/>
      <c r="N1018" s="959"/>
      <c r="O1018" s="959"/>
      <c r="P1018" s="959"/>
      <c r="Q1018" s="959"/>
      <c r="R1018" s="959"/>
      <c r="S1018" s="959"/>
      <c r="T1018" s="959"/>
      <c r="U1018" s="959"/>
      <c r="V1018" s="959"/>
      <c r="W1018" s="959"/>
      <c r="X1018" s="959"/>
      <c r="Y1018" s="959"/>
      <c r="Z1018" s="959"/>
      <c r="AA1018" s="959"/>
      <c r="AB1018" s="959"/>
      <c r="AC1018" s="959"/>
      <c r="AD1018" s="959"/>
      <c r="AE1018" s="959"/>
      <c r="AF1018" s="959"/>
      <c r="AG1018" s="959"/>
      <c r="AH1018" s="959"/>
      <c r="AI1018" s="959"/>
      <c r="AJ1018" s="959"/>
      <c r="AK1018" s="959"/>
      <c r="AL1018" s="959"/>
      <c r="AM1018" s="959"/>
    </row>
    <row r="1019" spans="3:39" x14ac:dyDescent="0.25">
      <c r="C1019" s="959"/>
      <c r="D1019" s="959"/>
      <c r="E1019" s="959"/>
      <c r="F1019" s="959"/>
      <c r="G1019" s="959"/>
      <c r="H1019" s="959"/>
      <c r="I1019" s="959"/>
      <c r="J1019" s="959"/>
      <c r="K1019" s="959"/>
      <c r="L1019" s="959"/>
      <c r="M1019" s="959"/>
      <c r="N1019" s="959"/>
      <c r="O1019" s="959"/>
      <c r="P1019" s="959"/>
      <c r="Q1019" s="959"/>
      <c r="R1019" s="959"/>
      <c r="S1019" s="959"/>
      <c r="T1019" s="959"/>
      <c r="U1019" s="959"/>
      <c r="V1019" s="959"/>
      <c r="W1019" s="959"/>
      <c r="X1019" s="959"/>
      <c r="Y1019" s="959"/>
      <c r="Z1019" s="959"/>
      <c r="AA1019" s="959"/>
      <c r="AB1019" s="959"/>
      <c r="AC1019" s="959"/>
      <c r="AD1019" s="959"/>
      <c r="AE1019" s="959"/>
      <c r="AF1019" s="959"/>
      <c r="AG1019" s="959"/>
      <c r="AH1019" s="959"/>
      <c r="AI1019" s="959"/>
      <c r="AJ1019" s="959"/>
      <c r="AK1019" s="959"/>
      <c r="AL1019" s="959"/>
      <c r="AM1019" s="959"/>
    </row>
    <row r="1020" spans="3:39" x14ac:dyDescent="0.25">
      <c r="C1020" s="959"/>
      <c r="D1020" s="959"/>
      <c r="E1020" s="959"/>
      <c r="F1020" s="959"/>
      <c r="G1020" s="959"/>
      <c r="H1020" s="959"/>
      <c r="I1020" s="959"/>
      <c r="J1020" s="959"/>
      <c r="K1020" s="959"/>
      <c r="L1020" s="959"/>
      <c r="M1020" s="959"/>
      <c r="N1020" s="959"/>
      <c r="O1020" s="959"/>
      <c r="P1020" s="959"/>
      <c r="Q1020" s="959"/>
      <c r="R1020" s="959"/>
      <c r="S1020" s="959"/>
      <c r="T1020" s="959"/>
      <c r="U1020" s="959"/>
      <c r="V1020" s="959"/>
      <c r="W1020" s="959"/>
      <c r="X1020" s="959"/>
      <c r="Y1020" s="959"/>
      <c r="Z1020" s="959"/>
      <c r="AA1020" s="959"/>
      <c r="AB1020" s="959"/>
      <c r="AC1020" s="959"/>
      <c r="AD1020" s="959"/>
      <c r="AE1020" s="959"/>
      <c r="AF1020" s="959"/>
      <c r="AG1020" s="959"/>
      <c r="AH1020" s="959"/>
      <c r="AI1020" s="959"/>
      <c r="AJ1020" s="959"/>
      <c r="AK1020" s="959"/>
      <c r="AL1020" s="959"/>
      <c r="AM1020" s="959"/>
    </row>
    <row r="1021" spans="3:39" x14ac:dyDescent="0.25">
      <c r="C1021" s="959"/>
      <c r="D1021" s="959"/>
      <c r="E1021" s="959"/>
      <c r="F1021" s="959"/>
      <c r="G1021" s="959"/>
      <c r="H1021" s="959"/>
      <c r="I1021" s="959"/>
      <c r="J1021" s="959"/>
      <c r="K1021" s="959"/>
      <c r="L1021" s="959"/>
      <c r="M1021" s="959"/>
      <c r="N1021" s="959"/>
      <c r="O1021" s="959"/>
      <c r="P1021" s="959"/>
      <c r="Q1021" s="959"/>
      <c r="R1021" s="959"/>
      <c r="S1021" s="959"/>
      <c r="T1021" s="959"/>
      <c r="U1021" s="959"/>
      <c r="V1021" s="959"/>
      <c r="W1021" s="959"/>
      <c r="X1021" s="959"/>
      <c r="Y1021" s="959"/>
      <c r="Z1021" s="959"/>
      <c r="AA1021" s="959"/>
      <c r="AB1021" s="959"/>
      <c r="AC1021" s="959"/>
      <c r="AD1021" s="959"/>
      <c r="AE1021" s="959"/>
      <c r="AF1021" s="959"/>
      <c r="AG1021" s="959"/>
      <c r="AH1021" s="959"/>
      <c r="AI1021" s="959"/>
      <c r="AJ1021" s="959"/>
      <c r="AK1021" s="959"/>
      <c r="AL1021" s="959"/>
      <c r="AM1021" s="959"/>
    </row>
    <row r="1022" spans="3:39" x14ac:dyDescent="0.25">
      <c r="C1022" s="959"/>
      <c r="D1022" s="959"/>
      <c r="E1022" s="959"/>
      <c r="F1022" s="959"/>
      <c r="G1022" s="959"/>
      <c r="H1022" s="959"/>
      <c r="I1022" s="959"/>
      <c r="J1022" s="959"/>
      <c r="K1022" s="959"/>
      <c r="L1022" s="959"/>
      <c r="M1022" s="959"/>
      <c r="N1022" s="959"/>
      <c r="O1022" s="959"/>
      <c r="P1022" s="959"/>
      <c r="Q1022" s="959"/>
      <c r="R1022" s="959"/>
      <c r="S1022" s="959"/>
      <c r="T1022" s="959"/>
      <c r="U1022" s="959"/>
      <c r="V1022" s="959"/>
      <c r="W1022" s="959"/>
      <c r="X1022" s="959"/>
      <c r="Y1022" s="959"/>
      <c r="Z1022" s="959"/>
      <c r="AA1022" s="959"/>
      <c r="AB1022" s="959"/>
      <c r="AC1022" s="959"/>
      <c r="AD1022" s="959"/>
      <c r="AE1022" s="959"/>
      <c r="AF1022" s="959"/>
      <c r="AG1022" s="959"/>
      <c r="AH1022" s="959"/>
      <c r="AI1022" s="959"/>
      <c r="AJ1022" s="959"/>
      <c r="AK1022" s="959"/>
      <c r="AL1022" s="959"/>
      <c r="AM1022" s="959"/>
    </row>
    <row r="1023" spans="3:39" x14ac:dyDescent="0.25">
      <c r="C1023" s="959"/>
      <c r="D1023" s="959"/>
      <c r="E1023" s="959"/>
      <c r="F1023" s="959"/>
      <c r="G1023" s="959"/>
      <c r="H1023" s="959"/>
      <c r="I1023" s="959"/>
      <c r="J1023" s="959"/>
      <c r="K1023" s="959"/>
      <c r="L1023" s="959"/>
      <c r="M1023" s="959"/>
      <c r="N1023" s="959"/>
      <c r="O1023" s="959"/>
      <c r="P1023" s="959"/>
      <c r="Q1023" s="959"/>
      <c r="R1023" s="959"/>
      <c r="S1023" s="959"/>
      <c r="T1023" s="959"/>
      <c r="U1023" s="959"/>
      <c r="V1023" s="959"/>
      <c r="W1023" s="959"/>
      <c r="X1023" s="959"/>
      <c r="Y1023" s="959"/>
      <c r="Z1023" s="959"/>
      <c r="AA1023" s="959"/>
      <c r="AB1023" s="959"/>
      <c r="AC1023" s="959"/>
      <c r="AD1023" s="959"/>
      <c r="AE1023" s="959"/>
      <c r="AF1023" s="959"/>
      <c r="AG1023" s="959"/>
      <c r="AH1023" s="959"/>
      <c r="AI1023" s="959"/>
      <c r="AJ1023" s="959"/>
      <c r="AK1023" s="959"/>
      <c r="AL1023" s="959"/>
      <c r="AM1023" s="959"/>
    </row>
    <row r="1024" spans="3:39" x14ac:dyDescent="0.25">
      <c r="C1024" s="959"/>
      <c r="D1024" s="959"/>
      <c r="E1024" s="959"/>
      <c r="F1024" s="959"/>
      <c r="G1024" s="959"/>
      <c r="H1024" s="959"/>
      <c r="I1024" s="959"/>
      <c r="J1024" s="959"/>
      <c r="K1024" s="959"/>
      <c r="L1024" s="959"/>
      <c r="M1024" s="959"/>
      <c r="N1024" s="959"/>
      <c r="O1024" s="959"/>
      <c r="P1024" s="959"/>
      <c r="Q1024" s="959"/>
      <c r="R1024" s="959"/>
      <c r="S1024" s="959"/>
      <c r="T1024" s="959"/>
      <c r="U1024" s="959"/>
      <c r="V1024" s="959"/>
      <c r="W1024" s="959"/>
      <c r="X1024" s="959"/>
      <c r="Y1024" s="959"/>
      <c r="Z1024" s="959"/>
      <c r="AA1024" s="959"/>
      <c r="AB1024" s="959"/>
      <c r="AC1024" s="959"/>
      <c r="AD1024" s="959"/>
      <c r="AE1024" s="959"/>
      <c r="AF1024" s="959"/>
      <c r="AG1024" s="959"/>
      <c r="AH1024" s="959"/>
      <c r="AI1024" s="959"/>
      <c r="AJ1024" s="959"/>
      <c r="AK1024" s="959"/>
      <c r="AL1024" s="959"/>
      <c r="AM1024" s="959"/>
    </row>
    <row r="1025" spans="3:39" x14ac:dyDescent="0.25">
      <c r="C1025" s="959"/>
      <c r="D1025" s="959"/>
      <c r="E1025" s="959"/>
      <c r="F1025" s="959"/>
      <c r="G1025" s="959"/>
      <c r="H1025" s="959"/>
      <c r="I1025" s="959"/>
      <c r="J1025" s="959"/>
      <c r="K1025" s="959"/>
      <c r="L1025" s="959"/>
      <c r="M1025" s="959"/>
      <c r="N1025" s="959"/>
      <c r="O1025" s="959"/>
      <c r="P1025" s="959"/>
      <c r="Q1025" s="959"/>
      <c r="R1025" s="959"/>
      <c r="S1025" s="959"/>
      <c r="T1025" s="959"/>
      <c r="U1025" s="959"/>
      <c r="V1025" s="959"/>
      <c r="W1025" s="959"/>
      <c r="X1025" s="959"/>
      <c r="Y1025" s="959"/>
      <c r="Z1025" s="959"/>
      <c r="AA1025" s="959"/>
      <c r="AB1025" s="959"/>
      <c r="AC1025" s="959"/>
      <c r="AD1025" s="959"/>
      <c r="AE1025" s="959"/>
      <c r="AF1025" s="959"/>
      <c r="AG1025" s="959"/>
      <c r="AH1025" s="959"/>
      <c r="AI1025" s="959"/>
      <c r="AJ1025" s="959"/>
      <c r="AK1025" s="959"/>
      <c r="AL1025" s="959"/>
      <c r="AM1025" s="959"/>
    </row>
    <row r="1026" spans="3:39" x14ac:dyDescent="0.25">
      <c r="C1026" s="959"/>
      <c r="D1026" s="959"/>
      <c r="E1026" s="959"/>
      <c r="F1026" s="959"/>
      <c r="G1026" s="959"/>
      <c r="H1026" s="959"/>
      <c r="I1026" s="959"/>
      <c r="J1026" s="959"/>
      <c r="K1026" s="959"/>
      <c r="L1026" s="959"/>
      <c r="M1026" s="959"/>
      <c r="N1026" s="959"/>
      <c r="O1026" s="959"/>
      <c r="P1026" s="959"/>
      <c r="Q1026" s="959"/>
      <c r="R1026" s="959"/>
      <c r="S1026" s="959"/>
      <c r="T1026" s="959"/>
      <c r="U1026" s="959"/>
      <c r="V1026" s="959"/>
      <c r="W1026" s="959"/>
      <c r="X1026" s="959"/>
      <c r="Y1026" s="959"/>
      <c r="Z1026" s="959"/>
      <c r="AA1026" s="959"/>
      <c r="AB1026" s="959"/>
      <c r="AC1026" s="959"/>
      <c r="AD1026" s="959"/>
      <c r="AE1026" s="959"/>
      <c r="AF1026" s="959"/>
      <c r="AG1026" s="959"/>
      <c r="AH1026" s="959"/>
      <c r="AI1026" s="959"/>
      <c r="AJ1026" s="959"/>
      <c r="AK1026" s="959"/>
      <c r="AL1026" s="959"/>
      <c r="AM1026" s="959"/>
    </row>
    <row r="1027" spans="3:39" x14ac:dyDescent="0.25">
      <c r="C1027" s="959"/>
      <c r="D1027" s="959"/>
      <c r="E1027" s="959"/>
      <c r="F1027" s="959"/>
      <c r="G1027" s="959"/>
      <c r="H1027" s="959"/>
      <c r="I1027" s="959"/>
      <c r="J1027" s="959"/>
      <c r="K1027" s="959"/>
      <c r="L1027" s="959"/>
      <c r="M1027" s="959"/>
      <c r="N1027" s="959"/>
      <c r="O1027" s="959"/>
      <c r="P1027" s="959"/>
      <c r="Q1027" s="959"/>
      <c r="R1027" s="959"/>
      <c r="S1027" s="959"/>
      <c r="T1027" s="959"/>
      <c r="U1027" s="959"/>
      <c r="V1027" s="959"/>
      <c r="W1027" s="959"/>
      <c r="X1027" s="959"/>
      <c r="Y1027" s="959"/>
      <c r="Z1027" s="959"/>
      <c r="AA1027" s="959"/>
      <c r="AB1027" s="959"/>
      <c r="AC1027" s="959"/>
      <c r="AD1027" s="959"/>
      <c r="AE1027" s="959"/>
      <c r="AF1027" s="959"/>
      <c r="AG1027" s="959"/>
      <c r="AH1027" s="959"/>
      <c r="AI1027" s="959"/>
      <c r="AJ1027" s="959"/>
      <c r="AK1027" s="959"/>
      <c r="AL1027" s="959"/>
      <c r="AM1027" s="959"/>
    </row>
    <row r="1028" spans="3:39" x14ac:dyDescent="0.25">
      <c r="C1028" s="959"/>
      <c r="D1028" s="959"/>
      <c r="E1028" s="959"/>
      <c r="F1028" s="959"/>
      <c r="G1028" s="959"/>
      <c r="H1028" s="959"/>
      <c r="I1028" s="959"/>
      <c r="J1028" s="959"/>
      <c r="K1028" s="959"/>
      <c r="L1028" s="959"/>
      <c r="M1028" s="959"/>
      <c r="N1028" s="959"/>
      <c r="O1028" s="959"/>
      <c r="P1028" s="959"/>
      <c r="Q1028" s="959"/>
      <c r="R1028" s="959"/>
      <c r="S1028" s="959"/>
      <c r="T1028" s="959"/>
      <c r="U1028" s="959"/>
      <c r="V1028" s="959"/>
      <c r="W1028" s="959"/>
      <c r="X1028" s="959"/>
      <c r="Y1028" s="959"/>
      <c r="Z1028" s="959"/>
      <c r="AA1028" s="959"/>
      <c r="AB1028" s="959"/>
      <c r="AC1028" s="959"/>
      <c r="AD1028" s="959"/>
      <c r="AE1028" s="959"/>
      <c r="AF1028" s="959"/>
      <c r="AG1028" s="959"/>
      <c r="AH1028" s="959"/>
      <c r="AI1028" s="959"/>
      <c r="AJ1028" s="959"/>
      <c r="AK1028" s="959"/>
      <c r="AL1028" s="959"/>
      <c r="AM1028" s="959"/>
    </row>
    <row r="1029" spans="3:39" x14ac:dyDescent="0.25">
      <c r="C1029" s="959"/>
      <c r="D1029" s="959"/>
      <c r="E1029" s="959"/>
      <c r="F1029" s="959"/>
      <c r="G1029" s="959"/>
      <c r="H1029" s="959"/>
      <c r="I1029" s="959"/>
      <c r="J1029" s="959"/>
      <c r="K1029" s="959"/>
      <c r="L1029" s="959"/>
      <c r="M1029" s="959"/>
      <c r="N1029" s="959"/>
      <c r="O1029" s="959"/>
      <c r="P1029" s="959"/>
      <c r="Q1029" s="959"/>
      <c r="R1029" s="959"/>
      <c r="S1029" s="959"/>
      <c r="T1029" s="959"/>
      <c r="U1029" s="959"/>
      <c r="V1029" s="959"/>
      <c r="W1029" s="959"/>
      <c r="X1029" s="959"/>
      <c r="Y1029" s="959"/>
      <c r="Z1029" s="959"/>
      <c r="AA1029" s="959"/>
      <c r="AB1029" s="959"/>
      <c r="AC1029" s="959"/>
      <c r="AD1029" s="959"/>
      <c r="AE1029" s="959"/>
      <c r="AF1029" s="959"/>
      <c r="AG1029" s="959"/>
      <c r="AH1029" s="959"/>
      <c r="AI1029" s="959"/>
      <c r="AJ1029" s="959"/>
      <c r="AK1029" s="959"/>
      <c r="AL1029" s="959"/>
      <c r="AM1029" s="959"/>
    </row>
    <row r="1030" spans="3:39" x14ac:dyDescent="0.25">
      <c r="C1030" s="959"/>
      <c r="D1030" s="959"/>
      <c r="E1030" s="959"/>
      <c r="F1030" s="959"/>
      <c r="G1030" s="959"/>
      <c r="H1030" s="959"/>
      <c r="I1030" s="959"/>
      <c r="J1030" s="959"/>
      <c r="K1030" s="959"/>
      <c r="L1030" s="959"/>
      <c r="M1030" s="959"/>
      <c r="N1030" s="959"/>
      <c r="O1030" s="959"/>
      <c r="P1030" s="959"/>
      <c r="Q1030" s="959"/>
      <c r="R1030" s="959"/>
      <c r="S1030" s="959"/>
      <c r="T1030" s="959"/>
      <c r="U1030" s="959"/>
      <c r="V1030" s="959"/>
      <c r="W1030" s="959"/>
      <c r="X1030" s="959"/>
      <c r="Y1030" s="959"/>
      <c r="Z1030" s="959"/>
      <c r="AA1030" s="959"/>
      <c r="AB1030" s="959"/>
      <c r="AC1030" s="959"/>
      <c r="AD1030" s="959"/>
      <c r="AE1030" s="959"/>
      <c r="AF1030" s="959"/>
      <c r="AG1030" s="959"/>
      <c r="AH1030" s="959"/>
      <c r="AI1030" s="959"/>
      <c r="AJ1030" s="959"/>
      <c r="AK1030" s="959"/>
      <c r="AL1030" s="959"/>
      <c r="AM1030" s="959"/>
    </row>
    <row r="1031" spans="3:39" x14ac:dyDescent="0.25">
      <c r="C1031" s="959"/>
      <c r="D1031" s="959"/>
      <c r="E1031" s="959"/>
      <c r="F1031" s="959"/>
      <c r="G1031" s="959"/>
      <c r="H1031" s="959"/>
      <c r="I1031" s="959"/>
      <c r="J1031" s="959"/>
      <c r="K1031" s="959"/>
      <c r="L1031" s="959"/>
      <c r="M1031" s="959"/>
      <c r="N1031" s="959"/>
      <c r="O1031" s="959"/>
      <c r="P1031" s="959"/>
      <c r="Q1031" s="959"/>
      <c r="R1031" s="959"/>
      <c r="S1031" s="959"/>
      <c r="T1031" s="959"/>
      <c r="U1031" s="959"/>
      <c r="V1031" s="959"/>
      <c r="W1031" s="959"/>
      <c r="X1031" s="959"/>
      <c r="Y1031" s="959"/>
      <c r="Z1031" s="959"/>
      <c r="AA1031" s="959"/>
      <c r="AB1031" s="959"/>
      <c r="AC1031" s="959"/>
      <c r="AD1031" s="959"/>
      <c r="AE1031" s="959"/>
      <c r="AF1031" s="959"/>
      <c r="AG1031" s="959"/>
      <c r="AH1031" s="959"/>
      <c r="AI1031" s="959"/>
      <c r="AJ1031" s="959"/>
      <c r="AK1031" s="959"/>
      <c r="AL1031" s="959"/>
      <c r="AM1031" s="959"/>
    </row>
    <row r="1032" spans="3:39" x14ac:dyDescent="0.25">
      <c r="C1032" s="959"/>
      <c r="D1032" s="959"/>
      <c r="E1032" s="959"/>
      <c r="F1032" s="959"/>
      <c r="G1032" s="959"/>
      <c r="H1032" s="959"/>
      <c r="I1032" s="959"/>
      <c r="J1032" s="959"/>
      <c r="K1032" s="959"/>
      <c r="L1032" s="959"/>
      <c r="M1032" s="959"/>
      <c r="N1032" s="959"/>
      <c r="O1032" s="959"/>
      <c r="P1032" s="959"/>
      <c r="Q1032" s="959"/>
      <c r="R1032" s="959"/>
      <c r="S1032" s="959"/>
      <c r="T1032" s="959"/>
      <c r="U1032" s="959"/>
      <c r="V1032" s="959"/>
      <c r="W1032" s="959"/>
      <c r="X1032" s="959"/>
      <c r="Y1032" s="959"/>
      <c r="Z1032" s="959"/>
      <c r="AA1032" s="959"/>
      <c r="AB1032" s="959"/>
      <c r="AC1032" s="959"/>
      <c r="AD1032" s="959"/>
      <c r="AE1032" s="959"/>
      <c r="AF1032" s="959"/>
      <c r="AG1032" s="959"/>
      <c r="AH1032" s="959"/>
      <c r="AI1032" s="959"/>
      <c r="AJ1032" s="959"/>
      <c r="AK1032" s="959"/>
      <c r="AL1032" s="959"/>
      <c r="AM1032" s="959"/>
    </row>
    <row r="1033" spans="3:39" x14ac:dyDescent="0.25">
      <c r="C1033" s="959"/>
      <c r="D1033" s="959"/>
      <c r="E1033" s="959"/>
      <c r="F1033" s="959"/>
      <c r="G1033" s="959"/>
      <c r="H1033" s="959"/>
      <c r="I1033" s="959"/>
      <c r="J1033" s="959"/>
      <c r="K1033" s="959"/>
      <c r="L1033" s="959"/>
      <c r="M1033" s="959"/>
      <c r="N1033" s="959"/>
      <c r="O1033" s="959"/>
      <c r="P1033" s="959"/>
      <c r="Q1033" s="959"/>
      <c r="R1033" s="959"/>
      <c r="S1033" s="959"/>
      <c r="T1033" s="959"/>
      <c r="U1033" s="959"/>
      <c r="V1033" s="959"/>
      <c r="W1033" s="959"/>
      <c r="X1033" s="959"/>
      <c r="Y1033" s="959"/>
      <c r="Z1033" s="959"/>
      <c r="AA1033" s="959"/>
      <c r="AB1033" s="959"/>
      <c r="AC1033" s="959"/>
      <c r="AD1033" s="959"/>
      <c r="AE1033" s="959"/>
      <c r="AF1033" s="959"/>
      <c r="AG1033" s="959"/>
      <c r="AH1033" s="959"/>
      <c r="AI1033" s="959"/>
      <c r="AJ1033" s="959"/>
      <c r="AK1033" s="959"/>
      <c r="AL1033" s="959"/>
      <c r="AM1033" s="959"/>
    </row>
    <row r="1034" spans="3:39" x14ac:dyDescent="0.25">
      <c r="C1034" s="959"/>
      <c r="D1034" s="959"/>
      <c r="E1034" s="959"/>
      <c r="F1034" s="959"/>
      <c r="G1034" s="959"/>
      <c r="H1034" s="959"/>
      <c r="I1034" s="959"/>
      <c r="J1034" s="959"/>
      <c r="K1034" s="959"/>
      <c r="L1034" s="959"/>
      <c r="M1034" s="959"/>
      <c r="N1034" s="959"/>
      <c r="O1034" s="959"/>
      <c r="P1034" s="959"/>
      <c r="Q1034" s="959"/>
      <c r="R1034" s="959"/>
      <c r="S1034" s="959"/>
      <c r="T1034" s="959"/>
      <c r="U1034" s="959"/>
      <c r="V1034" s="959"/>
      <c r="W1034" s="959"/>
      <c r="X1034" s="959"/>
      <c r="Y1034" s="959"/>
      <c r="Z1034" s="959"/>
      <c r="AA1034" s="959"/>
      <c r="AB1034" s="959"/>
      <c r="AC1034" s="959"/>
      <c r="AD1034" s="959"/>
      <c r="AE1034" s="959"/>
      <c r="AF1034" s="959"/>
      <c r="AG1034" s="959"/>
      <c r="AH1034" s="959"/>
      <c r="AI1034" s="959"/>
      <c r="AJ1034" s="959"/>
      <c r="AK1034" s="959"/>
      <c r="AL1034" s="959"/>
      <c r="AM1034" s="959"/>
    </row>
    <row r="1035" spans="3:39" x14ac:dyDescent="0.25">
      <c r="C1035" s="959"/>
      <c r="D1035" s="959"/>
      <c r="E1035" s="959"/>
      <c r="F1035" s="959"/>
      <c r="G1035" s="959"/>
      <c r="H1035" s="959"/>
      <c r="I1035" s="959"/>
      <c r="J1035" s="959"/>
      <c r="K1035" s="959"/>
      <c r="L1035" s="959"/>
      <c r="M1035" s="959"/>
      <c r="N1035" s="959"/>
      <c r="O1035" s="959"/>
      <c r="P1035" s="959"/>
      <c r="Q1035" s="959"/>
      <c r="R1035" s="959"/>
      <c r="S1035" s="959"/>
      <c r="T1035" s="959"/>
      <c r="U1035" s="959"/>
      <c r="V1035" s="959"/>
      <c r="W1035" s="959"/>
      <c r="X1035" s="959"/>
      <c r="Y1035" s="959"/>
      <c r="Z1035" s="959"/>
      <c r="AA1035" s="959"/>
      <c r="AB1035" s="959"/>
      <c r="AC1035" s="959"/>
      <c r="AD1035" s="959"/>
      <c r="AE1035" s="959"/>
      <c r="AF1035" s="959"/>
      <c r="AG1035" s="959"/>
      <c r="AH1035" s="959"/>
      <c r="AI1035" s="959"/>
      <c r="AJ1035" s="959"/>
      <c r="AK1035" s="959"/>
      <c r="AL1035" s="959"/>
      <c r="AM1035" s="959"/>
    </row>
    <row r="1036" spans="3:39" x14ac:dyDescent="0.25">
      <c r="C1036" s="959"/>
      <c r="D1036" s="959"/>
      <c r="E1036" s="959"/>
      <c r="F1036" s="959"/>
      <c r="G1036" s="959"/>
      <c r="H1036" s="959"/>
      <c r="I1036" s="959"/>
      <c r="J1036" s="959"/>
      <c r="K1036" s="959"/>
      <c r="L1036" s="959"/>
      <c r="M1036" s="959"/>
      <c r="N1036" s="959"/>
      <c r="O1036" s="959"/>
      <c r="P1036" s="959"/>
      <c r="Q1036" s="959"/>
      <c r="R1036" s="959"/>
      <c r="S1036" s="959"/>
      <c r="T1036" s="959"/>
      <c r="U1036" s="959"/>
      <c r="V1036" s="959"/>
      <c r="W1036" s="959"/>
      <c r="X1036" s="959"/>
      <c r="Y1036" s="959"/>
      <c r="Z1036" s="959"/>
      <c r="AA1036" s="959"/>
      <c r="AB1036" s="959"/>
      <c r="AC1036" s="959"/>
      <c r="AD1036" s="959"/>
      <c r="AE1036" s="959"/>
      <c r="AF1036" s="959"/>
      <c r="AG1036" s="959"/>
      <c r="AH1036" s="959"/>
      <c r="AI1036" s="959"/>
      <c r="AJ1036" s="959"/>
      <c r="AK1036" s="959"/>
      <c r="AL1036" s="959"/>
      <c r="AM1036" s="959"/>
    </row>
    <row r="1037" spans="3:39" x14ac:dyDescent="0.25">
      <c r="C1037" s="959"/>
      <c r="D1037" s="959"/>
      <c r="E1037" s="959"/>
      <c r="F1037" s="959"/>
      <c r="G1037" s="959"/>
      <c r="H1037" s="959"/>
      <c r="I1037" s="959"/>
      <c r="J1037" s="959"/>
      <c r="K1037" s="959"/>
      <c r="L1037" s="959"/>
      <c r="M1037" s="959"/>
      <c r="N1037" s="959"/>
      <c r="O1037" s="959"/>
      <c r="P1037" s="959"/>
      <c r="Q1037" s="959"/>
      <c r="R1037" s="959"/>
      <c r="S1037" s="959"/>
      <c r="T1037" s="959"/>
      <c r="U1037" s="959"/>
      <c r="V1037" s="959"/>
      <c r="W1037" s="959"/>
      <c r="X1037" s="959"/>
      <c r="Y1037" s="959"/>
      <c r="Z1037" s="959"/>
      <c r="AA1037" s="959"/>
      <c r="AB1037" s="959"/>
      <c r="AC1037" s="959"/>
      <c r="AD1037" s="959"/>
      <c r="AE1037" s="959"/>
      <c r="AF1037" s="959"/>
      <c r="AG1037" s="959"/>
      <c r="AH1037" s="959"/>
      <c r="AI1037" s="959"/>
      <c r="AJ1037" s="959"/>
      <c r="AK1037" s="959"/>
      <c r="AL1037" s="959"/>
      <c r="AM1037" s="959"/>
    </row>
    <row r="1038" spans="3:39" x14ac:dyDescent="0.25">
      <c r="C1038" s="959"/>
      <c r="D1038" s="959"/>
      <c r="E1038" s="959"/>
      <c r="F1038" s="959"/>
      <c r="G1038" s="959"/>
      <c r="H1038" s="959"/>
      <c r="I1038" s="959"/>
      <c r="J1038" s="959"/>
      <c r="K1038" s="959"/>
      <c r="L1038" s="959"/>
      <c r="M1038" s="959"/>
      <c r="N1038" s="959"/>
      <c r="O1038" s="959"/>
      <c r="P1038" s="959"/>
      <c r="Q1038" s="959"/>
      <c r="R1038" s="959"/>
      <c r="S1038" s="959"/>
      <c r="T1038" s="959"/>
      <c r="U1038" s="959"/>
      <c r="V1038" s="959"/>
      <c r="W1038" s="959"/>
      <c r="X1038" s="959"/>
      <c r="Y1038" s="959"/>
      <c r="Z1038" s="959"/>
      <c r="AA1038" s="959"/>
      <c r="AB1038" s="959"/>
      <c r="AC1038" s="959"/>
      <c r="AD1038" s="959"/>
      <c r="AE1038" s="959"/>
      <c r="AF1038" s="959"/>
      <c r="AG1038" s="959"/>
      <c r="AH1038" s="959"/>
      <c r="AI1038" s="959"/>
      <c r="AJ1038" s="959"/>
      <c r="AK1038" s="959"/>
      <c r="AL1038" s="959"/>
      <c r="AM1038" s="959"/>
    </row>
    <row r="1039" spans="3:39" x14ac:dyDescent="0.25">
      <c r="C1039" s="959"/>
      <c r="D1039" s="959"/>
      <c r="E1039" s="959"/>
      <c r="F1039" s="959"/>
      <c r="G1039" s="959"/>
      <c r="H1039" s="959"/>
      <c r="I1039" s="959"/>
      <c r="J1039" s="959"/>
      <c r="K1039" s="959"/>
      <c r="L1039" s="959"/>
      <c r="M1039" s="959"/>
      <c r="N1039" s="959"/>
      <c r="O1039" s="959"/>
      <c r="P1039" s="959"/>
      <c r="Q1039" s="959"/>
      <c r="R1039" s="959"/>
      <c r="S1039" s="959"/>
      <c r="T1039" s="959"/>
      <c r="U1039" s="959"/>
      <c r="V1039" s="959"/>
      <c r="W1039" s="959"/>
      <c r="X1039" s="959"/>
      <c r="Y1039" s="959"/>
      <c r="Z1039" s="959"/>
      <c r="AA1039" s="959"/>
      <c r="AB1039" s="959"/>
      <c r="AC1039" s="959"/>
      <c r="AD1039" s="959"/>
      <c r="AE1039" s="959"/>
      <c r="AF1039" s="959"/>
      <c r="AG1039" s="959"/>
      <c r="AH1039" s="959"/>
      <c r="AI1039" s="959"/>
      <c r="AJ1039" s="959"/>
      <c r="AK1039" s="959"/>
      <c r="AL1039" s="959"/>
      <c r="AM1039" s="959"/>
    </row>
    <row r="1040" spans="3:39" x14ac:dyDescent="0.25">
      <c r="C1040" s="959"/>
      <c r="D1040" s="959"/>
      <c r="E1040" s="959"/>
      <c r="F1040" s="959"/>
      <c r="G1040" s="959"/>
      <c r="H1040" s="959"/>
      <c r="I1040" s="959"/>
      <c r="J1040" s="959"/>
      <c r="K1040" s="959"/>
      <c r="L1040" s="959"/>
      <c r="M1040" s="959"/>
      <c r="N1040" s="959"/>
      <c r="O1040" s="959"/>
      <c r="P1040" s="959"/>
      <c r="Q1040" s="959"/>
      <c r="R1040" s="959"/>
      <c r="S1040" s="959"/>
      <c r="T1040" s="959"/>
      <c r="U1040" s="959"/>
      <c r="V1040" s="959"/>
      <c r="W1040" s="959"/>
      <c r="X1040" s="959"/>
      <c r="Y1040" s="959"/>
      <c r="Z1040" s="959"/>
      <c r="AA1040" s="959"/>
      <c r="AB1040" s="959"/>
      <c r="AC1040" s="959"/>
      <c r="AD1040" s="959"/>
      <c r="AE1040" s="959"/>
      <c r="AF1040" s="959"/>
      <c r="AG1040" s="959"/>
      <c r="AH1040" s="959"/>
      <c r="AI1040" s="959"/>
      <c r="AJ1040" s="959"/>
      <c r="AK1040" s="959"/>
      <c r="AL1040" s="959"/>
      <c r="AM1040" s="959"/>
    </row>
    <row r="1041" spans="3:39" x14ac:dyDescent="0.25">
      <c r="C1041" s="959"/>
      <c r="D1041" s="959"/>
      <c r="E1041" s="959"/>
      <c r="F1041" s="959"/>
      <c r="G1041" s="959"/>
      <c r="H1041" s="959"/>
      <c r="I1041" s="959"/>
      <c r="J1041" s="959"/>
      <c r="K1041" s="959"/>
      <c r="L1041" s="959"/>
      <c r="M1041" s="959"/>
      <c r="N1041" s="959"/>
      <c r="O1041" s="959"/>
      <c r="P1041" s="959"/>
      <c r="Q1041" s="959"/>
      <c r="R1041" s="959"/>
      <c r="S1041" s="959"/>
      <c r="T1041" s="959"/>
      <c r="U1041" s="959"/>
      <c r="V1041" s="959"/>
      <c r="W1041" s="959"/>
      <c r="X1041" s="959"/>
      <c r="Y1041" s="959"/>
      <c r="Z1041" s="959"/>
      <c r="AA1041" s="959"/>
      <c r="AB1041" s="959"/>
      <c r="AC1041" s="959"/>
      <c r="AD1041" s="959"/>
      <c r="AE1041" s="959"/>
      <c r="AF1041" s="959"/>
      <c r="AG1041" s="959"/>
      <c r="AH1041" s="959"/>
      <c r="AI1041" s="959"/>
      <c r="AJ1041" s="959"/>
      <c r="AK1041" s="959"/>
      <c r="AL1041" s="959"/>
      <c r="AM1041" s="959"/>
    </row>
    <row r="1042" spans="3:39" x14ac:dyDescent="0.25">
      <c r="C1042" s="959"/>
      <c r="D1042" s="959"/>
      <c r="E1042" s="959"/>
      <c r="F1042" s="959"/>
      <c r="G1042" s="959"/>
      <c r="H1042" s="959"/>
      <c r="I1042" s="959"/>
      <c r="J1042" s="959"/>
      <c r="K1042" s="959"/>
      <c r="L1042" s="959"/>
      <c r="M1042" s="959"/>
      <c r="N1042" s="959"/>
      <c r="O1042" s="959"/>
      <c r="P1042" s="959"/>
      <c r="Q1042" s="959"/>
      <c r="R1042" s="959"/>
      <c r="S1042" s="959"/>
      <c r="T1042" s="959"/>
      <c r="U1042" s="959"/>
      <c r="V1042" s="959"/>
      <c r="W1042" s="959"/>
      <c r="X1042" s="959"/>
      <c r="Y1042" s="959"/>
      <c r="Z1042" s="959"/>
      <c r="AA1042" s="959"/>
      <c r="AB1042" s="959"/>
      <c r="AC1042" s="959"/>
      <c r="AD1042" s="959"/>
      <c r="AE1042" s="959"/>
      <c r="AF1042" s="959"/>
      <c r="AG1042" s="959"/>
      <c r="AH1042" s="959"/>
      <c r="AI1042" s="959"/>
      <c r="AJ1042" s="959"/>
      <c r="AK1042" s="959"/>
      <c r="AL1042" s="959"/>
      <c r="AM1042" s="959"/>
    </row>
    <row r="1043" spans="3:39" x14ac:dyDescent="0.25">
      <c r="C1043" s="959"/>
      <c r="D1043" s="959"/>
      <c r="E1043" s="959"/>
      <c r="F1043" s="959"/>
      <c r="G1043" s="959"/>
      <c r="H1043" s="959"/>
      <c r="I1043" s="959"/>
      <c r="J1043" s="959"/>
      <c r="K1043" s="959"/>
      <c r="L1043" s="959"/>
      <c r="M1043" s="959"/>
      <c r="N1043" s="959"/>
      <c r="O1043" s="959"/>
      <c r="P1043" s="959"/>
      <c r="Q1043" s="959"/>
      <c r="R1043" s="959"/>
      <c r="S1043" s="959"/>
      <c r="T1043" s="959"/>
      <c r="U1043" s="959"/>
      <c r="V1043" s="959"/>
      <c r="W1043" s="959"/>
      <c r="X1043" s="959"/>
      <c r="Y1043" s="959"/>
      <c r="Z1043" s="959"/>
      <c r="AA1043" s="959"/>
      <c r="AB1043" s="959"/>
      <c r="AC1043" s="959"/>
      <c r="AD1043" s="959"/>
      <c r="AE1043" s="959"/>
      <c r="AF1043" s="959"/>
      <c r="AG1043" s="959"/>
      <c r="AH1043" s="959"/>
      <c r="AI1043" s="959"/>
      <c r="AJ1043" s="959"/>
      <c r="AK1043" s="959"/>
      <c r="AL1043" s="959"/>
      <c r="AM1043" s="959"/>
    </row>
    <row r="1044" spans="3:39" x14ac:dyDescent="0.25">
      <c r="C1044" s="959"/>
      <c r="D1044" s="959"/>
      <c r="E1044" s="959"/>
      <c r="F1044" s="959"/>
      <c r="G1044" s="959"/>
      <c r="H1044" s="959"/>
      <c r="I1044" s="959"/>
      <c r="J1044" s="959"/>
      <c r="K1044" s="959"/>
      <c r="L1044" s="959"/>
      <c r="M1044" s="959"/>
      <c r="N1044" s="959"/>
      <c r="O1044" s="959"/>
      <c r="P1044" s="959"/>
      <c r="Q1044" s="959"/>
      <c r="R1044" s="959"/>
      <c r="S1044" s="959"/>
      <c r="T1044" s="959"/>
      <c r="U1044" s="959"/>
      <c r="V1044" s="959"/>
      <c r="W1044" s="959"/>
      <c r="X1044" s="959"/>
      <c r="Y1044" s="959"/>
      <c r="Z1044" s="959"/>
      <c r="AA1044" s="959"/>
      <c r="AB1044" s="959"/>
      <c r="AC1044" s="959"/>
      <c r="AD1044" s="959"/>
      <c r="AE1044" s="959"/>
      <c r="AF1044" s="959"/>
      <c r="AG1044" s="959"/>
      <c r="AH1044" s="959"/>
      <c r="AI1044" s="959"/>
      <c r="AJ1044" s="959"/>
      <c r="AK1044" s="959"/>
      <c r="AL1044" s="959"/>
      <c r="AM1044" s="959"/>
    </row>
    <row r="1045" spans="3:39" x14ac:dyDescent="0.25">
      <c r="C1045" s="959"/>
      <c r="D1045" s="959"/>
      <c r="E1045" s="959"/>
      <c r="F1045" s="959"/>
      <c r="G1045" s="959"/>
      <c r="H1045" s="959"/>
      <c r="I1045" s="959"/>
      <c r="J1045" s="959"/>
      <c r="K1045" s="959"/>
      <c r="L1045" s="959"/>
      <c r="M1045" s="959"/>
      <c r="N1045" s="959"/>
      <c r="O1045" s="959"/>
      <c r="P1045" s="959"/>
      <c r="Q1045" s="959"/>
      <c r="R1045" s="959"/>
      <c r="S1045" s="959"/>
      <c r="T1045" s="959"/>
      <c r="U1045" s="959"/>
      <c r="V1045" s="959"/>
      <c r="W1045" s="959"/>
      <c r="X1045" s="959"/>
      <c r="Y1045" s="959"/>
      <c r="Z1045" s="959"/>
      <c r="AA1045" s="959"/>
      <c r="AB1045" s="959"/>
      <c r="AC1045" s="959"/>
      <c r="AD1045" s="959"/>
      <c r="AE1045" s="959"/>
      <c r="AF1045" s="959"/>
      <c r="AG1045" s="959"/>
      <c r="AH1045" s="959"/>
      <c r="AI1045" s="959"/>
      <c r="AJ1045" s="959"/>
      <c r="AK1045" s="959"/>
      <c r="AL1045" s="959"/>
      <c r="AM1045" s="959"/>
    </row>
    <row r="1046" spans="3:39" x14ac:dyDescent="0.25">
      <c r="C1046" s="959"/>
      <c r="D1046" s="959"/>
      <c r="E1046" s="959"/>
      <c r="F1046" s="959"/>
      <c r="G1046" s="959"/>
      <c r="H1046" s="959"/>
      <c r="I1046" s="959"/>
      <c r="J1046" s="959"/>
      <c r="K1046" s="959"/>
      <c r="L1046" s="959"/>
      <c r="M1046" s="959"/>
      <c r="N1046" s="959"/>
      <c r="O1046" s="959"/>
      <c r="P1046" s="959"/>
      <c r="Q1046" s="959"/>
      <c r="R1046" s="959"/>
      <c r="S1046" s="959"/>
      <c r="T1046" s="959"/>
      <c r="U1046" s="959"/>
      <c r="V1046" s="959"/>
      <c r="W1046" s="959"/>
      <c r="X1046" s="959"/>
      <c r="Y1046" s="959"/>
      <c r="Z1046" s="959"/>
      <c r="AA1046" s="959"/>
      <c r="AB1046" s="959"/>
      <c r="AC1046" s="959"/>
      <c r="AD1046" s="959"/>
      <c r="AE1046" s="959"/>
      <c r="AF1046" s="959"/>
      <c r="AG1046" s="959"/>
      <c r="AH1046" s="959"/>
      <c r="AI1046" s="959"/>
      <c r="AJ1046" s="959"/>
      <c r="AK1046" s="959"/>
      <c r="AL1046" s="959"/>
      <c r="AM1046" s="959"/>
    </row>
    <row r="1047" spans="3:39" x14ac:dyDescent="0.25">
      <c r="C1047" s="959"/>
      <c r="D1047" s="959"/>
      <c r="E1047" s="959"/>
      <c r="F1047" s="959"/>
      <c r="G1047" s="959"/>
      <c r="H1047" s="959"/>
      <c r="I1047" s="959"/>
      <c r="J1047" s="959"/>
      <c r="K1047" s="959"/>
      <c r="L1047" s="959"/>
      <c r="M1047" s="959"/>
      <c r="N1047" s="959"/>
      <c r="O1047" s="959"/>
      <c r="P1047" s="959"/>
      <c r="Q1047" s="959"/>
      <c r="R1047" s="959"/>
      <c r="S1047" s="959"/>
      <c r="T1047" s="959"/>
      <c r="U1047" s="959"/>
      <c r="V1047" s="959"/>
      <c r="W1047" s="959"/>
      <c r="X1047" s="959"/>
      <c r="Y1047" s="959"/>
      <c r="Z1047" s="959"/>
      <c r="AA1047" s="959"/>
      <c r="AB1047" s="959"/>
      <c r="AC1047" s="959"/>
      <c r="AD1047" s="959"/>
      <c r="AE1047" s="959"/>
      <c r="AF1047" s="959"/>
      <c r="AG1047" s="959"/>
      <c r="AH1047" s="959"/>
      <c r="AI1047" s="959"/>
      <c r="AJ1047" s="959"/>
      <c r="AK1047" s="959"/>
      <c r="AL1047" s="959"/>
      <c r="AM1047" s="959"/>
    </row>
    <row r="1048" spans="3:39" x14ac:dyDescent="0.25">
      <c r="C1048" s="959"/>
      <c r="D1048" s="959"/>
      <c r="E1048" s="959"/>
      <c r="F1048" s="959"/>
      <c r="G1048" s="959"/>
      <c r="H1048" s="959"/>
      <c r="I1048" s="959"/>
      <c r="J1048" s="959"/>
      <c r="K1048" s="959"/>
      <c r="L1048" s="959"/>
      <c r="M1048" s="959"/>
      <c r="N1048" s="959"/>
      <c r="O1048" s="959"/>
      <c r="P1048" s="959"/>
      <c r="Q1048" s="959"/>
      <c r="R1048" s="959"/>
      <c r="S1048" s="959"/>
      <c r="T1048" s="959"/>
      <c r="U1048" s="959"/>
      <c r="V1048" s="959"/>
      <c r="W1048" s="959"/>
      <c r="X1048" s="959"/>
      <c r="Y1048" s="959"/>
      <c r="Z1048" s="959"/>
      <c r="AA1048" s="959"/>
      <c r="AB1048" s="959"/>
      <c r="AC1048" s="959"/>
      <c r="AD1048" s="959"/>
      <c r="AE1048" s="959"/>
      <c r="AF1048" s="959"/>
      <c r="AG1048" s="959"/>
      <c r="AH1048" s="959"/>
      <c r="AI1048" s="959"/>
      <c r="AJ1048" s="959"/>
      <c r="AK1048" s="959"/>
      <c r="AL1048" s="959"/>
      <c r="AM1048" s="959"/>
    </row>
    <row r="1049" spans="3:39" x14ac:dyDescent="0.25">
      <c r="C1049" s="959"/>
      <c r="D1049" s="959"/>
      <c r="E1049" s="959"/>
      <c r="F1049" s="959"/>
      <c r="G1049" s="959"/>
      <c r="H1049" s="959"/>
      <c r="I1049" s="959"/>
      <c r="J1049" s="959"/>
      <c r="K1049" s="959"/>
      <c r="L1049" s="959"/>
      <c r="M1049" s="959"/>
      <c r="N1049" s="959"/>
      <c r="O1049" s="959"/>
      <c r="P1049" s="959"/>
      <c r="Q1049" s="959"/>
      <c r="R1049" s="959"/>
      <c r="S1049" s="959"/>
      <c r="T1049" s="959"/>
      <c r="U1049" s="959"/>
      <c r="V1049" s="959"/>
      <c r="W1049" s="959"/>
      <c r="X1049" s="959"/>
      <c r="Y1049" s="959"/>
      <c r="Z1049" s="959"/>
      <c r="AA1049" s="959"/>
      <c r="AB1049" s="959"/>
      <c r="AC1049" s="959"/>
      <c r="AD1049" s="959"/>
      <c r="AE1049" s="959"/>
      <c r="AF1049" s="959"/>
      <c r="AG1049" s="959"/>
      <c r="AH1049" s="959"/>
      <c r="AI1049" s="959"/>
      <c r="AJ1049" s="959"/>
      <c r="AK1049" s="959"/>
      <c r="AL1049" s="959"/>
      <c r="AM1049" s="959"/>
    </row>
    <row r="1050" spans="3:39" x14ac:dyDescent="0.25">
      <c r="C1050" s="959"/>
      <c r="D1050" s="959"/>
      <c r="E1050" s="959"/>
      <c r="F1050" s="959"/>
      <c r="G1050" s="959"/>
      <c r="H1050" s="959"/>
      <c r="I1050" s="959"/>
      <c r="J1050" s="959"/>
      <c r="K1050" s="959"/>
      <c r="L1050" s="959"/>
      <c r="M1050" s="959"/>
      <c r="N1050" s="959"/>
      <c r="O1050" s="959"/>
      <c r="P1050" s="959"/>
      <c r="Q1050" s="959"/>
      <c r="R1050" s="959"/>
      <c r="S1050" s="959"/>
      <c r="T1050" s="959"/>
      <c r="U1050" s="959"/>
      <c r="V1050" s="959"/>
      <c r="W1050" s="959"/>
      <c r="X1050" s="959"/>
      <c r="Y1050" s="959"/>
      <c r="Z1050" s="959"/>
      <c r="AA1050" s="959"/>
      <c r="AB1050" s="959"/>
      <c r="AC1050" s="959"/>
      <c r="AD1050" s="959"/>
      <c r="AE1050" s="959"/>
      <c r="AF1050" s="959"/>
      <c r="AG1050" s="959"/>
      <c r="AH1050" s="959"/>
      <c r="AI1050" s="959"/>
      <c r="AJ1050" s="959"/>
      <c r="AK1050" s="959"/>
      <c r="AL1050" s="959"/>
      <c r="AM1050" s="959"/>
    </row>
    <row r="1051" spans="3:39" x14ac:dyDescent="0.25">
      <c r="C1051" s="959"/>
      <c r="D1051" s="959"/>
      <c r="E1051" s="959"/>
      <c r="F1051" s="959"/>
      <c r="G1051" s="959"/>
      <c r="H1051" s="959"/>
      <c r="I1051" s="959"/>
      <c r="J1051" s="959"/>
      <c r="K1051" s="959"/>
      <c r="L1051" s="959"/>
      <c r="M1051" s="959"/>
      <c r="N1051" s="959"/>
      <c r="O1051" s="959"/>
      <c r="P1051" s="959"/>
      <c r="Q1051" s="959"/>
      <c r="R1051" s="959"/>
      <c r="S1051" s="959"/>
      <c r="T1051" s="959"/>
      <c r="U1051" s="959"/>
      <c r="V1051" s="959"/>
      <c r="W1051" s="959"/>
      <c r="X1051" s="959"/>
      <c r="Y1051" s="959"/>
      <c r="Z1051" s="959"/>
      <c r="AA1051" s="959"/>
      <c r="AB1051" s="959"/>
      <c r="AC1051" s="959"/>
      <c r="AD1051" s="959"/>
      <c r="AE1051" s="959"/>
      <c r="AF1051" s="959"/>
      <c r="AG1051" s="959"/>
      <c r="AH1051" s="959"/>
      <c r="AI1051" s="959"/>
      <c r="AJ1051" s="959"/>
      <c r="AK1051" s="959"/>
      <c r="AL1051" s="959"/>
      <c r="AM1051" s="959"/>
    </row>
    <row r="1052" spans="3:39" x14ac:dyDescent="0.25">
      <c r="C1052" s="959"/>
      <c r="D1052" s="959"/>
      <c r="E1052" s="959"/>
      <c r="F1052" s="959"/>
      <c r="G1052" s="959"/>
      <c r="H1052" s="959"/>
      <c r="I1052" s="959"/>
      <c r="J1052" s="959"/>
      <c r="K1052" s="959"/>
      <c r="L1052" s="959"/>
      <c r="M1052" s="959"/>
      <c r="N1052" s="959"/>
      <c r="O1052" s="959"/>
      <c r="P1052" s="959"/>
      <c r="Q1052" s="959"/>
      <c r="R1052" s="959"/>
      <c r="S1052" s="959"/>
      <c r="T1052" s="959"/>
      <c r="U1052" s="959"/>
      <c r="V1052" s="959"/>
      <c r="W1052" s="959"/>
      <c r="X1052" s="959"/>
      <c r="Y1052" s="959"/>
      <c r="Z1052" s="959"/>
      <c r="AA1052" s="959"/>
      <c r="AB1052" s="959"/>
      <c r="AC1052" s="959"/>
      <c r="AD1052" s="959"/>
      <c r="AE1052" s="959"/>
      <c r="AF1052" s="959"/>
      <c r="AG1052" s="959"/>
      <c r="AH1052" s="959"/>
      <c r="AI1052" s="959"/>
      <c r="AJ1052" s="959"/>
      <c r="AK1052" s="959"/>
      <c r="AL1052" s="959"/>
      <c r="AM1052" s="959"/>
    </row>
    <row r="1053" spans="3:39" x14ac:dyDescent="0.25">
      <c r="C1053" s="959"/>
      <c r="D1053" s="959"/>
      <c r="E1053" s="959"/>
      <c r="F1053" s="959"/>
      <c r="G1053" s="959"/>
      <c r="H1053" s="959"/>
      <c r="I1053" s="959"/>
      <c r="J1053" s="959"/>
      <c r="K1053" s="959"/>
      <c r="L1053" s="959"/>
      <c r="M1053" s="959"/>
      <c r="N1053" s="959"/>
      <c r="O1053" s="959"/>
      <c r="P1053" s="959"/>
      <c r="Q1053" s="959"/>
      <c r="R1053" s="959"/>
      <c r="S1053" s="959"/>
      <c r="T1053" s="959"/>
      <c r="U1053" s="959"/>
      <c r="V1053" s="959"/>
      <c r="W1053" s="959"/>
      <c r="X1053" s="959"/>
      <c r="Y1053" s="959"/>
      <c r="Z1053" s="959"/>
      <c r="AA1053" s="959"/>
      <c r="AB1053" s="959"/>
      <c r="AC1053" s="959"/>
      <c r="AD1053" s="959"/>
      <c r="AE1053" s="959"/>
      <c r="AF1053" s="959"/>
      <c r="AG1053" s="959"/>
      <c r="AH1053" s="959"/>
      <c r="AI1053" s="959"/>
      <c r="AJ1053" s="959"/>
      <c r="AK1053" s="959"/>
      <c r="AL1053" s="959"/>
      <c r="AM1053" s="959"/>
    </row>
    <row r="1054" spans="3:39" x14ac:dyDescent="0.25">
      <c r="C1054" s="959"/>
      <c r="D1054" s="959"/>
      <c r="E1054" s="959"/>
      <c r="F1054" s="959"/>
      <c r="G1054" s="959"/>
      <c r="H1054" s="959"/>
      <c r="I1054" s="959"/>
      <c r="J1054" s="959"/>
      <c r="K1054" s="959"/>
      <c r="L1054" s="959"/>
      <c r="M1054" s="959"/>
      <c r="N1054" s="959"/>
      <c r="O1054" s="959"/>
      <c r="P1054" s="959"/>
      <c r="Q1054" s="959"/>
      <c r="R1054" s="959"/>
      <c r="S1054" s="959"/>
      <c r="T1054" s="959"/>
      <c r="U1054" s="959"/>
      <c r="V1054" s="959"/>
      <c r="W1054" s="959"/>
      <c r="X1054" s="959"/>
      <c r="Y1054" s="959"/>
      <c r="Z1054" s="959"/>
      <c r="AA1054" s="959"/>
      <c r="AB1054" s="959"/>
      <c r="AC1054" s="959"/>
      <c r="AD1054" s="959"/>
      <c r="AE1054" s="959"/>
      <c r="AF1054" s="959"/>
      <c r="AG1054" s="959"/>
      <c r="AH1054" s="959"/>
      <c r="AI1054" s="959"/>
      <c r="AJ1054" s="959"/>
      <c r="AK1054" s="959"/>
      <c r="AL1054" s="959"/>
      <c r="AM1054" s="959"/>
    </row>
    <row r="1055" spans="3:39" x14ac:dyDescent="0.25">
      <c r="C1055" s="959"/>
      <c r="D1055" s="959"/>
      <c r="E1055" s="959"/>
      <c r="F1055" s="959"/>
      <c r="G1055" s="959"/>
      <c r="H1055" s="959"/>
      <c r="I1055" s="959"/>
      <c r="J1055" s="959"/>
      <c r="K1055" s="959"/>
      <c r="L1055" s="959"/>
      <c r="M1055" s="959"/>
      <c r="N1055" s="959"/>
      <c r="O1055" s="959"/>
      <c r="P1055" s="959"/>
      <c r="Q1055" s="959"/>
      <c r="R1055" s="959"/>
      <c r="S1055" s="959"/>
      <c r="T1055" s="959"/>
      <c r="U1055" s="959"/>
      <c r="V1055" s="959"/>
      <c r="W1055" s="959"/>
      <c r="X1055" s="959"/>
      <c r="Y1055" s="959"/>
      <c r="Z1055" s="959"/>
      <c r="AA1055" s="959"/>
      <c r="AB1055" s="959"/>
      <c r="AC1055" s="959"/>
      <c r="AD1055" s="959"/>
      <c r="AE1055" s="959"/>
      <c r="AF1055" s="959"/>
      <c r="AG1055" s="959"/>
      <c r="AH1055" s="959"/>
      <c r="AI1055" s="959"/>
      <c r="AJ1055" s="959"/>
      <c r="AK1055" s="959"/>
      <c r="AL1055" s="959"/>
      <c r="AM1055" s="959"/>
    </row>
    <row r="1056" spans="3:39" x14ac:dyDescent="0.25">
      <c r="C1056" s="959"/>
      <c r="D1056" s="959"/>
      <c r="E1056" s="959"/>
      <c r="F1056" s="959"/>
      <c r="G1056" s="959"/>
      <c r="H1056" s="959"/>
      <c r="I1056" s="959"/>
      <c r="J1056" s="959"/>
      <c r="K1056" s="959"/>
      <c r="L1056" s="959"/>
      <c r="M1056" s="959"/>
      <c r="N1056" s="959"/>
      <c r="O1056" s="959"/>
      <c r="P1056" s="959"/>
      <c r="Q1056" s="959"/>
      <c r="R1056" s="959"/>
      <c r="S1056" s="959"/>
      <c r="T1056" s="959"/>
      <c r="U1056" s="959"/>
      <c r="V1056" s="959"/>
      <c r="W1056" s="959"/>
      <c r="X1056" s="959"/>
      <c r="Y1056" s="959"/>
      <c r="Z1056" s="959"/>
      <c r="AA1056" s="959"/>
      <c r="AB1056" s="959"/>
      <c r="AC1056" s="959"/>
      <c r="AD1056" s="959"/>
      <c r="AE1056" s="959"/>
      <c r="AF1056" s="959"/>
      <c r="AG1056" s="959"/>
      <c r="AH1056" s="959"/>
      <c r="AI1056" s="959"/>
      <c r="AJ1056" s="959"/>
      <c r="AK1056" s="959"/>
      <c r="AL1056" s="959"/>
      <c r="AM1056" s="959"/>
    </row>
    <row r="1057" spans="3:39" x14ac:dyDescent="0.25">
      <c r="C1057" s="959"/>
      <c r="D1057" s="959"/>
      <c r="E1057" s="959"/>
      <c r="F1057" s="959"/>
      <c r="G1057" s="959"/>
      <c r="H1057" s="959"/>
      <c r="I1057" s="959"/>
      <c r="J1057" s="959"/>
      <c r="K1057" s="959"/>
      <c r="L1057" s="959"/>
      <c r="M1057" s="959"/>
      <c r="N1057" s="959"/>
      <c r="O1057" s="959"/>
      <c r="P1057" s="959"/>
      <c r="Q1057" s="959"/>
      <c r="R1057" s="959"/>
      <c r="S1057" s="959"/>
      <c r="T1057" s="959"/>
      <c r="U1057" s="959"/>
      <c r="V1057" s="959"/>
      <c r="W1057" s="959"/>
      <c r="X1057" s="959"/>
      <c r="Y1057" s="959"/>
      <c r="Z1057" s="959"/>
      <c r="AA1057" s="959"/>
      <c r="AB1057" s="959"/>
      <c r="AC1057" s="959"/>
      <c r="AD1057" s="959"/>
      <c r="AE1057" s="959"/>
      <c r="AF1057" s="959"/>
      <c r="AG1057" s="959"/>
      <c r="AH1057" s="959"/>
      <c r="AI1057" s="959"/>
      <c r="AJ1057" s="959"/>
      <c r="AK1057" s="959"/>
      <c r="AL1057" s="959"/>
      <c r="AM1057" s="959"/>
    </row>
    <row r="1058" spans="3:39" x14ac:dyDescent="0.25">
      <c r="C1058" s="959"/>
      <c r="D1058" s="959"/>
      <c r="E1058" s="959"/>
      <c r="F1058" s="959"/>
      <c r="G1058" s="959"/>
      <c r="H1058" s="959"/>
      <c r="I1058" s="959"/>
      <c r="J1058" s="959"/>
      <c r="K1058" s="959"/>
      <c r="L1058" s="959"/>
      <c r="M1058" s="959"/>
      <c r="N1058" s="959"/>
      <c r="O1058" s="959"/>
      <c r="P1058" s="959"/>
      <c r="Q1058" s="959"/>
      <c r="R1058" s="959"/>
      <c r="S1058" s="959"/>
      <c r="T1058" s="959"/>
      <c r="U1058" s="959"/>
      <c r="V1058" s="959"/>
      <c r="W1058" s="959"/>
      <c r="X1058" s="959"/>
      <c r="Y1058" s="959"/>
      <c r="Z1058" s="959"/>
      <c r="AA1058" s="959"/>
      <c r="AB1058" s="959"/>
      <c r="AC1058" s="959"/>
      <c r="AD1058" s="959"/>
      <c r="AE1058" s="959"/>
      <c r="AF1058" s="959"/>
      <c r="AG1058" s="959"/>
      <c r="AH1058" s="959"/>
      <c r="AI1058" s="959"/>
      <c r="AJ1058" s="959"/>
      <c r="AK1058" s="959"/>
      <c r="AL1058" s="959"/>
      <c r="AM1058" s="959"/>
    </row>
    <row r="1059" spans="3:39" x14ac:dyDescent="0.25">
      <c r="C1059" s="959"/>
      <c r="D1059" s="959"/>
      <c r="E1059" s="959"/>
      <c r="F1059" s="959"/>
      <c r="G1059" s="959"/>
      <c r="H1059" s="959"/>
      <c r="I1059" s="959"/>
      <c r="J1059" s="959"/>
      <c r="K1059" s="959"/>
      <c r="L1059" s="959"/>
      <c r="M1059" s="959"/>
      <c r="N1059" s="959"/>
      <c r="O1059" s="959"/>
      <c r="P1059" s="959"/>
      <c r="Q1059" s="959"/>
      <c r="R1059" s="959"/>
      <c r="S1059" s="959"/>
      <c r="T1059" s="959"/>
      <c r="U1059" s="959"/>
      <c r="V1059" s="959"/>
      <c r="W1059" s="959"/>
      <c r="X1059" s="959"/>
      <c r="Y1059" s="959"/>
      <c r="Z1059" s="959"/>
      <c r="AA1059" s="959"/>
      <c r="AB1059" s="959"/>
      <c r="AC1059" s="959"/>
      <c r="AD1059" s="959"/>
      <c r="AE1059" s="959"/>
      <c r="AF1059" s="959"/>
      <c r="AG1059" s="959"/>
      <c r="AH1059" s="959"/>
      <c r="AI1059" s="959"/>
      <c r="AJ1059" s="959"/>
      <c r="AK1059" s="959"/>
      <c r="AL1059" s="959"/>
      <c r="AM1059" s="959"/>
    </row>
    <row r="1060" spans="3:39" x14ac:dyDescent="0.25">
      <c r="C1060" s="959"/>
      <c r="D1060" s="959"/>
      <c r="E1060" s="959"/>
      <c r="F1060" s="959"/>
      <c r="G1060" s="959"/>
      <c r="H1060" s="959"/>
      <c r="I1060" s="959"/>
      <c r="J1060" s="959"/>
      <c r="K1060" s="959"/>
      <c r="L1060" s="959"/>
      <c r="M1060" s="959"/>
      <c r="N1060" s="959"/>
      <c r="O1060" s="959"/>
      <c r="P1060" s="959"/>
      <c r="Q1060" s="959"/>
      <c r="R1060" s="959"/>
      <c r="S1060" s="959"/>
      <c r="T1060" s="959"/>
      <c r="U1060" s="959"/>
      <c r="V1060" s="959"/>
      <c r="W1060" s="959"/>
      <c r="X1060" s="959"/>
      <c r="Y1060" s="959"/>
      <c r="Z1060" s="959"/>
      <c r="AA1060" s="959"/>
      <c r="AB1060" s="959"/>
      <c r="AC1060" s="959"/>
      <c r="AD1060" s="959"/>
      <c r="AE1060" s="959"/>
      <c r="AF1060" s="959"/>
      <c r="AG1060" s="959"/>
      <c r="AH1060" s="959"/>
      <c r="AI1060" s="959"/>
      <c r="AJ1060" s="959"/>
      <c r="AK1060" s="959"/>
      <c r="AL1060" s="959"/>
      <c r="AM1060" s="959"/>
    </row>
    <row r="1061" spans="3:39" x14ac:dyDescent="0.25">
      <c r="C1061" s="959"/>
      <c r="D1061" s="959"/>
      <c r="E1061" s="959"/>
      <c r="F1061" s="959"/>
      <c r="G1061" s="959"/>
      <c r="H1061" s="959"/>
      <c r="I1061" s="959"/>
      <c r="J1061" s="959"/>
      <c r="K1061" s="959"/>
      <c r="L1061" s="959"/>
      <c r="M1061" s="959"/>
      <c r="N1061" s="959"/>
      <c r="O1061" s="959"/>
      <c r="P1061" s="959"/>
      <c r="Q1061" s="959"/>
      <c r="R1061" s="959"/>
      <c r="S1061" s="959"/>
      <c r="T1061" s="959"/>
      <c r="U1061" s="959"/>
      <c r="V1061" s="959"/>
      <c r="W1061" s="959"/>
      <c r="X1061" s="959"/>
      <c r="Y1061" s="959"/>
      <c r="Z1061" s="959"/>
      <c r="AA1061" s="959"/>
      <c r="AB1061" s="959"/>
      <c r="AC1061" s="959"/>
      <c r="AD1061" s="959"/>
      <c r="AE1061" s="959"/>
      <c r="AF1061" s="959"/>
      <c r="AG1061" s="959"/>
      <c r="AH1061" s="959"/>
      <c r="AI1061" s="959"/>
      <c r="AJ1061" s="959"/>
      <c r="AK1061" s="959"/>
      <c r="AL1061" s="959"/>
      <c r="AM1061" s="959"/>
    </row>
    <row r="1062" spans="3:39" x14ac:dyDescent="0.25">
      <c r="C1062" s="959"/>
      <c r="D1062" s="959"/>
      <c r="E1062" s="959"/>
      <c r="F1062" s="959"/>
      <c r="G1062" s="959"/>
      <c r="H1062" s="959"/>
      <c r="I1062" s="959"/>
      <c r="J1062" s="959"/>
      <c r="K1062" s="959"/>
      <c r="L1062" s="959"/>
      <c r="M1062" s="959"/>
      <c r="N1062" s="959"/>
      <c r="O1062" s="959"/>
      <c r="P1062" s="959"/>
      <c r="Q1062" s="959"/>
      <c r="R1062" s="959"/>
      <c r="S1062" s="959"/>
      <c r="T1062" s="959"/>
      <c r="U1062" s="959"/>
      <c r="V1062" s="959"/>
      <c r="W1062" s="959"/>
      <c r="X1062" s="959"/>
      <c r="Y1062" s="959"/>
      <c r="Z1062" s="959"/>
      <c r="AA1062" s="959"/>
      <c r="AB1062" s="959"/>
      <c r="AC1062" s="959"/>
      <c r="AD1062" s="959"/>
      <c r="AE1062" s="959"/>
      <c r="AF1062" s="959"/>
      <c r="AG1062" s="959"/>
      <c r="AH1062" s="959"/>
      <c r="AI1062" s="959"/>
      <c r="AJ1062" s="959"/>
      <c r="AK1062" s="959"/>
      <c r="AL1062" s="959"/>
      <c r="AM1062" s="959"/>
    </row>
    <row r="1063" spans="3:39" x14ac:dyDescent="0.25">
      <c r="C1063" s="959"/>
      <c r="D1063" s="959"/>
      <c r="E1063" s="959"/>
      <c r="F1063" s="959"/>
      <c r="G1063" s="959"/>
      <c r="H1063" s="959"/>
      <c r="I1063" s="959"/>
      <c r="J1063" s="959"/>
      <c r="K1063" s="959"/>
      <c r="L1063" s="959"/>
      <c r="M1063" s="959"/>
      <c r="N1063" s="959"/>
      <c r="O1063" s="959"/>
      <c r="P1063" s="959"/>
      <c r="Q1063" s="959"/>
      <c r="R1063" s="959"/>
      <c r="S1063" s="959"/>
      <c r="T1063" s="959"/>
      <c r="U1063" s="959"/>
      <c r="V1063" s="959"/>
      <c r="W1063" s="959"/>
      <c r="X1063" s="959"/>
      <c r="Y1063" s="959"/>
      <c r="Z1063" s="959"/>
      <c r="AA1063" s="959"/>
      <c r="AB1063" s="959"/>
      <c r="AC1063" s="959"/>
      <c r="AD1063" s="959"/>
      <c r="AE1063" s="959"/>
      <c r="AF1063" s="959"/>
      <c r="AG1063" s="959"/>
      <c r="AH1063" s="959"/>
      <c r="AI1063" s="959"/>
      <c r="AJ1063" s="959"/>
      <c r="AK1063" s="959"/>
      <c r="AL1063" s="959"/>
      <c r="AM1063" s="959"/>
    </row>
    <row r="1064" spans="3:39" x14ac:dyDescent="0.25">
      <c r="C1064" s="959"/>
      <c r="D1064" s="959"/>
      <c r="E1064" s="959"/>
      <c r="F1064" s="959"/>
      <c r="G1064" s="959"/>
      <c r="H1064" s="959"/>
      <c r="I1064" s="959"/>
      <c r="J1064" s="959"/>
      <c r="K1064" s="959"/>
      <c r="L1064" s="959"/>
      <c r="M1064" s="959"/>
      <c r="N1064" s="959"/>
      <c r="O1064" s="959"/>
      <c r="P1064" s="959"/>
      <c r="Q1064" s="959"/>
      <c r="R1064" s="959"/>
      <c r="S1064" s="959"/>
      <c r="T1064" s="959"/>
      <c r="U1064" s="959"/>
      <c r="V1064" s="959"/>
      <c r="W1064" s="959"/>
      <c r="X1064" s="959"/>
      <c r="Y1064" s="959"/>
      <c r="Z1064" s="959"/>
      <c r="AA1064" s="959"/>
      <c r="AB1064" s="959"/>
      <c r="AC1064" s="959"/>
      <c r="AD1064" s="959"/>
      <c r="AE1064" s="959"/>
      <c r="AF1064" s="959"/>
      <c r="AG1064" s="959"/>
      <c r="AH1064" s="959"/>
      <c r="AI1064" s="959"/>
      <c r="AJ1064" s="959"/>
      <c r="AK1064" s="959"/>
      <c r="AL1064" s="959"/>
      <c r="AM1064" s="959"/>
    </row>
    <row r="1065" spans="3:39" x14ac:dyDescent="0.25">
      <c r="C1065" s="959"/>
      <c r="D1065" s="959"/>
      <c r="E1065" s="959"/>
      <c r="F1065" s="959"/>
      <c r="G1065" s="959"/>
      <c r="H1065" s="959"/>
      <c r="I1065" s="959"/>
      <c r="J1065" s="959"/>
      <c r="K1065" s="959"/>
      <c r="L1065" s="959"/>
      <c r="M1065" s="959"/>
      <c r="N1065" s="959"/>
      <c r="O1065" s="959"/>
      <c r="P1065" s="959"/>
      <c r="Q1065" s="959"/>
      <c r="R1065" s="959"/>
      <c r="S1065" s="959"/>
      <c r="T1065" s="959"/>
      <c r="U1065" s="959"/>
      <c r="V1065" s="959"/>
      <c r="W1065" s="959"/>
      <c r="X1065" s="959"/>
      <c r="Y1065" s="959"/>
      <c r="Z1065" s="959"/>
      <c r="AA1065" s="959"/>
      <c r="AB1065" s="959"/>
      <c r="AC1065" s="959"/>
      <c r="AD1065" s="959"/>
      <c r="AE1065" s="959"/>
      <c r="AF1065" s="959"/>
      <c r="AG1065" s="959"/>
      <c r="AH1065" s="959"/>
      <c r="AI1065" s="959"/>
      <c r="AJ1065" s="959"/>
      <c r="AK1065" s="959"/>
      <c r="AL1065" s="959"/>
      <c r="AM1065" s="959"/>
    </row>
    <row r="1066" spans="3:39" x14ac:dyDescent="0.25">
      <c r="C1066" s="959"/>
      <c r="D1066" s="959"/>
      <c r="E1066" s="959"/>
      <c r="F1066" s="959"/>
      <c r="G1066" s="959"/>
      <c r="H1066" s="959"/>
      <c r="I1066" s="959"/>
      <c r="J1066" s="959"/>
      <c r="K1066" s="959"/>
      <c r="L1066" s="959"/>
      <c r="M1066" s="959"/>
      <c r="N1066" s="959"/>
      <c r="O1066" s="959"/>
      <c r="P1066" s="959"/>
      <c r="Q1066" s="959"/>
      <c r="R1066" s="959"/>
      <c r="S1066" s="959"/>
      <c r="T1066" s="959"/>
      <c r="U1066" s="959"/>
      <c r="V1066" s="959"/>
      <c r="W1066" s="959"/>
      <c r="X1066" s="959"/>
      <c r="Y1066" s="959"/>
      <c r="Z1066" s="959"/>
      <c r="AA1066" s="959"/>
      <c r="AB1066" s="959"/>
      <c r="AC1066" s="959"/>
      <c r="AD1066" s="959"/>
      <c r="AE1066" s="959"/>
      <c r="AF1066" s="959"/>
      <c r="AG1066" s="959"/>
      <c r="AH1066" s="959"/>
      <c r="AI1066" s="959"/>
      <c r="AJ1066" s="959"/>
      <c r="AK1066" s="959"/>
      <c r="AL1066" s="959"/>
      <c r="AM1066" s="959"/>
    </row>
    <row r="1067" spans="3:39" x14ac:dyDescent="0.25">
      <c r="C1067" s="959"/>
      <c r="D1067" s="959"/>
      <c r="E1067" s="959"/>
      <c r="F1067" s="959"/>
      <c r="G1067" s="959"/>
      <c r="H1067" s="959"/>
      <c r="I1067" s="959"/>
      <c r="J1067" s="959"/>
      <c r="K1067" s="959"/>
      <c r="L1067" s="959"/>
      <c r="M1067" s="959"/>
      <c r="N1067" s="959"/>
      <c r="O1067" s="959"/>
      <c r="P1067" s="959"/>
      <c r="Q1067" s="959"/>
      <c r="R1067" s="959"/>
      <c r="S1067" s="959"/>
      <c r="T1067" s="959"/>
      <c r="U1067" s="959"/>
      <c r="V1067" s="959"/>
      <c r="W1067" s="959"/>
      <c r="X1067" s="959"/>
      <c r="Y1067" s="959"/>
      <c r="Z1067" s="959"/>
      <c r="AA1067" s="959"/>
      <c r="AB1067" s="959"/>
      <c r="AC1067" s="959"/>
      <c r="AD1067" s="959"/>
      <c r="AE1067" s="959"/>
      <c r="AF1067" s="959"/>
      <c r="AG1067" s="959"/>
      <c r="AH1067" s="959"/>
      <c r="AI1067" s="959"/>
      <c r="AJ1067" s="959"/>
      <c r="AK1067" s="959"/>
      <c r="AL1067" s="959"/>
      <c r="AM1067" s="959"/>
    </row>
    <row r="1068" spans="3:39" x14ac:dyDescent="0.25">
      <c r="C1068" s="959"/>
      <c r="D1068" s="959"/>
      <c r="E1068" s="959"/>
      <c r="F1068" s="959"/>
      <c r="G1068" s="959"/>
      <c r="H1068" s="959"/>
      <c r="I1068" s="959"/>
      <c r="J1068" s="959"/>
      <c r="K1068" s="959"/>
      <c r="L1068" s="959"/>
      <c r="M1068" s="959"/>
      <c r="N1068" s="959"/>
      <c r="O1068" s="959"/>
      <c r="P1068" s="959"/>
      <c r="Q1068" s="959"/>
      <c r="R1068" s="959"/>
      <c r="S1068" s="959"/>
      <c r="T1068" s="959"/>
      <c r="U1068" s="959"/>
      <c r="V1068" s="959"/>
      <c r="W1068" s="959"/>
      <c r="X1068" s="959"/>
      <c r="Y1068" s="959"/>
      <c r="Z1068" s="959"/>
      <c r="AA1068" s="959"/>
      <c r="AB1068" s="959"/>
      <c r="AC1068" s="959"/>
      <c r="AD1068" s="959"/>
      <c r="AE1068" s="959"/>
      <c r="AF1068" s="959"/>
      <c r="AG1068" s="959"/>
      <c r="AH1068" s="959"/>
      <c r="AI1068" s="959"/>
      <c r="AJ1068" s="959"/>
      <c r="AK1068" s="959"/>
      <c r="AL1068" s="959"/>
      <c r="AM1068" s="959"/>
    </row>
    <row r="1069" spans="3:39" x14ac:dyDescent="0.25">
      <c r="C1069" s="959"/>
      <c r="D1069" s="959"/>
      <c r="E1069" s="959"/>
      <c r="F1069" s="959"/>
      <c r="G1069" s="959"/>
      <c r="H1069" s="959"/>
      <c r="I1069" s="959"/>
      <c r="J1069" s="959"/>
      <c r="K1069" s="959"/>
      <c r="L1069" s="959"/>
      <c r="M1069" s="959"/>
      <c r="N1069" s="959"/>
      <c r="O1069" s="959"/>
      <c r="P1069" s="959"/>
      <c r="Q1069" s="959"/>
      <c r="R1069" s="959"/>
      <c r="S1069" s="959"/>
      <c r="T1069" s="959"/>
      <c r="U1069" s="959"/>
      <c r="V1069" s="959"/>
      <c r="W1069" s="959"/>
      <c r="X1069" s="959"/>
      <c r="Y1069" s="959"/>
      <c r="Z1069" s="959"/>
      <c r="AA1069" s="959"/>
      <c r="AB1069" s="959"/>
      <c r="AC1069" s="959"/>
      <c r="AD1069" s="959"/>
      <c r="AE1069" s="959"/>
      <c r="AF1069" s="959"/>
      <c r="AG1069" s="959"/>
      <c r="AH1069" s="959"/>
      <c r="AI1069" s="959"/>
      <c r="AJ1069" s="959"/>
      <c r="AK1069" s="959"/>
      <c r="AL1069" s="959"/>
      <c r="AM1069" s="959"/>
    </row>
    <row r="1070" spans="3:39" x14ac:dyDescent="0.25">
      <c r="C1070" s="959"/>
      <c r="D1070" s="959"/>
      <c r="E1070" s="959"/>
      <c r="F1070" s="959"/>
      <c r="G1070" s="959"/>
      <c r="H1070" s="959"/>
      <c r="I1070" s="959"/>
      <c r="J1070" s="959"/>
      <c r="K1070" s="959"/>
      <c r="L1070" s="959"/>
      <c r="M1070" s="959"/>
      <c r="N1070" s="959"/>
      <c r="O1070" s="959"/>
      <c r="P1070" s="959"/>
      <c r="Q1070" s="959"/>
      <c r="R1070" s="959"/>
      <c r="S1070" s="959"/>
      <c r="T1070" s="959"/>
      <c r="U1070" s="959"/>
      <c r="V1070" s="959"/>
      <c r="W1070" s="959"/>
      <c r="X1070" s="959"/>
      <c r="Y1070" s="959"/>
      <c r="Z1070" s="959"/>
      <c r="AA1070" s="959"/>
      <c r="AB1070" s="959"/>
      <c r="AC1070" s="959"/>
      <c r="AD1070" s="959"/>
      <c r="AE1070" s="959"/>
      <c r="AF1070" s="959"/>
      <c r="AG1070" s="959"/>
      <c r="AH1070" s="959"/>
      <c r="AI1070" s="959"/>
      <c r="AJ1070" s="959"/>
      <c r="AK1070" s="959"/>
      <c r="AL1070" s="959"/>
      <c r="AM1070" s="959"/>
    </row>
    <row r="1071" spans="3:39" x14ac:dyDescent="0.25">
      <c r="C1071" s="959"/>
      <c r="D1071" s="959"/>
      <c r="E1071" s="959"/>
      <c r="F1071" s="959"/>
      <c r="G1071" s="959"/>
      <c r="H1071" s="959"/>
      <c r="I1071" s="959"/>
      <c r="J1071" s="959"/>
      <c r="K1071" s="959"/>
      <c r="L1071" s="959"/>
      <c r="M1071" s="959"/>
      <c r="N1071" s="959"/>
      <c r="O1071" s="959"/>
      <c r="P1071" s="959"/>
      <c r="Q1071" s="959"/>
      <c r="R1071" s="959"/>
      <c r="S1071" s="959"/>
      <c r="T1071" s="959"/>
      <c r="U1071" s="959"/>
      <c r="V1071" s="959"/>
      <c r="W1071" s="959"/>
      <c r="X1071" s="959"/>
      <c r="Y1071" s="959"/>
      <c r="Z1071" s="959"/>
      <c r="AA1071" s="959"/>
      <c r="AB1071" s="959"/>
      <c r="AC1071" s="959"/>
      <c r="AD1071" s="959"/>
      <c r="AE1071" s="959"/>
      <c r="AF1071" s="959"/>
      <c r="AG1071" s="959"/>
      <c r="AH1071" s="959"/>
      <c r="AI1071" s="959"/>
      <c r="AJ1071" s="959"/>
      <c r="AK1071" s="959"/>
      <c r="AL1071" s="959"/>
      <c r="AM1071" s="959"/>
    </row>
    <row r="1072" spans="3:39" x14ac:dyDescent="0.25">
      <c r="C1072" s="959"/>
      <c r="D1072" s="959"/>
      <c r="E1072" s="959"/>
      <c r="F1072" s="959"/>
      <c r="G1072" s="959"/>
      <c r="H1072" s="959"/>
      <c r="I1072" s="959"/>
      <c r="J1072" s="959"/>
      <c r="K1072" s="959"/>
      <c r="L1072" s="959"/>
      <c r="M1072" s="959"/>
      <c r="N1072" s="959"/>
      <c r="O1072" s="959"/>
      <c r="P1072" s="959"/>
      <c r="Q1072" s="959"/>
      <c r="R1072" s="959"/>
      <c r="S1072" s="959"/>
      <c r="T1072" s="959"/>
      <c r="U1072" s="959"/>
      <c r="V1072" s="959"/>
      <c r="W1072" s="959"/>
      <c r="X1072" s="959"/>
      <c r="Y1072" s="959"/>
      <c r="Z1072" s="959"/>
      <c r="AA1072" s="959"/>
      <c r="AB1072" s="959"/>
      <c r="AC1072" s="959"/>
      <c r="AD1072" s="959"/>
      <c r="AE1072" s="959"/>
      <c r="AF1072" s="959"/>
      <c r="AG1072" s="959"/>
      <c r="AH1072" s="959"/>
      <c r="AI1072" s="959"/>
      <c r="AJ1072" s="959"/>
      <c r="AK1072" s="959"/>
      <c r="AL1072" s="959"/>
      <c r="AM1072" s="959"/>
    </row>
    <row r="1073" spans="3:39" x14ac:dyDescent="0.25">
      <c r="C1073" s="959"/>
      <c r="D1073" s="959"/>
      <c r="E1073" s="959"/>
      <c r="F1073" s="959"/>
      <c r="G1073" s="959"/>
      <c r="H1073" s="959"/>
      <c r="I1073" s="959"/>
      <c r="J1073" s="959"/>
      <c r="K1073" s="959"/>
      <c r="L1073" s="959"/>
      <c r="M1073" s="959"/>
      <c r="N1073" s="959"/>
      <c r="O1073" s="959"/>
      <c r="P1073" s="959"/>
      <c r="Q1073" s="959"/>
      <c r="R1073" s="959"/>
      <c r="S1073" s="959"/>
      <c r="T1073" s="959"/>
      <c r="U1073" s="959"/>
      <c r="V1073" s="959"/>
      <c r="W1073" s="959"/>
      <c r="X1073" s="959"/>
      <c r="Y1073" s="959"/>
      <c r="Z1073" s="959"/>
      <c r="AA1073" s="959"/>
      <c r="AB1073" s="959"/>
      <c r="AC1073" s="959"/>
      <c r="AD1073" s="959"/>
      <c r="AE1073" s="959"/>
      <c r="AF1073" s="959"/>
      <c r="AG1073" s="959"/>
      <c r="AH1073" s="959"/>
      <c r="AI1073" s="959"/>
      <c r="AJ1073" s="959"/>
      <c r="AK1073" s="959"/>
      <c r="AL1073" s="959"/>
      <c r="AM1073" s="959"/>
    </row>
    <row r="1074" spans="3:39" x14ac:dyDescent="0.25">
      <c r="C1074" s="959"/>
      <c r="D1074" s="959"/>
      <c r="E1074" s="959"/>
      <c r="F1074" s="959"/>
      <c r="G1074" s="959"/>
      <c r="H1074" s="959"/>
      <c r="I1074" s="959"/>
      <c r="J1074" s="959"/>
      <c r="K1074" s="959"/>
      <c r="L1074" s="959"/>
      <c r="M1074" s="959"/>
      <c r="N1074" s="959"/>
      <c r="O1074" s="959"/>
      <c r="P1074" s="959"/>
      <c r="Q1074" s="959"/>
      <c r="R1074" s="959"/>
      <c r="S1074" s="959"/>
      <c r="T1074" s="959"/>
      <c r="U1074" s="959"/>
      <c r="V1074" s="959"/>
      <c r="W1074" s="959"/>
      <c r="X1074" s="959"/>
      <c r="Y1074" s="959"/>
      <c r="Z1074" s="959"/>
      <c r="AA1074" s="959"/>
      <c r="AB1074" s="959"/>
      <c r="AC1074" s="959"/>
      <c r="AD1074" s="959"/>
      <c r="AE1074" s="959"/>
      <c r="AF1074" s="959"/>
      <c r="AG1074" s="959"/>
      <c r="AH1074" s="959"/>
      <c r="AI1074" s="959"/>
      <c r="AJ1074" s="959"/>
      <c r="AK1074" s="959"/>
      <c r="AL1074" s="959"/>
      <c r="AM1074" s="959"/>
    </row>
    <row r="1075" spans="3:39" x14ac:dyDescent="0.25">
      <c r="C1075" s="959"/>
      <c r="D1075" s="959"/>
      <c r="E1075" s="959"/>
      <c r="F1075" s="959"/>
      <c r="G1075" s="959"/>
      <c r="H1075" s="959"/>
      <c r="I1075" s="959"/>
      <c r="J1075" s="959"/>
      <c r="K1075" s="959"/>
      <c r="L1075" s="959"/>
      <c r="M1075" s="959"/>
      <c r="N1075" s="959"/>
      <c r="O1075" s="959"/>
      <c r="P1075" s="959"/>
      <c r="Q1075" s="959"/>
      <c r="R1075" s="959"/>
      <c r="S1075" s="959"/>
      <c r="T1075" s="959"/>
      <c r="U1075" s="959"/>
      <c r="V1075" s="959"/>
      <c r="W1075" s="959"/>
      <c r="X1075" s="959"/>
      <c r="Y1075" s="959"/>
      <c r="Z1075" s="959"/>
      <c r="AA1075" s="959"/>
      <c r="AB1075" s="959"/>
      <c r="AC1075" s="959"/>
      <c r="AD1075" s="959"/>
      <c r="AE1075" s="959"/>
      <c r="AF1075" s="959"/>
      <c r="AG1075" s="959"/>
      <c r="AH1075" s="959"/>
      <c r="AI1075" s="959"/>
      <c r="AJ1075" s="959"/>
      <c r="AK1075" s="959"/>
      <c r="AL1075" s="959"/>
      <c r="AM1075" s="959"/>
    </row>
    <row r="1076" spans="3:39" x14ac:dyDescent="0.25">
      <c r="C1076" s="959"/>
      <c r="D1076" s="959"/>
      <c r="E1076" s="959"/>
      <c r="F1076" s="959"/>
      <c r="G1076" s="959"/>
      <c r="H1076" s="959"/>
      <c r="I1076" s="959"/>
      <c r="J1076" s="959"/>
      <c r="K1076" s="959"/>
      <c r="L1076" s="959"/>
      <c r="M1076" s="959"/>
      <c r="N1076" s="959"/>
      <c r="O1076" s="959"/>
      <c r="P1076" s="959"/>
      <c r="Q1076" s="959"/>
      <c r="R1076" s="959"/>
      <c r="S1076" s="959"/>
      <c r="T1076" s="959"/>
      <c r="U1076" s="959"/>
      <c r="V1076" s="959"/>
      <c r="W1076" s="959"/>
      <c r="X1076" s="959"/>
      <c r="Y1076" s="959"/>
      <c r="Z1076" s="959"/>
      <c r="AA1076" s="959"/>
      <c r="AB1076" s="959"/>
      <c r="AC1076" s="959"/>
      <c r="AD1076" s="959"/>
      <c r="AE1076" s="959"/>
      <c r="AF1076" s="959"/>
      <c r="AG1076" s="959"/>
      <c r="AH1076" s="959"/>
      <c r="AI1076" s="959"/>
      <c r="AJ1076" s="959"/>
      <c r="AK1076" s="959"/>
      <c r="AL1076" s="959"/>
      <c r="AM1076" s="959"/>
    </row>
    <row r="1077" spans="3:39" x14ac:dyDescent="0.25">
      <c r="C1077" s="959"/>
      <c r="D1077" s="959"/>
      <c r="E1077" s="959"/>
      <c r="F1077" s="959"/>
      <c r="G1077" s="959"/>
      <c r="H1077" s="959"/>
      <c r="I1077" s="959"/>
      <c r="J1077" s="959"/>
      <c r="K1077" s="959"/>
      <c r="L1077" s="959"/>
      <c r="M1077" s="959"/>
      <c r="N1077" s="959"/>
      <c r="O1077" s="959"/>
      <c r="P1077" s="959"/>
      <c r="Q1077" s="959"/>
      <c r="R1077" s="959"/>
      <c r="S1077" s="959"/>
      <c r="T1077" s="959"/>
      <c r="U1077" s="959"/>
      <c r="V1077" s="959"/>
      <c r="W1077" s="959"/>
      <c r="X1077" s="959"/>
      <c r="Y1077" s="959"/>
      <c r="Z1077" s="959"/>
      <c r="AA1077" s="959"/>
      <c r="AB1077" s="959"/>
      <c r="AC1077" s="959"/>
      <c r="AD1077" s="959"/>
      <c r="AE1077" s="959"/>
      <c r="AF1077" s="959"/>
      <c r="AG1077" s="959"/>
      <c r="AH1077" s="959"/>
      <c r="AI1077" s="959"/>
      <c r="AJ1077" s="959"/>
      <c r="AK1077" s="959"/>
      <c r="AL1077" s="959"/>
      <c r="AM1077" s="959"/>
    </row>
    <row r="1078" spans="3:39" x14ac:dyDescent="0.25">
      <c r="C1078" s="959"/>
      <c r="D1078" s="959"/>
      <c r="E1078" s="959"/>
      <c r="F1078" s="959"/>
      <c r="G1078" s="959"/>
      <c r="H1078" s="959"/>
      <c r="I1078" s="959"/>
      <c r="J1078" s="959"/>
      <c r="K1078" s="959"/>
      <c r="L1078" s="959"/>
      <c r="M1078" s="959"/>
      <c r="N1078" s="959"/>
      <c r="O1078" s="959"/>
      <c r="P1078" s="959"/>
      <c r="Q1078" s="959"/>
      <c r="R1078" s="959"/>
      <c r="S1078" s="959"/>
      <c r="T1078" s="959"/>
      <c r="U1078" s="959"/>
      <c r="V1078" s="959"/>
      <c r="W1078" s="959"/>
      <c r="X1078" s="959"/>
      <c r="Y1078" s="959"/>
      <c r="Z1078" s="959"/>
      <c r="AA1078" s="959"/>
      <c r="AB1078" s="959"/>
      <c r="AC1078" s="959"/>
      <c r="AD1078" s="959"/>
      <c r="AE1078" s="959"/>
      <c r="AF1078" s="959"/>
      <c r="AG1078" s="959"/>
      <c r="AH1078" s="959"/>
      <c r="AI1078" s="959"/>
      <c r="AJ1078" s="959"/>
      <c r="AK1078" s="959"/>
      <c r="AL1078" s="959"/>
      <c r="AM1078" s="959"/>
    </row>
    <row r="1079" spans="3:39" x14ac:dyDescent="0.25">
      <c r="C1079" s="959"/>
      <c r="D1079" s="959"/>
      <c r="E1079" s="959"/>
      <c r="F1079" s="959"/>
      <c r="G1079" s="959"/>
      <c r="H1079" s="959"/>
      <c r="I1079" s="959"/>
      <c r="J1079" s="959"/>
      <c r="K1079" s="959"/>
      <c r="L1079" s="959"/>
      <c r="M1079" s="959"/>
      <c r="N1079" s="959"/>
      <c r="O1079" s="959"/>
      <c r="P1079" s="959"/>
      <c r="Q1079" s="959"/>
      <c r="R1079" s="959"/>
      <c r="S1079" s="959"/>
      <c r="T1079" s="959"/>
      <c r="U1079" s="959"/>
      <c r="V1079" s="959"/>
      <c r="W1079" s="959"/>
      <c r="X1079" s="959"/>
      <c r="Y1079" s="959"/>
      <c r="Z1079" s="959"/>
      <c r="AA1079" s="959"/>
      <c r="AB1079" s="959"/>
      <c r="AC1079" s="959"/>
      <c r="AD1079" s="959"/>
      <c r="AE1079" s="959"/>
      <c r="AF1079" s="959"/>
      <c r="AG1079" s="959"/>
      <c r="AH1079" s="959"/>
      <c r="AI1079" s="959"/>
      <c r="AJ1079" s="959"/>
      <c r="AK1079" s="959"/>
      <c r="AL1079" s="959"/>
      <c r="AM1079" s="959"/>
    </row>
    <row r="1080" spans="3:39" x14ac:dyDescent="0.25">
      <c r="C1080" s="959"/>
      <c r="D1080" s="959"/>
      <c r="E1080" s="959"/>
      <c r="F1080" s="959"/>
      <c r="G1080" s="959"/>
      <c r="H1080" s="959"/>
      <c r="I1080" s="959"/>
      <c r="J1080" s="959"/>
      <c r="K1080" s="959"/>
      <c r="L1080" s="959"/>
      <c r="M1080" s="959"/>
      <c r="N1080" s="959"/>
      <c r="O1080" s="959"/>
      <c r="P1080" s="959"/>
      <c r="Q1080" s="959"/>
      <c r="R1080" s="959"/>
      <c r="S1080" s="959"/>
      <c r="T1080" s="959"/>
      <c r="U1080" s="959"/>
      <c r="V1080" s="959"/>
      <c r="W1080" s="959"/>
      <c r="X1080" s="959"/>
      <c r="Y1080" s="959"/>
      <c r="Z1080" s="959"/>
      <c r="AA1080" s="959"/>
      <c r="AB1080" s="959"/>
      <c r="AC1080" s="959"/>
      <c r="AD1080" s="959"/>
      <c r="AE1080" s="959"/>
      <c r="AF1080" s="959"/>
      <c r="AG1080" s="959"/>
      <c r="AH1080" s="959"/>
      <c r="AI1080" s="959"/>
      <c r="AJ1080" s="959"/>
      <c r="AK1080" s="959"/>
      <c r="AL1080" s="959"/>
      <c r="AM1080" s="959"/>
    </row>
    <row r="1081" spans="3:39" x14ac:dyDescent="0.25">
      <c r="C1081" s="959"/>
      <c r="D1081" s="959"/>
      <c r="E1081" s="959"/>
      <c r="F1081" s="959"/>
      <c r="G1081" s="959"/>
      <c r="H1081" s="959"/>
      <c r="I1081" s="959"/>
      <c r="J1081" s="959"/>
      <c r="K1081" s="959"/>
      <c r="L1081" s="959"/>
      <c r="M1081" s="959"/>
      <c r="N1081" s="959"/>
      <c r="O1081" s="959"/>
      <c r="P1081" s="959"/>
      <c r="Q1081" s="959"/>
      <c r="R1081" s="959"/>
      <c r="S1081" s="959"/>
      <c r="T1081" s="959"/>
      <c r="U1081" s="959"/>
      <c r="V1081" s="959"/>
      <c r="W1081" s="959"/>
      <c r="X1081" s="959"/>
      <c r="Y1081" s="959"/>
      <c r="Z1081" s="959"/>
      <c r="AA1081" s="959"/>
      <c r="AB1081" s="959"/>
      <c r="AC1081" s="959"/>
      <c r="AD1081" s="959"/>
      <c r="AE1081" s="959"/>
      <c r="AF1081" s="959"/>
      <c r="AG1081" s="959"/>
      <c r="AH1081" s="959"/>
      <c r="AI1081" s="959"/>
      <c r="AJ1081" s="959"/>
      <c r="AK1081" s="959"/>
      <c r="AL1081" s="959"/>
      <c r="AM1081" s="959"/>
    </row>
    <row r="1082" spans="3:39" x14ac:dyDescent="0.25">
      <c r="C1082" s="959"/>
      <c r="D1082" s="959"/>
      <c r="E1082" s="959"/>
      <c r="F1082" s="959"/>
      <c r="G1082" s="959"/>
      <c r="H1082" s="959"/>
      <c r="I1082" s="959"/>
      <c r="J1082" s="959"/>
      <c r="K1082" s="959"/>
      <c r="L1082" s="959"/>
      <c r="M1082" s="959"/>
      <c r="N1082" s="959"/>
      <c r="O1082" s="959"/>
      <c r="P1082" s="959"/>
      <c r="Q1082" s="959"/>
      <c r="R1082" s="959"/>
      <c r="S1082" s="959"/>
      <c r="T1082" s="959"/>
      <c r="U1082" s="959"/>
      <c r="V1082" s="959"/>
      <c r="W1082" s="959"/>
      <c r="X1082" s="959"/>
      <c r="Y1082" s="959"/>
      <c r="Z1082" s="959"/>
      <c r="AA1082" s="959"/>
      <c r="AB1082" s="959"/>
      <c r="AC1082" s="959"/>
      <c r="AD1082" s="959"/>
      <c r="AE1082" s="959"/>
      <c r="AF1082" s="959"/>
      <c r="AG1082" s="959"/>
      <c r="AH1082" s="959"/>
      <c r="AI1082" s="959"/>
      <c r="AJ1082" s="959"/>
      <c r="AK1082" s="959"/>
      <c r="AL1082" s="959"/>
      <c r="AM1082" s="959"/>
    </row>
    <row r="1083" spans="3:39" x14ac:dyDescent="0.25">
      <c r="C1083" s="959"/>
      <c r="D1083" s="959"/>
      <c r="E1083" s="959"/>
      <c r="F1083" s="959"/>
      <c r="G1083" s="959"/>
      <c r="H1083" s="959"/>
      <c r="I1083" s="959"/>
      <c r="J1083" s="959"/>
      <c r="K1083" s="959"/>
      <c r="L1083" s="959"/>
      <c r="M1083" s="959"/>
      <c r="N1083" s="959"/>
      <c r="O1083" s="959"/>
      <c r="P1083" s="959"/>
      <c r="Q1083" s="959"/>
      <c r="R1083" s="959"/>
      <c r="S1083" s="959"/>
      <c r="T1083" s="959"/>
      <c r="U1083" s="959"/>
      <c r="V1083" s="959"/>
      <c r="W1083" s="959"/>
      <c r="X1083" s="959"/>
      <c r="Y1083" s="959"/>
      <c r="Z1083" s="959"/>
      <c r="AA1083" s="959"/>
      <c r="AB1083" s="959"/>
      <c r="AC1083" s="959"/>
      <c r="AD1083" s="959"/>
      <c r="AE1083" s="959"/>
      <c r="AF1083" s="959"/>
      <c r="AG1083" s="959"/>
      <c r="AH1083" s="959"/>
      <c r="AI1083" s="959"/>
      <c r="AJ1083" s="959"/>
      <c r="AK1083" s="959"/>
      <c r="AL1083" s="959"/>
      <c r="AM1083" s="959"/>
    </row>
    <row r="1084" spans="3:39" x14ac:dyDescent="0.25">
      <c r="C1084" s="959"/>
      <c r="D1084" s="959"/>
      <c r="E1084" s="959"/>
      <c r="F1084" s="959"/>
      <c r="G1084" s="959"/>
      <c r="H1084" s="959"/>
      <c r="I1084" s="959"/>
      <c r="J1084" s="959"/>
      <c r="K1084" s="959"/>
      <c r="L1084" s="959"/>
      <c r="M1084" s="959"/>
      <c r="N1084" s="959"/>
      <c r="O1084" s="959"/>
      <c r="P1084" s="959"/>
      <c r="Q1084" s="959"/>
      <c r="R1084" s="959"/>
      <c r="S1084" s="959"/>
      <c r="T1084" s="959"/>
      <c r="U1084" s="959"/>
      <c r="V1084" s="959"/>
      <c r="W1084" s="959"/>
      <c r="X1084" s="959"/>
      <c r="Y1084" s="959"/>
      <c r="Z1084" s="959"/>
      <c r="AA1084" s="959"/>
      <c r="AB1084" s="959"/>
      <c r="AC1084" s="959"/>
      <c r="AD1084" s="959"/>
      <c r="AE1084" s="959"/>
      <c r="AF1084" s="959"/>
      <c r="AG1084" s="959"/>
      <c r="AH1084" s="959"/>
      <c r="AI1084" s="959"/>
      <c r="AJ1084" s="959"/>
      <c r="AK1084" s="959"/>
      <c r="AL1084" s="959"/>
      <c r="AM1084" s="959"/>
    </row>
    <row r="1085" spans="3:39" x14ac:dyDescent="0.25">
      <c r="C1085" s="959"/>
      <c r="D1085" s="959"/>
      <c r="E1085" s="959"/>
      <c r="F1085" s="959"/>
      <c r="G1085" s="959"/>
      <c r="H1085" s="959"/>
      <c r="I1085" s="959"/>
      <c r="J1085" s="959"/>
      <c r="K1085" s="959"/>
      <c r="L1085" s="959"/>
      <c r="M1085" s="959"/>
      <c r="N1085" s="959"/>
      <c r="O1085" s="959"/>
      <c r="P1085" s="959"/>
      <c r="Q1085" s="959"/>
      <c r="R1085" s="959"/>
      <c r="S1085" s="959"/>
      <c r="T1085" s="959"/>
      <c r="U1085" s="959"/>
      <c r="V1085" s="959"/>
      <c r="W1085" s="959"/>
      <c r="X1085" s="959"/>
      <c r="Y1085" s="959"/>
      <c r="Z1085" s="959"/>
      <c r="AA1085" s="959"/>
      <c r="AB1085" s="959"/>
      <c r="AC1085" s="959"/>
      <c r="AD1085" s="959"/>
      <c r="AE1085" s="959"/>
      <c r="AF1085" s="959"/>
      <c r="AG1085" s="959"/>
      <c r="AH1085" s="959"/>
      <c r="AI1085" s="959"/>
      <c r="AJ1085" s="959"/>
      <c r="AK1085" s="959"/>
      <c r="AL1085" s="959"/>
      <c r="AM1085" s="959"/>
    </row>
    <row r="1086" spans="3:39" x14ac:dyDescent="0.25">
      <c r="C1086" s="959"/>
      <c r="D1086" s="959"/>
      <c r="E1086" s="959"/>
      <c r="F1086" s="959"/>
      <c r="G1086" s="959"/>
      <c r="H1086" s="959"/>
      <c r="I1086" s="959"/>
      <c r="J1086" s="959"/>
      <c r="K1086" s="959"/>
      <c r="L1086" s="959"/>
      <c r="M1086" s="959"/>
      <c r="N1086" s="959"/>
      <c r="O1086" s="959"/>
      <c r="P1086" s="959"/>
      <c r="Q1086" s="959"/>
      <c r="R1086" s="959"/>
      <c r="S1086" s="959"/>
      <c r="T1086" s="959"/>
      <c r="U1086" s="959"/>
      <c r="V1086" s="959"/>
      <c r="W1086" s="959"/>
      <c r="X1086" s="959"/>
      <c r="Y1086" s="959"/>
      <c r="Z1086" s="959"/>
      <c r="AA1086" s="959"/>
      <c r="AB1086" s="959"/>
      <c r="AC1086" s="959"/>
      <c r="AD1086" s="959"/>
      <c r="AE1086" s="959"/>
      <c r="AF1086" s="959"/>
      <c r="AG1086" s="959"/>
      <c r="AH1086" s="959"/>
      <c r="AI1086" s="959"/>
      <c r="AJ1086" s="959"/>
      <c r="AK1086" s="959"/>
      <c r="AL1086" s="959"/>
      <c r="AM1086" s="959"/>
    </row>
    <row r="1087" spans="3:39" x14ac:dyDescent="0.25">
      <c r="C1087" s="959"/>
      <c r="D1087" s="959"/>
      <c r="E1087" s="959"/>
      <c r="F1087" s="959"/>
      <c r="G1087" s="959"/>
      <c r="H1087" s="959"/>
      <c r="I1087" s="959"/>
      <c r="J1087" s="959"/>
      <c r="K1087" s="959"/>
      <c r="L1087" s="959"/>
      <c r="M1087" s="959"/>
      <c r="N1087" s="959"/>
      <c r="O1087" s="959"/>
      <c r="P1087" s="959"/>
      <c r="Q1087" s="959"/>
      <c r="R1087" s="959"/>
      <c r="S1087" s="959"/>
      <c r="T1087" s="959"/>
      <c r="U1087" s="959"/>
      <c r="V1087" s="959"/>
      <c r="W1087" s="959"/>
      <c r="X1087" s="959"/>
      <c r="Y1087" s="959"/>
      <c r="Z1087" s="959"/>
      <c r="AA1087" s="959"/>
      <c r="AB1087" s="959"/>
      <c r="AC1087" s="959"/>
      <c r="AD1087" s="959"/>
      <c r="AE1087" s="959"/>
      <c r="AF1087" s="959"/>
      <c r="AG1087" s="959"/>
      <c r="AH1087" s="959"/>
      <c r="AI1087" s="959"/>
      <c r="AJ1087" s="959"/>
      <c r="AK1087" s="959"/>
      <c r="AL1087" s="959"/>
      <c r="AM1087" s="959"/>
    </row>
    <row r="1088" spans="3:39" x14ac:dyDescent="0.25">
      <c r="C1088" s="959"/>
      <c r="D1088" s="959"/>
      <c r="E1088" s="959"/>
      <c r="F1088" s="959"/>
      <c r="G1088" s="959"/>
      <c r="H1088" s="959"/>
      <c r="I1088" s="959"/>
      <c r="J1088" s="959"/>
      <c r="K1088" s="959"/>
      <c r="L1088" s="959"/>
      <c r="M1088" s="959"/>
      <c r="N1088" s="959"/>
      <c r="O1088" s="959"/>
      <c r="P1088" s="959"/>
      <c r="Q1088" s="959"/>
      <c r="R1088" s="959"/>
      <c r="S1088" s="959"/>
      <c r="T1088" s="959"/>
      <c r="U1088" s="959"/>
      <c r="V1088" s="959"/>
      <c r="W1088" s="959"/>
      <c r="X1088" s="959"/>
      <c r="Y1088" s="959"/>
      <c r="Z1088" s="959"/>
      <c r="AA1088" s="959"/>
      <c r="AB1088" s="959"/>
      <c r="AC1088" s="959"/>
      <c r="AD1088" s="959"/>
      <c r="AE1088" s="959"/>
      <c r="AF1088" s="959"/>
      <c r="AG1088" s="959"/>
      <c r="AH1088" s="959"/>
      <c r="AI1088" s="959"/>
      <c r="AJ1088" s="959"/>
      <c r="AK1088" s="959"/>
      <c r="AL1088" s="959"/>
      <c r="AM1088" s="959"/>
    </row>
    <row r="1089" spans="3:39" x14ac:dyDescent="0.25">
      <c r="C1089" s="959"/>
      <c r="D1089" s="959"/>
      <c r="E1089" s="959"/>
      <c r="F1089" s="959"/>
      <c r="G1089" s="959"/>
      <c r="H1089" s="959"/>
      <c r="I1089" s="959"/>
      <c r="J1089" s="959"/>
      <c r="K1089" s="959"/>
      <c r="L1089" s="959"/>
      <c r="M1089" s="959"/>
      <c r="N1089" s="959"/>
      <c r="O1089" s="959"/>
      <c r="P1089" s="959"/>
      <c r="Q1089" s="959"/>
      <c r="R1089" s="959"/>
      <c r="S1089" s="959"/>
      <c r="T1089" s="959"/>
      <c r="U1089" s="959"/>
      <c r="V1089" s="959"/>
      <c r="W1089" s="959"/>
      <c r="X1089" s="959"/>
      <c r="Y1089" s="959"/>
      <c r="Z1089" s="959"/>
      <c r="AA1089" s="959"/>
      <c r="AB1089" s="959"/>
      <c r="AC1089" s="959"/>
      <c r="AD1089" s="959"/>
      <c r="AE1089" s="959"/>
      <c r="AF1089" s="959"/>
      <c r="AG1089" s="959"/>
      <c r="AH1089" s="959"/>
      <c r="AI1089" s="959"/>
      <c r="AJ1089" s="959"/>
      <c r="AK1089" s="959"/>
      <c r="AL1089" s="959"/>
      <c r="AM1089" s="959"/>
    </row>
    <row r="1090" spans="3:39" x14ac:dyDescent="0.25">
      <c r="C1090" s="959"/>
      <c r="D1090" s="959"/>
      <c r="E1090" s="959"/>
      <c r="F1090" s="959"/>
      <c r="G1090" s="959"/>
      <c r="H1090" s="959"/>
      <c r="I1090" s="959"/>
      <c r="J1090" s="959"/>
      <c r="K1090" s="959"/>
      <c r="L1090" s="959"/>
      <c r="M1090" s="959"/>
      <c r="N1090" s="959"/>
      <c r="O1090" s="959"/>
      <c r="P1090" s="959"/>
      <c r="Q1090" s="959"/>
      <c r="R1090" s="959"/>
      <c r="S1090" s="959"/>
      <c r="T1090" s="959"/>
      <c r="U1090" s="959"/>
      <c r="V1090" s="959"/>
      <c r="W1090" s="959"/>
      <c r="X1090" s="959"/>
      <c r="Y1090" s="959"/>
      <c r="Z1090" s="959"/>
      <c r="AA1090" s="959"/>
      <c r="AB1090" s="959"/>
      <c r="AC1090" s="959"/>
      <c r="AD1090" s="959"/>
      <c r="AE1090" s="959"/>
      <c r="AF1090" s="959"/>
      <c r="AG1090" s="959"/>
      <c r="AH1090" s="959"/>
      <c r="AI1090" s="959"/>
      <c r="AJ1090" s="959"/>
      <c r="AK1090" s="959"/>
      <c r="AL1090" s="959"/>
      <c r="AM1090" s="959"/>
    </row>
    <row r="1091" spans="3:39" x14ac:dyDescent="0.25">
      <c r="C1091" s="959"/>
      <c r="D1091" s="959"/>
      <c r="E1091" s="959"/>
      <c r="F1091" s="959"/>
      <c r="G1091" s="959"/>
      <c r="H1091" s="959"/>
      <c r="I1091" s="959"/>
      <c r="J1091" s="959"/>
      <c r="K1091" s="959"/>
      <c r="L1091" s="959"/>
      <c r="M1091" s="959"/>
      <c r="N1091" s="959"/>
      <c r="O1091" s="959"/>
      <c r="P1091" s="959"/>
      <c r="Q1091" s="959"/>
      <c r="R1091" s="959"/>
      <c r="S1091" s="959"/>
      <c r="T1091" s="959"/>
      <c r="U1091" s="959"/>
      <c r="V1091" s="959"/>
      <c r="W1091" s="959"/>
      <c r="X1091" s="959"/>
      <c r="Y1091" s="959"/>
      <c r="Z1091" s="959"/>
      <c r="AA1091" s="959"/>
      <c r="AB1091" s="959"/>
      <c r="AC1091" s="959"/>
      <c r="AD1091" s="959"/>
      <c r="AE1091" s="959"/>
      <c r="AF1091" s="959"/>
      <c r="AG1091" s="959"/>
      <c r="AH1091" s="959"/>
      <c r="AI1091" s="959"/>
      <c r="AJ1091" s="959"/>
      <c r="AK1091" s="959"/>
      <c r="AL1091" s="959"/>
      <c r="AM1091" s="959"/>
    </row>
    <row r="1092" spans="3:39" x14ac:dyDescent="0.25">
      <c r="C1092" s="959"/>
      <c r="D1092" s="959"/>
      <c r="E1092" s="959"/>
      <c r="F1092" s="959"/>
      <c r="G1092" s="959"/>
      <c r="H1092" s="959"/>
      <c r="I1092" s="959"/>
      <c r="J1092" s="959"/>
      <c r="K1092" s="959"/>
      <c r="L1092" s="959"/>
      <c r="M1092" s="959"/>
      <c r="N1092" s="959"/>
      <c r="O1092" s="959"/>
      <c r="P1092" s="959"/>
      <c r="Q1092" s="959"/>
      <c r="R1092" s="959"/>
      <c r="S1092" s="959"/>
      <c r="T1092" s="959"/>
      <c r="U1092" s="959"/>
      <c r="V1092" s="959"/>
      <c r="W1092" s="959"/>
      <c r="X1092" s="959"/>
      <c r="Y1092" s="959"/>
      <c r="Z1092" s="959"/>
      <c r="AA1092" s="959"/>
      <c r="AB1092" s="959"/>
      <c r="AC1092" s="959"/>
      <c r="AD1092" s="959"/>
      <c r="AE1092" s="959"/>
      <c r="AF1092" s="959"/>
      <c r="AG1092" s="959"/>
      <c r="AH1092" s="959"/>
      <c r="AI1092" s="959"/>
      <c r="AJ1092" s="959"/>
      <c r="AK1092" s="959"/>
      <c r="AL1092" s="959"/>
      <c r="AM1092" s="959"/>
    </row>
    <row r="1093" spans="3:39" x14ac:dyDescent="0.25">
      <c r="C1093" s="959"/>
      <c r="D1093" s="959"/>
      <c r="E1093" s="959"/>
      <c r="F1093" s="959"/>
      <c r="G1093" s="959"/>
      <c r="H1093" s="959"/>
      <c r="I1093" s="959"/>
      <c r="J1093" s="959"/>
      <c r="K1093" s="959"/>
      <c r="L1093" s="959"/>
      <c r="M1093" s="959"/>
      <c r="N1093" s="959"/>
      <c r="O1093" s="959"/>
      <c r="P1093" s="959"/>
      <c r="Q1093" s="959"/>
      <c r="R1093" s="959"/>
      <c r="S1093" s="959"/>
      <c r="T1093" s="959"/>
      <c r="U1093" s="959"/>
      <c r="V1093" s="959"/>
      <c r="W1093" s="959"/>
      <c r="X1093" s="959"/>
      <c r="Y1093" s="959"/>
      <c r="Z1093" s="959"/>
      <c r="AA1093" s="959"/>
      <c r="AB1093" s="959"/>
      <c r="AC1093" s="959"/>
      <c r="AD1093" s="959"/>
      <c r="AE1093" s="959"/>
      <c r="AF1093" s="959"/>
      <c r="AG1093" s="959"/>
      <c r="AH1093" s="959"/>
      <c r="AI1093" s="959"/>
      <c r="AJ1093" s="959"/>
      <c r="AK1093" s="959"/>
      <c r="AL1093" s="959"/>
      <c r="AM1093" s="959"/>
    </row>
    <row r="1094" spans="3:39" x14ac:dyDescent="0.25">
      <c r="C1094" s="959"/>
      <c r="D1094" s="959"/>
      <c r="E1094" s="959"/>
      <c r="F1094" s="959"/>
      <c r="G1094" s="959"/>
      <c r="H1094" s="959"/>
      <c r="I1094" s="959"/>
      <c r="J1094" s="959"/>
      <c r="K1094" s="959"/>
      <c r="L1094" s="959"/>
      <c r="M1094" s="959"/>
      <c r="N1094" s="959"/>
      <c r="O1094" s="959"/>
      <c r="P1094" s="959"/>
      <c r="Q1094" s="959"/>
      <c r="R1094" s="959"/>
      <c r="S1094" s="959"/>
      <c r="T1094" s="959"/>
      <c r="U1094" s="959"/>
      <c r="V1094" s="959"/>
      <c r="W1094" s="959"/>
      <c r="X1094" s="959"/>
      <c r="Y1094" s="959"/>
      <c r="Z1094" s="959"/>
      <c r="AA1094" s="959"/>
      <c r="AB1094" s="959"/>
      <c r="AC1094" s="959"/>
      <c r="AD1094" s="959"/>
      <c r="AE1094" s="959"/>
      <c r="AF1094" s="959"/>
      <c r="AG1094" s="959"/>
      <c r="AH1094" s="959"/>
      <c r="AI1094" s="959"/>
      <c r="AJ1094" s="959"/>
      <c r="AK1094" s="959"/>
      <c r="AL1094" s="959"/>
      <c r="AM1094" s="959"/>
    </row>
    <row r="1095" spans="3:39" x14ac:dyDescent="0.25">
      <c r="C1095" s="959"/>
      <c r="D1095" s="959"/>
      <c r="E1095" s="959"/>
      <c r="F1095" s="959"/>
      <c r="G1095" s="959"/>
      <c r="H1095" s="959"/>
      <c r="I1095" s="959"/>
      <c r="J1095" s="959"/>
      <c r="K1095" s="959"/>
      <c r="L1095" s="959"/>
      <c r="M1095" s="959"/>
      <c r="N1095" s="959"/>
      <c r="O1095" s="959"/>
      <c r="P1095" s="959"/>
      <c r="Q1095" s="959"/>
      <c r="R1095" s="959"/>
      <c r="S1095" s="959"/>
      <c r="T1095" s="959"/>
      <c r="U1095" s="959"/>
      <c r="V1095" s="959"/>
      <c r="W1095" s="959"/>
      <c r="X1095" s="959"/>
      <c r="Y1095" s="959"/>
      <c r="Z1095" s="959"/>
      <c r="AA1095" s="959"/>
      <c r="AB1095" s="959"/>
      <c r="AC1095" s="959"/>
      <c r="AD1095" s="959"/>
      <c r="AE1095" s="959"/>
      <c r="AF1095" s="959"/>
      <c r="AG1095" s="959"/>
      <c r="AH1095" s="959"/>
      <c r="AI1095" s="959"/>
      <c r="AJ1095" s="959"/>
      <c r="AK1095" s="959"/>
      <c r="AL1095" s="959"/>
      <c r="AM1095" s="959"/>
    </row>
    <row r="1096" spans="3:39" x14ac:dyDescent="0.25">
      <c r="C1096" s="959"/>
      <c r="D1096" s="959"/>
      <c r="E1096" s="959"/>
      <c r="F1096" s="959"/>
      <c r="G1096" s="959"/>
      <c r="H1096" s="959"/>
      <c r="I1096" s="959"/>
      <c r="J1096" s="959"/>
      <c r="K1096" s="959"/>
      <c r="L1096" s="959"/>
      <c r="M1096" s="959"/>
      <c r="N1096" s="959"/>
      <c r="O1096" s="959"/>
      <c r="P1096" s="959"/>
      <c r="Q1096" s="959"/>
      <c r="R1096" s="959"/>
      <c r="S1096" s="959"/>
      <c r="T1096" s="959"/>
      <c r="U1096" s="959"/>
      <c r="V1096" s="959"/>
      <c r="W1096" s="959"/>
      <c r="X1096" s="959"/>
      <c r="Y1096" s="959"/>
      <c r="Z1096" s="959"/>
      <c r="AA1096" s="959"/>
      <c r="AB1096" s="959"/>
      <c r="AC1096" s="959"/>
      <c r="AD1096" s="959"/>
      <c r="AE1096" s="959"/>
      <c r="AF1096" s="959"/>
      <c r="AG1096" s="959"/>
      <c r="AH1096" s="959"/>
      <c r="AI1096" s="959"/>
      <c r="AJ1096" s="959"/>
      <c r="AK1096" s="959"/>
      <c r="AL1096" s="959"/>
      <c r="AM1096" s="959"/>
    </row>
    <row r="1097" spans="3:39" x14ac:dyDescent="0.25">
      <c r="C1097" s="959"/>
      <c r="D1097" s="959"/>
      <c r="E1097" s="959"/>
      <c r="F1097" s="959"/>
      <c r="G1097" s="959"/>
      <c r="H1097" s="959"/>
      <c r="I1097" s="959"/>
      <c r="J1097" s="959"/>
      <c r="K1097" s="959"/>
      <c r="L1097" s="959"/>
      <c r="M1097" s="959"/>
      <c r="N1097" s="959"/>
      <c r="O1097" s="959"/>
      <c r="P1097" s="959"/>
      <c r="Q1097" s="959"/>
      <c r="R1097" s="959"/>
      <c r="S1097" s="959"/>
      <c r="T1097" s="959"/>
      <c r="U1097" s="959"/>
      <c r="V1097" s="959"/>
      <c r="W1097" s="959"/>
      <c r="X1097" s="959"/>
      <c r="Y1097" s="959"/>
      <c r="Z1097" s="959"/>
      <c r="AA1097" s="959"/>
      <c r="AB1097" s="959"/>
      <c r="AC1097" s="959"/>
      <c r="AD1097" s="959"/>
      <c r="AE1097" s="959"/>
      <c r="AF1097" s="959"/>
      <c r="AG1097" s="959"/>
      <c r="AH1097" s="959"/>
      <c r="AI1097" s="959"/>
      <c r="AJ1097" s="959"/>
      <c r="AK1097" s="959"/>
      <c r="AL1097" s="959"/>
      <c r="AM1097" s="959"/>
    </row>
    <row r="1098" spans="3:39" x14ac:dyDescent="0.25">
      <c r="C1098" s="959"/>
      <c r="D1098" s="959"/>
      <c r="E1098" s="959"/>
      <c r="F1098" s="959"/>
      <c r="G1098" s="959"/>
      <c r="H1098" s="959"/>
      <c r="I1098" s="959"/>
      <c r="J1098" s="959"/>
      <c r="K1098" s="959"/>
      <c r="L1098" s="959"/>
      <c r="M1098" s="959"/>
      <c r="N1098" s="959"/>
      <c r="O1098" s="959"/>
      <c r="P1098" s="959"/>
      <c r="Q1098" s="959"/>
      <c r="R1098" s="959"/>
      <c r="S1098" s="959"/>
      <c r="T1098" s="959"/>
      <c r="U1098" s="959"/>
      <c r="V1098" s="959"/>
      <c r="W1098" s="959"/>
      <c r="X1098" s="959"/>
      <c r="Y1098" s="959"/>
      <c r="Z1098" s="959"/>
      <c r="AA1098" s="959"/>
      <c r="AB1098" s="959"/>
      <c r="AC1098" s="959"/>
      <c r="AD1098" s="959"/>
      <c r="AE1098" s="959"/>
      <c r="AF1098" s="959"/>
      <c r="AG1098" s="959"/>
      <c r="AH1098" s="959"/>
      <c r="AI1098" s="959"/>
      <c r="AJ1098" s="959"/>
      <c r="AK1098" s="959"/>
      <c r="AL1098" s="959"/>
      <c r="AM1098" s="959"/>
    </row>
    <row r="1099" spans="3:39" x14ac:dyDescent="0.25">
      <c r="C1099" s="959"/>
      <c r="D1099" s="959"/>
      <c r="E1099" s="959"/>
      <c r="F1099" s="959"/>
      <c r="G1099" s="959"/>
      <c r="H1099" s="959"/>
      <c r="I1099" s="959"/>
      <c r="J1099" s="959"/>
      <c r="K1099" s="959"/>
      <c r="L1099" s="959"/>
      <c r="M1099" s="959"/>
      <c r="N1099" s="959"/>
      <c r="O1099" s="959"/>
      <c r="P1099" s="959"/>
      <c r="Q1099" s="959"/>
      <c r="R1099" s="959"/>
      <c r="S1099" s="959"/>
      <c r="T1099" s="959"/>
      <c r="U1099" s="959"/>
      <c r="V1099" s="959"/>
      <c r="W1099" s="959"/>
      <c r="X1099" s="959"/>
      <c r="Y1099" s="959"/>
      <c r="Z1099" s="959"/>
      <c r="AA1099" s="959"/>
      <c r="AB1099" s="959"/>
      <c r="AC1099" s="959"/>
      <c r="AD1099" s="959"/>
      <c r="AE1099" s="959"/>
      <c r="AF1099" s="959"/>
      <c r="AG1099" s="959"/>
      <c r="AH1099" s="959"/>
      <c r="AI1099" s="959"/>
      <c r="AJ1099" s="959"/>
      <c r="AK1099" s="959"/>
      <c r="AL1099" s="959"/>
      <c r="AM1099" s="959"/>
    </row>
    <row r="1100" spans="3:39" x14ac:dyDescent="0.25">
      <c r="C1100" s="959"/>
      <c r="D1100" s="959"/>
      <c r="E1100" s="959"/>
      <c r="F1100" s="959"/>
      <c r="G1100" s="959"/>
      <c r="H1100" s="959"/>
      <c r="I1100" s="959"/>
      <c r="J1100" s="959"/>
      <c r="K1100" s="959"/>
      <c r="L1100" s="959"/>
      <c r="M1100" s="959"/>
      <c r="N1100" s="959"/>
      <c r="O1100" s="959"/>
      <c r="P1100" s="959"/>
      <c r="Q1100" s="959"/>
      <c r="R1100" s="959"/>
      <c r="S1100" s="959"/>
      <c r="T1100" s="959"/>
      <c r="U1100" s="959"/>
      <c r="V1100" s="959"/>
      <c r="W1100" s="959"/>
      <c r="X1100" s="959"/>
      <c r="Y1100" s="959"/>
      <c r="Z1100" s="959"/>
      <c r="AA1100" s="959"/>
      <c r="AB1100" s="959"/>
      <c r="AC1100" s="959"/>
      <c r="AD1100" s="959"/>
      <c r="AE1100" s="959"/>
      <c r="AF1100" s="959"/>
      <c r="AG1100" s="959"/>
      <c r="AH1100" s="959"/>
      <c r="AI1100" s="959"/>
      <c r="AJ1100" s="959"/>
      <c r="AK1100" s="959"/>
      <c r="AL1100" s="959"/>
      <c r="AM1100" s="959"/>
    </row>
    <row r="1101" spans="3:39" x14ac:dyDescent="0.25">
      <c r="C1101" s="959"/>
      <c r="D1101" s="959"/>
      <c r="E1101" s="959"/>
      <c r="F1101" s="959"/>
      <c r="G1101" s="959"/>
      <c r="H1101" s="959"/>
      <c r="I1101" s="959"/>
      <c r="J1101" s="959"/>
      <c r="K1101" s="959"/>
      <c r="L1101" s="959"/>
      <c r="M1101" s="959"/>
      <c r="N1101" s="959"/>
      <c r="O1101" s="959"/>
      <c r="P1101" s="959"/>
      <c r="Q1101" s="959"/>
      <c r="R1101" s="959"/>
      <c r="S1101" s="959"/>
      <c r="T1101" s="959"/>
      <c r="U1101" s="959"/>
      <c r="V1101" s="959"/>
      <c r="W1101" s="959"/>
      <c r="X1101" s="959"/>
      <c r="Y1101" s="959"/>
      <c r="Z1101" s="959"/>
      <c r="AA1101" s="959"/>
      <c r="AB1101" s="959"/>
      <c r="AC1101" s="959"/>
      <c r="AD1101" s="959"/>
      <c r="AE1101" s="959"/>
      <c r="AF1101" s="959"/>
      <c r="AG1101" s="959"/>
      <c r="AH1101" s="959"/>
      <c r="AI1101" s="959"/>
      <c r="AJ1101" s="959"/>
      <c r="AK1101" s="959"/>
      <c r="AL1101" s="959"/>
      <c r="AM1101" s="959"/>
    </row>
    <row r="1102" spans="3:39" x14ac:dyDescent="0.25">
      <c r="C1102" s="959"/>
      <c r="D1102" s="959"/>
      <c r="E1102" s="959"/>
      <c r="F1102" s="959"/>
      <c r="G1102" s="959"/>
      <c r="H1102" s="959"/>
      <c r="I1102" s="959"/>
      <c r="J1102" s="959"/>
      <c r="K1102" s="959"/>
      <c r="L1102" s="959"/>
      <c r="M1102" s="959"/>
      <c r="N1102" s="959"/>
      <c r="O1102" s="959"/>
      <c r="P1102" s="959"/>
      <c r="Q1102" s="959"/>
      <c r="R1102" s="959"/>
      <c r="S1102" s="959"/>
      <c r="T1102" s="959"/>
      <c r="U1102" s="959"/>
      <c r="V1102" s="959"/>
      <c r="W1102" s="959"/>
      <c r="X1102" s="959"/>
      <c r="Y1102" s="959"/>
      <c r="Z1102" s="959"/>
      <c r="AA1102" s="959"/>
      <c r="AB1102" s="959"/>
      <c r="AC1102" s="959"/>
      <c r="AD1102" s="959"/>
      <c r="AE1102" s="959"/>
      <c r="AF1102" s="959"/>
      <c r="AG1102" s="959"/>
      <c r="AH1102" s="959"/>
      <c r="AI1102" s="959"/>
      <c r="AJ1102" s="959"/>
      <c r="AK1102" s="959"/>
      <c r="AL1102" s="959"/>
      <c r="AM1102" s="959"/>
    </row>
    <row r="1103" spans="3:39" x14ac:dyDescent="0.25">
      <c r="C1103" s="959"/>
      <c r="D1103" s="959"/>
      <c r="E1103" s="959"/>
      <c r="F1103" s="959"/>
      <c r="G1103" s="959"/>
      <c r="H1103" s="959"/>
      <c r="I1103" s="959"/>
      <c r="J1103" s="959"/>
      <c r="K1103" s="959"/>
      <c r="L1103" s="959"/>
      <c r="M1103" s="959"/>
      <c r="N1103" s="959"/>
      <c r="O1103" s="959"/>
      <c r="P1103" s="959"/>
      <c r="Q1103" s="959"/>
      <c r="R1103" s="959"/>
      <c r="S1103" s="959"/>
      <c r="T1103" s="959"/>
      <c r="U1103" s="959"/>
      <c r="V1103" s="959"/>
      <c r="W1103" s="959"/>
      <c r="X1103" s="959"/>
      <c r="Y1103" s="959"/>
      <c r="Z1103" s="959"/>
      <c r="AA1103" s="959"/>
      <c r="AB1103" s="959"/>
      <c r="AC1103" s="959"/>
      <c r="AD1103" s="959"/>
      <c r="AE1103" s="959"/>
      <c r="AF1103" s="959"/>
      <c r="AG1103" s="959"/>
      <c r="AH1103" s="959"/>
      <c r="AI1103" s="959"/>
      <c r="AJ1103" s="959"/>
      <c r="AK1103" s="959"/>
      <c r="AL1103" s="959"/>
      <c r="AM1103" s="959"/>
    </row>
    <row r="1104" spans="3:39" x14ac:dyDescent="0.25">
      <c r="C1104" s="959"/>
      <c r="D1104" s="959"/>
      <c r="E1104" s="959"/>
      <c r="F1104" s="959"/>
      <c r="G1104" s="959"/>
      <c r="H1104" s="959"/>
      <c r="I1104" s="959"/>
      <c r="J1104" s="959"/>
      <c r="K1104" s="959"/>
      <c r="L1104" s="959"/>
      <c r="M1104" s="959"/>
      <c r="N1104" s="959"/>
      <c r="O1104" s="959"/>
      <c r="P1104" s="959"/>
      <c r="Q1104" s="959"/>
      <c r="R1104" s="959"/>
      <c r="S1104" s="959"/>
      <c r="T1104" s="959"/>
      <c r="U1104" s="959"/>
      <c r="V1104" s="959"/>
      <c r="W1104" s="959"/>
      <c r="X1104" s="959"/>
      <c r="Y1104" s="959"/>
      <c r="Z1104" s="959"/>
      <c r="AA1104" s="959"/>
      <c r="AB1104" s="959"/>
      <c r="AC1104" s="959"/>
      <c r="AD1104" s="959"/>
      <c r="AE1104" s="959"/>
      <c r="AF1104" s="959"/>
      <c r="AG1104" s="959"/>
      <c r="AH1104" s="959"/>
      <c r="AI1104" s="959"/>
      <c r="AJ1104" s="959"/>
      <c r="AK1104" s="959"/>
      <c r="AL1104" s="959"/>
      <c r="AM1104" s="959"/>
    </row>
    <row r="1105" spans="3:39" x14ac:dyDescent="0.25">
      <c r="C1105" s="959"/>
      <c r="D1105" s="959"/>
      <c r="E1105" s="959"/>
      <c r="F1105" s="959"/>
      <c r="G1105" s="959"/>
      <c r="H1105" s="959"/>
      <c r="I1105" s="959"/>
      <c r="J1105" s="959"/>
      <c r="K1105" s="959"/>
      <c r="L1105" s="959"/>
      <c r="M1105" s="959"/>
      <c r="N1105" s="959"/>
      <c r="O1105" s="959"/>
      <c r="P1105" s="959"/>
      <c r="Q1105" s="959"/>
      <c r="R1105" s="959"/>
      <c r="S1105" s="959"/>
      <c r="T1105" s="959"/>
      <c r="U1105" s="959"/>
      <c r="V1105" s="959"/>
      <c r="W1105" s="959"/>
      <c r="X1105" s="959"/>
      <c r="Y1105" s="959"/>
      <c r="Z1105" s="959"/>
      <c r="AA1105" s="959"/>
      <c r="AB1105" s="959"/>
      <c r="AC1105" s="959"/>
      <c r="AD1105" s="959"/>
      <c r="AE1105" s="959"/>
      <c r="AF1105" s="959"/>
      <c r="AG1105" s="959"/>
      <c r="AH1105" s="959"/>
      <c r="AI1105" s="959"/>
      <c r="AJ1105" s="959"/>
      <c r="AK1105" s="959"/>
      <c r="AL1105" s="959"/>
      <c r="AM1105" s="959"/>
    </row>
    <row r="1106" spans="3:39" x14ac:dyDescent="0.25">
      <c r="C1106" s="959"/>
      <c r="D1106" s="959"/>
      <c r="E1106" s="959"/>
      <c r="F1106" s="959"/>
      <c r="G1106" s="959"/>
      <c r="H1106" s="959"/>
      <c r="I1106" s="959"/>
      <c r="J1106" s="959"/>
      <c r="K1106" s="959"/>
      <c r="L1106" s="959"/>
      <c r="M1106" s="959"/>
      <c r="N1106" s="959"/>
      <c r="O1106" s="959"/>
      <c r="P1106" s="959"/>
      <c r="Q1106" s="959"/>
      <c r="R1106" s="959"/>
      <c r="S1106" s="959"/>
      <c r="T1106" s="959"/>
      <c r="U1106" s="959"/>
      <c r="V1106" s="959"/>
      <c r="W1106" s="959"/>
      <c r="X1106" s="959"/>
      <c r="Y1106" s="959"/>
      <c r="Z1106" s="959"/>
      <c r="AA1106" s="959"/>
      <c r="AB1106" s="959"/>
      <c r="AC1106" s="959"/>
      <c r="AD1106" s="959"/>
      <c r="AE1106" s="959"/>
      <c r="AF1106" s="959"/>
      <c r="AG1106" s="959"/>
      <c r="AH1106" s="959"/>
      <c r="AI1106" s="959"/>
      <c r="AJ1106" s="959"/>
      <c r="AK1106" s="959"/>
      <c r="AL1106" s="959"/>
      <c r="AM1106" s="959"/>
    </row>
    <row r="1107" spans="3:39" x14ac:dyDescent="0.25">
      <c r="C1107" s="959"/>
      <c r="D1107" s="959"/>
      <c r="E1107" s="959"/>
      <c r="F1107" s="959"/>
      <c r="G1107" s="959"/>
      <c r="H1107" s="959"/>
      <c r="I1107" s="959"/>
      <c r="J1107" s="959"/>
      <c r="K1107" s="959"/>
      <c r="L1107" s="959"/>
      <c r="M1107" s="959"/>
      <c r="N1107" s="959"/>
      <c r="O1107" s="959"/>
      <c r="P1107" s="959"/>
      <c r="Q1107" s="959"/>
      <c r="R1107" s="959"/>
      <c r="S1107" s="959"/>
      <c r="T1107" s="959"/>
      <c r="U1107" s="959"/>
      <c r="V1107" s="959"/>
      <c r="W1107" s="959"/>
      <c r="X1107" s="959"/>
      <c r="Y1107" s="959"/>
      <c r="Z1107" s="959"/>
      <c r="AA1107" s="959"/>
      <c r="AB1107" s="959"/>
      <c r="AC1107" s="959"/>
      <c r="AD1107" s="959"/>
      <c r="AE1107" s="959"/>
      <c r="AF1107" s="959"/>
      <c r="AG1107" s="959"/>
      <c r="AH1107" s="959"/>
      <c r="AI1107" s="959"/>
      <c r="AJ1107" s="959"/>
      <c r="AK1107" s="959"/>
      <c r="AL1107" s="959"/>
      <c r="AM1107" s="959"/>
    </row>
    <row r="1108" spans="3:39" x14ac:dyDescent="0.25">
      <c r="C1108" s="959"/>
      <c r="D1108" s="959"/>
      <c r="E1108" s="959"/>
      <c r="F1108" s="959"/>
      <c r="G1108" s="959"/>
      <c r="H1108" s="959"/>
      <c r="I1108" s="959"/>
      <c r="J1108" s="959"/>
      <c r="K1108" s="959"/>
      <c r="L1108" s="959"/>
      <c r="M1108" s="959"/>
      <c r="N1108" s="959"/>
      <c r="O1108" s="959"/>
      <c r="P1108" s="959"/>
      <c r="Q1108" s="959"/>
      <c r="R1108" s="959"/>
      <c r="S1108" s="959"/>
      <c r="T1108" s="959"/>
      <c r="U1108" s="959"/>
      <c r="V1108" s="959"/>
      <c r="W1108" s="959"/>
      <c r="X1108" s="959"/>
      <c r="Y1108" s="959"/>
      <c r="Z1108" s="959"/>
      <c r="AA1108" s="959"/>
      <c r="AB1108" s="959"/>
      <c r="AC1108" s="959"/>
      <c r="AD1108" s="959"/>
      <c r="AE1108" s="959"/>
      <c r="AF1108" s="959"/>
      <c r="AG1108" s="959"/>
      <c r="AH1108" s="959"/>
      <c r="AI1108" s="959"/>
      <c r="AJ1108" s="959"/>
      <c r="AK1108" s="959"/>
      <c r="AL1108" s="959"/>
      <c r="AM1108" s="959"/>
    </row>
    <row r="1109" spans="3:39" x14ac:dyDescent="0.25">
      <c r="C1109" s="959"/>
      <c r="D1109" s="959"/>
      <c r="E1109" s="959"/>
      <c r="F1109" s="959"/>
      <c r="G1109" s="959"/>
      <c r="H1109" s="959"/>
      <c r="I1109" s="959"/>
      <c r="J1109" s="959"/>
      <c r="K1109" s="959"/>
      <c r="L1109" s="959"/>
      <c r="M1109" s="959"/>
      <c r="N1109" s="959"/>
      <c r="O1109" s="959"/>
      <c r="P1109" s="959"/>
      <c r="Q1109" s="959"/>
      <c r="R1109" s="959"/>
      <c r="S1109" s="959"/>
      <c r="T1109" s="959"/>
      <c r="U1109" s="959"/>
      <c r="V1109" s="959"/>
      <c r="W1109" s="959"/>
      <c r="X1109" s="959"/>
      <c r="Y1109" s="959"/>
      <c r="Z1109" s="959"/>
      <c r="AA1109" s="959"/>
      <c r="AB1109" s="959"/>
      <c r="AC1109" s="959"/>
      <c r="AD1109" s="959"/>
      <c r="AE1109" s="959"/>
      <c r="AF1109" s="959"/>
      <c r="AG1109" s="959"/>
      <c r="AH1109" s="959"/>
      <c r="AI1109" s="959"/>
      <c r="AJ1109" s="959"/>
      <c r="AK1109" s="959"/>
      <c r="AL1109" s="959"/>
      <c r="AM1109" s="959"/>
    </row>
    <row r="1110" spans="3:39" x14ac:dyDescent="0.25">
      <c r="C1110" s="959"/>
      <c r="D1110" s="959"/>
      <c r="E1110" s="959"/>
      <c r="F1110" s="959"/>
      <c r="G1110" s="959"/>
      <c r="H1110" s="959"/>
      <c r="I1110" s="959"/>
      <c r="J1110" s="959"/>
      <c r="K1110" s="959"/>
      <c r="L1110" s="959"/>
      <c r="M1110" s="959"/>
      <c r="N1110" s="959"/>
      <c r="O1110" s="959"/>
      <c r="P1110" s="959"/>
      <c r="Q1110" s="959"/>
      <c r="R1110" s="959"/>
      <c r="S1110" s="959"/>
      <c r="T1110" s="959"/>
      <c r="U1110" s="959"/>
      <c r="V1110" s="959"/>
      <c r="W1110" s="959"/>
      <c r="X1110" s="959"/>
      <c r="Y1110" s="959"/>
      <c r="Z1110" s="959"/>
      <c r="AA1110" s="959"/>
      <c r="AB1110" s="959"/>
      <c r="AC1110" s="959"/>
      <c r="AD1110" s="959"/>
      <c r="AE1110" s="959"/>
      <c r="AF1110" s="959"/>
      <c r="AG1110" s="959"/>
      <c r="AH1110" s="959"/>
      <c r="AI1110" s="959"/>
      <c r="AJ1110" s="959"/>
      <c r="AK1110" s="959"/>
      <c r="AL1110" s="959"/>
      <c r="AM1110" s="959"/>
    </row>
    <row r="1111" spans="3:39" x14ac:dyDescent="0.25">
      <c r="C1111" s="959"/>
      <c r="D1111" s="959"/>
      <c r="E1111" s="959"/>
      <c r="F1111" s="959"/>
      <c r="G1111" s="959"/>
      <c r="H1111" s="959"/>
      <c r="I1111" s="959"/>
      <c r="J1111" s="959"/>
      <c r="K1111" s="959"/>
      <c r="L1111" s="959"/>
      <c r="M1111" s="959"/>
      <c r="N1111" s="959"/>
      <c r="O1111" s="959"/>
      <c r="P1111" s="959"/>
      <c r="Q1111" s="959"/>
      <c r="R1111" s="959"/>
      <c r="S1111" s="959"/>
      <c r="T1111" s="959"/>
      <c r="U1111" s="959"/>
      <c r="V1111" s="959"/>
      <c r="W1111" s="959"/>
      <c r="X1111" s="959"/>
      <c r="Y1111" s="959"/>
      <c r="Z1111" s="959"/>
      <c r="AA1111" s="959"/>
      <c r="AB1111" s="959"/>
      <c r="AC1111" s="959"/>
      <c r="AD1111" s="959"/>
      <c r="AE1111" s="959"/>
      <c r="AF1111" s="959"/>
      <c r="AG1111" s="959"/>
      <c r="AH1111" s="959"/>
      <c r="AI1111" s="959"/>
      <c r="AJ1111" s="959"/>
      <c r="AK1111" s="959"/>
      <c r="AL1111" s="959"/>
      <c r="AM1111" s="959"/>
    </row>
    <row r="1112" spans="3:39" x14ac:dyDescent="0.25">
      <c r="C1112" s="959"/>
      <c r="D1112" s="959"/>
      <c r="E1112" s="959"/>
      <c r="F1112" s="959"/>
      <c r="G1112" s="959"/>
      <c r="H1112" s="959"/>
      <c r="I1112" s="959"/>
      <c r="J1112" s="959"/>
      <c r="K1112" s="959"/>
      <c r="L1112" s="959"/>
      <c r="M1112" s="959"/>
      <c r="N1112" s="959"/>
      <c r="O1112" s="959"/>
      <c r="P1112" s="959"/>
      <c r="Q1112" s="959"/>
      <c r="R1112" s="959"/>
      <c r="S1112" s="959"/>
      <c r="T1112" s="959"/>
      <c r="U1112" s="959"/>
      <c r="V1112" s="959"/>
      <c r="W1112" s="959"/>
      <c r="X1112" s="959"/>
      <c r="Y1112" s="959"/>
      <c r="Z1112" s="959"/>
      <c r="AA1112" s="959"/>
      <c r="AB1112" s="959"/>
      <c r="AC1112" s="959"/>
      <c r="AD1112" s="959"/>
      <c r="AE1112" s="959"/>
      <c r="AF1112" s="959"/>
      <c r="AG1112" s="959"/>
      <c r="AH1112" s="959"/>
      <c r="AI1112" s="959"/>
      <c r="AJ1112" s="959"/>
      <c r="AK1112" s="959"/>
      <c r="AL1112" s="959"/>
      <c r="AM1112" s="959"/>
    </row>
    <row r="1113" spans="3:39" x14ac:dyDescent="0.25">
      <c r="C1113" s="959"/>
      <c r="D1113" s="959"/>
      <c r="E1113" s="959"/>
      <c r="F1113" s="959"/>
      <c r="G1113" s="959"/>
      <c r="H1113" s="959"/>
      <c r="I1113" s="959"/>
      <c r="J1113" s="959"/>
      <c r="K1113" s="959"/>
      <c r="L1113" s="959"/>
      <c r="M1113" s="959"/>
      <c r="N1113" s="959"/>
      <c r="O1113" s="959"/>
      <c r="P1113" s="959"/>
      <c r="Q1113" s="959"/>
      <c r="R1113" s="959"/>
      <c r="S1113" s="959"/>
      <c r="T1113" s="959"/>
      <c r="U1113" s="959"/>
      <c r="V1113" s="959"/>
      <c r="W1113" s="959"/>
      <c r="X1113" s="959"/>
      <c r="Y1113" s="959"/>
      <c r="Z1113" s="959"/>
      <c r="AA1113" s="959"/>
      <c r="AB1113" s="959"/>
      <c r="AC1113" s="959"/>
      <c r="AD1113" s="959"/>
      <c r="AE1113" s="959"/>
      <c r="AF1113" s="959"/>
      <c r="AG1113" s="959"/>
      <c r="AH1113" s="959"/>
      <c r="AI1113" s="959"/>
      <c r="AJ1113" s="959"/>
      <c r="AK1113" s="959"/>
      <c r="AL1113" s="959"/>
      <c r="AM1113" s="959"/>
    </row>
    <row r="1114" spans="3:39" x14ac:dyDescent="0.25">
      <c r="C1114" s="959"/>
      <c r="D1114" s="959"/>
      <c r="E1114" s="959"/>
      <c r="F1114" s="959"/>
      <c r="G1114" s="959"/>
      <c r="H1114" s="959"/>
      <c r="I1114" s="959"/>
      <c r="J1114" s="959"/>
      <c r="K1114" s="959"/>
      <c r="L1114" s="959"/>
      <c r="M1114" s="959"/>
      <c r="N1114" s="959"/>
      <c r="O1114" s="959"/>
      <c r="P1114" s="959"/>
      <c r="Q1114" s="959"/>
      <c r="R1114" s="959"/>
      <c r="S1114" s="959"/>
      <c r="T1114" s="959"/>
      <c r="U1114" s="959"/>
      <c r="V1114" s="959"/>
      <c r="W1114" s="959"/>
      <c r="X1114" s="959"/>
      <c r="Y1114" s="959"/>
      <c r="Z1114" s="959"/>
      <c r="AA1114" s="959"/>
      <c r="AB1114" s="959"/>
      <c r="AC1114" s="959"/>
      <c r="AD1114" s="959"/>
      <c r="AE1114" s="959"/>
      <c r="AF1114" s="959"/>
      <c r="AG1114" s="959"/>
      <c r="AH1114" s="959"/>
      <c r="AI1114" s="959"/>
      <c r="AJ1114" s="959"/>
      <c r="AK1114" s="959"/>
      <c r="AL1114" s="959"/>
      <c r="AM1114" s="959"/>
    </row>
    <row r="1115" spans="3:39" x14ac:dyDescent="0.25">
      <c r="C1115" s="959"/>
      <c r="D1115" s="959"/>
      <c r="E1115" s="959"/>
      <c r="F1115" s="959"/>
      <c r="G1115" s="959"/>
      <c r="H1115" s="959"/>
      <c r="I1115" s="959"/>
      <c r="J1115" s="959"/>
      <c r="K1115" s="959"/>
      <c r="L1115" s="959"/>
      <c r="M1115" s="959"/>
      <c r="N1115" s="959"/>
      <c r="O1115" s="959"/>
      <c r="P1115" s="959"/>
      <c r="Q1115" s="959"/>
      <c r="R1115" s="959"/>
      <c r="S1115" s="959"/>
      <c r="T1115" s="959"/>
      <c r="U1115" s="959"/>
      <c r="V1115" s="959"/>
      <c r="W1115" s="959"/>
      <c r="X1115" s="959"/>
      <c r="Y1115" s="959"/>
      <c r="Z1115" s="959"/>
      <c r="AA1115" s="959"/>
      <c r="AB1115" s="959"/>
      <c r="AC1115" s="959"/>
      <c r="AD1115" s="959"/>
      <c r="AE1115" s="959"/>
      <c r="AF1115" s="959"/>
      <c r="AG1115" s="959"/>
      <c r="AH1115" s="959"/>
      <c r="AI1115" s="959"/>
      <c r="AJ1115" s="959"/>
      <c r="AK1115" s="959"/>
      <c r="AL1115" s="959"/>
      <c r="AM1115" s="959"/>
    </row>
    <row r="1116" spans="3:39" x14ac:dyDescent="0.25">
      <c r="C1116" s="959"/>
      <c r="D1116" s="959"/>
      <c r="E1116" s="959"/>
      <c r="F1116" s="959"/>
      <c r="G1116" s="959"/>
      <c r="H1116" s="959"/>
      <c r="I1116" s="959"/>
      <c r="J1116" s="959"/>
      <c r="K1116" s="959"/>
      <c r="L1116" s="959"/>
      <c r="M1116" s="959"/>
      <c r="N1116" s="959"/>
      <c r="O1116" s="959"/>
      <c r="P1116" s="959"/>
      <c r="Q1116" s="959"/>
      <c r="R1116" s="959"/>
      <c r="S1116" s="959"/>
      <c r="T1116" s="959"/>
      <c r="U1116" s="959"/>
      <c r="V1116" s="959"/>
      <c r="W1116" s="959"/>
      <c r="X1116" s="959"/>
      <c r="Y1116" s="959"/>
      <c r="Z1116" s="959"/>
      <c r="AA1116" s="959"/>
      <c r="AB1116" s="959"/>
      <c r="AC1116" s="959"/>
      <c r="AD1116" s="959"/>
      <c r="AE1116" s="959"/>
      <c r="AF1116" s="959"/>
      <c r="AG1116" s="959"/>
      <c r="AH1116" s="959"/>
      <c r="AI1116" s="959"/>
      <c r="AJ1116" s="959"/>
      <c r="AK1116" s="959"/>
      <c r="AL1116" s="959"/>
      <c r="AM1116" s="959"/>
    </row>
    <row r="1117" spans="3:39" x14ac:dyDescent="0.25">
      <c r="C1117" s="959"/>
      <c r="D1117" s="959"/>
      <c r="E1117" s="959"/>
      <c r="F1117" s="959"/>
      <c r="G1117" s="959"/>
      <c r="H1117" s="959"/>
      <c r="I1117" s="959"/>
      <c r="J1117" s="959"/>
      <c r="K1117" s="959"/>
      <c r="L1117" s="959"/>
      <c r="M1117" s="959"/>
      <c r="N1117" s="959"/>
      <c r="O1117" s="959"/>
      <c r="P1117" s="959"/>
      <c r="Q1117" s="959"/>
      <c r="R1117" s="959"/>
      <c r="S1117" s="959"/>
      <c r="T1117" s="959"/>
      <c r="U1117" s="959"/>
      <c r="V1117" s="959"/>
      <c r="W1117" s="959"/>
      <c r="X1117" s="959"/>
      <c r="Y1117" s="959"/>
      <c r="Z1117" s="959"/>
      <c r="AA1117" s="959"/>
      <c r="AB1117" s="959"/>
      <c r="AC1117" s="959"/>
      <c r="AD1117" s="959"/>
      <c r="AE1117" s="959"/>
      <c r="AF1117" s="959"/>
      <c r="AG1117" s="959"/>
      <c r="AH1117" s="959"/>
      <c r="AI1117" s="959"/>
      <c r="AJ1117" s="959"/>
      <c r="AK1117" s="959"/>
      <c r="AL1117" s="959"/>
      <c r="AM1117" s="959"/>
    </row>
    <row r="1118" spans="3:39" x14ac:dyDescent="0.25">
      <c r="C1118" s="959"/>
      <c r="D1118" s="959"/>
      <c r="E1118" s="959"/>
      <c r="F1118" s="959"/>
      <c r="G1118" s="959"/>
      <c r="H1118" s="959"/>
      <c r="I1118" s="959"/>
      <c r="J1118" s="959"/>
      <c r="K1118" s="959"/>
      <c r="L1118" s="959"/>
      <c r="M1118" s="959"/>
      <c r="N1118" s="959"/>
      <c r="O1118" s="959"/>
      <c r="P1118" s="959"/>
      <c r="Q1118" s="959"/>
      <c r="R1118" s="959"/>
      <c r="S1118" s="959"/>
      <c r="T1118" s="959"/>
      <c r="U1118" s="959"/>
      <c r="V1118" s="959"/>
      <c r="W1118" s="959"/>
      <c r="X1118" s="959"/>
      <c r="Y1118" s="959"/>
      <c r="Z1118" s="959"/>
      <c r="AA1118" s="959"/>
      <c r="AB1118" s="959"/>
      <c r="AC1118" s="959"/>
      <c r="AD1118" s="959"/>
      <c r="AE1118" s="959"/>
      <c r="AF1118" s="959"/>
      <c r="AG1118" s="959"/>
      <c r="AH1118" s="959"/>
      <c r="AI1118" s="959"/>
      <c r="AJ1118" s="959"/>
      <c r="AK1118" s="959"/>
      <c r="AL1118" s="959"/>
      <c r="AM1118" s="959"/>
    </row>
    <row r="1119" spans="3:39" x14ac:dyDescent="0.25">
      <c r="C1119" s="959"/>
      <c r="D1119" s="959"/>
      <c r="E1119" s="959"/>
      <c r="F1119" s="959"/>
      <c r="G1119" s="959"/>
      <c r="H1119" s="959"/>
      <c r="I1119" s="959"/>
      <c r="J1119" s="959"/>
      <c r="K1119" s="959"/>
      <c r="L1119" s="959"/>
      <c r="M1119" s="959"/>
      <c r="N1119" s="959"/>
      <c r="O1119" s="959"/>
      <c r="P1119" s="959"/>
      <c r="Q1119" s="959"/>
      <c r="R1119" s="959"/>
      <c r="S1119" s="959"/>
      <c r="T1119" s="959"/>
      <c r="U1119" s="959"/>
      <c r="V1119" s="959"/>
      <c r="W1119" s="959"/>
      <c r="X1119" s="959"/>
      <c r="Y1119" s="959"/>
      <c r="Z1119" s="959"/>
      <c r="AA1119" s="959"/>
      <c r="AB1119" s="959"/>
      <c r="AC1119" s="959"/>
      <c r="AD1119" s="959"/>
      <c r="AE1119" s="959"/>
      <c r="AF1119" s="959"/>
      <c r="AG1119" s="959"/>
      <c r="AH1119" s="959"/>
      <c r="AI1119" s="959"/>
      <c r="AJ1119" s="959"/>
      <c r="AK1119" s="959"/>
      <c r="AL1119" s="959"/>
      <c r="AM1119" s="959"/>
    </row>
    <row r="1120" spans="3:39" x14ac:dyDescent="0.25">
      <c r="C1120" s="959"/>
      <c r="D1120" s="959"/>
      <c r="E1120" s="959"/>
      <c r="F1120" s="959"/>
      <c r="G1120" s="959"/>
      <c r="H1120" s="959"/>
      <c r="I1120" s="959"/>
      <c r="J1120" s="959"/>
      <c r="K1120" s="959"/>
      <c r="L1120" s="959"/>
      <c r="M1120" s="959"/>
      <c r="N1120" s="959"/>
      <c r="O1120" s="959"/>
      <c r="P1120" s="959"/>
      <c r="Q1120" s="959"/>
      <c r="R1120" s="959"/>
      <c r="S1120" s="959"/>
      <c r="T1120" s="959"/>
      <c r="U1120" s="959"/>
      <c r="V1120" s="959"/>
      <c r="W1120" s="959"/>
      <c r="X1120" s="959"/>
      <c r="Y1120" s="959"/>
      <c r="Z1120" s="959"/>
      <c r="AA1120" s="959"/>
      <c r="AB1120" s="959"/>
      <c r="AC1120" s="959"/>
      <c r="AD1120" s="959"/>
      <c r="AE1120" s="959"/>
      <c r="AF1120" s="959"/>
      <c r="AG1120" s="959"/>
      <c r="AH1120" s="959"/>
      <c r="AI1120" s="959"/>
      <c r="AJ1120" s="959"/>
      <c r="AK1120" s="959"/>
      <c r="AL1120" s="959"/>
      <c r="AM1120" s="959"/>
    </row>
    <row r="1121" spans="3:39" x14ac:dyDescent="0.25">
      <c r="C1121" s="959"/>
      <c r="D1121" s="959"/>
      <c r="E1121" s="959"/>
      <c r="F1121" s="959"/>
      <c r="G1121" s="959"/>
      <c r="H1121" s="959"/>
      <c r="I1121" s="959"/>
      <c r="J1121" s="959"/>
      <c r="K1121" s="959"/>
      <c r="L1121" s="959"/>
      <c r="M1121" s="959"/>
      <c r="N1121" s="959"/>
      <c r="O1121" s="959"/>
      <c r="P1121" s="959"/>
      <c r="Q1121" s="959"/>
      <c r="R1121" s="959"/>
      <c r="S1121" s="959"/>
      <c r="T1121" s="959"/>
      <c r="U1121" s="959"/>
      <c r="V1121" s="959"/>
      <c r="W1121" s="959"/>
      <c r="X1121" s="959"/>
      <c r="Y1121" s="959"/>
      <c r="Z1121" s="959"/>
      <c r="AA1121" s="959"/>
      <c r="AB1121" s="959"/>
      <c r="AC1121" s="959"/>
      <c r="AD1121" s="959"/>
      <c r="AE1121" s="959"/>
      <c r="AF1121" s="959"/>
      <c r="AG1121" s="959"/>
      <c r="AH1121" s="959"/>
      <c r="AI1121" s="959"/>
      <c r="AJ1121" s="959"/>
      <c r="AK1121" s="959"/>
      <c r="AL1121" s="959"/>
      <c r="AM1121" s="959"/>
    </row>
    <row r="1122" spans="3:39" x14ac:dyDescent="0.25">
      <c r="C1122" s="959"/>
      <c r="D1122" s="959"/>
      <c r="E1122" s="959"/>
      <c r="F1122" s="959"/>
      <c r="G1122" s="959"/>
      <c r="H1122" s="959"/>
      <c r="I1122" s="959"/>
      <c r="J1122" s="959"/>
      <c r="K1122" s="959"/>
      <c r="L1122" s="959"/>
      <c r="M1122" s="959"/>
      <c r="N1122" s="959"/>
      <c r="O1122" s="959"/>
      <c r="P1122" s="959"/>
      <c r="Q1122" s="959"/>
      <c r="R1122" s="959"/>
      <c r="S1122" s="959"/>
      <c r="T1122" s="959"/>
      <c r="U1122" s="959"/>
      <c r="V1122" s="959"/>
      <c r="W1122" s="959"/>
      <c r="X1122" s="959"/>
      <c r="Y1122" s="959"/>
      <c r="Z1122" s="959"/>
      <c r="AA1122" s="959"/>
      <c r="AB1122" s="959"/>
      <c r="AC1122" s="959"/>
      <c r="AD1122" s="959"/>
      <c r="AE1122" s="959"/>
      <c r="AF1122" s="959"/>
      <c r="AG1122" s="959"/>
      <c r="AH1122" s="959"/>
      <c r="AI1122" s="959"/>
      <c r="AJ1122" s="959"/>
      <c r="AK1122" s="959"/>
      <c r="AL1122" s="959"/>
      <c r="AM1122" s="959"/>
    </row>
    <row r="1123" spans="3:39" x14ac:dyDescent="0.25">
      <c r="C1123" s="959"/>
      <c r="D1123" s="959"/>
      <c r="E1123" s="959"/>
      <c r="F1123" s="959"/>
      <c r="G1123" s="959"/>
      <c r="H1123" s="959"/>
      <c r="I1123" s="959"/>
      <c r="J1123" s="959"/>
      <c r="K1123" s="959"/>
      <c r="L1123" s="959"/>
      <c r="M1123" s="959"/>
      <c r="N1123" s="959"/>
      <c r="O1123" s="959"/>
      <c r="P1123" s="959"/>
      <c r="Q1123" s="959"/>
      <c r="R1123" s="959"/>
      <c r="S1123" s="959"/>
      <c r="T1123" s="959"/>
      <c r="U1123" s="959"/>
      <c r="V1123" s="959"/>
      <c r="W1123" s="959"/>
      <c r="X1123" s="959"/>
      <c r="Y1123" s="959"/>
      <c r="Z1123" s="959"/>
      <c r="AA1123" s="959"/>
      <c r="AB1123" s="959"/>
      <c r="AC1123" s="959"/>
      <c r="AD1123" s="959"/>
      <c r="AE1123" s="959"/>
      <c r="AF1123" s="959"/>
      <c r="AG1123" s="959"/>
      <c r="AH1123" s="959"/>
      <c r="AI1123" s="959"/>
      <c r="AJ1123" s="959"/>
      <c r="AK1123" s="959"/>
      <c r="AL1123" s="959"/>
      <c r="AM1123" s="959"/>
    </row>
    <row r="1124" spans="3:39" x14ac:dyDescent="0.25">
      <c r="C1124" s="959"/>
      <c r="D1124" s="959"/>
      <c r="E1124" s="959"/>
      <c r="F1124" s="959"/>
      <c r="G1124" s="959"/>
      <c r="H1124" s="959"/>
      <c r="I1124" s="959"/>
      <c r="J1124" s="959"/>
      <c r="K1124" s="959"/>
      <c r="L1124" s="959"/>
      <c r="M1124" s="959"/>
      <c r="N1124" s="959"/>
      <c r="O1124" s="959"/>
      <c r="P1124" s="959"/>
      <c r="Q1124" s="959"/>
      <c r="R1124" s="959"/>
      <c r="S1124" s="959"/>
      <c r="T1124" s="959"/>
      <c r="U1124" s="959"/>
      <c r="V1124" s="959"/>
      <c r="W1124" s="959"/>
      <c r="X1124" s="959"/>
      <c r="Y1124" s="959"/>
      <c r="Z1124" s="959"/>
      <c r="AA1124" s="959"/>
      <c r="AB1124" s="959"/>
      <c r="AC1124" s="959"/>
      <c r="AD1124" s="959"/>
      <c r="AE1124" s="959"/>
      <c r="AF1124" s="959"/>
      <c r="AG1124" s="959"/>
      <c r="AH1124" s="959"/>
      <c r="AI1124" s="959"/>
      <c r="AJ1124" s="959"/>
      <c r="AK1124" s="959"/>
      <c r="AL1124" s="959"/>
      <c r="AM1124" s="959"/>
    </row>
    <row r="1125" spans="3:39" x14ac:dyDescent="0.25">
      <c r="C1125" s="959"/>
      <c r="D1125" s="959"/>
      <c r="E1125" s="959"/>
      <c r="F1125" s="959"/>
      <c r="G1125" s="959"/>
      <c r="H1125" s="959"/>
      <c r="I1125" s="959"/>
      <c r="J1125" s="959"/>
      <c r="K1125" s="959"/>
      <c r="L1125" s="959"/>
      <c r="M1125" s="959"/>
      <c r="N1125" s="959"/>
      <c r="O1125" s="959"/>
      <c r="P1125" s="959"/>
      <c r="Q1125" s="959"/>
      <c r="R1125" s="959"/>
      <c r="S1125" s="959"/>
      <c r="T1125" s="959"/>
      <c r="U1125" s="959"/>
      <c r="V1125" s="959"/>
      <c r="W1125" s="959"/>
      <c r="X1125" s="959"/>
      <c r="Y1125" s="959"/>
      <c r="Z1125" s="959"/>
      <c r="AA1125" s="959"/>
      <c r="AB1125" s="959"/>
      <c r="AC1125" s="959"/>
      <c r="AD1125" s="959"/>
      <c r="AE1125" s="959"/>
      <c r="AF1125" s="959"/>
      <c r="AG1125" s="959"/>
      <c r="AH1125" s="959"/>
      <c r="AI1125" s="959"/>
      <c r="AJ1125" s="959"/>
      <c r="AK1125" s="959"/>
      <c r="AL1125" s="959"/>
      <c r="AM1125" s="959"/>
    </row>
    <row r="1126" spans="3:39" x14ac:dyDescent="0.25">
      <c r="C1126" s="959"/>
      <c r="D1126" s="959"/>
      <c r="E1126" s="959"/>
      <c r="F1126" s="959"/>
      <c r="G1126" s="959"/>
      <c r="H1126" s="959"/>
      <c r="I1126" s="959"/>
      <c r="J1126" s="959"/>
      <c r="K1126" s="959"/>
      <c r="L1126" s="959"/>
      <c r="M1126" s="959"/>
      <c r="N1126" s="959"/>
      <c r="O1126" s="959"/>
      <c r="P1126" s="959"/>
      <c r="Q1126" s="959"/>
      <c r="R1126" s="959"/>
      <c r="S1126" s="959"/>
      <c r="T1126" s="959"/>
      <c r="U1126" s="959"/>
      <c r="V1126" s="959"/>
      <c r="W1126" s="959"/>
      <c r="X1126" s="959"/>
      <c r="Y1126" s="959"/>
      <c r="Z1126" s="959"/>
      <c r="AA1126" s="959"/>
      <c r="AB1126" s="959"/>
      <c r="AC1126" s="959"/>
      <c r="AD1126" s="959"/>
      <c r="AE1126" s="959"/>
      <c r="AF1126" s="959"/>
      <c r="AG1126" s="959"/>
      <c r="AH1126" s="959"/>
      <c r="AI1126" s="959"/>
      <c r="AJ1126" s="959"/>
      <c r="AK1126" s="959"/>
      <c r="AL1126" s="959"/>
      <c r="AM1126" s="959"/>
    </row>
    <row r="1127" spans="3:39" x14ac:dyDescent="0.25">
      <c r="C1127" s="959"/>
      <c r="D1127" s="959"/>
      <c r="E1127" s="959"/>
      <c r="F1127" s="959"/>
      <c r="G1127" s="959"/>
      <c r="H1127" s="959"/>
      <c r="I1127" s="959"/>
      <c r="J1127" s="959"/>
      <c r="K1127" s="959"/>
      <c r="L1127" s="959"/>
      <c r="M1127" s="959"/>
      <c r="N1127" s="959"/>
      <c r="O1127" s="959"/>
      <c r="P1127" s="959"/>
      <c r="Q1127" s="959"/>
      <c r="R1127" s="959"/>
      <c r="S1127" s="959"/>
      <c r="T1127" s="959"/>
      <c r="U1127" s="959"/>
      <c r="V1127" s="959"/>
      <c r="W1127" s="959"/>
      <c r="X1127" s="959"/>
      <c r="Y1127" s="959"/>
      <c r="Z1127" s="959"/>
      <c r="AA1127" s="959"/>
      <c r="AB1127" s="959"/>
      <c r="AC1127" s="959"/>
      <c r="AD1127" s="959"/>
      <c r="AE1127" s="959"/>
      <c r="AF1127" s="959"/>
      <c r="AG1127" s="959"/>
      <c r="AH1127" s="959"/>
      <c r="AI1127" s="959"/>
      <c r="AJ1127" s="959"/>
      <c r="AK1127" s="959"/>
      <c r="AL1127" s="959"/>
      <c r="AM1127" s="959"/>
    </row>
    <row r="1128" spans="3:39" x14ac:dyDescent="0.25">
      <c r="C1128" s="959"/>
      <c r="D1128" s="959"/>
      <c r="E1128" s="959"/>
      <c r="F1128" s="959"/>
      <c r="G1128" s="959"/>
      <c r="H1128" s="959"/>
      <c r="I1128" s="959"/>
      <c r="J1128" s="959"/>
      <c r="K1128" s="959"/>
      <c r="L1128" s="959"/>
      <c r="M1128" s="959"/>
      <c r="N1128" s="959"/>
      <c r="O1128" s="959"/>
      <c r="P1128" s="959"/>
      <c r="Q1128" s="959"/>
      <c r="R1128" s="959"/>
      <c r="S1128" s="959"/>
      <c r="T1128" s="959"/>
      <c r="U1128" s="959"/>
      <c r="V1128" s="959"/>
      <c r="W1128" s="959"/>
      <c r="X1128" s="959"/>
      <c r="Y1128" s="959"/>
      <c r="Z1128" s="959"/>
      <c r="AA1128" s="959"/>
      <c r="AB1128" s="959"/>
      <c r="AC1128" s="959"/>
      <c r="AD1128" s="959"/>
      <c r="AE1128" s="959"/>
      <c r="AF1128" s="959"/>
      <c r="AG1128" s="959"/>
      <c r="AH1128" s="959"/>
      <c r="AI1128" s="959"/>
      <c r="AJ1128" s="959"/>
      <c r="AK1128" s="959"/>
      <c r="AL1128" s="959"/>
      <c r="AM1128" s="959"/>
    </row>
    <row r="1129" spans="3:39" x14ac:dyDescent="0.25">
      <c r="C1129" s="959"/>
      <c r="D1129" s="959"/>
      <c r="E1129" s="959"/>
      <c r="F1129" s="959"/>
      <c r="G1129" s="959"/>
      <c r="H1129" s="959"/>
      <c r="I1129" s="959"/>
      <c r="J1129" s="959"/>
      <c r="K1129" s="959"/>
      <c r="L1129" s="959"/>
      <c r="M1129" s="959"/>
      <c r="N1129" s="959"/>
      <c r="O1129" s="959"/>
      <c r="P1129" s="959"/>
      <c r="Q1129" s="959"/>
      <c r="R1129" s="959"/>
      <c r="S1129" s="959"/>
      <c r="T1129" s="959"/>
      <c r="U1129" s="959"/>
      <c r="V1129" s="959"/>
      <c r="W1129" s="959"/>
      <c r="X1129" s="959"/>
      <c r="Y1129" s="959"/>
      <c r="Z1129" s="959"/>
      <c r="AA1129" s="959"/>
      <c r="AB1129" s="959"/>
      <c r="AC1129" s="959"/>
      <c r="AD1129" s="959"/>
      <c r="AE1129" s="959"/>
      <c r="AF1129" s="959"/>
      <c r="AG1129" s="959"/>
      <c r="AH1129" s="959"/>
      <c r="AI1129" s="959"/>
      <c r="AJ1129" s="959"/>
      <c r="AK1129" s="959"/>
      <c r="AL1129" s="959"/>
      <c r="AM1129" s="959"/>
    </row>
    <row r="1130" spans="3:39" x14ac:dyDescent="0.25">
      <c r="C1130" s="959"/>
      <c r="D1130" s="959"/>
      <c r="E1130" s="959"/>
      <c r="F1130" s="959"/>
      <c r="G1130" s="959"/>
      <c r="H1130" s="959"/>
      <c r="I1130" s="959"/>
      <c r="J1130" s="959"/>
      <c r="K1130" s="959"/>
      <c r="L1130" s="959"/>
      <c r="M1130" s="959"/>
      <c r="N1130" s="959"/>
      <c r="O1130" s="959"/>
      <c r="P1130" s="959"/>
      <c r="Q1130" s="959"/>
      <c r="R1130" s="959"/>
      <c r="S1130" s="959"/>
      <c r="T1130" s="959"/>
      <c r="U1130" s="959"/>
      <c r="V1130" s="959"/>
      <c r="W1130" s="959"/>
      <c r="X1130" s="959"/>
      <c r="Y1130" s="959"/>
      <c r="Z1130" s="959"/>
      <c r="AA1130" s="959"/>
      <c r="AB1130" s="959"/>
      <c r="AC1130" s="959"/>
      <c r="AD1130" s="959"/>
      <c r="AE1130" s="959"/>
      <c r="AF1130" s="959"/>
      <c r="AG1130" s="959"/>
      <c r="AH1130" s="959"/>
      <c r="AI1130" s="959"/>
      <c r="AJ1130" s="959"/>
      <c r="AK1130" s="959"/>
      <c r="AL1130" s="959"/>
      <c r="AM1130" s="959"/>
    </row>
    <row r="1131" spans="3:39" x14ac:dyDescent="0.25">
      <c r="C1131" s="959"/>
      <c r="D1131" s="959"/>
      <c r="E1131" s="959"/>
      <c r="F1131" s="959"/>
      <c r="G1131" s="959"/>
      <c r="H1131" s="959"/>
      <c r="I1131" s="959"/>
      <c r="J1131" s="959"/>
      <c r="K1131" s="959"/>
      <c r="L1131" s="959"/>
      <c r="M1131" s="959"/>
      <c r="N1131" s="959"/>
      <c r="O1131" s="959"/>
      <c r="P1131" s="959"/>
      <c r="Q1131" s="959"/>
      <c r="R1131" s="959"/>
      <c r="S1131" s="959"/>
      <c r="T1131" s="959"/>
      <c r="U1131" s="959"/>
      <c r="V1131" s="959"/>
      <c r="W1131" s="959"/>
      <c r="X1131" s="959"/>
      <c r="Y1131" s="959"/>
      <c r="Z1131" s="959"/>
      <c r="AA1131" s="959"/>
      <c r="AB1131" s="959"/>
      <c r="AC1131" s="959"/>
      <c r="AD1131" s="959"/>
      <c r="AE1131" s="959"/>
      <c r="AF1131" s="959"/>
      <c r="AG1131" s="959"/>
      <c r="AH1131" s="959"/>
      <c r="AI1131" s="959"/>
      <c r="AJ1131" s="959"/>
      <c r="AK1131" s="959"/>
      <c r="AL1131" s="959"/>
      <c r="AM1131" s="959"/>
    </row>
    <row r="1132" spans="3:39" x14ac:dyDescent="0.25">
      <c r="C1132" s="959"/>
      <c r="D1132" s="959"/>
      <c r="E1132" s="959"/>
      <c r="F1132" s="959"/>
      <c r="G1132" s="959"/>
      <c r="H1132" s="959"/>
      <c r="I1132" s="959"/>
      <c r="J1132" s="959"/>
      <c r="K1132" s="959"/>
      <c r="L1132" s="959"/>
      <c r="M1132" s="959"/>
      <c r="N1132" s="959"/>
      <c r="O1132" s="959"/>
      <c r="P1132" s="959"/>
      <c r="Q1132" s="959"/>
      <c r="R1132" s="959"/>
      <c r="S1132" s="959"/>
      <c r="T1132" s="959"/>
      <c r="U1132" s="959"/>
      <c r="V1132" s="959"/>
      <c r="W1132" s="959"/>
      <c r="X1132" s="959"/>
      <c r="Y1132" s="959"/>
      <c r="Z1132" s="959"/>
      <c r="AA1132" s="959"/>
      <c r="AB1132" s="959"/>
      <c r="AC1132" s="959"/>
      <c r="AD1132" s="959"/>
      <c r="AE1132" s="959"/>
      <c r="AF1132" s="959"/>
      <c r="AG1132" s="959"/>
      <c r="AH1132" s="959"/>
      <c r="AI1132" s="959"/>
      <c r="AJ1132" s="959"/>
      <c r="AK1132" s="959"/>
      <c r="AL1132" s="959"/>
      <c r="AM1132" s="959"/>
    </row>
    <row r="1133" spans="3:39" x14ac:dyDescent="0.25">
      <c r="C1133" s="959"/>
      <c r="D1133" s="959"/>
      <c r="E1133" s="959"/>
      <c r="F1133" s="959"/>
      <c r="G1133" s="959"/>
      <c r="H1133" s="959"/>
      <c r="I1133" s="959"/>
      <c r="J1133" s="959"/>
      <c r="K1133" s="959"/>
      <c r="L1133" s="959"/>
      <c r="M1133" s="959"/>
      <c r="N1133" s="959"/>
      <c r="O1133" s="959"/>
      <c r="P1133" s="959"/>
      <c r="Q1133" s="959"/>
      <c r="R1133" s="959"/>
      <c r="S1133" s="959"/>
      <c r="T1133" s="959"/>
      <c r="U1133" s="959"/>
      <c r="V1133" s="959"/>
      <c r="W1133" s="959"/>
      <c r="X1133" s="959"/>
      <c r="Y1133" s="959"/>
      <c r="Z1133" s="959"/>
      <c r="AA1133" s="959"/>
      <c r="AB1133" s="959"/>
      <c r="AC1133" s="959"/>
      <c r="AD1133" s="959"/>
      <c r="AE1133" s="959"/>
      <c r="AF1133" s="959"/>
      <c r="AG1133" s="959"/>
      <c r="AH1133" s="959"/>
      <c r="AI1133" s="959"/>
      <c r="AJ1133" s="959"/>
      <c r="AK1133" s="959"/>
      <c r="AL1133" s="959"/>
      <c r="AM1133" s="959"/>
    </row>
    <row r="1134" spans="3:39" x14ac:dyDescent="0.25">
      <c r="C1134" s="959"/>
      <c r="D1134" s="959"/>
      <c r="E1134" s="959"/>
      <c r="F1134" s="959"/>
      <c r="G1134" s="959"/>
      <c r="H1134" s="959"/>
      <c r="I1134" s="959"/>
      <c r="J1134" s="959"/>
      <c r="K1134" s="959"/>
      <c r="L1134" s="959"/>
      <c r="M1134" s="959"/>
      <c r="N1134" s="959"/>
      <c r="O1134" s="959"/>
      <c r="P1134" s="959"/>
      <c r="Q1134" s="959"/>
      <c r="R1134" s="959"/>
      <c r="S1134" s="959"/>
      <c r="T1134" s="959"/>
      <c r="U1134" s="959"/>
      <c r="V1134" s="959"/>
      <c r="W1134" s="959"/>
      <c r="X1134" s="959"/>
      <c r="Y1134" s="959"/>
      <c r="Z1134" s="959"/>
      <c r="AA1134" s="959"/>
      <c r="AB1134" s="959"/>
      <c r="AC1134" s="959"/>
      <c r="AD1134" s="959"/>
      <c r="AE1134" s="959"/>
      <c r="AF1134" s="959"/>
      <c r="AG1134" s="959"/>
      <c r="AH1134" s="959"/>
      <c r="AI1134" s="959"/>
      <c r="AJ1134" s="959"/>
      <c r="AK1134" s="959"/>
      <c r="AL1134" s="959"/>
      <c r="AM1134" s="959"/>
    </row>
    <row r="1135" spans="3:39" x14ac:dyDescent="0.25">
      <c r="C1135" s="959"/>
      <c r="D1135" s="959"/>
      <c r="E1135" s="959"/>
      <c r="F1135" s="959"/>
      <c r="G1135" s="959"/>
      <c r="H1135" s="959"/>
      <c r="I1135" s="959"/>
      <c r="J1135" s="959"/>
      <c r="K1135" s="959"/>
      <c r="L1135" s="959"/>
      <c r="M1135" s="959"/>
      <c r="N1135" s="959"/>
      <c r="O1135" s="959"/>
      <c r="P1135" s="959"/>
      <c r="Q1135" s="959"/>
      <c r="R1135" s="959"/>
      <c r="S1135" s="959"/>
      <c r="T1135" s="959"/>
      <c r="U1135" s="959"/>
      <c r="V1135" s="959"/>
      <c r="W1135" s="959"/>
      <c r="X1135" s="959"/>
      <c r="Y1135" s="959"/>
      <c r="Z1135" s="959"/>
      <c r="AA1135" s="959"/>
      <c r="AB1135" s="959"/>
      <c r="AC1135" s="959"/>
      <c r="AD1135" s="959"/>
      <c r="AE1135" s="959"/>
      <c r="AF1135" s="959"/>
      <c r="AG1135" s="959"/>
      <c r="AH1135" s="959"/>
      <c r="AI1135" s="959"/>
      <c r="AJ1135" s="959"/>
      <c r="AK1135" s="959"/>
      <c r="AL1135" s="959"/>
      <c r="AM1135" s="959"/>
    </row>
    <row r="1136" spans="3:39" x14ac:dyDescent="0.25">
      <c r="C1136" s="959"/>
      <c r="D1136" s="959"/>
      <c r="E1136" s="959"/>
      <c r="F1136" s="959"/>
      <c r="G1136" s="959"/>
      <c r="H1136" s="959"/>
      <c r="I1136" s="959"/>
      <c r="J1136" s="959"/>
      <c r="K1136" s="959"/>
      <c r="L1136" s="959"/>
      <c r="M1136" s="959"/>
      <c r="N1136" s="959"/>
      <c r="O1136" s="959"/>
      <c r="P1136" s="959"/>
      <c r="Q1136" s="959"/>
      <c r="R1136" s="959"/>
      <c r="S1136" s="959"/>
      <c r="T1136" s="959"/>
      <c r="U1136" s="959"/>
      <c r="V1136" s="959"/>
      <c r="W1136" s="959"/>
      <c r="X1136" s="959"/>
      <c r="Y1136" s="959"/>
      <c r="Z1136" s="959"/>
      <c r="AA1136" s="959"/>
      <c r="AB1136" s="959"/>
      <c r="AC1136" s="959"/>
      <c r="AD1136" s="959"/>
      <c r="AE1136" s="959"/>
      <c r="AF1136" s="959"/>
      <c r="AG1136" s="959"/>
      <c r="AH1136" s="959"/>
      <c r="AI1136" s="959"/>
      <c r="AJ1136" s="959"/>
      <c r="AK1136" s="959"/>
      <c r="AL1136" s="959"/>
      <c r="AM1136" s="959"/>
    </row>
    <row r="1137" spans="3:39" x14ac:dyDescent="0.25">
      <c r="C1137" s="959"/>
      <c r="D1137" s="959"/>
      <c r="E1137" s="959"/>
      <c r="F1137" s="959"/>
      <c r="G1137" s="959"/>
      <c r="H1137" s="959"/>
      <c r="I1137" s="959"/>
      <c r="J1137" s="959"/>
      <c r="K1137" s="959"/>
      <c r="L1137" s="959"/>
      <c r="M1137" s="959"/>
      <c r="N1137" s="959"/>
      <c r="O1137" s="959"/>
      <c r="P1137" s="959"/>
      <c r="Q1137" s="959"/>
      <c r="R1137" s="959"/>
      <c r="S1137" s="959"/>
      <c r="T1137" s="959"/>
      <c r="U1137" s="959"/>
      <c r="V1137" s="959"/>
      <c r="W1137" s="959"/>
      <c r="X1137" s="959"/>
      <c r="Y1137" s="959"/>
      <c r="Z1137" s="959"/>
      <c r="AA1137" s="959"/>
      <c r="AB1137" s="959"/>
      <c r="AC1137" s="959"/>
      <c r="AD1137" s="959"/>
      <c r="AE1137" s="959"/>
      <c r="AF1137" s="959"/>
      <c r="AG1137" s="959"/>
      <c r="AH1137" s="959"/>
      <c r="AI1137" s="959"/>
      <c r="AJ1137" s="959"/>
      <c r="AK1137" s="959"/>
      <c r="AL1137" s="959"/>
      <c r="AM1137" s="959"/>
    </row>
    <row r="1138" spans="3:39" x14ac:dyDescent="0.25">
      <c r="C1138" s="959"/>
      <c r="D1138" s="959"/>
      <c r="E1138" s="959"/>
      <c r="F1138" s="959"/>
      <c r="G1138" s="959"/>
      <c r="H1138" s="959"/>
      <c r="I1138" s="959"/>
      <c r="J1138" s="959"/>
      <c r="K1138" s="959"/>
      <c r="L1138" s="959"/>
      <c r="M1138" s="959"/>
      <c r="N1138" s="959"/>
      <c r="O1138" s="959"/>
      <c r="P1138" s="959"/>
      <c r="Q1138" s="959"/>
      <c r="R1138" s="959"/>
      <c r="S1138" s="959"/>
      <c r="T1138" s="959"/>
      <c r="U1138" s="959"/>
      <c r="V1138" s="959"/>
      <c r="W1138" s="959"/>
      <c r="X1138" s="959"/>
      <c r="Y1138" s="959"/>
      <c r="Z1138" s="959"/>
      <c r="AA1138" s="959"/>
      <c r="AB1138" s="959"/>
      <c r="AC1138" s="959"/>
      <c r="AD1138" s="959"/>
      <c r="AE1138" s="959"/>
      <c r="AF1138" s="959"/>
      <c r="AG1138" s="959"/>
      <c r="AH1138" s="959"/>
      <c r="AI1138" s="959"/>
      <c r="AJ1138" s="959"/>
      <c r="AK1138" s="959"/>
      <c r="AL1138" s="959"/>
      <c r="AM1138" s="959"/>
    </row>
    <row r="1139" spans="3:39" x14ac:dyDescent="0.25">
      <c r="C1139" s="959"/>
      <c r="D1139" s="959"/>
      <c r="E1139" s="959"/>
      <c r="F1139" s="959"/>
      <c r="G1139" s="959"/>
      <c r="H1139" s="959"/>
      <c r="I1139" s="959"/>
      <c r="J1139" s="959"/>
      <c r="K1139" s="959"/>
      <c r="L1139" s="959"/>
      <c r="M1139" s="959"/>
      <c r="N1139" s="959"/>
      <c r="O1139" s="959"/>
      <c r="P1139" s="959"/>
      <c r="Q1139" s="959"/>
      <c r="R1139" s="959"/>
      <c r="S1139" s="959"/>
      <c r="T1139" s="959"/>
      <c r="U1139" s="959"/>
      <c r="V1139" s="959"/>
      <c r="W1139" s="959"/>
      <c r="X1139" s="959"/>
      <c r="Y1139" s="959"/>
      <c r="Z1139" s="959"/>
      <c r="AA1139" s="959"/>
      <c r="AB1139" s="959"/>
      <c r="AC1139" s="959"/>
      <c r="AD1139" s="959"/>
      <c r="AE1139" s="959"/>
      <c r="AF1139" s="959"/>
      <c r="AG1139" s="959"/>
      <c r="AH1139" s="959"/>
      <c r="AI1139" s="959"/>
      <c r="AJ1139" s="959"/>
      <c r="AK1139" s="959"/>
      <c r="AL1139" s="959"/>
      <c r="AM1139" s="959"/>
    </row>
    <row r="1140" spans="3:39" x14ac:dyDescent="0.25">
      <c r="C1140" s="959"/>
      <c r="D1140" s="959"/>
      <c r="E1140" s="959"/>
      <c r="F1140" s="959"/>
      <c r="G1140" s="959"/>
      <c r="H1140" s="959"/>
      <c r="I1140" s="959"/>
      <c r="J1140" s="959"/>
      <c r="K1140" s="959"/>
      <c r="L1140" s="959"/>
      <c r="M1140" s="959"/>
      <c r="N1140" s="959"/>
      <c r="O1140" s="959"/>
      <c r="P1140" s="959"/>
      <c r="Q1140" s="959"/>
      <c r="R1140" s="959"/>
      <c r="S1140" s="959"/>
      <c r="T1140" s="959"/>
      <c r="U1140" s="959"/>
      <c r="V1140" s="959"/>
      <c r="W1140" s="959"/>
      <c r="X1140" s="959"/>
      <c r="Y1140" s="959"/>
      <c r="Z1140" s="959"/>
      <c r="AA1140" s="959"/>
      <c r="AB1140" s="959"/>
      <c r="AC1140" s="959"/>
      <c r="AD1140" s="959"/>
      <c r="AE1140" s="959"/>
      <c r="AF1140" s="959"/>
      <c r="AG1140" s="959"/>
      <c r="AH1140" s="959"/>
      <c r="AI1140" s="959"/>
      <c r="AJ1140" s="959"/>
      <c r="AK1140" s="959"/>
      <c r="AL1140" s="959"/>
      <c r="AM1140" s="959"/>
    </row>
    <row r="1141" spans="3:39" x14ac:dyDescent="0.25">
      <c r="C1141" s="959"/>
      <c r="D1141" s="959"/>
      <c r="E1141" s="959"/>
      <c r="F1141" s="959"/>
      <c r="G1141" s="959"/>
      <c r="H1141" s="959"/>
      <c r="I1141" s="959"/>
      <c r="J1141" s="959"/>
      <c r="K1141" s="959"/>
      <c r="L1141" s="959"/>
      <c r="M1141" s="959"/>
      <c r="N1141" s="959"/>
      <c r="O1141" s="959"/>
      <c r="P1141" s="959"/>
      <c r="Q1141" s="959"/>
      <c r="R1141" s="959"/>
      <c r="S1141" s="959"/>
      <c r="T1141" s="959"/>
      <c r="U1141" s="959"/>
      <c r="V1141" s="959"/>
      <c r="W1141" s="959"/>
      <c r="X1141" s="959"/>
      <c r="Y1141" s="959"/>
      <c r="Z1141" s="959"/>
      <c r="AA1141" s="959"/>
      <c r="AB1141" s="959"/>
      <c r="AC1141" s="959"/>
      <c r="AD1141" s="959"/>
      <c r="AE1141" s="959"/>
      <c r="AF1141" s="959"/>
      <c r="AG1141" s="959"/>
      <c r="AH1141" s="959"/>
      <c r="AI1141" s="959"/>
      <c r="AJ1141" s="959"/>
      <c r="AK1141" s="959"/>
      <c r="AL1141" s="959"/>
      <c r="AM1141" s="959"/>
    </row>
    <row r="1142" spans="3:39" x14ac:dyDescent="0.25">
      <c r="C1142" s="959"/>
      <c r="D1142" s="959"/>
      <c r="E1142" s="959"/>
      <c r="F1142" s="959"/>
      <c r="G1142" s="959"/>
      <c r="H1142" s="959"/>
      <c r="I1142" s="959"/>
      <c r="J1142" s="959"/>
      <c r="K1142" s="959"/>
      <c r="L1142" s="959"/>
      <c r="M1142" s="959"/>
      <c r="N1142" s="959"/>
      <c r="O1142" s="959"/>
      <c r="P1142" s="959"/>
      <c r="Q1142" s="959"/>
      <c r="R1142" s="959"/>
      <c r="S1142" s="959"/>
      <c r="T1142" s="959"/>
      <c r="U1142" s="959"/>
      <c r="V1142" s="959"/>
      <c r="W1142" s="959"/>
      <c r="X1142" s="959"/>
      <c r="Y1142" s="959"/>
      <c r="Z1142" s="959"/>
      <c r="AA1142" s="959"/>
      <c r="AB1142" s="959"/>
      <c r="AC1142" s="959"/>
      <c r="AD1142" s="959"/>
      <c r="AE1142" s="959"/>
      <c r="AF1142" s="959"/>
      <c r="AG1142" s="959"/>
      <c r="AH1142" s="959"/>
      <c r="AI1142" s="959"/>
      <c r="AJ1142" s="959"/>
      <c r="AK1142" s="959"/>
      <c r="AL1142" s="959"/>
      <c r="AM1142" s="959"/>
    </row>
    <row r="1143" spans="3:39" x14ac:dyDescent="0.25">
      <c r="C1143" s="959"/>
      <c r="D1143" s="959"/>
      <c r="E1143" s="959"/>
      <c r="F1143" s="959"/>
      <c r="G1143" s="959"/>
      <c r="H1143" s="959"/>
      <c r="I1143" s="959"/>
      <c r="J1143" s="959"/>
      <c r="K1143" s="959"/>
      <c r="L1143" s="959"/>
      <c r="M1143" s="959"/>
      <c r="N1143" s="959"/>
      <c r="O1143" s="959"/>
      <c r="P1143" s="959"/>
      <c r="Q1143" s="959"/>
      <c r="R1143" s="959"/>
      <c r="S1143" s="959"/>
      <c r="T1143" s="959"/>
      <c r="U1143" s="959"/>
      <c r="V1143" s="959"/>
      <c r="W1143" s="959"/>
      <c r="X1143" s="959"/>
      <c r="Y1143" s="959"/>
      <c r="Z1143" s="959"/>
      <c r="AA1143" s="959"/>
      <c r="AB1143" s="959"/>
      <c r="AC1143" s="959"/>
      <c r="AD1143" s="959"/>
      <c r="AE1143" s="959"/>
      <c r="AF1143" s="959"/>
      <c r="AG1143" s="959"/>
      <c r="AH1143" s="959"/>
      <c r="AI1143" s="959"/>
      <c r="AJ1143" s="959"/>
      <c r="AK1143" s="959"/>
      <c r="AL1143" s="959"/>
      <c r="AM1143" s="959"/>
    </row>
    <row r="1144" spans="3:39" x14ac:dyDescent="0.25">
      <c r="C1144" s="959"/>
      <c r="D1144" s="959"/>
      <c r="E1144" s="959"/>
      <c r="F1144" s="959"/>
      <c r="G1144" s="959"/>
      <c r="H1144" s="959"/>
      <c r="I1144" s="959"/>
      <c r="J1144" s="959"/>
      <c r="K1144" s="959"/>
      <c r="L1144" s="959"/>
      <c r="M1144" s="959"/>
      <c r="N1144" s="959"/>
      <c r="O1144" s="959"/>
      <c r="P1144" s="959"/>
      <c r="Q1144" s="959"/>
      <c r="R1144" s="959"/>
      <c r="S1144" s="959"/>
      <c r="T1144" s="959"/>
      <c r="U1144" s="959"/>
      <c r="V1144" s="959"/>
      <c r="W1144" s="959"/>
      <c r="X1144" s="959"/>
      <c r="Y1144" s="959"/>
      <c r="Z1144" s="959"/>
      <c r="AA1144" s="959"/>
      <c r="AB1144" s="959"/>
      <c r="AC1144" s="959"/>
      <c r="AD1144" s="959"/>
      <c r="AE1144" s="959"/>
      <c r="AF1144" s="959"/>
      <c r="AG1144" s="959"/>
      <c r="AH1144" s="959"/>
      <c r="AI1144" s="959"/>
      <c r="AJ1144" s="959"/>
      <c r="AK1144" s="959"/>
      <c r="AL1144" s="959"/>
      <c r="AM1144" s="959"/>
    </row>
    <row r="1145" spans="3:39" x14ac:dyDescent="0.25">
      <c r="C1145" s="959"/>
      <c r="D1145" s="959"/>
      <c r="E1145" s="959"/>
      <c r="F1145" s="959"/>
      <c r="G1145" s="959"/>
      <c r="H1145" s="959"/>
      <c r="I1145" s="959"/>
      <c r="J1145" s="959"/>
      <c r="K1145" s="959"/>
      <c r="L1145" s="959"/>
      <c r="M1145" s="959"/>
      <c r="N1145" s="959"/>
      <c r="O1145" s="959"/>
      <c r="P1145" s="959"/>
      <c r="Q1145" s="959"/>
      <c r="R1145" s="959"/>
      <c r="S1145" s="959"/>
      <c r="T1145" s="959"/>
      <c r="U1145" s="959"/>
      <c r="V1145" s="959"/>
      <c r="W1145" s="959"/>
      <c r="X1145" s="959"/>
      <c r="Y1145" s="959"/>
      <c r="Z1145" s="959"/>
      <c r="AA1145" s="959"/>
      <c r="AB1145" s="959"/>
      <c r="AC1145" s="959"/>
      <c r="AD1145" s="959"/>
      <c r="AE1145" s="959"/>
      <c r="AF1145" s="959"/>
      <c r="AG1145" s="959"/>
      <c r="AH1145" s="959"/>
      <c r="AI1145" s="959"/>
      <c r="AJ1145" s="959"/>
      <c r="AK1145" s="959"/>
      <c r="AL1145" s="959"/>
      <c r="AM1145" s="959"/>
    </row>
    <row r="1146" spans="3:39" x14ac:dyDescent="0.25">
      <c r="C1146" s="959"/>
      <c r="D1146" s="959"/>
      <c r="E1146" s="959"/>
      <c r="F1146" s="959"/>
      <c r="G1146" s="959"/>
      <c r="H1146" s="959"/>
      <c r="I1146" s="959"/>
      <c r="J1146" s="959"/>
      <c r="K1146" s="959"/>
      <c r="L1146" s="959"/>
      <c r="M1146" s="959"/>
      <c r="N1146" s="959"/>
      <c r="O1146" s="959"/>
      <c r="P1146" s="959"/>
      <c r="Q1146" s="959"/>
      <c r="R1146" s="959"/>
      <c r="S1146" s="959"/>
      <c r="T1146" s="959"/>
      <c r="U1146" s="959"/>
      <c r="V1146" s="959"/>
      <c r="W1146" s="959"/>
      <c r="X1146" s="959"/>
      <c r="Y1146" s="959"/>
      <c r="Z1146" s="959"/>
      <c r="AA1146" s="959"/>
      <c r="AB1146" s="959"/>
      <c r="AC1146" s="959"/>
      <c r="AD1146" s="959"/>
      <c r="AE1146" s="959"/>
      <c r="AF1146" s="959"/>
      <c r="AG1146" s="959"/>
      <c r="AH1146" s="959"/>
      <c r="AI1146" s="959"/>
      <c r="AJ1146" s="959"/>
      <c r="AK1146" s="959"/>
      <c r="AL1146" s="959"/>
      <c r="AM1146" s="959"/>
    </row>
    <row r="1147" spans="3:39" x14ac:dyDescent="0.25">
      <c r="C1147" s="959"/>
      <c r="D1147" s="959"/>
      <c r="E1147" s="959"/>
      <c r="F1147" s="959"/>
      <c r="G1147" s="959"/>
      <c r="H1147" s="959"/>
      <c r="I1147" s="959"/>
      <c r="J1147" s="959"/>
      <c r="K1147" s="959"/>
      <c r="L1147" s="959"/>
      <c r="M1147" s="959"/>
      <c r="N1147" s="959"/>
      <c r="O1147" s="959"/>
      <c r="P1147" s="959"/>
      <c r="Q1147" s="959"/>
      <c r="R1147" s="959"/>
      <c r="S1147" s="959"/>
      <c r="T1147" s="959"/>
      <c r="U1147" s="959"/>
      <c r="V1147" s="959"/>
      <c r="W1147" s="959"/>
      <c r="X1147" s="959"/>
      <c r="Y1147" s="959"/>
      <c r="Z1147" s="959"/>
      <c r="AA1147" s="959"/>
      <c r="AB1147" s="959"/>
      <c r="AC1147" s="959"/>
      <c r="AD1147" s="959"/>
      <c r="AE1147" s="959"/>
      <c r="AF1147" s="959"/>
      <c r="AG1147" s="959"/>
      <c r="AH1147" s="959"/>
      <c r="AI1147" s="959"/>
      <c r="AJ1147" s="959"/>
      <c r="AK1147" s="959"/>
      <c r="AL1147" s="959"/>
      <c r="AM1147" s="959"/>
    </row>
    <row r="1148" spans="3:39" x14ac:dyDescent="0.25">
      <c r="C1148" s="959"/>
      <c r="D1148" s="959"/>
      <c r="E1148" s="959"/>
      <c r="F1148" s="959"/>
      <c r="G1148" s="959"/>
      <c r="H1148" s="959"/>
      <c r="I1148" s="959"/>
      <c r="J1148" s="959"/>
      <c r="K1148" s="959"/>
      <c r="L1148" s="959"/>
      <c r="M1148" s="959"/>
      <c r="N1148" s="959"/>
      <c r="O1148" s="959"/>
      <c r="P1148" s="959"/>
      <c r="Q1148" s="959"/>
      <c r="R1148" s="959"/>
      <c r="S1148" s="959"/>
      <c r="T1148" s="959"/>
      <c r="U1148" s="959"/>
      <c r="V1148" s="959"/>
      <c r="W1148" s="959"/>
      <c r="X1148" s="959"/>
      <c r="Y1148" s="959"/>
      <c r="Z1148" s="959"/>
      <c r="AA1148" s="959"/>
      <c r="AB1148" s="959"/>
      <c r="AC1148" s="959"/>
      <c r="AD1148" s="959"/>
      <c r="AE1148" s="959"/>
      <c r="AF1148" s="959"/>
      <c r="AG1148" s="959"/>
      <c r="AH1148" s="959"/>
      <c r="AI1148" s="959"/>
      <c r="AJ1148" s="959"/>
      <c r="AK1148" s="959"/>
      <c r="AL1148" s="959"/>
      <c r="AM1148" s="959"/>
    </row>
    <row r="1149" spans="3:39" x14ac:dyDescent="0.25">
      <c r="C1149" s="959"/>
      <c r="D1149" s="959"/>
      <c r="E1149" s="959"/>
      <c r="F1149" s="959"/>
      <c r="G1149" s="959"/>
      <c r="H1149" s="959"/>
      <c r="I1149" s="959"/>
      <c r="J1149" s="959"/>
      <c r="K1149" s="959"/>
      <c r="L1149" s="959"/>
      <c r="M1149" s="959"/>
      <c r="N1149" s="959"/>
      <c r="O1149" s="959"/>
      <c r="P1149" s="959"/>
      <c r="Q1149" s="959"/>
      <c r="R1149" s="959"/>
      <c r="S1149" s="959"/>
      <c r="T1149" s="959"/>
      <c r="U1149" s="959"/>
      <c r="V1149" s="959"/>
      <c r="W1149" s="959"/>
      <c r="X1149" s="959"/>
      <c r="Y1149" s="959"/>
      <c r="Z1149" s="959"/>
      <c r="AA1149" s="959"/>
      <c r="AB1149" s="959"/>
      <c r="AC1149" s="959"/>
      <c r="AD1149" s="959"/>
      <c r="AE1149" s="959"/>
      <c r="AF1149" s="959"/>
      <c r="AG1149" s="959"/>
      <c r="AH1149" s="959"/>
      <c r="AI1149" s="959"/>
      <c r="AJ1149" s="959"/>
      <c r="AK1149" s="959"/>
      <c r="AL1149" s="959"/>
      <c r="AM1149" s="959"/>
    </row>
    <row r="1150" spans="3:39" x14ac:dyDescent="0.25">
      <c r="C1150" s="959"/>
      <c r="D1150" s="959"/>
      <c r="E1150" s="959"/>
      <c r="F1150" s="959"/>
      <c r="G1150" s="959"/>
      <c r="H1150" s="959"/>
      <c r="I1150" s="959"/>
      <c r="J1150" s="959"/>
      <c r="K1150" s="959"/>
      <c r="L1150" s="959"/>
      <c r="M1150" s="959"/>
      <c r="N1150" s="959"/>
      <c r="O1150" s="959"/>
      <c r="P1150" s="959"/>
      <c r="Q1150" s="959"/>
      <c r="R1150" s="959"/>
      <c r="S1150" s="959"/>
      <c r="T1150" s="959"/>
      <c r="U1150" s="959"/>
      <c r="V1150" s="959"/>
      <c r="W1150" s="959"/>
      <c r="X1150" s="959"/>
      <c r="Y1150" s="959"/>
      <c r="Z1150" s="959"/>
      <c r="AA1150" s="959"/>
      <c r="AB1150" s="959"/>
      <c r="AC1150" s="959"/>
      <c r="AD1150" s="959"/>
      <c r="AE1150" s="959"/>
      <c r="AF1150" s="959"/>
      <c r="AG1150" s="959"/>
      <c r="AH1150" s="959"/>
      <c r="AI1150" s="959"/>
      <c r="AJ1150" s="959"/>
      <c r="AK1150" s="959"/>
      <c r="AL1150" s="959"/>
      <c r="AM1150" s="959"/>
    </row>
    <row r="1151" spans="3:39" x14ac:dyDescent="0.25">
      <c r="C1151" s="959"/>
      <c r="D1151" s="959"/>
      <c r="E1151" s="959"/>
      <c r="F1151" s="959"/>
      <c r="G1151" s="959"/>
      <c r="H1151" s="959"/>
      <c r="I1151" s="959"/>
      <c r="J1151" s="959"/>
      <c r="K1151" s="959"/>
      <c r="L1151" s="959"/>
      <c r="M1151" s="959"/>
      <c r="N1151" s="959"/>
      <c r="O1151" s="959"/>
      <c r="P1151" s="959"/>
      <c r="Q1151" s="959"/>
      <c r="R1151" s="959"/>
      <c r="S1151" s="959"/>
      <c r="T1151" s="959"/>
      <c r="U1151" s="959"/>
      <c r="V1151" s="959"/>
      <c r="W1151" s="959"/>
      <c r="X1151" s="959"/>
      <c r="Y1151" s="959"/>
      <c r="Z1151" s="959"/>
      <c r="AA1151" s="959"/>
      <c r="AB1151" s="959"/>
      <c r="AC1151" s="959"/>
      <c r="AD1151" s="959"/>
      <c r="AE1151" s="959"/>
      <c r="AF1151" s="959"/>
      <c r="AG1151" s="959"/>
      <c r="AH1151" s="959"/>
      <c r="AI1151" s="959"/>
      <c r="AJ1151" s="959"/>
      <c r="AK1151" s="959"/>
      <c r="AL1151" s="959"/>
      <c r="AM1151" s="959"/>
    </row>
    <row r="1152" spans="3:39" x14ac:dyDescent="0.25">
      <c r="C1152" s="959"/>
      <c r="D1152" s="959"/>
      <c r="E1152" s="959"/>
      <c r="F1152" s="959"/>
      <c r="G1152" s="959"/>
      <c r="H1152" s="959"/>
      <c r="I1152" s="959"/>
      <c r="J1152" s="959"/>
      <c r="K1152" s="959"/>
      <c r="L1152" s="959"/>
      <c r="M1152" s="959"/>
      <c r="N1152" s="959"/>
      <c r="O1152" s="959"/>
      <c r="P1152" s="959"/>
      <c r="Q1152" s="959"/>
      <c r="R1152" s="959"/>
      <c r="S1152" s="959"/>
      <c r="T1152" s="959"/>
      <c r="U1152" s="959"/>
      <c r="V1152" s="959"/>
      <c r="W1152" s="959"/>
      <c r="X1152" s="959"/>
      <c r="Y1152" s="959"/>
      <c r="Z1152" s="959"/>
      <c r="AA1152" s="959"/>
      <c r="AB1152" s="959"/>
      <c r="AC1152" s="959"/>
      <c r="AD1152" s="959"/>
      <c r="AE1152" s="959"/>
      <c r="AF1152" s="959"/>
      <c r="AG1152" s="959"/>
      <c r="AH1152" s="959"/>
      <c r="AI1152" s="959"/>
      <c r="AJ1152" s="959"/>
      <c r="AK1152" s="959"/>
      <c r="AL1152" s="959"/>
      <c r="AM1152" s="959"/>
    </row>
    <row r="1153" spans="3:39" x14ac:dyDescent="0.25">
      <c r="C1153" s="959"/>
      <c r="D1153" s="959"/>
      <c r="E1153" s="959"/>
      <c r="F1153" s="959"/>
      <c r="G1153" s="959"/>
      <c r="H1153" s="959"/>
      <c r="I1153" s="959"/>
      <c r="J1153" s="959"/>
      <c r="K1153" s="959"/>
      <c r="L1153" s="959"/>
      <c r="M1153" s="959"/>
      <c r="N1153" s="959"/>
      <c r="O1153" s="959"/>
      <c r="P1153" s="959"/>
      <c r="Q1153" s="959"/>
      <c r="R1153" s="959"/>
      <c r="S1153" s="959"/>
      <c r="T1153" s="959"/>
      <c r="U1153" s="959"/>
      <c r="V1153" s="959"/>
      <c r="W1153" s="959"/>
      <c r="X1153" s="959"/>
      <c r="Y1153" s="959"/>
      <c r="Z1153" s="959"/>
      <c r="AA1153" s="959"/>
      <c r="AB1153" s="959"/>
      <c r="AC1153" s="959"/>
      <c r="AD1153" s="959"/>
      <c r="AE1153" s="959"/>
      <c r="AF1153" s="959"/>
      <c r="AG1153" s="959"/>
      <c r="AH1153" s="959"/>
      <c r="AI1153" s="959"/>
      <c r="AJ1153" s="959"/>
      <c r="AK1153" s="959"/>
      <c r="AL1153" s="959"/>
      <c r="AM1153" s="959"/>
    </row>
    <row r="1154" spans="3:39" x14ac:dyDescent="0.25">
      <c r="C1154" s="959"/>
      <c r="D1154" s="959"/>
      <c r="E1154" s="959"/>
      <c r="F1154" s="959"/>
      <c r="G1154" s="959"/>
      <c r="H1154" s="959"/>
      <c r="I1154" s="959"/>
      <c r="J1154" s="959"/>
      <c r="K1154" s="959"/>
      <c r="L1154" s="959"/>
      <c r="M1154" s="959"/>
      <c r="N1154" s="959"/>
      <c r="O1154" s="959"/>
      <c r="P1154" s="959"/>
      <c r="Q1154" s="959"/>
      <c r="R1154" s="959"/>
      <c r="S1154" s="959"/>
      <c r="T1154" s="959"/>
      <c r="U1154" s="959"/>
      <c r="V1154" s="959"/>
      <c r="W1154" s="959"/>
      <c r="X1154" s="959"/>
      <c r="Y1154" s="959"/>
      <c r="Z1154" s="959"/>
      <c r="AA1154" s="959"/>
      <c r="AB1154" s="959"/>
      <c r="AC1154" s="959"/>
      <c r="AD1154" s="959"/>
      <c r="AE1154" s="959"/>
      <c r="AF1154" s="959"/>
      <c r="AG1154" s="959"/>
      <c r="AH1154" s="959"/>
      <c r="AI1154" s="959"/>
      <c r="AJ1154" s="959"/>
      <c r="AK1154" s="959"/>
      <c r="AL1154" s="959"/>
      <c r="AM1154" s="959"/>
    </row>
    <row r="1155" spans="3:39" x14ac:dyDescent="0.25">
      <c r="C1155" s="959"/>
      <c r="D1155" s="959"/>
      <c r="E1155" s="959"/>
      <c r="F1155" s="959"/>
      <c r="G1155" s="959"/>
      <c r="H1155" s="959"/>
      <c r="I1155" s="959"/>
      <c r="J1155" s="959"/>
      <c r="K1155" s="959"/>
      <c r="L1155" s="959"/>
      <c r="M1155" s="959"/>
      <c r="N1155" s="959"/>
      <c r="O1155" s="959"/>
      <c r="P1155" s="959"/>
      <c r="Q1155" s="959"/>
      <c r="R1155" s="959"/>
      <c r="S1155" s="959"/>
      <c r="T1155" s="959"/>
      <c r="U1155" s="959"/>
      <c r="V1155" s="959"/>
      <c r="W1155" s="959"/>
      <c r="X1155" s="959"/>
      <c r="Y1155" s="959"/>
      <c r="Z1155" s="959"/>
      <c r="AA1155" s="959"/>
      <c r="AB1155" s="959"/>
      <c r="AC1155" s="959"/>
      <c r="AD1155" s="959"/>
      <c r="AE1155" s="959"/>
      <c r="AF1155" s="959"/>
      <c r="AG1155" s="959"/>
      <c r="AH1155" s="959"/>
      <c r="AI1155" s="959"/>
      <c r="AJ1155" s="959"/>
      <c r="AK1155" s="959"/>
      <c r="AL1155" s="959"/>
      <c r="AM1155" s="959"/>
    </row>
    <row r="1156" spans="3:39" x14ac:dyDescent="0.25">
      <c r="C1156" s="959"/>
      <c r="D1156" s="959"/>
      <c r="E1156" s="959"/>
      <c r="F1156" s="959"/>
      <c r="G1156" s="959"/>
      <c r="H1156" s="959"/>
      <c r="I1156" s="959"/>
      <c r="J1156" s="959"/>
      <c r="K1156" s="959"/>
      <c r="L1156" s="959"/>
      <c r="M1156" s="959"/>
      <c r="N1156" s="959"/>
      <c r="O1156" s="959"/>
      <c r="P1156" s="959"/>
      <c r="Q1156" s="959"/>
      <c r="R1156" s="959"/>
      <c r="S1156" s="959"/>
      <c r="T1156" s="959"/>
      <c r="U1156" s="959"/>
      <c r="V1156" s="959"/>
      <c r="W1156" s="959"/>
      <c r="X1156" s="959"/>
      <c r="Y1156" s="959"/>
      <c r="Z1156" s="959"/>
      <c r="AA1156" s="959"/>
      <c r="AB1156" s="959"/>
      <c r="AC1156" s="959"/>
      <c r="AD1156" s="959"/>
      <c r="AE1156" s="959"/>
      <c r="AF1156" s="959"/>
      <c r="AG1156" s="959"/>
      <c r="AH1156" s="959"/>
      <c r="AI1156" s="959"/>
      <c r="AJ1156" s="959"/>
      <c r="AK1156" s="959"/>
      <c r="AL1156" s="959"/>
      <c r="AM1156" s="959"/>
    </row>
    <row r="1157" spans="3:39" x14ac:dyDescent="0.25">
      <c r="C1157" s="959"/>
      <c r="D1157" s="959"/>
      <c r="E1157" s="959"/>
      <c r="F1157" s="959"/>
      <c r="G1157" s="959"/>
      <c r="H1157" s="959"/>
      <c r="I1157" s="959"/>
      <c r="J1157" s="959"/>
      <c r="K1157" s="959"/>
      <c r="L1157" s="959"/>
      <c r="M1157" s="959"/>
      <c r="N1157" s="959"/>
      <c r="O1157" s="959"/>
      <c r="P1157" s="959"/>
      <c r="Q1157" s="959"/>
      <c r="R1157" s="959"/>
      <c r="S1157" s="959"/>
      <c r="T1157" s="959"/>
      <c r="U1157" s="959"/>
      <c r="V1157" s="959"/>
      <c r="W1157" s="959"/>
      <c r="X1157" s="959"/>
      <c r="Y1157" s="959"/>
      <c r="Z1157" s="959"/>
      <c r="AA1157" s="959"/>
      <c r="AB1157" s="959"/>
      <c r="AC1157" s="959"/>
      <c r="AD1157" s="959"/>
      <c r="AE1157" s="959"/>
      <c r="AF1157" s="959"/>
      <c r="AG1157" s="959"/>
      <c r="AH1157" s="959"/>
      <c r="AI1157" s="959"/>
      <c r="AJ1157" s="959"/>
      <c r="AK1157" s="959"/>
      <c r="AL1157" s="959"/>
      <c r="AM1157" s="959"/>
    </row>
    <row r="1158" spans="3:39" x14ac:dyDescent="0.25">
      <c r="C1158" s="959"/>
      <c r="D1158" s="959"/>
      <c r="E1158" s="959"/>
      <c r="F1158" s="959"/>
      <c r="G1158" s="959"/>
      <c r="H1158" s="959"/>
      <c r="I1158" s="959"/>
      <c r="J1158" s="959"/>
      <c r="K1158" s="959"/>
      <c r="L1158" s="959"/>
      <c r="M1158" s="959"/>
      <c r="N1158" s="959"/>
      <c r="O1158" s="959"/>
      <c r="P1158" s="959"/>
      <c r="Q1158" s="959"/>
      <c r="R1158" s="959"/>
      <c r="S1158" s="959"/>
      <c r="T1158" s="959"/>
      <c r="U1158" s="959"/>
      <c r="V1158" s="959"/>
      <c r="W1158" s="959"/>
      <c r="X1158" s="959"/>
      <c r="Y1158" s="959"/>
      <c r="Z1158" s="959"/>
      <c r="AA1158" s="959"/>
      <c r="AB1158" s="959"/>
      <c r="AC1158" s="959"/>
      <c r="AD1158" s="959"/>
      <c r="AE1158" s="959"/>
      <c r="AF1158" s="959"/>
      <c r="AG1158" s="959"/>
      <c r="AH1158" s="959"/>
      <c r="AI1158" s="959"/>
      <c r="AJ1158" s="959"/>
      <c r="AK1158" s="959"/>
      <c r="AL1158" s="959"/>
      <c r="AM1158" s="959"/>
    </row>
    <row r="1159" spans="3:39" x14ac:dyDescent="0.25">
      <c r="C1159" s="959"/>
      <c r="D1159" s="959"/>
      <c r="E1159" s="959"/>
      <c r="F1159" s="959"/>
      <c r="G1159" s="959"/>
      <c r="H1159" s="959"/>
      <c r="I1159" s="959"/>
      <c r="J1159" s="959"/>
      <c r="K1159" s="959"/>
      <c r="L1159" s="959"/>
      <c r="M1159" s="959"/>
      <c r="N1159" s="959"/>
      <c r="O1159" s="959"/>
      <c r="P1159" s="959"/>
      <c r="Q1159" s="959"/>
      <c r="R1159" s="959"/>
      <c r="S1159" s="959"/>
      <c r="T1159" s="959"/>
      <c r="U1159" s="959"/>
      <c r="V1159" s="959"/>
      <c r="W1159" s="959"/>
      <c r="X1159" s="959"/>
      <c r="Y1159" s="959"/>
      <c r="Z1159" s="959"/>
      <c r="AA1159" s="959"/>
      <c r="AB1159" s="959"/>
      <c r="AC1159" s="959"/>
      <c r="AD1159" s="959"/>
      <c r="AE1159" s="959"/>
      <c r="AF1159" s="959"/>
      <c r="AG1159" s="959"/>
      <c r="AH1159" s="959"/>
      <c r="AI1159" s="959"/>
      <c r="AJ1159" s="959"/>
      <c r="AK1159" s="959"/>
      <c r="AL1159" s="959"/>
      <c r="AM1159" s="959"/>
    </row>
    <row r="1160" spans="3:39" x14ac:dyDescent="0.25">
      <c r="C1160" s="959"/>
      <c r="D1160" s="959"/>
      <c r="E1160" s="959"/>
      <c r="F1160" s="959"/>
      <c r="G1160" s="959"/>
      <c r="H1160" s="959"/>
      <c r="I1160" s="959"/>
      <c r="J1160" s="959"/>
      <c r="K1160" s="959"/>
      <c r="L1160" s="959"/>
      <c r="M1160" s="959"/>
      <c r="N1160" s="959"/>
      <c r="O1160" s="959"/>
      <c r="P1160" s="959"/>
      <c r="Q1160" s="959"/>
      <c r="R1160" s="959"/>
      <c r="S1160" s="959"/>
      <c r="T1160" s="959"/>
      <c r="U1160" s="959"/>
      <c r="V1160" s="959"/>
      <c r="W1160" s="959"/>
      <c r="X1160" s="959"/>
      <c r="Y1160" s="959"/>
      <c r="Z1160" s="959"/>
      <c r="AA1160" s="959"/>
      <c r="AB1160" s="959"/>
      <c r="AC1160" s="959"/>
      <c r="AD1160" s="959"/>
      <c r="AE1160" s="959"/>
      <c r="AF1160" s="959"/>
      <c r="AG1160" s="959"/>
      <c r="AH1160" s="959"/>
      <c r="AI1160" s="959"/>
      <c r="AJ1160" s="959"/>
      <c r="AK1160" s="959"/>
      <c r="AL1160" s="959"/>
      <c r="AM1160" s="959"/>
    </row>
    <row r="1161" spans="3:39" x14ac:dyDescent="0.25">
      <c r="C1161" s="959"/>
      <c r="D1161" s="959"/>
      <c r="E1161" s="959"/>
      <c r="F1161" s="959"/>
      <c r="G1161" s="959"/>
      <c r="H1161" s="959"/>
      <c r="I1161" s="959"/>
      <c r="J1161" s="959"/>
      <c r="K1161" s="959"/>
      <c r="L1161" s="959"/>
      <c r="M1161" s="959"/>
      <c r="N1161" s="959"/>
      <c r="O1161" s="959"/>
      <c r="P1161" s="959"/>
      <c r="Q1161" s="959"/>
      <c r="R1161" s="959"/>
      <c r="S1161" s="959"/>
      <c r="T1161" s="959"/>
      <c r="U1161" s="959"/>
      <c r="V1161" s="959"/>
      <c r="W1161" s="959"/>
      <c r="X1161" s="959"/>
      <c r="Y1161" s="959"/>
      <c r="Z1161" s="959"/>
      <c r="AA1161" s="959"/>
      <c r="AB1161" s="959"/>
      <c r="AC1161" s="959"/>
      <c r="AD1161" s="959"/>
      <c r="AE1161" s="959"/>
      <c r="AF1161" s="959"/>
      <c r="AG1161" s="959"/>
      <c r="AH1161" s="959"/>
      <c r="AI1161" s="959"/>
      <c r="AJ1161" s="959"/>
      <c r="AK1161" s="959"/>
      <c r="AL1161" s="959"/>
      <c r="AM1161" s="959"/>
    </row>
    <row r="1162" spans="3:39" x14ac:dyDescent="0.25">
      <c r="C1162" s="959"/>
      <c r="D1162" s="959"/>
      <c r="E1162" s="959"/>
      <c r="F1162" s="959"/>
      <c r="G1162" s="959"/>
      <c r="H1162" s="959"/>
      <c r="I1162" s="959"/>
      <c r="J1162" s="959"/>
      <c r="K1162" s="959"/>
      <c r="L1162" s="959"/>
      <c r="M1162" s="959"/>
      <c r="N1162" s="959"/>
      <c r="O1162" s="959"/>
      <c r="P1162" s="959"/>
      <c r="Q1162" s="959"/>
      <c r="R1162" s="959"/>
      <c r="S1162" s="959"/>
      <c r="T1162" s="959"/>
      <c r="U1162" s="959"/>
      <c r="V1162" s="959"/>
      <c r="W1162" s="959"/>
      <c r="X1162" s="959"/>
      <c r="Y1162" s="959"/>
      <c r="Z1162" s="959"/>
      <c r="AA1162" s="959"/>
      <c r="AB1162" s="959"/>
      <c r="AC1162" s="959"/>
      <c r="AD1162" s="959"/>
      <c r="AE1162" s="959"/>
      <c r="AF1162" s="959"/>
      <c r="AG1162" s="959"/>
      <c r="AH1162" s="959"/>
      <c r="AI1162" s="959"/>
      <c r="AJ1162" s="959"/>
      <c r="AK1162" s="959"/>
      <c r="AL1162" s="959"/>
      <c r="AM1162" s="959"/>
    </row>
    <row r="1163" spans="3:39" x14ac:dyDescent="0.25">
      <c r="C1163" s="959"/>
      <c r="D1163" s="959"/>
      <c r="E1163" s="959"/>
      <c r="F1163" s="959"/>
      <c r="G1163" s="959"/>
      <c r="H1163" s="959"/>
      <c r="I1163" s="959"/>
      <c r="J1163" s="959"/>
      <c r="K1163" s="959"/>
      <c r="L1163" s="959"/>
      <c r="M1163" s="959"/>
      <c r="N1163" s="959"/>
      <c r="O1163" s="959"/>
      <c r="P1163" s="959"/>
      <c r="Q1163" s="959"/>
      <c r="R1163" s="959"/>
      <c r="S1163" s="959"/>
      <c r="T1163" s="959"/>
      <c r="U1163" s="959"/>
      <c r="V1163" s="959"/>
      <c r="W1163" s="959"/>
      <c r="X1163" s="959"/>
      <c r="Y1163" s="959"/>
      <c r="Z1163" s="959"/>
      <c r="AA1163" s="959"/>
      <c r="AB1163" s="959"/>
      <c r="AC1163" s="959"/>
      <c r="AD1163" s="959"/>
      <c r="AE1163" s="959"/>
      <c r="AF1163" s="959"/>
      <c r="AG1163" s="959"/>
      <c r="AH1163" s="959"/>
      <c r="AI1163" s="959"/>
      <c r="AJ1163" s="959"/>
      <c r="AK1163" s="959"/>
      <c r="AL1163" s="959"/>
      <c r="AM1163" s="959"/>
    </row>
    <row r="1164" spans="3:39" x14ac:dyDescent="0.25">
      <c r="C1164" s="959"/>
      <c r="D1164" s="959"/>
      <c r="E1164" s="959"/>
      <c r="F1164" s="959"/>
      <c r="G1164" s="959"/>
      <c r="H1164" s="959"/>
      <c r="I1164" s="959"/>
      <c r="J1164" s="959"/>
      <c r="K1164" s="959"/>
      <c r="L1164" s="959"/>
      <c r="M1164" s="959"/>
      <c r="N1164" s="959"/>
      <c r="O1164" s="959"/>
      <c r="P1164" s="959"/>
      <c r="Q1164" s="959"/>
      <c r="R1164" s="959"/>
      <c r="S1164" s="959"/>
      <c r="T1164" s="959"/>
      <c r="U1164" s="959"/>
      <c r="V1164" s="959"/>
      <c r="W1164" s="959"/>
      <c r="X1164" s="959"/>
      <c r="Y1164" s="959"/>
      <c r="Z1164" s="959"/>
      <c r="AA1164" s="959"/>
      <c r="AB1164" s="959"/>
      <c r="AC1164" s="959"/>
      <c r="AD1164" s="959"/>
      <c r="AE1164" s="959"/>
      <c r="AF1164" s="959"/>
      <c r="AG1164" s="959"/>
      <c r="AH1164" s="959"/>
      <c r="AI1164" s="959"/>
      <c r="AJ1164" s="959"/>
      <c r="AK1164" s="959"/>
      <c r="AL1164" s="959"/>
      <c r="AM1164" s="959"/>
    </row>
    <row r="1165" spans="3:39" x14ac:dyDescent="0.25">
      <c r="C1165" s="959"/>
      <c r="D1165" s="959"/>
      <c r="E1165" s="959"/>
      <c r="F1165" s="959"/>
      <c r="G1165" s="959"/>
      <c r="H1165" s="959"/>
      <c r="I1165" s="959"/>
      <c r="J1165" s="959"/>
      <c r="K1165" s="959"/>
      <c r="L1165" s="959"/>
      <c r="M1165" s="959"/>
      <c r="N1165" s="959"/>
      <c r="O1165" s="959"/>
      <c r="P1165" s="959"/>
      <c r="Q1165" s="959"/>
      <c r="R1165" s="959"/>
      <c r="S1165" s="959"/>
      <c r="T1165" s="959"/>
      <c r="U1165" s="959"/>
      <c r="V1165" s="959"/>
      <c r="W1165" s="959"/>
      <c r="X1165" s="959"/>
      <c r="Y1165" s="959"/>
      <c r="Z1165" s="959"/>
      <c r="AA1165" s="959"/>
      <c r="AB1165" s="959"/>
      <c r="AC1165" s="959"/>
      <c r="AD1165" s="959"/>
      <c r="AE1165" s="959"/>
      <c r="AF1165" s="959"/>
      <c r="AG1165" s="959"/>
      <c r="AH1165" s="959"/>
      <c r="AI1165" s="959"/>
      <c r="AJ1165" s="959"/>
      <c r="AK1165" s="959"/>
      <c r="AL1165" s="959"/>
      <c r="AM1165" s="959"/>
    </row>
    <row r="1166" spans="3:39" x14ac:dyDescent="0.25">
      <c r="C1166" s="959"/>
      <c r="D1166" s="959"/>
      <c r="E1166" s="959"/>
      <c r="F1166" s="959"/>
      <c r="G1166" s="959"/>
      <c r="H1166" s="959"/>
      <c r="I1166" s="959"/>
      <c r="J1166" s="959"/>
      <c r="K1166" s="959"/>
      <c r="L1166" s="959"/>
      <c r="M1166" s="959"/>
      <c r="N1166" s="959"/>
      <c r="O1166" s="959"/>
      <c r="P1166" s="959"/>
      <c r="Q1166" s="959"/>
      <c r="R1166" s="959"/>
      <c r="S1166" s="959"/>
      <c r="T1166" s="959"/>
      <c r="U1166" s="959"/>
      <c r="V1166" s="959"/>
      <c r="W1166" s="959"/>
      <c r="X1166" s="959"/>
      <c r="Y1166" s="959"/>
      <c r="Z1166" s="959"/>
      <c r="AA1166" s="959"/>
      <c r="AB1166" s="959"/>
      <c r="AC1166" s="959"/>
      <c r="AD1166" s="959"/>
      <c r="AE1166" s="959"/>
      <c r="AF1166" s="959"/>
      <c r="AG1166" s="959"/>
      <c r="AH1166" s="959"/>
      <c r="AI1166" s="959"/>
      <c r="AJ1166" s="959"/>
      <c r="AK1166" s="959"/>
      <c r="AL1166" s="959"/>
      <c r="AM1166" s="959"/>
    </row>
    <row r="1167" spans="3:39" x14ac:dyDescent="0.25">
      <c r="C1167" s="959"/>
      <c r="D1167" s="959"/>
      <c r="E1167" s="959"/>
      <c r="F1167" s="959"/>
      <c r="G1167" s="959"/>
      <c r="H1167" s="959"/>
      <c r="I1167" s="959"/>
      <c r="J1167" s="959"/>
      <c r="K1167" s="959"/>
      <c r="L1167" s="959"/>
      <c r="M1167" s="959"/>
      <c r="N1167" s="959"/>
      <c r="O1167" s="959"/>
      <c r="P1167" s="959"/>
      <c r="Q1167" s="959"/>
      <c r="R1167" s="959"/>
      <c r="S1167" s="959"/>
      <c r="T1167" s="959"/>
      <c r="U1167" s="959"/>
      <c r="V1167" s="959"/>
      <c r="W1167" s="959"/>
      <c r="X1167" s="959"/>
      <c r="Y1167" s="959"/>
      <c r="Z1167" s="959"/>
      <c r="AA1167" s="959"/>
      <c r="AB1167" s="959"/>
      <c r="AC1167" s="959"/>
      <c r="AD1167" s="959"/>
      <c r="AE1167" s="959"/>
      <c r="AF1167" s="959"/>
      <c r="AG1167" s="959"/>
      <c r="AH1167" s="959"/>
      <c r="AI1167" s="959"/>
      <c r="AJ1167" s="959"/>
      <c r="AK1167" s="959"/>
      <c r="AL1167" s="959"/>
      <c r="AM1167" s="959"/>
    </row>
    <row r="1168" spans="3:39" x14ac:dyDescent="0.25">
      <c r="C1168" s="959"/>
      <c r="D1168" s="959"/>
      <c r="E1168" s="959"/>
      <c r="F1168" s="959"/>
      <c r="G1168" s="959"/>
      <c r="H1168" s="959"/>
      <c r="I1168" s="959"/>
      <c r="J1168" s="959"/>
      <c r="K1168" s="959"/>
      <c r="L1168" s="959"/>
      <c r="M1168" s="959"/>
      <c r="N1168" s="959"/>
      <c r="O1168" s="959"/>
      <c r="P1168" s="959"/>
      <c r="Q1168" s="959"/>
      <c r="R1168" s="959"/>
      <c r="S1168" s="959"/>
      <c r="T1168" s="959"/>
      <c r="U1168" s="959"/>
      <c r="V1168" s="959"/>
      <c r="W1168" s="959"/>
      <c r="X1168" s="959"/>
      <c r="Y1168" s="959"/>
      <c r="Z1168" s="959"/>
      <c r="AA1168" s="959"/>
      <c r="AB1168" s="959"/>
      <c r="AC1168" s="959"/>
      <c r="AD1168" s="959"/>
      <c r="AE1168" s="959"/>
      <c r="AF1168" s="959"/>
      <c r="AG1168" s="959"/>
      <c r="AH1168" s="959"/>
      <c r="AI1168" s="959"/>
      <c r="AJ1168" s="959"/>
      <c r="AK1168" s="959"/>
      <c r="AL1168" s="959"/>
      <c r="AM1168" s="959"/>
    </row>
    <row r="1169" spans="3:39" x14ac:dyDescent="0.25">
      <c r="C1169" s="959"/>
      <c r="D1169" s="959"/>
      <c r="E1169" s="959"/>
      <c r="F1169" s="959"/>
      <c r="G1169" s="959"/>
      <c r="H1169" s="959"/>
      <c r="I1169" s="959"/>
      <c r="J1169" s="959"/>
      <c r="K1169" s="959"/>
      <c r="L1169" s="959"/>
      <c r="M1169" s="959"/>
      <c r="N1169" s="959"/>
      <c r="O1169" s="959"/>
      <c r="P1169" s="959"/>
      <c r="Q1169" s="959"/>
      <c r="R1169" s="959"/>
      <c r="S1169" s="959"/>
      <c r="T1169" s="959"/>
      <c r="U1169" s="959"/>
      <c r="V1169" s="959"/>
      <c r="W1169" s="959"/>
      <c r="X1169" s="959"/>
      <c r="Y1169" s="959"/>
      <c r="Z1169" s="959"/>
      <c r="AA1169" s="959"/>
      <c r="AB1169" s="959"/>
      <c r="AC1169" s="959"/>
      <c r="AD1169" s="959"/>
      <c r="AE1169" s="959"/>
      <c r="AF1169" s="959"/>
      <c r="AG1169" s="959"/>
      <c r="AH1169" s="959"/>
      <c r="AI1169" s="959"/>
      <c r="AJ1169" s="959"/>
      <c r="AK1169" s="959"/>
      <c r="AL1169" s="959"/>
      <c r="AM1169" s="959"/>
    </row>
    <row r="1170" spans="3:39" x14ac:dyDescent="0.25">
      <c r="C1170" s="959"/>
      <c r="D1170" s="959"/>
      <c r="E1170" s="959"/>
      <c r="F1170" s="959"/>
      <c r="G1170" s="959"/>
      <c r="H1170" s="959"/>
      <c r="I1170" s="959"/>
      <c r="J1170" s="959"/>
      <c r="K1170" s="959"/>
      <c r="L1170" s="959"/>
      <c r="M1170" s="959"/>
      <c r="N1170" s="959"/>
      <c r="O1170" s="959"/>
      <c r="P1170" s="959"/>
      <c r="Q1170" s="959"/>
      <c r="R1170" s="959"/>
      <c r="S1170" s="959"/>
      <c r="T1170" s="959"/>
      <c r="U1170" s="959"/>
      <c r="V1170" s="959"/>
      <c r="W1170" s="959"/>
      <c r="X1170" s="959"/>
      <c r="Y1170" s="959"/>
      <c r="Z1170" s="959"/>
      <c r="AA1170" s="959"/>
      <c r="AB1170" s="959"/>
      <c r="AC1170" s="959"/>
      <c r="AD1170" s="959"/>
      <c r="AE1170" s="959"/>
      <c r="AF1170" s="959"/>
      <c r="AG1170" s="959"/>
      <c r="AH1170" s="959"/>
      <c r="AI1170" s="959"/>
      <c r="AJ1170" s="959"/>
      <c r="AK1170" s="959"/>
      <c r="AL1170" s="959"/>
      <c r="AM1170" s="959"/>
    </row>
    <row r="1171" spans="3:39" x14ac:dyDescent="0.25">
      <c r="C1171" s="959"/>
      <c r="D1171" s="959"/>
      <c r="E1171" s="959"/>
      <c r="F1171" s="959"/>
      <c r="G1171" s="959"/>
      <c r="H1171" s="959"/>
      <c r="I1171" s="959"/>
      <c r="J1171" s="959"/>
      <c r="K1171" s="959"/>
      <c r="L1171" s="959"/>
      <c r="M1171" s="959"/>
      <c r="N1171" s="959"/>
      <c r="O1171" s="959"/>
      <c r="P1171" s="959"/>
      <c r="Q1171" s="959"/>
      <c r="R1171" s="959"/>
      <c r="S1171" s="959"/>
      <c r="T1171" s="959"/>
      <c r="U1171" s="959"/>
      <c r="V1171" s="959"/>
      <c r="W1171" s="959"/>
      <c r="X1171" s="959"/>
      <c r="Y1171" s="959"/>
      <c r="Z1171" s="959"/>
      <c r="AA1171" s="959"/>
      <c r="AB1171" s="959"/>
      <c r="AC1171" s="959"/>
      <c r="AD1171" s="959"/>
      <c r="AE1171" s="959"/>
      <c r="AF1171" s="959"/>
      <c r="AG1171" s="959"/>
      <c r="AH1171" s="959"/>
      <c r="AI1171" s="959"/>
      <c r="AJ1171" s="959"/>
      <c r="AK1171" s="959"/>
      <c r="AL1171" s="959"/>
      <c r="AM1171" s="959"/>
    </row>
    <row r="1172" spans="3:39" x14ac:dyDescent="0.25">
      <c r="C1172" s="959"/>
      <c r="D1172" s="959"/>
      <c r="E1172" s="959"/>
      <c r="F1172" s="959"/>
      <c r="G1172" s="959"/>
      <c r="H1172" s="959"/>
      <c r="I1172" s="959"/>
      <c r="J1172" s="959"/>
      <c r="K1172" s="959"/>
      <c r="L1172" s="959"/>
      <c r="M1172" s="959"/>
      <c r="N1172" s="959"/>
      <c r="O1172" s="959"/>
      <c r="P1172" s="959"/>
      <c r="Q1172" s="959"/>
      <c r="R1172" s="959"/>
      <c r="S1172" s="959"/>
      <c r="T1172" s="959"/>
      <c r="U1172" s="959"/>
      <c r="V1172" s="959"/>
      <c r="W1172" s="959"/>
      <c r="X1172" s="959"/>
      <c r="Y1172" s="959"/>
      <c r="Z1172" s="959"/>
      <c r="AA1172" s="959"/>
      <c r="AB1172" s="959"/>
      <c r="AC1172" s="959"/>
      <c r="AD1172" s="959"/>
      <c r="AE1172" s="959"/>
      <c r="AF1172" s="959"/>
      <c r="AG1172" s="959"/>
      <c r="AH1172" s="959"/>
      <c r="AI1172" s="959"/>
      <c r="AJ1172" s="959"/>
      <c r="AK1172" s="959"/>
      <c r="AL1172" s="959"/>
      <c r="AM1172" s="959"/>
    </row>
    <row r="1173" spans="3:39" x14ac:dyDescent="0.25">
      <c r="C1173" s="959"/>
      <c r="D1173" s="959"/>
      <c r="E1173" s="959"/>
      <c r="F1173" s="959"/>
      <c r="G1173" s="959"/>
      <c r="H1173" s="959"/>
      <c r="I1173" s="959"/>
      <c r="J1173" s="959"/>
      <c r="K1173" s="959"/>
      <c r="L1173" s="959"/>
      <c r="M1173" s="959"/>
      <c r="N1173" s="959"/>
      <c r="O1173" s="959"/>
      <c r="P1173" s="959"/>
      <c r="Q1173" s="959"/>
      <c r="R1173" s="959"/>
      <c r="S1173" s="959"/>
      <c r="T1173" s="959"/>
      <c r="U1173" s="959"/>
      <c r="V1173" s="959"/>
      <c r="W1173" s="959"/>
      <c r="X1173" s="959"/>
      <c r="Y1173" s="959"/>
      <c r="Z1173" s="959"/>
      <c r="AA1173" s="959"/>
      <c r="AB1173" s="959"/>
      <c r="AC1173" s="959"/>
      <c r="AD1173" s="959"/>
      <c r="AE1173" s="959"/>
      <c r="AF1173" s="959"/>
      <c r="AG1173" s="959"/>
      <c r="AH1173" s="959"/>
      <c r="AI1173" s="959"/>
      <c r="AJ1173" s="959"/>
      <c r="AK1173" s="959"/>
      <c r="AL1173" s="959"/>
      <c r="AM1173" s="959"/>
    </row>
    <row r="1174" spans="3:39" x14ac:dyDescent="0.25">
      <c r="C1174" s="959"/>
      <c r="D1174" s="959"/>
      <c r="E1174" s="959"/>
      <c r="F1174" s="959"/>
      <c r="G1174" s="959"/>
      <c r="H1174" s="959"/>
      <c r="I1174" s="959"/>
      <c r="J1174" s="959"/>
      <c r="K1174" s="959"/>
      <c r="L1174" s="959"/>
      <c r="M1174" s="959"/>
      <c r="N1174" s="959"/>
      <c r="O1174" s="959"/>
      <c r="P1174" s="959"/>
      <c r="Q1174" s="959"/>
      <c r="R1174" s="959"/>
      <c r="S1174" s="959"/>
      <c r="T1174" s="959"/>
      <c r="U1174" s="959"/>
      <c r="V1174" s="959"/>
      <c r="W1174" s="959"/>
      <c r="X1174" s="959"/>
      <c r="Y1174" s="959"/>
      <c r="Z1174" s="959"/>
      <c r="AA1174" s="959"/>
      <c r="AB1174" s="959"/>
      <c r="AC1174" s="959"/>
      <c r="AD1174" s="959"/>
      <c r="AE1174" s="959"/>
      <c r="AF1174" s="959"/>
      <c r="AG1174" s="959"/>
      <c r="AH1174" s="959"/>
      <c r="AI1174" s="959"/>
      <c r="AJ1174" s="959"/>
      <c r="AK1174" s="959"/>
      <c r="AL1174" s="959"/>
      <c r="AM1174" s="959"/>
    </row>
    <row r="1175" spans="3:39" x14ac:dyDescent="0.25">
      <c r="C1175" s="959"/>
      <c r="D1175" s="959"/>
      <c r="E1175" s="959"/>
      <c r="F1175" s="959"/>
      <c r="G1175" s="959"/>
      <c r="H1175" s="959"/>
      <c r="I1175" s="959"/>
      <c r="J1175" s="959"/>
      <c r="K1175" s="959"/>
      <c r="L1175" s="959"/>
      <c r="M1175" s="959"/>
      <c r="N1175" s="959"/>
      <c r="O1175" s="959"/>
      <c r="P1175" s="959"/>
      <c r="Q1175" s="959"/>
      <c r="R1175" s="959"/>
      <c r="S1175" s="959"/>
      <c r="T1175" s="959"/>
      <c r="U1175" s="959"/>
      <c r="V1175" s="959"/>
      <c r="W1175" s="959"/>
      <c r="X1175" s="959"/>
      <c r="Y1175" s="959"/>
      <c r="Z1175" s="959"/>
      <c r="AA1175" s="959"/>
      <c r="AB1175" s="959"/>
      <c r="AC1175" s="959"/>
      <c r="AD1175" s="959"/>
      <c r="AE1175" s="959"/>
      <c r="AF1175" s="959"/>
      <c r="AG1175" s="959"/>
      <c r="AH1175" s="959"/>
      <c r="AI1175" s="959"/>
      <c r="AJ1175" s="959"/>
      <c r="AK1175" s="959"/>
      <c r="AL1175" s="959"/>
      <c r="AM1175" s="959"/>
    </row>
    <row r="1176" spans="3:39" x14ac:dyDescent="0.25">
      <c r="C1176" s="959"/>
      <c r="D1176" s="959"/>
      <c r="E1176" s="959"/>
      <c r="F1176" s="959"/>
      <c r="G1176" s="959"/>
      <c r="H1176" s="959"/>
      <c r="I1176" s="959"/>
      <c r="J1176" s="959"/>
      <c r="K1176" s="959"/>
      <c r="L1176" s="959"/>
      <c r="M1176" s="959"/>
      <c r="N1176" s="959"/>
      <c r="O1176" s="959"/>
      <c r="P1176" s="959"/>
      <c r="Q1176" s="959"/>
      <c r="R1176" s="959"/>
      <c r="S1176" s="959"/>
      <c r="T1176" s="959"/>
      <c r="U1176" s="959"/>
      <c r="V1176" s="959"/>
      <c r="W1176" s="959"/>
      <c r="X1176" s="959"/>
      <c r="Y1176" s="959"/>
      <c r="Z1176" s="959"/>
      <c r="AA1176" s="959"/>
      <c r="AB1176" s="959"/>
      <c r="AC1176" s="959"/>
      <c r="AD1176" s="959"/>
      <c r="AE1176" s="959"/>
      <c r="AF1176" s="959"/>
      <c r="AG1176" s="959"/>
      <c r="AH1176" s="959"/>
      <c r="AI1176" s="959"/>
      <c r="AJ1176" s="959"/>
      <c r="AK1176" s="959"/>
      <c r="AL1176" s="959"/>
      <c r="AM1176" s="959"/>
    </row>
    <row r="1177" spans="3:39" x14ac:dyDescent="0.25">
      <c r="C1177" s="959"/>
      <c r="D1177" s="959"/>
      <c r="E1177" s="959"/>
      <c r="F1177" s="959"/>
      <c r="G1177" s="959"/>
      <c r="H1177" s="959"/>
      <c r="I1177" s="959"/>
      <c r="J1177" s="959"/>
      <c r="K1177" s="959"/>
      <c r="L1177" s="959"/>
      <c r="M1177" s="959"/>
      <c r="N1177" s="959"/>
      <c r="O1177" s="959"/>
      <c r="P1177" s="959"/>
      <c r="Q1177" s="959"/>
      <c r="R1177" s="959"/>
      <c r="S1177" s="959"/>
      <c r="T1177" s="959"/>
      <c r="U1177" s="959"/>
      <c r="V1177" s="959"/>
      <c r="W1177" s="959"/>
      <c r="X1177" s="959"/>
      <c r="Y1177" s="959"/>
      <c r="Z1177" s="959"/>
      <c r="AA1177" s="959"/>
      <c r="AB1177" s="959"/>
      <c r="AC1177" s="959"/>
      <c r="AD1177" s="959"/>
      <c r="AE1177" s="959"/>
      <c r="AF1177" s="959"/>
      <c r="AG1177" s="959"/>
      <c r="AH1177" s="959"/>
      <c r="AI1177" s="959"/>
      <c r="AJ1177" s="959"/>
      <c r="AK1177" s="959"/>
      <c r="AL1177" s="959"/>
      <c r="AM1177" s="959"/>
    </row>
    <row r="1178" spans="3:39" x14ac:dyDescent="0.25">
      <c r="C1178" s="959"/>
      <c r="D1178" s="959"/>
      <c r="E1178" s="959"/>
      <c r="F1178" s="959"/>
      <c r="G1178" s="959"/>
      <c r="H1178" s="959"/>
      <c r="I1178" s="959"/>
      <c r="J1178" s="959"/>
      <c r="K1178" s="959"/>
      <c r="L1178" s="959"/>
      <c r="M1178" s="959"/>
      <c r="N1178" s="959"/>
      <c r="O1178" s="959"/>
      <c r="P1178" s="959"/>
      <c r="Q1178" s="959"/>
      <c r="R1178" s="959"/>
      <c r="S1178" s="959"/>
      <c r="T1178" s="959"/>
      <c r="U1178" s="959"/>
      <c r="V1178" s="959"/>
      <c r="W1178" s="959"/>
      <c r="X1178" s="959"/>
      <c r="Y1178" s="959"/>
      <c r="Z1178" s="959"/>
      <c r="AA1178" s="959"/>
      <c r="AB1178" s="959"/>
      <c r="AC1178" s="959"/>
      <c r="AD1178" s="959"/>
      <c r="AE1178" s="959"/>
      <c r="AF1178" s="959"/>
      <c r="AG1178" s="959"/>
      <c r="AH1178" s="959"/>
      <c r="AI1178" s="959"/>
      <c r="AJ1178" s="959"/>
      <c r="AK1178" s="959"/>
      <c r="AL1178" s="959"/>
      <c r="AM1178" s="959"/>
    </row>
    <row r="1179" spans="3:39" x14ac:dyDescent="0.25">
      <c r="C1179" s="959"/>
      <c r="D1179" s="959"/>
      <c r="E1179" s="959"/>
      <c r="F1179" s="959"/>
      <c r="G1179" s="959"/>
      <c r="H1179" s="959"/>
      <c r="I1179" s="959"/>
      <c r="J1179" s="959"/>
      <c r="K1179" s="959"/>
      <c r="L1179" s="959"/>
      <c r="M1179" s="959"/>
      <c r="N1179" s="959"/>
      <c r="O1179" s="959"/>
      <c r="P1179" s="959"/>
      <c r="Q1179" s="959"/>
      <c r="R1179" s="959"/>
      <c r="S1179" s="959"/>
      <c r="T1179" s="959"/>
      <c r="U1179" s="959"/>
      <c r="V1179" s="959"/>
      <c r="W1179" s="959"/>
      <c r="X1179" s="959"/>
      <c r="Y1179" s="959"/>
      <c r="Z1179" s="959"/>
      <c r="AA1179" s="959"/>
      <c r="AB1179" s="959"/>
      <c r="AC1179" s="959"/>
      <c r="AD1179" s="959"/>
      <c r="AE1179" s="959"/>
      <c r="AF1179" s="959"/>
      <c r="AG1179" s="959"/>
      <c r="AH1179" s="959"/>
      <c r="AI1179" s="959"/>
      <c r="AJ1179" s="959"/>
      <c r="AK1179" s="959"/>
      <c r="AL1179" s="959"/>
      <c r="AM1179" s="959"/>
    </row>
    <row r="1180" spans="3:39" x14ac:dyDescent="0.25">
      <c r="C1180" s="959"/>
      <c r="D1180" s="959"/>
      <c r="E1180" s="959"/>
      <c r="F1180" s="959"/>
      <c r="G1180" s="959"/>
      <c r="H1180" s="959"/>
      <c r="I1180" s="959"/>
      <c r="J1180" s="959"/>
      <c r="K1180" s="959"/>
      <c r="L1180" s="959"/>
      <c r="M1180" s="959"/>
      <c r="N1180" s="959"/>
      <c r="O1180" s="959"/>
      <c r="P1180" s="959"/>
      <c r="Q1180" s="959"/>
      <c r="R1180" s="959"/>
      <c r="S1180" s="959"/>
      <c r="T1180" s="959"/>
      <c r="U1180" s="959"/>
      <c r="V1180" s="959"/>
      <c r="W1180" s="959"/>
      <c r="X1180" s="959"/>
      <c r="Y1180" s="959"/>
      <c r="Z1180" s="959"/>
      <c r="AA1180" s="959"/>
      <c r="AB1180" s="959"/>
      <c r="AC1180" s="959"/>
      <c r="AD1180" s="959"/>
      <c r="AE1180" s="959"/>
      <c r="AF1180" s="959"/>
      <c r="AG1180" s="959"/>
      <c r="AH1180" s="959"/>
      <c r="AI1180" s="959"/>
      <c r="AJ1180" s="959"/>
      <c r="AK1180" s="959"/>
      <c r="AL1180" s="959"/>
      <c r="AM1180" s="959"/>
    </row>
    <row r="1181" spans="3:39" x14ac:dyDescent="0.25">
      <c r="C1181" s="959"/>
      <c r="D1181" s="959"/>
      <c r="E1181" s="959"/>
      <c r="F1181" s="959"/>
      <c r="G1181" s="959"/>
      <c r="H1181" s="959"/>
      <c r="I1181" s="959"/>
      <c r="J1181" s="959"/>
      <c r="K1181" s="959"/>
      <c r="L1181" s="959"/>
      <c r="M1181" s="959"/>
      <c r="N1181" s="959"/>
      <c r="O1181" s="959"/>
      <c r="P1181" s="959"/>
      <c r="Q1181" s="959"/>
      <c r="R1181" s="959"/>
      <c r="S1181" s="959"/>
      <c r="T1181" s="959"/>
      <c r="U1181" s="959"/>
      <c r="V1181" s="959"/>
      <c r="W1181" s="959"/>
      <c r="X1181" s="959"/>
      <c r="Y1181" s="959"/>
      <c r="Z1181" s="959"/>
      <c r="AA1181" s="959"/>
      <c r="AB1181" s="959"/>
      <c r="AC1181" s="959"/>
      <c r="AD1181" s="959"/>
      <c r="AE1181" s="959"/>
      <c r="AF1181" s="959"/>
      <c r="AG1181" s="959"/>
      <c r="AH1181" s="959"/>
      <c r="AI1181" s="959"/>
      <c r="AJ1181" s="959"/>
      <c r="AK1181" s="959"/>
      <c r="AL1181" s="959"/>
      <c r="AM1181" s="959"/>
    </row>
    <row r="1182" spans="3:39" x14ac:dyDescent="0.25">
      <c r="C1182" s="959"/>
      <c r="D1182" s="959"/>
      <c r="E1182" s="959"/>
      <c r="F1182" s="959"/>
      <c r="G1182" s="959"/>
      <c r="H1182" s="959"/>
      <c r="I1182" s="959"/>
      <c r="J1182" s="959"/>
      <c r="K1182" s="959"/>
      <c r="L1182" s="959"/>
      <c r="M1182" s="959"/>
      <c r="N1182" s="959"/>
      <c r="O1182" s="959"/>
      <c r="P1182" s="959"/>
      <c r="Q1182" s="959"/>
      <c r="R1182" s="959"/>
      <c r="S1182" s="959"/>
      <c r="T1182" s="959"/>
      <c r="U1182" s="959"/>
      <c r="V1182" s="959"/>
      <c r="W1182" s="959"/>
      <c r="X1182" s="959"/>
      <c r="Y1182" s="959"/>
      <c r="Z1182" s="959"/>
      <c r="AA1182" s="959"/>
      <c r="AB1182" s="959"/>
      <c r="AC1182" s="959"/>
      <c r="AD1182" s="959"/>
      <c r="AE1182" s="959"/>
      <c r="AF1182" s="959"/>
      <c r="AG1182" s="959"/>
      <c r="AH1182" s="959"/>
      <c r="AI1182" s="959"/>
      <c r="AJ1182" s="959"/>
      <c r="AK1182" s="959"/>
      <c r="AL1182" s="959"/>
      <c r="AM1182" s="959"/>
    </row>
    <row r="1183" spans="3:39" x14ac:dyDescent="0.25">
      <c r="C1183" s="959"/>
      <c r="D1183" s="959"/>
      <c r="E1183" s="959"/>
      <c r="F1183" s="959"/>
      <c r="G1183" s="959"/>
      <c r="H1183" s="959"/>
      <c r="I1183" s="959"/>
      <c r="J1183" s="959"/>
      <c r="K1183" s="959"/>
      <c r="L1183" s="959"/>
      <c r="M1183" s="959"/>
      <c r="N1183" s="959"/>
      <c r="O1183" s="959"/>
      <c r="P1183" s="959"/>
      <c r="Q1183" s="959"/>
      <c r="R1183" s="959"/>
      <c r="S1183" s="959"/>
      <c r="T1183" s="959"/>
      <c r="U1183" s="959"/>
      <c r="V1183" s="959"/>
      <c r="W1183" s="959"/>
      <c r="X1183" s="959"/>
      <c r="Y1183" s="959"/>
      <c r="Z1183" s="959"/>
      <c r="AA1183" s="959"/>
      <c r="AB1183" s="959"/>
      <c r="AC1183" s="959"/>
      <c r="AD1183" s="959"/>
      <c r="AE1183" s="959"/>
      <c r="AF1183" s="959"/>
      <c r="AG1183" s="959"/>
      <c r="AH1183" s="959"/>
      <c r="AI1183" s="959"/>
      <c r="AJ1183" s="959"/>
      <c r="AK1183" s="959"/>
      <c r="AL1183" s="959"/>
      <c r="AM1183" s="959"/>
    </row>
    <row r="1184" spans="3:39" x14ac:dyDescent="0.25">
      <c r="C1184" s="959"/>
      <c r="D1184" s="959"/>
      <c r="E1184" s="959"/>
      <c r="F1184" s="959"/>
      <c r="G1184" s="959"/>
      <c r="H1184" s="959"/>
      <c r="I1184" s="959"/>
      <c r="J1184" s="959"/>
      <c r="K1184" s="959"/>
      <c r="L1184" s="959"/>
      <c r="M1184" s="959"/>
      <c r="N1184" s="959"/>
      <c r="O1184" s="959"/>
      <c r="P1184" s="959"/>
      <c r="Q1184" s="959"/>
      <c r="R1184" s="959"/>
      <c r="S1184" s="959"/>
      <c r="T1184" s="959"/>
      <c r="U1184" s="959"/>
      <c r="V1184" s="959"/>
      <c r="W1184" s="959"/>
      <c r="X1184" s="959"/>
      <c r="Y1184" s="959"/>
      <c r="Z1184" s="959"/>
      <c r="AA1184" s="959"/>
      <c r="AB1184" s="959"/>
      <c r="AC1184" s="959"/>
      <c r="AD1184" s="959"/>
      <c r="AE1184" s="959"/>
      <c r="AF1184" s="959"/>
      <c r="AG1184" s="959"/>
      <c r="AH1184" s="959"/>
      <c r="AI1184" s="959"/>
      <c r="AJ1184" s="959"/>
      <c r="AK1184" s="959"/>
      <c r="AL1184" s="959"/>
      <c r="AM1184" s="959"/>
    </row>
    <row r="1185" spans="3:39" x14ac:dyDescent="0.25">
      <c r="C1185" s="959"/>
      <c r="D1185" s="959"/>
      <c r="E1185" s="959"/>
      <c r="F1185" s="959"/>
      <c r="G1185" s="959"/>
      <c r="H1185" s="959"/>
      <c r="I1185" s="959"/>
      <c r="J1185" s="959"/>
      <c r="K1185" s="959"/>
      <c r="L1185" s="959"/>
      <c r="M1185" s="959"/>
      <c r="N1185" s="959"/>
      <c r="O1185" s="959"/>
      <c r="P1185" s="959"/>
      <c r="Q1185" s="959"/>
      <c r="R1185" s="959"/>
      <c r="S1185" s="959"/>
      <c r="T1185" s="959"/>
      <c r="U1185" s="959"/>
      <c r="V1185" s="959"/>
      <c r="W1185" s="959"/>
      <c r="X1185" s="959"/>
      <c r="Y1185" s="959"/>
      <c r="Z1185" s="959"/>
      <c r="AA1185" s="959"/>
      <c r="AB1185" s="959"/>
      <c r="AC1185" s="959"/>
      <c r="AD1185" s="959"/>
      <c r="AE1185" s="959"/>
      <c r="AF1185" s="959"/>
      <c r="AG1185" s="959"/>
      <c r="AH1185" s="959"/>
      <c r="AI1185" s="959"/>
      <c r="AJ1185" s="959"/>
      <c r="AK1185" s="959"/>
      <c r="AL1185" s="959"/>
      <c r="AM1185" s="959"/>
    </row>
    <row r="1186" spans="3:39" x14ac:dyDescent="0.25">
      <c r="C1186" s="959"/>
      <c r="D1186" s="959"/>
      <c r="E1186" s="959"/>
      <c r="F1186" s="959"/>
      <c r="G1186" s="959"/>
      <c r="H1186" s="959"/>
      <c r="I1186" s="959"/>
      <c r="J1186" s="959"/>
      <c r="K1186" s="959"/>
      <c r="L1186" s="959"/>
      <c r="M1186" s="959"/>
      <c r="N1186" s="959"/>
      <c r="O1186" s="959"/>
      <c r="P1186" s="959"/>
      <c r="Q1186" s="959"/>
      <c r="R1186" s="959"/>
      <c r="S1186" s="959"/>
      <c r="T1186" s="959"/>
      <c r="U1186" s="959"/>
      <c r="V1186" s="959"/>
      <c r="W1186" s="959"/>
      <c r="X1186" s="959"/>
      <c r="Y1186" s="959"/>
      <c r="Z1186" s="959"/>
      <c r="AA1186" s="959"/>
      <c r="AB1186" s="959"/>
      <c r="AC1186" s="959"/>
      <c r="AD1186" s="959"/>
      <c r="AE1186" s="959"/>
      <c r="AF1186" s="959"/>
      <c r="AG1186" s="959"/>
      <c r="AH1186" s="959"/>
      <c r="AI1186" s="959"/>
      <c r="AJ1186" s="959"/>
      <c r="AK1186" s="959"/>
      <c r="AL1186" s="959"/>
      <c r="AM1186" s="959"/>
    </row>
    <row r="1187" spans="3:39" x14ac:dyDescent="0.25">
      <c r="C1187" s="959"/>
      <c r="D1187" s="959"/>
      <c r="E1187" s="959"/>
      <c r="F1187" s="959"/>
      <c r="G1187" s="959"/>
      <c r="H1187" s="959"/>
      <c r="I1187" s="959"/>
      <c r="J1187" s="959"/>
      <c r="K1187" s="959"/>
      <c r="L1187" s="959"/>
      <c r="M1187" s="959"/>
      <c r="N1187" s="959"/>
      <c r="O1187" s="959"/>
      <c r="P1187" s="959"/>
      <c r="Q1187" s="959"/>
      <c r="R1187" s="959"/>
      <c r="S1187" s="959"/>
      <c r="T1187" s="959"/>
      <c r="U1187" s="959"/>
      <c r="V1187" s="959"/>
      <c r="W1187" s="959"/>
      <c r="X1187" s="959"/>
      <c r="Y1187" s="959"/>
      <c r="Z1187" s="959"/>
      <c r="AA1187" s="959"/>
      <c r="AB1187" s="959"/>
      <c r="AC1187" s="959"/>
      <c r="AD1187" s="959"/>
      <c r="AE1187" s="959"/>
      <c r="AF1187" s="959"/>
      <c r="AG1187" s="959"/>
      <c r="AH1187" s="959"/>
      <c r="AI1187" s="959"/>
      <c r="AJ1187" s="959"/>
      <c r="AK1187" s="959"/>
      <c r="AL1187" s="959"/>
      <c r="AM1187" s="959"/>
    </row>
    <row r="1188" spans="3:39" x14ac:dyDescent="0.25">
      <c r="C1188" s="959"/>
      <c r="D1188" s="959"/>
      <c r="E1188" s="959"/>
      <c r="F1188" s="959"/>
      <c r="G1188" s="959"/>
      <c r="H1188" s="959"/>
      <c r="I1188" s="959"/>
      <c r="J1188" s="959"/>
      <c r="K1188" s="959"/>
      <c r="L1188" s="959"/>
      <c r="M1188" s="959"/>
      <c r="N1188" s="959"/>
      <c r="O1188" s="959"/>
      <c r="P1188" s="959"/>
      <c r="Q1188" s="959"/>
      <c r="R1188" s="959"/>
      <c r="S1188" s="959"/>
      <c r="T1188" s="959"/>
      <c r="U1188" s="959"/>
      <c r="V1188" s="959"/>
      <c r="W1188" s="959"/>
      <c r="X1188" s="959"/>
      <c r="Y1188" s="959"/>
      <c r="Z1188" s="959"/>
      <c r="AA1188" s="959"/>
      <c r="AB1188" s="959"/>
      <c r="AC1188" s="959"/>
      <c r="AD1188" s="959"/>
      <c r="AE1188" s="959"/>
      <c r="AF1188" s="959"/>
      <c r="AG1188" s="959"/>
      <c r="AH1188" s="959"/>
      <c r="AI1188" s="959"/>
      <c r="AJ1188" s="959"/>
      <c r="AK1188" s="959"/>
      <c r="AL1188" s="959"/>
      <c r="AM1188" s="959"/>
    </row>
    <row r="1189" spans="3:39" x14ac:dyDescent="0.25">
      <c r="C1189" s="959"/>
      <c r="D1189" s="959"/>
      <c r="E1189" s="959"/>
      <c r="F1189" s="959"/>
      <c r="G1189" s="959"/>
      <c r="H1189" s="959"/>
      <c r="I1189" s="959"/>
      <c r="J1189" s="959"/>
      <c r="K1189" s="959"/>
      <c r="L1189" s="959"/>
      <c r="M1189" s="959"/>
      <c r="N1189" s="959"/>
      <c r="O1189" s="959"/>
      <c r="P1189" s="959"/>
      <c r="Q1189" s="959"/>
      <c r="R1189" s="959"/>
      <c r="S1189" s="959"/>
      <c r="T1189" s="959"/>
      <c r="U1189" s="959"/>
      <c r="V1189" s="959"/>
      <c r="W1189" s="959"/>
      <c r="X1189" s="959"/>
      <c r="Y1189" s="959"/>
      <c r="Z1189" s="959"/>
      <c r="AA1189" s="959"/>
      <c r="AB1189" s="959"/>
      <c r="AC1189" s="959"/>
      <c r="AD1189" s="959"/>
      <c r="AE1189" s="959"/>
      <c r="AF1189" s="959"/>
      <c r="AG1189" s="959"/>
      <c r="AH1189" s="959"/>
      <c r="AI1189" s="959"/>
      <c r="AJ1189" s="959"/>
      <c r="AK1189" s="959"/>
      <c r="AL1189" s="959"/>
      <c r="AM1189" s="959"/>
    </row>
    <row r="1190" spans="3:39" x14ac:dyDescent="0.25">
      <c r="C1190" s="959"/>
      <c r="D1190" s="959"/>
      <c r="E1190" s="959"/>
      <c r="F1190" s="959"/>
      <c r="G1190" s="959"/>
      <c r="H1190" s="959"/>
      <c r="I1190" s="959"/>
      <c r="J1190" s="959"/>
      <c r="K1190" s="959"/>
      <c r="L1190" s="959"/>
      <c r="M1190" s="959"/>
      <c r="N1190" s="959"/>
      <c r="O1190" s="959"/>
      <c r="P1190" s="959"/>
      <c r="Q1190" s="959"/>
      <c r="R1190" s="959"/>
      <c r="S1190" s="959"/>
      <c r="T1190" s="959"/>
      <c r="U1190" s="959"/>
      <c r="V1190" s="959"/>
      <c r="W1190" s="959"/>
      <c r="X1190" s="959"/>
      <c r="Y1190" s="959"/>
      <c r="Z1190" s="959"/>
      <c r="AA1190" s="959"/>
      <c r="AB1190" s="959"/>
      <c r="AC1190" s="959"/>
      <c r="AD1190" s="959"/>
      <c r="AE1190" s="959"/>
      <c r="AF1190" s="959"/>
      <c r="AG1190" s="959"/>
      <c r="AH1190" s="959"/>
      <c r="AI1190" s="959"/>
      <c r="AJ1190" s="959"/>
      <c r="AK1190" s="959"/>
      <c r="AL1190" s="959"/>
      <c r="AM1190" s="959"/>
    </row>
    <row r="1191" spans="3:39" x14ac:dyDescent="0.25">
      <c r="C1191" s="959"/>
      <c r="D1191" s="959"/>
      <c r="E1191" s="959"/>
      <c r="F1191" s="959"/>
      <c r="G1191" s="959"/>
      <c r="H1191" s="959"/>
      <c r="I1191" s="959"/>
      <c r="J1191" s="959"/>
      <c r="K1191" s="959"/>
      <c r="L1191" s="959"/>
      <c r="M1191" s="959"/>
      <c r="N1191" s="959"/>
      <c r="O1191" s="959"/>
      <c r="P1191" s="959"/>
      <c r="Q1191" s="959"/>
      <c r="R1191" s="959"/>
      <c r="S1191" s="959"/>
      <c r="T1191" s="959"/>
      <c r="U1191" s="959"/>
      <c r="V1191" s="959"/>
      <c r="W1191" s="959"/>
      <c r="X1191" s="959"/>
      <c r="Y1191" s="959"/>
      <c r="Z1191" s="959"/>
      <c r="AA1191" s="959"/>
      <c r="AB1191" s="959"/>
      <c r="AC1191" s="959"/>
      <c r="AD1191" s="959"/>
      <c r="AE1191" s="959"/>
      <c r="AF1191" s="959"/>
      <c r="AG1191" s="959"/>
      <c r="AH1191" s="959"/>
      <c r="AI1191" s="959"/>
      <c r="AJ1191" s="959"/>
      <c r="AK1191" s="959"/>
      <c r="AL1191" s="959"/>
      <c r="AM1191" s="959"/>
    </row>
    <row r="1192" spans="3:39" x14ac:dyDescent="0.25">
      <c r="C1192" s="959"/>
      <c r="D1192" s="959"/>
      <c r="E1192" s="959"/>
      <c r="F1192" s="959"/>
      <c r="G1192" s="959"/>
      <c r="H1192" s="959"/>
      <c r="I1192" s="959"/>
      <c r="J1192" s="959"/>
      <c r="K1192" s="959"/>
      <c r="L1192" s="959"/>
      <c r="M1192" s="959"/>
      <c r="N1192" s="959"/>
      <c r="O1192" s="959"/>
      <c r="P1192" s="959"/>
      <c r="Q1192" s="959"/>
      <c r="R1192" s="959"/>
      <c r="S1192" s="959"/>
      <c r="T1192" s="959"/>
      <c r="U1192" s="959"/>
      <c r="V1192" s="959"/>
      <c r="W1192" s="959"/>
      <c r="X1192" s="959"/>
      <c r="Y1192" s="959"/>
      <c r="Z1192" s="959"/>
      <c r="AA1192" s="959"/>
      <c r="AB1192" s="959"/>
      <c r="AC1192" s="959"/>
      <c r="AD1192" s="959"/>
      <c r="AE1192" s="959"/>
      <c r="AF1192" s="959"/>
      <c r="AG1192" s="959"/>
      <c r="AH1192" s="959"/>
      <c r="AI1192" s="959"/>
      <c r="AJ1192" s="959"/>
      <c r="AK1192" s="959"/>
      <c r="AL1192" s="959"/>
      <c r="AM1192" s="959"/>
    </row>
    <row r="1193" spans="3:39" x14ac:dyDescent="0.25">
      <c r="C1193" s="959"/>
      <c r="D1193" s="959"/>
      <c r="E1193" s="959"/>
      <c r="F1193" s="959"/>
      <c r="G1193" s="959"/>
      <c r="H1193" s="959"/>
      <c r="I1193" s="959"/>
      <c r="J1193" s="959"/>
      <c r="K1193" s="959"/>
      <c r="L1193" s="959"/>
      <c r="M1193" s="959"/>
      <c r="N1193" s="959"/>
      <c r="O1193" s="959"/>
      <c r="P1193" s="959"/>
      <c r="Q1193" s="959"/>
      <c r="R1193" s="959"/>
      <c r="S1193" s="959"/>
      <c r="T1193" s="959"/>
      <c r="U1193" s="959"/>
      <c r="V1193" s="959"/>
      <c r="W1193" s="959"/>
      <c r="X1193" s="959"/>
      <c r="Y1193" s="959"/>
      <c r="Z1193" s="959"/>
      <c r="AA1193" s="959"/>
      <c r="AB1193" s="959"/>
      <c r="AC1193" s="959"/>
      <c r="AD1193" s="959"/>
      <c r="AE1193" s="959"/>
      <c r="AF1193" s="959"/>
      <c r="AG1193" s="959"/>
      <c r="AH1193" s="959"/>
      <c r="AI1193" s="959"/>
      <c r="AJ1193" s="959"/>
      <c r="AK1193" s="959"/>
      <c r="AL1193" s="959"/>
      <c r="AM1193" s="959"/>
    </row>
    <row r="1194" spans="3:39" x14ac:dyDescent="0.25">
      <c r="C1194" s="959"/>
      <c r="D1194" s="959"/>
      <c r="E1194" s="959"/>
      <c r="F1194" s="959"/>
      <c r="G1194" s="959"/>
      <c r="H1194" s="959"/>
      <c r="I1194" s="959"/>
      <c r="J1194" s="959"/>
      <c r="K1194" s="959"/>
      <c r="L1194" s="959"/>
      <c r="M1194" s="959"/>
      <c r="N1194" s="959"/>
      <c r="O1194" s="959"/>
      <c r="P1194" s="959"/>
      <c r="Q1194" s="959"/>
      <c r="R1194" s="959"/>
      <c r="S1194" s="959"/>
      <c r="T1194" s="959"/>
      <c r="U1194" s="959"/>
      <c r="V1194" s="959"/>
      <c r="W1194" s="959"/>
      <c r="X1194" s="959"/>
      <c r="Y1194" s="959"/>
      <c r="Z1194" s="959"/>
      <c r="AA1194" s="959"/>
      <c r="AB1194" s="959"/>
      <c r="AC1194" s="959"/>
      <c r="AD1194" s="959"/>
      <c r="AE1194" s="959"/>
      <c r="AF1194" s="959"/>
      <c r="AG1194" s="959"/>
      <c r="AH1194" s="959"/>
      <c r="AI1194" s="959"/>
      <c r="AJ1194" s="959"/>
      <c r="AK1194" s="959"/>
      <c r="AL1194" s="959"/>
      <c r="AM1194" s="959"/>
    </row>
    <row r="1195" spans="3:39" x14ac:dyDescent="0.25">
      <c r="C1195" s="959"/>
      <c r="D1195" s="959"/>
      <c r="E1195" s="959"/>
      <c r="F1195" s="959"/>
      <c r="G1195" s="959"/>
      <c r="H1195" s="959"/>
      <c r="I1195" s="959"/>
      <c r="J1195" s="959"/>
      <c r="K1195" s="959"/>
      <c r="L1195" s="959"/>
      <c r="M1195" s="959"/>
      <c r="N1195" s="959"/>
      <c r="O1195" s="959"/>
      <c r="P1195" s="959"/>
      <c r="Q1195" s="959"/>
      <c r="R1195" s="959"/>
      <c r="S1195" s="959"/>
      <c r="T1195" s="959"/>
      <c r="U1195" s="959"/>
      <c r="V1195" s="959"/>
      <c r="W1195" s="959"/>
      <c r="X1195" s="959"/>
      <c r="Y1195" s="959"/>
      <c r="Z1195" s="959"/>
      <c r="AA1195" s="959"/>
      <c r="AB1195" s="959"/>
      <c r="AC1195" s="959"/>
      <c r="AD1195" s="959"/>
      <c r="AE1195" s="959"/>
      <c r="AF1195" s="959"/>
      <c r="AG1195" s="959"/>
      <c r="AH1195" s="959"/>
      <c r="AI1195" s="959"/>
      <c r="AJ1195" s="959"/>
      <c r="AK1195" s="959"/>
      <c r="AL1195" s="959"/>
      <c r="AM1195" s="959"/>
    </row>
    <row r="1196" spans="3:39" x14ac:dyDescent="0.25">
      <c r="C1196" s="959"/>
      <c r="D1196" s="959"/>
      <c r="E1196" s="959"/>
      <c r="F1196" s="959"/>
      <c r="G1196" s="959"/>
      <c r="H1196" s="959"/>
      <c r="I1196" s="959"/>
      <c r="J1196" s="959"/>
      <c r="K1196" s="959"/>
      <c r="L1196" s="959"/>
      <c r="M1196" s="959"/>
      <c r="N1196" s="959"/>
      <c r="O1196" s="959"/>
      <c r="P1196" s="959"/>
      <c r="Q1196" s="959"/>
      <c r="R1196" s="959"/>
      <c r="S1196" s="959"/>
      <c r="T1196" s="959"/>
      <c r="U1196" s="959"/>
      <c r="V1196" s="959"/>
      <c r="W1196" s="959"/>
      <c r="X1196" s="959"/>
      <c r="Y1196" s="959"/>
      <c r="Z1196" s="959"/>
      <c r="AA1196" s="959"/>
      <c r="AB1196" s="959"/>
      <c r="AC1196" s="959"/>
      <c r="AD1196" s="959"/>
      <c r="AE1196" s="959"/>
      <c r="AF1196" s="959"/>
      <c r="AG1196" s="959"/>
      <c r="AH1196" s="959"/>
      <c r="AI1196" s="959"/>
      <c r="AJ1196" s="959"/>
      <c r="AK1196" s="959"/>
      <c r="AL1196" s="959"/>
      <c r="AM1196" s="959"/>
    </row>
    <row r="1197" spans="3:39" x14ac:dyDescent="0.25">
      <c r="C1197" s="959"/>
      <c r="D1197" s="959"/>
      <c r="E1197" s="959"/>
      <c r="F1197" s="959"/>
      <c r="G1197" s="959"/>
      <c r="H1197" s="959"/>
      <c r="I1197" s="959"/>
      <c r="J1197" s="959"/>
      <c r="K1197" s="959"/>
      <c r="L1197" s="959"/>
      <c r="M1197" s="959"/>
      <c r="N1197" s="959"/>
      <c r="O1197" s="959"/>
      <c r="P1197" s="959"/>
      <c r="Q1197" s="959"/>
      <c r="R1197" s="959"/>
      <c r="S1197" s="959"/>
      <c r="T1197" s="959"/>
      <c r="U1197" s="959"/>
      <c r="V1197" s="959"/>
      <c r="W1197" s="959"/>
      <c r="X1197" s="959"/>
      <c r="Y1197" s="959"/>
      <c r="Z1197" s="959"/>
      <c r="AA1197" s="959"/>
      <c r="AB1197" s="959"/>
      <c r="AC1197" s="959"/>
      <c r="AD1197" s="959"/>
      <c r="AE1197" s="959"/>
      <c r="AF1197" s="959"/>
      <c r="AG1197" s="959"/>
      <c r="AH1197" s="959"/>
      <c r="AI1197" s="959"/>
      <c r="AJ1197" s="959"/>
      <c r="AK1197" s="959"/>
      <c r="AL1197" s="959"/>
      <c r="AM1197" s="959"/>
    </row>
    <row r="1198" spans="3:39" x14ac:dyDescent="0.25">
      <c r="C1198" s="959"/>
      <c r="D1198" s="959"/>
      <c r="E1198" s="959"/>
      <c r="F1198" s="959"/>
      <c r="G1198" s="959"/>
      <c r="H1198" s="959"/>
      <c r="I1198" s="959"/>
      <c r="J1198" s="959"/>
      <c r="K1198" s="959"/>
      <c r="L1198" s="959"/>
      <c r="M1198" s="959"/>
      <c r="N1198" s="959"/>
      <c r="O1198" s="959"/>
      <c r="P1198" s="959"/>
      <c r="Q1198" s="959"/>
      <c r="R1198" s="959"/>
      <c r="S1198" s="959"/>
      <c r="T1198" s="959"/>
      <c r="U1198" s="959"/>
      <c r="V1198" s="959"/>
      <c r="W1198" s="959"/>
      <c r="X1198" s="959"/>
      <c r="Y1198" s="959"/>
      <c r="Z1198" s="959"/>
      <c r="AA1198" s="959"/>
      <c r="AB1198" s="959"/>
      <c r="AC1198" s="959"/>
      <c r="AD1198" s="959"/>
      <c r="AE1198" s="959"/>
      <c r="AF1198" s="959"/>
      <c r="AG1198" s="959"/>
      <c r="AH1198" s="959"/>
      <c r="AI1198" s="959"/>
      <c r="AJ1198" s="959"/>
      <c r="AK1198" s="959"/>
      <c r="AL1198" s="959"/>
      <c r="AM1198" s="959"/>
    </row>
    <row r="1199" spans="3:39" x14ac:dyDescent="0.25">
      <c r="C1199" s="959"/>
      <c r="D1199" s="959"/>
      <c r="E1199" s="959"/>
      <c r="F1199" s="959"/>
      <c r="G1199" s="959"/>
      <c r="H1199" s="959"/>
      <c r="I1199" s="959"/>
      <c r="J1199" s="959"/>
      <c r="K1199" s="959"/>
      <c r="L1199" s="959"/>
      <c r="M1199" s="959"/>
      <c r="N1199" s="959"/>
      <c r="O1199" s="959"/>
      <c r="P1199" s="959"/>
      <c r="Q1199" s="959"/>
      <c r="R1199" s="959"/>
      <c r="S1199" s="959"/>
      <c r="T1199" s="959"/>
      <c r="U1199" s="959"/>
      <c r="V1199" s="959"/>
      <c r="W1199" s="959"/>
      <c r="X1199" s="959"/>
      <c r="Y1199" s="959"/>
      <c r="Z1199" s="959"/>
      <c r="AA1199" s="959"/>
      <c r="AB1199" s="959"/>
      <c r="AC1199" s="959"/>
      <c r="AD1199" s="959"/>
      <c r="AE1199" s="959"/>
      <c r="AF1199" s="959"/>
      <c r="AG1199" s="959"/>
      <c r="AH1199" s="959"/>
      <c r="AI1199" s="959"/>
      <c r="AJ1199" s="959"/>
      <c r="AK1199" s="959"/>
      <c r="AL1199" s="959"/>
      <c r="AM1199" s="959"/>
    </row>
    <row r="1200" spans="3:39" x14ac:dyDescent="0.25">
      <c r="C1200" s="959"/>
      <c r="D1200" s="959"/>
      <c r="E1200" s="959"/>
      <c r="F1200" s="959"/>
      <c r="G1200" s="959"/>
      <c r="H1200" s="959"/>
      <c r="I1200" s="959"/>
      <c r="J1200" s="959"/>
      <c r="K1200" s="959"/>
      <c r="L1200" s="959"/>
      <c r="M1200" s="959"/>
      <c r="N1200" s="959"/>
      <c r="O1200" s="959"/>
      <c r="P1200" s="959"/>
      <c r="Q1200" s="959"/>
      <c r="R1200" s="959"/>
      <c r="S1200" s="959"/>
      <c r="T1200" s="959"/>
      <c r="U1200" s="959"/>
      <c r="V1200" s="959"/>
      <c r="W1200" s="959"/>
      <c r="X1200" s="959"/>
      <c r="Y1200" s="959"/>
      <c r="Z1200" s="959"/>
      <c r="AA1200" s="959"/>
      <c r="AB1200" s="959"/>
      <c r="AC1200" s="959"/>
      <c r="AD1200" s="959"/>
      <c r="AE1200" s="959"/>
      <c r="AF1200" s="959"/>
      <c r="AG1200" s="959"/>
      <c r="AH1200" s="959"/>
      <c r="AI1200" s="959"/>
      <c r="AJ1200" s="959"/>
      <c r="AK1200" s="959"/>
      <c r="AL1200" s="959"/>
      <c r="AM1200" s="959"/>
    </row>
    <row r="1201" spans="3:39" x14ac:dyDescent="0.25">
      <c r="C1201" s="959"/>
      <c r="D1201" s="959"/>
      <c r="E1201" s="959"/>
      <c r="F1201" s="959"/>
      <c r="G1201" s="959"/>
      <c r="H1201" s="959"/>
      <c r="I1201" s="959"/>
      <c r="J1201" s="959"/>
      <c r="K1201" s="959"/>
      <c r="L1201" s="959"/>
      <c r="M1201" s="959"/>
      <c r="N1201" s="959"/>
      <c r="O1201" s="959"/>
      <c r="P1201" s="959"/>
      <c r="Q1201" s="959"/>
      <c r="R1201" s="959"/>
      <c r="S1201" s="959"/>
      <c r="T1201" s="959"/>
      <c r="U1201" s="959"/>
      <c r="V1201" s="959"/>
      <c r="W1201" s="959"/>
      <c r="X1201" s="959"/>
      <c r="Y1201" s="959"/>
      <c r="Z1201" s="959"/>
      <c r="AA1201" s="959"/>
      <c r="AB1201" s="959"/>
      <c r="AC1201" s="959"/>
      <c r="AD1201" s="959"/>
      <c r="AE1201" s="959"/>
      <c r="AF1201" s="959"/>
      <c r="AG1201" s="959"/>
      <c r="AH1201" s="959"/>
      <c r="AI1201" s="959"/>
      <c r="AJ1201" s="959"/>
      <c r="AK1201" s="959"/>
      <c r="AL1201" s="959"/>
      <c r="AM1201" s="959"/>
    </row>
    <row r="1202" spans="3:39" x14ac:dyDescent="0.25">
      <c r="C1202" s="959"/>
      <c r="D1202" s="959"/>
      <c r="E1202" s="959"/>
      <c r="F1202" s="959"/>
      <c r="G1202" s="959"/>
      <c r="H1202" s="959"/>
      <c r="I1202" s="959"/>
      <c r="J1202" s="959"/>
      <c r="K1202" s="959"/>
      <c r="L1202" s="959"/>
      <c r="M1202" s="959"/>
      <c r="N1202" s="959"/>
      <c r="O1202" s="959"/>
      <c r="P1202" s="959"/>
      <c r="Q1202" s="959"/>
      <c r="R1202" s="959"/>
      <c r="S1202" s="959"/>
      <c r="T1202" s="959"/>
      <c r="U1202" s="959"/>
      <c r="V1202" s="959"/>
      <c r="W1202" s="959"/>
      <c r="X1202" s="959"/>
      <c r="Y1202" s="959"/>
      <c r="Z1202" s="959"/>
      <c r="AA1202" s="959"/>
      <c r="AB1202" s="959"/>
      <c r="AC1202" s="959"/>
      <c r="AD1202" s="959"/>
      <c r="AE1202" s="959"/>
      <c r="AF1202" s="959"/>
      <c r="AG1202" s="959"/>
      <c r="AH1202" s="959"/>
      <c r="AI1202" s="959"/>
      <c r="AJ1202" s="959"/>
      <c r="AK1202" s="959"/>
      <c r="AL1202" s="959"/>
      <c r="AM1202" s="959"/>
    </row>
    <row r="1203" spans="3:39" x14ac:dyDescent="0.25">
      <c r="C1203" s="959"/>
      <c r="D1203" s="959"/>
      <c r="E1203" s="959"/>
      <c r="F1203" s="959"/>
      <c r="G1203" s="959"/>
      <c r="H1203" s="959"/>
      <c r="I1203" s="959"/>
      <c r="J1203" s="959"/>
      <c r="K1203" s="959"/>
      <c r="L1203" s="959"/>
      <c r="M1203" s="959"/>
      <c r="N1203" s="959"/>
      <c r="O1203" s="959"/>
      <c r="P1203" s="959"/>
      <c r="Q1203" s="959"/>
      <c r="R1203" s="959"/>
      <c r="S1203" s="959"/>
      <c r="T1203" s="959"/>
      <c r="U1203" s="959"/>
      <c r="V1203" s="959"/>
      <c r="W1203" s="959"/>
      <c r="X1203" s="959"/>
      <c r="Y1203" s="959"/>
      <c r="Z1203" s="959"/>
      <c r="AA1203" s="959"/>
      <c r="AB1203" s="959"/>
      <c r="AC1203" s="959"/>
      <c r="AD1203" s="959"/>
      <c r="AE1203" s="959"/>
      <c r="AF1203" s="959"/>
      <c r="AG1203" s="959"/>
      <c r="AH1203" s="959"/>
      <c r="AI1203" s="959"/>
      <c r="AJ1203" s="959"/>
      <c r="AK1203" s="959"/>
      <c r="AL1203" s="959"/>
      <c r="AM1203" s="959"/>
    </row>
    <row r="1204" spans="3:39" x14ac:dyDescent="0.25">
      <c r="C1204" s="959"/>
      <c r="D1204" s="959"/>
      <c r="E1204" s="959"/>
      <c r="F1204" s="959"/>
      <c r="G1204" s="959"/>
      <c r="H1204" s="959"/>
      <c r="I1204" s="959"/>
      <c r="J1204" s="959"/>
      <c r="K1204" s="959"/>
      <c r="L1204" s="959"/>
      <c r="M1204" s="959"/>
      <c r="N1204" s="959"/>
      <c r="O1204" s="959"/>
      <c r="P1204" s="959"/>
      <c r="Q1204" s="959"/>
      <c r="R1204" s="959"/>
      <c r="S1204" s="959"/>
      <c r="T1204" s="959"/>
      <c r="U1204" s="959"/>
      <c r="V1204" s="959"/>
      <c r="W1204" s="959"/>
      <c r="X1204" s="959"/>
      <c r="Y1204" s="959"/>
      <c r="Z1204" s="959"/>
      <c r="AA1204" s="959"/>
      <c r="AB1204" s="959"/>
      <c r="AC1204" s="959"/>
      <c r="AD1204" s="959"/>
      <c r="AE1204" s="959"/>
      <c r="AF1204" s="959"/>
      <c r="AG1204" s="959"/>
      <c r="AH1204" s="959"/>
      <c r="AI1204" s="959"/>
      <c r="AJ1204" s="959"/>
      <c r="AK1204" s="959"/>
      <c r="AL1204" s="959"/>
      <c r="AM1204" s="959"/>
    </row>
    <row r="1205" spans="3:39" x14ac:dyDescent="0.25">
      <c r="C1205" s="959"/>
      <c r="D1205" s="959"/>
      <c r="E1205" s="959"/>
      <c r="F1205" s="959"/>
      <c r="G1205" s="959"/>
      <c r="H1205" s="959"/>
      <c r="I1205" s="959"/>
      <c r="J1205" s="959"/>
      <c r="K1205" s="959"/>
      <c r="L1205" s="959"/>
      <c r="M1205" s="959"/>
      <c r="N1205" s="959"/>
      <c r="O1205" s="959"/>
      <c r="P1205" s="959"/>
      <c r="Q1205" s="959"/>
      <c r="R1205" s="959"/>
      <c r="S1205" s="959"/>
      <c r="T1205" s="959"/>
      <c r="U1205" s="959"/>
      <c r="V1205" s="959"/>
      <c r="W1205" s="959"/>
      <c r="X1205" s="959"/>
      <c r="Y1205" s="959"/>
      <c r="Z1205" s="959"/>
      <c r="AA1205" s="959"/>
      <c r="AB1205" s="959"/>
      <c r="AC1205" s="959"/>
      <c r="AD1205" s="959"/>
      <c r="AE1205" s="959"/>
      <c r="AF1205" s="959"/>
      <c r="AG1205" s="959"/>
      <c r="AH1205" s="959"/>
      <c r="AI1205" s="959"/>
      <c r="AJ1205" s="959"/>
      <c r="AK1205" s="959"/>
      <c r="AL1205" s="959"/>
      <c r="AM1205" s="959"/>
    </row>
    <row r="1206" spans="3:39" x14ac:dyDescent="0.25">
      <c r="C1206" s="959"/>
      <c r="D1206" s="959"/>
      <c r="E1206" s="959"/>
      <c r="F1206" s="959"/>
      <c r="G1206" s="959"/>
      <c r="H1206" s="959"/>
      <c r="I1206" s="959"/>
      <c r="J1206" s="959"/>
      <c r="K1206" s="959"/>
      <c r="L1206" s="959"/>
      <c r="M1206" s="959"/>
      <c r="N1206" s="959"/>
      <c r="O1206" s="959"/>
      <c r="P1206" s="959"/>
      <c r="Q1206" s="959"/>
      <c r="R1206" s="959"/>
      <c r="S1206" s="959"/>
      <c r="T1206" s="959"/>
      <c r="U1206" s="959"/>
      <c r="V1206" s="959"/>
      <c r="W1206" s="959"/>
      <c r="X1206" s="959"/>
      <c r="Y1206" s="959"/>
      <c r="Z1206" s="959"/>
      <c r="AA1206" s="959"/>
      <c r="AB1206" s="959"/>
      <c r="AC1206" s="959"/>
      <c r="AD1206" s="959"/>
      <c r="AE1206" s="959"/>
      <c r="AF1206" s="959"/>
      <c r="AG1206" s="959"/>
      <c r="AH1206" s="959"/>
      <c r="AI1206" s="959"/>
      <c r="AJ1206" s="959"/>
      <c r="AK1206" s="959"/>
      <c r="AL1206" s="959"/>
      <c r="AM1206" s="959"/>
    </row>
    <row r="1207" spans="3:39" x14ac:dyDescent="0.25">
      <c r="C1207" s="959"/>
      <c r="D1207" s="959"/>
      <c r="E1207" s="959"/>
      <c r="F1207" s="959"/>
      <c r="G1207" s="959"/>
      <c r="H1207" s="959"/>
      <c r="I1207" s="959"/>
      <c r="J1207" s="959"/>
      <c r="K1207" s="959"/>
      <c r="L1207" s="959"/>
      <c r="M1207" s="959"/>
      <c r="N1207" s="959"/>
      <c r="O1207" s="959"/>
      <c r="P1207" s="959"/>
      <c r="Q1207" s="959"/>
      <c r="R1207" s="959"/>
      <c r="S1207" s="959"/>
      <c r="T1207" s="959"/>
      <c r="U1207" s="959"/>
      <c r="V1207" s="959"/>
      <c r="W1207" s="959"/>
      <c r="X1207" s="959"/>
      <c r="Y1207" s="959"/>
      <c r="Z1207" s="959"/>
      <c r="AA1207" s="959"/>
      <c r="AB1207" s="959"/>
      <c r="AC1207" s="959"/>
      <c r="AD1207" s="959"/>
      <c r="AE1207" s="959"/>
      <c r="AF1207" s="959"/>
      <c r="AG1207" s="959"/>
      <c r="AH1207" s="959"/>
      <c r="AI1207" s="959"/>
      <c r="AJ1207" s="959"/>
      <c r="AK1207" s="959"/>
      <c r="AL1207" s="959"/>
      <c r="AM1207" s="959"/>
    </row>
    <row r="1208" spans="3:39" x14ac:dyDescent="0.25">
      <c r="C1208" s="959"/>
      <c r="D1208" s="959"/>
      <c r="E1208" s="959"/>
      <c r="F1208" s="959"/>
      <c r="G1208" s="959"/>
      <c r="H1208" s="959"/>
      <c r="I1208" s="959"/>
      <c r="J1208" s="959"/>
      <c r="K1208" s="959"/>
      <c r="L1208" s="959"/>
      <c r="M1208" s="959"/>
      <c r="N1208" s="959"/>
      <c r="O1208" s="959"/>
      <c r="P1208" s="959"/>
      <c r="Q1208" s="959"/>
      <c r="R1208" s="959"/>
      <c r="S1208" s="959"/>
      <c r="T1208" s="959"/>
      <c r="U1208" s="959"/>
      <c r="V1208" s="959"/>
      <c r="W1208" s="959"/>
      <c r="X1208" s="959"/>
      <c r="Y1208" s="959"/>
      <c r="Z1208" s="959"/>
      <c r="AA1208" s="959"/>
      <c r="AB1208" s="959"/>
      <c r="AC1208" s="959"/>
      <c r="AD1208" s="959"/>
      <c r="AE1208" s="959"/>
      <c r="AF1208" s="959"/>
      <c r="AG1208" s="959"/>
      <c r="AH1208" s="959"/>
      <c r="AI1208" s="959"/>
      <c r="AJ1208" s="959"/>
      <c r="AK1208" s="959"/>
      <c r="AL1208" s="959"/>
      <c r="AM1208" s="959"/>
    </row>
    <row r="1209" spans="3:39" x14ac:dyDescent="0.25">
      <c r="C1209" s="959"/>
      <c r="D1209" s="959"/>
      <c r="E1209" s="959"/>
      <c r="F1209" s="959"/>
      <c r="G1209" s="959"/>
      <c r="H1209" s="959"/>
      <c r="I1209" s="959"/>
      <c r="J1209" s="959"/>
      <c r="K1209" s="959"/>
      <c r="L1209" s="959"/>
      <c r="M1209" s="959"/>
      <c r="N1209" s="959"/>
      <c r="O1209" s="959"/>
      <c r="P1209" s="959"/>
      <c r="Q1209" s="959"/>
      <c r="R1209" s="959"/>
      <c r="S1209" s="959"/>
      <c r="T1209" s="959"/>
      <c r="U1209" s="959"/>
      <c r="V1209" s="959"/>
      <c r="W1209" s="959"/>
      <c r="X1209" s="959"/>
      <c r="Y1209" s="959"/>
      <c r="Z1209" s="959"/>
      <c r="AA1209" s="959"/>
      <c r="AB1209" s="959"/>
      <c r="AC1209" s="959"/>
      <c r="AD1209" s="959"/>
      <c r="AE1209" s="959"/>
      <c r="AF1209" s="959"/>
      <c r="AG1209" s="959"/>
      <c r="AH1209" s="959"/>
      <c r="AI1209" s="959"/>
      <c r="AJ1209" s="959"/>
      <c r="AK1209" s="959"/>
      <c r="AL1209" s="959"/>
      <c r="AM1209" s="959"/>
    </row>
    <row r="1210" spans="3:39" x14ac:dyDescent="0.25">
      <c r="C1210" s="959"/>
      <c r="D1210" s="959"/>
      <c r="E1210" s="959"/>
      <c r="F1210" s="959"/>
      <c r="G1210" s="959"/>
      <c r="H1210" s="959"/>
      <c r="I1210" s="959"/>
      <c r="J1210" s="959"/>
      <c r="K1210" s="959"/>
      <c r="L1210" s="959"/>
      <c r="M1210" s="959"/>
      <c r="N1210" s="959"/>
      <c r="O1210" s="959"/>
      <c r="P1210" s="959"/>
      <c r="Q1210" s="959"/>
      <c r="R1210" s="959"/>
      <c r="S1210" s="959"/>
      <c r="T1210" s="959"/>
      <c r="U1210" s="959"/>
      <c r="V1210" s="959"/>
      <c r="W1210" s="959"/>
      <c r="X1210" s="959"/>
      <c r="Y1210" s="959"/>
      <c r="Z1210" s="959"/>
      <c r="AA1210" s="959"/>
      <c r="AB1210" s="959"/>
      <c r="AC1210" s="959"/>
      <c r="AD1210" s="959"/>
      <c r="AE1210" s="959"/>
      <c r="AF1210" s="959"/>
      <c r="AG1210" s="959"/>
      <c r="AH1210" s="959"/>
      <c r="AI1210" s="959"/>
      <c r="AJ1210" s="959"/>
      <c r="AK1210" s="959"/>
      <c r="AL1210" s="959"/>
      <c r="AM1210" s="959"/>
    </row>
    <row r="1211" spans="3:39" x14ac:dyDescent="0.25">
      <c r="C1211" s="959"/>
      <c r="D1211" s="959"/>
      <c r="E1211" s="959"/>
      <c r="F1211" s="959"/>
      <c r="G1211" s="959"/>
      <c r="H1211" s="959"/>
      <c r="I1211" s="959"/>
      <c r="J1211" s="959"/>
      <c r="K1211" s="959"/>
      <c r="L1211" s="959"/>
      <c r="M1211" s="959"/>
      <c r="N1211" s="959"/>
      <c r="O1211" s="959"/>
      <c r="P1211" s="959"/>
      <c r="Q1211" s="959"/>
      <c r="R1211" s="959"/>
      <c r="S1211" s="959"/>
      <c r="T1211" s="959"/>
      <c r="U1211" s="959"/>
      <c r="V1211" s="959"/>
      <c r="W1211" s="959"/>
      <c r="X1211" s="959"/>
      <c r="Y1211" s="959"/>
      <c r="Z1211" s="959"/>
      <c r="AA1211" s="959"/>
      <c r="AB1211" s="959"/>
      <c r="AC1211" s="959"/>
      <c r="AD1211" s="959"/>
      <c r="AE1211" s="959"/>
      <c r="AF1211" s="959"/>
      <c r="AG1211" s="959"/>
      <c r="AH1211" s="959"/>
      <c r="AI1211" s="959"/>
      <c r="AJ1211" s="959"/>
      <c r="AK1211" s="959"/>
      <c r="AL1211" s="959"/>
      <c r="AM1211" s="959"/>
    </row>
    <row r="1212" spans="3:39" x14ac:dyDescent="0.25">
      <c r="C1212" s="959"/>
      <c r="D1212" s="959"/>
      <c r="E1212" s="959"/>
      <c r="F1212" s="959"/>
      <c r="G1212" s="959"/>
      <c r="H1212" s="959"/>
      <c r="I1212" s="959"/>
      <c r="J1212" s="959"/>
      <c r="K1212" s="959"/>
      <c r="L1212" s="959"/>
      <c r="M1212" s="959"/>
      <c r="N1212" s="959"/>
      <c r="O1212" s="959"/>
      <c r="P1212" s="959"/>
      <c r="Q1212" s="959"/>
      <c r="R1212" s="959"/>
      <c r="S1212" s="959"/>
      <c r="T1212" s="959"/>
      <c r="U1212" s="959"/>
      <c r="V1212" s="959"/>
      <c r="W1212" s="959"/>
      <c r="X1212" s="959"/>
      <c r="Y1212" s="959"/>
      <c r="Z1212" s="959"/>
      <c r="AA1212" s="959"/>
      <c r="AB1212" s="959"/>
      <c r="AC1212" s="959"/>
      <c r="AD1212" s="959"/>
      <c r="AE1212" s="959"/>
      <c r="AF1212" s="959"/>
      <c r="AG1212" s="959"/>
      <c r="AH1212" s="959"/>
      <c r="AI1212" s="959"/>
      <c r="AJ1212" s="959"/>
      <c r="AK1212" s="959"/>
      <c r="AL1212" s="959"/>
      <c r="AM1212" s="959"/>
    </row>
    <row r="1213" spans="3:39" x14ac:dyDescent="0.25">
      <c r="C1213" s="959"/>
      <c r="D1213" s="959"/>
      <c r="E1213" s="959"/>
      <c r="F1213" s="959"/>
      <c r="G1213" s="959"/>
      <c r="H1213" s="959"/>
      <c r="I1213" s="959"/>
      <c r="J1213" s="959"/>
      <c r="K1213" s="959"/>
      <c r="L1213" s="959"/>
      <c r="M1213" s="959"/>
      <c r="N1213" s="959"/>
      <c r="O1213" s="959"/>
      <c r="P1213" s="959"/>
      <c r="Q1213" s="959"/>
      <c r="R1213" s="959"/>
      <c r="S1213" s="959"/>
      <c r="T1213" s="959"/>
      <c r="U1213" s="959"/>
      <c r="V1213" s="959"/>
      <c r="W1213" s="959"/>
      <c r="X1213" s="959"/>
      <c r="Y1213" s="959"/>
      <c r="Z1213" s="959"/>
      <c r="AA1213" s="959"/>
      <c r="AB1213" s="959"/>
      <c r="AC1213" s="959"/>
      <c r="AD1213" s="959"/>
      <c r="AE1213" s="959"/>
      <c r="AF1213" s="959"/>
      <c r="AG1213" s="959"/>
      <c r="AH1213" s="959"/>
      <c r="AI1213" s="959"/>
      <c r="AJ1213" s="959"/>
      <c r="AK1213" s="959"/>
      <c r="AL1213" s="959"/>
      <c r="AM1213" s="959"/>
    </row>
    <row r="1214" spans="3:39" x14ac:dyDescent="0.25">
      <c r="C1214" s="959"/>
      <c r="D1214" s="959"/>
      <c r="E1214" s="959"/>
      <c r="F1214" s="959"/>
      <c r="G1214" s="959"/>
      <c r="H1214" s="959"/>
      <c r="I1214" s="959"/>
      <c r="J1214" s="959"/>
      <c r="K1214" s="959"/>
      <c r="L1214" s="959"/>
      <c r="M1214" s="959"/>
      <c r="N1214" s="959"/>
      <c r="O1214" s="959"/>
      <c r="P1214" s="959"/>
      <c r="Q1214" s="959"/>
      <c r="R1214" s="959"/>
      <c r="S1214" s="959"/>
      <c r="T1214" s="959"/>
      <c r="U1214" s="959"/>
      <c r="V1214" s="959"/>
      <c r="W1214" s="959"/>
      <c r="X1214" s="959"/>
      <c r="Y1214" s="959"/>
      <c r="Z1214" s="959"/>
      <c r="AA1214" s="959"/>
      <c r="AB1214" s="959"/>
      <c r="AC1214" s="959"/>
      <c r="AD1214" s="959"/>
      <c r="AE1214" s="959"/>
      <c r="AF1214" s="959"/>
      <c r="AG1214" s="959"/>
      <c r="AH1214" s="959"/>
      <c r="AI1214" s="959"/>
      <c r="AJ1214" s="959"/>
      <c r="AK1214" s="959"/>
      <c r="AL1214" s="959"/>
      <c r="AM1214" s="959"/>
    </row>
    <row r="1215" spans="3:39" x14ac:dyDescent="0.25">
      <c r="C1215" s="959"/>
      <c r="D1215" s="959"/>
      <c r="E1215" s="959"/>
      <c r="F1215" s="959"/>
      <c r="G1215" s="959"/>
      <c r="H1215" s="959"/>
      <c r="I1215" s="959"/>
      <c r="J1215" s="959"/>
      <c r="K1215" s="959"/>
      <c r="L1215" s="959"/>
      <c r="M1215" s="959"/>
      <c r="N1215" s="959"/>
      <c r="O1215" s="959"/>
      <c r="P1215" s="959"/>
      <c r="Q1215" s="959"/>
      <c r="R1215" s="959"/>
      <c r="S1215" s="959"/>
      <c r="T1215" s="959"/>
      <c r="U1215" s="959"/>
      <c r="V1215" s="959"/>
      <c r="W1215" s="959"/>
      <c r="X1215" s="959"/>
      <c r="Y1215" s="959"/>
      <c r="Z1215" s="959"/>
      <c r="AA1215" s="959"/>
      <c r="AB1215" s="959"/>
      <c r="AC1215" s="959"/>
      <c r="AD1215" s="959"/>
      <c r="AE1215" s="959"/>
      <c r="AF1215" s="959"/>
      <c r="AG1215" s="959"/>
      <c r="AH1215" s="959"/>
      <c r="AI1215" s="959"/>
      <c r="AJ1215" s="959"/>
      <c r="AK1215" s="959"/>
      <c r="AL1215" s="959"/>
      <c r="AM1215" s="959"/>
    </row>
    <row r="1216" spans="3:39" x14ac:dyDescent="0.25">
      <c r="C1216" s="959"/>
      <c r="D1216" s="959"/>
      <c r="E1216" s="959"/>
      <c r="F1216" s="959"/>
      <c r="G1216" s="959"/>
      <c r="H1216" s="959"/>
      <c r="I1216" s="959"/>
      <c r="J1216" s="959"/>
      <c r="K1216" s="959"/>
      <c r="L1216" s="959"/>
      <c r="M1216" s="959"/>
      <c r="N1216" s="959"/>
      <c r="O1216" s="959"/>
      <c r="P1216" s="959"/>
      <c r="Q1216" s="959"/>
      <c r="R1216" s="959"/>
      <c r="S1216" s="959"/>
      <c r="T1216" s="959"/>
      <c r="U1216" s="959"/>
      <c r="V1216" s="959"/>
      <c r="W1216" s="959"/>
      <c r="X1216" s="959"/>
      <c r="Y1216" s="959"/>
      <c r="Z1216" s="959"/>
      <c r="AA1216" s="959"/>
      <c r="AB1216" s="959"/>
      <c r="AC1216" s="959"/>
      <c r="AD1216" s="959"/>
      <c r="AE1216" s="959"/>
      <c r="AF1216" s="959"/>
      <c r="AG1216" s="959"/>
      <c r="AH1216" s="959"/>
      <c r="AI1216" s="959"/>
      <c r="AJ1216" s="959"/>
      <c r="AK1216" s="959"/>
      <c r="AL1216" s="959"/>
      <c r="AM1216" s="959"/>
    </row>
    <row r="1217" spans="3:39" x14ac:dyDescent="0.25">
      <c r="C1217" s="959"/>
      <c r="D1217" s="959"/>
      <c r="E1217" s="959"/>
      <c r="F1217" s="959"/>
      <c r="G1217" s="959"/>
      <c r="H1217" s="959"/>
      <c r="I1217" s="959"/>
      <c r="J1217" s="959"/>
      <c r="K1217" s="959"/>
      <c r="L1217" s="959"/>
      <c r="M1217" s="959"/>
      <c r="N1217" s="959"/>
      <c r="O1217" s="959"/>
      <c r="P1217" s="959"/>
      <c r="Q1217" s="959"/>
      <c r="R1217" s="959"/>
      <c r="S1217" s="959"/>
      <c r="T1217" s="959"/>
      <c r="U1217" s="959"/>
      <c r="V1217" s="959"/>
      <c r="W1217" s="959"/>
      <c r="X1217" s="959"/>
      <c r="Y1217" s="959"/>
      <c r="Z1217" s="959"/>
      <c r="AA1217" s="959"/>
      <c r="AB1217" s="959"/>
      <c r="AC1217" s="959"/>
      <c r="AD1217" s="959"/>
      <c r="AE1217" s="959"/>
      <c r="AF1217" s="959"/>
      <c r="AG1217" s="959"/>
      <c r="AH1217" s="959"/>
      <c r="AI1217" s="959"/>
      <c r="AJ1217" s="959"/>
      <c r="AK1217" s="959"/>
      <c r="AL1217" s="959"/>
      <c r="AM1217" s="959"/>
    </row>
    <row r="1218" spans="3:39" x14ac:dyDescent="0.25">
      <c r="C1218" s="959"/>
      <c r="D1218" s="959"/>
      <c r="E1218" s="959"/>
      <c r="F1218" s="959"/>
      <c r="G1218" s="959"/>
      <c r="H1218" s="959"/>
      <c r="I1218" s="959"/>
      <c r="J1218" s="959"/>
      <c r="K1218" s="959"/>
      <c r="L1218" s="959"/>
      <c r="M1218" s="959"/>
      <c r="N1218" s="959"/>
      <c r="O1218" s="959"/>
      <c r="P1218" s="959"/>
      <c r="Q1218" s="959"/>
      <c r="R1218" s="959"/>
      <c r="S1218" s="959"/>
      <c r="T1218" s="959"/>
      <c r="U1218" s="959"/>
      <c r="V1218" s="959"/>
      <c r="W1218" s="959"/>
      <c r="X1218" s="959"/>
      <c r="Y1218" s="959"/>
      <c r="Z1218" s="959"/>
      <c r="AA1218" s="959"/>
      <c r="AB1218" s="959"/>
      <c r="AC1218" s="959"/>
      <c r="AD1218" s="959"/>
      <c r="AE1218" s="959"/>
      <c r="AF1218" s="959"/>
      <c r="AG1218" s="959"/>
      <c r="AH1218" s="959"/>
      <c r="AI1218" s="959"/>
      <c r="AJ1218" s="959"/>
      <c r="AK1218" s="959"/>
      <c r="AL1218" s="959"/>
      <c r="AM1218" s="959"/>
    </row>
    <row r="1219" spans="3:39" x14ac:dyDescent="0.25">
      <c r="C1219" s="959"/>
      <c r="D1219" s="959"/>
      <c r="E1219" s="959"/>
      <c r="F1219" s="959"/>
      <c r="G1219" s="959"/>
      <c r="H1219" s="959"/>
      <c r="I1219" s="959"/>
      <c r="J1219" s="959"/>
      <c r="K1219" s="959"/>
      <c r="L1219" s="959"/>
      <c r="M1219" s="959"/>
      <c r="N1219" s="959"/>
      <c r="O1219" s="959"/>
      <c r="P1219" s="959"/>
      <c r="Q1219" s="959"/>
      <c r="R1219" s="959"/>
      <c r="S1219" s="959"/>
      <c r="T1219" s="959"/>
      <c r="U1219" s="959"/>
      <c r="V1219" s="959"/>
      <c r="W1219" s="959"/>
      <c r="X1219" s="959"/>
      <c r="Y1219" s="959"/>
      <c r="Z1219" s="959"/>
      <c r="AA1219" s="959"/>
      <c r="AB1219" s="959"/>
      <c r="AC1219" s="959"/>
      <c r="AD1219" s="959"/>
      <c r="AE1219" s="959"/>
      <c r="AF1219" s="959"/>
      <c r="AG1219" s="959"/>
      <c r="AH1219" s="959"/>
      <c r="AI1219" s="959"/>
      <c r="AJ1219" s="959"/>
      <c r="AK1219" s="959"/>
      <c r="AL1219" s="959"/>
      <c r="AM1219" s="959"/>
    </row>
    <row r="1220" spans="3:39" x14ac:dyDescent="0.25">
      <c r="C1220" s="959"/>
      <c r="D1220" s="959"/>
      <c r="E1220" s="959"/>
      <c r="F1220" s="959"/>
      <c r="G1220" s="959"/>
      <c r="H1220" s="959"/>
      <c r="I1220" s="959"/>
      <c r="J1220" s="959"/>
      <c r="K1220" s="959"/>
      <c r="L1220" s="959"/>
      <c r="M1220" s="959"/>
      <c r="N1220" s="959"/>
      <c r="O1220" s="959"/>
      <c r="P1220" s="959"/>
      <c r="Q1220" s="959"/>
      <c r="R1220" s="959"/>
      <c r="S1220" s="959"/>
      <c r="T1220" s="959"/>
      <c r="U1220" s="959"/>
      <c r="V1220" s="959"/>
      <c r="W1220" s="959"/>
      <c r="X1220" s="959"/>
      <c r="Y1220" s="959"/>
      <c r="Z1220" s="959"/>
      <c r="AA1220" s="959"/>
      <c r="AB1220" s="959"/>
      <c r="AC1220" s="959"/>
      <c r="AD1220" s="959"/>
      <c r="AE1220" s="959"/>
      <c r="AF1220" s="959"/>
      <c r="AG1220" s="959"/>
      <c r="AH1220" s="959"/>
      <c r="AI1220" s="959"/>
      <c r="AJ1220" s="959"/>
      <c r="AK1220" s="959"/>
      <c r="AL1220" s="959"/>
      <c r="AM1220" s="959"/>
    </row>
    <row r="1221" spans="3:39" x14ac:dyDescent="0.25">
      <c r="C1221" s="959"/>
      <c r="D1221" s="959"/>
      <c r="E1221" s="959"/>
      <c r="F1221" s="959"/>
      <c r="G1221" s="959"/>
      <c r="H1221" s="959"/>
      <c r="I1221" s="959"/>
      <c r="J1221" s="959"/>
      <c r="K1221" s="959"/>
      <c r="L1221" s="959"/>
      <c r="M1221" s="959"/>
      <c r="N1221" s="959"/>
      <c r="O1221" s="959"/>
      <c r="P1221" s="959"/>
      <c r="Q1221" s="959"/>
      <c r="R1221" s="959"/>
      <c r="S1221" s="959"/>
      <c r="T1221" s="959"/>
      <c r="U1221" s="959"/>
      <c r="V1221" s="959"/>
      <c r="W1221" s="959"/>
      <c r="X1221" s="959"/>
      <c r="Y1221" s="959"/>
      <c r="Z1221" s="959"/>
      <c r="AA1221" s="959"/>
      <c r="AB1221" s="959"/>
      <c r="AC1221" s="959"/>
      <c r="AD1221" s="959"/>
      <c r="AE1221" s="959"/>
      <c r="AF1221" s="959"/>
      <c r="AG1221" s="959"/>
      <c r="AH1221" s="959"/>
      <c r="AI1221" s="959"/>
      <c r="AJ1221" s="959"/>
      <c r="AK1221" s="959"/>
      <c r="AL1221" s="959"/>
      <c r="AM1221" s="959"/>
    </row>
    <row r="1222" spans="3:39" x14ac:dyDescent="0.25">
      <c r="C1222" s="959"/>
      <c r="D1222" s="959"/>
      <c r="E1222" s="959"/>
      <c r="F1222" s="959"/>
      <c r="G1222" s="959"/>
      <c r="H1222" s="959"/>
      <c r="I1222" s="959"/>
      <c r="J1222" s="959"/>
      <c r="K1222" s="959"/>
      <c r="L1222" s="959"/>
      <c r="M1222" s="959"/>
      <c r="N1222" s="959"/>
      <c r="O1222" s="959"/>
      <c r="P1222" s="959"/>
      <c r="Q1222" s="959"/>
      <c r="R1222" s="959"/>
      <c r="S1222" s="959"/>
      <c r="T1222" s="959"/>
      <c r="U1222" s="959"/>
      <c r="V1222" s="959"/>
      <c r="W1222" s="959"/>
      <c r="X1222" s="959"/>
      <c r="Y1222" s="959"/>
      <c r="Z1222" s="959"/>
      <c r="AA1222" s="959"/>
      <c r="AB1222" s="959"/>
      <c r="AC1222" s="959"/>
      <c r="AD1222" s="959"/>
      <c r="AE1222" s="959"/>
      <c r="AF1222" s="959"/>
      <c r="AG1222" s="959"/>
      <c r="AH1222" s="959"/>
      <c r="AI1222" s="959"/>
      <c r="AJ1222" s="959"/>
      <c r="AK1222" s="959"/>
      <c r="AL1222" s="959"/>
      <c r="AM1222" s="959"/>
    </row>
    <row r="1223" spans="3:39" x14ac:dyDescent="0.25">
      <c r="C1223" s="959"/>
      <c r="D1223" s="959"/>
      <c r="E1223" s="959"/>
      <c r="F1223" s="959"/>
      <c r="G1223" s="959"/>
      <c r="H1223" s="959"/>
      <c r="I1223" s="959"/>
      <c r="J1223" s="959"/>
      <c r="K1223" s="959"/>
      <c r="L1223" s="959"/>
      <c r="M1223" s="959"/>
      <c r="N1223" s="959"/>
      <c r="O1223" s="959"/>
      <c r="P1223" s="959"/>
      <c r="Q1223" s="959"/>
      <c r="R1223" s="959"/>
      <c r="S1223" s="959"/>
      <c r="T1223" s="959"/>
      <c r="U1223" s="959"/>
      <c r="V1223" s="959"/>
      <c r="W1223" s="959"/>
      <c r="X1223" s="959"/>
      <c r="Y1223" s="959"/>
      <c r="Z1223" s="959"/>
      <c r="AA1223" s="959"/>
      <c r="AB1223" s="959"/>
      <c r="AC1223" s="959"/>
      <c r="AD1223" s="959"/>
      <c r="AE1223" s="959"/>
      <c r="AF1223" s="959"/>
      <c r="AG1223" s="959"/>
      <c r="AH1223" s="959"/>
      <c r="AI1223" s="959"/>
      <c r="AJ1223" s="959"/>
      <c r="AK1223" s="959"/>
      <c r="AL1223" s="959"/>
      <c r="AM1223" s="959"/>
    </row>
    <row r="1224" spans="3:39" x14ac:dyDescent="0.25">
      <c r="C1224" s="959"/>
      <c r="D1224" s="959"/>
      <c r="E1224" s="959"/>
      <c r="F1224" s="959"/>
      <c r="G1224" s="959"/>
      <c r="H1224" s="959"/>
      <c r="I1224" s="959"/>
      <c r="J1224" s="959"/>
      <c r="K1224" s="959"/>
      <c r="L1224" s="959"/>
      <c r="M1224" s="959"/>
      <c r="N1224" s="959"/>
      <c r="O1224" s="959"/>
      <c r="P1224" s="959"/>
      <c r="Q1224" s="959"/>
      <c r="R1224" s="959"/>
      <c r="S1224" s="959"/>
      <c r="T1224" s="959"/>
      <c r="U1224" s="959"/>
      <c r="V1224" s="959"/>
      <c r="W1224" s="959"/>
      <c r="X1224" s="959"/>
      <c r="Y1224" s="959"/>
      <c r="Z1224" s="959"/>
      <c r="AA1224" s="959"/>
      <c r="AB1224" s="959"/>
      <c r="AC1224" s="959"/>
      <c r="AD1224" s="959"/>
      <c r="AE1224" s="959"/>
      <c r="AF1224" s="959"/>
      <c r="AG1224" s="959"/>
      <c r="AH1224" s="959"/>
      <c r="AI1224" s="959"/>
      <c r="AJ1224" s="959"/>
      <c r="AK1224" s="959"/>
      <c r="AL1224" s="959"/>
      <c r="AM1224" s="959"/>
    </row>
    <row r="1225" spans="3:39" x14ac:dyDescent="0.25">
      <c r="C1225" s="959"/>
      <c r="D1225" s="959"/>
      <c r="E1225" s="959"/>
      <c r="F1225" s="959"/>
      <c r="G1225" s="959"/>
      <c r="H1225" s="959"/>
      <c r="I1225" s="959"/>
      <c r="J1225" s="959"/>
      <c r="K1225" s="959"/>
      <c r="L1225" s="959"/>
      <c r="M1225" s="959"/>
      <c r="N1225" s="959"/>
      <c r="O1225" s="959"/>
      <c r="P1225" s="959"/>
      <c r="Q1225" s="959"/>
      <c r="R1225" s="959"/>
      <c r="S1225" s="959"/>
      <c r="T1225" s="959"/>
      <c r="U1225" s="959"/>
      <c r="V1225" s="959"/>
      <c r="W1225" s="959"/>
      <c r="X1225" s="959"/>
      <c r="Y1225" s="959"/>
      <c r="Z1225" s="959"/>
      <c r="AA1225" s="959"/>
      <c r="AB1225" s="959"/>
      <c r="AC1225" s="959"/>
      <c r="AD1225" s="959"/>
      <c r="AE1225" s="959"/>
      <c r="AF1225" s="959"/>
      <c r="AG1225" s="959"/>
      <c r="AH1225" s="959"/>
      <c r="AI1225" s="959"/>
      <c r="AJ1225" s="959"/>
      <c r="AK1225" s="959"/>
      <c r="AL1225" s="959"/>
      <c r="AM1225" s="959"/>
    </row>
    <row r="1226" spans="3:39" x14ac:dyDescent="0.25">
      <c r="C1226" s="959"/>
      <c r="D1226" s="959"/>
      <c r="E1226" s="959"/>
      <c r="F1226" s="959"/>
      <c r="G1226" s="959"/>
      <c r="H1226" s="959"/>
      <c r="I1226" s="959"/>
      <c r="J1226" s="959"/>
      <c r="K1226" s="959"/>
      <c r="L1226" s="959"/>
      <c r="M1226" s="959"/>
      <c r="N1226" s="959"/>
      <c r="O1226" s="959"/>
      <c r="P1226" s="959"/>
      <c r="Q1226" s="959"/>
      <c r="R1226" s="959"/>
      <c r="S1226" s="959"/>
      <c r="T1226" s="959"/>
      <c r="U1226" s="959"/>
      <c r="V1226" s="959"/>
      <c r="W1226" s="959"/>
      <c r="X1226" s="959"/>
      <c r="Y1226" s="959"/>
      <c r="Z1226" s="959"/>
      <c r="AA1226" s="959"/>
      <c r="AB1226" s="959"/>
      <c r="AC1226" s="959"/>
      <c r="AD1226" s="959"/>
      <c r="AE1226" s="959"/>
      <c r="AF1226" s="959"/>
      <c r="AG1226" s="959"/>
      <c r="AH1226" s="959"/>
      <c r="AI1226" s="959"/>
      <c r="AJ1226" s="959"/>
      <c r="AK1226" s="959"/>
      <c r="AL1226" s="959"/>
      <c r="AM1226" s="959"/>
    </row>
    <row r="1227" spans="3:39" x14ac:dyDescent="0.25">
      <c r="C1227" s="959"/>
      <c r="D1227" s="959"/>
      <c r="E1227" s="959"/>
      <c r="F1227" s="959"/>
      <c r="G1227" s="959"/>
      <c r="H1227" s="959"/>
      <c r="I1227" s="959"/>
      <c r="J1227" s="959"/>
      <c r="K1227" s="959"/>
      <c r="L1227" s="959"/>
      <c r="M1227" s="959"/>
      <c r="N1227" s="959"/>
      <c r="O1227" s="959"/>
      <c r="P1227" s="959"/>
      <c r="Q1227" s="959"/>
      <c r="R1227" s="959"/>
      <c r="S1227" s="959"/>
      <c r="T1227" s="959"/>
      <c r="U1227" s="959"/>
      <c r="V1227" s="959"/>
      <c r="W1227" s="959"/>
      <c r="X1227" s="959"/>
      <c r="Y1227" s="959"/>
      <c r="Z1227" s="959"/>
      <c r="AA1227" s="959"/>
      <c r="AB1227" s="959"/>
      <c r="AC1227" s="959"/>
      <c r="AD1227" s="959"/>
      <c r="AE1227" s="959"/>
      <c r="AF1227" s="959"/>
      <c r="AG1227" s="959"/>
      <c r="AH1227" s="959"/>
      <c r="AI1227" s="959"/>
      <c r="AJ1227" s="959"/>
      <c r="AK1227" s="959"/>
      <c r="AL1227" s="959"/>
      <c r="AM1227" s="959"/>
    </row>
    <row r="1228" spans="3:39" x14ac:dyDescent="0.25">
      <c r="C1228" s="959"/>
      <c r="D1228" s="959"/>
      <c r="E1228" s="959"/>
      <c r="F1228" s="959"/>
      <c r="G1228" s="959"/>
      <c r="H1228" s="959"/>
      <c r="I1228" s="959"/>
      <c r="J1228" s="959"/>
      <c r="K1228" s="959"/>
      <c r="L1228" s="959"/>
      <c r="M1228" s="959"/>
      <c r="N1228" s="959"/>
      <c r="O1228" s="959"/>
      <c r="P1228" s="959"/>
      <c r="Q1228" s="959"/>
      <c r="R1228" s="959"/>
      <c r="S1228" s="959"/>
      <c r="T1228" s="959"/>
      <c r="U1228" s="959"/>
      <c r="V1228" s="959"/>
      <c r="W1228" s="959"/>
      <c r="X1228" s="959"/>
      <c r="Y1228" s="959"/>
      <c r="Z1228" s="959"/>
      <c r="AA1228" s="959"/>
      <c r="AB1228" s="959"/>
      <c r="AC1228" s="959"/>
      <c r="AD1228" s="959"/>
      <c r="AE1228" s="959"/>
      <c r="AF1228" s="959"/>
      <c r="AG1228" s="959"/>
      <c r="AH1228" s="959"/>
      <c r="AI1228" s="959"/>
      <c r="AJ1228" s="959"/>
      <c r="AK1228" s="959"/>
      <c r="AL1228" s="959"/>
      <c r="AM1228" s="959"/>
    </row>
    <row r="1229" spans="3:39" x14ac:dyDescent="0.25">
      <c r="C1229" s="959"/>
      <c r="D1229" s="959"/>
      <c r="E1229" s="959"/>
      <c r="F1229" s="959"/>
      <c r="G1229" s="959"/>
      <c r="H1229" s="959"/>
      <c r="I1229" s="959"/>
      <c r="J1229" s="959"/>
      <c r="K1229" s="959"/>
      <c r="L1229" s="959"/>
      <c r="M1229" s="959"/>
      <c r="N1229" s="959"/>
      <c r="O1229" s="959"/>
      <c r="P1229" s="959"/>
      <c r="Q1229" s="959"/>
      <c r="R1229" s="959"/>
      <c r="S1229" s="959"/>
      <c r="T1229" s="959"/>
      <c r="U1229" s="959"/>
      <c r="V1229" s="959"/>
      <c r="W1229" s="959"/>
      <c r="X1229" s="959"/>
      <c r="Y1229" s="959"/>
      <c r="Z1229" s="959"/>
      <c r="AA1229" s="959"/>
      <c r="AB1229" s="959"/>
      <c r="AC1229" s="959"/>
      <c r="AD1229" s="959"/>
      <c r="AE1229" s="959"/>
      <c r="AF1229" s="959"/>
      <c r="AG1229" s="959"/>
      <c r="AH1229" s="959"/>
      <c r="AI1229" s="959"/>
      <c r="AJ1229" s="959"/>
      <c r="AK1229" s="959"/>
      <c r="AL1229" s="959"/>
      <c r="AM1229" s="959"/>
    </row>
    <row r="1230" spans="3:39" x14ac:dyDescent="0.25">
      <c r="C1230" s="959"/>
      <c r="D1230" s="959"/>
      <c r="E1230" s="959"/>
      <c r="F1230" s="959"/>
      <c r="G1230" s="959"/>
      <c r="H1230" s="959"/>
      <c r="I1230" s="959"/>
      <c r="J1230" s="959"/>
      <c r="K1230" s="959"/>
      <c r="L1230" s="959"/>
      <c r="M1230" s="959"/>
      <c r="N1230" s="959"/>
      <c r="O1230" s="959"/>
      <c r="P1230" s="959"/>
      <c r="Q1230" s="959"/>
      <c r="R1230" s="959"/>
      <c r="S1230" s="959"/>
      <c r="T1230" s="959"/>
      <c r="U1230" s="959"/>
      <c r="V1230" s="959"/>
      <c r="W1230" s="959"/>
      <c r="X1230" s="959"/>
      <c r="Y1230" s="959"/>
      <c r="Z1230" s="959"/>
      <c r="AA1230" s="959"/>
      <c r="AB1230" s="959"/>
      <c r="AC1230" s="959"/>
      <c r="AD1230" s="959"/>
      <c r="AE1230" s="959"/>
      <c r="AF1230" s="959"/>
      <c r="AG1230" s="959"/>
      <c r="AH1230" s="959"/>
      <c r="AI1230" s="959"/>
      <c r="AJ1230" s="959"/>
      <c r="AK1230" s="959"/>
      <c r="AL1230" s="959"/>
      <c r="AM1230" s="959"/>
    </row>
    <row r="1231" spans="3:39" x14ac:dyDescent="0.25">
      <c r="C1231" s="959"/>
      <c r="D1231" s="959"/>
      <c r="E1231" s="959"/>
      <c r="F1231" s="959"/>
      <c r="G1231" s="959"/>
      <c r="H1231" s="959"/>
      <c r="I1231" s="959"/>
      <c r="J1231" s="959"/>
      <c r="K1231" s="959"/>
      <c r="L1231" s="959"/>
      <c r="M1231" s="959"/>
      <c r="N1231" s="959"/>
      <c r="O1231" s="959"/>
      <c r="P1231" s="959"/>
      <c r="Q1231" s="959"/>
      <c r="R1231" s="959"/>
      <c r="S1231" s="959"/>
      <c r="T1231" s="959"/>
      <c r="U1231" s="959"/>
      <c r="V1231" s="959"/>
      <c r="W1231" s="959"/>
      <c r="X1231" s="959"/>
      <c r="Y1231" s="959"/>
      <c r="Z1231" s="959"/>
      <c r="AA1231" s="959"/>
      <c r="AB1231" s="959"/>
      <c r="AC1231" s="959"/>
      <c r="AD1231" s="959"/>
      <c r="AE1231" s="959"/>
      <c r="AF1231" s="959"/>
      <c r="AG1231" s="959"/>
      <c r="AH1231" s="959"/>
      <c r="AI1231" s="959"/>
      <c r="AJ1231" s="959"/>
      <c r="AK1231" s="959"/>
      <c r="AL1231" s="959"/>
      <c r="AM1231" s="959"/>
    </row>
    <row r="1232" spans="3:39" x14ac:dyDescent="0.25">
      <c r="C1232" s="959"/>
      <c r="D1232" s="959"/>
      <c r="E1232" s="959"/>
      <c r="F1232" s="959"/>
      <c r="G1232" s="959"/>
      <c r="H1232" s="959"/>
      <c r="I1232" s="959"/>
      <c r="J1232" s="959"/>
      <c r="K1232" s="959"/>
      <c r="L1232" s="959"/>
      <c r="M1232" s="959"/>
      <c r="N1232" s="959"/>
      <c r="O1232" s="959"/>
      <c r="P1232" s="959"/>
      <c r="Q1232" s="959"/>
      <c r="R1232" s="959"/>
      <c r="S1232" s="959"/>
      <c r="T1232" s="959"/>
      <c r="U1232" s="959"/>
      <c r="V1232" s="959"/>
      <c r="W1232" s="959"/>
      <c r="X1232" s="959"/>
      <c r="Y1232" s="959"/>
      <c r="Z1232" s="959"/>
      <c r="AA1232" s="959"/>
      <c r="AB1232" s="959"/>
      <c r="AC1232" s="959"/>
      <c r="AD1232" s="959"/>
      <c r="AE1232" s="959"/>
      <c r="AF1232" s="959"/>
      <c r="AG1232" s="959"/>
      <c r="AH1232" s="959"/>
      <c r="AI1232" s="959"/>
      <c r="AJ1232" s="959"/>
      <c r="AK1232" s="959"/>
      <c r="AL1232" s="959"/>
      <c r="AM1232" s="959"/>
    </row>
    <row r="1233" spans="3:39" x14ac:dyDescent="0.25">
      <c r="C1233" s="959"/>
      <c r="D1233" s="959"/>
      <c r="E1233" s="959"/>
      <c r="F1233" s="959"/>
      <c r="G1233" s="959"/>
      <c r="H1233" s="959"/>
      <c r="I1233" s="959"/>
      <c r="J1233" s="959"/>
      <c r="K1233" s="959"/>
      <c r="L1233" s="959"/>
      <c r="M1233" s="959"/>
      <c r="N1233" s="959"/>
      <c r="O1233" s="959"/>
      <c r="P1233" s="959"/>
      <c r="Q1233" s="959"/>
      <c r="R1233" s="959"/>
      <c r="S1233" s="959"/>
      <c r="T1233" s="959"/>
      <c r="U1233" s="959"/>
      <c r="V1233" s="959"/>
      <c r="W1233" s="959"/>
      <c r="X1233" s="959"/>
      <c r="Y1233" s="959"/>
      <c r="Z1233" s="959"/>
      <c r="AA1233" s="959"/>
      <c r="AB1233" s="959"/>
      <c r="AC1233" s="959"/>
      <c r="AD1233" s="959"/>
      <c r="AE1233" s="959"/>
      <c r="AF1233" s="959"/>
      <c r="AG1233" s="959"/>
      <c r="AH1233" s="959"/>
      <c r="AI1233" s="959"/>
      <c r="AJ1233" s="959"/>
      <c r="AK1233" s="959"/>
      <c r="AL1233" s="959"/>
      <c r="AM1233" s="959"/>
    </row>
    <row r="1234" spans="3:39" x14ac:dyDescent="0.25">
      <c r="C1234" s="959"/>
      <c r="D1234" s="959"/>
      <c r="E1234" s="959"/>
      <c r="F1234" s="959"/>
      <c r="G1234" s="959"/>
      <c r="H1234" s="959"/>
      <c r="I1234" s="959"/>
      <c r="J1234" s="959"/>
      <c r="K1234" s="959"/>
      <c r="L1234" s="959"/>
      <c r="M1234" s="959"/>
      <c r="N1234" s="959"/>
      <c r="O1234" s="959"/>
      <c r="P1234" s="959"/>
      <c r="Q1234" s="959"/>
      <c r="R1234" s="959"/>
      <c r="S1234" s="959"/>
      <c r="T1234" s="959"/>
      <c r="U1234" s="959"/>
      <c r="V1234" s="959"/>
      <c r="W1234" s="959"/>
      <c r="X1234" s="959"/>
      <c r="Y1234" s="959"/>
      <c r="Z1234" s="959"/>
      <c r="AA1234" s="959"/>
      <c r="AB1234" s="959"/>
      <c r="AC1234" s="959"/>
      <c r="AD1234" s="959"/>
      <c r="AE1234" s="959"/>
      <c r="AF1234" s="959"/>
      <c r="AG1234" s="959"/>
      <c r="AH1234" s="959"/>
      <c r="AI1234" s="959"/>
      <c r="AJ1234" s="959"/>
      <c r="AK1234" s="959"/>
      <c r="AL1234" s="959"/>
      <c r="AM1234" s="959"/>
    </row>
    <row r="1235" spans="3:39" x14ac:dyDescent="0.25">
      <c r="C1235" s="959"/>
      <c r="D1235" s="959"/>
      <c r="E1235" s="959"/>
      <c r="F1235" s="959"/>
      <c r="G1235" s="959"/>
      <c r="H1235" s="959"/>
      <c r="I1235" s="959"/>
      <c r="J1235" s="959"/>
      <c r="K1235" s="959"/>
      <c r="L1235" s="959"/>
      <c r="M1235" s="959"/>
      <c r="N1235" s="959"/>
      <c r="O1235" s="959"/>
      <c r="P1235" s="959"/>
      <c r="Q1235" s="959"/>
      <c r="R1235" s="959"/>
      <c r="S1235" s="959"/>
      <c r="T1235" s="959"/>
      <c r="U1235" s="959"/>
      <c r="V1235" s="959"/>
      <c r="W1235" s="959"/>
      <c r="X1235" s="959"/>
      <c r="Y1235" s="959"/>
      <c r="Z1235" s="959"/>
      <c r="AA1235" s="959"/>
      <c r="AB1235" s="959"/>
      <c r="AC1235" s="959"/>
      <c r="AD1235" s="959"/>
      <c r="AE1235" s="959"/>
      <c r="AF1235" s="959"/>
      <c r="AG1235" s="959"/>
      <c r="AH1235" s="959"/>
      <c r="AI1235" s="959"/>
      <c r="AJ1235" s="959"/>
      <c r="AK1235" s="959"/>
      <c r="AL1235" s="959"/>
      <c r="AM1235" s="959"/>
    </row>
    <row r="1236" spans="3:39" x14ac:dyDescent="0.25">
      <c r="C1236" s="959"/>
      <c r="D1236" s="959"/>
      <c r="E1236" s="959"/>
      <c r="F1236" s="959"/>
      <c r="G1236" s="959"/>
      <c r="H1236" s="959"/>
      <c r="I1236" s="959"/>
      <c r="J1236" s="959"/>
      <c r="K1236" s="959"/>
      <c r="L1236" s="959"/>
      <c r="M1236" s="959"/>
      <c r="N1236" s="959"/>
      <c r="O1236" s="959"/>
      <c r="P1236" s="959"/>
      <c r="Q1236" s="959"/>
      <c r="R1236" s="959"/>
      <c r="S1236" s="959"/>
      <c r="T1236" s="959"/>
      <c r="U1236" s="959"/>
      <c r="V1236" s="959"/>
      <c r="W1236" s="959"/>
      <c r="X1236" s="959"/>
      <c r="Y1236" s="959"/>
      <c r="Z1236" s="959"/>
      <c r="AA1236" s="959"/>
      <c r="AB1236" s="959"/>
      <c r="AC1236" s="959"/>
      <c r="AD1236" s="959"/>
      <c r="AE1236" s="959"/>
      <c r="AF1236" s="959"/>
      <c r="AG1236" s="959"/>
      <c r="AH1236" s="959"/>
      <c r="AI1236" s="959"/>
      <c r="AJ1236" s="959"/>
      <c r="AK1236" s="959"/>
      <c r="AL1236" s="959"/>
      <c r="AM1236" s="959"/>
    </row>
    <row r="1237" spans="3:39" x14ac:dyDescent="0.25">
      <c r="C1237" s="959"/>
      <c r="D1237" s="959"/>
      <c r="E1237" s="959"/>
      <c r="F1237" s="959"/>
      <c r="G1237" s="959"/>
      <c r="H1237" s="959"/>
      <c r="I1237" s="959"/>
      <c r="J1237" s="959"/>
      <c r="K1237" s="959"/>
      <c r="L1237" s="959"/>
      <c r="M1237" s="959"/>
      <c r="N1237" s="959"/>
      <c r="O1237" s="959"/>
      <c r="P1237" s="959"/>
      <c r="Q1237" s="959"/>
      <c r="R1237" s="959"/>
      <c r="S1237" s="959"/>
      <c r="T1237" s="959"/>
      <c r="U1237" s="959"/>
      <c r="V1237" s="959"/>
      <c r="W1237" s="959"/>
      <c r="X1237" s="959"/>
      <c r="Y1237" s="959"/>
      <c r="Z1237" s="959"/>
      <c r="AA1237" s="959"/>
      <c r="AB1237" s="959"/>
      <c r="AC1237" s="959"/>
      <c r="AD1237" s="959"/>
      <c r="AE1237" s="959"/>
      <c r="AF1237" s="959"/>
      <c r="AG1237" s="959"/>
      <c r="AH1237" s="959"/>
      <c r="AI1237" s="959"/>
      <c r="AJ1237" s="959"/>
      <c r="AK1237" s="959"/>
      <c r="AL1237" s="959"/>
      <c r="AM1237" s="959"/>
    </row>
    <row r="1238" spans="3:39" x14ac:dyDescent="0.25">
      <c r="C1238" s="959"/>
      <c r="D1238" s="959"/>
      <c r="E1238" s="959"/>
      <c r="F1238" s="959"/>
      <c r="G1238" s="959"/>
      <c r="H1238" s="959"/>
      <c r="I1238" s="959"/>
      <c r="J1238" s="959"/>
      <c r="K1238" s="959"/>
      <c r="L1238" s="959"/>
      <c r="M1238" s="959"/>
      <c r="N1238" s="959"/>
      <c r="O1238" s="959"/>
      <c r="P1238" s="959"/>
      <c r="Q1238" s="959"/>
      <c r="R1238" s="959"/>
      <c r="S1238" s="959"/>
      <c r="T1238" s="959"/>
      <c r="U1238" s="959"/>
      <c r="V1238" s="959"/>
      <c r="W1238" s="959"/>
      <c r="X1238" s="959"/>
      <c r="Y1238" s="959"/>
      <c r="Z1238" s="959"/>
      <c r="AA1238" s="959"/>
      <c r="AB1238" s="959"/>
      <c r="AC1238" s="959"/>
      <c r="AD1238" s="959"/>
      <c r="AE1238" s="959"/>
      <c r="AF1238" s="959"/>
      <c r="AG1238" s="959"/>
      <c r="AH1238" s="959"/>
      <c r="AI1238" s="959"/>
      <c r="AJ1238" s="959"/>
      <c r="AK1238" s="959"/>
      <c r="AL1238" s="959"/>
      <c r="AM1238" s="959"/>
    </row>
    <row r="1239" spans="3:39" x14ac:dyDescent="0.25">
      <c r="C1239" s="959"/>
      <c r="D1239" s="959"/>
      <c r="E1239" s="959"/>
      <c r="F1239" s="959"/>
      <c r="G1239" s="959"/>
      <c r="H1239" s="959"/>
      <c r="I1239" s="959"/>
      <c r="J1239" s="959"/>
      <c r="K1239" s="959"/>
      <c r="L1239" s="959"/>
      <c r="M1239" s="959"/>
      <c r="N1239" s="959"/>
      <c r="O1239" s="959"/>
      <c r="P1239" s="959"/>
      <c r="Q1239" s="959"/>
      <c r="R1239" s="959"/>
      <c r="S1239" s="959"/>
      <c r="T1239" s="959"/>
      <c r="U1239" s="959"/>
      <c r="V1239" s="959"/>
      <c r="W1239" s="959"/>
      <c r="X1239" s="959"/>
      <c r="Y1239" s="959"/>
      <c r="Z1239" s="959"/>
      <c r="AA1239" s="959"/>
      <c r="AB1239" s="959"/>
      <c r="AC1239" s="959"/>
      <c r="AD1239" s="959"/>
      <c r="AE1239" s="959"/>
      <c r="AF1239" s="959"/>
      <c r="AG1239" s="959"/>
      <c r="AH1239" s="959"/>
      <c r="AI1239" s="959"/>
      <c r="AJ1239" s="959"/>
      <c r="AK1239" s="959"/>
      <c r="AL1239" s="959"/>
      <c r="AM1239" s="959"/>
    </row>
    <row r="1240" spans="3:39" x14ac:dyDescent="0.25">
      <c r="C1240" s="959"/>
      <c r="D1240" s="959"/>
      <c r="E1240" s="959"/>
      <c r="F1240" s="959"/>
      <c r="G1240" s="959"/>
      <c r="H1240" s="959"/>
      <c r="I1240" s="959"/>
      <c r="J1240" s="959"/>
      <c r="K1240" s="959"/>
      <c r="L1240" s="959"/>
      <c r="M1240" s="959"/>
      <c r="N1240" s="959"/>
      <c r="O1240" s="959"/>
      <c r="P1240" s="959"/>
      <c r="Q1240" s="959"/>
      <c r="R1240" s="959"/>
      <c r="S1240" s="959"/>
      <c r="T1240" s="959"/>
      <c r="U1240" s="959"/>
      <c r="V1240" s="959"/>
      <c r="W1240" s="959"/>
      <c r="X1240" s="959"/>
      <c r="Y1240" s="959"/>
      <c r="Z1240" s="959"/>
      <c r="AA1240" s="959"/>
      <c r="AB1240" s="959"/>
      <c r="AC1240" s="959"/>
      <c r="AD1240" s="959"/>
      <c r="AE1240" s="959"/>
      <c r="AF1240" s="959"/>
      <c r="AG1240" s="959"/>
      <c r="AH1240" s="959"/>
      <c r="AI1240" s="959"/>
      <c r="AJ1240" s="959"/>
      <c r="AK1240" s="959"/>
      <c r="AL1240" s="959"/>
      <c r="AM1240" s="959"/>
    </row>
    <row r="1241" spans="3:39" x14ac:dyDescent="0.25">
      <c r="C1241" s="959"/>
      <c r="D1241" s="959"/>
      <c r="E1241" s="959"/>
      <c r="F1241" s="959"/>
      <c r="G1241" s="959"/>
      <c r="H1241" s="959"/>
      <c r="I1241" s="959"/>
      <c r="J1241" s="959"/>
      <c r="K1241" s="959"/>
      <c r="L1241" s="959"/>
      <c r="M1241" s="959"/>
      <c r="N1241" s="959"/>
      <c r="O1241" s="959"/>
      <c r="P1241" s="959"/>
      <c r="Q1241" s="959"/>
      <c r="R1241" s="959"/>
      <c r="S1241" s="959"/>
      <c r="T1241" s="959"/>
      <c r="U1241" s="959"/>
      <c r="V1241" s="959"/>
      <c r="W1241" s="959"/>
      <c r="X1241" s="959"/>
      <c r="Y1241" s="959"/>
      <c r="Z1241" s="959"/>
      <c r="AA1241" s="959"/>
      <c r="AB1241" s="959"/>
      <c r="AC1241" s="959"/>
      <c r="AD1241" s="959"/>
      <c r="AE1241" s="959"/>
      <c r="AF1241" s="959"/>
      <c r="AG1241" s="959"/>
      <c r="AH1241" s="959"/>
      <c r="AI1241" s="959"/>
      <c r="AJ1241" s="959"/>
      <c r="AK1241" s="959"/>
      <c r="AL1241" s="959"/>
      <c r="AM1241" s="959"/>
    </row>
    <row r="1242" spans="3:39" x14ac:dyDescent="0.25">
      <c r="C1242" s="959"/>
      <c r="D1242" s="959"/>
      <c r="E1242" s="959"/>
      <c r="F1242" s="959"/>
      <c r="G1242" s="959"/>
      <c r="H1242" s="959"/>
      <c r="I1242" s="959"/>
      <c r="J1242" s="959"/>
      <c r="K1242" s="959"/>
      <c r="L1242" s="959"/>
      <c r="M1242" s="959"/>
      <c r="N1242" s="959"/>
      <c r="O1242" s="959"/>
      <c r="P1242" s="959"/>
      <c r="Q1242" s="959"/>
      <c r="R1242" s="959"/>
      <c r="S1242" s="959"/>
      <c r="T1242" s="959"/>
      <c r="U1242" s="959"/>
      <c r="V1242" s="959"/>
      <c r="W1242" s="959"/>
      <c r="X1242" s="959"/>
      <c r="Y1242" s="959"/>
      <c r="Z1242" s="959"/>
      <c r="AA1242" s="959"/>
      <c r="AB1242" s="959"/>
      <c r="AC1242" s="959"/>
      <c r="AD1242" s="959"/>
      <c r="AE1242" s="959"/>
      <c r="AF1242" s="959"/>
      <c r="AG1242" s="959"/>
      <c r="AH1242" s="959"/>
      <c r="AI1242" s="959"/>
      <c r="AJ1242" s="959"/>
      <c r="AK1242" s="959"/>
      <c r="AL1242" s="959"/>
      <c r="AM1242" s="959"/>
    </row>
    <row r="1243" spans="3:39" x14ac:dyDescent="0.25">
      <c r="C1243" s="959"/>
      <c r="D1243" s="959"/>
      <c r="E1243" s="959"/>
      <c r="F1243" s="959"/>
      <c r="G1243" s="959"/>
      <c r="H1243" s="959"/>
      <c r="I1243" s="959"/>
      <c r="J1243" s="959"/>
      <c r="K1243" s="959"/>
      <c r="L1243" s="959"/>
      <c r="M1243" s="959"/>
      <c r="N1243" s="959"/>
      <c r="O1243" s="959"/>
      <c r="P1243" s="959"/>
      <c r="Q1243" s="959"/>
      <c r="R1243" s="959"/>
      <c r="S1243" s="959"/>
      <c r="T1243" s="959"/>
      <c r="U1243" s="959"/>
      <c r="V1243" s="959"/>
      <c r="W1243" s="959"/>
      <c r="X1243" s="959"/>
      <c r="Y1243" s="959"/>
      <c r="Z1243" s="959"/>
      <c r="AA1243" s="959"/>
      <c r="AB1243" s="959"/>
      <c r="AC1243" s="959"/>
      <c r="AD1243" s="959"/>
      <c r="AE1243" s="959"/>
      <c r="AF1243" s="959"/>
      <c r="AG1243" s="959"/>
      <c r="AH1243" s="959"/>
      <c r="AI1243" s="959"/>
      <c r="AJ1243" s="959"/>
      <c r="AK1243" s="959"/>
      <c r="AL1243" s="959"/>
      <c r="AM1243" s="959"/>
    </row>
    <row r="1244" spans="3:39" x14ac:dyDescent="0.25">
      <c r="C1244" s="959"/>
      <c r="D1244" s="959"/>
      <c r="E1244" s="959"/>
      <c r="F1244" s="959"/>
      <c r="G1244" s="959"/>
      <c r="H1244" s="959"/>
      <c r="I1244" s="959"/>
      <c r="J1244" s="959"/>
      <c r="K1244" s="959"/>
      <c r="L1244" s="959"/>
      <c r="M1244" s="959"/>
      <c r="N1244" s="959"/>
      <c r="O1244" s="959"/>
      <c r="P1244" s="959"/>
      <c r="Q1244" s="959"/>
      <c r="R1244" s="959"/>
      <c r="S1244" s="959"/>
      <c r="T1244" s="959"/>
      <c r="U1244" s="959"/>
      <c r="V1244" s="959"/>
      <c r="W1244" s="959"/>
      <c r="X1244" s="959"/>
      <c r="Y1244" s="959"/>
      <c r="Z1244" s="959"/>
      <c r="AA1244" s="959"/>
      <c r="AB1244" s="959"/>
      <c r="AC1244" s="959"/>
      <c r="AD1244" s="959"/>
      <c r="AE1244" s="959"/>
      <c r="AF1244" s="959"/>
      <c r="AG1244" s="959"/>
      <c r="AH1244" s="959"/>
      <c r="AI1244" s="959"/>
      <c r="AJ1244" s="959"/>
      <c r="AK1244" s="959"/>
      <c r="AL1244" s="959"/>
      <c r="AM1244" s="959"/>
    </row>
    <row r="1245" spans="3:39" x14ac:dyDescent="0.25">
      <c r="C1245" s="959"/>
      <c r="D1245" s="959"/>
      <c r="E1245" s="959"/>
      <c r="F1245" s="959"/>
      <c r="G1245" s="959"/>
      <c r="H1245" s="959"/>
      <c r="I1245" s="959"/>
      <c r="J1245" s="959"/>
      <c r="K1245" s="959"/>
      <c r="L1245" s="959"/>
      <c r="M1245" s="959"/>
      <c r="N1245" s="959"/>
      <c r="O1245" s="959"/>
      <c r="P1245" s="959"/>
      <c r="Q1245" s="959"/>
      <c r="R1245" s="959"/>
      <c r="S1245" s="959"/>
      <c r="T1245" s="959"/>
      <c r="U1245" s="959"/>
      <c r="V1245" s="959"/>
      <c r="W1245" s="959"/>
      <c r="X1245" s="959"/>
      <c r="Y1245" s="959"/>
      <c r="Z1245" s="959"/>
      <c r="AA1245" s="959"/>
      <c r="AB1245" s="959"/>
      <c r="AC1245" s="959"/>
      <c r="AD1245" s="959"/>
      <c r="AE1245" s="959"/>
      <c r="AF1245" s="959"/>
      <c r="AG1245" s="959"/>
      <c r="AH1245" s="959"/>
      <c r="AI1245" s="959"/>
      <c r="AJ1245" s="959"/>
      <c r="AK1245" s="959"/>
      <c r="AL1245" s="959"/>
      <c r="AM1245" s="959"/>
    </row>
    <row r="1246" spans="3:39" x14ac:dyDescent="0.25">
      <c r="C1246" s="959"/>
      <c r="D1246" s="959"/>
      <c r="E1246" s="959"/>
      <c r="F1246" s="959"/>
      <c r="G1246" s="959"/>
      <c r="H1246" s="959"/>
      <c r="I1246" s="959"/>
      <c r="J1246" s="959"/>
      <c r="K1246" s="959"/>
      <c r="L1246" s="959"/>
      <c r="M1246" s="959"/>
      <c r="N1246" s="959"/>
      <c r="O1246" s="959"/>
      <c r="P1246" s="959"/>
      <c r="Q1246" s="959"/>
      <c r="R1246" s="959"/>
      <c r="S1246" s="959"/>
      <c r="T1246" s="959"/>
      <c r="U1246" s="959"/>
      <c r="V1246" s="959"/>
      <c r="W1246" s="959"/>
      <c r="X1246" s="959"/>
      <c r="Y1246" s="959"/>
      <c r="Z1246" s="959"/>
      <c r="AA1246" s="959"/>
      <c r="AB1246" s="959"/>
      <c r="AC1246" s="959"/>
      <c r="AD1246" s="959"/>
      <c r="AE1246" s="959"/>
      <c r="AF1246" s="959"/>
      <c r="AG1246" s="959"/>
      <c r="AH1246" s="959"/>
      <c r="AI1246" s="959"/>
      <c r="AJ1246" s="959"/>
      <c r="AK1246" s="959"/>
      <c r="AL1246" s="959"/>
      <c r="AM1246" s="959"/>
    </row>
    <row r="1247" spans="3:39" x14ac:dyDescent="0.25">
      <c r="C1247" s="959"/>
      <c r="D1247" s="959"/>
      <c r="E1247" s="959"/>
      <c r="F1247" s="959"/>
      <c r="G1247" s="959"/>
      <c r="H1247" s="959"/>
      <c r="I1247" s="959"/>
      <c r="J1247" s="959"/>
      <c r="K1247" s="959"/>
      <c r="L1247" s="959"/>
      <c r="M1247" s="959"/>
      <c r="N1247" s="959"/>
      <c r="O1247" s="959"/>
      <c r="P1247" s="959"/>
      <c r="Q1247" s="959"/>
      <c r="R1247" s="959"/>
      <c r="S1247" s="959"/>
      <c r="T1247" s="959"/>
      <c r="U1247" s="959"/>
      <c r="V1247" s="959"/>
      <c r="W1247" s="959"/>
      <c r="X1247" s="959"/>
      <c r="Y1247" s="959"/>
      <c r="Z1247" s="959"/>
      <c r="AA1247" s="959"/>
      <c r="AB1247" s="959"/>
      <c r="AC1247" s="959"/>
      <c r="AD1247" s="959"/>
      <c r="AE1247" s="959"/>
      <c r="AF1247" s="959"/>
      <c r="AG1247" s="959"/>
      <c r="AH1247" s="959"/>
      <c r="AI1247" s="959"/>
      <c r="AJ1247" s="959"/>
      <c r="AK1247" s="959"/>
      <c r="AL1247" s="959"/>
      <c r="AM1247" s="959"/>
    </row>
    <row r="1248" spans="3:39" x14ac:dyDescent="0.25">
      <c r="C1248" s="959"/>
      <c r="D1248" s="959"/>
      <c r="E1248" s="959"/>
      <c r="F1248" s="959"/>
      <c r="G1248" s="959"/>
      <c r="H1248" s="959"/>
      <c r="I1248" s="959"/>
      <c r="J1248" s="959"/>
      <c r="K1248" s="959"/>
      <c r="L1248" s="959"/>
      <c r="M1248" s="959"/>
      <c r="N1248" s="959"/>
      <c r="O1248" s="959"/>
      <c r="P1248" s="959"/>
      <c r="Q1248" s="959"/>
      <c r="R1248" s="959"/>
      <c r="S1248" s="959"/>
      <c r="T1248" s="959"/>
      <c r="U1248" s="959"/>
      <c r="V1248" s="959"/>
      <c r="W1248" s="959"/>
      <c r="X1248" s="959"/>
      <c r="Y1248" s="959"/>
      <c r="Z1248" s="959"/>
      <c r="AA1248" s="959"/>
      <c r="AB1248" s="959"/>
      <c r="AC1248" s="959"/>
      <c r="AD1248" s="959"/>
      <c r="AE1248" s="959"/>
      <c r="AF1248" s="959"/>
      <c r="AG1248" s="959"/>
      <c r="AH1248" s="959"/>
      <c r="AI1248" s="959"/>
      <c r="AJ1248" s="959"/>
      <c r="AK1248" s="959"/>
      <c r="AL1248" s="959"/>
      <c r="AM1248" s="959"/>
    </row>
    <row r="1249" spans="3:39" x14ac:dyDescent="0.25">
      <c r="C1249" s="959"/>
      <c r="D1249" s="959"/>
      <c r="E1249" s="959"/>
      <c r="F1249" s="959"/>
      <c r="G1249" s="959"/>
      <c r="H1249" s="959"/>
      <c r="I1249" s="959"/>
      <c r="J1249" s="959"/>
      <c r="K1249" s="959"/>
      <c r="L1249" s="959"/>
      <c r="M1249" s="959"/>
      <c r="N1249" s="959"/>
      <c r="O1249" s="959"/>
      <c r="P1249" s="959"/>
      <c r="Q1249" s="959"/>
      <c r="R1249" s="959"/>
      <c r="S1249" s="959"/>
      <c r="T1249" s="959"/>
      <c r="U1249" s="959"/>
      <c r="V1249" s="959"/>
      <c r="W1249" s="959"/>
      <c r="X1249" s="959"/>
      <c r="Y1249" s="959"/>
      <c r="Z1249" s="959"/>
      <c r="AA1249" s="959"/>
      <c r="AB1249" s="959"/>
      <c r="AC1249" s="959"/>
      <c r="AD1249" s="959"/>
      <c r="AE1249" s="959"/>
      <c r="AF1249" s="959"/>
      <c r="AG1249" s="959"/>
      <c r="AH1249" s="959"/>
      <c r="AI1249" s="959"/>
      <c r="AJ1249" s="959"/>
      <c r="AK1249" s="959"/>
      <c r="AL1249" s="959"/>
      <c r="AM1249" s="959"/>
    </row>
    <row r="1250" spans="3:39" x14ac:dyDescent="0.25">
      <c r="C1250" s="959"/>
      <c r="D1250" s="959"/>
      <c r="E1250" s="959"/>
      <c r="F1250" s="959"/>
      <c r="G1250" s="959"/>
      <c r="H1250" s="959"/>
      <c r="I1250" s="959"/>
      <c r="J1250" s="959"/>
      <c r="K1250" s="959"/>
      <c r="L1250" s="959"/>
      <c r="M1250" s="959"/>
      <c r="N1250" s="959"/>
      <c r="O1250" s="959"/>
      <c r="P1250" s="959"/>
      <c r="Q1250" s="959"/>
      <c r="R1250" s="959"/>
      <c r="S1250" s="959"/>
      <c r="T1250" s="959"/>
      <c r="U1250" s="959"/>
      <c r="V1250" s="959"/>
      <c r="W1250" s="959"/>
      <c r="X1250" s="959"/>
      <c r="Y1250" s="959"/>
      <c r="Z1250" s="959"/>
      <c r="AA1250" s="959"/>
      <c r="AB1250" s="959"/>
      <c r="AC1250" s="959"/>
      <c r="AD1250" s="959"/>
      <c r="AE1250" s="959"/>
      <c r="AF1250" s="959"/>
      <c r="AG1250" s="959"/>
      <c r="AH1250" s="959"/>
      <c r="AI1250" s="959"/>
      <c r="AJ1250" s="959"/>
      <c r="AK1250" s="959"/>
      <c r="AL1250" s="959"/>
      <c r="AM1250" s="959"/>
    </row>
    <row r="1251" spans="3:39" x14ac:dyDescent="0.25">
      <c r="C1251" s="959"/>
      <c r="D1251" s="959"/>
      <c r="E1251" s="959"/>
      <c r="F1251" s="959"/>
      <c r="G1251" s="959"/>
      <c r="H1251" s="959"/>
      <c r="I1251" s="959"/>
      <c r="J1251" s="959"/>
      <c r="K1251" s="959"/>
      <c r="L1251" s="959"/>
      <c r="M1251" s="959"/>
      <c r="N1251" s="959"/>
      <c r="O1251" s="959"/>
      <c r="P1251" s="959"/>
      <c r="Q1251" s="959"/>
      <c r="R1251" s="959"/>
      <c r="S1251" s="959"/>
      <c r="T1251" s="959"/>
      <c r="U1251" s="959"/>
      <c r="V1251" s="959"/>
      <c r="W1251" s="959"/>
      <c r="X1251" s="959"/>
      <c r="Y1251" s="959"/>
      <c r="Z1251" s="959"/>
      <c r="AA1251" s="959"/>
      <c r="AB1251" s="959"/>
      <c r="AC1251" s="959"/>
      <c r="AD1251" s="959"/>
      <c r="AE1251" s="959"/>
      <c r="AF1251" s="959"/>
      <c r="AG1251" s="959"/>
      <c r="AH1251" s="959"/>
      <c r="AI1251" s="959"/>
      <c r="AJ1251" s="959"/>
      <c r="AK1251" s="959"/>
      <c r="AL1251" s="959"/>
      <c r="AM1251" s="959"/>
    </row>
    <row r="1252" spans="3:39" x14ac:dyDescent="0.25">
      <c r="C1252" s="959"/>
      <c r="D1252" s="959"/>
      <c r="E1252" s="959"/>
      <c r="F1252" s="959"/>
      <c r="G1252" s="959"/>
      <c r="H1252" s="959"/>
      <c r="I1252" s="959"/>
      <c r="J1252" s="959"/>
      <c r="K1252" s="959"/>
      <c r="L1252" s="959"/>
      <c r="M1252" s="959"/>
      <c r="N1252" s="959"/>
      <c r="O1252" s="959"/>
      <c r="P1252" s="959"/>
      <c r="Q1252" s="959"/>
      <c r="R1252" s="959"/>
      <c r="S1252" s="959"/>
      <c r="T1252" s="959"/>
      <c r="U1252" s="959"/>
      <c r="V1252" s="959"/>
      <c r="W1252" s="959"/>
      <c r="X1252" s="959"/>
      <c r="Y1252" s="959"/>
      <c r="Z1252" s="959"/>
      <c r="AA1252" s="959"/>
      <c r="AB1252" s="959"/>
      <c r="AC1252" s="959"/>
      <c r="AD1252" s="959"/>
      <c r="AE1252" s="959"/>
      <c r="AF1252" s="959"/>
      <c r="AG1252" s="959"/>
      <c r="AH1252" s="959"/>
      <c r="AI1252" s="959"/>
      <c r="AJ1252" s="959"/>
      <c r="AK1252" s="959"/>
      <c r="AL1252" s="959"/>
      <c r="AM1252" s="959"/>
    </row>
    <row r="1253" spans="3:39" x14ac:dyDescent="0.25">
      <c r="C1253" s="959"/>
      <c r="D1253" s="959"/>
      <c r="E1253" s="959"/>
      <c r="F1253" s="959"/>
      <c r="G1253" s="959"/>
      <c r="H1253" s="959"/>
      <c r="I1253" s="959"/>
      <c r="J1253" s="959"/>
      <c r="K1253" s="959"/>
      <c r="L1253" s="959"/>
      <c r="M1253" s="959"/>
      <c r="N1253" s="959"/>
      <c r="O1253" s="959"/>
      <c r="P1253" s="959"/>
      <c r="Q1253" s="959"/>
      <c r="R1253" s="959"/>
      <c r="S1253" s="959"/>
      <c r="T1253" s="959"/>
      <c r="U1253" s="959"/>
      <c r="V1253" s="959"/>
      <c r="W1253" s="959"/>
      <c r="X1253" s="959"/>
      <c r="Y1253" s="959"/>
      <c r="Z1253" s="959"/>
      <c r="AA1253" s="959"/>
      <c r="AB1253" s="959"/>
      <c r="AC1253" s="959"/>
      <c r="AD1253" s="959"/>
      <c r="AE1253" s="959"/>
      <c r="AF1253" s="959"/>
      <c r="AG1253" s="959"/>
      <c r="AH1253" s="959"/>
      <c r="AI1253" s="959"/>
      <c r="AJ1253" s="959"/>
      <c r="AK1253" s="959"/>
      <c r="AL1253" s="959"/>
      <c r="AM1253" s="959"/>
    </row>
    <row r="1254" spans="3:39" x14ac:dyDescent="0.25">
      <c r="C1254" s="959"/>
      <c r="D1254" s="959"/>
      <c r="E1254" s="959"/>
      <c r="F1254" s="959"/>
      <c r="G1254" s="959"/>
      <c r="H1254" s="959"/>
      <c r="I1254" s="959"/>
      <c r="J1254" s="959"/>
      <c r="K1254" s="959"/>
      <c r="L1254" s="959"/>
      <c r="M1254" s="959"/>
      <c r="N1254" s="959"/>
      <c r="O1254" s="959"/>
      <c r="P1254" s="959"/>
      <c r="Q1254" s="959"/>
      <c r="R1254" s="959"/>
      <c r="S1254" s="959"/>
      <c r="T1254" s="959"/>
      <c r="U1254" s="959"/>
      <c r="V1254" s="959"/>
      <c r="W1254" s="959"/>
      <c r="X1254" s="959"/>
      <c r="Y1254" s="959"/>
      <c r="Z1254" s="959"/>
      <c r="AA1254" s="959"/>
      <c r="AB1254" s="959"/>
      <c r="AC1254" s="959"/>
      <c r="AD1254" s="959"/>
      <c r="AE1254" s="959"/>
      <c r="AF1254" s="959"/>
      <c r="AG1254" s="959"/>
      <c r="AH1254" s="959"/>
      <c r="AI1254" s="959"/>
      <c r="AJ1254" s="959"/>
      <c r="AK1254" s="959"/>
      <c r="AL1254" s="959"/>
      <c r="AM1254" s="959"/>
    </row>
    <row r="1255" spans="3:39" x14ac:dyDescent="0.25">
      <c r="C1255" s="959"/>
      <c r="D1255" s="959"/>
      <c r="E1255" s="959"/>
      <c r="F1255" s="959"/>
      <c r="G1255" s="959"/>
      <c r="H1255" s="959"/>
      <c r="I1255" s="959"/>
      <c r="J1255" s="959"/>
      <c r="K1255" s="959"/>
      <c r="L1255" s="959"/>
      <c r="M1255" s="959"/>
      <c r="N1255" s="959"/>
      <c r="O1255" s="959"/>
      <c r="P1255" s="959"/>
      <c r="Q1255" s="959"/>
      <c r="R1255" s="959"/>
      <c r="S1255" s="959"/>
      <c r="T1255" s="959"/>
      <c r="U1255" s="959"/>
      <c r="V1255" s="959"/>
      <c r="W1255" s="959"/>
      <c r="X1255" s="959"/>
      <c r="Y1255" s="959"/>
      <c r="Z1255" s="959"/>
      <c r="AA1255" s="959"/>
      <c r="AB1255" s="959"/>
      <c r="AC1255" s="959"/>
      <c r="AD1255" s="959"/>
      <c r="AE1255" s="959"/>
      <c r="AF1255" s="959"/>
      <c r="AG1255" s="959"/>
      <c r="AH1255" s="959"/>
      <c r="AI1255" s="959"/>
      <c r="AJ1255" s="959"/>
      <c r="AK1255" s="959"/>
      <c r="AL1255" s="959"/>
      <c r="AM1255" s="959"/>
    </row>
    <row r="1256" spans="3:39" x14ac:dyDescent="0.25">
      <c r="C1256" s="959"/>
      <c r="D1256" s="959"/>
      <c r="E1256" s="959"/>
      <c r="F1256" s="959"/>
      <c r="G1256" s="959"/>
      <c r="H1256" s="959"/>
      <c r="I1256" s="959"/>
      <c r="J1256" s="959"/>
      <c r="K1256" s="959"/>
      <c r="L1256" s="959"/>
      <c r="M1256" s="959"/>
      <c r="N1256" s="959"/>
      <c r="O1256" s="959"/>
      <c r="P1256" s="959"/>
      <c r="Q1256" s="959"/>
      <c r="R1256" s="959"/>
      <c r="S1256" s="959"/>
      <c r="T1256" s="959"/>
      <c r="U1256" s="959"/>
      <c r="V1256" s="959"/>
      <c r="W1256" s="959"/>
      <c r="X1256" s="959"/>
      <c r="Y1256" s="959"/>
      <c r="Z1256" s="959"/>
      <c r="AA1256" s="959"/>
      <c r="AB1256" s="959"/>
      <c r="AC1256" s="959"/>
      <c r="AD1256" s="959"/>
      <c r="AE1256" s="959"/>
      <c r="AF1256" s="959"/>
      <c r="AG1256" s="959"/>
      <c r="AH1256" s="959"/>
      <c r="AI1256" s="959"/>
      <c r="AJ1256" s="959"/>
      <c r="AK1256" s="959"/>
      <c r="AL1256" s="959"/>
      <c r="AM1256" s="959"/>
    </row>
    <row r="1257" spans="3:39" x14ac:dyDescent="0.25">
      <c r="C1257" s="959"/>
      <c r="D1257" s="959"/>
      <c r="E1257" s="959"/>
      <c r="F1257" s="959"/>
      <c r="G1257" s="959"/>
      <c r="H1257" s="959"/>
      <c r="I1257" s="959"/>
      <c r="J1257" s="959"/>
      <c r="K1257" s="959"/>
      <c r="L1257" s="959"/>
      <c r="M1257" s="959"/>
      <c r="N1257" s="959"/>
      <c r="O1257" s="959"/>
      <c r="P1257" s="959"/>
      <c r="Q1257" s="959"/>
      <c r="R1257" s="959"/>
      <c r="S1257" s="959"/>
      <c r="T1257" s="959"/>
      <c r="U1257" s="959"/>
      <c r="V1257" s="959"/>
      <c r="W1257" s="959"/>
      <c r="X1257" s="959"/>
      <c r="Y1257" s="959"/>
      <c r="Z1257" s="959"/>
      <c r="AA1257" s="959"/>
      <c r="AB1257" s="959"/>
      <c r="AC1257" s="959"/>
      <c r="AD1257" s="959"/>
      <c r="AE1257" s="959"/>
      <c r="AF1257" s="959"/>
      <c r="AG1257" s="959"/>
      <c r="AH1257" s="959"/>
      <c r="AI1257" s="959"/>
      <c r="AJ1257" s="959"/>
      <c r="AK1257" s="959"/>
      <c r="AL1257" s="959"/>
      <c r="AM1257" s="959"/>
    </row>
    <row r="1258" spans="3:39" x14ac:dyDescent="0.25">
      <c r="C1258" s="959"/>
      <c r="D1258" s="959"/>
      <c r="E1258" s="959"/>
      <c r="F1258" s="959"/>
      <c r="G1258" s="959"/>
      <c r="H1258" s="959"/>
      <c r="I1258" s="959"/>
      <c r="J1258" s="959"/>
      <c r="K1258" s="959"/>
      <c r="L1258" s="959"/>
      <c r="M1258" s="959"/>
      <c r="N1258" s="959"/>
      <c r="O1258" s="959"/>
      <c r="P1258" s="959"/>
      <c r="Q1258" s="959"/>
      <c r="R1258" s="959"/>
      <c r="S1258" s="959"/>
      <c r="T1258" s="959"/>
      <c r="U1258" s="959"/>
      <c r="V1258" s="959"/>
      <c r="W1258" s="959"/>
      <c r="X1258" s="959"/>
      <c r="Y1258" s="959"/>
      <c r="Z1258" s="959"/>
      <c r="AA1258" s="959"/>
      <c r="AB1258" s="959"/>
      <c r="AC1258" s="959"/>
      <c r="AD1258" s="959"/>
      <c r="AE1258" s="959"/>
      <c r="AF1258" s="959"/>
      <c r="AG1258" s="959"/>
      <c r="AH1258" s="959"/>
      <c r="AI1258" s="959"/>
      <c r="AJ1258" s="959"/>
      <c r="AK1258" s="959"/>
      <c r="AL1258" s="959"/>
      <c r="AM1258" s="959"/>
    </row>
    <row r="1259" spans="3:39" x14ac:dyDescent="0.25">
      <c r="C1259" s="959"/>
      <c r="D1259" s="959"/>
      <c r="E1259" s="959"/>
      <c r="F1259" s="959"/>
      <c r="G1259" s="959"/>
      <c r="H1259" s="959"/>
      <c r="I1259" s="959"/>
      <c r="J1259" s="959"/>
      <c r="K1259" s="959"/>
      <c r="L1259" s="959"/>
      <c r="M1259" s="959"/>
      <c r="N1259" s="959"/>
      <c r="O1259" s="959"/>
      <c r="P1259" s="959"/>
      <c r="Q1259" s="959"/>
      <c r="R1259" s="959"/>
      <c r="S1259" s="959"/>
      <c r="T1259" s="959"/>
      <c r="U1259" s="959"/>
      <c r="V1259" s="959"/>
      <c r="W1259" s="959"/>
      <c r="X1259" s="959"/>
      <c r="Y1259" s="959"/>
      <c r="Z1259" s="959"/>
      <c r="AA1259" s="959"/>
      <c r="AB1259" s="959"/>
      <c r="AC1259" s="959"/>
      <c r="AD1259" s="959"/>
      <c r="AE1259" s="959"/>
      <c r="AF1259" s="959"/>
      <c r="AG1259" s="959"/>
      <c r="AH1259" s="959"/>
      <c r="AI1259" s="959"/>
      <c r="AJ1259" s="959"/>
      <c r="AK1259" s="959"/>
      <c r="AL1259" s="959"/>
      <c r="AM1259" s="959"/>
    </row>
    <row r="1260" spans="3:39" x14ac:dyDescent="0.25">
      <c r="C1260" s="959"/>
      <c r="D1260" s="959"/>
      <c r="E1260" s="959"/>
      <c r="F1260" s="959"/>
      <c r="G1260" s="959"/>
      <c r="H1260" s="959"/>
      <c r="I1260" s="959"/>
      <c r="J1260" s="959"/>
      <c r="K1260" s="959"/>
      <c r="L1260" s="959"/>
      <c r="M1260" s="959"/>
      <c r="N1260" s="959"/>
      <c r="O1260" s="959"/>
      <c r="P1260" s="959"/>
      <c r="Q1260" s="959"/>
      <c r="R1260" s="959"/>
      <c r="S1260" s="959"/>
      <c r="T1260" s="959"/>
      <c r="U1260" s="959"/>
      <c r="V1260" s="959"/>
      <c r="W1260" s="959"/>
      <c r="X1260" s="959"/>
      <c r="Y1260" s="959"/>
      <c r="Z1260" s="959"/>
      <c r="AA1260" s="959"/>
      <c r="AB1260" s="959"/>
      <c r="AC1260" s="959"/>
      <c r="AD1260" s="959"/>
      <c r="AE1260" s="959"/>
      <c r="AF1260" s="959"/>
      <c r="AG1260" s="959"/>
      <c r="AH1260" s="959"/>
      <c r="AI1260" s="959"/>
      <c r="AJ1260" s="959"/>
      <c r="AK1260" s="959"/>
      <c r="AL1260" s="959"/>
      <c r="AM1260" s="959"/>
    </row>
    <row r="1261" spans="3:39" x14ac:dyDescent="0.25">
      <c r="C1261" s="959"/>
      <c r="D1261" s="959"/>
      <c r="E1261" s="959"/>
      <c r="F1261" s="959"/>
      <c r="G1261" s="959"/>
      <c r="H1261" s="959"/>
      <c r="I1261" s="959"/>
      <c r="J1261" s="959"/>
      <c r="K1261" s="959"/>
      <c r="L1261" s="959"/>
      <c r="M1261" s="959"/>
      <c r="N1261" s="959"/>
      <c r="O1261" s="959"/>
      <c r="P1261" s="959"/>
      <c r="Q1261" s="959"/>
      <c r="R1261" s="959"/>
      <c r="S1261" s="959"/>
      <c r="T1261" s="959"/>
      <c r="U1261" s="959"/>
      <c r="V1261" s="959"/>
      <c r="W1261" s="959"/>
      <c r="X1261" s="959"/>
      <c r="Y1261" s="959"/>
      <c r="Z1261" s="959"/>
      <c r="AA1261" s="959"/>
      <c r="AB1261" s="959"/>
      <c r="AC1261" s="959"/>
      <c r="AD1261" s="959"/>
      <c r="AE1261" s="959"/>
      <c r="AF1261" s="959"/>
      <c r="AG1261" s="959"/>
      <c r="AH1261" s="959"/>
      <c r="AI1261" s="959"/>
      <c r="AJ1261" s="959"/>
      <c r="AK1261" s="959"/>
      <c r="AL1261" s="959"/>
      <c r="AM1261" s="959"/>
    </row>
    <row r="1262" spans="3:39" x14ac:dyDescent="0.25">
      <c r="C1262" s="959"/>
      <c r="D1262" s="959"/>
      <c r="E1262" s="959"/>
      <c r="F1262" s="959"/>
      <c r="G1262" s="959"/>
      <c r="H1262" s="959"/>
      <c r="I1262" s="959"/>
      <c r="J1262" s="959"/>
      <c r="K1262" s="959"/>
      <c r="L1262" s="959"/>
      <c r="M1262" s="959"/>
      <c r="N1262" s="959"/>
      <c r="O1262" s="959"/>
      <c r="P1262" s="959"/>
      <c r="Q1262" s="959"/>
      <c r="R1262" s="959"/>
      <c r="S1262" s="959"/>
      <c r="T1262" s="959"/>
      <c r="U1262" s="959"/>
      <c r="V1262" s="959"/>
      <c r="W1262" s="959"/>
      <c r="X1262" s="959"/>
      <c r="Y1262" s="959"/>
      <c r="Z1262" s="959"/>
      <c r="AA1262" s="959"/>
      <c r="AB1262" s="959"/>
      <c r="AC1262" s="959"/>
      <c r="AD1262" s="959"/>
      <c r="AE1262" s="959"/>
      <c r="AF1262" s="959"/>
      <c r="AG1262" s="959"/>
      <c r="AH1262" s="959"/>
      <c r="AI1262" s="959"/>
      <c r="AJ1262" s="959"/>
      <c r="AK1262" s="959"/>
      <c r="AL1262" s="959"/>
      <c r="AM1262" s="959"/>
    </row>
    <row r="1263" spans="3:39" x14ac:dyDescent="0.25">
      <c r="C1263" s="959"/>
      <c r="D1263" s="959"/>
      <c r="E1263" s="959"/>
      <c r="F1263" s="959"/>
      <c r="G1263" s="959"/>
      <c r="H1263" s="959"/>
      <c r="I1263" s="959"/>
      <c r="J1263" s="959"/>
      <c r="K1263" s="959"/>
      <c r="L1263" s="959"/>
      <c r="M1263" s="959"/>
      <c r="N1263" s="959"/>
      <c r="O1263" s="959"/>
      <c r="P1263" s="959"/>
      <c r="Q1263" s="959"/>
      <c r="R1263" s="959"/>
      <c r="S1263" s="959"/>
      <c r="T1263" s="959"/>
      <c r="U1263" s="959"/>
      <c r="V1263" s="959"/>
      <c r="W1263" s="959"/>
      <c r="X1263" s="959"/>
      <c r="Y1263" s="959"/>
      <c r="Z1263" s="959"/>
      <c r="AA1263" s="959"/>
      <c r="AB1263" s="959"/>
      <c r="AC1263" s="959"/>
      <c r="AD1263" s="959"/>
      <c r="AE1263" s="959"/>
      <c r="AF1263" s="959"/>
      <c r="AG1263" s="959"/>
      <c r="AH1263" s="959"/>
      <c r="AI1263" s="959"/>
      <c r="AJ1263" s="959"/>
      <c r="AK1263" s="959"/>
      <c r="AL1263" s="959"/>
      <c r="AM1263" s="959"/>
    </row>
    <row r="1264" spans="3:39" x14ac:dyDescent="0.25">
      <c r="C1264" s="959"/>
      <c r="D1264" s="959"/>
      <c r="E1264" s="959"/>
      <c r="F1264" s="959"/>
      <c r="G1264" s="959"/>
      <c r="H1264" s="959"/>
      <c r="I1264" s="959"/>
      <c r="J1264" s="959"/>
      <c r="K1264" s="959"/>
      <c r="L1264" s="959"/>
      <c r="M1264" s="959"/>
      <c r="N1264" s="959"/>
      <c r="O1264" s="959"/>
      <c r="P1264" s="959"/>
      <c r="Q1264" s="959"/>
      <c r="R1264" s="959"/>
      <c r="S1264" s="959"/>
      <c r="T1264" s="959"/>
      <c r="U1264" s="959"/>
      <c r="V1264" s="959"/>
      <c r="W1264" s="959"/>
      <c r="X1264" s="959"/>
      <c r="Y1264" s="959"/>
      <c r="Z1264" s="959"/>
      <c r="AA1264" s="959"/>
      <c r="AB1264" s="959"/>
      <c r="AC1264" s="959"/>
      <c r="AD1264" s="959"/>
      <c r="AE1264" s="959"/>
      <c r="AF1264" s="959"/>
      <c r="AG1264" s="959"/>
      <c r="AH1264" s="959"/>
      <c r="AI1264" s="959"/>
      <c r="AJ1264" s="959"/>
      <c r="AK1264" s="959"/>
      <c r="AL1264" s="959"/>
      <c r="AM1264" s="959"/>
    </row>
    <row r="1265" spans="3:39" x14ac:dyDescent="0.25">
      <c r="C1265" s="959"/>
      <c r="D1265" s="959"/>
      <c r="E1265" s="959"/>
      <c r="F1265" s="959"/>
      <c r="G1265" s="959"/>
      <c r="H1265" s="959"/>
      <c r="I1265" s="959"/>
      <c r="J1265" s="959"/>
      <c r="K1265" s="959"/>
      <c r="L1265" s="959"/>
      <c r="M1265" s="959"/>
      <c r="N1265" s="959"/>
      <c r="O1265" s="959"/>
      <c r="P1265" s="959"/>
      <c r="Q1265" s="959"/>
      <c r="R1265" s="959"/>
      <c r="S1265" s="959"/>
      <c r="T1265" s="959"/>
      <c r="U1265" s="959"/>
      <c r="V1265" s="959"/>
      <c r="W1265" s="959"/>
      <c r="X1265" s="959"/>
      <c r="Y1265" s="959"/>
      <c r="Z1265" s="959"/>
      <c r="AA1265" s="959"/>
      <c r="AB1265" s="959"/>
      <c r="AC1265" s="959"/>
      <c r="AD1265" s="959"/>
      <c r="AE1265" s="959"/>
      <c r="AF1265" s="959"/>
      <c r="AG1265" s="959"/>
      <c r="AH1265" s="959"/>
      <c r="AI1265" s="959"/>
      <c r="AJ1265" s="959"/>
      <c r="AK1265" s="959"/>
      <c r="AL1265" s="959"/>
      <c r="AM1265" s="959"/>
    </row>
    <row r="1266" spans="3:39" x14ac:dyDescent="0.25">
      <c r="C1266" s="959"/>
      <c r="D1266" s="959"/>
      <c r="E1266" s="959"/>
      <c r="F1266" s="959"/>
      <c r="G1266" s="959"/>
      <c r="H1266" s="959"/>
      <c r="I1266" s="959"/>
      <c r="J1266" s="959"/>
      <c r="K1266" s="959"/>
      <c r="L1266" s="959"/>
      <c r="M1266" s="959"/>
      <c r="N1266" s="959"/>
      <c r="O1266" s="959"/>
      <c r="P1266" s="959"/>
      <c r="Q1266" s="959"/>
      <c r="R1266" s="959"/>
      <c r="S1266" s="959"/>
      <c r="T1266" s="959"/>
      <c r="U1266" s="959"/>
      <c r="V1266" s="959"/>
      <c r="W1266" s="959"/>
      <c r="X1266" s="959"/>
      <c r="Y1266" s="959"/>
      <c r="Z1266" s="959"/>
      <c r="AA1266" s="959"/>
      <c r="AB1266" s="959"/>
      <c r="AC1266" s="959"/>
      <c r="AD1266" s="959"/>
      <c r="AE1266" s="959"/>
      <c r="AF1266" s="959"/>
      <c r="AG1266" s="959"/>
      <c r="AH1266" s="959"/>
      <c r="AI1266" s="959"/>
      <c r="AJ1266" s="959"/>
      <c r="AK1266" s="959"/>
      <c r="AL1266" s="959"/>
      <c r="AM1266" s="959"/>
    </row>
    <row r="1267" spans="3:39" x14ac:dyDescent="0.25">
      <c r="C1267" s="959"/>
      <c r="D1267" s="959"/>
      <c r="E1267" s="959"/>
      <c r="F1267" s="959"/>
      <c r="G1267" s="959"/>
      <c r="H1267" s="959"/>
      <c r="I1267" s="959"/>
      <c r="J1267" s="959"/>
      <c r="K1267" s="959"/>
      <c r="L1267" s="959"/>
      <c r="M1267" s="959"/>
      <c r="N1267" s="959"/>
      <c r="O1267" s="959"/>
      <c r="P1267" s="959"/>
      <c r="Q1267" s="959"/>
      <c r="R1267" s="959"/>
      <c r="S1267" s="959"/>
      <c r="T1267" s="959"/>
      <c r="U1267" s="959"/>
      <c r="V1267" s="959"/>
      <c r="W1267" s="959"/>
      <c r="X1267" s="959"/>
      <c r="Y1267" s="959"/>
      <c r="Z1267" s="959"/>
      <c r="AA1267" s="959"/>
      <c r="AB1267" s="959"/>
      <c r="AC1267" s="959"/>
      <c r="AD1267" s="959"/>
      <c r="AE1267" s="959"/>
      <c r="AF1267" s="959"/>
      <c r="AG1267" s="959"/>
      <c r="AH1267" s="959"/>
      <c r="AI1267" s="959"/>
      <c r="AJ1267" s="959"/>
      <c r="AK1267" s="959"/>
      <c r="AL1267" s="959"/>
      <c r="AM1267" s="959"/>
    </row>
    <row r="1268" spans="3:39" x14ac:dyDescent="0.25">
      <c r="C1268" s="959"/>
      <c r="D1268" s="959"/>
      <c r="E1268" s="959"/>
      <c r="F1268" s="959"/>
      <c r="G1268" s="959"/>
      <c r="H1268" s="959"/>
      <c r="I1268" s="959"/>
      <c r="J1268" s="959"/>
      <c r="K1268" s="959"/>
      <c r="L1268" s="959"/>
      <c r="M1268" s="959"/>
      <c r="N1268" s="959"/>
      <c r="O1268" s="959"/>
      <c r="P1268" s="959"/>
      <c r="Q1268" s="959"/>
      <c r="R1268" s="959"/>
      <c r="S1268" s="959"/>
      <c r="T1268" s="959"/>
      <c r="U1268" s="959"/>
      <c r="V1268" s="959"/>
      <c r="W1268" s="959"/>
      <c r="X1268" s="959"/>
      <c r="Y1268" s="959"/>
      <c r="Z1268" s="959"/>
      <c r="AA1268" s="959"/>
      <c r="AB1268" s="959"/>
      <c r="AC1268" s="959"/>
      <c r="AD1268" s="959"/>
      <c r="AE1268" s="959"/>
      <c r="AF1268" s="959"/>
      <c r="AG1268" s="959"/>
      <c r="AH1268" s="959"/>
      <c r="AI1268" s="959"/>
      <c r="AJ1268" s="959"/>
      <c r="AK1268" s="959"/>
      <c r="AL1268" s="959"/>
      <c r="AM1268" s="959"/>
    </row>
    <row r="1269" spans="3:39" x14ac:dyDescent="0.25">
      <c r="C1269" s="959"/>
      <c r="D1269" s="959"/>
      <c r="E1269" s="959"/>
      <c r="F1269" s="959"/>
      <c r="G1269" s="959"/>
      <c r="H1269" s="959"/>
      <c r="I1269" s="959"/>
      <c r="J1269" s="959"/>
      <c r="K1269" s="959"/>
      <c r="L1269" s="959"/>
      <c r="M1269" s="959"/>
      <c r="N1269" s="959"/>
      <c r="O1269" s="959"/>
      <c r="P1269" s="959"/>
      <c r="Q1269" s="959"/>
      <c r="R1269" s="959"/>
      <c r="S1269" s="959"/>
      <c r="T1269" s="959"/>
      <c r="U1269" s="959"/>
      <c r="V1269" s="959"/>
      <c r="W1269" s="959"/>
      <c r="X1269" s="959"/>
      <c r="Y1269" s="959"/>
      <c r="Z1269" s="959"/>
      <c r="AA1269" s="959"/>
      <c r="AB1269" s="959"/>
      <c r="AC1269" s="959"/>
      <c r="AD1269" s="959"/>
      <c r="AE1269" s="959"/>
      <c r="AF1269" s="959"/>
      <c r="AG1269" s="959"/>
      <c r="AH1269" s="959"/>
      <c r="AI1269" s="959"/>
      <c r="AJ1269" s="959"/>
      <c r="AK1269" s="959"/>
      <c r="AL1269" s="959"/>
      <c r="AM1269" s="959"/>
    </row>
    <row r="1270" spans="3:39" x14ac:dyDescent="0.25">
      <c r="C1270" s="959"/>
      <c r="D1270" s="959"/>
      <c r="E1270" s="959"/>
      <c r="F1270" s="959"/>
      <c r="G1270" s="959"/>
      <c r="H1270" s="959"/>
      <c r="I1270" s="959"/>
      <c r="J1270" s="959"/>
      <c r="K1270" s="959"/>
      <c r="L1270" s="959"/>
      <c r="M1270" s="959"/>
      <c r="N1270" s="959"/>
      <c r="O1270" s="959"/>
      <c r="P1270" s="959"/>
      <c r="Q1270" s="959"/>
      <c r="R1270" s="959"/>
      <c r="S1270" s="959"/>
      <c r="T1270" s="959"/>
      <c r="U1270" s="959"/>
      <c r="V1270" s="959"/>
      <c r="W1270" s="959"/>
      <c r="X1270" s="959"/>
      <c r="Y1270" s="959"/>
      <c r="Z1270" s="959"/>
      <c r="AA1270" s="959"/>
      <c r="AB1270" s="959"/>
      <c r="AC1270" s="959"/>
      <c r="AD1270" s="959"/>
      <c r="AE1270" s="959"/>
      <c r="AF1270" s="959"/>
      <c r="AG1270" s="959"/>
      <c r="AH1270" s="959"/>
      <c r="AI1270" s="959"/>
      <c r="AJ1270" s="959"/>
      <c r="AK1270" s="959"/>
      <c r="AL1270" s="959"/>
      <c r="AM1270" s="959"/>
    </row>
    <row r="1271" spans="3:39" x14ac:dyDescent="0.25">
      <c r="C1271" s="959"/>
      <c r="D1271" s="959"/>
      <c r="E1271" s="959"/>
      <c r="F1271" s="959"/>
      <c r="G1271" s="959"/>
      <c r="H1271" s="959"/>
      <c r="I1271" s="959"/>
      <c r="J1271" s="959"/>
      <c r="K1271" s="959"/>
      <c r="L1271" s="959"/>
      <c r="M1271" s="959"/>
      <c r="N1271" s="959"/>
      <c r="O1271" s="959"/>
      <c r="P1271" s="959"/>
      <c r="Q1271" s="959"/>
      <c r="R1271" s="959"/>
      <c r="S1271" s="959"/>
      <c r="T1271" s="959"/>
      <c r="U1271" s="959"/>
      <c r="V1271" s="959"/>
      <c r="W1271" s="959"/>
      <c r="X1271" s="959"/>
      <c r="Y1271" s="959"/>
      <c r="Z1271" s="959"/>
      <c r="AA1271" s="959"/>
      <c r="AB1271" s="959"/>
      <c r="AC1271" s="959"/>
      <c r="AD1271" s="959"/>
      <c r="AE1271" s="959"/>
      <c r="AF1271" s="959"/>
      <c r="AG1271" s="959"/>
      <c r="AH1271" s="959"/>
      <c r="AI1271" s="959"/>
      <c r="AJ1271" s="959"/>
      <c r="AK1271" s="959"/>
      <c r="AL1271" s="959"/>
      <c r="AM1271" s="959"/>
    </row>
    <row r="1272" spans="3:39" x14ac:dyDescent="0.25">
      <c r="C1272" s="959"/>
      <c r="D1272" s="959"/>
      <c r="E1272" s="959"/>
      <c r="F1272" s="959"/>
      <c r="G1272" s="959"/>
      <c r="H1272" s="959"/>
      <c r="I1272" s="959"/>
      <c r="J1272" s="959"/>
      <c r="K1272" s="959"/>
      <c r="L1272" s="959"/>
      <c r="M1272" s="959"/>
      <c r="N1272" s="959"/>
      <c r="O1272" s="959"/>
      <c r="P1272" s="959"/>
      <c r="Q1272" s="959"/>
      <c r="R1272" s="959"/>
      <c r="S1272" s="959"/>
      <c r="T1272" s="959"/>
      <c r="U1272" s="959"/>
      <c r="V1272" s="959"/>
      <c r="W1272" s="959"/>
      <c r="X1272" s="959"/>
      <c r="Y1272" s="959"/>
      <c r="Z1272" s="959"/>
      <c r="AA1272" s="959"/>
      <c r="AB1272" s="959"/>
      <c r="AC1272" s="959"/>
      <c r="AD1272" s="959"/>
      <c r="AE1272" s="959"/>
      <c r="AF1272" s="959"/>
      <c r="AG1272" s="959"/>
      <c r="AH1272" s="959"/>
      <c r="AI1272" s="959"/>
      <c r="AJ1272" s="959"/>
      <c r="AK1272" s="959"/>
      <c r="AL1272" s="959"/>
      <c r="AM1272" s="959"/>
    </row>
    <row r="1273" spans="3:39" x14ac:dyDescent="0.25">
      <c r="C1273" s="959"/>
      <c r="D1273" s="959"/>
      <c r="E1273" s="959"/>
      <c r="F1273" s="959"/>
      <c r="G1273" s="959"/>
      <c r="H1273" s="959"/>
      <c r="I1273" s="959"/>
      <c r="J1273" s="959"/>
      <c r="K1273" s="959"/>
      <c r="L1273" s="959"/>
      <c r="M1273" s="959"/>
      <c r="N1273" s="959"/>
      <c r="O1273" s="959"/>
      <c r="P1273" s="959"/>
      <c r="Q1273" s="959"/>
      <c r="R1273" s="959"/>
      <c r="S1273" s="959"/>
      <c r="T1273" s="959"/>
      <c r="U1273" s="959"/>
      <c r="V1273" s="959"/>
      <c r="W1273" s="959"/>
      <c r="X1273" s="959"/>
      <c r="Y1273" s="959"/>
      <c r="Z1273" s="959"/>
      <c r="AA1273" s="959"/>
      <c r="AB1273" s="959"/>
      <c r="AC1273" s="959"/>
      <c r="AD1273" s="959"/>
      <c r="AE1273" s="959"/>
      <c r="AF1273" s="959"/>
      <c r="AG1273" s="959"/>
      <c r="AH1273" s="959"/>
      <c r="AI1273" s="959"/>
      <c r="AJ1273" s="959"/>
      <c r="AK1273" s="959"/>
      <c r="AL1273" s="959"/>
      <c r="AM1273" s="959"/>
    </row>
    <row r="1274" spans="3:39" x14ac:dyDescent="0.25">
      <c r="C1274" s="959"/>
      <c r="D1274" s="959"/>
      <c r="E1274" s="959"/>
      <c r="F1274" s="959"/>
      <c r="G1274" s="959"/>
      <c r="H1274" s="959"/>
      <c r="I1274" s="959"/>
      <c r="J1274" s="959"/>
      <c r="K1274" s="959"/>
      <c r="L1274" s="959"/>
      <c r="M1274" s="959"/>
      <c r="N1274" s="959"/>
      <c r="O1274" s="959"/>
      <c r="P1274" s="959"/>
      <c r="Q1274" s="959"/>
      <c r="R1274" s="959"/>
      <c r="S1274" s="959"/>
      <c r="T1274" s="959"/>
      <c r="U1274" s="959"/>
      <c r="V1274" s="959"/>
      <c r="W1274" s="959"/>
      <c r="X1274" s="959"/>
      <c r="Y1274" s="959"/>
      <c r="Z1274" s="959"/>
      <c r="AA1274" s="959"/>
      <c r="AB1274" s="959"/>
      <c r="AC1274" s="959"/>
      <c r="AD1274" s="959"/>
      <c r="AE1274" s="959"/>
      <c r="AF1274" s="959"/>
      <c r="AG1274" s="959"/>
      <c r="AH1274" s="959"/>
      <c r="AI1274" s="959"/>
      <c r="AJ1274" s="959"/>
      <c r="AK1274" s="959"/>
      <c r="AL1274" s="959"/>
      <c r="AM1274" s="959"/>
    </row>
    <row r="1275" spans="3:39" x14ac:dyDescent="0.25">
      <c r="C1275" s="959"/>
      <c r="D1275" s="959"/>
      <c r="E1275" s="959"/>
      <c r="F1275" s="959"/>
      <c r="G1275" s="959"/>
      <c r="H1275" s="959"/>
      <c r="I1275" s="959"/>
      <c r="J1275" s="959"/>
      <c r="K1275" s="959"/>
      <c r="L1275" s="959"/>
      <c r="M1275" s="959"/>
      <c r="N1275" s="959"/>
      <c r="O1275" s="959"/>
      <c r="P1275" s="959"/>
      <c r="Q1275" s="959"/>
      <c r="R1275" s="959"/>
      <c r="S1275" s="959"/>
      <c r="T1275" s="959"/>
      <c r="U1275" s="959"/>
      <c r="V1275" s="959"/>
      <c r="W1275" s="959"/>
      <c r="X1275" s="959"/>
      <c r="Y1275" s="959"/>
      <c r="Z1275" s="959"/>
      <c r="AA1275" s="959"/>
      <c r="AB1275" s="959"/>
      <c r="AC1275" s="959"/>
      <c r="AD1275" s="959"/>
      <c r="AE1275" s="959"/>
      <c r="AF1275" s="959"/>
      <c r="AG1275" s="959"/>
      <c r="AH1275" s="959"/>
      <c r="AI1275" s="959"/>
      <c r="AJ1275" s="959"/>
      <c r="AK1275" s="959"/>
      <c r="AL1275" s="959"/>
      <c r="AM1275" s="959"/>
    </row>
    <row r="1276" spans="3:39" x14ac:dyDescent="0.25">
      <c r="C1276" s="959"/>
      <c r="D1276" s="959"/>
      <c r="E1276" s="959"/>
      <c r="F1276" s="959"/>
      <c r="G1276" s="959"/>
      <c r="H1276" s="959"/>
      <c r="I1276" s="959"/>
      <c r="J1276" s="959"/>
      <c r="K1276" s="959"/>
      <c r="L1276" s="959"/>
      <c r="M1276" s="959"/>
      <c r="N1276" s="959"/>
      <c r="O1276" s="959"/>
      <c r="P1276" s="959"/>
      <c r="Q1276" s="959"/>
      <c r="R1276" s="959"/>
      <c r="S1276" s="959"/>
      <c r="T1276" s="959"/>
      <c r="U1276" s="959"/>
      <c r="V1276" s="959"/>
      <c r="W1276" s="959"/>
      <c r="X1276" s="959"/>
      <c r="Y1276" s="959"/>
      <c r="Z1276" s="959"/>
      <c r="AA1276" s="959"/>
      <c r="AB1276" s="959"/>
      <c r="AC1276" s="959"/>
      <c r="AD1276" s="959"/>
      <c r="AE1276" s="959"/>
      <c r="AF1276" s="959"/>
      <c r="AG1276" s="959"/>
      <c r="AH1276" s="959"/>
      <c r="AI1276" s="959"/>
      <c r="AJ1276" s="959"/>
      <c r="AK1276" s="959"/>
      <c r="AL1276" s="959"/>
      <c r="AM1276" s="959"/>
    </row>
    <row r="1277" spans="3:39" x14ac:dyDescent="0.25">
      <c r="C1277" s="959"/>
      <c r="D1277" s="959"/>
      <c r="E1277" s="959"/>
      <c r="F1277" s="959"/>
      <c r="G1277" s="959"/>
      <c r="H1277" s="959"/>
      <c r="I1277" s="959"/>
      <c r="J1277" s="959"/>
      <c r="K1277" s="959"/>
      <c r="L1277" s="959"/>
      <c r="M1277" s="959"/>
      <c r="N1277" s="959"/>
      <c r="O1277" s="959"/>
      <c r="P1277" s="959"/>
      <c r="Q1277" s="959"/>
      <c r="R1277" s="959"/>
      <c r="S1277" s="959"/>
      <c r="T1277" s="959"/>
      <c r="U1277" s="959"/>
      <c r="V1277" s="959"/>
      <c r="W1277" s="959"/>
      <c r="X1277" s="959"/>
      <c r="Y1277" s="959"/>
      <c r="Z1277" s="959"/>
      <c r="AA1277" s="959"/>
      <c r="AB1277" s="959"/>
      <c r="AC1277" s="959"/>
      <c r="AD1277" s="959"/>
      <c r="AE1277" s="959"/>
      <c r="AF1277" s="959"/>
      <c r="AG1277" s="959"/>
      <c r="AH1277" s="959"/>
      <c r="AI1277" s="959"/>
      <c r="AJ1277" s="959"/>
      <c r="AK1277" s="959"/>
      <c r="AL1277" s="959"/>
      <c r="AM1277" s="959"/>
    </row>
    <row r="1278" spans="3:39" x14ac:dyDescent="0.25">
      <c r="C1278" s="959"/>
      <c r="D1278" s="959"/>
      <c r="E1278" s="959"/>
      <c r="F1278" s="959"/>
      <c r="G1278" s="959"/>
      <c r="H1278" s="959"/>
      <c r="I1278" s="959"/>
      <c r="J1278" s="959"/>
      <c r="K1278" s="959"/>
      <c r="L1278" s="959"/>
      <c r="M1278" s="959"/>
      <c r="N1278" s="959"/>
      <c r="O1278" s="959"/>
      <c r="P1278" s="959"/>
      <c r="Q1278" s="959"/>
      <c r="R1278" s="959"/>
      <c r="S1278" s="959"/>
      <c r="T1278" s="959"/>
      <c r="U1278" s="959"/>
      <c r="V1278" s="959"/>
      <c r="W1278" s="959"/>
      <c r="X1278" s="959"/>
      <c r="Y1278" s="959"/>
      <c r="Z1278" s="959"/>
      <c r="AA1278" s="959"/>
      <c r="AB1278" s="959"/>
      <c r="AC1278" s="959"/>
      <c r="AD1278" s="959"/>
      <c r="AE1278" s="959"/>
      <c r="AF1278" s="959"/>
      <c r="AG1278" s="959"/>
      <c r="AH1278" s="959"/>
      <c r="AI1278" s="959"/>
      <c r="AJ1278" s="959"/>
      <c r="AK1278" s="959"/>
      <c r="AL1278" s="959"/>
      <c r="AM1278" s="959"/>
    </row>
    <row r="1279" spans="3:39" x14ac:dyDescent="0.25">
      <c r="C1279" s="959"/>
      <c r="D1279" s="959"/>
      <c r="E1279" s="959"/>
      <c r="F1279" s="959"/>
      <c r="G1279" s="959"/>
      <c r="H1279" s="959"/>
      <c r="I1279" s="959"/>
      <c r="J1279" s="959"/>
      <c r="K1279" s="959"/>
      <c r="L1279" s="959"/>
      <c r="M1279" s="959"/>
      <c r="N1279" s="959"/>
      <c r="O1279" s="959"/>
      <c r="P1279" s="959"/>
      <c r="Q1279" s="959"/>
      <c r="R1279" s="959"/>
      <c r="S1279" s="959"/>
      <c r="T1279" s="959"/>
      <c r="U1279" s="959"/>
      <c r="V1279" s="959"/>
      <c r="W1279" s="959"/>
      <c r="X1279" s="959"/>
      <c r="Y1279" s="959"/>
      <c r="Z1279" s="959"/>
      <c r="AA1279" s="959"/>
      <c r="AB1279" s="959"/>
      <c r="AC1279" s="959"/>
      <c r="AD1279" s="959"/>
      <c r="AE1279" s="959"/>
      <c r="AF1279" s="959"/>
      <c r="AG1279" s="959"/>
      <c r="AH1279" s="959"/>
      <c r="AI1279" s="959"/>
      <c r="AJ1279" s="959"/>
      <c r="AK1279" s="959"/>
      <c r="AL1279" s="959"/>
      <c r="AM1279" s="959"/>
    </row>
    <row r="1280" spans="3:39" x14ac:dyDescent="0.25">
      <c r="C1280" s="959"/>
      <c r="D1280" s="959"/>
      <c r="E1280" s="959"/>
      <c r="F1280" s="959"/>
      <c r="G1280" s="959"/>
      <c r="H1280" s="959"/>
      <c r="I1280" s="959"/>
      <c r="J1280" s="959"/>
      <c r="K1280" s="959"/>
      <c r="L1280" s="959"/>
      <c r="M1280" s="959"/>
      <c r="N1280" s="959"/>
      <c r="O1280" s="959"/>
      <c r="P1280" s="959"/>
      <c r="Q1280" s="959"/>
      <c r="R1280" s="959"/>
      <c r="S1280" s="959"/>
      <c r="T1280" s="959"/>
      <c r="U1280" s="959"/>
      <c r="V1280" s="959"/>
      <c r="W1280" s="959"/>
      <c r="X1280" s="959"/>
      <c r="Y1280" s="959"/>
      <c r="Z1280" s="959"/>
      <c r="AA1280" s="959"/>
      <c r="AB1280" s="959"/>
      <c r="AC1280" s="959"/>
      <c r="AD1280" s="959"/>
      <c r="AE1280" s="959"/>
      <c r="AF1280" s="959"/>
      <c r="AG1280" s="959"/>
      <c r="AH1280" s="959"/>
      <c r="AI1280" s="959"/>
      <c r="AJ1280" s="959"/>
      <c r="AK1280" s="959"/>
      <c r="AL1280" s="959"/>
      <c r="AM1280" s="959"/>
    </row>
    <row r="1281" spans="3:39" x14ac:dyDescent="0.25">
      <c r="C1281" s="959"/>
      <c r="D1281" s="959"/>
      <c r="E1281" s="959"/>
      <c r="F1281" s="959"/>
      <c r="G1281" s="959"/>
      <c r="H1281" s="959"/>
      <c r="I1281" s="959"/>
      <c r="J1281" s="959"/>
      <c r="K1281" s="959"/>
      <c r="L1281" s="959"/>
      <c r="M1281" s="959"/>
      <c r="N1281" s="959"/>
      <c r="O1281" s="959"/>
      <c r="P1281" s="959"/>
      <c r="Q1281" s="959"/>
      <c r="R1281" s="959"/>
      <c r="S1281" s="959"/>
      <c r="T1281" s="959"/>
      <c r="U1281" s="959"/>
      <c r="V1281" s="959"/>
      <c r="W1281" s="959"/>
      <c r="X1281" s="959"/>
      <c r="Y1281" s="959"/>
      <c r="Z1281" s="959"/>
      <c r="AA1281" s="959"/>
      <c r="AB1281" s="959"/>
      <c r="AC1281" s="959"/>
      <c r="AD1281" s="959"/>
      <c r="AE1281" s="959"/>
      <c r="AF1281" s="959"/>
      <c r="AG1281" s="959"/>
      <c r="AH1281" s="959"/>
      <c r="AI1281" s="959"/>
      <c r="AJ1281" s="959"/>
      <c r="AK1281" s="959"/>
      <c r="AL1281" s="959"/>
      <c r="AM1281" s="959"/>
    </row>
    <row r="1282" spans="3:39" x14ac:dyDescent="0.25">
      <c r="C1282" s="959"/>
      <c r="D1282" s="959"/>
      <c r="E1282" s="959"/>
      <c r="F1282" s="959"/>
      <c r="G1282" s="959"/>
      <c r="H1282" s="959"/>
      <c r="I1282" s="959"/>
      <c r="J1282" s="959"/>
      <c r="K1282" s="959"/>
      <c r="L1282" s="959"/>
      <c r="M1282" s="959"/>
      <c r="N1282" s="959"/>
      <c r="O1282" s="959"/>
      <c r="P1282" s="959"/>
      <c r="Q1282" s="959"/>
      <c r="R1282" s="959"/>
      <c r="S1282" s="959"/>
      <c r="T1282" s="959"/>
      <c r="U1282" s="959"/>
      <c r="V1282" s="959"/>
      <c r="W1282" s="959"/>
      <c r="X1282" s="959"/>
      <c r="Y1282" s="959"/>
      <c r="Z1282" s="959"/>
      <c r="AA1282" s="959"/>
      <c r="AB1282" s="959"/>
      <c r="AC1282" s="959"/>
      <c r="AD1282" s="959"/>
      <c r="AE1282" s="959"/>
      <c r="AF1282" s="959"/>
      <c r="AG1282" s="959"/>
      <c r="AH1282" s="959"/>
      <c r="AI1282" s="959"/>
      <c r="AJ1282" s="959"/>
      <c r="AK1282" s="959"/>
      <c r="AL1282" s="959"/>
      <c r="AM1282" s="959"/>
    </row>
    <row r="1283" spans="3:39" x14ac:dyDescent="0.25">
      <c r="C1283" s="959"/>
      <c r="D1283" s="959"/>
      <c r="E1283" s="959"/>
      <c r="F1283" s="959"/>
      <c r="G1283" s="959"/>
      <c r="H1283" s="959"/>
      <c r="I1283" s="959"/>
      <c r="J1283" s="959"/>
      <c r="K1283" s="959"/>
      <c r="L1283" s="959"/>
      <c r="M1283" s="959"/>
      <c r="N1283" s="959"/>
      <c r="O1283" s="959"/>
      <c r="P1283" s="959"/>
      <c r="Q1283" s="959"/>
      <c r="R1283" s="959"/>
      <c r="S1283" s="959"/>
      <c r="T1283" s="959"/>
      <c r="U1283" s="959"/>
      <c r="V1283" s="959"/>
      <c r="W1283" s="959"/>
      <c r="X1283" s="959"/>
      <c r="Y1283" s="959"/>
      <c r="Z1283" s="959"/>
      <c r="AA1283" s="959"/>
      <c r="AB1283" s="959"/>
      <c r="AC1283" s="959"/>
      <c r="AD1283" s="959"/>
      <c r="AE1283" s="959"/>
      <c r="AF1283" s="959"/>
      <c r="AG1283" s="959"/>
      <c r="AH1283" s="959"/>
      <c r="AI1283" s="959"/>
      <c r="AJ1283" s="959"/>
      <c r="AK1283" s="959"/>
      <c r="AL1283" s="959"/>
      <c r="AM1283" s="959"/>
    </row>
    <row r="1284" spans="3:39" x14ac:dyDescent="0.25">
      <c r="C1284" s="959"/>
      <c r="D1284" s="959"/>
      <c r="E1284" s="959"/>
      <c r="F1284" s="959"/>
      <c r="G1284" s="959"/>
      <c r="H1284" s="959"/>
      <c r="I1284" s="959"/>
      <c r="J1284" s="959"/>
      <c r="K1284" s="959"/>
      <c r="L1284" s="959"/>
      <c r="M1284" s="959"/>
      <c r="N1284" s="959"/>
      <c r="O1284" s="959"/>
      <c r="P1284" s="959"/>
      <c r="Q1284" s="959"/>
      <c r="R1284" s="959"/>
      <c r="S1284" s="959"/>
      <c r="T1284" s="959"/>
      <c r="U1284" s="959"/>
      <c r="V1284" s="959"/>
      <c r="W1284" s="959"/>
      <c r="X1284" s="959"/>
      <c r="Y1284" s="959"/>
      <c r="Z1284" s="959"/>
      <c r="AA1284" s="959"/>
      <c r="AB1284" s="959"/>
      <c r="AC1284" s="959"/>
      <c r="AD1284" s="959"/>
      <c r="AE1284" s="959"/>
      <c r="AF1284" s="959"/>
      <c r="AG1284" s="959"/>
      <c r="AH1284" s="959"/>
      <c r="AI1284" s="959"/>
      <c r="AJ1284" s="959"/>
      <c r="AK1284" s="959"/>
      <c r="AL1284" s="959"/>
      <c r="AM1284" s="959"/>
    </row>
    <row r="1285" spans="3:39" x14ac:dyDescent="0.25">
      <c r="C1285" s="959"/>
      <c r="D1285" s="959"/>
      <c r="E1285" s="959"/>
      <c r="F1285" s="959"/>
      <c r="G1285" s="959"/>
      <c r="H1285" s="959"/>
      <c r="I1285" s="959"/>
      <c r="J1285" s="959"/>
      <c r="K1285" s="959"/>
      <c r="L1285" s="959"/>
      <c r="M1285" s="959"/>
      <c r="N1285" s="959"/>
      <c r="O1285" s="959"/>
      <c r="P1285" s="959"/>
      <c r="Q1285" s="959"/>
      <c r="R1285" s="959"/>
      <c r="S1285" s="959"/>
      <c r="T1285" s="959"/>
      <c r="U1285" s="959"/>
      <c r="V1285" s="959"/>
      <c r="W1285" s="959"/>
      <c r="X1285" s="959"/>
      <c r="Y1285" s="959"/>
      <c r="Z1285" s="959"/>
      <c r="AA1285" s="959"/>
      <c r="AB1285" s="959"/>
      <c r="AC1285" s="959"/>
      <c r="AD1285" s="959"/>
      <c r="AE1285" s="959"/>
      <c r="AF1285" s="959"/>
      <c r="AG1285" s="959"/>
      <c r="AH1285" s="959"/>
      <c r="AI1285" s="959"/>
      <c r="AJ1285" s="959"/>
      <c r="AK1285" s="959"/>
      <c r="AL1285" s="959"/>
      <c r="AM1285" s="959"/>
    </row>
    <row r="1286" spans="3:39" x14ac:dyDescent="0.25">
      <c r="C1286" s="959"/>
      <c r="D1286" s="959"/>
      <c r="E1286" s="959"/>
      <c r="F1286" s="959"/>
      <c r="G1286" s="959"/>
      <c r="H1286" s="959"/>
      <c r="I1286" s="959"/>
      <c r="J1286" s="959"/>
      <c r="K1286" s="959"/>
      <c r="L1286" s="959"/>
      <c r="M1286" s="959"/>
      <c r="N1286" s="959"/>
      <c r="O1286" s="959"/>
      <c r="P1286" s="959"/>
      <c r="Q1286" s="959"/>
      <c r="R1286" s="959"/>
      <c r="S1286" s="959"/>
      <c r="T1286" s="959"/>
      <c r="U1286" s="959"/>
      <c r="V1286" s="959"/>
      <c r="W1286" s="959"/>
      <c r="X1286" s="959"/>
      <c r="Y1286" s="959"/>
      <c r="Z1286" s="959"/>
      <c r="AA1286" s="959"/>
      <c r="AB1286" s="959"/>
      <c r="AC1286" s="959"/>
      <c r="AD1286" s="959"/>
      <c r="AE1286" s="959"/>
      <c r="AF1286" s="959"/>
      <c r="AG1286" s="959"/>
      <c r="AH1286" s="959"/>
      <c r="AI1286" s="959"/>
      <c r="AJ1286" s="959"/>
      <c r="AK1286" s="959"/>
      <c r="AL1286" s="959"/>
      <c r="AM1286" s="959"/>
    </row>
    <row r="1287" spans="3:39" x14ac:dyDescent="0.25">
      <c r="C1287" s="959"/>
      <c r="D1287" s="959"/>
      <c r="E1287" s="959"/>
      <c r="F1287" s="959"/>
      <c r="G1287" s="959"/>
      <c r="H1287" s="959"/>
      <c r="I1287" s="959"/>
      <c r="J1287" s="959"/>
      <c r="K1287" s="959"/>
      <c r="L1287" s="959"/>
      <c r="M1287" s="959"/>
      <c r="N1287" s="959"/>
      <c r="O1287" s="959"/>
      <c r="P1287" s="959"/>
      <c r="Q1287" s="959"/>
      <c r="R1287" s="959"/>
      <c r="S1287" s="959"/>
      <c r="T1287" s="959"/>
      <c r="U1287" s="959"/>
      <c r="V1287" s="959"/>
      <c r="W1287" s="959"/>
      <c r="X1287" s="959"/>
      <c r="Y1287" s="959"/>
      <c r="Z1287" s="959"/>
      <c r="AA1287" s="959"/>
      <c r="AB1287" s="959"/>
      <c r="AC1287" s="959"/>
      <c r="AD1287" s="959"/>
      <c r="AE1287" s="959"/>
      <c r="AF1287" s="959"/>
      <c r="AG1287" s="959"/>
      <c r="AH1287" s="959"/>
      <c r="AI1287" s="959"/>
      <c r="AJ1287" s="959"/>
      <c r="AK1287" s="959"/>
      <c r="AL1287" s="959"/>
      <c r="AM1287" s="959"/>
    </row>
    <row r="1288" spans="3:39" x14ac:dyDescent="0.25">
      <c r="C1288" s="959"/>
      <c r="D1288" s="959"/>
      <c r="E1288" s="959"/>
      <c r="F1288" s="959"/>
      <c r="G1288" s="959"/>
      <c r="H1288" s="959"/>
      <c r="I1288" s="959"/>
      <c r="J1288" s="959"/>
      <c r="K1288" s="959"/>
      <c r="L1288" s="959"/>
      <c r="M1288" s="959"/>
      <c r="N1288" s="959"/>
      <c r="O1288" s="959"/>
      <c r="P1288" s="959"/>
      <c r="Q1288" s="959"/>
      <c r="R1288" s="959"/>
      <c r="S1288" s="959"/>
      <c r="T1288" s="959"/>
      <c r="U1288" s="959"/>
      <c r="V1288" s="959"/>
      <c r="W1288" s="959"/>
      <c r="X1288" s="959"/>
      <c r="Y1288" s="959"/>
      <c r="Z1288" s="959"/>
      <c r="AA1288" s="959"/>
      <c r="AB1288" s="959"/>
      <c r="AC1288" s="959"/>
      <c r="AD1288" s="959"/>
      <c r="AE1288" s="959"/>
      <c r="AF1288" s="959"/>
      <c r="AG1288" s="959"/>
      <c r="AH1288" s="959"/>
      <c r="AI1288" s="959"/>
      <c r="AJ1288" s="959"/>
      <c r="AK1288" s="959"/>
      <c r="AL1288" s="959"/>
      <c r="AM1288" s="959"/>
    </row>
    <row r="1289" spans="3:39" x14ac:dyDescent="0.25">
      <c r="C1289" s="959"/>
      <c r="D1289" s="959"/>
      <c r="E1289" s="959"/>
      <c r="F1289" s="959"/>
      <c r="G1289" s="959"/>
      <c r="H1289" s="959"/>
      <c r="I1289" s="959"/>
      <c r="J1289" s="959"/>
      <c r="K1289" s="959"/>
      <c r="L1289" s="959"/>
      <c r="M1289" s="959"/>
      <c r="N1289" s="959"/>
      <c r="O1289" s="959"/>
      <c r="P1289" s="959"/>
      <c r="Q1289" s="959"/>
      <c r="R1289" s="959"/>
      <c r="S1289" s="959"/>
      <c r="T1289" s="959"/>
      <c r="U1289" s="959"/>
      <c r="V1289" s="959"/>
      <c r="W1289" s="959"/>
      <c r="X1289" s="959"/>
      <c r="Y1289" s="959"/>
      <c r="Z1289" s="959"/>
      <c r="AA1289" s="959"/>
      <c r="AB1289" s="959"/>
      <c r="AC1289" s="959"/>
      <c r="AD1289" s="959"/>
      <c r="AE1289" s="959"/>
      <c r="AF1289" s="959"/>
      <c r="AG1289" s="959"/>
      <c r="AH1289" s="959"/>
      <c r="AI1289" s="959"/>
      <c r="AJ1289" s="959"/>
      <c r="AK1289" s="959"/>
      <c r="AL1289" s="959"/>
      <c r="AM1289" s="959"/>
    </row>
    <row r="1290" spans="3:39" x14ac:dyDescent="0.25">
      <c r="C1290" s="959"/>
      <c r="D1290" s="959"/>
      <c r="E1290" s="959"/>
      <c r="F1290" s="959"/>
      <c r="G1290" s="959"/>
      <c r="H1290" s="959"/>
      <c r="I1290" s="959"/>
      <c r="J1290" s="959"/>
      <c r="K1290" s="959"/>
      <c r="L1290" s="959"/>
      <c r="M1290" s="959"/>
      <c r="N1290" s="959"/>
      <c r="O1290" s="959"/>
      <c r="P1290" s="959"/>
      <c r="Q1290" s="959"/>
      <c r="R1290" s="959"/>
      <c r="S1290" s="959"/>
      <c r="T1290" s="959"/>
      <c r="U1290" s="959"/>
      <c r="V1290" s="959"/>
      <c r="W1290" s="959"/>
      <c r="X1290" s="959"/>
      <c r="Y1290" s="959"/>
      <c r="Z1290" s="959"/>
      <c r="AA1290" s="959"/>
      <c r="AB1290" s="959"/>
      <c r="AC1290" s="959"/>
      <c r="AD1290" s="959"/>
      <c r="AE1290" s="959"/>
      <c r="AF1290" s="959"/>
      <c r="AG1290" s="959"/>
      <c r="AH1290" s="959"/>
      <c r="AI1290" s="959"/>
      <c r="AJ1290" s="959"/>
      <c r="AK1290" s="959"/>
      <c r="AL1290" s="959"/>
      <c r="AM1290" s="959"/>
    </row>
    <row r="1291" spans="3:39" x14ac:dyDescent="0.25">
      <c r="C1291" s="959"/>
      <c r="D1291" s="959"/>
      <c r="E1291" s="959"/>
      <c r="F1291" s="959"/>
      <c r="G1291" s="959"/>
      <c r="H1291" s="959"/>
      <c r="I1291" s="959"/>
      <c r="J1291" s="959"/>
      <c r="K1291" s="959"/>
      <c r="L1291" s="959"/>
      <c r="M1291" s="959"/>
      <c r="N1291" s="959"/>
      <c r="O1291" s="959"/>
      <c r="P1291" s="959"/>
      <c r="Q1291" s="959"/>
      <c r="R1291" s="959"/>
      <c r="S1291" s="959"/>
      <c r="T1291" s="959"/>
      <c r="U1291" s="959"/>
      <c r="V1291" s="959"/>
      <c r="W1291" s="959"/>
      <c r="X1291" s="959"/>
      <c r="Y1291" s="959"/>
      <c r="Z1291" s="959"/>
      <c r="AA1291" s="959"/>
      <c r="AB1291" s="959"/>
      <c r="AC1291" s="959"/>
      <c r="AD1291" s="959"/>
      <c r="AE1291" s="959"/>
      <c r="AF1291" s="959"/>
      <c r="AG1291" s="959"/>
      <c r="AH1291" s="959"/>
      <c r="AI1291" s="959"/>
      <c r="AJ1291" s="959"/>
      <c r="AK1291" s="959"/>
      <c r="AL1291" s="959"/>
      <c r="AM1291" s="959"/>
    </row>
    <row r="1292" spans="3:39" x14ac:dyDescent="0.25">
      <c r="C1292" s="959"/>
      <c r="D1292" s="959"/>
      <c r="E1292" s="959"/>
      <c r="F1292" s="959"/>
      <c r="G1292" s="959"/>
      <c r="H1292" s="959"/>
      <c r="I1292" s="959"/>
      <c r="J1292" s="959"/>
      <c r="K1292" s="959"/>
      <c r="L1292" s="959"/>
      <c r="M1292" s="959"/>
      <c r="N1292" s="959"/>
      <c r="O1292" s="959"/>
      <c r="P1292" s="959"/>
      <c r="Q1292" s="959"/>
      <c r="R1292" s="959"/>
      <c r="S1292" s="959"/>
      <c r="T1292" s="959"/>
      <c r="U1292" s="959"/>
      <c r="V1292" s="959"/>
      <c r="W1292" s="959"/>
      <c r="X1292" s="959"/>
      <c r="Y1292" s="959"/>
      <c r="Z1292" s="959"/>
      <c r="AA1292" s="959"/>
      <c r="AB1292" s="959"/>
      <c r="AC1292" s="959"/>
      <c r="AD1292" s="959"/>
      <c r="AE1292" s="959"/>
      <c r="AF1292" s="959"/>
      <c r="AG1292" s="959"/>
      <c r="AH1292" s="959"/>
      <c r="AI1292" s="959"/>
      <c r="AJ1292" s="959"/>
      <c r="AK1292" s="959"/>
      <c r="AL1292" s="959"/>
      <c r="AM1292" s="959"/>
    </row>
    <row r="1293" spans="3:39" x14ac:dyDescent="0.25">
      <c r="C1293" s="959"/>
      <c r="D1293" s="959"/>
      <c r="E1293" s="959"/>
      <c r="F1293" s="959"/>
      <c r="G1293" s="959"/>
      <c r="H1293" s="959"/>
      <c r="I1293" s="959"/>
      <c r="J1293" s="959"/>
      <c r="K1293" s="959"/>
      <c r="L1293" s="959"/>
      <c r="M1293" s="959"/>
      <c r="N1293" s="959"/>
      <c r="O1293" s="959"/>
      <c r="P1293" s="959"/>
      <c r="Q1293" s="959"/>
      <c r="R1293" s="959"/>
      <c r="S1293" s="959"/>
      <c r="T1293" s="959"/>
      <c r="U1293" s="959"/>
      <c r="V1293" s="959"/>
      <c r="W1293" s="959"/>
      <c r="X1293" s="959"/>
      <c r="Y1293" s="959"/>
      <c r="Z1293" s="959"/>
      <c r="AA1293" s="959"/>
      <c r="AB1293" s="959"/>
      <c r="AC1293" s="959"/>
      <c r="AD1293" s="959"/>
      <c r="AE1293" s="959"/>
      <c r="AF1293" s="959"/>
      <c r="AG1293" s="959"/>
      <c r="AH1293" s="959"/>
      <c r="AI1293" s="959"/>
      <c r="AJ1293" s="959"/>
      <c r="AK1293" s="959"/>
      <c r="AL1293" s="959"/>
      <c r="AM1293" s="959"/>
    </row>
    <row r="1294" spans="3:39" x14ac:dyDescent="0.25">
      <c r="C1294" s="959"/>
      <c r="D1294" s="959"/>
      <c r="E1294" s="959"/>
      <c r="F1294" s="959"/>
      <c r="G1294" s="959"/>
      <c r="H1294" s="959"/>
      <c r="I1294" s="959"/>
      <c r="J1294" s="959"/>
      <c r="K1294" s="959"/>
      <c r="L1294" s="959"/>
      <c r="M1294" s="959"/>
      <c r="N1294" s="959"/>
      <c r="O1294" s="959"/>
      <c r="P1294" s="959"/>
      <c r="Q1294" s="959"/>
      <c r="R1294" s="959"/>
      <c r="S1294" s="959"/>
      <c r="T1294" s="959"/>
      <c r="U1294" s="959"/>
      <c r="V1294" s="959"/>
      <c r="W1294" s="959"/>
      <c r="X1294" s="959"/>
      <c r="Y1294" s="959"/>
      <c r="Z1294" s="959"/>
      <c r="AA1294" s="959"/>
      <c r="AB1294" s="959"/>
      <c r="AC1294" s="959"/>
      <c r="AD1294" s="959"/>
      <c r="AE1294" s="959"/>
      <c r="AF1294" s="959"/>
      <c r="AG1294" s="959"/>
      <c r="AH1294" s="959"/>
      <c r="AI1294" s="959"/>
      <c r="AJ1294" s="959"/>
      <c r="AK1294" s="959"/>
      <c r="AL1294" s="959"/>
      <c r="AM1294" s="959"/>
    </row>
    <row r="1295" spans="3:39" x14ac:dyDescent="0.25">
      <c r="C1295" s="959"/>
      <c r="D1295" s="959"/>
      <c r="E1295" s="959"/>
      <c r="F1295" s="959"/>
      <c r="G1295" s="959"/>
      <c r="H1295" s="959"/>
      <c r="I1295" s="959"/>
      <c r="J1295" s="959"/>
      <c r="K1295" s="959"/>
      <c r="L1295" s="959"/>
      <c r="M1295" s="959"/>
      <c r="N1295" s="959"/>
      <c r="O1295" s="959"/>
      <c r="P1295" s="959"/>
      <c r="Q1295" s="959"/>
      <c r="R1295" s="959"/>
      <c r="S1295" s="959"/>
      <c r="T1295" s="959"/>
      <c r="U1295" s="959"/>
      <c r="V1295" s="959"/>
      <c r="W1295" s="959"/>
      <c r="X1295" s="959"/>
      <c r="Y1295" s="959"/>
      <c r="Z1295" s="959"/>
      <c r="AA1295" s="959"/>
      <c r="AB1295" s="959"/>
      <c r="AC1295" s="959"/>
      <c r="AD1295" s="959"/>
      <c r="AE1295" s="959"/>
      <c r="AF1295" s="959"/>
      <c r="AG1295" s="959"/>
      <c r="AH1295" s="959"/>
      <c r="AI1295" s="959"/>
      <c r="AJ1295" s="959"/>
      <c r="AK1295" s="959"/>
      <c r="AL1295" s="959"/>
      <c r="AM1295" s="959"/>
    </row>
    <row r="1296" spans="3:39" x14ac:dyDescent="0.25">
      <c r="C1296" s="959"/>
      <c r="D1296" s="959"/>
      <c r="E1296" s="959"/>
      <c r="F1296" s="959"/>
      <c r="G1296" s="959"/>
      <c r="H1296" s="959"/>
      <c r="I1296" s="959"/>
      <c r="J1296" s="959"/>
      <c r="K1296" s="959"/>
      <c r="L1296" s="959"/>
      <c r="M1296" s="959"/>
      <c r="N1296" s="959"/>
      <c r="O1296" s="959"/>
      <c r="P1296" s="959"/>
      <c r="Q1296" s="959"/>
      <c r="R1296" s="959"/>
      <c r="S1296" s="959"/>
      <c r="T1296" s="959"/>
      <c r="U1296" s="959"/>
      <c r="V1296" s="959"/>
      <c r="W1296" s="959"/>
      <c r="X1296" s="959"/>
      <c r="Y1296" s="959"/>
      <c r="Z1296" s="959"/>
      <c r="AA1296" s="959"/>
      <c r="AB1296" s="959"/>
      <c r="AC1296" s="959"/>
      <c r="AD1296" s="959"/>
      <c r="AE1296" s="959"/>
      <c r="AF1296" s="959"/>
      <c r="AG1296" s="959"/>
      <c r="AH1296" s="959"/>
      <c r="AI1296" s="959"/>
      <c r="AJ1296" s="959"/>
      <c r="AK1296" s="959"/>
      <c r="AL1296" s="959"/>
      <c r="AM1296" s="959"/>
    </row>
    <row r="1297" spans="3:39" x14ac:dyDescent="0.25">
      <c r="C1297" s="959"/>
      <c r="D1297" s="959"/>
      <c r="E1297" s="959"/>
      <c r="F1297" s="959"/>
      <c r="G1297" s="959"/>
      <c r="H1297" s="959"/>
      <c r="I1297" s="959"/>
      <c r="J1297" s="959"/>
      <c r="K1297" s="959"/>
      <c r="L1297" s="959"/>
      <c r="M1297" s="959"/>
      <c r="N1297" s="959"/>
      <c r="O1297" s="959"/>
      <c r="P1297" s="959"/>
      <c r="Q1297" s="959"/>
      <c r="R1297" s="959"/>
      <c r="S1297" s="959"/>
      <c r="T1297" s="959"/>
      <c r="U1297" s="959"/>
      <c r="V1297" s="959"/>
      <c r="W1297" s="959"/>
      <c r="X1297" s="959"/>
      <c r="Y1297" s="959"/>
      <c r="Z1297" s="959"/>
      <c r="AA1297" s="959"/>
      <c r="AB1297" s="959"/>
      <c r="AC1297" s="959"/>
      <c r="AD1297" s="959"/>
      <c r="AE1297" s="959"/>
      <c r="AF1297" s="959"/>
      <c r="AG1297" s="959"/>
      <c r="AH1297" s="959"/>
      <c r="AI1297" s="959"/>
      <c r="AJ1297" s="959"/>
      <c r="AK1297" s="959"/>
      <c r="AL1297" s="959"/>
      <c r="AM1297" s="959"/>
    </row>
    <row r="1298" spans="3:39" x14ac:dyDescent="0.25">
      <c r="C1298" s="959"/>
      <c r="D1298" s="959"/>
      <c r="E1298" s="959"/>
      <c r="F1298" s="959"/>
      <c r="G1298" s="959"/>
      <c r="H1298" s="959"/>
      <c r="I1298" s="959"/>
      <c r="J1298" s="959"/>
      <c r="K1298" s="959"/>
      <c r="L1298" s="959"/>
      <c r="M1298" s="959"/>
      <c r="N1298" s="959"/>
      <c r="O1298" s="959"/>
      <c r="P1298" s="959"/>
      <c r="Q1298" s="959"/>
      <c r="R1298" s="959"/>
      <c r="S1298" s="959"/>
      <c r="T1298" s="959"/>
      <c r="U1298" s="959"/>
      <c r="V1298" s="959"/>
      <c r="W1298" s="959"/>
      <c r="X1298" s="959"/>
      <c r="Y1298" s="959"/>
      <c r="Z1298" s="959"/>
      <c r="AA1298" s="959"/>
      <c r="AB1298" s="959"/>
      <c r="AC1298" s="959"/>
      <c r="AD1298" s="959"/>
      <c r="AE1298" s="959"/>
      <c r="AF1298" s="959"/>
      <c r="AG1298" s="959"/>
      <c r="AH1298" s="959"/>
      <c r="AI1298" s="959"/>
      <c r="AJ1298" s="959"/>
      <c r="AK1298" s="959"/>
      <c r="AL1298" s="959"/>
      <c r="AM1298" s="959"/>
    </row>
    <row r="1299" spans="3:39" x14ac:dyDescent="0.25">
      <c r="C1299" s="959"/>
      <c r="D1299" s="959"/>
      <c r="E1299" s="959"/>
      <c r="F1299" s="959"/>
      <c r="G1299" s="959"/>
      <c r="H1299" s="959"/>
      <c r="I1299" s="959"/>
      <c r="J1299" s="959"/>
      <c r="K1299" s="959"/>
      <c r="L1299" s="959"/>
      <c r="M1299" s="959"/>
      <c r="N1299" s="959"/>
      <c r="O1299" s="959"/>
      <c r="P1299" s="959"/>
      <c r="Q1299" s="959"/>
      <c r="R1299" s="959"/>
      <c r="S1299" s="959"/>
      <c r="T1299" s="959"/>
      <c r="U1299" s="959"/>
      <c r="V1299" s="959"/>
      <c r="W1299" s="959"/>
      <c r="X1299" s="959"/>
      <c r="Y1299" s="959"/>
      <c r="Z1299" s="959"/>
      <c r="AA1299" s="959"/>
      <c r="AB1299" s="959"/>
      <c r="AC1299" s="959"/>
      <c r="AD1299" s="959"/>
      <c r="AE1299" s="959"/>
      <c r="AF1299" s="959"/>
      <c r="AG1299" s="959"/>
      <c r="AH1299" s="959"/>
      <c r="AI1299" s="959"/>
      <c r="AJ1299" s="959"/>
      <c r="AK1299" s="959"/>
      <c r="AL1299" s="959"/>
      <c r="AM1299" s="959"/>
    </row>
    <row r="1300" spans="3:39" x14ac:dyDescent="0.25">
      <c r="C1300" s="959"/>
      <c r="D1300" s="959"/>
      <c r="E1300" s="959"/>
      <c r="F1300" s="959"/>
      <c r="G1300" s="959"/>
      <c r="H1300" s="959"/>
      <c r="I1300" s="959"/>
      <c r="J1300" s="959"/>
      <c r="K1300" s="959"/>
      <c r="L1300" s="959"/>
      <c r="M1300" s="959"/>
      <c r="N1300" s="959"/>
      <c r="O1300" s="959"/>
      <c r="P1300" s="959"/>
      <c r="Q1300" s="959"/>
      <c r="R1300" s="959"/>
      <c r="S1300" s="959"/>
      <c r="T1300" s="959"/>
      <c r="U1300" s="959"/>
      <c r="V1300" s="959"/>
      <c r="W1300" s="959"/>
      <c r="X1300" s="959"/>
      <c r="Y1300" s="959"/>
      <c r="Z1300" s="959"/>
      <c r="AA1300" s="959"/>
      <c r="AB1300" s="959"/>
      <c r="AC1300" s="959"/>
      <c r="AD1300" s="959"/>
      <c r="AE1300" s="959"/>
      <c r="AF1300" s="959"/>
      <c r="AG1300" s="959"/>
      <c r="AH1300" s="959"/>
      <c r="AI1300" s="959"/>
      <c r="AJ1300" s="959"/>
      <c r="AK1300" s="959"/>
      <c r="AL1300" s="959"/>
      <c r="AM1300" s="959"/>
    </row>
    <row r="1301" spans="3:39" x14ac:dyDescent="0.25">
      <c r="C1301" s="959"/>
      <c r="D1301" s="959"/>
      <c r="E1301" s="959"/>
      <c r="F1301" s="959"/>
      <c r="G1301" s="959"/>
      <c r="H1301" s="959"/>
      <c r="I1301" s="959"/>
      <c r="J1301" s="959"/>
      <c r="K1301" s="959"/>
      <c r="L1301" s="959"/>
      <c r="M1301" s="959"/>
      <c r="N1301" s="959"/>
      <c r="O1301" s="959"/>
      <c r="P1301" s="959"/>
      <c r="Q1301" s="959"/>
      <c r="R1301" s="959"/>
      <c r="S1301" s="959"/>
      <c r="T1301" s="959"/>
      <c r="U1301" s="959"/>
      <c r="V1301" s="959"/>
      <c r="W1301" s="959"/>
      <c r="X1301" s="959"/>
      <c r="Y1301" s="959"/>
      <c r="Z1301" s="959"/>
      <c r="AA1301" s="959"/>
      <c r="AB1301" s="959"/>
      <c r="AC1301" s="959"/>
      <c r="AD1301" s="959"/>
      <c r="AE1301" s="959"/>
      <c r="AF1301" s="959"/>
      <c r="AG1301" s="959"/>
      <c r="AH1301" s="959"/>
      <c r="AI1301" s="959"/>
      <c r="AJ1301" s="959"/>
      <c r="AK1301" s="959"/>
      <c r="AL1301" s="959"/>
      <c r="AM1301" s="959"/>
    </row>
    <row r="1302" spans="3:39" x14ac:dyDescent="0.25">
      <c r="C1302" s="959"/>
      <c r="D1302" s="959"/>
      <c r="E1302" s="959"/>
      <c r="F1302" s="959"/>
      <c r="G1302" s="959"/>
      <c r="H1302" s="959"/>
      <c r="I1302" s="959"/>
      <c r="J1302" s="959"/>
      <c r="K1302" s="959"/>
      <c r="L1302" s="959"/>
      <c r="M1302" s="959"/>
      <c r="N1302" s="959"/>
      <c r="O1302" s="959"/>
      <c r="P1302" s="959"/>
      <c r="Q1302" s="959"/>
      <c r="R1302" s="959"/>
      <c r="S1302" s="959"/>
      <c r="T1302" s="959"/>
      <c r="U1302" s="959"/>
      <c r="V1302" s="959"/>
      <c r="W1302" s="959"/>
      <c r="X1302" s="959"/>
      <c r="Y1302" s="959"/>
      <c r="Z1302" s="959"/>
      <c r="AA1302" s="959"/>
      <c r="AB1302" s="959"/>
      <c r="AC1302" s="959"/>
      <c r="AD1302" s="959"/>
      <c r="AE1302" s="959"/>
      <c r="AF1302" s="959"/>
      <c r="AG1302" s="959"/>
      <c r="AH1302" s="959"/>
      <c r="AI1302" s="959"/>
      <c r="AJ1302" s="959"/>
      <c r="AK1302" s="959"/>
      <c r="AL1302" s="959"/>
      <c r="AM1302" s="959"/>
    </row>
    <row r="1303" spans="3:39" x14ac:dyDescent="0.25">
      <c r="C1303" s="959"/>
      <c r="D1303" s="959"/>
      <c r="E1303" s="959"/>
      <c r="F1303" s="959"/>
      <c r="G1303" s="959"/>
      <c r="H1303" s="959"/>
      <c r="I1303" s="959"/>
      <c r="J1303" s="959"/>
      <c r="K1303" s="959"/>
      <c r="L1303" s="959"/>
      <c r="M1303" s="959"/>
      <c r="N1303" s="959"/>
      <c r="O1303" s="959"/>
      <c r="P1303" s="959"/>
      <c r="Q1303" s="959"/>
      <c r="R1303" s="959"/>
      <c r="S1303" s="959"/>
      <c r="T1303" s="959"/>
      <c r="U1303" s="959"/>
      <c r="V1303" s="959"/>
      <c r="W1303" s="959"/>
      <c r="X1303" s="959"/>
      <c r="Y1303" s="959"/>
      <c r="Z1303" s="959"/>
      <c r="AA1303" s="959"/>
      <c r="AB1303" s="959"/>
      <c r="AC1303" s="959"/>
      <c r="AD1303" s="959"/>
      <c r="AE1303" s="959"/>
      <c r="AF1303" s="959"/>
      <c r="AG1303" s="959"/>
      <c r="AH1303" s="959"/>
      <c r="AI1303" s="959"/>
      <c r="AJ1303" s="959"/>
      <c r="AK1303" s="959"/>
      <c r="AL1303" s="959"/>
      <c r="AM1303" s="959"/>
    </row>
    <row r="1304" spans="3:39" x14ac:dyDescent="0.25">
      <c r="C1304" s="959"/>
      <c r="D1304" s="959"/>
      <c r="E1304" s="959"/>
      <c r="F1304" s="959"/>
      <c r="G1304" s="959"/>
      <c r="H1304" s="959"/>
      <c r="I1304" s="959"/>
      <c r="J1304" s="959"/>
      <c r="K1304" s="959"/>
      <c r="L1304" s="959"/>
      <c r="M1304" s="959"/>
      <c r="N1304" s="959"/>
      <c r="O1304" s="959"/>
      <c r="P1304" s="959"/>
      <c r="Q1304" s="959"/>
      <c r="R1304" s="959"/>
      <c r="S1304" s="959"/>
      <c r="T1304" s="959"/>
      <c r="U1304" s="959"/>
      <c r="V1304" s="959"/>
      <c r="W1304" s="959"/>
      <c r="X1304" s="959"/>
      <c r="Y1304" s="959"/>
      <c r="Z1304" s="959"/>
      <c r="AA1304" s="959"/>
      <c r="AB1304" s="959"/>
      <c r="AC1304" s="959"/>
      <c r="AD1304" s="959"/>
      <c r="AE1304" s="959"/>
      <c r="AF1304" s="959"/>
      <c r="AG1304" s="959"/>
      <c r="AH1304" s="959"/>
      <c r="AI1304" s="959"/>
      <c r="AJ1304" s="959"/>
      <c r="AK1304" s="959"/>
      <c r="AL1304" s="959"/>
      <c r="AM1304" s="959"/>
    </row>
  </sheetData>
  <printOptions horizontalCentered="1"/>
  <pageMargins left="0.3" right="0.3" top="0.3" bottom="0.3" header="0.3" footer="0.3"/>
  <pageSetup scale="32" fitToHeight="0" orientation="landscape" r:id="rId1"/>
  <headerFooter>
    <oddFooter>Page &amp;P</oddFooter>
  </headerFooter>
  <rowBreaks count="6" manualBreakCount="6">
    <brk id="146" max="38" man="1"/>
    <brk id="204" max="38" man="1"/>
    <brk id="258" max="38" man="1"/>
    <brk id="320" max="38" man="1"/>
    <brk id="374" max="38" man="1"/>
    <brk id="421" max="32" man="1"/>
  </rowBreaks>
  <customProperties>
    <customPr name="Guid" r:id="rId2"/>
  </customProperties>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46A63-66AC-4968-B281-A160A674DF95}">
  <sheetPr>
    <pageSetUpPr fitToPage="1"/>
  </sheetPr>
  <dimension ref="A1:AT403"/>
  <sheetViews>
    <sheetView view="pageBreakPreview" zoomScale="70" zoomScaleNormal="85" zoomScaleSheetLayoutView="70" workbookViewId="0">
      <pane xSplit="1" ySplit="5" topLeftCell="B6" activePane="bottomRight" state="frozen"/>
      <selection pane="topRight" activeCell="C6" sqref="C6"/>
      <selection pane="bottomLeft" activeCell="C6" sqref="C6"/>
      <selection pane="bottomRight" activeCell="B6" sqref="B6"/>
    </sheetView>
  </sheetViews>
  <sheetFormatPr defaultColWidth="9.1796875" defaultRowHeight="12.5" outlineLevelRow="1" outlineLevelCol="1" x14ac:dyDescent="0.25"/>
  <cols>
    <col min="1" max="1" width="27.1796875" style="132" customWidth="1"/>
    <col min="2" max="2" width="3.7265625" style="132" customWidth="1"/>
    <col min="3" max="6" width="11.1796875" style="132" hidden="1" customWidth="1" outlineLevel="1"/>
    <col min="7" max="7" width="11.1796875" style="132" customWidth="1" collapsed="1"/>
    <col min="8" max="16" width="11.1796875" style="132" customWidth="1"/>
    <col min="17" max="23" width="9.7265625" style="132" customWidth="1"/>
    <col min="24" max="26" width="9.1796875" style="132"/>
    <col min="27" max="34" width="9.1796875" style="132" hidden="1" customWidth="1" outlineLevel="1"/>
    <col min="35" max="35" width="11.1796875" style="132" customWidth="1" collapsed="1"/>
    <col min="36" max="39" width="11.1796875" style="132" customWidth="1"/>
    <col min="40" max="40" width="10.81640625" style="132" bestFit="1" customWidth="1"/>
    <col min="41" max="16384" width="9.1796875" style="132"/>
  </cols>
  <sheetData>
    <row r="1" spans="1:46" ht="13" x14ac:dyDescent="0.3">
      <c r="A1" s="132" t="str">
        <f>+'FA Base'!B1</f>
        <v>FA - Standalone</v>
      </c>
      <c r="AK1" s="400"/>
      <c r="AL1" s="400"/>
      <c r="AM1" s="400">
        <f t="shared" ref="AM1" ca="1" si="0">TODAY()</f>
        <v>45797</v>
      </c>
      <c r="AN1" s="400"/>
    </row>
    <row r="2" spans="1:46" ht="13" x14ac:dyDescent="0.3">
      <c r="A2" s="163" t="s">
        <v>331</v>
      </c>
      <c r="B2" s="163"/>
      <c r="AK2" s="401"/>
      <c r="AL2" s="401"/>
      <c r="AM2" s="401"/>
      <c r="AN2" s="981"/>
    </row>
    <row r="3" spans="1:46" s="378" customFormat="1" ht="13" x14ac:dyDescent="0.3">
      <c r="A3" s="402" t="str">
        <f>+'FA Base'!B3</f>
        <v>(USD in mm)</v>
      </c>
      <c r="B3" s="402"/>
      <c r="AN3" s="132"/>
    </row>
    <row r="4" spans="1:46" ht="13" x14ac:dyDescent="0.3">
      <c r="C4" s="403" t="s">
        <v>7</v>
      </c>
      <c r="D4" s="404"/>
      <c r="E4" s="404"/>
      <c r="F4" s="404"/>
      <c r="G4" s="403" t="s">
        <v>7</v>
      </c>
      <c r="H4" s="404"/>
      <c r="I4" s="404"/>
      <c r="J4" s="404"/>
      <c r="K4" s="403"/>
      <c r="L4" s="403"/>
      <c r="M4" s="403"/>
      <c r="N4" s="403"/>
      <c r="O4" s="403"/>
      <c r="P4" s="403"/>
      <c r="Q4" s="403"/>
      <c r="R4" s="403"/>
      <c r="S4" s="403"/>
      <c r="T4" s="403"/>
      <c r="U4" s="403"/>
      <c r="V4" s="403"/>
      <c r="W4" s="403"/>
      <c r="X4" s="403"/>
      <c r="Y4" s="403"/>
      <c r="Z4" s="585"/>
      <c r="AA4" s="585"/>
      <c r="AB4" s="585"/>
      <c r="AC4" s="585"/>
      <c r="AD4" s="585"/>
      <c r="AE4" s="585"/>
      <c r="AF4" s="585"/>
      <c r="AG4" s="585"/>
      <c r="AH4" s="585"/>
      <c r="AI4" s="403" t="s">
        <v>7</v>
      </c>
      <c r="AJ4" s="404"/>
      <c r="AK4" s="404"/>
      <c r="AL4" s="404"/>
      <c r="AM4" s="404"/>
    </row>
    <row r="5" spans="1:46" ht="16" x14ac:dyDescent="0.6">
      <c r="C5" s="405" t="s">
        <v>86</v>
      </c>
      <c r="D5" s="405" t="s">
        <v>87</v>
      </c>
      <c r="E5" s="405" t="s">
        <v>88</v>
      </c>
      <c r="F5" s="406" t="s">
        <v>89</v>
      </c>
      <c r="G5" s="405" t="s">
        <v>90</v>
      </c>
      <c r="H5" s="405" t="s">
        <v>91</v>
      </c>
      <c r="I5" s="405" t="s">
        <v>92</v>
      </c>
      <c r="J5" s="406" t="s">
        <v>93</v>
      </c>
      <c r="K5" s="405" t="s">
        <v>94</v>
      </c>
      <c r="L5" s="405" t="s">
        <v>95</v>
      </c>
      <c r="M5" s="405" t="s">
        <v>96</v>
      </c>
      <c r="N5" s="406" t="s">
        <v>97</v>
      </c>
      <c r="O5" s="405" t="s">
        <v>98</v>
      </c>
      <c r="P5" s="405" t="s">
        <v>99</v>
      </c>
      <c r="Q5" s="405" t="s">
        <v>100</v>
      </c>
      <c r="R5" s="406" t="s">
        <v>101</v>
      </c>
      <c r="S5" s="405" t="s">
        <v>102</v>
      </c>
      <c r="T5" s="405" t="s">
        <v>103</v>
      </c>
      <c r="U5" s="405" t="s">
        <v>104</v>
      </c>
      <c r="V5" s="406" t="s">
        <v>105</v>
      </c>
      <c r="W5" s="405" t="s">
        <v>106</v>
      </c>
      <c r="X5" s="405" t="s">
        <v>107</v>
      </c>
      <c r="Y5" s="405" t="s">
        <v>108</v>
      </c>
      <c r="Z5" s="585"/>
      <c r="AA5" s="585"/>
      <c r="AB5" s="585"/>
      <c r="AC5" s="585"/>
      <c r="AD5" s="585"/>
      <c r="AE5" s="405" t="s">
        <v>332</v>
      </c>
      <c r="AF5" s="405" t="s">
        <v>333</v>
      </c>
      <c r="AG5" s="405" t="s">
        <v>334</v>
      </c>
      <c r="AH5" s="405" t="s">
        <v>114</v>
      </c>
      <c r="AI5" s="405" t="s">
        <v>115</v>
      </c>
      <c r="AJ5" s="405" t="s">
        <v>116</v>
      </c>
      <c r="AK5" s="405" t="s">
        <v>117</v>
      </c>
      <c r="AL5" s="405" t="s">
        <v>118</v>
      </c>
      <c r="AM5" s="405" t="s">
        <v>119</v>
      </c>
    </row>
    <row r="6" spans="1:46" ht="16" x14ac:dyDescent="0.6">
      <c r="C6" s="438"/>
      <c r="D6" s="438"/>
      <c r="E6" s="438"/>
      <c r="F6" s="2241"/>
      <c r="G6" s="438"/>
      <c r="H6" s="438"/>
      <c r="I6" s="438"/>
      <c r="J6" s="2241"/>
      <c r="K6" s="438"/>
      <c r="L6" s="438"/>
      <c r="M6" s="438"/>
      <c r="N6" s="2241"/>
      <c r="O6" s="438"/>
      <c r="P6" s="438"/>
      <c r="Q6" s="438"/>
      <c r="R6" s="2241"/>
      <c r="S6" s="438"/>
      <c r="T6" s="438"/>
      <c r="U6" s="438"/>
      <c r="V6" s="2241"/>
      <c r="W6" s="438"/>
      <c r="X6" s="438"/>
      <c r="Y6" s="438"/>
      <c r="Z6" s="585"/>
      <c r="AA6" s="585"/>
      <c r="AB6" s="585"/>
      <c r="AC6" s="585"/>
      <c r="AD6" s="585"/>
      <c r="AE6" s="438"/>
      <c r="AF6" s="438"/>
      <c r="AG6" s="438"/>
      <c r="AH6" s="438"/>
      <c r="AI6" s="438"/>
      <c r="AJ6" s="438"/>
      <c r="AK6" s="438"/>
      <c r="AL6" s="438"/>
      <c r="AM6" s="438"/>
    </row>
    <row r="7" spans="1:46" ht="13" x14ac:dyDescent="0.3">
      <c r="A7" s="569" t="s">
        <v>335</v>
      </c>
      <c r="B7" s="570"/>
      <c r="F7" s="407"/>
      <c r="J7" s="407"/>
      <c r="L7" s="566"/>
      <c r="M7" s="566"/>
      <c r="N7" s="581"/>
      <c r="O7" s="566"/>
      <c r="P7" s="566"/>
      <c r="Q7" s="566"/>
      <c r="R7" s="581"/>
      <c r="S7" s="566"/>
      <c r="T7" s="566"/>
      <c r="U7" s="566"/>
      <c r="V7" s="581"/>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row>
    <row r="8" spans="1:46" x14ac:dyDescent="0.25">
      <c r="F8" s="407"/>
      <c r="J8" s="407"/>
      <c r="N8" s="407"/>
      <c r="R8" s="407"/>
      <c r="V8" s="407"/>
      <c r="AG8" s="565"/>
      <c r="AH8" s="565" t="s">
        <v>336</v>
      </c>
    </row>
    <row r="9" spans="1:46" x14ac:dyDescent="0.25">
      <c r="A9" s="132" t="str">
        <f>+Daloopa!A91</f>
        <v>Revenue</v>
      </c>
      <c r="C9" s="611">
        <f>+JPM!H8</f>
        <v>109.687</v>
      </c>
      <c r="D9" s="611">
        <f>+JPM!I8</f>
        <v>121.621</v>
      </c>
      <c r="E9" s="611">
        <f>+JPM!J8</f>
        <v>123.76900000000001</v>
      </c>
      <c r="F9" s="616">
        <f>+JPM!K8</f>
        <v>126.69</v>
      </c>
      <c r="G9" s="611">
        <f>+JPM!N8</f>
        <v>110.839</v>
      </c>
      <c r="H9" s="611">
        <f>+JPM!O8</f>
        <v>104.99299999999999</v>
      </c>
      <c r="I9" s="611">
        <f>+JPM!P8</f>
        <v>136.77799999999999</v>
      </c>
      <c r="J9" s="616">
        <f>+JPM!Q8</f>
        <v>156.54400000000001</v>
      </c>
      <c r="K9" s="611">
        <f>+JPM!T8</f>
        <v>132.07</v>
      </c>
      <c r="L9" s="611">
        <f>+JPM!U8</f>
        <v>174.82599999999999</v>
      </c>
      <c r="M9" s="611">
        <f>+JPM!V8</f>
        <v>192.86699999999999</v>
      </c>
      <c r="N9" s="616">
        <f>+JPM!W8</f>
        <v>212.53200000000001</v>
      </c>
      <c r="O9" s="611">
        <f>+JPM!Z8</f>
        <v>189.881</v>
      </c>
      <c r="P9" s="611">
        <f>+JPM!AA8</f>
        <v>201.56100000000001</v>
      </c>
      <c r="Q9" s="611">
        <v>205.98599999999999</v>
      </c>
      <c r="R9" s="616">
        <v>212.595</v>
      </c>
      <c r="S9" s="611">
        <v>175.52</v>
      </c>
      <c r="T9" s="611">
        <v>185.315</v>
      </c>
      <c r="U9" s="611">
        <v>200.364</v>
      </c>
      <c r="V9" s="616">
        <v>202.56200000000001</v>
      </c>
      <c r="W9" s="611">
        <v>169.416</v>
      </c>
      <c r="X9" s="611">
        <v>184.548</v>
      </c>
      <c r="Y9" s="611">
        <v>199.119</v>
      </c>
      <c r="Z9" s="611"/>
      <c r="AA9" s="611"/>
      <c r="AB9" s="611"/>
      <c r="AC9" s="611"/>
      <c r="AD9" s="611"/>
      <c r="AE9" s="611" t="s">
        <v>337</v>
      </c>
      <c r="AF9" s="611">
        <v>417</v>
      </c>
      <c r="AG9" s="611">
        <v>400</v>
      </c>
      <c r="AH9" s="611">
        <v>435</v>
      </c>
      <c r="AI9" s="611">
        <f>+SUM(C9:F9)</f>
        <v>481.767</v>
      </c>
      <c r="AJ9" s="611">
        <f>SUM(G9:J9)</f>
        <v>509.154</v>
      </c>
      <c r="AK9" s="611">
        <f>SUM(K9:N9)</f>
        <v>712.29499999999996</v>
      </c>
      <c r="AL9" s="611">
        <f>SUM(O9:R9)</f>
        <v>810.02300000000002</v>
      </c>
      <c r="AM9" s="611">
        <f>SUM(S9:V9)</f>
        <v>763.76100000000008</v>
      </c>
      <c r="AN9" s="583"/>
      <c r="AO9" s="571"/>
    </row>
    <row r="10" spans="1:46" ht="13" x14ac:dyDescent="0.3">
      <c r="C10" s="568"/>
      <c r="D10" s="568"/>
      <c r="E10" s="568"/>
      <c r="F10" s="588"/>
      <c r="G10" s="568"/>
      <c r="H10" s="568"/>
      <c r="I10" s="568"/>
      <c r="J10" s="588"/>
      <c r="K10" s="583"/>
      <c r="L10" s="583"/>
      <c r="M10" s="583"/>
      <c r="N10" s="588"/>
      <c r="O10" s="568"/>
      <c r="P10" s="568"/>
      <c r="Q10" s="568"/>
      <c r="R10" s="588"/>
      <c r="S10" s="568"/>
      <c r="T10" s="568"/>
      <c r="U10" s="568"/>
      <c r="V10" s="588"/>
      <c r="W10" s="568"/>
      <c r="X10" s="599"/>
      <c r="Y10" s="599"/>
      <c r="Z10" s="599"/>
      <c r="AA10" s="599"/>
      <c r="AB10" s="599"/>
      <c r="AC10" s="599"/>
      <c r="AD10" s="599"/>
      <c r="AE10" s="583"/>
      <c r="AF10" s="441"/>
      <c r="AG10" s="441"/>
      <c r="AH10" s="595"/>
      <c r="AI10" s="595"/>
      <c r="AJ10" s="441"/>
      <c r="AK10" s="441"/>
      <c r="AL10" s="441"/>
      <c r="AM10" s="441"/>
      <c r="AN10" s="583"/>
      <c r="AO10" s="571"/>
    </row>
    <row r="11" spans="1:46" ht="13" x14ac:dyDescent="0.3">
      <c r="A11" s="565" t="str">
        <f>+Daloopa!A92</f>
        <v>Operating expenses:</v>
      </c>
      <c r="C11" s="568"/>
      <c r="D11" s="568"/>
      <c r="E11" s="568"/>
      <c r="F11" s="588"/>
      <c r="G11" s="568"/>
      <c r="H11" s="568"/>
      <c r="I11" s="568"/>
      <c r="J11" s="588"/>
      <c r="K11" s="583"/>
      <c r="L11" s="583"/>
      <c r="M11" s="583"/>
      <c r="N11" s="588"/>
      <c r="O11" s="568"/>
      <c r="P11" s="568"/>
      <c r="Q11" s="568"/>
      <c r="R11" s="588"/>
      <c r="S11" s="568"/>
      <c r="T11" s="568"/>
      <c r="U11" s="568"/>
      <c r="V11" s="588"/>
      <c r="W11" s="568"/>
      <c r="X11" s="599"/>
      <c r="Y11" s="599"/>
      <c r="Z11" s="599"/>
      <c r="AA11" s="599"/>
      <c r="AB11" s="599"/>
      <c r="AC11" s="599"/>
      <c r="AD11" s="599"/>
      <c r="AE11" s="583"/>
      <c r="AF11" s="441"/>
      <c r="AG11" s="441"/>
      <c r="AH11" s="595"/>
      <c r="AI11" s="595"/>
      <c r="AJ11" s="441"/>
      <c r="AK11" s="441"/>
      <c r="AL11" s="441"/>
      <c r="AM11" s="441"/>
      <c r="AN11" s="583"/>
      <c r="AO11" s="571"/>
    </row>
    <row r="12" spans="1:46" x14ac:dyDescent="0.25">
      <c r="A12" s="132" t="str">
        <f>+Daloopa!A93</f>
        <v>Cost of services (exclusive of depreciation and amortization below)</v>
      </c>
      <c r="C12" s="611"/>
      <c r="D12" s="611"/>
      <c r="E12" s="611"/>
      <c r="F12" s="616"/>
      <c r="G12" s="611">
        <f>+AJ12-SUM(H12:J12)</f>
        <v>57.081000000000017</v>
      </c>
      <c r="H12" s="611">
        <f>+Daloopa!H93/1000</f>
        <v>52.404000000000003</v>
      </c>
      <c r="I12" s="611">
        <f>+Daloopa!I93/1000</f>
        <v>67.483000000000004</v>
      </c>
      <c r="J12" s="616">
        <f>+Daloopa!J93/1000</f>
        <v>83.584000000000003</v>
      </c>
      <c r="K12" s="611">
        <f>+Daloopa!K93/1000</f>
        <v>65.944999999999993</v>
      </c>
      <c r="L12" s="611">
        <f>+Daloopa!L93/1000</f>
        <v>84.867999999999995</v>
      </c>
      <c r="M12" s="611">
        <f>+Daloopa!M93/1000</f>
        <v>94.150999999999996</v>
      </c>
      <c r="N12" s="616">
        <f>+Daloopa!N93/1000</f>
        <v>107.206</v>
      </c>
      <c r="O12" s="611">
        <f>+Daloopa!O93/1000</f>
        <v>96.430999999999997</v>
      </c>
      <c r="P12" s="611">
        <f>+Daloopa!P93/1000</f>
        <v>100.292</v>
      </c>
      <c r="Q12" s="611">
        <v>104.3</v>
      </c>
      <c r="R12" s="616">
        <v>107.905</v>
      </c>
      <c r="S12" s="611">
        <v>91.061000000000007</v>
      </c>
      <c r="T12" s="611">
        <v>92.997</v>
      </c>
      <c r="U12" s="611">
        <v>101.41</v>
      </c>
      <c r="V12" s="616">
        <v>101.309</v>
      </c>
      <c r="W12" s="611">
        <v>87.191999999999993</v>
      </c>
      <c r="X12" s="611">
        <v>92.347999999999999</v>
      </c>
      <c r="Y12" s="611">
        <v>100.879</v>
      </c>
      <c r="Z12" s="611"/>
      <c r="AA12" s="611"/>
      <c r="AB12" s="611"/>
      <c r="AC12" s="611"/>
      <c r="AD12" s="611"/>
      <c r="AE12" s="611"/>
      <c r="AF12" s="611"/>
      <c r="AG12" s="611"/>
      <c r="AH12" s="611"/>
      <c r="AI12" s="611">
        <f>+Daloopa!R93/1000</f>
        <v>245.32400000000001</v>
      </c>
      <c r="AJ12" s="611">
        <f>240.287+20.265</f>
        <v>260.55200000000002</v>
      </c>
      <c r="AK12" s="611">
        <f>SUM(K12:N12)</f>
        <v>352.17</v>
      </c>
      <c r="AL12" s="611">
        <f>SUM(O12:R12)</f>
        <v>408.928</v>
      </c>
      <c r="AM12" s="611">
        <f>SUM(S12:V12)</f>
        <v>386.77699999999993</v>
      </c>
      <c r="AN12" s="583"/>
      <c r="AO12" s="571"/>
    </row>
    <row r="13" spans="1:46" x14ac:dyDescent="0.25">
      <c r="A13" s="132" t="str">
        <f>+Daloopa!A94</f>
        <v>Product and technology expense</v>
      </c>
      <c r="C13" s="611"/>
      <c r="D13" s="611"/>
      <c r="E13" s="611"/>
      <c r="F13" s="616"/>
      <c r="G13" s="611">
        <f>+AJ13-SUM(H13:J13)</f>
        <v>8.1360000000000028</v>
      </c>
      <c r="H13" s="611">
        <f>+Daloopa!H94/1000</f>
        <v>7.2050000000000001</v>
      </c>
      <c r="I13" s="611">
        <f>+Daloopa!I94/1000</f>
        <v>8.343</v>
      </c>
      <c r="J13" s="616">
        <f>+Daloopa!J94/1000</f>
        <v>11.706</v>
      </c>
      <c r="K13" s="611">
        <f>+Daloopa!K94/1000</f>
        <v>10.553000000000001</v>
      </c>
      <c r="L13" s="611">
        <f>+Daloopa!L94/1000</f>
        <v>11.68</v>
      </c>
      <c r="M13" s="611">
        <f>+Daloopa!M94/1000</f>
        <v>11.313000000000001</v>
      </c>
      <c r="N13" s="616">
        <f>+Daloopa!N94/1000</f>
        <v>11.961</v>
      </c>
      <c r="O13" s="611">
        <f>+Daloopa!O94/1000</f>
        <v>13.773</v>
      </c>
      <c r="P13" s="611">
        <f>+Daloopa!P94/1000</f>
        <v>12.946</v>
      </c>
      <c r="Q13" s="611">
        <v>13.25</v>
      </c>
      <c r="R13" s="616">
        <v>11.962</v>
      </c>
      <c r="S13" s="611">
        <v>12.624000000000001</v>
      </c>
      <c r="T13" s="611">
        <v>12.643000000000001</v>
      </c>
      <c r="U13" s="611">
        <v>13.106999999999999</v>
      </c>
      <c r="V13" s="616">
        <v>10.888999999999999</v>
      </c>
      <c r="W13" s="611">
        <v>12.465999999999999</v>
      </c>
      <c r="X13" s="611">
        <v>13.677</v>
      </c>
      <c r="Y13" s="611">
        <v>12.909000000000001</v>
      </c>
      <c r="Z13" s="611"/>
      <c r="AA13" s="611"/>
      <c r="AB13" s="611"/>
      <c r="AC13" s="611"/>
      <c r="AD13" s="611"/>
      <c r="AE13" s="611"/>
      <c r="AF13" s="611"/>
      <c r="AG13" s="611"/>
      <c r="AH13" s="611"/>
      <c r="AI13" s="611">
        <f>+Daloopa!R94/1000</f>
        <v>33.238999999999997</v>
      </c>
      <c r="AJ13" s="611">
        <f>32.201+3.189</f>
        <v>35.39</v>
      </c>
      <c r="AK13" s="611">
        <f>SUM(K13:N13)</f>
        <v>45.506999999999998</v>
      </c>
      <c r="AL13" s="611">
        <f>SUM(O13:R13)</f>
        <v>51.930999999999997</v>
      </c>
      <c r="AM13" s="611">
        <f>SUM(S13:V13)</f>
        <v>49.263000000000005</v>
      </c>
      <c r="AN13" s="583"/>
      <c r="AO13" s="571"/>
    </row>
    <row r="14" spans="1:46" x14ac:dyDescent="0.25">
      <c r="A14" s="132" t="str">
        <f>+Daloopa!A95</f>
        <v>Selling, general and administrative expense</v>
      </c>
      <c r="C14" s="611"/>
      <c r="D14" s="611"/>
      <c r="E14" s="611"/>
      <c r="F14" s="616"/>
      <c r="G14" s="611">
        <f>+AJ14-SUM(H14:J14)</f>
        <v>23.520000000000003</v>
      </c>
      <c r="H14" s="611">
        <f>+Daloopa!H95/1000</f>
        <v>15.013999999999999</v>
      </c>
      <c r="I14" s="611">
        <f>+Daloopa!I95/1000</f>
        <v>18.907</v>
      </c>
      <c r="J14" s="616">
        <f>+Daloopa!J95/1000</f>
        <v>20.658000000000001</v>
      </c>
      <c r="K14" s="611">
        <f>+Daloopa!K95/1000</f>
        <v>23.978000000000002</v>
      </c>
      <c r="L14" s="611">
        <f>+Daloopa!L95/1000</f>
        <v>25.074999999999999</v>
      </c>
      <c r="M14" s="611">
        <f>+Daloopa!M95/1000</f>
        <v>27.202999999999999</v>
      </c>
      <c r="N14" s="616">
        <f>+Daloopa!N95/1000</f>
        <v>31.724</v>
      </c>
      <c r="O14" s="611">
        <f>+Daloopa!O95/1000</f>
        <v>28.545000000000002</v>
      </c>
      <c r="P14" s="611">
        <f>+Daloopa!P95/1000</f>
        <v>31.135999999999999</v>
      </c>
      <c r="Q14" s="611">
        <v>28.033999999999999</v>
      </c>
      <c r="R14" s="616">
        <v>28.925000000000001</v>
      </c>
      <c r="S14" s="611">
        <v>28.681999999999999</v>
      </c>
      <c r="T14" s="611">
        <v>29.981999999999999</v>
      </c>
      <c r="U14" s="611">
        <v>30.216999999999999</v>
      </c>
      <c r="V14" s="616">
        <v>27.850999999999999</v>
      </c>
      <c r="W14" s="611">
        <v>40.661999999999999</v>
      </c>
      <c r="X14" s="611">
        <v>38.64</v>
      </c>
      <c r="Y14" s="611">
        <v>46.05</v>
      </c>
      <c r="Z14" s="611"/>
      <c r="AA14" s="611"/>
      <c r="AB14" s="611"/>
      <c r="AC14" s="611"/>
      <c r="AD14" s="611"/>
      <c r="AE14" s="611"/>
      <c r="AF14" s="611"/>
      <c r="AG14" s="611"/>
      <c r="AH14" s="611"/>
      <c r="AI14" s="611">
        <f>+Daloopa!R95/1000</f>
        <v>85.084000000000003</v>
      </c>
      <c r="AJ14" s="611">
        <f>66.864+11.235</f>
        <v>78.099000000000004</v>
      </c>
      <c r="AK14" s="611">
        <f>SUM(K14:N14)</f>
        <v>107.98</v>
      </c>
      <c r="AL14" s="611">
        <f>SUM(O14:R14)</f>
        <v>116.64</v>
      </c>
      <c r="AM14" s="611">
        <f>SUM(S14:V14)</f>
        <v>116.732</v>
      </c>
      <c r="AN14" s="583"/>
      <c r="AO14" s="571"/>
    </row>
    <row r="15" spans="1:46" s="413" customFormat="1" ht="14" x14ac:dyDescent="0.4">
      <c r="A15" s="132" t="str">
        <f>+Daloopa!A96</f>
        <v>Depreciation and amortization</v>
      </c>
      <c r="C15" s="612"/>
      <c r="D15" s="612"/>
      <c r="E15" s="612"/>
      <c r="F15" s="617"/>
      <c r="G15" s="612">
        <f>+AJ15-SUM(H15:J15)</f>
        <v>24.486999999999995</v>
      </c>
      <c r="H15" s="612">
        <f>+Daloopa!H96/1000</f>
        <v>36.572000000000003</v>
      </c>
      <c r="I15" s="612">
        <f>+Daloopa!I96/1000</f>
        <v>36.756</v>
      </c>
      <c r="J15" s="617">
        <f>+Daloopa!J96/1000</f>
        <v>37.241999999999997</v>
      </c>
      <c r="K15" s="612">
        <f>+Daloopa!K96/1000</f>
        <v>34.762999999999998</v>
      </c>
      <c r="L15" s="612">
        <f>+Daloopa!L96/1000</f>
        <v>35.917999999999999</v>
      </c>
      <c r="M15" s="612">
        <f>+Daloopa!M96/1000</f>
        <v>35.811999999999998</v>
      </c>
      <c r="N15" s="617">
        <f>+Daloopa!N96/1000</f>
        <v>36.322000000000003</v>
      </c>
      <c r="O15" s="612">
        <f>+Daloopa!O96/1000</f>
        <v>34.033999999999999</v>
      </c>
      <c r="P15" s="612">
        <f>+Daloopa!P96/1000</f>
        <v>34.406999999999996</v>
      </c>
      <c r="Q15" s="612">
        <v>34.744</v>
      </c>
      <c r="R15" s="617">
        <v>35.061</v>
      </c>
      <c r="S15" s="612">
        <v>31.866</v>
      </c>
      <c r="T15" s="612">
        <v>32.055999999999997</v>
      </c>
      <c r="U15" s="612">
        <v>32.418999999999997</v>
      </c>
      <c r="V15" s="617">
        <v>33.131999999999998</v>
      </c>
      <c r="W15" s="612">
        <v>29.882000000000001</v>
      </c>
      <c r="X15" s="612">
        <v>29.978000000000002</v>
      </c>
      <c r="Y15" s="612">
        <v>30.167999999999999</v>
      </c>
      <c r="Z15" s="612"/>
      <c r="AA15" s="612"/>
      <c r="AB15" s="612"/>
      <c r="AC15" s="612"/>
      <c r="AD15" s="612"/>
      <c r="AE15" s="612"/>
      <c r="AF15" s="612"/>
      <c r="AG15" s="612"/>
      <c r="AH15" s="612"/>
      <c r="AI15" s="612">
        <f>+Daloopa!R96/1000</f>
        <v>25.952999999999999</v>
      </c>
      <c r="AJ15" s="612">
        <v>135.05699999999999</v>
      </c>
      <c r="AK15" s="612">
        <f>SUM(K15:N15)</f>
        <v>142.815</v>
      </c>
      <c r="AL15" s="612">
        <f>SUM(O15:R15)</f>
        <v>138.24600000000001</v>
      </c>
      <c r="AM15" s="612">
        <f>SUM(S15:V15)</f>
        <v>129.47299999999998</v>
      </c>
      <c r="AN15" s="719"/>
      <c r="AO15" s="614"/>
    </row>
    <row r="16" spans="1:46" x14ac:dyDescent="0.25">
      <c r="A16" s="425" t="str">
        <f>+Daloopa!A97</f>
        <v>Total operating expenses</v>
      </c>
      <c r="C16" s="611">
        <f>+C9-C18</f>
        <v>92.566000000000003</v>
      </c>
      <c r="D16" s="611">
        <f>+D9-D18</f>
        <v>95.887999999999991</v>
      </c>
      <c r="E16" s="611">
        <f>+E9-E18</f>
        <v>97.25200000000001</v>
      </c>
      <c r="F16" s="616">
        <f>+F9-F18</f>
        <v>103.89400000000001</v>
      </c>
      <c r="G16" s="611">
        <f t="shared" ref="G16:R16" si="1">+SUM(G12:G15)</f>
        <v>113.22400000000002</v>
      </c>
      <c r="H16" s="611">
        <f t="shared" si="1"/>
        <v>111.19500000000001</v>
      </c>
      <c r="I16" s="611">
        <f t="shared" si="1"/>
        <v>131.489</v>
      </c>
      <c r="J16" s="616">
        <f t="shared" si="1"/>
        <v>153.19</v>
      </c>
      <c r="K16" s="611">
        <f t="shared" si="1"/>
        <v>135.239</v>
      </c>
      <c r="L16" s="611">
        <f t="shared" si="1"/>
        <v>157.541</v>
      </c>
      <c r="M16" s="611">
        <f t="shared" si="1"/>
        <v>168.47899999999998</v>
      </c>
      <c r="N16" s="616">
        <f t="shared" si="1"/>
        <v>187.21299999999999</v>
      </c>
      <c r="O16" s="611">
        <f t="shared" si="1"/>
        <v>172.78299999999999</v>
      </c>
      <c r="P16" s="611">
        <f t="shared" si="1"/>
        <v>178.78100000000001</v>
      </c>
      <c r="Q16" s="611">
        <f t="shared" si="1"/>
        <v>180.328</v>
      </c>
      <c r="R16" s="616">
        <f t="shared" si="1"/>
        <v>183.85300000000001</v>
      </c>
      <c r="S16" s="611">
        <f t="shared" ref="S16:Y16" si="2">+SUM(S12:S15)</f>
        <v>164.233</v>
      </c>
      <c r="T16" s="611">
        <f t="shared" si="2"/>
        <v>167.678</v>
      </c>
      <c r="U16" s="611">
        <f t="shared" si="2"/>
        <v>177.15299999999996</v>
      </c>
      <c r="V16" s="616">
        <f t="shared" si="2"/>
        <v>173.18099999999998</v>
      </c>
      <c r="W16" s="611">
        <f t="shared" si="2"/>
        <v>170.202</v>
      </c>
      <c r="X16" s="611">
        <f t="shared" si="2"/>
        <v>174.64300000000003</v>
      </c>
      <c r="Y16" s="611">
        <f t="shared" si="2"/>
        <v>190.00600000000003</v>
      </c>
      <c r="Z16" s="611"/>
      <c r="AA16" s="611"/>
      <c r="AB16" s="611"/>
      <c r="AC16" s="611"/>
      <c r="AD16" s="611"/>
      <c r="AE16" s="611"/>
      <c r="AF16" s="611"/>
      <c r="AG16" s="611"/>
      <c r="AH16" s="611"/>
      <c r="AI16" s="611">
        <f>+SUM(AI12:AI15)</f>
        <v>389.59999999999997</v>
      </c>
      <c r="AJ16" s="611">
        <f>+SUM(AJ12:AJ15)</f>
        <v>509.09799999999996</v>
      </c>
      <c r="AK16" s="611">
        <f>+SUM(AK12:AK15)</f>
        <v>648.47199999999998</v>
      </c>
      <c r="AL16" s="611">
        <f>SUM(O16:R16)</f>
        <v>715.74499999999989</v>
      </c>
      <c r="AM16" s="611">
        <f>SUM(S16:V16)</f>
        <v>682.24499999999989</v>
      </c>
      <c r="AN16" s="583"/>
      <c r="AO16" s="571"/>
    </row>
    <row r="17" spans="1:41" x14ac:dyDescent="0.25">
      <c r="C17" s="568"/>
      <c r="D17" s="568"/>
      <c r="E17" s="568"/>
      <c r="F17" s="588"/>
      <c r="G17" s="568"/>
      <c r="H17" s="568"/>
      <c r="I17" s="568"/>
      <c r="J17" s="588"/>
      <c r="K17" s="583"/>
      <c r="L17" s="583"/>
      <c r="M17" s="583"/>
      <c r="N17" s="588"/>
      <c r="O17" s="568"/>
      <c r="P17" s="568"/>
      <c r="Q17" s="568"/>
      <c r="R17" s="588"/>
      <c r="S17" s="568"/>
      <c r="T17" s="568"/>
      <c r="U17" s="568"/>
      <c r="V17" s="588"/>
      <c r="W17" s="568"/>
      <c r="X17" s="583"/>
      <c r="Y17" s="583"/>
      <c r="Z17" s="583"/>
      <c r="AA17" s="583"/>
      <c r="AB17" s="583"/>
      <c r="AC17" s="583"/>
      <c r="AD17" s="583"/>
      <c r="AE17" s="583"/>
      <c r="AF17" s="583"/>
      <c r="AG17" s="583"/>
      <c r="AH17" s="583"/>
      <c r="AI17" s="568"/>
      <c r="AJ17" s="568"/>
      <c r="AK17" s="568"/>
      <c r="AL17" s="568"/>
      <c r="AM17" s="568"/>
      <c r="AN17" s="583"/>
      <c r="AO17" s="571"/>
    </row>
    <row r="18" spans="1:41" x14ac:dyDescent="0.25">
      <c r="A18" s="132" t="str">
        <f>+Daloopa!A99</f>
        <v>Income (loss) from operations</v>
      </c>
      <c r="C18" s="568">
        <f>+Daloopa!C99/1000</f>
        <v>17.120999999999999</v>
      </c>
      <c r="D18" s="568">
        <f>+Daloopa!D99/1000</f>
        <v>25.733000000000001</v>
      </c>
      <c r="E18" s="568">
        <f>+Daloopa!E99/1000</f>
        <v>26.516999999999999</v>
      </c>
      <c r="F18" s="588">
        <f>+Daloopa!F99/1000</f>
        <v>22.795999999999999</v>
      </c>
      <c r="G18" s="568">
        <f t="shared" ref="G18:Y18" si="3">+G9-G16</f>
        <v>-2.3850000000000193</v>
      </c>
      <c r="H18" s="568">
        <f t="shared" si="3"/>
        <v>-6.2020000000000124</v>
      </c>
      <c r="I18" s="568">
        <f t="shared" si="3"/>
        <v>5.2889999999999873</v>
      </c>
      <c r="J18" s="588">
        <f t="shared" si="3"/>
        <v>3.3540000000000134</v>
      </c>
      <c r="K18" s="583">
        <f t="shared" si="3"/>
        <v>-3.1690000000000111</v>
      </c>
      <c r="L18" s="583">
        <f t="shared" si="3"/>
        <v>17.284999999999997</v>
      </c>
      <c r="M18" s="583">
        <f t="shared" si="3"/>
        <v>24.388000000000005</v>
      </c>
      <c r="N18" s="588">
        <f t="shared" si="3"/>
        <v>25.319000000000017</v>
      </c>
      <c r="O18" s="568">
        <f t="shared" si="3"/>
        <v>17.098000000000013</v>
      </c>
      <c r="P18" s="568">
        <f t="shared" si="3"/>
        <v>22.78</v>
      </c>
      <c r="Q18" s="568">
        <f t="shared" si="3"/>
        <v>25.657999999999987</v>
      </c>
      <c r="R18" s="588">
        <f t="shared" si="3"/>
        <v>28.74199999999999</v>
      </c>
      <c r="S18" s="568">
        <f t="shared" si="3"/>
        <v>11.287000000000006</v>
      </c>
      <c r="T18" s="568">
        <f t="shared" si="3"/>
        <v>17.637</v>
      </c>
      <c r="U18" s="568">
        <f t="shared" si="3"/>
        <v>23.211000000000041</v>
      </c>
      <c r="V18" s="588">
        <f t="shared" si="3"/>
        <v>29.381000000000029</v>
      </c>
      <c r="W18" s="568">
        <f t="shared" si="3"/>
        <v>-0.78600000000000136</v>
      </c>
      <c r="X18" s="568">
        <f t="shared" si="3"/>
        <v>9.9049999999999727</v>
      </c>
      <c r="Y18" s="568">
        <f t="shared" si="3"/>
        <v>9.1129999999999711</v>
      </c>
      <c r="Z18" s="583"/>
      <c r="AA18" s="583"/>
      <c r="AB18" s="583"/>
      <c r="AC18" s="583"/>
      <c r="AD18" s="583"/>
      <c r="AE18" s="583"/>
      <c r="AF18" s="583"/>
      <c r="AG18" s="583"/>
      <c r="AH18" s="583"/>
      <c r="AI18" s="568">
        <f>+AI9-AI16</f>
        <v>92.16700000000003</v>
      </c>
      <c r="AJ18" s="568">
        <f>+AJ9-AJ16</f>
        <v>5.6000000000040018E-2</v>
      </c>
      <c r="AK18" s="568">
        <f>+AK9-AK16</f>
        <v>63.822999999999979</v>
      </c>
      <c r="AL18" s="568">
        <f>+AL9-AL16</f>
        <v>94.278000000000134</v>
      </c>
      <c r="AM18" s="568">
        <f>SUM(S18:V18)</f>
        <v>81.516000000000076</v>
      </c>
      <c r="AN18" s="583"/>
      <c r="AO18" s="571"/>
    </row>
    <row r="19" spans="1:41" x14ac:dyDescent="0.25">
      <c r="C19" s="568"/>
      <c r="D19" s="568"/>
      <c r="E19" s="568"/>
      <c r="F19" s="588"/>
      <c r="G19" s="568"/>
      <c r="H19" s="568"/>
      <c r="I19" s="568"/>
      <c r="J19" s="588"/>
      <c r="K19" s="583"/>
      <c r="L19" s="583"/>
      <c r="M19" s="583"/>
      <c r="N19" s="588"/>
      <c r="O19" s="568"/>
      <c r="P19" s="568"/>
      <c r="Q19" s="568"/>
      <c r="R19" s="588"/>
      <c r="S19" s="568"/>
      <c r="T19" s="568"/>
      <c r="U19" s="568"/>
      <c r="V19" s="588"/>
      <c r="W19" s="568"/>
      <c r="X19" s="583"/>
      <c r="Y19" s="583"/>
      <c r="Z19" s="583"/>
      <c r="AA19" s="583"/>
      <c r="AB19" s="583"/>
      <c r="AC19" s="583"/>
      <c r="AD19" s="583"/>
      <c r="AE19" s="583"/>
      <c r="AF19" s="583"/>
      <c r="AG19" s="583"/>
      <c r="AH19" s="583"/>
      <c r="AI19" s="568"/>
      <c r="AJ19" s="568"/>
      <c r="AK19" s="568"/>
      <c r="AL19" s="568"/>
      <c r="AM19" s="568"/>
      <c r="AN19" s="583"/>
      <c r="AO19" s="571"/>
    </row>
    <row r="20" spans="1:41" x14ac:dyDescent="0.25">
      <c r="A20" s="565" t="str">
        <f>+Daloopa!A101</f>
        <v>Other (income) expense:</v>
      </c>
      <c r="C20" s="568"/>
      <c r="D20" s="568"/>
      <c r="E20" s="568"/>
      <c r="F20" s="588"/>
      <c r="G20" s="568"/>
      <c r="H20" s="568"/>
      <c r="I20" s="568"/>
      <c r="J20" s="588"/>
      <c r="K20" s="583"/>
      <c r="L20" s="583"/>
      <c r="M20" s="583"/>
      <c r="N20" s="588"/>
      <c r="O20" s="568"/>
      <c r="P20" s="568"/>
      <c r="Q20" s="568"/>
      <c r="R20" s="588"/>
      <c r="S20" s="568"/>
      <c r="T20" s="568"/>
      <c r="U20" s="568"/>
      <c r="V20" s="588"/>
      <c r="W20" s="568"/>
      <c r="X20" s="583"/>
      <c r="Y20" s="583"/>
      <c r="Z20" s="583"/>
      <c r="AA20" s="583"/>
      <c r="AB20" s="583"/>
      <c r="AC20" s="583"/>
      <c r="AD20" s="583"/>
      <c r="AE20" s="583"/>
      <c r="AF20" s="583"/>
      <c r="AG20" s="583"/>
      <c r="AH20" s="583"/>
      <c r="AI20" s="568"/>
      <c r="AJ20" s="568"/>
      <c r="AK20" s="568"/>
      <c r="AL20" s="568"/>
      <c r="AM20" s="568"/>
      <c r="AN20" s="583"/>
      <c r="AO20" s="571"/>
    </row>
    <row r="21" spans="1:41" x14ac:dyDescent="0.25">
      <c r="A21" s="132" t="str">
        <f>+Daloopa!A102</f>
        <v>Interest (income) expense, net</v>
      </c>
      <c r="C21" s="611"/>
      <c r="D21" s="611"/>
      <c r="E21" s="611"/>
      <c r="F21" s="616"/>
      <c r="G21" s="611">
        <f>+AJ21-SUM(H21:J21)</f>
        <v>17.319000000000003</v>
      </c>
      <c r="H21" s="611">
        <f>13.816-0.153</f>
        <v>13.663</v>
      </c>
      <c r="I21" s="611">
        <f>11.706-0.076</f>
        <v>11.629999999999999</v>
      </c>
      <c r="J21" s="616">
        <f>9.509-0.248</f>
        <v>9.261000000000001</v>
      </c>
      <c r="K21" s="611">
        <v>6.7169999999999996</v>
      </c>
      <c r="L21" s="611">
        <v>10.452</v>
      </c>
      <c r="M21" s="611">
        <f>4.734-0.028</f>
        <v>4.7060000000000004</v>
      </c>
      <c r="N21" s="616">
        <f>+AK21-SUM(K21:M21)</f>
        <v>3.0970000000000013</v>
      </c>
      <c r="O21" s="611">
        <v>-0.85</v>
      </c>
      <c r="P21" s="611">
        <v>3.1120000000000001</v>
      </c>
      <c r="Q21" s="611">
        <v>1.74</v>
      </c>
      <c r="R21" s="616">
        <v>5.1970000000000001</v>
      </c>
      <c r="S21" s="611">
        <v>8.6809999999999992</v>
      </c>
      <c r="T21" s="611">
        <v>3.887</v>
      </c>
      <c r="U21" s="611">
        <v>7.5570000000000004</v>
      </c>
      <c r="V21" s="616">
        <v>12.914999999999999</v>
      </c>
      <c r="W21" s="611">
        <v>3.57</v>
      </c>
      <c r="X21" s="611">
        <v>7.3529999999999998</v>
      </c>
      <c r="Y21" s="611">
        <v>17.190999999999999</v>
      </c>
      <c r="Z21" s="611"/>
      <c r="AA21" s="611"/>
      <c r="AB21" s="611"/>
      <c r="AC21" s="611"/>
      <c r="AD21" s="611"/>
      <c r="AE21" s="611"/>
      <c r="AF21" s="611"/>
      <c r="AG21" s="611"/>
      <c r="AH21" s="611"/>
      <c r="AI21" s="611">
        <f>(Daloopa!R104+Daloopa!R103)/1000</f>
        <v>51.018999999999998</v>
      </c>
      <c r="AJ21" s="611">
        <f>47.914+4.514-0.53-0.025</f>
        <v>51.873000000000005</v>
      </c>
      <c r="AK21" s="611">
        <f>25.122-0.15</f>
        <v>24.972000000000001</v>
      </c>
      <c r="AL21" s="611">
        <f>SUM(O21:R21)</f>
        <v>9.1989999999999998</v>
      </c>
      <c r="AM21" s="611">
        <f>SUM(S21:V21)</f>
        <v>33.04</v>
      </c>
      <c r="AN21" s="583"/>
      <c r="AO21" s="571"/>
    </row>
    <row r="22" spans="1:41" x14ac:dyDescent="0.25">
      <c r="A22" s="132" t="str">
        <f>+Daloopa!A105</f>
        <v>Transaction expenses, change in control</v>
      </c>
      <c r="C22" s="611"/>
      <c r="D22" s="611"/>
      <c r="E22" s="611"/>
      <c r="F22" s="616"/>
      <c r="G22" s="611">
        <f>+AJ22-SUM(H22:J22)</f>
        <v>31.792999999999999</v>
      </c>
      <c r="H22" s="611">
        <v>0</v>
      </c>
      <c r="I22" s="611">
        <v>0</v>
      </c>
      <c r="J22" s="616">
        <v>0</v>
      </c>
      <c r="K22" s="611">
        <v>0</v>
      </c>
      <c r="L22" s="611">
        <v>0</v>
      </c>
      <c r="M22" s="611">
        <v>0</v>
      </c>
      <c r="N22" s="616">
        <f>+AK22-SUM(K22:M22)</f>
        <v>0</v>
      </c>
      <c r="O22" s="611">
        <v>0</v>
      </c>
      <c r="P22" s="611">
        <v>0</v>
      </c>
      <c r="Q22" s="611">
        <v>0</v>
      </c>
      <c r="R22" s="616">
        <v>0</v>
      </c>
      <c r="S22" s="611">
        <v>0</v>
      </c>
      <c r="T22" s="611">
        <v>0</v>
      </c>
      <c r="U22" s="611">
        <v>0</v>
      </c>
      <c r="V22" s="616">
        <v>0</v>
      </c>
      <c r="W22" s="611">
        <v>0</v>
      </c>
      <c r="X22" s="611">
        <v>0</v>
      </c>
      <c r="Y22" s="611">
        <v>0</v>
      </c>
      <c r="Z22" s="611"/>
      <c r="AA22" s="611"/>
      <c r="AB22" s="611"/>
      <c r="AC22" s="611"/>
      <c r="AD22" s="611"/>
      <c r="AE22" s="611"/>
      <c r="AF22" s="611"/>
      <c r="AG22" s="611"/>
      <c r="AH22" s="611"/>
      <c r="AI22" s="611">
        <v>0</v>
      </c>
      <c r="AJ22" s="611">
        <f>9.423+22.37</f>
        <v>31.792999999999999</v>
      </c>
      <c r="AK22" s="611">
        <v>0</v>
      </c>
      <c r="AL22" s="611">
        <f>SUM(O22:R22)</f>
        <v>0</v>
      </c>
      <c r="AM22" s="611">
        <f>SUM(S22:V22)</f>
        <v>0</v>
      </c>
      <c r="AN22" s="583"/>
      <c r="AO22" s="571"/>
    </row>
    <row r="23" spans="1:41" s="413" customFormat="1" ht="14" x14ac:dyDescent="0.4">
      <c r="A23" s="132" t="str">
        <f>+Daloopa!A106</f>
        <v>Loss on extinguishment of debt</v>
      </c>
      <c r="C23" s="612"/>
      <c r="D23" s="612"/>
      <c r="E23" s="612"/>
      <c r="F23" s="617"/>
      <c r="G23" s="612">
        <f>+AJ23-SUM(H23:J23)</f>
        <v>10.532999999999999</v>
      </c>
      <c r="H23" s="612">
        <v>0</v>
      </c>
      <c r="I23" s="612">
        <v>0</v>
      </c>
      <c r="J23" s="617">
        <v>0</v>
      </c>
      <c r="K23" s="612">
        <v>13.938000000000001</v>
      </c>
      <c r="L23" s="612">
        <v>0</v>
      </c>
      <c r="M23" s="612">
        <v>0</v>
      </c>
      <c r="N23" s="617">
        <f>+AK23-SUM(K23:M23)</f>
        <v>0</v>
      </c>
      <c r="O23" s="612">
        <v>0</v>
      </c>
      <c r="P23" s="612">
        <v>0</v>
      </c>
      <c r="Q23" s="612">
        <v>0</v>
      </c>
      <c r="R23" s="617">
        <v>0</v>
      </c>
      <c r="S23" s="612">
        <v>0</v>
      </c>
      <c r="T23" s="612">
        <v>0</v>
      </c>
      <c r="U23" s="612">
        <v>0</v>
      </c>
      <c r="V23" s="617">
        <v>0</v>
      </c>
      <c r="W23" s="612">
        <v>0</v>
      </c>
      <c r="X23" s="612">
        <v>0</v>
      </c>
      <c r="Y23" s="612">
        <v>0</v>
      </c>
      <c r="Z23" s="612"/>
      <c r="AA23" s="612"/>
      <c r="AB23" s="612"/>
      <c r="AC23" s="612"/>
      <c r="AD23" s="612"/>
      <c r="AE23" s="612"/>
      <c r="AF23" s="612"/>
      <c r="AG23" s="612"/>
      <c r="AH23" s="612"/>
      <c r="AI23" s="612">
        <v>0</v>
      </c>
      <c r="AJ23" s="612">
        <v>10.532999999999999</v>
      </c>
      <c r="AK23" s="612">
        <v>13.938000000000001</v>
      </c>
      <c r="AL23" s="612">
        <f>SUM(O23:R23)</f>
        <v>0</v>
      </c>
      <c r="AM23" s="612">
        <f>SUM(S23:V23)</f>
        <v>0</v>
      </c>
      <c r="AN23" s="719"/>
      <c r="AO23" s="614"/>
    </row>
    <row r="24" spans="1:41" x14ac:dyDescent="0.25">
      <c r="A24" s="425" t="str">
        <f>+Daloopa!A107</f>
        <v>Total other (income) expense</v>
      </c>
      <c r="C24" s="611">
        <f>+Daloopa!C107/1000</f>
        <v>13.023</v>
      </c>
      <c r="D24" s="611">
        <f>+Daloopa!D107/1000</f>
        <v>12.829000000000001</v>
      </c>
      <c r="E24" s="611">
        <f>+Daloopa!E107/1000</f>
        <v>12.757999999999999</v>
      </c>
      <c r="F24" s="616">
        <f>+Daloopa!F107/1000</f>
        <v>12.409000000000001</v>
      </c>
      <c r="G24" s="611">
        <f t="shared" ref="G24:T24" si="4">+SUM(G21:G23)</f>
        <v>59.645000000000003</v>
      </c>
      <c r="H24" s="611">
        <f t="shared" si="4"/>
        <v>13.663</v>
      </c>
      <c r="I24" s="611">
        <f t="shared" si="4"/>
        <v>11.629999999999999</v>
      </c>
      <c r="J24" s="616">
        <f t="shared" si="4"/>
        <v>9.261000000000001</v>
      </c>
      <c r="K24" s="611">
        <f t="shared" si="4"/>
        <v>20.655000000000001</v>
      </c>
      <c r="L24" s="611">
        <f t="shared" si="4"/>
        <v>10.452</v>
      </c>
      <c r="M24" s="611">
        <f t="shared" si="4"/>
        <v>4.7060000000000004</v>
      </c>
      <c r="N24" s="616">
        <f t="shared" si="4"/>
        <v>3.0970000000000013</v>
      </c>
      <c r="O24" s="611">
        <f t="shared" si="4"/>
        <v>-0.85</v>
      </c>
      <c r="P24" s="611">
        <f t="shared" si="4"/>
        <v>3.1120000000000001</v>
      </c>
      <c r="Q24" s="611">
        <f t="shared" si="4"/>
        <v>1.74</v>
      </c>
      <c r="R24" s="616">
        <f t="shared" si="4"/>
        <v>5.1970000000000001</v>
      </c>
      <c r="S24" s="611">
        <f t="shared" si="4"/>
        <v>8.6809999999999992</v>
      </c>
      <c r="T24" s="611">
        <f t="shared" si="4"/>
        <v>3.887</v>
      </c>
      <c r="U24" s="611">
        <f t="shared" ref="U24:Y24" si="5">+SUM(U21:U23)</f>
        <v>7.5570000000000004</v>
      </c>
      <c r="V24" s="616">
        <f t="shared" si="5"/>
        <v>12.914999999999999</v>
      </c>
      <c r="W24" s="611">
        <f t="shared" si="5"/>
        <v>3.57</v>
      </c>
      <c r="X24" s="611">
        <f t="shared" si="5"/>
        <v>7.3529999999999998</v>
      </c>
      <c r="Y24" s="611">
        <f t="shared" si="5"/>
        <v>17.190999999999999</v>
      </c>
      <c r="Z24" s="611"/>
      <c r="AA24" s="611"/>
      <c r="AB24" s="611"/>
      <c r="AC24" s="611"/>
      <c r="AD24" s="611"/>
      <c r="AE24" s="611"/>
      <c r="AF24" s="611"/>
      <c r="AG24" s="611"/>
      <c r="AH24" s="611"/>
      <c r="AI24" s="611">
        <f t="shared" ref="AI24:AK24" si="6">+SUM(AI21:AI23)</f>
        <v>51.018999999999998</v>
      </c>
      <c r="AJ24" s="611">
        <f t="shared" si="6"/>
        <v>94.198999999999998</v>
      </c>
      <c r="AK24" s="611">
        <f t="shared" si="6"/>
        <v>38.910000000000004</v>
      </c>
      <c r="AL24" s="611">
        <f>SUM(O24:R24)</f>
        <v>9.1989999999999998</v>
      </c>
      <c r="AM24" s="611">
        <f>SUM(S24:V24)</f>
        <v>33.04</v>
      </c>
      <c r="AN24" s="583"/>
      <c r="AO24" s="571"/>
    </row>
    <row r="25" spans="1:41" x14ac:dyDescent="0.25">
      <c r="C25" s="568"/>
      <c r="D25" s="568"/>
      <c r="E25" s="568"/>
      <c r="F25" s="588"/>
      <c r="G25" s="568"/>
      <c r="H25" s="568"/>
      <c r="I25" s="568"/>
      <c r="J25" s="588"/>
      <c r="K25" s="583"/>
      <c r="L25" s="583"/>
      <c r="M25" s="583"/>
      <c r="N25" s="588"/>
      <c r="O25" s="568"/>
      <c r="P25" s="568"/>
      <c r="Q25" s="568"/>
      <c r="R25" s="588"/>
      <c r="S25" s="568"/>
      <c r="T25" s="568"/>
      <c r="U25" s="568"/>
      <c r="V25" s="588"/>
      <c r="W25" s="568"/>
      <c r="X25" s="583"/>
      <c r="Y25" s="583"/>
      <c r="Z25" s="583"/>
      <c r="AA25" s="583"/>
      <c r="AB25" s="583"/>
      <c r="AC25" s="583"/>
      <c r="AD25" s="583"/>
      <c r="AE25" s="583"/>
      <c r="AF25" s="583"/>
      <c r="AG25" s="583"/>
      <c r="AH25" s="583"/>
      <c r="AI25" s="568"/>
      <c r="AJ25" s="568"/>
      <c r="AK25" s="568"/>
      <c r="AL25" s="568"/>
      <c r="AM25" s="568"/>
      <c r="AN25" s="583"/>
      <c r="AO25" s="571"/>
    </row>
    <row r="26" spans="1:41" x14ac:dyDescent="0.25">
      <c r="A26" s="132" t="str">
        <f>+Daloopa!A109</f>
        <v>Income (loss) before provision for income taxes</v>
      </c>
      <c r="C26" s="611">
        <f t="shared" ref="C26:F26" si="7">+C18-C24</f>
        <v>4.097999999999999</v>
      </c>
      <c r="D26" s="611">
        <f t="shared" si="7"/>
        <v>12.904</v>
      </c>
      <c r="E26" s="611">
        <f t="shared" si="7"/>
        <v>13.759</v>
      </c>
      <c r="F26" s="616">
        <f t="shared" si="7"/>
        <v>10.386999999999999</v>
      </c>
      <c r="G26" s="611">
        <f t="shared" ref="G26:Y26" si="8">+G18-G24</f>
        <v>-62.030000000000022</v>
      </c>
      <c r="H26" s="611">
        <f t="shared" si="8"/>
        <v>-19.865000000000013</v>
      </c>
      <c r="I26" s="611">
        <f t="shared" si="8"/>
        <v>-6.3410000000000117</v>
      </c>
      <c r="J26" s="616">
        <f t="shared" si="8"/>
        <v>-5.9069999999999876</v>
      </c>
      <c r="K26" s="611">
        <f t="shared" si="8"/>
        <v>-23.824000000000012</v>
      </c>
      <c r="L26" s="611">
        <f t="shared" si="8"/>
        <v>6.8329999999999966</v>
      </c>
      <c r="M26" s="611">
        <f t="shared" si="8"/>
        <v>19.682000000000006</v>
      </c>
      <c r="N26" s="616">
        <f t="shared" si="8"/>
        <v>22.222000000000016</v>
      </c>
      <c r="O26" s="611">
        <f t="shared" si="8"/>
        <v>17.948000000000015</v>
      </c>
      <c r="P26" s="611">
        <f t="shared" si="8"/>
        <v>19.667999999999999</v>
      </c>
      <c r="Q26" s="611">
        <f t="shared" si="8"/>
        <v>23.917999999999989</v>
      </c>
      <c r="R26" s="616">
        <f t="shared" si="8"/>
        <v>23.544999999999991</v>
      </c>
      <c r="S26" s="611">
        <f t="shared" si="8"/>
        <v>2.606000000000007</v>
      </c>
      <c r="T26" s="611">
        <f t="shared" si="8"/>
        <v>13.75</v>
      </c>
      <c r="U26" s="611">
        <v>15.654</v>
      </c>
      <c r="V26" s="616">
        <f t="shared" si="8"/>
        <v>16.46600000000003</v>
      </c>
      <c r="W26" s="611">
        <f t="shared" si="8"/>
        <v>-4.3560000000000016</v>
      </c>
      <c r="X26" s="611">
        <f t="shared" si="8"/>
        <v>2.551999999999973</v>
      </c>
      <c r="Y26" s="611">
        <f t="shared" si="8"/>
        <v>-8.0780000000000278</v>
      </c>
      <c r="Z26" s="611"/>
      <c r="AA26" s="611"/>
      <c r="AB26" s="611"/>
      <c r="AC26" s="611"/>
      <c r="AD26" s="611"/>
      <c r="AE26" s="611"/>
      <c r="AF26" s="611"/>
      <c r="AG26" s="611"/>
      <c r="AH26" s="611"/>
      <c r="AI26" s="611">
        <f t="shared" ref="AI26:AK26" si="9">+AI18-AI24</f>
        <v>41.148000000000032</v>
      </c>
      <c r="AJ26" s="611">
        <f t="shared" si="9"/>
        <v>-94.142999999999958</v>
      </c>
      <c r="AK26" s="611">
        <f t="shared" si="9"/>
        <v>24.912999999999975</v>
      </c>
      <c r="AL26" s="611">
        <f>SUM(O26:R26)</f>
        <v>85.078999999999994</v>
      </c>
      <c r="AM26" s="611">
        <f t="shared" ref="AM26:AM31" si="10">SUM(S26:V26)</f>
        <v>48.476000000000035</v>
      </c>
      <c r="AN26" s="583"/>
      <c r="AO26" s="571"/>
    </row>
    <row r="27" spans="1:41" s="413" customFormat="1" ht="14" x14ac:dyDescent="0.4">
      <c r="A27" s="132" t="str">
        <f>+Daloopa!A111</f>
        <v>Provision for income taxes</v>
      </c>
      <c r="C27" s="612">
        <f>+Daloopa!C111/1000</f>
        <v>0.90200000000000002</v>
      </c>
      <c r="D27" s="612">
        <f>+Daloopa!D111/1000</f>
        <v>2.1840000000000002</v>
      </c>
      <c r="E27" s="612">
        <f>+Daloopa!E111/1000</f>
        <v>2.1720000000000002</v>
      </c>
      <c r="F27" s="617">
        <f>+Daloopa!F111/1000</f>
        <v>1.64</v>
      </c>
      <c r="G27" s="612">
        <f>+AJ27-SUM(H27:J27)</f>
        <v>-5.7910000000000013</v>
      </c>
      <c r="H27" s="612">
        <v>-3.4990000000000001</v>
      </c>
      <c r="I27" s="612">
        <v>-2.8889999999999998</v>
      </c>
      <c r="J27" s="617">
        <v>-4.7E-2</v>
      </c>
      <c r="K27" s="612">
        <v>-4.4349999999999996</v>
      </c>
      <c r="L27" s="612">
        <v>3.0630000000000002</v>
      </c>
      <c r="M27" s="612">
        <v>3.3969999999999998</v>
      </c>
      <c r="N27" s="617">
        <f>+AK27-SUM(K27:M27)</f>
        <v>6.8369999999999997</v>
      </c>
      <c r="O27" s="612">
        <v>4.9349999999999996</v>
      </c>
      <c r="P27" s="612">
        <v>5.4320000000000004</v>
      </c>
      <c r="Q27" s="612">
        <v>6.7089999999999996</v>
      </c>
      <c r="R27" s="617">
        <v>3.399</v>
      </c>
      <c r="S27" s="612">
        <v>0.68100000000000005</v>
      </c>
      <c r="T27" s="612">
        <v>3.968</v>
      </c>
      <c r="U27" s="612">
        <v>4.8810000000000002</v>
      </c>
      <c r="V27" s="617">
        <v>1.653</v>
      </c>
      <c r="W27" s="612">
        <v>-1.3879999999999999</v>
      </c>
      <c r="X27" s="612">
        <v>0.68899999999999995</v>
      </c>
      <c r="Y27" s="612">
        <v>0.78200000000000003</v>
      </c>
      <c r="Z27" s="612"/>
      <c r="AA27" s="612"/>
      <c r="AB27" s="612"/>
      <c r="AC27" s="612"/>
      <c r="AD27" s="612"/>
      <c r="AE27" s="612"/>
      <c r="AF27" s="612"/>
      <c r="AG27" s="612"/>
      <c r="AH27" s="612"/>
      <c r="AI27" s="612">
        <f>+Daloopa!R111/1000</f>
        <v>6.8979999999999997</v>
      </c>
      <c r="AJ27" s="612">
        <f>-11.355-0.871</f>
        <v>-12.226000000000001</v>
      </c>
      <c r="AK27" s="612">
        <v>8.8620000000000001</v>
      </c>
      <c r="AL27" s="612">
        <f>SUM(O27:R27)</f>
        <v>20.475000000000001</v>
      </c>
      <c r="AM27" s="612">
        <f t="shared" si="10"/>
        <v>11.183000000000002</v>
      </c>
      <c r="AN27" s="719"/>
      <c r="AO27" s="614"/>
    </row>
    <row r="28" spans="1:41" x14ac:dyDescent="0.25">
      <c r="A28" s="425" t="str">
        <f>+Daloopa!A112</f>
        <v>Net income (loss)</v>
      </c>
      <c r="C28" s="611">
        <f t="shared" ref="C28:Y28" si="11">+C26-C27</f>
        <v>3.1959999999999988</v>
      </c>
      <c r="D28" s="611">
        <f t="shared" si="11"/>
        <v>10.719999999999999</v>
      </c>
      <c r="E28" s="611">
        <f t="shared" si="11"/>
        <v>11.587</v>
      </c>
      <c r="F28" s="616">
        <f t="shared" si="11"/>
        <v>8.7469999999999981</v>
      </c>
      <c r="G28" s="611">
        <f t="shared" si="11"/>
        <v>-56.239000000000019</v>
      </c>
      <c r="H28" s="611">
        <f t="shared" si="11"/>
        <v>-16.366000000000014</v>
      </c>
      <c r="I28" s="611">
        <f t="shared" si="11"/>
        <v>-3.4520000000000119</v>
      </c>
      <c r="J28" s="616">
        <f t="shared" si="11"/>
        <v>-5.8599999999999879</v>
      </c>
      <c r="K28" s="611">
        <f t="shared" si="11"/>
        <v>-19.389000000000014</v>
      </c>
      <c r="L28" s="611">
        <f t="shared" si="11"/>
        <v>3.7699999999999965</v>
      </c>
      <c r="M28" s="611">
        <f t="shared" si="11"/>
        <v>16.285000000000007</v>
      </c>
      <c r="N28" s="616">
        <f t="shared" si="11"/>
        <v>15.385000000000016</v>
      </c>
      <c r="O28" s="611">
        <f t="shared" si="11"/>
        <v>13.013000000000016</v>
      </c>
      <c r="P28" s="611">
        <f t="shared" si="11"/>
        <v>14.235999999999999</v>
      </c>
      <c r="Q28" s="611">
        <f t="shared" si="11"/>
        <v>17.208999999999989</v>
      </c>
      <c r="R28" s="616">
        <f t="shared" si="11"/>
        <v>20.14599999999999</v>
      </c>
      <c r="S28" s="611">
        <f t="shared" si="11"/>
        <v>1.9250000000000069</v>
      </c>
      <c r="T28" s="611">
        <f t="shared" si="11"/>
        <v>9.782</v>
      </c>
      <c r="U28" s="611">
        <f t="shared" si="11"/>
        <v>10.773</v>
      </c>
      <c r="V28" s="616">
        <f t="shared" si="11"/>
        <v>14.813000000000029</v>
      </c>
      <c r="W28" s="611">
        <f t="shared" si="11"/>
        <v>-2.9680000000000017</v>
      </c>
      <c r="X28" s="611">
        <f t="shared" si="11"/>
        <v>1.8629999999999729</v>
      </c>
      <c r="Y28" s="611">
        <f t="shared" si="11"/>
        <v>-8.8600000000000279</v>
      </c>
      <c r="Z28" s="611"/>
      <c r="AA28" s="611"/>
      <c r="AB28" s="611"/>
      <c r="AC28" s="611"/>
      <c r="AD28" s="611"/>
      <c r="AE28" s="611"/>
      <c r="AF28" s="611"/>
      <c r="AG28" s="611"/>
      <c r="AH28" s="611"/>
      <c r="AI28" s="611">
        <f>+AI26-AI27</f>
        <v>34.250000000000028</v>
      </c>
      <c r="AJ28" s="611">
        <f>+AJ26-AJ27</f>
        <v>-81.916999999999959</v>
      </c>
      <c r="AK28" s="611">
        <f>+AK26-AK27</f>
        <v>16.050999999999974</v>
      </c>
      <c r="AL28" s="611">
        <f>SUM(O28:R28)</f>
        <v>64.603999999999999</v>
      </c>
      <c r="AM28" s="611">
        <f t="shared" si="10"/>
        <v>37.293000000000035</v>
      </c>
      <c r="AN28" s="583"/>
      <c r="AO28" s="571"/>
    </row>
    <row r="29" spans="1:41" x14ac:dyDescent="0.25">
      <c r="C29" s="568"/>
      <c r="D29" s="568"/>
      <c r="E29" s="568"/>
      <c r="F29" s="588"/>
      <c r="G29" s="568"/>
      <c r="H29" s="568"/>
      <c r="I29" s="568"/>
      <c r="J29" s="588"/>
      <c r="K29" s="583"/>
      <c r="L29" s="583"/>
      <c r="M29" s="583"/>
      <c r="N29" s="588"/>
      <c r="O29" s="568"/>
      <c r="P29" s="568"/>
      <c r="Q29" s="568"/>
      <c r="R29" s="588"/>
      <c r="S29" s="568"/>
      <c r="T29" s="568"/>
      <c r="U29" s="568"/>
      <c r="V29" s="588"/>
      <c r="W29" s="568"/>
      <c r="X29" s="583"/>
      <c r="Y29" s="583"/>
      <c r="Z29" s="583"/>
      <c r="AA29" s="583"/>
      <c r="AB29" s="583"/>
      <c r="AC29" s="583"/>
      <c r="AD29" s="583"/>
      <c r="AE29" s="583"/>
      <c r="AF29" s="583"/>
      <c r="AG29" s="583"/>
      <c r="AH29" s="583"/>
      <c r="AI29" s="568"/>
      <c r="AJ29" s="568"/>
      <c r="AK29" s="568"/>
      <c r="AL29" s="568"/>
      <c r="AM29" s="568">
        <f t="shared" si="10"/>
        <v>0</v>
      </c>
      <c r="AN29" s="583"/>
      <c r="AO29" s="571"/>
    </row>
    <row r="30" spans="1:41" s="565" customFormat="1" x14ac:dyDescent="0.25">
      <c r="A30" s="132" t="str">
        <f>+Daloopa!A114</f>
        <v>Foreign currency translation (loss) income</v>
      </c>
      <c r="C30" s="589">
        <v>0</v>
      </c>
      <c r="D30" s="589">
        <v>0</v>
      </c>
      <c r="E30" s="589">
        <v>0</v>
      </c>
      <c r="F30" s="590">
        <v>0</v>
      </c>
      <c r="G30" s="589">
        <f>+AJ30-SUM(H30:J30)</f>
        <v>-8.6900000000000013</v>
      </c>
      <c r="H30" s="589">
        <v>0.48599999999999999</v>
      </c>
      <c r="I30" s="589">
        <v>7.0090000000000003</v>
      </c>
      <c r="J30" s="590">
        <v>3.6480000000000001</v>
      </c>
      <c r="K30" s="591">
        <v>2.76</v>
      </c>
      <c r="L30" s="591">
        <v>-1.2949999999999999</v>
      </c>
      <c r="M30" s="591">
        <v>-3.0590000000000002</v>
      </c>
      <c r="N30" s="590">
        <f>+AK30-SUM(K30:M30)</f>
        <v>-2.5270000000000001</v>
      </c>
      <c r="O30" s="589">
        <v>-1.5169999999999999</v>
      </c>
      <c r="P30" s="589">
        <v>-11.319000000000001</v>
      </c>
      <c r="Q30" s="589">
        <f>+-20.694-R30-P30-O30</f>
        <v>-10.252999999999998</v>
      </c>
      <c r="R30" s="590">
        <v>2.395</v>
      </c>
      <c r="S30" s="589">
        <v>0.86899999999999999</v>
      </c>
      <c r="T30" s="589">
        <v>0.218</v>
      </c>
      <c r="U30" s="589">
        <v>-1.61</v>
      </c>
      <c r="V30" s="590">
        <v>1.6970000000000001</v>
      </c>
      <c r="W30" s="589">
        <v>-1.7729999999999999</v>
      </c>
      <c r="X30" s="591">
        <v>-1.298</v>
      </c>
      <c r="Y30" s="591">
        <v>5.5309999999999997</v>
      </c>
      <c r="Z30" s="591"/>
      <c r="AA30" s="591"/>
      <c r="AB30" s="591"/>
      <c r="AC30" s="591"/>
      <c r="AD30" s="591"/>
      <c r="AE30" s="591"/>
      <c r="AF30" s="591"/>
      <c r="AG30" s="591"/>
      <c r="AH30" s="591"/>
      <c r="AI30" s="589">
        <f>+Daloopa!R114/1000</f>
        <v>-0.34100000000000003</v>
      </c>
      <c r="AJ30" s="589">
        <f>2.484+-0.031</f>
        <v>2.4529999999999998</v>
      </c>
      <c r="AK30" s="589">
        <v>-4.1210000000000004</v>
      </c>
      <c r="AL30" s="589">
        <f>SUM(O30:R30)</f>
        <v>-20.693999999999999</v>
      </c>
      <c r="AM30" s="589">
        <f t="shared" si="10"/>
        <v>1.1739999999999999</v>
      </c>
      <c r="AN30" s="591"/>
      <c r="AO30" s="572"/>
    </row>
    <row r="31" spans="1:41" x14ac:dyDescent="0.25">
      <c r="A31" s="425" t="str">
        <f>+Daloopa!A115</f>
        <v>Comprehensive income (loss)</v>
      </c>
      <c r="C31" s="568">
        <f t="shared" ref="C31:F31" si="12">+C30+C28</f>
        <v>3.1959999999999988</v>
      </c>
      <c r="D31" s="568">
        <f t="shared" si="12"/>
        <v>10.719999999999999</v>
      </c>
      <c r="E31" s="568">
        <f t="shared" si="12"/>
        <v>11.587</v>
      </c>
      <c r="F31" s="588">
        <f t="shared" si="12"/>
        <v>8.7469999999999981</v>
      </c>
      <c r="G31" s="568">
        <f t="shared" ref="G31:O31" si="13">+G30+G28</f>
        <v>-64.929000000000016</v>
      </c>
      <c r="H31" s="568">
        <f t="shared" si="13"/>
        <v>-15.880000000000013</v>
      </c>
      <c r="I31" s="568">
        <f t="shared" si="13"/>
        <v>3.5569999999999884</v>
      </c>
      <c r="J31" s="588">
        <f t="shared" si="13"/>
        <v>-2.2119999999999878</v>
      </c>
      <c r="K31" s="583">
        <f t="shared" si="13"/>
        <v>-16.629000000000012</v>
      </c>
      <c r="L31" s="583">
        <f t="shared" si="13"/>
        <v>2.4749999999999965</v>
      </c>
      <c r="M31" s="583">
        <f t="shared" si="13"/>
        <v>13.226000000000006</v>
      </c>
      <c r="N31" s="588">
        <f t="shared" si="13"/>
        <v>12.858000000000015</v>
      </c>
      <c r="O31" s="568">
        <f t="shared" si="13"/>
        <v>11.496000000000016</v>
      </c>
      <c r="P31" s="568">
        <f>+P30+P28</f>
        <v>2.916999999999998</v>
      </c>
      <c r="Q31" s="568">
        <f t="shared" ref="Q31:T31" si="14">+Q30+Q28</f>
        <v>6.9559999999999906</v>
      </c>
      <c r="R31" s="588">
        <f t="shared" si="14"/>
        <v>22.54099999999999</v>
      </c>
      <c r="S31" s="568">
        <f t="shared" si="14"/>
        <v>2.7940000000000067</v>
      </c>
      <c r="T31" s="568">
        <f t="shared" si="14"/>
        <v>10</v>
      </c>
      <c r="U31" s="568">
        <f t="shared" ref="U31:Y31" si="15">+U30+U28</f>
        <v>9.1630000000000003</v>
      </c>
      <c r="V31" s="588">
        <f t="shared" si="15"/>
        <v>16.51000000000003</v>
      </c>
      <c r="W31" s="568">
        <f t="shared" si="15"/>
        <v>-4.7410000000000014</v>
      </c>
      <c r="X31" s="568">
        <f t="shared" si="15"/>
        <v>0.56499999999997286</v>
      </c>
      <c r="Y31" s="568">
        <f t="shared" si="15"/>
        <v>-3.3290000000000282</v>
      </c>
      <c r="Z31" s="583"/>
      <c r="AA31" s="583"/>
      <c r="AB31" s="583"/>
      <c r="AC31" s="583"/>
      <c r="AD31" s="583"/>
      <c r="AE31" s="583"/>
      <c r="AF31" s="583"/>
      <c r="AG31" s="583"/>
      <c r="AH31" s="583"/>
      <c r="AI31" s="568">
        <f t="shared" ref="AI31:AK31" si="16">+AI30+AI28</f>
        <v>33.909000000000027</v>
      </c>
      <c r="AJ31" s="568">
        <f t="shared" si="16"/>
        <v>-79.463999999999956</v>
      </c>
      <c r="AK31" s="568">
        <f t="shared" si="16"/>
        <v>11.929999999999973</v>
      </c>
      <c r="AL31" s="568">
        <f>SUM(O31:R31)</f>
        <v>43.91</v>
      </c>
      <c r="AM31" s="568">
        <f t="shared" si="10"/>
        <v>38.467000000000041</v>
      </c>
      <c r="AN31" s="583"/>
      <c r="AO31" s="571"/>
    </row>
    <row r="32" spans="1:41" x14ac:dyDescent="0.25">
      <c r="C32" s="568"/>
      <c r="D32" s="568"/>
      <c r="E32" s="568"/>
      <c r="F32" s="588"/>
      <c r="G32" s="568"/>
      <c r="H32" s="568"/>
      <c r="I32" s="568"/>
      <c r="J32" s="588"/>
      <c r="K32" s="583"/>
      <c r="L32" s="583"/>
      <c r="M32" s="583"/>
      <c r="N32" s="588"/>
      <c r="O32" s="568"/>
      <c r="P32" s="568"/>
      <c r="Q32" s="568"/>
      <c r="R32" s="588"/>
      <c r="S32" s="568"/>
      <c r="T32" s="568"/>
      <c r="U32" s="568"/>
      <c r="V32" s="588"/>
      <c r="W32" s="568"/>
      <c r="X32" s="583"/>
      <c r="Y32" s="583"/>
      <c r="Z32" s="583"/>
      <c r="AA32" s="583"/>
      <c r="AB32" s="583"/>
      <c r="AC32" s="583"/>
      <c r="AD32" s="583"/>
      <c r="AE32" s="583"/>
      <c r="AF32" s="583"/>
      <c r="AG32" s="583"/>
      <c r="AH32" s="583"/>
      <c r="AI32" s="568"/>
      <c r="AJ32" s="568"/>
      <c r="AK32" s="568"/>
      <c r="AL32" s="568"/>
      <c r="AM32" s="568"/>
      <c r="AN32" s="583"/>
      <c r="AO32" s="571"/>
    </row>
    <row r="33" spans="1:41" ht="13" outlineLevel="1" x14ac:dyDescent="0.3">
      <c r="A33" s="569" t="s">
        <v>338</v>
      </c>
      <c r="B33" s="570"/>
      <c r="C33" s="568"/>
      <c r="D33" s="568"/>
      <c r="E33" s="568"/>
      <c r="F33" s="588"/>
      <c r="G33" s="568"/>
      <c r="H33" s="568"/>
      <c r="I33" s="568"/>
      <c r="J33" s="588"/>
      <c r="K33" s="583"/>
      <c r="L33" s="583"/>
      <c r="M33" s="583"/>
      <c r="N33" s="588"/>
      <c r="O33" s="568"/>
      <c r="P33" s="568"/>
      <c r="Q33" s="568"/>
      <c r="R33" s="588"/>
      <c r="S33" s="568"/>
      <c r="T33" s="568"/>
      <c r="U33" s="568"/>
      <c r="V33" s="588"/>
      <c r="W33" s="568"/>
      <c r="X33" s="583"/>
      <c r="Y33" s="583"/>
      <c r="Z33" s="583"/>
      <c r="AA33" s="583"/>
      <c r="AB33" s="583"/>
      <c r="AC33" s="583"/>
      <c r="AD33" s="583"/>
      <c r="AE33" s="583"/>
      <c r="AF33" s="583"/>
      <c r="AG33" s="583"/>
      <c r="AH33" s="583"/>
      <c r="AI33" s="568"/>
      <c r="AJ33" s="568"/>
      <c r="AK33" s="568"/>
      <c r="AL33" s="568"/>
      <c r="AM33" s="568"/>
      <c r="AN33" s="583"/>
      <c r="AO33" s="571"/>
    </row>
    <row r="34" spans="1:41" outlineLevel="1" x14ac:dyDescent="0.25">
      <c r="C34" s="568"/>
      <c r="D34" s="568"/>
      <c r="E34" s="568"/>
      <c r="F34" s="588"/>
      <c r="G34" s="568"/>
      <c r="H34" s="568"/>
      <c r="I34" s="568"/>
      <c r="J34" s="588"/>
      <c r="K34" s="583"/>
      <c r="L34" s="583"/>
      <c r="M34" s="583"/>
      <c r="N34" s="588"/>
      <c r="O34" s="568"/>
      <c r="P34" s="568"/>
      <c r="Q34" s="568"/>
      <c r="R34" s="588"/>
      <c r="S34" s="568"/>
      <c r="T34" s="568"/>
      <c r="U34" s="568"/>
      <c r="V34" s="588"/>
      <c r="W34" s="568"/>
      <c r="X34" s="568"/>
      <c r="Y34" s="568"/>
      <c r="Z34" s="583"/>
      <c r="AA34" s="583"/>
      <c r="AB34" s="583"/>
      <c r="AC34" s="583"/>
      <c r="AD34" s="583"/>
      <c r="AE34" s="583"/>
      <c r="AF34" s="583"/>
      <c r="AG34" s="583"/>
      <c r="AH34" s="583"/>
      <c r="AI34" s="568"/>
      <c r="AJ34" s="568"/>
      <c r="AK34" s="568"/>
      <c r="AL34" s="568"/>
      <c r="AM34" s="568"/>
      <c r="AN34" s="583"/>
      <c r="AO34" s="571"/>
    </row>
    <row r="35" spans="1:41" outlineLevel="1" x14ac:dyDescent="0.25">
      <c r="A35" s="132" t="s">
        <v>28</v>
      </c>
      <c r="C35" s="568">
        <f t="shared" ref="C35:S35" si="17">+C9</f>
        <v>109.687</v>
      </c>
      <c r="D35" s="568">
        <f t="shared" si="17"/>
        <v>121.621</v>
      </c>
      <c r="E35" s="568">
        <f t="shared" si="17"/>
        <v>123.76900000000001</v>
      </c>
      <c r="F35" s="588">
        <f t="shared" si="17"/>
        <v>126.69</v>
      </c>
      <c r="G35" s="568">
        <f t="shared" si="17"/>
        <v>110.839</v>
      </c>
      <c r="H35" s="568">
        <f t="shared" si="17"/>
        <v>104.99299999999999</v>
      </c>
      <c r="I35" s="568">
        <f t="shared" si="17"/>
        <v>136.77799999999999</v>
      </c>
      <c r="J35" s="588">
        <f t="shared" si="17"/>
        <v>156.54400000000001</v>
      </c>
      <c r="K35" s="583">
        <f t="shared" si="17"/>
        <v>132.07</v>
      </c>
      <c r="L35" s="583">
        <f t="shared" si="17"/>
        <v>174.82599999999999</v>
      </c>
      <c r="M35" s="583">
        <f t="shared" si="17"/>
        <v>192.86699999999999</v>
      </c>
      <c r="N35" s="588">
        <f t="shared" si="17"/>
        <v>212.53200000000001</v>
      </c>
      <c r="O35" s="568">
        <f t="shared" si="17"/>
        <v>189.881</v>
      </c>
      <c r="P35" s="568">
        <f t="shared" si="17"/>
        <v>201.56100000000001</v>
      </c>
      <c r="Q35" s="568">
        <f t="shared" si="17"/>
        <v>205.98599999999999</v>
      </c>
      <c r="R35" s="588">
        <f t="shared" si="17"/>
        <v>212.595</v>
      </c>
      <c r="S35" s="568">
        <f t="shared" si="17"/>
        <v>175.52</v>
      </c>
      <c r="T35" s="568">
        <f t="shared" ref="T35:U35" si="18">+T9</f>
        <v>185.315</v>
      </c>
      <c r="U35" s="568">
        <f t="shared" si="18"/>
        <v>200.364</v>
      </c>
      <c r="V35" s="588">
        <f t="shared" ref="V35:W35" si="19">+V9</f>
        <v>202.56200000000001</v>
      </c>
      <c r="W35" s="568">
        <f t="shared" si="19"/>
        <v>169.416</v>
      </c>
      <c r="X35" s="568">
        <f t="shared" ref="X35:Y35" si="20">+X9</f>
        <v>184.548</v>
      </c>
      <c r="Y35" s="568">
        <f t="shared" si="20"/>
        <v>199.119</v>
      </c>
      <c r="Z35" s="583"/>
      <c r="AA35" s="583"/>
      <c r="AB35" s="583"/>
      <c r="AC35" s="583"/>
      <c r="AD35" s="583"/>
      <c r="AE35" s="583"/>
      <c r="AF35" s="583"/>
      <c r="AG35" s="583"/>
      <c r="AH35" s="583"/>
      <c r="AI35" s="568">
        <f>+AI9</f>
        <v>481.767</v>
      </c>
      <c r="AJ35" s="568">
        <f>+AJ9</f>
        <v>509.154</v>
      </c>
      <c r="AK35" s="568">
        <f>+AK9</f>
        <v>712.29499999999996</v>
      </c>
      <c r="AL35" s="568">
        <f>+AL9</f>
        <v>810.02300000000002</v>
      </c>
      <c r="AM35" s="568">
        <f t="shared" ref="AM35" si="21">+AM9</f>
        <v>763.76100000000008</v>
      </c>
      <c r="AN35" s="583"/>
      <c r="AO35" s="571"/>
    </row>
    <row r="36" spans="1:41" outlineLevel="1" x14ac:dyDescent="0.25">
      <c r="C36" s="568"/>
      <c r="D36" s="568"/>
      <c r="E36" s="568"/>
      <c r="F36" s="588"/>
      <c r="G36" s="568"/>
      <c r="H36" s="568"/>
      <c r="I36" s="568"/>
      <c r="J36" s="588"/>
      <c r="K36" s="583"/>
      <c r="L36" s="583"/>
      <c r="M36" s="583"/>
      <c r="N36" s="588"/>
      <c r="O36" s="568"/>
      <c r="P36" s="568"/>
      <c r="Q36" s="568"/>
      <c r="R36" s="588"/>
      <c r="S36" s="568"/>
      <c r="T36" s="568"/>
      <c r="U36" s="568"/>
      <c r="V36" s="588"/>
      <c r="W36" s="568"/>
      <c r="X36" s="568"/>
      <c r="Y36" s="568"/>
      <c r="Z36" s="583"/>
      <c r="AA36" s="583"/>
      <c r="AB36" s="583"/>
      <c r="AC36" s="583"/>
      <c r="AD36" s="583"/>
      <c r="AE36" s="583"/>
      <c r="AF36" s="583"/>
      <c r="AG36" s="583"/>
      <c r="AH36" s="583"/>
      <c r="AI36" s="568"/>
      <c r="AJ36" s="568"/>
      <c r="AK36" s="568"/>
      <c r="AL36" s="568"/>
      <c r="AM36" s="568"/>
      <c r="AN36" s="583"/>
      <c r="AO36" s="571"/>
    </row>
    <row r="37" spans="1:41" outlineLevel="1" x14ac:dyDescent="0.25">
      <c r="A37" s="565" t="s">
        <v>339</v>
      </c>
      <c r="C37" s="568"/>
      <c r="D37" s="568"/>
      <c r="E37" s="568"/>
      <c r="F37" s="588"/>
      <c r="G37" s="568"/>
      <c r="H37" s="568"/>
      <c r="I37" s="568"/>
      <c r="J37" s="588"/>
      <c r="K37" s="583"/>
      <c r="L37" s="583"/>
      <c r="M37" s="583"/>
      <c r="N37" s="588"/>
      <c r="O37" s="568"/>
      <c r="P37" s="568"/>
      <c r="Q37" s="568"/>
      <c r="R37" s="588"/>
      <c r="S37" s="568"/>
      <c r="T37" s="568"/>
      <c r="U37" s="568"/>
      <c r="V37" s="588"/>
      <c r="W37" s="568"/>
      <c r="X37" s="568"/>
      <c r="Y37" s="568"/>
      <c r="Z37" s="583"/>
      <c r="AA37" s="583"/>
      <c r="AB37" s="583"/>
      <c r="AC37" s="583"/>
      <c r="AD37" s="583"/>
      <c r="AE37" s="583"/>
      <c r="AF37" s="583"/>
      <c r="AG37" s="583"/>
      <c r="AH37" s="583"/>
      <c r="AI37" s="568"/>
      <c r="AJ37" s="568"/>
      <c r="AK37" s="568"/>
      <c r="AL37" s="568"/>
      <c r="AM37" s="568"/>
      <c r="AN37" s="583"/>
      <c r="AO37" s="571"/>
    </row>
    <row r="38" spans="1:41" outlineLevel="1" x14ac:dyDescent="0.25">
      <c r="A38" s="132" t="s">
        <v>340</v>
      </c>
      <c r="C38" s="568"/>
      <c r="D38" s="568"/>
      <c r="E38" s="568"/>
      <c r="F38" s="588"/>
      <c r="G38" s="568">
        <f t="shared" ref="G38:S38" si="22">+G12-G61</f>
        <v>56.910000000000018</v>
      </c>
      <c r="H38" s="568">
        <f t="shared" si="22"/>
        <v>52.378</v>
      </c>
      <c r="I38" s="568">
        <f t="shared" si="22"/>
        <v>67.454999999999998</v>
      </c>
      <c r="J38" s="588">
        <f t="shared" si="22"/>
        <v>83.552999999999997</v>
      </c>
      <c r="K38" s="583">
        <f t="shared" si="22"/>
        <v>65.911999999999992</v>
      </c>
      <c r="L38" s="583">
        <f t="shared" si="22"/>
        <v>84.826999999999998</v>
      </c>
      <c r="M38" s="583">
        <f t="shared" si="22"/>
        <v>94.147999999999996</v>
      </c>
      <c r="N38" s="588">
        <f t="shared" si="22"/>
        <v>107.12</v>
      </c>
      <c r="O38" s="568">
        <f t="shared" si="22"/>
        <v>96.156999999999996</v>
      </c>
      <c r="P38" s="568">
        <f t="shared" si="22"/>
        <v>100.015</v>
      </c>
      <c r="Q38" s="568">
        <f t="shared" si="22"/>
        <v>104.008</v>
      </c>
      <c r="R38" s="588">
        <f t="shared" si="22"/>
        <v>107.645</v>
      </c>
      <c r="S38" s="568">
        <f t="shared" si="22"/>
        <v>90.786000000000001</v>
      </c>
      <c r="T38" s="568">
        <f t="shared" ref="T38:U38" si="23">+T12-T61</f>
        <v>92.683999999999997</v>
      </c>
      <c r="U38" s="568">
        <f t="shared" si="23"/>
        <v>101.08</v>
      </c>
      <c r="V38" s="588">
        <f t="shared" ref="V38:W38" si="24">+V12-V61</f>
        <v>100.94799999999999</v>
      </c>
      <c r="W38" s="568">
        <f t="shared" si="24"/>
        <v>86.834999999999994</v>
      </c>
      <c r="X38" s="568">
        <f t="shared" ref="X38:Y38" si="25">+X12-X61</f>
        <v>91.938000000000002</v>
      </c>
      <c r="Y38" s="568">
        <f t="shared" si="25"/>
        <v>100.465</v>
      </c>
      <c r="Z38" s="583"/>
      <c r="AA38" s="583"/>
      <c r="AB38" s="583"/>
      <c r="AC38" s="583"/>
      <c r="AD38" s="583"/>
      <c r="AE38" s="583"/>
      <c r="AF38" s="583"/>
      <c r="AG38" s="583"/>
      <c r="AH38" s="583"/>
      <c r="AI38" s="568">
        <f t="shared" ref="AI38:AL39" si="26">+AI12-AI61</f>
        <v>245.15300000000002</v>
      </c>
      <c r="AJ38" s="568">
        <f t="shared" si="26"/>
        <v>260.29600000000005</v>
      </c>
      <c r="AK38" s="568">
        <f t="shared" si="26"/>
        <v>352.00700000000001</v>
      </c>
      <c r="AL38" s="568">
        <f t="shared" si="26"/>
        <v>407.82499999999999</v>
      </c>
      <c r="AM38" s="568">
        <f t="shared" ref="AM38" si="27">+AM12-AM61</f>
        <v>385.49799999999993</v>
      </c>
      <c r="AN38" s="583"/>
      <c r="AO38" s="571"/>
    </row>
    <row r="39" spans="1:41" outlineLevel="1" x14ac:dyDescent="0.25">
      <c r="A39" s="132" t="s">
        <v>341</v>
      </c>
      <c r="C39" s="568"/>
      <c r="D39" s="568"/>
      <c r="E39" s="568"/>
      <c r="F39" s="588"/>
      <c r="G39" s="568">
        <f t="shared" ref="G39:S39" si="28">+G13-G62</f>
        <v>8.1080000000000023</v>
      </c>
      <c r="H39" s="568">
        <f t="shared" si="28"/>
        <v>7.1559999999999997</v>
      </c>
      <c r="I39" s="568">
        <f t="shared" si="28"/>
        <v>8.2929999999999993</v>
      </c>
      <c r="J39" s="588">
        <f t="shared" si="28"/>
        <v>11.654</v>
      </c>
      <c r="K39" s="583">
        <f t="shared" si="28"/>
        <v>10.499000000000001</v>
      </c>
      <c r="L39" s="583">
        <f t="shared" si="28"/>
        <v>11.613</v>
      </c>
      <c r="M39" s="583">
        <f t="shared" si="28"/>
        <v>11.258000000000001</v>
      </c>
      <c r="N39" s="588">
        <f t="shared" si="28"/>
        <v>11.678000000000001</v>
      </c>
      <c r="O39" s="568">
        <f t="shared" si="28"/>
        <v>13.568999999999999</v>
      </c>
      <c r="P39" s="568">
        <f t="shared" si="28"/>
        <v>12.634</v>
      </c>
      <c r="Q39" s="568">
        <f t="shared" si="28"/>
        <v>12.848000000000001</v>
      </c>
      <c r="R39" s="588">
        <f t="shared" si="28"/>
        <v>11.529</v>
      </c>
      <c r="S39" s="568">
        <f t="shared" si="28"/>
        <v>12.167</v>
      </c>
      <c r="T39" s="568">
        <f t="shared" ref="T39:U39" si="29">+T13-T62</f>
        <v>12.075000000000001</v>
      </c>
      <c r="U39" s="568">
        <f t="shared" si="29"/>
        <v>12.466999999999999</v>
      </c>
      <c r="V39" s="588">
        <f t="shared" ref="V39:W39" si="30">+V13-V62</f>
        <v>10.308</v>
      </c>
      <c r="W39" s="568">
        <f t="shared" si="30"/>
        <v>11.811999999999999</v>
      </c>
      <c r="X39" s="568">
        <f t="shared" ref="X39:Y39" si="31">+X13-X62</f>
        <v>12.994</v>
      </c>
      <c r="Y39" s="568">
        <f t="shared" si="31"/>
        <v>12.206000000000001</v>
      </c>
      <c r="Z39" s="583"/>
      <c r="AA39" s="583"/>
      <c r="AB39" s="583"/>
      <c r="AC39" s="583"/>
      <c r="AD39" s="583"/>
      <c r="AE39" s="583"/>
      <c r="AF39" s="583"/>
      <c r="AG39" s="583"/>
      <c r="AH39" s="583"/>
      <c r="AI39" s="568">
        <f t="shared" si="26"/>
        <v>33.146999999999998</v>
      </c>
      <c r="AJ39" s="568">
        <f t="shared" si="26"/>
        <v>35.210999999999999</v>
      </c>
      <c r="AK39" s="568">
        <f t="shared" si="26"/>
        <v>45.047999999999995</v>
      </c>
      <c r="AL39" s="568">
        <f t="shared" si="26"/>
        <v>50.58</v>
      </c>
      <c r="AM39" s="568">
        <f t="shared" ref="AM39" si="32">+AM13-AM62</f>
        <v>47.017000000000003</v>
      </c>
      <c r="AN39" s="583"/>
      <c r="AO39" s="571"/>
    </row>
    <row r="40" spans="1:41" outlineLevel="1" x14ac:dyDescent="0.25">
      <c r="A40" s="132" t="s">
        <v>342</v>
      </c>
      <c r="C40" s="568"/>
      <c r="D40" s="568"/>
      <c r="E40" s="568"/>
      <c r="F40" s="588"/>
      <c r="G40" s="568">
        <f t="shared" ref="G40:S40" si="33">+G14-G63-G73-G74-G75+G22</f>
        <v>18.61</v>
      </c>
      <c r="H40" s="568">
        <f t="shared" si="33"/>
        <v>13.803999999999998</v>
      </c>
      <c r="I40" s="568">
        <f t="shared" si="33"/>
        <v>17.742999999999999</v>
      </c>
      <c r="J40" s="588">
        <f t="shared" si="33"/>
        <v>16.692</v>
      </c>
      <c r="K40" s="583">
        <f t="shared" si="33"/>
        <v>19.068999999999999</v>
      </c>
      <c r="L40" s="583">
        <f t="shared" si="33"/>
        <v>22.063999999999997</v>
      </c>
      <c r="M40" s="583">
        <f t="shared" si="33"/>
        <v>23.517000000000003</v>
      </c>
      <c r="N40" s="588">
        <f t="shared" si="33"/>
        <v>24.296000000000003</v>
      </c>
      <c r="O40" s="568">
        <f t="shared" si="33"/>
        <v>26.555</v>
      </c>
      <c r="P40" s="568">
        <f t="shared" si="33"/>
        <v>28.078000000000003</v>
      </c>
      <c r="Q40" s="568">
        <f t="shared" si="33"/>
        <v>24.941999999999997</v>
      </c>
      <c r="R40" s="588">
        <f t="shared" si="33"/>
        <v>23.133000000000003</v>
      </c>
      <c r="S40" s="568">
        <f t="shared" si="33"/>
        <v>24.006999999999998</v>
      </c>
      <c r="T40" s="568">
        <f t="shared" ref="T40:U40" si="34">+T14-T63-T73-T74-T75+T22</f>
        <v>24.585000000000001</v>
      </c>
      <c r="U40" s="568">
        <f t="shared" si="34"/>
        <v>22.025999999999996</v>
      </c>
      <c r="V40" s="588">
        <f t="shared" ref="V40:W40" si="35">+V14-V63-V73-V74-V75+V22</f>
        <v>23.071999999999999</v>
      </c>
      <c r="W40" s="568">
        <f t="shared" si="35"/>
        <v>24.210999999999995</v>
      </c>
      <c r="X40" s="568">
        <f t="shared" ref="X40" si="36">+X14-X63-X73-X74-X75+X22</f>
        <v>23.853000000000005</v>
      </c>
      <c r="Y40" s="568">
        <f>+Y14-Y63-Y73-Y74-Y75+Y22</f>
        <v>22.401999999999997</v>
      </c>
      <c r="Z40" s="583"/>
      <c r="AA40" s="583"/>
      <c r="AB40" s="583"/>
      <c r="AC40" s="583"/>
      <c r="AD40" s="583"/>
      <c r="AE40" s="583"/>
      <c r="AF40" s="583"/>
      <c r="AG40" s="583"/>
      <c r="AH40" s="583"/>
      <c r="AI40" s="568">
        <f>+AI14-AI63-AI73-AI74-AI75+AI22</f>
        <v>79.694000000000003</v>
      </c>
      <c r="AJ40" s="568">
        <f>+AJ14-AJ63-AJ73-AJ74-AJ75+AJ22</f>
        <v>66.849000000000004</v>
      </c>
      <c r="AK40" s="568">
        <f>+AK14-AK63-AK73-AK74-AK75+AK22</f>
        <v>88.946000000000012</v>
      </c>
      <c r="AL40" s="568">
        <f>+AL14-AL63-AL73-AL74-AL75+AL22</f>
        <v>102.708</v>
      </c>
      <c r="AM40" s="568">
        <f t="shared" ref="AM40" si="37">+AM14-AM63-AM73-AM74-AM75+AM22</f>
        <v>93.69</v>
      </c>
      <c r="AN40" s="583"/>
      <c r="AO40" s="571"/>
    </row>
    <row r="41" spans="1:41" s="413" customFormat="1" ht="14" outlineLevel="1" x14ac:dyDescent="0.4">
      <c r="A41" s="132" t="s">
        <v>343</v>
      </c>
      <c r="C41" s="613"/>
      <c r="D41" s="613"/>
      <c r="E41" s="613"/>
      <c r="F41" s="718"/>
      <c r="G41" s="613">
        <f>+G15</f>
        <v>24.486999999999995</v>
      </c>
      <c r="H41" s="613">
        <f t="shared" ref="H41:AL41" si="38">+H15</f>
        <v>36.572000000000003</v>
      </c>
      <c r="I41" s="613">
        <f t="shared" si="38"/>
        <v>36.756</v>
      </c>
      <c r="J41" s="718">
        <f t="shared" si="38"/>
        <v>37.241999999999997</v>
      </c>
      <c r="K41" s="719">
        <f t="shared" si="38"/>
        <v>34.762999999999998</v>
      </c>
      <c r="L41" s="719">
        <f t="shared" si="38"/>
        <v>35.917999999999999</v>
      </c>
      <c r="M41" s="719">
        <f t="shared" si="38"/>
        <v>35.811999999999998</v>
      </c>
      <c r="N41" s="718">
        <f t="shared" si="38"/>
        <v>36.322000000000003</v>
      </c>
      <c r="O41" s="613">
        <f t="shared" si="38"/>
        <v>34.033999999999999</v>
      </c>
      <c r="P41" s="613">
        <f t="shared" si="38"/>
        <v>34.406999999999996</v>
      </c>
      <c r="Q41" s="613">
        <f t="shared" si="38"/>
        <v>34.744</v>
      </c>
      <c r="R41" s="718">
        <f t="shared" si="38"/>
        <v>35.061</v>
      </c>
      <c r="S41" s="613">
        <f t="shared" si="38"/>
        <v>31.866</v>
      </c>
      <c r="T41" s="613">
        <f t="shared" ref="T41:U41" si="39">+T15</f>
        <v>32.055999999999997</v>
      </c>
      <c r="U41" s="613">
        <f t="shared" si="39"/>
        <v>32.418999999999997</v>
      </c>
      <c r="V41" s="718">
        <f t="shared" ref="V41:W41" si="40">+V15</f>
        <v>33.131999999999998</v>
      </c>
      <c r="W41" s="613">
        <f t="shared" si="40"/>
        <v>29.882000000000001</v>
      </c>
      <c r="X41" s="613">
        <f t="shared" ref="X41:Y41" si="41">+X15</f>
        <v>29.978000000000002</v>
      </c>
      <c r="Y41" s="613">
        <f t="shared" si="41"/>
        <v>30.167999999999999</v>
      </c>
      <c r="Z41" s="719"/>
      <c r="AA41" s="719"/>
      <c r="AB41" s="719"/>
      <c r="AC41" s="719"/>
      <c r="AD41" s="719"/>
      <c r="AE41" s="719"/>
      <c r="AF41" s="719"/>
      <c r="AG41" s="719"/>
      <c r="AH41" s="719"/>
      <c r="AI41" s="613">
        <f t="shared" si="38"/>
        <v>25.952999999999999</v>
      </c>
      <c r="AJ41" s="613">
        <f t="shared" si="38"/>
        <v>135.05699999999999</v>
      </c>
      <c r="AK41" s="613">
        <f t="shared" si="38"/>
        <v>142.815</v>
      </c>
      <c r="AL41" s="613">
        <f t="shared" si="38"/>
        <v>138.24600000000001</v>
      </c>
      <c r="AM41" s="613">
        <f t="shared" ref="AM41" si="42">+AM15</f>
        <v>129.47299999999998</v>
      </c>
      <c r="AN41" s="719"/>
      <c r="AO41" s="614"/>
    </row>
    <row r="42" spans="1:41" outlineLevel="1" x14ac:dyDescent="0.25">
      <c r="A42" s="425" t="s">
        <v>344</v>
      </c>
      <c r="C42" s="568">
        <f t="shared" ref="C42:E42" si="43">+C16-C64-C73-C74-C75</f>
        <v>90.863</v>
      </c>
      <c r="D42" s="568">
        <f t="shared" si="43"/>
        <v>94.803999999999988</v>
      </c>
      <c r="E42" s="568">
        <f t="shared" si="43"/>
        <v>96.829000000000008</v>
      </c>
      <c r="F42" s="588">
        <f>+F16-F64-F73-F74-F75</f>
        <v>101.45100000000001</v>
      </c>
      <c r="G42" s="568">
        <f>+SUM(G38:G41)</f>
        <v>108.11500000000001</v>
      </c>
      <c r="H42" s="568">
        <f t="shared" ref="H42:AL42" si="44">+SUM(H38:H41)</f>
        <v>109.91</v>
      </c>
      <c r="I42" s="568">
        <f t="shared" si="44"/>
        <v>130.24699999999999</v>
      </c>
      <c r="J42" s="588">
        <f t="shared" si="44"/>
        <v>149.14099999999999</v>
      </c>
      <c r="K42" s="583">
        <f t="shared" si="44"/>
        <v>130.24299999999999</v>
      </c>
      <c r="L42" s="583">
        <f t="shared" si="44"/>
        <v>154.422</v>
      </c>
      <c r="M42" s="583">
        <f t="shared" si="44"/>
        <v>164.73500000000001</v>
      </c>
      <c r="N42" s="588">
        <f t="shared" si="44"/>
        <v>179.416</v>
      </c>
      <c r="O42" s="568">
        <f t="shared" si="44"/>
        <v>170.315</v>
      </c>
      <c r="P42" s="568">
        <f t="shared" si="44"/>
        <v>175.13400000000001</v>
      </c>
      <c r="Q42" s="568">
        <f t="shared" si="44"/>
        <v>176.542</v>
      </c>
      <c r="R42" s="588">
        <f t="shared" si="44"/>
        <v>177.36799999999999</v>
      </c>
      <c r="S42" s="568">
        <f t="shared" si="44"/>
        <v>158.82600000000002</v>
      </c>
      <c r="T42" s="568">
        <f t="shared" ref="T42:U42" si="45">+SUM(T38:T41)</f>
        <v>161.39999999999998</v>
      </c>
      <c r="U42" s="568">
        <f t="shared" si="45"/>
        <v>167.99199999999996</v>
      </c>
      <c r="V42" s="588">
        <f t="shared" ref="V42:W42" si="46">+SUM(V38:V41)</f>
        <v>167.46</v>
      </c>
      <c r="W42" s="568">
        <f t="shared" si="46"/>
        <v>152.73999999999998</v>
      </c>
      <c r="X42" s="568">
        <f t="shared" ref="X42:Y42" si="47">+SUM(X38:X41)</f>
        <v>158.76300000000001</v>
      </c>
      <c r="Y42" s="568">
        <f t="shared" si="47"/>
        <v>165.24100000000001</v>
      </c>
      <c r="Z42" s="583"/>
      <c r="AA42" s="583"/>
      <c r="AB42" s="583"/>
      <c r="AC42" s="583"/>
      <c r="AD42" s="583"/>
      <c r="AE42" s="583"/>
      <c r="AF42" s="583"/>
      <c r="AG42" s="583"/>
      <c r="AH42" s="583"/>
      <c r="AI42" s="568">
        <f t="shared" si="44"/>
        <v>383.947</v>
      </c>
      <c r="AJ42" s="568">
        <f t="shared" si="44"/>
        <v>497.41300000000001</v>
      </c>
      <c r="AK42" s="568">
        <f t="shared" si="44"/>
        <v>628.81600000000003</v>
      </c>
      <c r="AL42" s="568">
        <f t="shared" si="44"/>
        <v>699.35899999999992</v>
      </c>
      <c r="AM42" s="568">
        <f t="shared" ref="AM42" si="48">+SUM(AM38:AM41)</f>
        <v>655.67799999999988</v>
      </c>
      <c r="AN42" s="583"/>
      <c r="AO42" s="571"/>
    </row>
    <row r="43" spans="1:41" outlineLevel="1" x14ac:dyDescent="0.25">
      <c r="C43" s="568"/>
      <c r="D43" s="568"/>
      <c r="E43" s="568"/>
      <c r="F43" s="588"/>
      <c r="G43" s="568"/>
      <c r="H43" s="568"/>
      <c r="I43" s="568"/>
      <c r="J43" s="588"/>
      <c r="K43" s="583"/>
      <c r="L43" s="583"/>
      <c r="M43" s="583"/>
      <c r="N43" s="588"/>
      <c r="O43" s="568"/>
      <c r="P43" s="568"/>
      <c r="Q43" s="568"/>
      <c r="R43" s="588"/>
      <c r="S43" s="568"/>
      <c r="T43" s="568"/>
      <c r="U43" s="568"/>
      <c r="V43" s="588"/>
      <c r="W43" s="568"/>
      <c r="X43" s="568"/>
      <c r="Y43" s="568"/>
      <c r="Z43" s="583"/>
      <c r="AA43" s="583"/>
      <c r="AB43" s="583"/>
      <c r="AC43" s="583"/>
      <c r="AD43" s="583"/>
      <c r="AE43" s="583"/>
      <c r="AF43" s="583"/>
      <c r="AG43" s="583"/>
      <c r="AH43" s="583"/>
      <c r="AI43" s="568"/>
      <c r="AJ43" s="568"/>
      <c r="AK43" s="568"/>
      <c r="AL43" s="568"/>
      <c r="AM43" s="568"/>
      <c r="AN43" s="583"/>
      <c r="AO43" s="571"/>
    </row>
    <row r="44" spans="1:41" outlineLevel="1" x14ac:dyDescent="0.25">
      <c r="A44" s="132" t="s">
        <v>345</v>
      </c>
      <c r="C44" s="568">
        <f t="shared" ref="C44:G44" si="49">+C35-C42</f>
        <v>18.823999999999998</v>
      </c>
      <c r="D44" s="568">
        <f t="shared" si="49"/>
        <v>26.817000000000007</v>
      </c>
      <c r="E44" s="568">
        <f t="shared" si="49"/>
        <v>26.939999999999998</v>
      </c>
      <c r="F44" s="588">
        <f t="shared" si="49"/>
        <v>25.23899999999999</v>
      </c>
      <c r="G44" s="568">
        <f t="shared" si="49"/>
        <v>2.7239999999999895</v>
      </c>
      <c r="H44" s="568">
        <f t="shared" ref="H44:S44" si="50">+H35-H42</f>
        <v>-4.9170000000000016</v>
      </c>
      <c r="I44" s="568">
        <f t="shared" si="50"/>
        <v>6.5310000000000059</v>
      </c>
      <c r="J44" s="588">
        <f t="shared" si="50"/>
        <v>7.40300000000002</v>
      </c>
      <c r="K44" s="583">
        <f t="shared" si="50"/>
        <v>1.8269999999999982</v>
      </c>
      <c r="L44" s="583">
        <f t="shared" si="50"/>
        <v>20.403999999999996</v>
      </c>
      <c r="M44" s="583">
        <f t="shared" si="50"/>
        <v>28.131999999999977</v>
      </c>
      <c r="N44" s="588">
        <f t="shared" si="50"/>
        <v>33.116000000000014</v>
      </c>
      <c r="O44" s="568">
        <f t="shared" si="50"/>
        <v>19.566000000000003</v>
      </c>
      <c r="P44" s="568">
        <f t="shared" si="50"/>
        <v>26.426999999999992</v>
      </c>
      <c r="Q44" s="568">
        <f t="shared" si="50"/>
        <v>29.443999999999988</v>
      </c>
      <c r="R44" s="588">
        <f t="shared" si="50"/>
        <v>35.227000000000004</v>
      </c>
      <c r="S44" s="568">
        <f t="shared" si="50"/>
        <v>16.693999999999988</v>
      </c>
      <c r="T44" s="568">
        <f t="shared" ref="T44:U44" si="51">+T35-T42</f>
        <v>23.91500000000002</v>
      </c>
      <c r="U44" s="568">
        <f t="shared" si="51"/>
        <v>32.372000000000043</v>
      </c>
      <c r="V44" s="588">
        <f t="shared" ref="V44:W44" si="52">+V35-V42</f>
        <v>35.102000000000004</v>
      </c>
      <c r="W44" s="568">
        <f t="shared" si="52"/>
        <v>16.676000000000016</v>
      </c>
      <c r="X44" s="568">
        <f t="shared" ref="X44:Y44" si="53">+X35-X42</f>
        <v>25.784999999999997</v>
      </c>
      <c r="Y44" s="568">
        <f t="shared" si="53"/>
        <v>33.877999999999986</v>
      </c>
      <c r="Z44" s="583"/>
      <c r="AA44" s="583"/>
      <c r="AB44" s="583"/>
      <c r="AC44" s="583"/>
      <c r="AD44" s="583"/>
      <c r="AE44" s="583"/>
      <c r="AF44" s="583"/>
      <c r="AG44" s="583"/>
      <c r="AH44" s="583"/>
      <c r="AI44" s="568">
        <f>+AI35-AI42</f>
        <v>97.82</v>
      </c>
      <c r="AJ44" s="568">
        <f>+AJ35-AJ42</f>
        <v>11.740999999999985</v>
      </c>
      <c r="AK44" s="568">
        <f>+AK35-AK42</f>
        <v>83.478999999999928</v>
      </c>
      <c r="AL44" s="568">
        <f>+AL35-AL42</f>
        <v>110.6640000000001</v>
      </c>
      <c r="AM44" s="568">
        <f t="shared" ref="AM44" si="54">+AM35-AM42</f>
        <v>108.0830000000002</v>
      </c>
      <c r="AN44" s="583"/>
      <c r="AO44" s="571"/>
    </row>
    <row r="45" spans="1:41" outlineLevel="1" x14ac:dyDescent="0.25">
      <c r="C45" s="568"/>
      <c r="D45" s="568"/>
      <c r="E45" s="568"/>
      <c r="F45" s="588"/>
      <c r="G45" s="568"/>
      <c r="H45" s="568"/>
      <c r="I45" s="568"/>
      <c r="J45" s="588"/>
      <c r="K45" s="583"/>
      <c r="L45" s="583"/>
      <c r="M45" s="583"/>
      <c r="N45" s="588"/>
      <c r="O45" s="568"/>
      <c r="P45" s="568"/>
      <c r="Q45" s="568"/>
      <c r="R45" s="588"/>
      <c r="S45" s="568"/>
      <c r="T45" s="568"/>
      <c r="U45" s="568"/>
      <c r="V45" s="588"/>
      <c r="W45" s="568"/>
      <c r="X45" s="568"/>
      <c r="Y45" s="568"/>
      <c r="Z45" s="583"/>
      <c r="AA45" s="583"/>
      <c r="AB45" s="583"/>
      <c r="AC45" s="583"/>
      <c r="AD45" s="583"/>
      <c r="AE45" s="583"/>
      <c r="AF45" s="583"/>
      <c r="AG45" s="583"/>
      <c r="AH45" s="583"/>
      <c r="AI45" s="568"/>
      <c r="AJ45" s="568"/>
      <c r="AK45" s="568"/>
      <c r="AL45" s="568"/>
      <c r="AM45" s="568"/>
      <c r="AN45" s="583"/>
      <c r="AO45" s="571"/>
    </row>
    <row r="46" spans="1:41" outlineLevel="1" x14ac:dyDescent="0.25">
      <c r="A46" s="565" t="s">
        <v>346</v>
      </c>
      <c r="C46" s="568"/>
      <c r="D46" s="568"/>
      <c r="E46" s="568"/>
      <c r="F46" s="588"/>
      <c r="G46" s="568"/>
      <c r="H46" s="568"/>
      <c r="I46" s="568"/>
      <c r="J46" s="588"/>
      <c r="K46" s="583"/>
      <c r="L46" s="583"/>
      <c r="M46" s="583"/>
      <c r="N46" s="588"/>
      <c r="O46" s="568"/>
      <c r="P46" s="568"/>
      <c r="Q46" s="568"/>
      <c r="R46" s="588"/>
      <c r="S46" s="568"/>
      <c r="T46" s="568"/>
      <c r="U46" s="568"/>
      <c r="V46" s="588"/>
      <c r="W46" s="568"/>
      <c r="X46" s="568"/>
      <c r="Y46" s="568"/>
      <c r="Z46" s="583"/>
      <c r="AA46" s="583"/>
      <c r="AB46" s="583"/>
      <c r="AC46" s="583"/>
      <c r="AD46" s="583"/>
      <c r="AE46" s="583"/>
      <c r="AF46" s="583"/>
      <c r="AG46" s="583"/>
      <c r="AH46" s="583"/>
      <c r="AI46" s="568"/>
      <c r="AJ46" s="568"/>
      <c r="AK46" s="568"/>
      <c r="AL46" s="568"/>
      <c r="AM46" s="568"/>
      <c r="AN46" s="583"/>
      <c r="AO46" s="571"/>
    </row>
    <row r="47" spans="1:41" outlineLevel="1" x14ac:dyDescent="0.25">
      <c r="A47" s="132" t="s">
        <v>347</v>
      </c>
      <c r="C47" s="568"/>
      <c r="D47" s="568"/>
      <c r="E47" s="568"/>
      <c r="F47" s="588"/>
      <c r="G47" s="568">
        <f>+G21</f>
        <v>17.319000000000003</v>
      </c>
      <c r="H47" s="568">
        <f t="shared" ref="H47:AL47" si="55">+H21</f>
        <v>13.663</v>
      </c>
      <c r="I47" s="568">
        <f t="shared" si="55"/>
        <v>11.629999999999999</v>
      </c>
      <c r="J47" s="588">
        <f t="shared" si="55"/>
        <v>9.261000000000001</v>
      </c>
      <c r="K47" s="583">
        <f t="shared" si="55"/>
        <v>6.7169999999999996</v>
      </c>
      <c r="L47" s="583">
        <f t="shared" si="55"/>
        <v>10.452</v>
      </c>
      <c r="M47" s="583">
        <f t="shared" si="55"/>
        <v>4.7060000000000004</v>
      </c>
      <c r="N47" s="588">
        <f t="shared" si="55"/>
        <v>3.0970000000000013</v>
      </c>
      <c r="O47" s="568">
        <f t="shared" si="55"/>
        <v>-0.85</v>
      </c>
      <c r="P47" s="568">
        <f t="shared" si="55"/>
        <v>3.1120000000000001</v>
      </c>
      <c r="Q47" s="568">
        <f t="shared" si="55"/>
        <v>1.74</v>
      </c>
      <c r="R47" s="588">
        <f t="shared" si="55"/>
        <v>5.1970000000000001</v>
      </c>
      <c r="S47" s="568">
        <f t="shared" si="55"/>
        <v>8.6809999999999992</v>
      </c>
      <c r="T47" s="568">
        <f t="shared" ref="T47:U47" si="56">+T21</f>
        <v>3.887</v>
      </c>
      <c r="U47" s="568">
        <f t="shared" si="56"/>
        <v>7.5570000000000004</v>
      </c>
      <c r="V47" s="588">
        <f t="shared" ref="V47:W47" si="57">+V21</f>
        <v>12.914999999999999</v>
      </c>
      <c r="W47" s="568">
        <f t="shared" si="57"/>
        <v>3.57</v>
      </c>
      <c r="X47" s="568">
        <f t="shared" ref="X47:Y47" si="58">+X21</f>
        <v>7.3529999999999998</v>
      </c>
      <c r="Y47" s="568">
        <f t="shared" si="58"/>
        <v>17.190999999999999</v>
      </c>
      <c r="Z47" s="583"/>
      <c r="AA47" s="583"/>
      <c r="AB47" s="583"/>
      <c r="AC47" s="583"/>
      <c r="AD47" s="583"/>
      <c r="AE47" s="583"/>
      <c r="AF47" s="583"/>
      <c r="AG47" s="583"/>
      <c r="AH47" s="583"/>
      <c r="AI47" s="568">
        <f t="shared" si="55"/>
        <v>51.018999999999998</v>
      </c>
      <c r="AJ47" s="568">
        <f t="shared" si="55"/>
        <v>51.873000000000005</v>
      </c>
      <c r="AK47" s="568">
        <f t="shared" si="55"/>
        <v>24.972000000000001</v>
      </c>
      <c r="AL47" s="568">
        <f t="shared" si="55"/>
        <v>9.1989999999999998</v>
      </c>
      <c r="AM47" s="568">
        <f t="shared" ref="AM47" si="59">+AM21</f>
        <v>33.04</v>
      </c>
      <c r="AN47" s="583"/>
      <c r="AO47" s="571"/>
    </row>
    <row r="48" spans="1:41" s="413" customFormat="1" ht="14" outlineLevel="1" x14ac:dyDescent="0.4">
      <c r="A48" s="132" t="s">
        <v>348</v>
      </c>
      <c r="C48" s="613"/>
      <c r="D48" s="613"/>
      <c r="E48" s="613"/>
      <c r="F48" s="718"/>
      <c r="G48" s="613">
        <f>+G23</f>
        <v>10.532999999999999</v>
      </c>
      <c r="H48" s="613">
        <f t="shared" ref="H48:AL48" si="60">+H23</f>
        <v>0</v>
      </c>
      <c r="I48" s="613">
        <f t="shared" si="60"/>
        <v>0</v>
      </c>
      <c r="J48" s="718">
        <f t="shared" si="60"/>
        <v>0</v>
      </c>
      <c r="K48" s="719">
        <f t="shared" si="60"/>
        <v>13.938000000000001</v>
      </c>
      <c r="L48" s="719">
        <f t="shared" si="60"/>
        <v>0</v>
      </c>
      <c r="M48" s="719">
        <f t="shared" si="60"/>
        <v>0</v>
      </c>
      <c r="N48" s="718">
        <f t="shared" si="60"/>
        <v>0</v>
      </c>
      <c r="O48" s="613">
        <f t="shared" si="60"/>
        <v>0</v>
      </c>
      <c r="P48" s="613">
        <f t="shared" si="60"/>
        <v>0</v>
      </c>
      <c r="Q48" s="613">
        <f t="shared" si="60"/>
        <v>0</v>
      </c>
      <c r="R48" s="718">
        <f t="shared" si="60"/>
        <v>0</v>
      </c>
      <c r="S48" s="613">
        <f t="shared" si="60"/>
        <v>0</v>
      </c>
      <c r="T48" s="613">
        <f t="shared" ref="T48:U48" si="61">+T23</f>
        <v>0</v>
      </c>
      <c r="U48" s="613">
        <f t="shared" si="61"/>
        <v>0</v>
      </c>
      <c r="V48" s="718">
        <f t="shared" ref="V48:W48" si="62">+V23</f>
        <v>0</v>
      </c>
      <c r="W48" s="613">
        <f t="shared" si="62"/>
        <v>0</v>
      </c>
      <c r="X48" s="613">
        <f t="shared" ref="X48:Y48" si="63">+X23</f>
        <v>0</v>
      </c>
      <c r="Y48" s="613">
        <f t="shared" si="63"/>
        <v>0</v>
      </c>
      <c r="Z48" s="719"/>
      <c r="AA48" s="719"/>
      <c r="AB48" s="719"/>
      <c r="AC48" s="719"/>
      <c r="AD48" s="719"/>
      <c r="AE48" s="719"/>
      <c r="AF48" s="719"/>
      <c r="AG48" s="719"/>
      <c r="AH48" s="719"/>
      <c r="AI48" s="613">
        <f t="shared" si="60"/>
        <v>0</v>
      </c>
      <c r="AJ48" s="613">
        <f t="shared" si="60"/>
        <v>10.532999999999999</v>
      </c>
      <c r="AK48" s="613">
        <f t="shared" si="60"/>
        <v>13.938000000000001</v>
      </c>
      <c r="AL48" s="613">
        <f t="shared" si="60"/>
        <v>0</v>
      </c>
      <c r="AM48" s="613">
        <f t="shared" ref="AM48" si="64">+AM23</f>
        <v>0</v>
      </c>
      <c r="AN48" s="719"/>
      <c r="AO48" s="614"/>
    </row>
    <row r="49" spans="1:41" outlineLevel="1" x14ac:dyDescent="0.25">
      <c r="A49" s="425" t="s">
        <v>349</v>
      </c>
      <c r="C49" s="568">
        <f t="shared" ref="C49:E49" si="65">+C24</f>
        <v>13.023</v>
      </c>
      <c r="D49" s="568">
        <f t="shared" si="65"/>
        <v>12.829000000000001</v>
      </c>
      <c r="E49" s="568">
        <f t="shared" si="65"/>
        <v>12.757999999999999</v>
      </c>
      <c r="F49" s="588">
        <f>+F24</f>
        <v>12.409000000000001</v>
      </c>
      <c r="G49" s="568">
        <f>SUM(G47:G48)</f>
        <v>27.852000000000004</v>
      </c>
      <c r="H49" s="568">
        <f t="shared" ref="H49:AL49" si="66">SUM(H47:H48)</f>
        <v>13.663</v>
      </c>
      <c r="I49" s="568">
        <f t="shared" si="66"/>
        <v>11.629999999999999</v>
      </c>
      <c r="J49" s="588">
        <f t="shared" si="66"/>
        <v>9.261000000000001</v>
      </c>
      <c r="K49" s="583">
        <f t="shared" si="66"/>
        <v>20.655000000000001</v>
      </c>
      <c r="L49" s="583">
        <f t="shared" si="66"/>
        <v>10.452</v>
      </c>
      <c r="M49" s="583">
        <f t="shared" si="66"/>
        <v>4.7060000000000004</v>
      </c>
      <c r="N49" s="588">
        <f t="shared" si="66"/>
        <v>3.0970000000000013</v>
      </c>
      <c r="O49" s="568">
        <f t="shared" si="66"/>
        <v>-0.85</v>
      </c>
      <c r="P49" s="568">
        <f t="shared" si="66"/>
        <v>3.1120000000000001</v>
      </c>
      <c r="Q49" s="568">
        <f t="shared" si="66"/>
        <v>1.74</v>
      </c>
      <c r="R49" s="588">
        <f t="shared" si="66"/>
        <v>5.1970000000000001</v>
      </c>
      <c r="S49" s="568">
        <f t="shared" si="66"/>
        <v>8.6809999999999992</v>
      </c>
      <c r="T49" s="568">
        <f t="shared" ref="T49:U49" si="67">SUM(T47:T48)</f>
        <v>3.887</v>
      </c>
      <c r="U49" s="568">
        <f t="shared" si="67"/>
        <v>7.5570000000000004</v>
      </c>
      <c r="V49" s="588">
        <f t="shared" ref="V49:W49" si="68">SUM(V47:V48)</f>
        <v>12.914999999999999</v>
      </c>
      <c r="W49" s="568">
        <f t="shared" si="68"/>
        <v>3.57</v>
      </c>
      <c r="X49" s="568">
        <f t="shared" ref="X49:Y49" si="69">SUM(X47:X48)</f>
        <v>7.3529999999999998</v>
      </c>
      <c r="Y49" s="568">
        <f t="shared" si="69"/>
        <v>17.190999999999999</v>
      </c>
      <c r="Z49" s="583"/>
      <c r="AA49" s="583"/>
      <c r="AB49" s="583"/>
      <c r="AC49" s="583"/>
      <c r="AD49" s="583"/>
      <c r="AE49" s="583"/>
      <c r="AF49" s="583"/>
      <c r="AG49" s="583"/>
      <c r="AH49" s="583"/>
      <c r="AI49" s="568">
        <f t="shared" si="66"/>
        <v>51.018999999999998</v>
      </c>
      <c r="AJ49" s="568">
        <f t="shared" si="66"/>
        <v>62.406000000000006</v>
      </c>
      <c r="AK49" s="568">
        <f t="shared" si="66"/>
        <v>38.910000000000004</v>
      </c>
      <c r="AL49" s="568">
        <f t="shared" si="66"/>
        <v>9.1989999999999998</v>
      </c>
      <c r="AM49" s="568">
        <f t="shared" ref="AM49" si="70">SUM(AM47:AM48)</f>
        <v>33.04</v>
      </c>
      <c r="AN49" s="583"/>
      <c r="AO49" s="571"/>
    </row>
    <row r="50" spans="1:41" outlineLevel="1" x14ac:dyDescent="0.25">
      <c r="C50" s="568"/>
      <c r="D50" s="568"/>
      <c r="E50" s="568"/>
      <c r="F50" s="588"/>
      <c r="G50" s="568"/>
      <c r="H50" s="568"/>
      <c r="I50" s="568"/>
      <c r="J50" s="588"/>
      <c r="K50" s="583"/>
      <c r="L50" s="583"/>
      <c r="M50" s="583"/>
      <c r="N50" s="588"/>
      <c r="O50" s="568"/>
      <c r="P50" s="568"/>
      <c r="Q50" s="568"/>
      <c r="R50" s="588"/>
      <c r="S50" s="568"/>
      <c r="T50" s="568"/>
      <c r="U50" s="568"/>
      <c r="V50" s="588"/>
      <c r="W50" s="568"/>
      <c r="X50" s="568"/>
      <c r="Y50" s="568"/>
      <c r="Z50" s="583"/>
      <c r="AA50" s="583"/>
      <c r="AB50" s="583"/>
      <c r="AC50" s="583"/>
      <c r="AD50" s="583"/>
      <c r="AE50" s="583"/>
      <c r="AF50" s="583"/>
      <c r="AG50" s="583"/>
      <c r="AH50" s="583"/>
      <c r="AI50" s="568"/>
      <c r="AJ50" s="568"/>
      <c r="AK50" s="568"/>
      <c r="AL50" s="568"/>
      <c r="AM50" s="568"/>
      <c r="AN50" s="583"/>
      <c r="AO50" s="571"/>
    </row>
    <row r="51" spans="1:41" outlineLevel="1" x14ac:dyDescent="0.25">
      <c r="A51" s="132" t="s">
        <v>350</v>
      </c>
      <c r="C51" s="568">
        <f t="shared" ref="C51:F51" si="71">+C44-C49</f>
        <v>5.8009999999999984</v>
      </c>
      <c r="D51" s="568">
        <f t="shared" si="71"/>
        <v>13.988000000000007</v>
      </c>
      <c r="E51" s="568">
        <f t="shared" si="71"/>
        <v>14.181999999999999</v>
      </c>
      <c r="F51" s="588">
        <f t="shared" si="71"/>
        <v>12.829999999999989</v>
      </c>
      <c r="G51" s="568">
        <f>+G44-G49</f>
        <v>-25.128000000000014</v>
      </c>
      <c r="H51" s="568">
        <f t="shared" ref="H51:AL51" si="72">+H44-H49</f>
        <v>-18.580000000000002</v>
      </c>
      <c r="I51" s="568">
        <f t="shared" si="72"/>
        <v>-5.0989999999999931</v>
      </c>
      <c r="J51" s="588">
        <f t="shared" si="72"/>
        <v>-1.857999999999981</v>
      </c>
      <c r="K51" s="583">
        <f t="shared" si="72"/>
        <v>-18.828000000000003</v>
      </c>
      <c r="L51" s="583">
        <f t="shared" si="72"/>
        <v>9.9519999999999964</v>
      </c>
      <c r="M51" s="583">
        <f t="shared" si="72"/>
        <v>23.425999999999977</v>
      </c>
      <c r="N51" s="588">
        <f t="shared" si="72"/>
        <v>30.019000000000013</v>
      </c>
      <c r="O51" s="568">
        <f t="shared" si="72"/>
        <v>20.416000000000004</v>
      </c>
      <c r="P51" s="568">
        <f t="shared" si="72"/>
        <v>23.314999999999991</v>
      </c>
      <c r="Q51" s="568">
        <f t="shared" si="72"/>
        <v>27.70399999999999</v>
      </c>
      <c r="R51" s="588">
        <f t="shared" si="72"/>
        <v>30.030000000000005</v>
      </c>
      <c r="S51" s="568">
        <f t="shared" si="72"/>
        <v>8.0129999999999892</v>
      </c>
      <c r="T51" s="568">
        <f t="shared" ref="T51:U51" si="73">+T44-T49</f>
        <v>20.02800000000002</v>
      </c>
      <c r="U51" s="568">
        <f t="shared" si="73"/>
        <v>24.81500000000004</v>
      </c>
      <c r="V51" s="588">
        <f t="shared" ref="V51:W51" si="74">+V44-V49</f>
        <v>22.187000000000005</v>
      </c>
      <c r="W51" s="568">
        <f t="shared" si="74"/>
        <v>13.106000000000016</v>
      </c>
      <c r="X51" s="568">
        <f t="shared" ref="X51:Y51" si="75">+X44-X49</f>
        <v>18.431999999999995</v>
      </c>
      <c r="Y51" s="568">
        <f t="shared" si="75"/>
        <v>16.686999999999987</v>
      </c>
      <c r="Z51" s="583"/>
      <c r="AA51" s="583"/>
      <c r="AB51" s="583"/>
      <c r="AC51" s="583"/>
      <c r="AD51" s="583"/>
      <c r="AE51" s="583"/>
      <c r="AF51" s="583"/>
      <c r="AG51" s="583"/>
      <c r="AH51" s="583"/>
      <c r="AI51" s="568">
        <f t="shared" si="72"/>
        <v>46.800999999999995</v>
      </c>
      <c r="AJ51" s="568">
        <f t="shared" si="72"/>
        <v>-50.66500000000002</v>
      </c>
      <c r="AK51" s="568">
        <f t="shared" si="72"/>
        <v>44.568999999999924</v>
      </c>
      <c r="AL51" s="568">
        <f t="shared" si="72"/>
        <v>101.4650000000001</v>
      </c>
      <c r="AM51" s="568">
        <f t="shared" ref="AM51" si="76">+AM44-AM49</f>
        <v>75.043000000000205</v>
      </c>
      <c r="AN51" s="583"/>
      <c r="AO51" s="571"/>
    </row>
    <row r="52" spans="1:41" s="413" customFormat="1" ht="14" outlineLevel="1" x14ac:dyDescent="0.4">
      <c r="A52" s="132" t="s">
        <v>351</v>
      </c>
      <c r="C52" s="613">
        <f t="shared" ref="C52:F52" si="77">+C27/C26*C51</f>
        <v>1.2768428501708151</v>
      </c>
      <c r="D52" s="613">
        <f t="shared" si="77"/>
        <v>2.367466831990082</v>
      </c>
      <c r="E52" s="613">
        <f t="shared" si="77"/>
        <v>2.2387749109673667</v>
      </c>
      <c r="F52" s="718">
        <f t="shared" si="77"/>
        <v>2.0257244632713953</v>
      </c>
      <c r="G52" s="613">
        <f t="shared" ref="G52:S52" si="78">+G27/G26*G51</f>
        <v>-2.3459011446074491</v>
      </c>
      <c r="H52" s="613">
        <f t="shared" si="78"/>
        <v>-3.2726614648879924</v>
      </c>
      <c r="I52" s="613">
        <f t="shared" si="78"/>
        <v>-2.3231368869263447</v>
      </c>
      <c r="J52" s="718">
        <f t="shared" si="78"/>
        <v>-1.4783477230404485E-2</v>
      </c>
      <c r="K52" s="719">
        <f t="shared" si="78"/>
        <v>-3.5049605439892533</v>
      </c>
      <c r="L52" s="719">
        <f t="shared" si="78"/>
        <v>4.4611409337040842</v>
      </c>
      <c r="M52" s="719">
        <f t="shared" si="78"/>
        <v>4.0431928665785941</v>
      </c>
      <c r="N52" s="718">
        <f t="shared" si="78"/>
        <v>9.2358879938799348</v>
      </c>
      <c r="O52" s="613">
        <f t="shared" si="78"/>
        <v>5.6136037441497626</v>
      </c>
      <c r="P52" s="613">
        <f t="shared" si="78"/>
        <v>6.439245474883057</v>
      </c>
      <c r="Q52" s="613">
        <f t="shared" si="78"/>
        <v>7.7709731582908281</v>
      </c>
      <c r="R52" s="718">
        <f t="shared" si="78"/>
        <v>4.335186663835211</v>
      </c>
      <c r="S52" s="613">
        <f t="shared" si="78"/>
        <v>2.0939574059861776</v>
      </c>
      <c r="T52" s="613">
        <f t="shared" ref="T52:U52" si="79">+T27/T26*T51</f>
        <v>5.7797166545454601</v>
      </c>
      <c r="U52" s="613">
        <f t="shared" si="79"/>
        <v>7.7374482560368092</v>
      </c>
      <c r="V52" s="718">
        <f t="shared" ref="V52:W52" si="80">+V27/V26*V51</f>
        <v>2.2273236365844737</v>
      </c>
      <c r="W52" s="613">
        <f t="shared" si="80"/>
        <v>4.176108356290178</v>
      </c>
      <c r="X52" s="613">
        <f t="shared" ref="X52:Y52" si="81">+X27/X26*X51</f>
        <v>4.9763510971787346</v>
      </c>
      <c r="Y52" s="613">
        <f t="shared" si="81"/>
        <v>-1.6154040604109861</v>
      </c>
      <c r="Z52" s="719"/>
      <c r="AA52" s="719"/>
      <c r="AB52" s="719"/>
      <c r="AC52" s="719"/>
      <c r="AD52" s="719"/>
      <c r="AE52" s="719"/>
      <c r="AF52" s="719"/>
      <c r="AG52" s="719"/>
      <c r="AH52" s="719"/>
      <c r="AI52" s="613">
        <f>+AI27/AI26*AI51</f>
        <v>7.8456619519782169</v>
      </c>
      <c r="AJ52" s="613">
        <f>+AJ27/AJ26*AJ51</f>
        <v>-6.5796744314500346</v>
      </c>
      <c r="AK52" s="613">
        <f>+AK27/AK26*AK51</f>
        <v>15.853991008710302</v>
      </c>
      <c r="AL52" s="613">
        <f>+AL27/AL26*AL51</f>
        <v>24.418433162119939</v>
      </c>
      <c r="AM52" s="613">
        <f t="shared" ref="AM52" si="82">+AM27/AM26*AM51</f>
        <v>17.311780448056808</v>
      </c>
      <c r="AN52" s="719"/>
      <c r="AO52" s="614"/>
    </row>
    <row r="53" spans="1:41" outlineLevel="1" x14ac:dyDescent="0.25">
      <c r="A53" s="425" t="s">
        <v>352</v>
      </c>
      <c r="C53" s="568">
        <f t="shared" ref="C53:F53" si="83">+C51-C52</f>
        <v>4.5241571498291835</v>
      </c>
      <c r="D53" s="568">
        <f t="shared" si="83"/>
        <v>11.620533168009924</v>
      </c>
      <c r="E53" s="568">
        <f t="shared" si="83"/>
        <v>11.943225089032632</v>
      </c>
      <c r="F53" s="588">
        <f t="shared" si="83"/>
        <v>10.804275536728595</v>
      </c>
      <c r="G53" s="568">
        <f>+G51-G52</f>
        <v>-22.782098855392565</v>
      </c>
      <c r="H53" s="568">
        <f t="shared" ref="H53:AL53" si="84">+H51-H52</f>
        <v>-15.307338535112009</v>
      </c>
      <c r="I53" s="568">
        <f t="shared" si="84"/>
        <v>-2.7758631130736484</v>
      </c>
      <c r="J53" s="588">
        <f t="shared" si="84"/>
        <v>-1.8432165227695765</v>
      </c>
      <c r="K53" s="583">
        <f t="shared" si="84"/>
        <v>-15.323039456010751</v>
      </c>
      <c r="L53" s="583">
        <f t="shared" si="84"/>
        <v>5.4908590662959122</v>
      </c>
      <c r="M53" s="583">
        <f t="shared" si="84"/>
        <v>19.382807133421384</v>
      </c>
      <c r="N53" s="588">
        <f t="shared" si="84"/>
        <v>20.783112006120078</v>
      </c>
      <c r="O53" s="568">
        <f t="shared" si="84"/>
        <v>14.80239625585024</v>
      </c>
      <c r="P53" s="568">
        <f t="shared" si="84"/>
        <v>16.875754525116932</v>
      </c>
      <c r="Q53" s="568">
        <f t="shared" si="84"/>
        <v>19.933026841709161</v>
      </c>
      <c r="R53" s="588">
        <f t="shared" si="84"/>
        <v>25.694813336164792</v>
      </c>
      <c r="S53" s="568">
        <f t="shared" si="84"/>
        <v>5.9190425940138116</v>
      </c>
      <c r="T53" s="568">
        <f t="shared" ref="T53:U53" si="85">+T51-T52</f>
        <v>14.24828334545456</v>
      </c>
      <c r="U53" s="568">
        <f t="shared" si="85"/>
        <v>17.07755174396323</v>
      </c>
      <c r="V53" s="588">
        <f t="shared" ref="V53:W53" si="86">+V51-V52</f>
        <v>19.959676363415532</v>
      </c>
      <c r="W53" s="568">
        <f t="shared" si="86"/>
        <v>8.929891643709837</v>
      </c>
      <c r="X53" s="568">
        <f t="shared" ref="X53:Y53" si="87">+X51-X52</f>
        <v>13.45564890282126</v>
      </c>
      <c r="Y53" s="568">
        <f t="shared" si="87"/>
        <v>18.302404060410971</v>
      </c>
      <c r="Z53" s="583"/>
      <c r="AA53" s="583"/>
      <c r="AB53" s="583"/>
      <c r="AC53" s="583"/>
      <c r="AD53" s="583"/>
      <c r="AE53" s="583"/>
      <c r="AF53" s="583"/>
      <c r="AG53" s="583"/>
      <c r="AH53" s="583"/>
      <c r="AI53" s="568">
        <f t="shared" si="84"/>
        <v>38.95533804802178</v>
      </c>
      <c r="AJ53" s="568">
        <f t="shared" si="84"/>
        <v>-44.085325568549983</v>
      </c>
      <c r="AK53" s="568">
        <f t="shared" si="84"/>
        <v>28.715008991289622</v>
      </c>
      <c r="AL53" s="568">
        <f t="shared" si="84"/>
        <v>77.046566837880164</v>
      </c>
      <c r="AM53" s="568">
        <f t="shared" ref="AM53" si="88">+AM51-AM52</f>
        <v>57.731219551943397</v>
      </c>
      <c r="AN53" s="583"/>
      <c r="AO53" s="571"/>
    </row>
    <row r="54" spans="1:41" outlineLevel="1" x14ac:dyDescent="0.25">
      <c r="C54" s="568"/>
      <c r="D54" s="568"/>
      <c r="E54" s="568"/>
      <c r="F54" s="588"/>
      <c r="G54" s="568"/>
      <c r="H54" s="568"/>
      <c r="I54" s="568"/>
      <c r="J54" s="588"/>
      <c r="K54" s="583"/>
      <c r="L54" s="583"/>
      <c r="M54" s="583"/>
      <c r="N54" s="588"/>
      <c r="O54" s="568"/>
      <c r="P54" s="568"/>
      <c r="Q54" s="568"/>
      <c r="R54" s="588"/>
      <c r="S54" s="568"/>
      <c r="T54" s="568"/>
      <c r="U54" s="568"/>
      <c r="V54" s="588"/>
      <c r="W54" s="568"/>
      <c r="X54" s="568"/>
      <c r="Y54" s="568"/>
      <c r="Z54" s="583"/>
      <c r="AA54" s="583"/>
      <c r="AB54" s="583"/>
      <c r="AC54" s="583"/>
      <c r="AD54" s="583"/>
      <c r="AE54" s="583"/>
      <c r="AF54" s="583"/>
      <c r="AG54" s="583"/>
      <c r="AH54" s="583"/>
      <c r="AI54" s="568"/>
      <c r="AJ54" s="568"/>
      <c r="AK54" s="568"/>
      <c r="AL54" s="568"/>
      <c r="AM54" s="568"/>
      <c r="AN54" s="583"/>
      <c r="AO54" s="571"/>
    </row>
    <row r="55" spans="1:41" s="413" customFormat="1" ht="14" outlineLevel="1" x14ac:dyDescent="0.4">
      <c r="A55" s="132" t="s">
        <v>353</v>
      </c>
      <c r="C55" s="613">
        <f t="shared" ref="C55:F55" si="89">+C30</f>
        <v>0</v>
      </c>
      <c r="D55" s="613">
        <f t="shared" si="89"/>
        <v>0</v>
      </c>
      <c r="E55" s="613">
        <f t="shared" si="89"/>
        <v>0</v>
      </c>
      <c r="F55" s="718">
        <f t="shared" si="89"/>
        <v>0</v>
      </c>
      <c r="G55" s="613">
        <f>+G30</f>
        <v>-8.6900000000000013</v>
      </c>
      <c r="H55" s="613">
        <f t="shared" ref="H55:AL55" si="90">+H30</f>
        <v>0.48599999999999999</v>
      </c>
      <c r="I55" s="613">
        <f t="shared" si="90"/>
        <v>7.0090000000000003</v>
      </c>
      <c r="J55" s="718">
        <f t="shared" si="90"/>
        <v>3.6480000000000001</v>
      </c>
      <c r="K55" s="719">
        <f t="shared" si="90"/>
        <v>2.76</v>
      </c>
      <c r="L55" s="719">
        <f t="shared" si="90"/>
        <v>-1.2949999999999999</v>
      </c>
      <c r="M55" s="719">
        <f t="shared" si="90"/>
        <v>-3.0590000000000002</v>
      </c>
      <c r="N55" s="718">
        <f t="shared" si="90"/>
        <v>-2.5270000000000001</v>
      </c>
      <c r="O55" s="613">
        <f t="shared" si="90"/>
        <v>-1.5169999999999999</v>
      </c>
      <c r="P55" s="613">
        <f t="shared" si="90"/>
        <v>-11.319000000000001</v>
      </c>
      <c r="Q55" s="613">
        <f t="shared" si="90"/>
        <v>-10.252999999999998</v>
      </c>
      <c r="R55" s="718">
        <f t="shared" si="90"/>
        <v>2.395</v>
      </c>
      <c r="S55" s="613">
        <f t="shared" si="90"/>
        <v>0.86899999999999999</v>
      </c>
      <c r="T55" s="613">
        <f t="shared" ref="T55:U55" si="91">+T30</f>
        <v>0.218</v>
      </c>
      <c r="U55" s="613">
        <f t="shared" si="91"/>
        <v>-1.61</v>
      </c>
      <c r="V55" s="718">
        <f t="shared" ref="V55:W55" si="92">+V30</f>
        <v>1.6970000000000001</v>
      </c>
      <c r="W55" s="613">
        <f t="shared" si="92"/>
        <v>-1.7729999999999999</v>
      </c>
      <c r="X55" s="613">
        <f t="shared" ref="X55:Y55" si="93">+X30</f>
        <v>-1.298</v>
      </c>
      <c r="Y55" s="613">
        <f t="shared" si="93"/>
        <v>5.5309999999999997</v>
      </c>
      <c r="Z55" s="719"/>
      <c r="AA55" s="719"/>
      <c r="AB55" s="719"/>
      <c r="AC55" s="719"/>
      <c r="AD55" s="719"/>
      <c r="AE55" s="719"/>
      <c r="AF55" s="719"/>
      <c r="AG55" s="719"/>
      <c r="AH55" s="719"/>
      <c r="AI55" s="613">
        <f t="shared" si="90"/>
        <v>-0.34100000000000003</v>
      </c>
      <c r="AJ55" s="613">
        <f t="shared" si="90"/>
        <v>2.4529999999999998</v>
      </c>
      <c r="AK55" s="613">
        <f t="shared" si="90"/>
        <v>-4.1210000000000004</v>
      </c>
      <c r="AL55" s="613">
        <f t="shared" si="90"/>
        <v>-20.693999999999999</v>
      </c>
      <c r="AM55" s="613">
        <f t="shared" ref="AM55" si="94">+AM30</f>
        <v>1.1739999999999999</v>
      </c>
      <c r="AN55" s="719"/>
      <c r="AO55" s="614"/>
    </row>
    <row r="56" spans="1:41" outlineLevel="1" x14ac:dyDescent="0.25">
      <c r="A56" s="425" t="s">
        <v>354</v>
      </c>
      <c r="C56" s="568">
        <f t="shared" ref="C56:F56" si="95">+C53+C55</f>
        <v>4.5241571498291835</v>
      </c>
      <c r="D56" s="568">
        <f t="shared" si="95"/>
        <v>11.620533168009924</v>
      </c>
      <c r="E56" s="568">
        <f t="shared" si="95"/>
        <v>11.943225089032632</v>
      </c>
      <c r="F56" s="588">
        <f t="shared" si="95"/>
        <v>10.804275536728595</v>
      </c>
      <c r="G56" s="568">
        <f>+G53+G55</f>
        <v>-31.472098855392566</v>
      </c>
      <c r="H56" s="568">
        <f t="shared" ref="H56:AL56" si="96">+H53+H55</f>
        <v>-14.821338535112009</v>
      </c>
      <c r="I56" s="568">
        <f t="shared" si="96"/>
        <v>4.2331368869263519</v>
      </c>
      <c r="J56" s="588">
        <f t="shared" si="96"/>
        <v>1.8047834772304236</v>
      </c>
      <c r="K56" s="583">
        <f t="shared" si="96"/>
        <v>-12.563039456010751</v>
      </c>
      <c r="L56" s="583">
        <f t="shared" si="96"/>
        <v>4.1958590662959123</v>
      </c>
      <c r="M56" s="583">
        <f t="shared" si="96"/>
        <v>16.323807133421383</v>
      </c>
      <c r="N56" s="588">
        <f t="shared" si="96"/>
        <v>18.256112006120077</v>
      </c>
      <c r="O56" s="568">
        <f t="shared" si="96"/>
        <v>13.285396255850241</v>
      </c>
      <c r="P56" s="568">
        <f t="shared" si="96"/>
        <v>5.556754525116931</v>
      </c>
      <c r="Q56" s="568">
        <f t="shared" si="96"/>
        <v>9.6800268417091626</v>
      </c>
      <c r="R56" s="588">
        <f t="shared" si="96"/>
        <v>28.089813336164791</v>
      </c>
      <c r="S56" s="568">
        <f t="shared" si="96"/>
        <v>6.7880425940138114</v>
      </c>
      <c r="T56" s="568">
        <f t="shared" ref="T56:U56" si="97">+T53+T55</f>
        <v>14.46628334545456</v>
      </c>
      <c r="U56" s="568">
        <f t="shared" si="97"/>
        <v>15.467551743963231</v>
      </c>
      <c r="V56" s="588">
        <f t="shared" ref="V56:W56" si="98">+V53+V55</f>
        <v>21.656676363415531</v>
      </c>
      <c r="W56" s="568">
        <f t="shared" si="98"/>
        <v>7.1568916437098373</v>
      </c>
      <c r="X56" s="568">
        <f t="shared" ref="X56:Y56" si="99">+X53+X55</f>
        <v>12.15764890282126</v>
      </c>
      <c r="Y56" s="568">
        <f t="shared" si="99"/>
        <v>23.83340406041097</v>
      </c>
      <c r="Z56" s="583"/>
      <c r="AA56" s="583"/>
      <c r="AB56" s="583"/>
      <c r="AC56" s="583"/>
      <c r="AD56" s="583"/>
      <c r="AE56" s="583"/>
      <c r="AF56" s="583"/>
      <c r="AG56" s="583"/>
      <c r="AH56" s="583"/>
      <c r="AI56" s="568">
        <f t="shared" si="96"/>
        <v>38.614338048021779</v>
      </c>
      <c r="AJ56" s="568">
        <f t="shared" si="96"/>
        <v>-41.63232556854998</v>
      </c>
      <c r="AK56" s="568">
        <f t="shared" si="96"/>
        <v>24.59400899128962</v>
      </c>
      <c r="AL56" s="568">
        <f t="shared" si="96"/>
        <v>56.352566837880161</v>
      </c>
      <c r="AM56" s="568">
        <f t="shared" ref="AM56" si="100">+AM53+AM55</f>
        <v>58.905219551943397</v>
      </c>
      <c r="AN56" s="583"/>
      <c r="AO56" s="571"/>
    </row>
    <row r="57" spans="1:41" outlineLevel="1" x14ac:dyDescent="0.25">
      <c r="A57" s="425"/>
      <c r="C57" s="568"/>
      <c r="D57" s="568"/>
      <c r="E57" s="568"/>
      <c r="F57" s="588"/>
      <c r="G57" s="568"/>
      <c r="H57" s="568"/>
      <c r="I57" s="568"/>
      <c r="J57" s="588"/>
      <c r="K57" s="583"/>
      <c r="L57" s="583"/>
      <c r="M57" s="583"/>
      <c r="N57" s="588"/>
      <c r="O57" s="568"/>
      <c r="P57" s="568"/>
      <c r="Q57" s="568"/>
      <c r="R57" s="588"/>
      <c r="S57" s="568"/>
      <c r="T57" s="568"/>
      <c r="U57" s="568"/>
      <c r="V57" s="588"/>
      <c r="W57" s="568"/>
      <c r="X57" s="583"/>
      <c r="Y57" s="583"/>
      <c r="Z57" s="583"/>
      <c r="AA57" s="583"/>
      <c r="AB57" s="583"/>
      <c r="AC57" s="583"/>
      <c r="AD57" s="583"/>
      <c r="AE57" s="583"/>
      <c r="AF57" s="583"/>
      <c r="AG57" s="583"/>
      <c r="AH57" s="583"/>
      <c r="AI57" s="568"/>
      <c r="AJ57" s="568"/>
      <c r="AK57" s="568"/>
      <c r="AL57" s="568"/>
      <c r="AM57" s="568"/>
      <c r="AN57" s="583"/>
      <c r="AO57" s="571"/>
    </row>
    <row r="58" spans="1:41" ht="13" x14ac:dyDescent="0.3">
      <c r="A58" s="569" t="s">
        <v>355</v>
      </c>
      <c r="B58" s="570"/>
      <c r="C58" s="568"/>
      <c r="D58" s="568"/>
      <c r="E58" s="568"/>
      <c r="F58" s="588"/>
      <c r="G58" s="568"/>
      <c r="H58" s="568"/>
      <c r="I58" s="568"/>
      <c r="J58" s="588"/>
      <c r="K58" s="583"/>
      <c r="L58" s="583"/>
      <c r="M58" s="583"/>
      <c r="N58" s="588"/>
      <c r="O58" s="568"/>
      <c r="P58" s="568"/>
      <c r="Q58" s="568"/>
      <c r="R58" s="588"/>
      <c r="S58" s="568"/>
      <c r="T58" s="568"/>
      <c r="U58" s="568"/>
      <c r="V58" s="588"/>
      <c r="W58" s="568"/>
      <c r="X58" s="583"/>
      <c r="Y58" s="583"/>
      <c r="Z58" s="583"/>
      <c r="AA58" s="583"/>
      <c r="AB58" s="583"/>
      <c r="AC58" s="583"/>
      <c r="AD58" s="583"/>
      <c r="AE58" s="583"/>
      <c r="AF58" s="583"/>
      <c r="AG58" s="583"/>
      <c r="AH58" s="583"/>
      <c r="AI58" s="568"/>
      <c r="AJ58" s="568"/>
      <c r="AK58" s="568"/>
      <c r="AL58" s="568"/>
      <c r="AM58" s="568"/>
      <c r="AN58" s="583"/>
      <c r="AO58" s="571"/>
    </row>
    <row r="59" spans="1:41" ht="13" x14ac:dyDescent="0.3">
      <c r="A59" s="163"/>
      <c r="B59" s="163"/>
      <c r="C59" s="568"/>
      <c r="D59" s="568"/>
      <c r="E59" s="568"/>
      <c r="F59" s="588"/>
      <c r="G59" s="568"/>
      <c r="H59" s="568"/>
      <c r="I59" s="568"/>
      <c r="J59" s="588"/>
      <c r="K59" s="583"/>
      <c r="L59" s="583"/>
      <c r="M59" s="583"/>
      <c r="N59" s="588"/>
      <c r="O59" s="568"/>
      <c r="P59" s="568"/>
      <c r="Q59" s="568"/>
      <c r="R59" s="588"/>
      <c r="S59" s="568"/>
      <c r="T59" s="568"/>
      <c r="U59" s="568"/>
      <c r="V59" s="588"/>
      <c r="W59" s="568"/>
      <c r="X59" s="583"/>
      <c r="Y59" s="583"/>
      <c r="Z59" s="583"/>
      <c r="AA59" s="583"/>
      <c r="AB59" s="583"/>
      <c r="AC59" s="583"/>
      <c r="AD59" s="583"/>
      <c r="AE59" s="583"/>
      <c r="AF59" s="583"/>
      <c r="AG59" s="583"/>
      <c r="AH59" s="583"/>
      <c r="AI59" s="568"/>
      <c r="AJ59" s="568"/>
      <c r="AK59" s="568"/>
      <c r="AL59" s="568"/>
      <c r="AM59" s="568"/>
      <c r="AN59" s="583"/>
      <c r="AO59" s="571"/>
    </row>
    <row r="60" spans="1:41" ht="13" x14ac:dyDescent="0.3">
      <c r="A60" s="374" t="s">
        <v>37</v>
      </c>
      <c r="C60" s="568"/>
      <c r="D60" s="568"/>
      <c r="E60" s="568"/>
      <c r="F60" s="588"/>
      <c r="G60" s="568"/>
      <c r="H60" s="568"/>
      <c r="I60" s="568"/>
      <c r="J60" s="588"/>
      <c r="K60" s="583"/>
      <c r="L60" s="583"/>
      <c r="M60" s="583"/>
      <c r="N60" s="588"/>
      <c r="O60" s="568"/>
      <c r="P60" s="568"/>
      <c r="Q60" s="568"/>
      <c r="R60" s="588"/>
      <c r="S60" s="568"/>
      <c r="T60" s="1018"/>
      <c r="U60" s="1018"/>
      <c r="V60" s="1400"/>
      <c r="W60" s="1018"/>
      <c r="X60" s="583"/>
      <c r="Y60" s="583"/>
      <c r="Z60" s="583"/>
      <c r="AA60" s="583"/>
      <c r="AB60" s="583"/>
      <c r="AC60" s="583"/>
      <c r="AD60" s="583"/>
      <c r="AE60" s="583"/>
      <c r="AF60" s="583"/>
      <c r="AG60" s="583"/>
      <c r="AH60" s="583"/>
      <c r="AI60" s="568"/>
      <c r="AJ60" s="568"/>
      <c r="AK60" s="568"/>
      <c r="AL60" s="568"/>
      <c r="AM60" s="568"/>
      <c r="AN60" s="583"/>
      <c r="AO60" s="571"/>
    </row>
    <row r="61" spans="1:41" x14ac:dyDescent="0.25">
      <c r="A61" s="132" t="s">
        <v>356</v>
      </c>
      <c r="C61" s="568"/>
      <c r="D61" s="568"/>
      <c r="E61" s="568"/>
      <c r="F61" s="588"/>
      <c r="G61" s="568">
        <f>0.069+0.156-H61-I61</f>
        <v>0.17100000000000001</v>
      </c>
      <c r="H61" s="568">
        <v>2.5999999999999999E-2</v>
      </c>
      <c r="I61" s="568">
        <v>2.8000000000000001E-2</v>
      </c>
      <c r="J61" s="588">
        <f>+AJ61-SUM(G61:I61)</f>
        <v>3.1E-2</v>
      </c>
      <c r="K61" s="583">
        <v>3.3000000000000002E-2</v>
      </c>
      <c r="L61" s="583">
        <v>4.1000000000000002E-2</v>
      </c>
      <c r="M61" s="583">
        <v>3.0000000000000001E-3</v>
      </c>
      <c r="N61" s="588">
        <f>+AK61-SUM(K61:M61)</f>
        <v>8.5999999999999993E-2</v>
      </c>
      <c r="O61" s="568">
        <v>0.27400000000000002</v>
      </c>
      <c r="P61" s="568">
        <v>0.27700000000000002</v>
      </c>
      <c r="Q61" s="568">
        <v>0.29199999999999998</v>
      </c>
      <c r="R61" s="588">
        <f>+AL61-SUM(O61:Q61)</f>
        <v>0.26</v>
      </c>
      <c r="S61" s="568">
        <v>0.27500000000000002</v>
      </c>
      <c r="T61" s="1020">
        <v>0.313</v>
      </c>
      <c r="U61" s="1020">
        <v>0.33</v>
      </c>
      <c r="V61" s="1401">
        <f>+AM61-U61-T61-S61</f>
        <v>0.36099999999999988</v>
      </c>
      <c r="W61" s="1020">
        <v>0.35699999999999998</v>
      </c>
      <c r="X61" s="1020">
        <v>0.41</v>
      </c>
      <c r="Y61" s="1020">
        <v>0.41399999999999998</v>
      </c>
      <c r="Z61" s="583"/>
      <c r="AA61" s="583"/>
      <c r="AB61" s="583"/>
      <c r="AC61" s="583"/>
      <c r="AD61" s="583"/>
      <c r="AE61" s="583"/>
      <c r="AF61" s="583"/>
      <c r="AG61" s="583"/>
      <c r="AH61" s="583"/>
      <c r="AI61" s="568">
        <v>0.17100000000000001</v>
      </c>
      <c r="AJ61" s="568">
        <v>0.25600000000000001</v>
      </c>
      <c r="AK61" s="568">
        <v>0.16300000000000001</v>
      </c>
      <c r="AL61" s="568">
        <v>1.103</v>
      </c>
      <c r="AM61" s="568">
        <v>1.2789999999999999</v>
      </c>
      <c r="AN61" s="583"/>
      <c r="AO61" s="571"/>
    </row>
    <row r="62" spans="1:41" x14ac:dyDescent="0.25">
      <c r="A62" s="132" t="s">
        <v>341</v>
      </c>
      <c r="C62" s="568"/>
      <c r="D62" s="568"/>
      <c r="E62" s="568"/>
      <c r="F62" s="588"/>
      <c r="G62" s="568">
        <f>0.127-H62-I62</f>
        <v>2.7999999999999997E-2</v>
      </c>
      <c r="H62" s="568">
        <v>4.9000000000000002E-2</v>
      </c>
      <c r="I62" s="568">
        <v>0.05</v>
      </c>
      <c r="J62" s="588">
        <f>+AJ62-SUM(G62:I62)</f>
        <v>5.1999999999999991E-2</v>
      </c>
      <c r="K62" s="583">
        <v>5.3999999999999999E-2</v>
      </c>
      <c r="L62" s="583">
        <v>6.7000000000000004E-2</v>
      </c>
      <c r="M62" s="583">
        <v>5.5E-2</v>
      </c>
      <c r="N62" s="588">
        <f>+AK62-SUM(K62:M62)</f>
        <v>0.28300000000000003</v>
      </c>
      <c r="O62" s="568">
        <v>0.20399999999999999</v>
      </c>
      <c r="P62" s="568">
        <v>0.312</v>
      </c>
      <c r="Q62" s="568">
        <v>0.40200000000000002</v>
      </c>
      <c r="R62" s="588">
        <f>+AL62-SUM(O62:Q62)</f>
        <v>0.43299999999999994</v>
      </c>
      <c r="S62" s="568">
        <v>0.45700000000000002</v>
      </c>
      <c r="T62" s="1020">
        <v>0.56799999999999995</v>
      </c>
      <c r="U62" s="1020">
        <v>0.64</v>
      </c>
      <c r="V62" s="1401">
        <f>+AM62-U62-T62-S62</f>
        <v>0.58099999999999974</v>
      </c>
      <c r="W62" s="1020">
        <v>0.65400000000000003</v>
      </c>
      <c r="X62" s="1020">
        <v>0.68300000000000005</v>
      </c>
      <c r="Y62" s="1020">
        <v>0.70299999999999996</v>
      </c>
      <c r="Z62" s="583"/>
      <c r="AA62" s="583"/>
      <c r="AB62" s="583"/>
      <c r="AC62" s="583"/>
      <c r="AD62" s="583"/>
      <c r="AE62" s="583"/>
      <c r="AF62" s="583"/>
      <c r="AG62" s="583"/>
      <c r="AH62" s="583"/>
      <c r="AI62" s="568">
        <v>9.1999999999999998E-2</v>
      </c>
      <c r="AJ62" s="568">
        <v>0.17899999999999999</v>
      </c>
      <c r="AK62" s="568">
        <v>0.45900000000000002</v>
      </c>
      <c r="AL62" s="568">
        <v>1.351</v>
      </c>
      <c r="AM62" s="568">
        <v>2.246</v>
      </c>
      <c r="AN62" s="583"/>
      <c r="AO62" s="571"/>
    </row>
    <row r="63" spans="1:41" s="413" customFormat="1" ht="14" x14ac:dyDescent="0.4">
      <c r="A63" s="132" t="s">
        <v>357</v>
      </c>
      <c r="C63" s="612"/>
      <c r="D63" s="612"/>
      <c r="E63" s="612"/>
      <c r="F63" s="617"/>
      <c r="G63" s="612">
        <f>1.135+3.82-H63-I63</f>
        <v>4.0579999999999998</v>
      </c>
      <c r="H63" s="612">
        <v>0.44500000000000001</v>
      </c>
      <c r="I63" s="612">
        <v>0.45200000000000001</v>
      </c>
      <c r="J63" s="617">
        <f>+AJ63-SUM(G63:I63)</f>
        <v>0.46199999999999974</v>
      </c>
      <c r="K63" s="612">
        <v>0.47499999999999998</v>
      </c>
      <c r="L63" s="612">
        <v>2.556</v>
      </c>
      <c r="M63" s="612">
        <v>1.2849999999999999</v>
      </c>
      <c r="N63" s="617">
        <f>+AK63-SUM(K63:M63)</f>
        <v>4.5919999999999996</v>
      </c>
      <c r="O63" s="612">
        <v>1.381</v>
      </c>
      <c r="P63" s="612">
        <v>1.3540000000000001</v>
      </c>
      <c r="Q63" s="612">
        <v>1.3280000000000001</v>
      </c>
      <c r="R63" s="617">
        <f>+AL63-SUM(O63:Q63)</f>
        <v>1.3389999999999995</v>
      </c>
      <c r="S63" s="612">
        <v>1.3260000000000001</v>
      </c>
      <c r="T63" s="1021">
        <v>2.72</v>
      </c>
      <c r="U63" s="1021">
        <v>3.82</v>
      </c>
      <c r="V63" s="1402">
        <f>+AM63-U63-T63-S63</f>
        <v>3.8739999999999992</v>
      </c>
      <c r="W63" s="1021">
        <v>3.74</v>
      </c>
      <c r="X63" s="1021">
        <v>3.9550000000000001</v>
      </c>
      <c r="Y63" s="1021">
        <v>8.3870000000000005</v>
      </c>
      <c r="Z63" s="612"/>
      <c r="AA63" s="612"/>
      <c r="AB63" s="612"/>
      <c r="AC63" s="612"/>
      <c r="AD63" s="612"/>
      <c r="AE63" s="612"/>
      <c r="AF63" s="612"/>
      <c r="AG63" s="612"/>
      <c r="AH63" s="612"/>
      <c r="AI63" s="612">
        <v>0.95299999999999996</v>
      </c>
      <c r="AJ63" s="612">
        <v>5.4169999999999998</v>
      </c>
      <c r="AK63" s="612">
        <v>8.9079999999999995</v>
      </c>
      <c r="AL63" s="612">
        <v>5.4020000000000001</v>
      </c>
      <c r="AM63" s="612">
        <v>11.74</v>
      </c>
      <c r="AN63" s="719"/>
      <c r="AO63" s="614"/>
    </row>
    <row r="64" spans="1:41" s="163" customFormat="1" ht="13" x14ac:dyDescent="0.3">
      <c r="A64" s="426" t="s">
        <v>358</v>
      </c>
      <c r="C64" s="615">
        <f t="shared" ref="C64:E64" si="101">+C72</f>
        <v>0.35399999999999998</v>
      </c>
      <c r="D64" s="615">
        <f t="shared" si="101"/>
        <v>0.32400000000000001</v>
      </c>
      <c r="E64" s="615">
        <f t="shared" si="101"/>
        <v>0.27400000000000002</v>
      </c>
      <c r="F64" s="618">
        <f>+F72</f>
        <v>0.26400000000000001</v>
      </c>
      <c r="G64" s="615">
        <f t="shared" ref="G64:X64" si="102">+SUM(G61:G63)</f>
        <v>4.2569999999999997</v>
      </c>
      <c r="H64" s="615">
        <f t="shared" si="102"/>
        <v>0.52</v>
      </c>
      <c r="I64" s="615">
        <f t="shared" si="102"/>
        <v>0.53</v>
      </c>
      <c r="J64" s="618">
        <f t="shared" si="102"/>
        <v>0.54499999999999971</v>
      </c>
      <c r="K64" s="615">
        <f t="shared" si="102"/>
        <v>0.56199999999999994</v>
      </c>
      <c r="L64" s="615">
        <f t="shared" si="102"/>
        <v>2.6640000000000001</v>
      </c>
      <c r="M64" s="615">
        <f t="shared" si="102"/>
        <v>1.343</v>
      </c>
      <c r="N64" s="618">
        <f t="shared" si="102"/>
        <v>4.9609999999999994</v>
      </c>
      <c r="O64" s="615">
        <f t="shared" si="102"/>
        <v>1.859</v>
      </c>
      <c r="P64" s="615">
        <f t="shared" si="102"/>
        <v>1.9430000000000001</v>
      </c>
      <c r="Q64" s="615">
        <f t="shared" si="102"/>
        <v>2.0220000000000002</v>
      </c>
      <c r="R64" s="618">
        <f t="shared" si="102"/>
        <v>2.0319999999999996</v>
      </c>
      <c r="S64" s="615">
        <f t="shared" si="102"/>
        <v>2.0579999999999998</v>
      </c>
      <c r="T64" s="615">
        <f t="shared" si="102"/>
        <v>3.601</v>
      </c>
      <c r="U64" s="615">
        <f t="shared" si="102"/>
        <v>4.79</v>
      </c>
      <c r="V64" s="618">
        <f>+AM64-U64-T64-S64</f>
        <v>4.8160000000000016</v>
      </c>
      <c r="W64" s="615">
        <f t="shared" si="102"/>
        <v>4.7510000000000003</v>
      </c>
      <c r="X64" s="615">
        <f t="shared" si="102"/>
        <v>5.048</v>
      </c>
      <c r="Y64" s="615">
        <f>Y72</f>
        <v>9.5039999999999996</v>
      </c>
      <c r="Z64" s="615"/>
      <c r="AA64" s="615"/>
      <c r="AB64" s="615"/>
      <c r="AC64" s="615"/>
      <c r="AD64" s="615"/>
      <c r="AE64" s="615"/>
      <c r="AF64" s="615"/>
      <c r="AG64" s="615"/>
      <c r="AH64" s="615"/>
      <c r="AI64" s="615">
        <f t="shared" ref="AI64:AK64" si="103">+SUM(AI61:AI63)</f>
        <v>1.216</v>
      </c>
      <c r="AJ64" s="615">
        <f t="shared" si="103"/>
        <v>5.8519999999999994</v>
      </c>
      <c r="AK64" s="615">
        <f t="shared" si="103"/>
        <v>9.5299999999999994</v>
      </c>
      <c r="AL64" s="615">
        <f>+SUM(AL61:AL63)</f>
        <v>7.8559999999999999</v>
      </c>
      <c r="AM64" s="615">
        <f>+SUM(AM61:AM63)</f>
        <v>15.265000000000001</v>
      </c>
      <c r="AN64" s="594"/>
      <c r="AO64" s="573"/>
    </row>
    <row r="65" spans="1:41" x14ac:dyDescent="0.25">
      <c r="C65" s="568"/>
      <c r="D65" s="568"/>
      <c r="E65" s="568"/>
      <c r="F65" s="588"/>
      <c r="G65" s="568"/>
      <c r="H65" s="568"/>
      <c r="I65" s="568"/>
      <c r="J65" s="588"/>
      <c r="K65" s="583"/>
      <c r="L65" s="583"/>
      <c r="M65" s="583"/>
      <c r="N65" s="588"/>
      <c r="O65" s="568"/>
      <c r="P65" s="568"/>
      <c r="Q65" s="568"/>
      <c r="R65" s="588"/>
      <c r="S65" s="568"/>
      <c r="T65" s="568"/>
      <c r="U65" s="568"/>
      <c r="V65" s="588"/>
      <c r="W65" s="568"/>
      <c r="X65" s="583"/>
      <c r="Y65" s="583"/>
      <c r="Z65" s="583"/>
      <c r="AA65" s="583"/>
      <c r="AB65" s="583"/>
      <c r="AC65" s="583"/>
      <c r="AD65" s="583"/>
      <c r="AE65" s="583"/>
      <c r="AF65" s="583"/>
      <c r="AG65" s="583"/>
      <c r="AH65" s="583"/>
      <c r="AI65" s="568"/>
      <c r="AJ65" s="568"/>
      <c r="AK65" s="568"/>
      <c r="AL65" s="568"/>
      <c r="AM65" s="568"/>
      <c r="AN65" s="583"/>
      <c r="AO65" s="571"/>
    </row>
    <row r="66" spans="1:41" ht="13" x14ac:dyDescent="0.3">
      <c r="A66" s="374" t="s">
        <v>145</v>
      </c>
      <c r="C66" s="568"/>
      <c r="D66" s="568"/>
      <c r="E66" s="568"/>
      <c r="F66" s="588"/>
      <c r="G66" s="568"/>
      <c r="H66" s="568"/>
      <c r="I66" s="568"/>
      <c r="J66" s="588"/>
      <c r="K66" s="583"/>
      <c r="L66" s="583"/>
      <c r="M66" s="583"/>
      <c r="N66" s="588"/>
      <c r="O66" s="568"/>
      <c r="P66" s="568"/>
      <c r="Q66" s="568"/>
      <c r="R66" s="588"/>
      <c r="S66" s="568"/>
      <c r="T66" s="568"/>
      <c r="U66" s="568"/>
      <c r="V66" s="588"/>
      <c r="W66" s="568"/>
      <c r="X66" s="583"/>
      <c r="Y66" s="583"/>
      <c r="Z66" s="583"/>
      <c r="AA66" s="583"/>
      <c r="AB66" s="583"/>
      <c r="AC66" s="583"/>
      <c r="AD66" s="583"/>
      <c r="AE66" s="583"/>
      <c r="AF66" s="583"/>
      <c r="AG66" s="583"/>
      <c r="AH66" s="583"/>
      <c r="AI66" s="568"/>
      <c r="AJ66" s="568"/>
      <c r="AK66" s="568"/>
      <c r="AL66" s="568"/>
      <c r="AM66" s="568"/>
      <c r="AN66" s="583"/>
      <c r="AO66" s="571"/>
    </row>
    <row r="67" spans="1:41" x14ac:dyDescent="0.25">
      <c r="A67" s="132" t="s">
        <v>352</v>
      </c>
      <c r="C67" s="611">
        <f>+Daloopa!C324/1000</f>
        <v>3.1960000000000002</v>
      </c>
      <c r="D67" s="611">
        <f>+Daloopa!D324/1000</f>
        <v>10.72</v>
      </c>
      <c r="E67" s="611">
        <f>+Daloopa!E324/1000</f>
        <v>11.587</v>
      </c>
      <c r="F67" s="616">
        <f>+Daloopa!F324/1000</f>
        <v>8.7469999999999999</v>
      </c>
      <c r="G67" s="611">
        <f>-36.53-21.814</f>
        <v>-58.344000000000001</v>
      </c>
      <c r="H67" s="611">
        <f>+Daloopa!H324/1000</f>
        <v>-16.366</v>
      </c>
      <c r="I67" s="611">
        <f>+Daloopa!I324/1000</f>
        <v>-3.452</v>
      </c>
      <c r="J67" s="616">
        <f>+Daloopa!J324/1000</f>
        <v>-5.86</v>
      </c>
      <c r="K67" s="611">
        <f>+Daloopa!K324/1000</f>
        <v>-19.388999999999999</v>
      </c>
      <c r="L67" s="611">
        <f>+Daloopa!L324/1000</f>
        <v>3.77</v>
      </c>
      <c r="M67" s="611">
        <f>+Daloopa!M324/1000</f>
        <v>16.285</v>
      </c>
      <c r="N67" s="616">
        <f>+Daloopa!N324/1000</f>
        <v>15.385</v>
      </c>
      <c r="O67" s="611">
        <f>+Daloopa!O324/1000</f>
        <v>13.013</v>
      </c>
      <c r="P67" s="611">
        <f>+Daloopa!P324/1000</f>
        <v>14.236000000000001</v>
      </c>
      <c r="Q67" s="611">
        <v>17.209</v>
      </c>
      <c r="R67" s="616">
        <v>20.146000000000001</v>
      </c>
      <c r="S67" s="611">
        <v>1.925</v>
      </c>
      <c r="T67" s="611">
        <v>9.782</v>
      </c>
      <c r="U67" s="611">
        <v>10.773</v>
      </c>
      <c r="V67" s="616">
        <v>14.813000000000001</v>
      </c>
      <c r="W67" s="611">
        <v>-2.9079999999999999</v>
      </c>
      <c r="X67" s="611">
        <v>1.861</v>
      </c>
      <c r="Y67" s="611">
        <v>-8.86</v>
      </c>
      <c r="Z67" s="611"/>
      <c r="AA67" s="611"/>
      <c r="AB67" s="611"/>
      <c r="AC67" s="611"/>
      <c r="AD67" s="611"/>
      <c r="AE67" s="611"/>
      <c r="AF67" s="611"/>
      <c r="AG67" s="611"/>
      <c r="AH67" s="611"/>
      <c r="AI67" s="611">
        <f t="shared" ref="AI67:AI78" si="104">+SUM(C67:F67)</f>
        <v>34.25</v>
      </c>
      <c r="AJ67" s="611">
        <f t="shared" ref="AJ67:AJ78" si="105">SUM(G67:J67)</f>
        <v>-84.022000000000006</v>
      </c>
      <c r="AK67" s="611">
        <f t="shared" ref="AK67:AK78" si="106">SUM(K67:N67)</f>
        <v>16.051000000000002</v>
      </c>
      <c r="AL67" s="611">
        <f t="shared" ref="AL67:AL78" si="107">SUM(O67:R67)</f>
        <v>64.603999999999999</v>
      </c>
      <c r="AM67" s="611">
        <f t="shared" ref="AM67:AM78" si="108">+SUM(S67:V67)</f>
        <v>37.292999999999999</v>
      </c>
      <c r="AN67" s="583"/>
      <c r="AO67" s="571"/>
    </row>
    <row r="68" spans="1:41" x14ac:dyDescent="0.25">
      <c r="A68" s="132" t="s">
        <v>359</v>
      </c>
      <c r="C68" s="611">
        <f>+Daloopa!C325/1000</f>
        <v>13.023</v>
      </c>
      <c r="D68" s="611">
        <f>+Daloopa!D325/1000</f>
        <v>12.829000000000001</v>
      </c>
      <c r="E68" s="611">
        <f>+Daloopa!E325/1000</f>
        <v>12.757</v>
      </c>
      <c r="F68" s="616">
        <f>+Daloopa!F325/1000</f>
        <v>12.41</v>
      </c>
      <c r="G68" s="611">
        <f>4.489+12.83</f>
        <v>17.318999999999999</v>
      </c>
      <c r="H68" s="611">
        <f>+Daloopa!H325/1000</f>
        <v>13.663</v>
      </c>
      <c r="I68" s="611">
        <f>+Daloopa!I325/1000</f>
        <v>11.63</v>
      </c>
      <c r="J68" s="616">
        <f>+Daloopa!J325/1000</f>
        <v>9.2609999999999992</v>
      </c>
      <c r="K68" s="611">
        <f>+Daloopa!K325/1000</f>
        <v>6.7169999999999996</v>
      </c>
      <c r="L68" s="611">
        <f>+Daloopa!L325/1000</f>
        <v>10.452</v>
      </c>
      <c r="M68" s="611">
        <f>+Daloopa!M325/1000</f>
        <v>4.7060000000000004</v>
      </c>
      <c r="N68" s="616">
        <f>+Daloopa!N325/1000</f>
        <v>3.097</v>
      </c>
      <c r="O68" s="611">
        <f>+Daloopa!O325/1000</f>
        <v>-0.85</v>
      </c>
      <c r="P68" s="611">
        <f>+Daloopa!P325/1000</f>
        <v>3.1120000000000001</v>
      </c>
      <c r="Q68" s="611">
        <v>1.74</v>
      </c>
      <c r="R68" s="616">
        <v>5.1970000000000001</v>
      </c>
      <c r="S68" s="611">
        <v>8.6809999999999992</v>
      </c>
      <c r="T68" s="611">
        <v>3.887</v>
      </c>
      <c r="U68" s="611">
        <v>7.5570000000000004</v>
      </c>
      <c r="V68" s="616">
        <v>12.914999999999999</v>
      </c>
      <c r="W68" s="611">
        <v>3.57</v>
      </c>
      <c r="X68" s="611">
        <v>7.3529999999999998</v>
      </c>
      <c r="Y68" s="611">
        <v>17.190999999999999</v>
      </c>
      <c r="Z68" s="611"/>
      <c r="AA68" s="611"/>
      <c r="AB68" s="611"/>
      <c r="AC68" s="611"/>
      <c r="AD68" s="611"/>
      <c r="AE68" s="611"/>
      <c r="AF68" s="611"/>
      <c r="AG68" s="611"/>
      <c r="AH68" s="611"/>
      <c r="AI68" s="611">
        <f t="shared" si="104"/>
        <v>51.019000000000005</v>
      </c>
      <c r="AJ68" s="611">
        <f t="shared" si="105"/>
        <v>51.873000000000005</v>
      </c>
      <c r="AK68" s="611">
        <f t="shared" si="106"/>
        <v>24.972000000000001</v>
      </c>
      <c r="AL68" s="611">
        <f t="shared" si="107"/>
        <v>9.1989999999999998</v>
      </c>
      <c r="AM68" s="611">
        <f t="shared" si="108"/>
        <v>33.04</v>
      </c>
      <c r="AN68" s="583"/>
      <c r="AO68" s="571"/>
    </row>
    <row r="69" spans="1:41" x14ac:dyDescent="0.25">
      <c r="A69" s="132" t="s">
        <v>360</v>
      </c>
      <c r="C69" s="611">
        <f>+Daloopa!C326/1000</f>
        <v>0.90200000000000002</v>
      </c>
      <c r="D69" s="611">
        <f>+Daloopa!D326/1000</f>
        <v>2.1840000000000002</v>
      </c>
      <c r="E69" s="611">
        <f>+Daloopa!E326/1000</f>
        <v>2.1720000000000002</v>
      </c>
      <c r="F69" s="616">
        <f>+Daloopa!F326/1000</f>
        <v>1.64</v>
      </c>
      <c r="G69" s="611">
        <f>-0.871-4.92</f>
        <v>-5.7910000000000004</v>
      </c>
      <c r="H69" s="611">
        <f>+Daloopa!H326/1000</f>
        <v>-3.4990000000000001</v>
      </c>
      <c r="I69" s="611">
        <f>+Daloopa!I326/1000</f>
        <v>-2.8889999999999998</v>
      </c>
      <c r="J69" s="616">
        <f>+Daloopa!J326/1000</f>
        <v>-4.7E-2</v>
      </c>
      <c r="K69" s="611">
        <f>+Daloopa!K326/1000</f>
        <v>-4.4349999999999996</v>
      </c>
      <c r="L69" s="611">
        <f>+Daloopa!L326/1000</f>
        <v>3.0630000000000002</v>
      </c>
      <c r="M69" s="611">
        <f>+Daloopa!M326/1000</f>
        <v>3.3969999999999998</v>
      </c>
      <c r="N69" s="616">
        <f>+Daloopa!N326/1000</f>
        <v>6.8369999999999997</v>
      </c>
      <c r="O69" s="611">
        <f>+Daloopa!O326/1000</f>
        <v>4.9349999999999996</v>
      </c>
      <c r="P69" s="611">
        <f>+Daloopa!P326/1000</f>
        <v>5.4320000000000004</v>
      </c>
      <c r="Q69" s="611">
        <v>6.7089999999999996</v>
      </c>
      <c r="R69" s="616">
        <v>3.399</v>
      </c>
      <c r="S69" s="611">
        <v>0.68100000000000005</v>
      </c>
      <c r="T69" s="611">
        <v>3.968</v>
      </c>
      <c r="U69" s="611">
        <v>4.8810000000000002</v>
      </c>
      <c r="V69" s="616">
        <v>1.653</v>
      </c>
      <c r="W69" s="611">
        <v>-1.3879999999999999</v>
      </c>
      <c r="X69" s="611">
        <v>0.68899999999999995</v>
      </c>
      <c r="Y69" s="611">
        <v>0.78200000000000003</v>
      </c>
      <c r="Z69" s="611"/>
      <c r="AA69" s="611"/>
      <c r="AB69" s="611"/>
      <c r="AC69" s="611"/>
      <c r="AD69" s="611"/>
      <c r="AE69" s="611"/>
      <c r="AF69" s="611"/>
      <c r="AG69" s="611"/>
      <c r="AH69" s="611"/>
      <c r="AI69" s="611">
        <f t="shared" si="104"/>
        <v>6.8980000000000006</v>
      </c>
      <c r="AJ69" s="611">
        <f t="shared" si="105"/>
        <v>-12.226000000000001</v>
      </c>
      <c r="AK69" s="611">
        <f t="shared" si="106"/>
        <v>8.8620000000000001</v>
      </c>
      <c r="AL69" s="611">
        <f t="shared" si="107"/>
        <v>20.475000000000001</v>
      </c>
      <c r="AM69" s="611">
        <f t="shared" si="108"/>
        <v>11.183000000000002</v>
      </c>
      <c r="AN69" s="583"/>
      <c r="AO69" s="571"/>
    </row>
    <row r="70" spans="1:41" x14ac:dyDescent="0.25">
      <c r="A70" s="132" t="s">
        <v>343</v>
      </c>
      <c r="C70" s="611">
        <f>+Daloopa!C327/1000</f>
        <v>6.2679999999999998</v>
      </c>
      <c r="D70" s="611">
        <f>+Daloopa!D327/1000</f>
        <v>6.5449999999999999</v>
      </c>
      <c r="E70" s="611">
        <f>+Daloopa!E327/1000</f>
        <v>6.5519999999999996</v>
      </c>
      <c r="F70" s="616">
        <f>+Daloopa!F327/1000</f>
        <v>6.5880000000000001</v>
      </c>
      <c r="G70" s="611">
        <f>2.105+24.487</f>
        <v>26.591999999999999</v>
      </c>
      <c r="H70" s="611">
        <f>+Daloopa!H327/1000</f>
        <v>36.572000000000003</v>
      </c>
      <c r="I70" s="611">
        <f>+Daloopa!I327/1000</f>
        <v>36.756</v>
      </c>
      <c r="J70" s="616">
        <f>+Daloopa!J327/1000</f>
        <v>37.241999999999997</v>
      </c>
      <c r="K70" s="611">
        <f>+Daloopa!K327/1000</f>
        <v>34.762999999999998</v>
      </c>
      <c r="L70" s="611">
        <f>+Daloopa!L327/1000</f>
        <v>35.917999999999999</v>
      </c>
      <c r="M70" s="611">
        <f>+Daloopa!M327/1000</f>
        <v>35.811999999999998</v>
      </c>
      <c r="N70" s="616">
        <f>+Daloopa!N327/1000</f>
        <v>36.322000000000003</v>
      </c>
      <c r="O70" s="611">
        <f>+Daloopa!O327/1000</f>
        <v>34.033999999999999</v>
      </c>
      <c r="P70" s="611">
        <f>+Daloopa!P327/1000</f>
        <v>34.406999999999996</v>
      </c>
      <c r="Q70" s="611">
        <v>34.744</v>
      </c>
      <c r="R70" s="616">
        <v>35.061</v>
      </c>
      <c r="S70" s="611">
        <v>31.866</v>
      </c>
      <c r="T70" s="611">
        <v>32.055999999999997</v>
      </c>
      <c r="U70" s="611">
        <v>32.418999999999997</v>
      </c>
      <c r="V70" s="616">
        <v>33.131999999999998</v>
      </c>
      <c r="W70" s="611">
        <v>29.821999999999999</v>
      </c>
      <c r="X70" s="611">
        <v>29.978000000000002</v>
      </c>
      <c r="Y70" s="611">
        <v>30.167999999999999</v>
      </c>
      <c r="Z70" s="611"/>
      <c r="AA70" s="611"/>
      <c r="AB70" s="611"/>
      <c r="AC70" s="611"/>
      <c r="AD70" s="611"/>
      <c r="AE70" s="611"/>
      <c r="AF70" s="611"/>
      <c r="AG70" s="611"/>
      <c r="AH70" s="611"/>
      <c r="AI70" s="611">
        <f t="shared" si="104"/>
        <v>25.952999999999999</v>
      </c>
      <c r="AJ70" s="611">
        <f t="shared" si="105"/>
        <v>137.16200000000001</v>
      </c>
      <c r="AK70" s="611">
        <f t="shared" si="106"/>
        <v>142.815</v>
      </c>
      <c r="AL70" s="611">
        <f t="shared" si="107"/>
        <v>138.24600000000001</v>
      </c>
      <c r="AM70" s="611">
        <f t="shared" si="108"/>
        <v>129.47299999999998</v>
      </c>
      <c r="AN70" s="583"/>
      <c r="AO70" s="571"/>
    </row>
    <row r="71" spans="1:41" x14ac:dyDescent="0.25">
      <c r="A71" s="132" t="s">
        <v>348</v>
      </c>
      <c r="C71" s="611">
        <f>+Daloopa!C328/1000</f>
        <v>0</v>
      </c>
      <c r="D71" s="611">
        <f>+Daloopa!D328/1000</f>
        <v>0</v>
      </c>
      <c r="E71" s="611">
        <f>+Daloopa!E328/1000</f>
        <v>0</v>
      </c>
      <c r="F71" s="616">
        <f>+Daloopa!F328/1000</f>
        <v>0</v>
      </c>
      <c r="G71" s="611">
        <v>10.532999999999999</v>
      </c>
      <c r="H71" s="611">
        <f>+Daloopa!H328/1000</f>
        <v>0</v>
      </c>
      <c r="I71" s="611">
        <f>+Daloopa!I328/1000</f>
        <v>0</v>
      </c>
      <c r="J71" s="616">
        <f>+Daloopa!J328/1000</f>
        <v>0</v>
      </c>
      <c r="K71" s="611">
        <f>+Daloopa!K328/1000</f>
        <v>13.938000000000001</v>
      </c>
      <c r="L71" s="611">
        <f>+Daloopa!L328/1000</f>
        <v>0</v>
      </c>
      <c r="M71" s="611">
        <f>+Daloopa!M328/1000</f>
        <v>0</v>
      </c>
      <c r="N71" s="616">
        <f>+Daloopa!N328/1000</f>
        <v>0</v>
      </c>
      <c r="O71" s="611">
        <f>+Daloopa!O328/1000</f>
        <v>0</v>
      </c>
      <c r="P71" s="611">
        <f>+Daloopa!P328/1000</f>
        <v>0</v>
      </c>
      <c r="Q71" s="611">
        <v>0</v>
      </c>
      <c r="R71" s="616">
        <v>0</v>
      </c>
      <c r="S71" s="611">
        <v>0</v>
      </c>
      <c r="T71" s="611">
        <v>0</v>
      </c>
      <c r="U71" s="611">
        <v>0</v>
      </c>
      <c r="V71" s="616">
        <v>0</v>
      </c>
      <c r="W71" s="611">
        <v>0</v>
      </c>
      <c r="X71" s="611">
        <v>0</v>
      </c>
      <c r="Y71" s="611">
        <v>0</v>
      </c>
      <c r="Z71" s="611"/>
      <c r="AA71" s="611"/>
      <c r="AB71" s="611"/>
      <c r="AC71" s="611"/>
      <c r="AD71" s="611"/>
      <c r="AE71" s="611"/>
      <c r="AF71" s="611"/>
      <c r="AG71" s="611"/>
      <c r="AH71" s="611"/>
      <c r="AI71" s="611">
        <f t="shared" si="104"/>
        <v>0</v>
      </c>
      <c r="AJ71" s="611">
        <f t="shared" si="105"/>
        <v>10.532999999999999</v>
      </c>
      <c r="AK71" s="611">
        <f t="shared" si="106"/>
        <v>13.938000000000001</v>
      </c>
      <c r="AL71" s="611">
        <f t="shared" si="107"/>
        <v>0</v>
      </c>
      <c r="AM71" s="611">
        <f t="shared" si="108"/>
        <v>0</v>
      </c>
      <c r="AN71" s="583"/>
      <c r="AO71" s="571"/>
    </row>
    <row r="72" spans="1:41" x14ac:dyDescent="0.25">
      <c r="A72" s="132" t="s">
        <v>361</v>
      </c>
      <c r="C72" s="611">
        <f>+Daloopa!C329/1000</f>
        <v>0.35399999999999998</v>
      </c>
      <c r="D72" s="611">
        <f>+Daloopa!D329/1000</f>
        <v>0.32400000000000001</v>
      </c>
      <c r="E72" s="611">
        <f>+Daloopa!E329/1000</f>
        <v>0.27400000000000002</v>
      </c>
      <c r="F72" s="616">
        <f>+Daloopa!F329/1000</f>
        <v>0.26400000000000001</v>
      </c>
      <c r="G72" s="611">
        <f>0.281+3.976</f>
        <v>4.2569999999999997</v>
      </c>
      <c r="H72" s="611">
        <f>+Daloopa!H329/1000</f>
        <v>0.52</v>
      </c>
      <c r="I72" s="611">
        <f>+Daloopa!I329/1000</f>
        <v>0.53</v>
      </c>
      <c r="J72" s="616">
        <f>+Daloopa!J329/1000</f>
        <v>0.54500000000000004</v>
      </c>
      <c r="K72" s="611">
        <f>+Daloopa!K329/1000</f>
        <v>0.56200000000000006</v>
      </c>
      <c r="L72" s="611">
        <f>+Daloopa!L329/1000</f>
        <v>2.6640000000000001</v>
      </c>
      <c r="M72" s="611">
        <f>+Daloopa!M329/1000</f>
        <v>1.343</v>
      </c>
      <c r="N72" s="616">
        <f>+Daloopa!N329/1000</f>
        <v>4.9610000000000003</v>
      </c>
      <c r="O72" s="611">
        <f>+Daloopa!O329/1000</f>
        <v>1.859</v>
      </c>
      <c r="P72" s="611">
        <f>+Daloopa!P329/1000</f>
        <v>1.9430000000000001</v>
      </c>
      <c r="Q72" s="611">
        <f>Q307</f>
        <v>2.0219999999999998</v>
      </c>
      <c r="R72" s="616">
        <v>2.032</v>
      </c>
      <c r="S72" s="611">
        <v>2.0579999999999998</v>
      </c>
      <c r="T72" s="611">
        <v>3.601</v>
      </c>
      <c r="U72" s="611">
        <v>4.79</v>
      </c>
      <c r="V72" s="616">
        <v>4.8159999999999998</v>
      </c>
      <c r="W72" s="611">
        <v>4.7510000000000003</v>
      </c>
      <c r="X72" s="611">
        <v>5.048</v>
      </c>
      <c r="Y72" s="611">
        <v>9.5039999999999996</v>
      </c>
      <c r="Z72" s="611"/>
      <c r="AA72" s="611"/>
      <c r="AB72" s="611"/>
      <c r="AC72" s="611"/>
      <c r="AD72" s="611"/>
      <c r="AE72" s="611"/>
      <c r="AF72" s="611"/>
      <c r="AG72" s="611"/>
      <c r="AH72" s="611"/>
      <c r="AI72" s="611">
        <f t="shared" si="104"/>
        <v>1.216</v>
      </c>
      <c r="AJ72" s="611">
        <f t="shared" si="105"/>
        <v>5.8519999999999994</v>
      </c>
      <c r="AK72" s="611">
        <f t="shared" si="106"/>
        <v>9.5300000000000011</v>
      </c>
      <c r="AL72" s="611">
        <f t="shared" si="107"/>
        <v>7.8559999999999999</v>
      </c>
      <c r="AM72" s="611">
        <f t="shared" si="108"/>
        <v>15.265000000000001</v>
      </c>
      <c r="AN72" s="583"/>
      <c r="AO72" s="571"/>
    </row>
    <row r="73" spans="1:41" x14ac:dyDescent="0.25">
      <c r="A73" s="132" t="s">
        <v>234</v>
      </c>
      <c r="C73" s="611">
        <f>+Daloopa!C330/1000</f>
        <v>0</v>
      </c>
      <c r="D73" s="611">
        <f>+Daloopa!D330/1000</f>
        <v>0</v>
      </c>
      <c r="E73" s="611">
        <f>+Daloopa!E330/1000</f>
        <v>0.34899999999999998</v>
      </c>
      <c r="F73" s="616">
        <f>+Daloopa!F330/1000</f>
        <v>0.84899999999999998</v>
      </c>
      <c r="G73" s="611">
        <f>9.446+22.84</f>
        <v>32.286000000000001</v>
      </c>
      <c r="H73" s="611">
        <f>+Daloopa!H330/1000</f>
        <v>7.5999999999999998E-2</v>
      </c>
      <c r="I73" s="611">
        <f>+Daloopa!I330/1000</f>
        <v>5.6000000000000001E-2</v>
      </c>
      <c r="J73" s="616">
        <f>+Daloopa!J330/1000</f>
        <v>0.56799999999999995</v>
      </c>
      <c r="K73" s="611">
        <f>+Daloopa!K330/1000</f>
        <v>3.984</v>
      </c>
      <c r="L73" s="611">
        <f>+Daloopa!L330/1000</f>
        <v>0.38200000000000001</v>
      </c>
      <c r="M73" s="611">
        <f>+Daloopa!M330/1000</f>
        <v>2.1440000000000001</v>
      </c>
      <c r="N73" s="616">
        <f>+Daloopa!N330/1000</f>
        <v>2.8039999999999998</v>
      </c>
      <c r="O73" s="611">
        <f>+Daloopa!O330/1000</f>
        <v>1.498</v>
      </c>
      <c r="P73" s="611">
        <f>+Daloopa!P330/1000</f>
        <v>1.179</v>
      </c>
      <c r="Q73" s="611">
        <v>1.9079999999999999</v>
      </c>
      <c r="R73" s="616">
        <v>1.4330000000000001</v>
      </c>
      <c r="S73" s="611">
        <v>1.071</v>
      </c>
      <c r="T73" s="611">
        <v>1.19</v>
      </c>
      <c r="U73" s="611">
        <v>1.571</v>
      </c>
      <c r="V73" s="616">
        <v>0.53200000000000003</v>
      </c>
      <c r="W73" s="611">
        <v>11.992000000000001</v>
      </c>
      <c r="X73" s="611">
        <v>9.8729999999999993</v>
      </c>
      <c r="Y73" s="611">
        <v>13.218</v>
      </c>
      <c r="Z73" s="611"/>
      <c r="AA73" s="611"/>
      <c r="AB73" s="611"/>
      <c r="AC73" s="611"/>
      <c r="AD73" s="611"/>
      <c r="AE73" s="611"/>
      <c r="AF73" s="611"/>
      <c r="AG73" s="611"/>
      <c r="AH73" s="611"/>
      <c r="AI73" s="611">
        <f t="shared" si="104"/>
        <v>1.198</v>
      </c>
      <c r="AJ73" s="611">
        <f t="shared" si="105"/>
        <v>32.985999999999997</v>
      </c>
      <c r="AK73" s="611">
        <f t="shared" si="106"/>
        <v>9.3140000000000001</v>
      </c>
      <c r="AL73" s="611">
        <f t="shared" si="107"/>
        <v>6.0179999999999998</v>
      </c>
      <c r="AM73" s="611">
        <f t="shared" si="108"/>
        <v>4.3639999999999999</v>
      </c>
      <c r="AN73" s="583"/>
      <c r="AO73" s="571"/>
    </row>
    <row r="74" spans="1:41" x14ac:dyDescent="0.25">
      <c r="A74" s="132" t="s">
        <v>362</v>
      </c>
      <c r="C74" s="611">
        <f>+Daloopa!C331/1000</f>
        <v>0</v>
      </c>
      <c r="D74" s="611">
        <f>+Daloopa!D331/1000</f>
        <v>0</v>
      </c>
      <c r="E74" s="611">
        <f>+Daloopa!E331/1000</f>
        <v>0</v>
      </c>
      <c r="F74" s="616">
        <f>+Daloopa!F331/1000</f>
        <v>0</v>
      </c>
      <c r="G74" s="611">
        <v>0.32700000000000001</v>
      </c>
      <c r="H74" s="611">
        <f>+Daloopa!H331/1000</f>
        <v>0.26200000000000001</v>
      </c>
      <c r="I74" s="611">
        <f>+Daloopa!I331/1000</f>
        <v>2.5999999999999999E-2</v>
      </c>
      <c r="J74" s="616">
        <f>+Daloopa!J331/1000</f>
        <v>3.125</v>
      </c>
      <c r="K74" s="611">
        <f>+Daloopa!K331/1000</f>
        <v>0.45</v>
      </c>
      <c r="L74" s="611">
        <f>+Daloopa!L331/1000</f>
        <v>7.2999999999999995E-2</v>
      </c>
      <c r="M74" s="611">
        <f>+Daloopa!M331/1000</f>
        <v>6.3E-2</v>
      </c>
      <c r="N74" s="616">
        <f>+Daloopa!N331/1000</f>
        <v>0</v>
      </c>
      <c r="O74" s="611">
        <f>+Daloopa!O331/1000</f>
        <v>-0.88900000000000001</v>
      </c>
      <c r="P74" s="611">
        <f>+Daloopa!P331/1000</f>
        <v>0.52500000000000002</v>
      </c>
      <c r="Q74" s="611">
        <v>-0.14399999999999999</v>
      </c>
      <c r="R74" s="616">
        <v>3.02</v>
      </c>
      <c r="S74" s="611">
        <v>2.278</v>
      </c>
      <c r="T74" s="611">
        <v>1.4870000000000001</v>
      </c>
      <c r="U74" s="611">
        <v>2.8</v>
      </c>
      <c r="V74" s="616">
        <v>0.373</v>
      </c>
      <c r="W74" s="611">
        <v>0.71899999999999997</v>
      </c>
      <c r="X74" s="611">
        <v>0.95899999999999996</v>
      </c>
      <c r="Y74" s="611">
        <v>2.0430000000000001</v>
      </c>
      <c r="Z74" s="611"/>
      <c r="AA74" s="611"/>
      <c r="AB74" s="611"/>
      <c r="AC74" s="611"/>
      <c r="AD74" s="611"/>
      <c r="AE74" s="611"/>
      <c r="AF74" s="611"/>
      <c r="AG74" s="611"/>
      <c r="AH74" s="611"/>
      <c r="AI74" s="611">
        <f t="shared" si="104"/>
        <v>0</v>
      </c>
      <c r="AJ74" s="611">
        <f t="shared" si="105"/>
        <v>3.74</v>
      </c>
      <c r="AK74" s="611">
        <f t="shared" si="106"/>
        <v>0.58600000000000008</v>
      </c>
      <c r="AL74" s="611">
        <f t="shared" si="107"/>
        <v>2.512</v>
      </c>
      <c r="AM74" s="611">
        <f t="shared" si="108"/>
        <v>6.9379999999999997</v>
      </c>
      <c r="AN74" s="583"/>
      <c r="AO74" s="571"/>
    </row>
    <row r="75" spans="1:41" s="413" customFormat="1" ht="14" x14ac:dyDescent="0.4">
      <c r="A75" s="132" t="s">
        <v>363</v>
      </c>
      <c r="C75" s="612">
        <f>+Daloopa!C332/1000</f>
        <v>1.349</v>
      </c>
      <c r="D75" s="612">
        <f>+Daloopa!D332/1000</f>
        <v>0.76</v>
      </c>
      <c r="E75" s="612">
        <f>+Daloopa!E332/1000</f>
        <v>-0.2</v>
      </c>
      <c r="F75" s="617">
        <f>+Daloopa!F332/1000</f>
        <v>1.33</v>
      </c>
      <c r="G75" s="612">
        <f>0.153+-0.121</f>
        <v>3.2000000000000001E-2</v>
      </c>
      <c r="H75" s="612">
        <f>+Daloopa!H332/1000</f>
        <v>0.42699999999999999</v>
      </c>
      <c r="I75" s="612">
        <f>+Daloopa!I332/1000</f>
        <v>0.63</v>
      </c>
      <c r="J75" s="617">
        <f>+Daloopa!J332/1000</f>
        <v>-0.189</v>
      </c>
      <c r="K75" s="612">
        <f>+Daloopa!K332/1000</f>
        <v>0</v>
      </c>
      <c r="L75" s="612">
        <f>+Daloopa!L332/1000</f>
        <v>0</v>
      </c>
      <c r="M75" s="612">
        <f>+Daloopa!M332/1000</f>
        <v>0.19400000000000001</v>
      </c>
      <c r="N75" s="617">
        <f>+Daloopa!N332/1000</f>
        <v>3.2000000000000001E-2</v>
      </c>
      <c r="O75" s="612">
        <f>+Daloopa!O332/1000</f>
        <v>0</v>
      </c>
      <c r="P75" s="612">
        <f>+Daloopa!P332/1000</f>
        <v>0</v>
      </c>
      <c r="Q75" s="612">
        <v>0</v>
      </c>
      <c r="R75" s="617">
        <v>0</v>
      </c>
      <c r="S75" s="612">
        <v>0</v>
      </c>
      <c r="T75" s="612">
        <v>0</v>
      </c>
      <c r="U75" s="612">
        <v>0</v>
      </c>
      <c r="V75" s="617">
        <v>0</v>
      </c>
      <c r="W75" s="612">
        <v>0</v>
      </c>
      <c r="X75" s="612">
        <v>0</v>
      </c>
      <c r="Y75" s="612">
        <v>0</v>
      </c>
      <c r="Z75" s="612"/>
      <c r="AA75" s="612"/>
      <c r="AB75" s="612"/>
      <c r="AC75" s="612"/>
      <c r="AD75" s="612"/>
      <c r="AE75" s="612"/>
      <c r="AF75" s="612"/>
      <c r="AG75" s="612"/>
      <c r="AH75" s="612"/>
      <c r="AI75" s="612">
        <f t="shared" si="104"/>
        <v>3.2389999999999999</v>
      </c>
      <c r="AJ75" s="612">
        <f t="shared" si="105"/>
        <v>0.89999999999999991</v>
      </c>
      <c r="AK75" s="612">
        <f t="shared" si="106"/>
        <v>0.22600000000000001</v>
      </c>
      <c r="AL75" s="612">
        <f t="shared" si="107"/>
        <v>0</v>
      </c>
      <c r="AM75" s="612">
        <f t="shared" si="108"/>
        <v>0</v>
      </c>
      <c r="AN75" s="719"/>
      <c r="AO75" s="614"/>
    </row>
    <row r="76" spans="1:41" x14ac:dyDescent="0.25">
      <c r="A76" s="425" t="s">
        <v>364</v>
      </c>
      <c r="C76" s="611">
        <f>+SUM(C67:C75)</f>
        <v>25.092000000000002</v>
      </c>
      <c r="D76" s="611">
        <f t="shared" ref="D76:P76" si="109">+SUM(D67:D75)</f>
        <v>33.361999999999995</v>
      </c>
      <c r="E76" s="611">
        <f t="shared" si="109"/>
        <v>33.490999999999993</v>
      </c>
      <c r="F76" s="616">
        <f t="shared" si="109"/>
        <v>31.828000000000003</v>
      </c>
      <c r="G76" s="611">
        <f t="shared" si="109"/>
        <v>27.210999999999999</v>
      </c>
      <c r="H76" s="611">
        <f t="shared" si="109"/>
        <v>31.655000000000005</v>
      </c>
      <c r="I76" s="611">
        <f t="shared" si="109"/>
        <v>43.287000000000006</v>
      </c>
      <c r="J76" s="616">
        <f t="shared" si="109"/>
        <v>44.644999999999996</v>
      </c>
      <c r="K76" s="611">
        <f t="shared" si="109"/>
        <v>36.590000000000003</v>
      </c>
      <c r="L76" s="611">
        <f t="shared" si="109"/>
        <v>56.322000000000003</v>
      </c>
      <c r="M76" s="611">
        <f t="shared" si="109"/>
        <v>63.943999999999996</v>
      </c>
      <c r="N76" s="616">
        <f t="shared" si="109"/>
        <v>69.438000000000002</v>
      </c>
      <c r="O76" s="611">
        <f t="shared" si="109"/>
        <v>53.599999999999994</v>
      </c>
      <c r="P76" s="611">
        <f t="shared" si="109"/>
        <v>60.833999999999996</v>
      </c>
      <c r="Q76" s="611">
        <v>64.188000000000002</v>
      </c>
      <c r="R76" s="616">
        <f>SUM(R67:R75)</f>
        <v>70.287999999999997</v>
      </c>
      <c r="S76" s="611">
        <f t="shared" ref="S76:T76" si="110">SUM(S67:S75)</f>
        <v>48.559999999999995</v>
      </c>
      <c r="T76" s="611">
        <f t="shared" si="110"/>
        <v>55.970999999999997</v>
      </c>
      <c r="U76" s="611">
        <f t="shared" ref="U76:V76" si="111">SUM(U67:U75)</f>
        <v>64.790999999999997</v>
      </c>
      <c r="V76" s="616">
        <f t="shared" si="111"/>
        <v>68.233999999999995</v>
      </c>
      <c r="W76" s="611">
        <f t="shared" ref="W76:Y76" si="112">SUM(W67:W75)</f>
        <v>46.558</v>
      </c>
      <c r="X76" s="611">
        <f t="shared" si="112"/>
        <v>55.761000000000003</v>
      </c>
      <c r="Y76" s="611">
        <f t="shared" si="112"/>
        <v>64.046000000000006</v>
      </c>
      <c r="Z76" s="611"/>
      <c r="AA76" s="611"/>
      <c r="AB76" s="611"/>
      <c r="AC76" s="611"/>
      <c r="AD76" s="611"/>
      <c r="AE76" s="611"/>
      <c r="AF76" s="611"/>
      <c r="AG76" s="611"/>
      <c r="AH76" s="611"/>
      <c r="AI76" s="611">
        <f t="shared" si="104"/>
        <v>123.773</v>
      </c>
      <c r="AJ76" s="611">
        <f t="shared" si="105"/>
        <v>146.798</v>
      </c>
      <c r="AK76" s="611">
        <f t="shared" si="106"/>
        <v>226.29399999999998</v>
      </c>
      <c r="AL76" s="611">
        <f t="shared" si="107"/>
        <v>248.91000000000003</v>
      </c>
      <c r="AM76" s="611">
        <f t="shared" si="108"/>
        <v>237.55599999999998</v>
      </c>
      <c r="AN76" s="583"/>
      <c r="AO76" s="571"/>
    </row>
    <row r="77" spans="1:41" s="413" customFormat="1" ht="14" x14ac:dyDescent="0.4">
      <c r="A77" s="132" t="str">
        <f>+A72</f>
        <v>Share-based compensation</v>
      </c>
      <c r="C77" s="612">
        <f>-C72</f>
        <v>-0.35399999999999998</v>
      </c>
      <c r="D77" s="612">
        <f t="shared" ref="D77:P77" si="113">-D72</f>
        <v>-0.32400000000000001</v>
      </c>
      <c r="E77" s="612">
        <f t="shared" si="113"/>
        <v>-0.27400000000000002</v>
      </c>
      <c r="F77" s="617">
        <f t="shared" si="113"/>
        <v>-0.26400000000000001</v>
      </c>
      <c r="G77" s="612">
        <f t="shared" si="113"/>
        <v>-4.2569999999999997</v>
      </c>
      <c r="H77" s="612">
        <f t="shared" si="113"/>
        <v>-0.52</v>
      </c>
      <c r="I77" s="612">
        <f t="shared" si="113"/>
        <v>-0.53</v>
      </c>
      <c r="J77" s="617">
        <f t="shared" si="113"/>
        <v>-0.54500000000000004</v>
      </c>
      <c r="K77" s="612">
        <f t="shared" si="113"/>
        <v>-0.56200000000000006</v>
      </c>
      <c r="L77" s="612">
        <f t="shared" si="113"/>
        <v>-2.6640000000000001</v>
      </c>
      <c r="M77" s="612">
        <f t="shared" si="113"/>
        <v>-1.343</v>
      </c>
      <c r="N77" s="617">
        <f t="shared" si="113"/>
        <v>-4.9610000000000003</v>
      </c>
      <c r="O77" s="612">
        <f t="shared" si="113"/>
        <v>-1.859</v>
      </c>
      <c r="P77" s="612">
        <f t="shared" si="113"/>
        <v>-1.9430000000000001</v>
      </c>
      <c r="Q77" s="612">
        <f t="shared" ref="Q77:R77" si="114">-Q72</f>
        <v>-2.0219999999999998</v>
      </c>
      <c r="R77" s="617">
        <f t="shared" si="114"/>
        <v>-2.032</v>
      </c>
      <c r="S77" s="612">
        <f t="shared" ref="S77:T77" si="115">-S72</f>
        <v>-2.0579999999999998</v>
      </c>
      <c r="T77" s="612">
        <f t="shared" si="115"/>
        <v>-3.601</v>
      </c>
      <c r="U77" s="612">
        <f t="shared" ref="U77:V77" si="116">-U72</f>
        <v>-4.79</v>
      </c>
      <c r="V77" s="617">
        <f t="shared" si="116"/>
        <v>-4.8159999999999998</v>
      </c>
      <c r="W77" s="612">
        <f t="shared" ref="W77:X77" si="117">-W72</f>
        <v>-4.7510000000000003</v>
      </c>
      <c r="X77" s="612">
        <f t="shared" si="117"/>
        <v>-5.048</v>
      </c>
      <c r="Y77" s="612">
        <f t="shared" ref="Y77" si="118">-Y72</f>
        <v>-9.5039999999999996</v>
      </c>
      <c r="Z77" s="612"/>
      <c r="AA77" s="612"/>
      <c r="AB77" s="612"/>
      <c r="AC77" s="612"/>
      <c r="AD77" s="612"/>
      <c r="AE77" s="612"/>
      <c r="AF77" s="612"/>
      <c r="AG77" s="612"/>
      <c r="AH77" s="612"/>
      <c r="AI77" s="612">
        <f t="shared" si="104"/>
        <v>-1.216</v>
      </c>
      <c r="AJ77" s="612">
        <f t="shared" si="105"/>
        <v>-5.8519999999999994</v>
      </c>
      <c r="AK77" s="612">
        <f t="shared" si="106"/>
        <v>-9.5300000000000011</v>
      </c>
      <c r="AL77" s="612">
        <f t="shared" si="107"/>
        <v>-7.8559999999999999</v>
      </c>
      <c r="AM77" s="612">
        <f t="shared" si="108"/>
        <v>-15.265000000000001</v>
      </c>
      <c r="AN77" s="719"/>
      <c r="AO77" s="614"/>
    </row>
    <row r="78" spans="1:41" s="163" customFormat="1" ht="13" x14ac:dyDescent="0.3">
      <c r="A78" s="426" t="s">
        <v>145</v>
      </c>
      <c r="C78" s="615">
        <f>+C77+C76</f>
        <v>24.738000000000003</v>
      </c>
      <c r="D78" s="615">
        <f t="shared" ref="D78:P78" si="119">+D77+D76</f>
        <v>33.037999999999997</v>
      </c>
      <c r="E78" s="615">
        <f t="shared" si="119"/>
        <v>33.216999999999992</v>
      </c>
      <c r="F78" s="618">
        <f t="shared" si="119"/>
        <v>31.564000000000004</v>
      </c>
      <c r="G78" s="615">
        <f t="shared" si="119"/>
        <v>22.954000000000001</v>
      </c>
      <c r="H78" s="615">
        <f t="shared" si="119"/>
        <v>31.135000000000005</v>
      </c>
      <c r="I78" s="615">
        <f t="shared" si="119"/>
        <v>42.757000000000005</v>
      </c>
      <c r="J78" s="618">
        <f t="shared" si="119"/>
        <v>44.099999999999994</v>
      </c>
      <c r="K78" s="615">
        <f t="shared" si="119"/>
        <v>36.028000000000006</v>
      </c>
      <c r="L78" s="615">
        <f t="shared" si="119"/>
        <v>53.658000000000001</v>
      </c>
      <c r="M78" s="615">
        <f t="shared" si="119"/>
        <v>62.600999999999999</v>
      </c>
      <c r="N78" s="618">
        <f t="shared" si="119"/>
        <v>64.477000000000004</v>
      </c>
      <c r="O78" s="615">
        <f t="shared" si="119"/>
        <v>51.740999999999993</v>
      </c>
      <c r="P78" s="615">
        <f t="shared" si="119"/>
        <v>58.890999999999998</v>
      </c>
      <c r="Q78" s="615">
        <f t="shared" ref="Q78:R78" si="120">+Q77+Q76</f>
        <v>62.166000000000004</v>
      </c>
      <c r="R78" s="618">
        <f t="shared" si="120"/>
        <v>68.256</v>
      </c>
      <c r="S78" s="615">
        <f t="shared" ref="S78:T78" si="121">+S77+S76</f>
        <v>46.501999999999995</v>
      </c>
      <c r="T78" s="615">
        <f t="shared" si="121"/>
        <v>52.37</v>
      </c>
      <c r="U78" s="615">
        <f t="shared" ref="U78:V78" si="122">+U77+U76</f>
        <v>60.000999999999998</v>
      </c>
      <c r="V78" s="618">
        <f t="shared" si="122"/>
        <v>63.417999999999992</v>
      </c>
      <c r="W78" s="615">
        <f t="shared" ref="W78:X78" si="123">+W77+W76</f>
        <v>41.807000000000002</v>
      </c>
      <c r="X78" s="615">
        <f t="shared" si="123"/>
        <v>50.713000000000001</v>
      </c>
      <c r="Y78" s="615">
        <f t="shared" ref="Y78" si="124">+Y77+Y76</f>
        <v>54.542000000000009</v>
      </c>
      <c r="Z78" s="615"/>
      <c r="AA78" s="615"/>
      <c r="AB78" s="615"/>
      <c r="AC78" s="615"/>
      <c r="AD78" s="615"/>
      <c r="AE78" s="615"/>
      <c r="AF78" s="615"/>
      <c r="AG78" s="615"/>
      <c r="AH78" s="615"/>
      <c r="AI78" s="615">
        <f t="shared" si="104"/>
        <v>122.557</v>
      </c>
      <c r="AJ78" s="615">
        <f t="shared" si="105"/>
        <v>140.946</v>
      </c>
      <c r="AK78" s="615">
        <f t="shared" si="106"/>
        <v>216.76400000000001</v>
      </c>
      <c r="AL78" s="615">
        <f t="shared" si="107"/>
        <v>241.054</v>
      </c>
      <c r="AM78" s="615">
        <f t="shared" si="108"/>
        <v>222.291</v>
      </c>
      <c r="AN78" s="594"/>
      <c r="AO78" s="573"/>
    </row>
    <row r="79" spans="1:41" x14ac:dyDescent="0.25">
      <c r="C79" s="568"/>
      <c r="D79" s="568"/>
      <c r="E79" s="568"/>
      <c r="F79" s="588"/>
      <c r="G79" s="568"/>
      <c r="H79" s="568"/>
      <c r="I79" s="568"/>
      <c r="J79" s="588"/>
      <c r="K79" s="583"/>
      <c r="L79" s="583"/>
      <c r="M79" s="583"/>
      <c r="N79" s="588"/>
      <c r="O79" s="568"/>
      <c r="P79" s="568"/>
      <c r="Q79" s="568"/>
      <c r="R79" s="588"/>
      <c r="S79" s="568"/>
      <c r="T79" s="568"/>
      <c r="U79" s="568"/>
      <c r="V79" s="588"/>
      <c r="W79" s="568"/>
      <c r="X79" s="583"/>
      <c r="Y79" s="583"/>
      <c r="Z79" s="583"/>
      <c r="AA79" s="583"/>
      <c r="AB79" s="583"/>
      <c r="AC79" s="583"/>
      <c r="AD79" s="583"/>
      <c r="AE79" s="583"/>
      <c r="AF79" s="583"/>
      <c r="AG79" s="583"/>
      <c r="AH79" s="583"/>
      <c r="AI79" s="568"/>
      <c r="AJ79" s="568"/>
      <c r="AK79" s="568"/>
      <c r="AL79" s="568"/>
      <c r="AM79" s="568"/>
      <c r="AN79" s="583"/>
      <c r="AO79" s="571"/>
    </row>
    <row r="80" spans="1:41" ht="13" x14ac:dyDescent="0.3">
      <c r="A80" s="374" t="s">
        <v>365</v>
      </c>
      <c r="C80" s="568"/>
      <c r="D80" s="568"/>
      <c r="E80" s="568"/>
      <c r="F80" s="588"/>
      <c r="G80" s="568"/>
      <c r="H80" s="568"/>
      <c r="I80" s="568"/>
      <c r="J80" s="588"/>
      <c r="K80" s="583"/>
      <c r="L80" s="583"/>
      <c r="M80" s="583"/>
      <c r="N80" s="588"/>
      <c r="O80" s="568"/>
      <c r="P80" s="568"/>
      <c r="Q80" s="568"/>
      <c r="R80" s="588"/>
      <c r="S80" s="568"/>
      <c r="T80" s="568"/>
      <c r="U80" s="568"/>
      <c r="V80" s="588"/>
      <c r="W80" s="568"/>
      <c r="X80" s="583"/>
      <c r="Y80" s="583"/>
      <c r="Z80" s="583"/>
      <c r="AA80" s="583"/>
      <c r="AB80" s="583"/>
      <c r="AC80" s="583"/>
      <c r="AD80" s="583"/>
      <c r="AE80" s="583"/>
      <c r="AF80" s="583"/>
      <c r="AG80" s="583"/>
      <c r="AH80" s="583"/>
      <c r="AI80" s="568"/>
      <c r="AJ80" s="568"/>
      <c r="AK80" s="568"/>
      <c r="AL80" s="568"/>
      <c r="AM80" s="568"/>
      <c r="AN80" s="583"/>
      <c r="AO80" s="571"/>
    </row>
    <row r="81" spans="1:41" x14ac:dyDescent="0.25">
      <c r="A81" s="132" t="str">
        <f>+Daloopa!A358</f>
        <v>Net income (loss)</v>
      </c>
      <c r="C81" s="611">
        <f>+Daloopa!C358/1000</f>
        <v>3.1960000000000002</v>
      </c>
      <c r="D81" s="611">
        <f>+Daloopa!D358/1000</f>
        <v>10.72</v>
      </c>
      <c r="E81" s="611">
        <f>+Daloopa!E358/1000</f>
        <v>11.587</v>
      </c>
      <c r="F81" s="616">
        <f>+Daloopa!F358/1000</f>
        <v>8.7469999999999999</v>
      </c>
      <c r="G81" s="611">
        <f>+Daloopa!G375/1000+Daloopa!G358/1000</f>
        <v>-58.344000000000001</v>
      </c>
      <c r="H81" s="611">
        <f>+Daloopa!H358/1000</f>
        <v>-16.366</v>
      </c>
      <c r="I81" s="611">
        <f>+Daloopa!I358/1000</f>
        <v>-3.452</v>
      </c>
      <c r="J81" s="616">
        <f>+Daloopa!J358/1000</f>
        <v>-5.86</v>
      </c>
      <c r="K81" s="611">
        <f>+Daloopa!K358/1000</f>
        <v>-19.388999999999999</v>
      </c>
      <c r="L81" s="611">
        <f>+Daloopa!L358/1000</f>
        <v>3.77</v>
      </c>
      <c r="M81" s="611">
        <f>+Daloopa!M358/1000</f>
        <v>16.285</v>
      </c>
      <c r="N81" s="616">
        <f>+Daloopa!N358/1000</f>
        <v>15.385</v>
      </c>
      <c r="O81" s="611">
        <f>+Daloopa!O358/1000</f>
        <v>13.013</v>
      </c>
      <c r="P81" s="611">
        <f>+Daloopa!P358/1000</f>
        <v>14.236000000000001</v>
      </c>
      <c r="Q81" s="611">
        <v>17.209</v>
      </c>
      <c r="R81" s="616">
        <v>20.146000000000001</v>
      </c>
      <c r="S81" s="611">
        <v>1.925</v>
      </c>
      <c r="T81" s="611">
        <v>9.782</v>
      </c>
      <c r="U81" s="611">
        <v>10.773</v>
      </c>
      <c r="V81" s="616">
        <v>14.813000000000001</v>
      </c>
      <c r="W81" s="611">
        <v>-2.9079999999999999</v>
      </c>
      <c r="X81" s="611">
        <v>1.861</v>
      </c>
      <c r="Y81" s="611">
        <v>-8.86</v>
      </c>
      <c r="Z81" s="611"/>
      <c r="AA81" s="611"/>
      <c r="AB81" s="611"/>
      <c r="AC81" s="611"/>
      <c r="AD81" s="611"/>
      <c r="AE81" s="611"/>
      <c r="AF81" s="611"/>
      <c r="AG81" s="611"/>
      <c r="AH81" s="611"/>
      <c r="AI81" s="611">
        <f t="shared" ref="AI81:AI92" si="125">+SUM(C81:F81)</f>
        <v>34.25</v>
      </c>
      <c r="AJ81" s="611">
        <f t="shared" ref="AJ81:AJ92" si="126">SUM(G81:J81)</f>
        <v>-84.022000000000006</v>
      </c>
      <c r="AK81" s="611">
        <f t="shared" ref="AK81:AK92" si="127">SUM(K81:N81)</f>
        <v>16.051000000000002</v>
      </c>
      <c r="AL81" s="611">
        <f t="shared" ref="AL81:AL92" si="128">SUM(O81:R81)</f>
        <v>64.603999999999999</v>
      </c>
      <c r="AM81" s="611">
        <f t="shared" ref="AM81:AM92" si="129">+SUM(S81:V81)</f>
        <v>37.292999999999999</v>
      </c>
      <c r="AN81" s="583"/>
      <c r="AO81" s="571"/>
    </row>
    <row r="82" spans="1:41" s="413" customFormat="1" ht="14" x14ac:dyDescent="0.4">
      <c r="A82" s="132" t="str">
        <f>+Daloopa!A359</f>
        <v>Provision (benefit) for income taxes</v>
      </c>
      <c r="C82" s="612">
        <f>+Daloopa!C359/1000</f>
        <v>0.90200000000000002</v>
      </c>
      <c r="D82" s="612">
        <f>+Daloopa!D359/1000</f>
        <v>2.1840000000000002</v>
      </c>
      <c r="E82" s="612">
        <f>+Daloopa!E359/1000</f>
        <v>2.1720000000000002</v>
      </c>
      <c r="F82" s="617">
        <f>+Daloopa!F359/1000</f>
        <v>1.64</v>
      </c>
      <c r="G82" s="612">
        <f>+Daloopa!G376/1000+Daloopa!G359/1000</f>
        <v>-5.7910000000000004</v>
      </c>
      <c r="H82" s="612">
        <f>+Daloopa!H359/1000</f>
        <v>-3.4990000000000001</v>
      </c>
      <c r="I82" s="612">
        <f>+Daloopa!I359/1000</f>
        <v>-2.8889999999999998</v>
      </c>
      <c r="J82" s="617">
        <f>+Daloopa!J359/1000</f>
        <v>-4.7E-2</v>
      </c>
      <c r="K82" s="612">
        <f>+Daloopa!K359/1000</f>
        <v>-4.4349999999999996</v>
      </c>
      <c r="L82" s="612">
        <f>+Daloopa!L359/1000</f>
        <v>3.0630000000000002</v>
      </c>
      <c r="M82" s="612">
        <f>+Daloopa!M359/1000</f>
        <v>3.3969999999999998</v>
      </c>
      <c r="N82" s="617">
        <f>+Daloopa!N359/1000</f>
        <v>6.8369999999999997</v>
      </c>
      <c r="O82" s="612">
        <f>+Daloopa!O359/1000</f>
        <v>4.9349999999999996</v>
      </c>
      <c r="P82" s="612">
        <f>+Daloopa!P359/1000</f>
        <v>5.4320000000000004</v>
      </c>
      <c r="Q82" s="612">
        <v>6.7089999999999996</v>
      </c>
      <c r="R82" s="617">
        <v>3.399</v>
      </c>
      <c r="S82" s="612">
        <v>0.68100000000000005</v>
      </c>
      <c r="T82" s="612">
        <v>3.968</v>
      </c>
      <c r="U82" s="612">
        <v>4.8810000000000002</v>
      </c>
      <c r="V82" s="617">
        <v>1.653</v>
      </c>
      <c r="W82" s="612">
        <v>-1.3879999999999999</v>
      </c>
      <c r="X82" s="612">
        <v>0.68899999999999995</v>
      </c>
      <c r="Y82" s="612">
        <v>0.78200000000000003</v>
      </c>
      <c r="Z82" s="612"/>
      <c r="AA82" s="612"/>
      <c r="AB82" s="612"/>
      <c r="AC82" s="612"/>
      <c r="AD82" s="612"/>
      <c r="AE82" s="612"/>
      <c r="AF82" s="612"/>
      <c r="AG82" s="612"/>
      <c r="AH82" s="612"/>
      <c r="AI82" s="612">
        <f t="shared" si="125"/>
        <v>6.8980000000000006</v>
      </c>
      <c r="AJ82" s="612">
        <f t="shared" si="126"/>
        <v>-12.226000000000001</v>
      </c>
      <c r="AK82" s="612">
        <f t="shared" si="127"/>
        <v>8.8620000000000001</v>
      </c>
      <c r="AL82" s="612">
        <f t="shared" si="128"/>
        <v>20.475000000000001</v>
      </c>
      <c r="AM82" s="612">
        <f t="shared" si="129"/>
        <v>11.183000000000002</v>
      </c>
      <c r="AN82" s="719"/>
      <c r="AO82" s="614"/>
    </row>
    <row r="83" spans="1:41" x14ac:dyDescent="0.25">
      <c r="A83" s="425" t="str">
        <f>+Daloopa!A360</f>
        <v>Income (loss) before provision for income taxes</v>
      </c>
      <c r="C83" s="611">
        <f>+Daloopa!C360/1000</f>
        <v>4.0979999999999999</v>
      </c>
      <c r="D83" s="611">
        <f>+Daloopa!D360/1000</f>
        <v>12.904</v>
      </c>
      <c r="E83" s="611">
        <f>+Daloopa!E360/1000</f>
        <v>13.759</v>
      </c>
      <c r="F83" s="616">
        <f>+Daloopa!F360/1000</f>
        <v>10.387</v>
      </c>
      <c r="G83" s="611">
        <f>+Daloopa!G377/1000+Daloopa!G360/1000</f>
        <v>-64.135000000000005</v>
      </c>
      <c r="H83" s="611">
        <f>+Daloopa!H360/1000</f>
        <v>-19.864999999999998</v>
      </c>
      <c r="I83" s="611">
        <f>+Daloopa!I360/1000</f>
        <v>-6.3410000000000002</v>
      </c>
      <c r="J83" s="616">
        <f>+Daloopa!J360/1000</f>
        <v>-5.907</v>
      </c>
      <c r="K83" s="611">
        <f>+Daloopa!K360/1000</f>
        <v>-23.824000000000002</v>
      </c>
      <c r="L83" s="611">
        <f>+Daloopa!L360/1000</f>
        <v>6.8330000000000002</v>
      </c>
      <c r="M83" s="611">
        <f>+Daloopa!M360/1000</f>
        <v>19.681999999999999</v>
      </c>
      <c r="N83" s="616">
        <f>+Daloopa!N360/1000</f>
        <v>22.222000000000001</v>
      </c>
      <c r="O83" s="611">
        <f>+Daloopa!O360/1000</f>
        <v>17.948</v>
      </c>
      <c r="P83" s="611">
        <f>+Daloopa!P360/1000</f>
        <v>19.667999999999999</v>
      </c>
      <c r="Q83" s="611">
        <f t="shared" ref="Q83:Y83" si="130">+SUM(Q81:Q82)</f>
        <v>23.917999999999999</v>
      </c>
      <c r="R83" s="616">
        <f t="shared" si="130"/>
        <v>23.545000000000002</v>
      </c>
      <c r="S83" s="611">
        <f t="shared" si="130"/>
        <v>2.6059999999999999</v>
      </c>
      <c r="T83" s="611">
        <f t="shared" si="130"/>
        <v>13.75</v>
      </c>
      <c r="U83" s="611">
        <f t="shared" si="130"/>
        <v>15.654</v>
      </c>
      <c r="V83" s="616">
        <f t="shared" si="130"/>
        <v>16.466000000000001</v>
      </c>
      <c r="W83" s="611">
        <f t="shared" si="130"/>
        <v>-4.2959999999999994</v>
      </c>
      <c r="X83" s="611">
        <f t="shared" si="130"/>
        <v>2.5499999999999998</v>
      </c>
      <c r="Y83" s="611">
        <f t="shared" si="130"/>
        <v>-8.0779999999999994</v>
      </c>
      <c r="Z83" s="611"/>
      <c r="AA83" s="611"/>
      <c r="AB83" s="611"/>
      <c r="AC83" s="611"/>
      <c r="AD83" s="611"/>
      <c r="AE83" s="611"/>
      <c r="AF83" s="611"/>
      <c r="AG83" s="611"/>
      <c r="AH83" s="611"/>
      <c r="AI83" s="611">
        <f t="shared" si="125"/>
        <v>41.147999999999996</v>
      </c>
      <c r="AJ83" s="611">
        <f t="shared" si="126"/>
        <v>-96.24799999999999</v>
      </c>
      <c r="AK83" s="611">
        <f t="shared" si="127"/>
        <v>24.913</v>
      </c>
      <c r="AL83" s="611">
        <f t="shared" si="128"/>
        <v>85.079000000000008</v>
      </c>
      <c r="AM83" s="611">
        <f t="shared" si="129"/>
        <v>48.476000000000006</v>
      </c>
      <c r="AN83" s="583"/>
      <c r="AO83" s="571"/>
    </row>
    <row r="84" spans="1:41" x14ac:dyDescent="0.25">
      <c r="A84" s="132" t="str">
        <f>+Daloopa!A362</f>
        <v>Debt-related charges</v>
      </c>
      <c r="C84" s="611">
        <f>+Daloopa!C362/1000</f>
        <v>0.76800000000000002</v>
      </c>
      <c r="D84" s="611">
        <f>+Daloopa!D362/1000</f>
        <v>0.78500000000000003</v>
      </c>
      <c r="E84" s="611">
        <f>+Daloopa!E362/1000</f>
        <v>0.80200000000000005</v>
      </c>
      <c r="F84" s="616">
        <f>+Daloopa!F362/1000</f>
        <v>0.81899999999999995</v>
      </c>
      <c r="G84" s="611">
        <f>+Daloopa!G379/1000+Daloopa!G362/1000</f>
        <v>11.68</v>
      </c>
      <c r="H84" s="611">
        <f>+Daloopa!H362/1000</f>
        <v>0.877</v>
      </c>
      <c r="I84" s="611">
        <f>+Daloopa!I362/1000</f>
        <v>0.88900000000000001</v>
      </c>
      <c r="J84" s="616">
        <f>+Daloopa!J362/1000</f>
        <v>0.89800000000000002</v>
      </c>
      <c r="K84" s="611">
        <f>+Daloopa!K362/1000</f>
        <v>14.911</v>
      </c>
      <c r="L84" s="611">
        <f>+Daloopa!L362/1000</f>
        <v>4.3550000000000004</v>
      </c>
      <c r="M84" s="611">
        <f>+Daloopa!M362/1000</f>
        <v>0.437</v>
      </c>
      <c r="N84" s="616">
        <f>+Daloopa!N362/1000</f>
        <v>0.44</v>
      </c>
      <c r="O84" s="611">
        <f>+Daloopa!O362/1000</f>
        <v>-4.8150000000000004</v>
      </c>
      <c r="P84" s="611">
        <f>+Daloopa!P362/1000</f>
        <v>-1.669</v>
      </c>
      <c r="Q84" s="611">
        <v>-3.5449999999999999</v>
      </c>
      <c r="R84" s="616">
        <v>0.46</v>
      </c>
      <c r="S84" s="611">
        <v>4.468</v>
      </c>
      <c r="T84" s="611">
        <v>3.3000000000000002E-2</v>
      </c>
      <c r="U84" s="611">
        <v>2.532</v>
      </c>
      <c r="V84" s="616">
        <v>5.8120000000000003</v>
      </c>
      <c r="W84" s="611">
        <v>-3.0139999999999998</v>
      </c>
      <c r="X84" s="611">
        <v>-0.26200000000000001</v>
      </c>
      <c r="Y84" s="611">
        <v>10.057</v>
      </c>
      <c r="Z84" s="611"/>
      <c r="AA84" s="611"/>
      <c r="AB84" s="611"/>
      <c r="AC84" s="611"/>
      <c r="AD84" s="611"/>
      <c r="AE84" s="611"/>
      <c r="AF84" s="611"/>
      <c r="AG84" s="611"/>
      <c r="AH84" s="611"/>
      <c r="AI84" s="611">
        <f t="shared" si="125"/>
        <v>3.1739999999999999</v>
      </c>
      <c r="AJ84" s="611">
        <f t="shared" si="126"/>
        <v>14.343999999999999</v>
      </c>
      <c r="AK84" s="611">
        <f t="shared" si="127"/>
        <v>20.143000000000001</v>
      </c>
      <c r="AL84" s="611">
        <f t="shared" si="128"/>
        <v>-9.5689999999999991</v>
      </c>
      <c r="AM84" s="611">
        <f t="shared" si="129"/>
        <v>12.845000000000001</v>
      </c>
      <c r="AN84" s="583"/>
      <c r="AO84" s="571"/>
    </row>
    <row r="85" spans="1:41" x14ac:dyDescent="0.25">
      <c r="A85" s="132" t="str">
        <f>+Daloopa!A363</f>
        <v>Acquisition-related depreciation and amortization</v>
      </c>
      <c r="C85" s="611">
        <f>+Daloopa!C363/1000</f>
        <v>2.758</v>
      </c>
      <c r="D85" s="611">
        <f>+Daloopa!D363/1000</f>
        <v>2.8</v>
      </c>
      <c r="E85" s="611">
        <f>+Daloopa!E363/1000</f>
        <v>2.758</v>
      </c>
      <c r="F85" s="616">
        <f>+Daloopa!F363/1000</f>
        <v>2.758</v>
      </c>
      <c r="G85" s="611">
        <f>+Daloopa!G380/1000+Daloopa!G363/1000</f>
        <v>23.638999999999999</v>
      </c>
      <c r="H85" s="611">
        <f>+Daloopa!H363/1000</f>
        <v>34.134999999999998</v>
      </c>
      <c r="I85" s="611">
        <f>+Daloopa!I363/1000</f>
        <v>34.222999999999999</v>
      </c>
      <c r="J85" s="616">
        <f>+Daloopa!J363/1000</f>
        <v>34.270000000000003</v>
      </c>
      <c r="K85" s="611">
        <f>+Daloopa!K363/1000</f>
        <v>31.512</v>
      </c>
      <c r="L85" s="611">
        <f>+Daloopa!L363/1000</f>
        <v>31.786000000000001</v>
      </c>
      <c r="M85" s="611">
        <f>+Daloopa!M363/1000</f>
        <v>31.748999999999999</v>
      </c>
      <c r="N85" s="616">
        <f>+Daloopa!N363/1000</f>
        <v>31.818000000000001</v>
      </c>
      <c r="O85" s="611">
        <f>+Daloopa!O363/1000</f>
        <v>29.114999999999998</v>
      </c>
      <c r="P85" s="611">
        <f>+Daloopa!P363/1000</f>
        <v>29.029</v>
      </c>
      <c r="Q85" s="611">
        <v>28.927</v>
      </c>
      <c r="R85" s="616">
        <v>28.873000000000001</v>
      </c>
      <c r="S85" s="611">
        <v>25.484999999999999</v>
      </c>
      <c r="T85" s="611">
        <v>25.47</v>
      </c>
      <c r="U85" s="611">
        <v>25.66</v>
      </c>
      <c r="V85" s="616">
        <v>26.044</v>
      </c>
      <c r="W85" s="611">
        <v>22.625</v>
      </c>
      <c r="X85" s="611">
        <v>22.616</v>
      </c>
      <c r="Y85" s="611">
        <v>22.646000000000001</v>
      </c>
      <c r="Z85" s="611"/>
      <c r="AA85" s="611"/>
      <c r="AB85" s="611"/>
      <c r="AC85" s="611"/>
      <c r="AD85" s="611"/>
      <c r="AE85" s="611"/>
      <c r="AF85" s="611"/>
      <c r="AG85" s="611"/>
      <c r="AH85" s="611"/>
      <c r="AI85" s="611">
        <f t="shared" si="125"/>
        <v>11.073999999999998</v>
      </c>
      <c r="AJ85" s="611">
        <f t="shared" si="126"/>
        <v>126.267</v>
      </c>
      <c r="AK85" s="611">
        <f t="shared" si="127"/>
        <v>126.86499999999999</v>
      </c>
      <c r="AL85" s="611">
        <f t="shared" si="128"/>
        <v>115.944</v>
      </c>
      <c r="AM85" s="611">
        <f t="shared" si="129"/>
        <v>102.65899999999999</v>
      </c>
      <c r="AN85" s="583"/>
      <c r="AO85" s="571"/>
    </row>
    <row r="86" spans="1:41" x14ac:dyDescent="0.25">
      <c r="A86" s="132" t="str">
        <f>+Daloopa!A364</f>
        <v>Share-based compensation</v>
      </c>
      <c r="C86" s="611">
        <f>+Daloopa!C364/1000</f>
        <v>0.35399999999999998</v>
      </c>
      <c r="D86" s="611">
        <f>+Daloopa!D364/1000</f>
        <v>0.32400000000000001</v>
      </c>
      <c r="E86" s="611">
        <f>+Daloopa!E364/1000</f>
        <v>0.27400000000000002</v>
      </c>
      <c r="F86" s="616">
        <f>+Daloopa!F364/1000</f>
        <v>0.26400000000000001</v>
      </c>
      <c r="G86" s="611">
        <f>+Daloopa!G381/1000+Daloopa!G364/1000</f>
        <v>4.2569999999999997</v>
      </c>
      <c r="H86" s="611">
        <f>+Daloopa!H364/1000</f>
        <v>0.52</v>
      </c>
      <c r="I86" s="611">
        <f>+Daloopa!I364/1000</f>
        <v>0.53</v>
      </c>
      <c r="J86" s="616">
        <f>+Daloopa!J364/1000</f>
        <v>0.54500000000000004</v>
      </c>
      <c r="K86" s="611">
        <f>+Daloopa!K364/1000</f>
        <v>0.56200000000000006</v>
      </c>
      <c r="L86" s="611">
        <f>+Daloopa!L364/1000</f>
        <v>2.6640000000000001</v>
      </c>
      <c r="M86" s="611">
        <f>+Daloopa!M364/1000</f>
        <v>1.343</v>
      </c>
      <c r="N86" s="616">
        <f>+Daloopa!N364/1000</f>
        <v>4.9610000000000003</v>
      </c>
      <c r="O86" s="611">
        <f>+Daloopa!O364/1000</f>
        <v>1.859</v>
      </c>
      <c r="P86" s="611">
        <f>+Daloopa!P364/1000</f>
        <v>1.9430000000000001</v>
      </c>
      <c r="Q86" s="611">
        <v>2.0219999999999998</v>
      </c>
      <c r="R86" s="616">
        <v>2.032</v>
      </c>
      <c r="S86" s="611">
        <v>2.0579999999999998</v>
      </c>
      <c r="T86" s="611">
        <v>3.601</v>
      </c>
      <c r="U86" s="611">
        <v>4.79</v>
      </c>
      <c r="V86" s="616">
        <v>4.8159999999999998</v>
      </c>
      <c r="W86" s="611">
        <v>4.7510000000000003</v>
      </c>
      <c r="X86" s="611">
        <v>5.048</v>
      </c>
      <c r="Y86" s="611">
        <v>9.5039999999999996</v>
      </c>
      <c r="Z86" s="611"/>
      <c r="AA86" s="611"/>
      <c r="AB86" s="611"/>
      <c r="AC86" s="611"/>
      <c r="AD86" s="611"/>
      <c r="AE86" s="611"/>
      <c r="AF86" s="611"/>
      <c r="AG86" s="611"/>
      <c r="AH86" s="611"/>
      <c r="AI86" s="611">
        <f t="shared" si="125"/>
        <v>1.216</v>
      </c>
      <c r="AJ86" s="611">
        <f t="shared" si="126"/>
        <v>5.8519999999999994</v>
      </c>
      <c r="AK86" s="611">
        <f t="shared" si="127"/>
        <v>9.5300000000000011</v>
      </c>
      <c r="AL86" s="611">
        <f t="shared" si="128"/>
        <v>7.8559999999999999</v>
      </c>
      <c r="AM86" s="611">
        <f t="shared" si="129"/>
        <v>15.265000000000001</v>
      </c>
      <c r="AN86" s="583"/>
      <c r="AO86" s="571"/>
    </row>
    <row r="87" spans="1:41" x14ac:dyDescent="0.25">
      <c r="A87" s="132" t="str">
        <f>+Daloopa!A365</f>
        <v>Transaction and acquisition-related charges</v>
      </c>
      <c r="C87" s="611">
        <f>+Daloopa!C365/1000</f>
        <v>0</v>
      </c>
      <c r="D87" s="611">
        <f>+Daloopa!D365/1000</f>
        <v>0</v>
      </c>
      <c r="E87" s="611">
        <f>+Daloopa!E365/1000</f>
        <v>0.34899999999999998</v>
      </c>
      <c r="F87" s="616">
        <f>+Daloopa!F365/1000</f>
        <v>0.84899999999999998</v>
      </c>
      <c r="G87" s="611">
        <f>+Daloopa!G382/1000+Daloopa!G365/1000</f>
        <v>32.286000000000001</v>
      </c>
      <c r="H87" s="611">
        <f>+Daloopa!H365/1000</f>
        <v>7.5999999999999998E-2</v>
      </c>
      <c r="I87" s="611">
        <f>+Daloopa!I365/1000</f>
        <v>5.6000000000000001E-2</v>
      </c>
      <c r="J87" s="616">
        <f>+Daloopa!J365/1000</f>
        <v>0.56799999999999995</v>
      </c>
      <c r="K87" s="611">
        <f>+Daloopa!K365/1000</f>
        <v>3.984</v>
      </c>
      <c r="L87" s="611">
        <f>+Daloopa!L365/1000</f>
        <v>0.38200000000000001</v>
      </c>
      <c r="M87" s="611">
        <f>+Daloopa!M365/1000</f>
        <v>2.1440000000000001</v>
      </c>
      <c r="N87" s="616">
        <f>+Daloopa!N365/1000</f>
        <v>2.8039999999999998</v>
      </c>
      <c r="O87" s="611">
        <f>+Daloopa!O365/1000</f>
        <v>1.498</v>
      </c>
      <c r="P87" s="611">
        <f>+Daloopa!P365/1000</f>
        <v>1.179</v>
      </c>
      <c r="Q87" s="611">
        <v>1.9079999999999999</v>
      </c>
      <c r="R87" s="616">
        <v>1.4330000000000001</v>
      </c>
      <c r="S87" s="611">
        <v>1.071</v>
      </c>
      <c r="T87" s="611">
        <v>1.19</v>
      </c>
      <c r="U87" s="611">
        <v>1.571</v>
      </c>
      <c r="V87" s="616">
        <v>0.53200000000000003</v>
      </c>
      <c r="W87" s="611">
        <v>11.992000000000001</v>
      </c>
      <c r="X87" s="611">
        <v>9.8729999999999993</v>
      </c>
      <c r="Y87" s="611">
        <v>13.218</v>
      </c>
      <c r="Z87" s="611"/>
      <c r="AA87" s="611"/>
      <c r="AB87" s="611"/>
      <c r="AC87" s="611"/>
      <c r="AD87" s="611"/>
      <c r="AE87" s="611"/>
      <c r="AF87" s="611"/>
      <c r="AG87" s="611"/>
      <c r="AH87" s="611"/>
      <c r="AI87" s="611">
        <f t="shared" si="125"/>
        <v>1.198</v>
      </c>
      <c r="AJ87" s="611">
        <f t="shared" si="126"/>
        <v>32.985999999999997</v>
      </c>
      <c r="AK87" s="611">
        <f t="shared" si="127"/>
        <v>9.3140000000000001</v>
      </c>
      <c r="AL87" s="611">
        <f t="shared" si="128"/>
        <v>6.0179999999999998</v>
      </c>
      <c r="AM87" s="611">
        <f t="shared" si="129"/>
        <v>4.3639999999999999</v>
      </c>
      <c r="AN87" s="583"/>
      <c r="AO87" s="571"/>
    </row>
    <row r="88" spans="1:41" x14ac:dyDescent="0.25">
      <c r="A88" s="132" t="str">
        <f>+Daloopa!A366</f>
        <v>Integration, restructuring and other charges</v>
      </c>
      <c r="C88" s="611">
        <f>+Daloopa!C366/1000</f>
        <v>0</v>
      </c>
      <c r="D88" s="611">
        <f>+Daloopa!D366/1000</f>
        <v>0</v>
      </c>
      <c r="E88" s="611">
        <f>+Daloopa!E366/1000</f>
        <v>0</v>
      </c>
      <c r="F88" s="616">
        <f>+Daloopa!F366/1000</f>
        <v>0</v>
      </c>
      <c r="G88" s="611">
        <f>+Daloopa!G383/1000+Daloopa!G366/1000</f>
        <v>0.32700000000000001</v>
      </c>
      <c r="H88" s="611">
        <f>+Daloopa!H366/1000</f>
        <v>0.26200000000000001</v>
      </c>
      <c r="I88" s="611">
        <f>+Daloopa!I366/1000</f>
        <v>2.5999999999999999E-2</v>
      </c>
      <c r="J88" s="616">
        <f>+Daloopa!J366/1000</f>
        <v>3.125</v>
      </c>
      <c r="K88" s="611">
        <f>+Daloopa!K366/1000</f>
        <v>0.45</v>
      </c>
      <c r="L88" s="611">
        <f>+Daloopa!L366/1000</f>
        <v>7.2999999999999995E-2</v>
      </c>
      <c r="M88" s="611">
        <f>+Daloopa!M366/1000</f>
        <v>6.3E-2</v>
      </c>
      <c r="N88" s="616">
        <f>+Daloopa!N366/1000</f>
        <v>0</v>
      </c>
      <c r="O88" s="611">
        <f>+Daloopa!O366/1000</f>
        <v>-0.88900000000000001</v>
      </c>
      <c r="P88" s="611">
        <f>+Daloopa!P366/1000</f>
        <v>0.52500000000000002</v>
      </c>
      <c r="Q88" s="611">
        <v>-0.14399999999999999</v>
      </c>
      <c r="R88" s="616">
        <v>0</v>
      </c>
      <c r="S88" s="611">
        <v>2.278</v>
      </c>
      <c r="T88" s="611">
        <v>1.4870000000000001</v>
      </c>
      <c r="U88" s="611">
        <v>2.8</v>
      </c>
      <c r="V88" s="616">
        <v>0.373</v>
      </c>
      <c r="W88" s="611">
        <v>0.71899999999999997</v>
      </c>
      <c r="X88" s="611">
        <v>0.95899999999999996</v>
      </c>
      <c r="Y88" s="611">
        <v>2.0430000000000001</v>
      </c>
      <c r="Z88" s="611"/>
      <c r="AA88" s="611"/>
      <c r="AB88" s="611"/>
      <c r="AC88" s="611"/>
      <c r="AD88" s="611"/>
      <c r="AE88" s="611"/>
      <c r="AF88" s="611"/>
      <c r="AG88" s="611"/>
      <c r="AH88" s="611"/>
      <c r="AI88" s="611">
        <f t="shared" si="125"/>
        <v>0</v>
      </c>
      <c r="AJ88" s="611">
        <f t="shared" si="126"/>
        <v>3.74</v>
      </c>
      <c r="AK88" s="611">
        <f t="shared" si="127"/>
        <v>0.58600000000000008</v>
      </c>
      <c r="AL88" s="611">
        <f t="shared" si="128"/>
        <v>-0.50800000000000001</v>
      </c>
      <c r="AM88" s="611">
        <f t="shared" si="129"/>
        <v>6.9379999999999997</v>
      </c>
      <c r="AN88" s="583"/>
      <c r="AO88" s="571"/>
    </row>
    <row r="89" spans="1:41" s="413" customFormat="1" ht="14" x14ac:dyDescent="0.4">
      <c r="A89" s="132" t="str">
        <f>+Daloopa!A367</f>
        <v>Other</v>
      </c>
      <c r="C89" s="612">
        <f>+Daloopa!C367/1000</f>
        <v>1.349</v>
      </c>
      <c r="D89" s="612">
        <f>+Daloopa!D367/1000</f>
        <v>0.76</v>
      </c>
      <c r="E89" s="612">
        <f>+Daloopa!E367/1000</f>
        <v>-0.2</v>
      </c>
      <c r="F89" s="617">
        <f>+Daloopa!F367/1000</f>
        <v>1.33</v>
      </c>
      <c r="G89" s="612">
        <f>+Daloopa!G384/1000+Daloopa!G367/1000</f>
        <v>3.2000000000000001E-2</v>
      </c>
      <c r="H89" s="612">
        <f>+Daloopa!H367/1000</f>
        <v>0.42699999999999999</v>
      </c>
      <c r="I89" s="612">
        <f>+Daloopa!I367/1000</f>
        <v>0.63</v>
      </c>
      <c r="J89" s="617">
        <f>+Daloopa!J367/1000</f>
        <v>-0.189</v>
      </c>
      <c r="K89" s="612">
        <f>+Daloopa!K367/1000</f>
        <v>0</v>
      </c>
      <c r="L89" s="612">
        <f>+Daloopa!L367/1000</f>
        <v>0</v>
      </c>
      <c r="M89" s="612">
        <f>+Daloopa!M367/1000</f>
        <v>0.19400000000000001</v>
      </c>
      <c r="N89" s="617">
        <f>+Daloopa!N367/1000</f>
        <v>3.2000000000000001E-2</v>
      </c>
      <c r="O89" s="612">
        <f>+Daloopa!O367/1000</f>
        <v>0</v>
      </c>
      <c r="P89" s="612">
        <f>+Daloopa!P367/1000</f>
        <v>0</v>
      </c>
      <c r="Q89" s="612">
        <v>0</v>
      </c>
      <c r="R89" s="617">
        <v>3.02</v>
      </c>
      <c r="S89" s="612">
        <v>0</v>
      </c>
      <c r="T89" s="612">
        <v>0</v>
      </c>
      <c r="U89" s="612">
        <v>0</v>
      </c>
      <c r="V89" s="617">
        <v>0</v>
      </c>
      <c r="W89" s="612">
        <v>0</v>
      </c>
      <c r="X89" s="612">
        <v>0</v>
      </c>
      <c r="Y89" s="612">
        <v>0</v>
      </c>
      <c r="Z89" s="612"/>
      <c r="AA89" s="612"/>
      <c r="AB89" s="612"/>
      <c r="AC89" s="612"/>
      <c r="AD89" s="612"/>
      <c r="AE89" s="612"/>
      <c r="AF89" s="612"/>
      <c r="AG89" s="612"/>
      <c r="AH89" s="612"/>
      <c r="AI89" s="612">
        <f t="shared" si="125"/>
        <v>3.2389999999999999</v>
      </c>
      <c r="AJ89" s="612">
        <f t="shared" si="126"/>
        <v>0.89999999999999991</v>
      </c>
      <c r="AK89" s="612">
        <f t="shared" si="127"/>
        <v>0.22600000000000001</v>
      </c>
      <c r="AL89" s="612">
        <f t="shared" si="128"/>
        <v>3.02</v>
      </c>
      <c r="AM89" s="612">
        <f t="shared" si="129"/>
        <v>0</v>
      </c>
      <c r="AN89" s="719"/>
      <c r="AO89" s="614"/>
    </row>
    <row r="90" spans="1:41" x14ac:dyDescent="0.25">
      <c r="A90" s="425" t="str">
        <f>+Daloopa!A368</f>
        <v>Adjusted net income (loss) before income tax effect</v>
      </c>
      <c r="C90" s="611">
        <f>+Daloopa!C368/1000</f>
        <v>9.327</v>
      </c>
      <c r="D90" s="611">
        <f>+Daloopa!D368/1000</f>
        <v>17.573</v>
      </c>
      <c r="E90" s="611">
        <f>+Daloopa!E368/1000</f>
        <v>17.742000000000001</v>
      </c>
      <c r="F90" s="616">
        <f>+Daloopa!F368/1000</f>
        <v>16.407</v>
      </c>
      <c r="G90" s="611">
        <f>+Daloopa!G385/1000+Daloopa!G368/1000</f>
        <v>8.0860000000000003</v>
      </c>
      <c r="H90" s="611">
        <f>+Daloopa!H368/1000</f>
        <v>16.431999999999999</v>
      </c>
      <c r="I90" s="611">
        <f>+Daloopa!I368/1000</f>
        <v>30.013000000000002</v>
      </c>
      <c r="J90" s="616">
        <f>+Daloopa!J368/1000</f>
        <v>33.31</v>
      </c>
      <c r="K90" s="611">
        <f>+Daloopa!K368/1000</f>
        <v>27.594999999999999</v>
      </c>
      <c r="L90" s="611">
        <f>+Daloopa!L368/1000</f>
        <v>46.093000000000004</v>
      </c>
      <c r="M90" s="611">
        <f>+Daloopa!M368/1000</f>
        <v>55.612000000000002</v>
      </c>
      <c r="N90" s="616">
        <f>+Daloopa!N368/1000</f>
        <v>62.277000000000001</v>
      </c>
      <c r="O90" s="611">
        <f>+Daloopa!O368/1000</f>
        <v>44.716000000000001</v>
      </c>
      <c r="P90" s="611">
        <f>+Daloopa!P368/1000</f>
        <v>50.674999999999997</v>
      </c>
      <c r="Q90" s="611">
        <f>+SUM(Q84:Q89,Q83)</f>
        <v>53.085999999999999</v>
      </c>
      <c r="R90" s="616">
        <f>+SUM(R84:R89,R83)</f>
        <v>59.363000000000007</v>
      </c>
      <c r="S90" s="611">
        <f>+SUM(S84:S89,S83)</f>
        <v>37.965999999999994</v>
      </c>
      <c r="T90" s="611">
        <f t="shared" ref="T90:U90" si="131">+SUM(T84:T89,T83)</f>
        <v>45.530999999999999</v>
      </c>
      <c r="U90" s="611">
        <f t="shared" si="131"/>
        <v>53.006999999999991</v>
      </c>
      <c r="V90" s="616">
        <f t="shared" ref="V90:W90" si="132">+SUM(V84:V89,V83)</f>
        <v>54.043000000000006</v>
      </c>
      <c r="W90" s="611">
        <f t="shared" si="132"/>
        <v>32.777000000000001</v>
      </c>
      <c r="X90" s="611">
        <f t="shared" ref="X90:Y90" si="133">+SUM(X84:X89,X83)</f>
        <v>40.783999999999999</v>
      </c>
      <c r="Y90" s="611">
        <f t="shared" si="133"/>
        <v>49.39</v>
      </c>
      <c r="Z90" s="611"/>
      <c r="AA90" s="611"/>
      <c r="AB90" s="611"/>
      <c r="AC90" s="611"/>
      <c r="AD90" s="611"/>
      <c r="AE90" s="611"/>
      <c r="AF90" s="611"/>
      <c r="AG90" s="611"/>
      <c r="AH90" s="611"/>
      <c r="AI90" s="611">
        <f t="shared" si="125"/>
        <v>61.048999999999992</v>
      </c>
      <c r="AJ90" s="611">
        <f t="shared" si="126"/>
        <v>87.841000000000008</v>
      </c>
      <c r="AK90" s="611">
        <f t="shared" si="127"/>
        <v>191.577</v>
      </c>
      <c r="AL90" s="611">
        <f t="shared" si="128"/>
        <v>207.83999999999997</v>
      </c>
      <c r="AM90" s="611">
        <f t="shared" si="129"/>
        <v>190.54699999999997</v>
      </c>
      <c r="AN90" s="583"/>
      <c r="AO90" s="571"/>
    </row>
    <row r="91" spans="1:41" s="565" customFormat="1" x14ac:dyDescent="0.25">
      <c r="A91" s="132" t="str">
        <f>+Daloopa!A370</f>
        <v>Income tax effect</v>
      </c>
      <c r="C91" s="589">
        <f>+Daloopa!C370/1000</f>
        <v>2.4620000000000002</v>
      </c>
      <c r="D91" s="589">
        <f>+Daloopa!D370/1000</f>
        <v>4.6390000000000002</v>
      </c>
      <c r="E91" s="589">
        <f>+Daloopa!E370/1000</f>
        <v>4.6840000000000002</v>
      </c>
      <c r="F91" s="590">
        <f>+Daloopa!F370/1000</f>
        <v>4.3319999999999999</v>
      </c>
      <c r="G91" s="589">
        <f>+Daloopa!G387/1000+Daloopa!G370/1000</f>
        <v>2.0780000000000003</v>
      </c>
      <c r="H91" s="589">
        <f>+Daloopa!H370/1000</f>
        <v>4.2229999999999999</v>
      </c>
      <c r="I91" s="589">
        <f>+Daloopa!I370/1000</f>
        <v>7.7130000000000001</v>
      </c>
      <c r="J91" s="590">
        <f>+Daloopa!J370/1000</f>
        <v>8.5609999999999999</v>
      </c>
      <c r="K91" s="591">
        <f>+Daloopa!K370/1000</f>
        <v>7.0919999999999996</v>
      </c>
      <c r="L91" s="591">
        <f>+Daloopa!L370/1000</f>
        <v>12.896000000000001</v>
      </c>
      <c r="M91" s="591">
        <f>+Daloopa!M370/1000</f>
        <v>13.443</v>
      </c>
      <c r="N91" s="590">
        <f>+Daloopa!N370/1000</f>
        <v>15.747</v>
      </c>
      <c r="O91" s="589">
        <f>+Daloopa!O370/1000</f>
        <v>11.218999999999999</v>
      </c>
      <c r="P91" s="589">
        <f>+Daloopa!P370/1000</f>
        <v>12.669</v>
      </c>
      <c r="Q91" s="589">
        <f>51.378-R91-P91-O91</f>
        <v>13.083000000000004</v>
      </c>
      <c r="R91" s="590">
        <v>14.407</v>
      </c>
      <c r="S91" s="589">
        <v>9.6020000000000003</v>
      </c>
      <c r="T91" s="589">
        <v>10.705</v>
      </c>
      <c r="U91" s="589">
        <v>12.972</v>
      </c>
      <c r="V91" s="590">
        <v>11.48</v>
      </c>
      <c r="W91" s="589">
        <v>7.9909999999999997</v>
      </c>
      <c r="X91" s="589">
        <v>10.031000000000001</v>
      </c>
      <c r="Y91" s="589">
        <v>11.4</v>
      </c>
      <c r="Z91" s="591"/>
      <c r="AA91" s="591"/>
      <c r="AB91" s="591"/>
      <c r="AC91" s="591"/>
      <c r="AD91" s="591"/>
      <c r="AE91" s="591"/>
      <c r="AF91" s="591"/>
      <c r="AG91" s="591"/>
      <c r="AH91" s="591"/>
      <c r="AI91" s="589">
        <f t="shared" si="125"/>
        <v>16.117000000000001</v>
      </c>
      <c r="AJ91" s="589">
        <f t="shared" si="126"/>
        <v>22.574999999999999</v>
      </c>
      <c r="AK91" s="589">
        <f t="shared" si="127"/>
        <v>49.177999999999997</v>
      </c>
      <c r="AL91" s="589">
        <f t="shared" si="128"/>
        <v>51.378</v>
      </c>
      <c r="AM91" s="589">
        <f t="shared" si="129"/>
        <v>44.759</v>
      </c>
      <c r="AN91" s="591"/>
      <c r="AO91" s="572"/>
    </row>
    <row r="92" spans="1:41" s="163" customFormat="1" ht="13" x14ac:dyDescent="0.3">
      <c r="A92" s="426" t="str">
        <f>+Daloopa!A371</f>
        <v>Adjusted net income (loss)</v>
      </c>
      <c r="C92" s="592">
        <f>+Daloopa!C371/1000</f>
        <v>6.8650000000000002</v>
      </c>
      <c r="D92" s="592">
        <f>+Daloopa!D371/1000</f>
        <v>12.933999999999999</v>
      </c>
      <c r="E92" s="592">
        <f>+Daloopa!E371/1000</f>
        <v>13.058</v>
      </c>
      <c r="F92" s="593">
        <f>+Daloopa!F371/1000</f>
        <v>12.074999999999999</v>
      </c>
      <c r="G92" s="592">
        <f>+Daloopa!G388/1000+Daloopa!G371/1000</f>
        <v>6.0079999999999991</v>
      </c>
      <c r="H92" s="592">
        <f>+Daloopa!H371/1000</f>
        <v>12.209</v>
      </c>
      <c r="I92" s="592">
        <f>+Daloopa!I371/1000</f>
        <v>22.3</v>
      </c>
      <c r="J92" s="593">
        <f>+Daloopa!J371/1000</f>
        <v>24.748999999999999</v>
      </c>
      <c r="K92" s="594">
        <f>+Daloopa!K371/1000</f>
        <v>20.503</v>
      </c>
      <c r="L92" s="594">
        <f>+Daloopa!L371/1000</f>
        <v>33.197000000000003</v>
      </c>
      <c r="M92" s="594">
        <f>+Daloopa!M371/1000</f>
        <v>42.168999999999997</v>
      </c>
      <c r="N92" s="593">
        <f>+Daloopa!N371/1000</f>
        <v>46.53</v>
      </c>
      <c r="O92" s="592">
        <f>+Daloopa!O371/1000</f>
        <v>33.497</v>
      </c>
      <c r="P92" s="592">
        <f>+Daloopa!P371/1000</f>
        <v>38.006</v>
      </c>
      <c r="Q92" s="592">
        <f>+Q90-Q91</f>
        <v>40.002999999999993</v>
      </c>
      <c r="R92" s="593">
        <f>+R90-R91</f>
        <v>44.956000000000003</v>
      </c>
      <c r="S92" s="592">
        <f>+S90-S91</f>
        <v>28.363999999999994</v>
      </c>
      <c r="T92" s="592">
        <f t="shared" ref="T92:U92" si="134">+T90-T91</f>
        <v>34.826000000000001</v>
      </c>
      <c r="U92" s="592">
        <f t="shared" si="134"/>
        <v>40.034999999999989</v>
      </c>
      <c r="V92" s="593">
        <f t="shared" ref="V92:W92" si="135">+V90-V91</f>
        <v>42.563000000000002</v>
      </c>
      <c r="W92" s="592">
        <f t="shared" si="135"/>
        <v>24.786000000000001</v>
      </c>
      <c r="X92" s="592">
        <f t="shared" ref="X92:Y92" si="136">+X90-X91</f>
        <v>30.753</v>
      </c>
      <c r="Y92" s="592">
        <f t="shared" si="136"/>
        <v>37.99</v>
      </c>
      <c r="Z92" s="594"/>
      <c r="AA92" s="594"/>
      <c r="AB92" s="594"/>
      <c r="AC92" s="594"/>
      <c r="AD92" s="594"/>
      <c r="AE92" s="594"/>
      <c r="AF92" s="594"/>
      <c r="AG92" s="594"/>
      <c r="AH92" s="594"/>
      <c r="AI92" s="592">
        <f t="shared" si="125"/>
        <v>44.932000000000002</v>
      </c>
      <c r="AJ92" s="592">
        <f t="shared" si="126"/>
        <v>65.265999999999991</v>
      </c>
      <c r="AK92" s="592">
        <f t="shared" si="127"/>
        <v>142.399</v>
      </c>
      <c r="AL92" s="592">
        <f t="shared" si="128"/>
        <v>156.46199999999999</v>
      </c>
      <c r="AM92" s="592">
        <f t="shared" si="129"/>
        <v>145.78800000000001</v>
      </c>
      <c r="AN92" s="594"/>
      <c r="AO92" s="573"/>
    </row>
    <row r="93" spans="1:41" x14ac:dyDescent="0.25">
      <c r="C93" s="568"/>
      <c r="D93" s="568"/>
      <c r="E93" s="568"/>
      <c r="F93" s="588"/>
      <c r="G93" s="568"/>
      <c r="H93" s="568"/>
      <c r="I93" s="568"/>
      <c r="J93" s="588"/>
      <c r="K93" s="583"/>
      <c r="L93" s="583"/>
      <c r="M93" s="583"/>
      <c r="N93" s="588"/>
      <c r="O93" s="568"/>
      <c r="P93" s="568"/>
      <c r="Q93" s="568"/>
      <c r="R93" s="588"/>
      <c r="S93" s="568"/>
      <c r="T93" s="568"/>
      <c r="U93" s="568"/>
      <c r="V93" s="588"/>
      <c r="W93" s="568"/>
      <c r="X93" s="583"/>
      <c r="Y93" s="583"/>
      <c r="Z93" s="583"/>
      <c r="AA93" s="583"/>
      <c r="AB93" s="583"/>
      <c r="AC93" s="583"/>
      <c r="AD93" s="583"/>
      <c r="AE93" s="583"/>
      <c r="AF93" s="583"/>
      <c r="AG93" s="583"/>
      <c r="AH93" s="583"/>
      <c r="AI93" s="568"/>
      <c r="AJ93" s="568"/>
      <c r="AK93" s="568"/>
      <c r="AL93" s="568"/>
      <c r="AM93" s="568"/>
      <c r="AN93" s="583"/>
      <c r="AO93" s="571"/>
    </row>
    <row r="94" spans="1:41" ht="13" x14ac:dyDescent="0.3">
      <c r="A94" s="569" t="s">
        <v>366</v>
      </c>
      <c r="B94" s="570"/>
      <c r="C94" s="568"/>
      <c r="D94" s="568"/>
      <c r="E94" s="568"/>
      <c r="F94" s="588"/>
      <c r="G94" s="568"/>
      <c r="H94" s="568"/>
      <c r="I94" s="568"/>
      <c r="J94" s="588"/>
      <c r="K94" s="583"/>
      <c r="L94" s="583"/>
      <c r="M94" s="583"/>
      <c r="N94" s="588"/>
      <c r="O94" s="568"/>
      <c r="P94" s="568"/>
      <c r="Q94" s="568"/>
      <c r="R94" s="588"/>
      <c r="S94" s="568"/>
      <c r="T94" s="568"/>
      <c r="U94" s="568"/>
      <c r="V94" s="588"/>
      <c r="W94" s="568"/>
      <c r="X94" s="583"/>
      <c r="Y94" s="583"/>
      <c r="Z94" s="583"/>
      <c r="AA94" s="583"/>
      <c r="AB94" s="583"/>
      <c r="AC94" s="583"/>
      <c r="AD94" s="583"/>
      <c r="AE94" s="583"/>
      <c r="AF94" s="583"/>
      <c r="AG94" s="583"/>
      <c r="AH94" s="583"/>
      <c r="AI94" s="568"/>
      <c r="AJ94" s="568"/>
      <c r="AK94" s="568"/>
      <c r="AL94" s="568"/>
      <c r="AM94" s="568"/>
      <c r="AN94" s="583"/>
      <c r="AO94" s="571"/>
    </row>
    <row r="95" spans="1:41" ht="13" x14ac:dyDescent="0.3">
      <c r="A95" s="374"/>
      <c r="C95" s="568"/>
      <c r="D95" s="568"/>
      <c r="E95" s="568"/>
      <c r="F95" s="588"/>
      <c r="G95" s="568"/>
      <c r="H95" s="568"/>
      <c r="I95" s="568"/>
      <c r="J95" s="588"/>
      <c r="K95" s="583"/>
      <c r="L95" s="583"/>
      <c r="M95" s="583"/>
      <c r="N95" s="588"/>
      <c r="O95" s="568"/>
      <c r="P95" s="568"/>
      <c r="Q95" s="568"/>
      <c r="R95" s="588"/>
      <c r="S95" s="568"/>
      <c r="T95" s="568"/>
      <c r="U95" s="568"/>
      <c r="V95" s="588"/>
      <c r="W95" s="568"/>
      <c r="X95" s="583"/>
      <c r="Y95" s="583"/>
      <c r="Z95" s="583"/>
      <c r="AA95" s="583"/>
      <c r="AB95" s="583"/>
      <c r="AC95" s="583"/>
      <c r="AD95" s="583"/>
      <c r="AE95" s="583"/>
      <c r="AF95" s="583"/>
      <c r="AG95" s="583"/>
      <c r="AH95" s="583"/>
      <c r="AI95" s="568"/>
      <c r="AJ95" s="568"/>
      <c r="AK95" s="568"/>
      <c r="AL95" s="568"/>
      <c r="AM95" s="568"/>
      <c r="AN95" s="583"/>
      <c r="AO95" s="571"/>
    </row>
    <row r="96" spans="1:41" ht="13" x14ac:dyDescent="0.3">
      <c r="A96" s="374" t="s">
        <v>28</v>
      </c>
      <c r="C96" s="568"/>
      <c r="D96" s="568"/>
      <c r="E96" s="568"/>
      <c r="F96" s="588"/>
      <c r="G96" s="568"/>
      <c r="H96" s="568"/>
      <c r="I96" s="568"/>
      <c r="J96" s="588"/>
      <c r="K96" s="583"/>
      <c r="L96" s="583"/>
      <c r="M96" s="583"/>
      <c r="N96" s="588"/>
      <c r="O96" s="568"/>
      <c r="P96" s="568"/>
      <c r="Q96" s="568"/>
      <c r="R96" s="588"/>
      <c r="S96" s="568"/>
      <c r="T96" s="568"/>
      <c r="U96" s="568"/>
      <c r="V96" s="588"/>
      <c r="W96" s="568"/>
      <c r="X96" s="583"/>
      <c r="Y96" s="583"/>
      <c r="Z96" s="583"/>
      <c r="AA96" s="583"/>
      <c r="AB96" s="583"/>
      <c r="AC96" s="583"/>
      <c r="AD96" s="583"/>
      <c r="AE96" s="583"/>
      <c r="AF96" s="583"/>
      <c r="AG96" s="583"/>
      <c r="AH96" s="583"/>
      <c r="AI96" s="568"/>
      <c r="AJ96" s="568"/>
      <c r="AK96" s="568"/>
      <c r="AL96" s="568"/>
      <c r="AM96" s="568"/>
      <c r="AN96" s="583"/>
      <c r="AO96" s="571"/>
    </row>
    <row r="97" spans="1:41" x14ac:dyDescent="0.25">
      <c r="A97" s="132" t="s">
        <v>213</v>
      </c>
      <c r="C97" s="611"/>
      <c r="D97" s="611"/>
      <c r="E97" s="611"/>
      <c r="F97" s="616"/>
      <c r="G97" s="611">
        <f>285.823+32.411-H97-I97</f>
        <v>98.267999999999986</v>
      </c>
      <c r="H97" s="611">
        <f t="shared" ref="H97:O97" si="137">+H100-SUM(H98:H99)</f>
        <v>94.208999999999989</v>
      </c>
      <c r="I97" s="611">
        <f t="shared" si="137"/>
        <v>125.75699999999999</v>
      </c>
      <c r="J97" s="616">
        <f>+AJ97-SUM(G97:I97)</f>
        <v>144.17900000000003</v>
      </c>
      <c r="K97" s="611">
        <f t="shared" si="137"/>
        <v>116.52399999999999</v>
      </c>
      <c r="L97" s="611">
        <f t="shared" si="137"/>
        <v>146.29999999999998</v>
      </c>
      <c r="M97" s="611">
        <f t="shared" si="137"/>
        <v>158.97199999999998</v>
      </c>
      <c r="N97" s="616">
        <f t="shared" si="137"/>
        <v>182.61700000000002</v>
      </c>
      <c r="O97" s="611">
        <f t="shared" si="137"/>
        <v>160.08799999999999</v>
      </c>
      <c r="P97" s="611">
        <f>+P100-SUM(P98:P99)</f>
        <v>170.59100000000001</v>
      </c>
      <c r="Q97" s="611">
        <v>176.09100000000001</v>
      </c>
      <c r="R97" s="616">
        <v>188.095</v>
      </c>
      <c r="S97" s="611">
        <v>152.05600000000001</v>
      </c>
      <c r="T97" s="611">
        <v>162.68199999999999</v>
      </c>
      <c r="U97" s="611">
        <v>176.04599999999999</v>
      </c>
      <c r="V97" s="616">
        <v>182.29</v>
      </c>
      <c r="W97" s="611">
        <v>149.12700000000001</v>
      </c>
      <c r="X97" s="611">
        <v>162.37799999999999</v>
      </c>
      <c r="Y97" s="611">
        <v>174.905</v>
      </c>
      <c r="Z97" s="611"/>
      <c r="AA97" s="611"/>
      <c r="AB97" s="611"/>
      <c r="AC97" s="611"/>
      <c r="AD97" s="611"/>
      <c r="AE97" s="611"/>
      <c r="AF97" s="611"/>
      <c r="AG97" s="611"/>
      <c r="AH97" s="611"/>
      <c r="AI97" s="611">
        <v>423.16399999999999</v>
      </c>
      <c r="AJ97" s="611">
        <f>32.411+430.002</f>
        <v>462.41300000000001</v>
      </c>
      <c r="AK97" s="611">
        <f>SUM(K97:N97)</f>
        <v>604.41300000000001</v>
      </c>
      <c r="AL97" s="611">
        <f>+SUM(O97:R97)</f>
        <v>694.86500000000001</v>
      </c>
      <c r="AM97" s="611">
        <f>+SUM(S97:V97)</f>
        <v>673.07399999999996</v>
      </c>
      <c r="AN97" s="583"/>
      <c r="AO97" s="571"/>
    </row>
    <row r="98" spans="1:41" x14ac:dyDescent="0.25">
      <c r="A98" s="132" t="s">
        <v>214</v>
      </c>
      <c r="C98" s="611"/>
      <c r="D98" s="611"/>
      <c r="E98" s="611"/>
      <c r="F98" s="616"/>
      <c r="G98" s="611">
        <f>32.335+4.665-H98-I98</f>
        <v>13.509999999999998</v>
      </c>
      <c r="H98" s="611">
        <f>+Daloopa!H75/1000</f>
        <v>11.499000000000001</v>
      </c>
      <c r="I98" s="611">
        <f>+Daloopa!I75/1000</f>
        <v>11.991</v>
      </c>
      <c r="J98" s="616">
        <f>+AJ98-SUM(G98:I98)</f>
        <v>13.482999999999997</v>
      </c>
      <c r="K98" s="611">
        <f>+Daloopa!K75/1000</f>
        <v>16.562000000000001</v>
      </c>
      <c r="L98" s="611">
        <f>+Daloopa!L75/1000</f>
        <v>30.08</v>
      </c>
      <c r="M98" s="611">
        <f>+Daloopa!M75/1000</f>
        <v>35.594999999999999</v>
      </c>
      <c r="N98" s="616">
        <f>+Daloopa!N75/1000</f>
        <v>31.771999999999998</v>
      </c>
      <c r="O98" s="611">
        <f>+Daloopa!O75/1000</f>
        <v>31.741</v>
      </c>
      <c r="P98" s="611">
        <f>+Daloopa!P75/1000</f>
        <v>33.043999999999997</v>
      </c>
      <c r="Q98" s="611">
        <v>31.628</v>
      </c>
      <c r="R98" s="616">
        <v>26.187000000000001</v>
      </c>
      <c r="S98" s="611">
        <v>24.847999999999999</v>
      </c>
      <c r="T98" s="611">
        <v>24.113</v>
      </c>
      <c r="U98" s="611">
        <v>25.805</v>
      </c>
      <c r="V98" s="616">
        <v>22.065000000000001</v>
      </c>
      <c r="W98" s="611">
        <v>22.023</v>
      </c>
      <c r="X98" s="611">
        <v>24.187000000000001</v>
      </c>
      <c r="Y98" s="611">
        <v>26.623999999999999</v>
      </c>
      <c r="Z98" s="611"/>
      <c r="AA98" s="611"/>
      <c r="AB98" s="611"/>
      <c r="AC98" s="611"/>
      <c r="AD98" s="611"/>
      <c r="AE98" s="611"/>
      <c r="AF98" s="611"/>
      <c r="AG98" s="611"/>
      <c r="AH98" s="611"/>
      <c r="AI98" s="611">
        <v>62.948</v>
      </c>
      <c r="AJ98" s="611">
        <f>4.665+45.818</f>
        <v>50.482999999999997</v>
      </c>
      <c r="AK98" s="611">
        <f>SUM(K98:N98)</f>
        <v>114.00899999999999</v>
      </c>
      <c r="AL98" s="611">
        <f>+SUM(O98:R98)</f>
        <v>122.6</v>
      </c>
      <c r="AM98" s="611">
        <f>+SUM(S98:V98)</f>
        <v>96.830999999999989</v>
      </c>
      <c r="AN98" s="583"/>
      <c r="AO98" s="571"/>
    </row>
    <row r="99" spans="1:41" s="413" customFormat="1" ht="14" x14ac:dyDescent="0.4">
      <c r="A99" s="132" t="s">
        <v>215</v>
      </c>
      <c r="C99" s="612"/>
      <c r="D99" s="612"/>
      <c r="E99" s="612"/>
      <c r="F99" s="617"/>
      <c r="G99" s="612">
        <f>-2.333-0.291-H99-I99</f>
        <v>-0.93900000000000028</v>
      </c>
      <c r="H99" s="612">
        <f>+Daloopa!H76/1000</f>
        <v>-0.71499999999999997</v>
      </c>
      <c r="I99" s="612">
        <f>+Daloopa!I76/1000</f>
        <v>-0.97</v>
      </c>
      <c r="J99" s="617">
        <f>+AJ99-SUM(G99:I99)</f>
        <v>-1.1179999999999994</v>
      </c>
      <c r="K99" s="612">
        <f>+Daloopa!K76/1000</f>
        <v>-1.016</v>
      </c>
      <c r="L99" s="612">
        <f>+Daloopa!L76/1000</f>
        <v>-1.554</v>
      </c>
      <c r="M99" s="612">
        <f>+Daloopa!M76/1000</f>
        <v>-1.7</v>
      </c>
      <c r="N99" s="617">
        <f>+Daloopa!N76/1000</f>
        <v>-1.857</v>
      </c>
      <c r="O99" s="612">
        <f>+Daloopa!O76/1000</f>
        <v>-1.948</v>
      </c>
      <c r="P99" s="612">
        <f>+Daloopa!P76/1000</f>
        <v>-2.0739999999999998</v>
      </c>
      <c r="Q99" s="612">
        <v>-1.7330000000000001</v>
      </c>
      <c r="R99" s="617">
        <v>-1.6870000000000001</v>
      </c>
      <c r="S99" s="612">
        <v>-1.3839999999999999</v>
      </c>
      <c r="T99" s="612">
        <v>-1.48</v>
      </c>
      <c r="U99" s="612">
        <v>-1.4870000000000001</v>
      </c>
      <c r="V99" s="617">
        <v>-1.7929999999999999</v>
      </c>
      <c r="W99" s="612">
        <v>-1.734</v>
      </c>
      <c r="X99" s="612">
        <v>-2.0190000000000001</v>
      </c>
      <c r="Y99" s="612">
        <f>Y100-Y98-Y97</f>
        <v>-2.4099999999999966</v>
      </c>
      <c r="Z99" s="612"/>
      <c r="AA99" s="612"/>
      <c r="AB99" s="612"/>
      <c r="AC99" s="612"/>
      <c r="AD99" s="612"/>
      <c r="AE99" s="612"/>
      <c r="AF99" s="612"/>
      <c r="AG99" s="612"/>
      <c r="AH99" s="612"/>
      <c r="AI99" s="612">
        <v>-4.3449999999999998</v>
      </c>
      <c r="AJ99" s="612">
        <f>-0.291+-3.451</f>
        <v>-3.742</v>
      </c>
      <c r="AK99" s="612">
        <f>SUM(K99:N99)</f>
        <v>-6.1270000000000007</v>
      </c>
      <c r="AL99" s="612">
        <f>+SUM(O99:R99)</f>
        <v>-7.4420000000000011</v>
      </c>
      <c r="AM99" s="612">
        <f>+SUM(S99:V99)</f>
        <v>-6.1440000000000001</v>
      </c>
      <c r="AN99" s="719"/>
      <c r="AO99" s="614"/>
    </row>
    <row r="100" spans="1:41" s="163" customFormat="1" ht="13" x14ac:dyDescent="0.3">
      <c r="A100" s="426" t="s">
        <v>216</v>
      </c>
      <c r="C100" s="615">
        <f t="shared" ref="C100:E100" si="138">+C9</f>
        <v>109.687</v>
      </c>
      <c r="D100" s="615">
        <f t="shared" si="138"/>
        <v>121.621</v>
      </c>
      <c r="E100" s="615">
        <f t="shared" si="138"/>
        <v>123.76900000000001</v>
      </c>
      <c r="F100" s="618">
        <f>+F9</f>
        <v>126.69</v>
      </c>
      <c r="G100" s="615">
        <f t="shared" ref="G100:Q100" si="139">+G9</f>
        <v>110.839</v>
      </c>
      <c r="H100" s="615">
        <f t="shared" si="139"/>
        <v>104.99299999999999</v>
      </c>
      <c r="I100" s="615">
        <f t="shared" si="139"/>
        <v>136.77799999999999</v>
      </c>
      <c r="J100" s="618">
        <f t="shared" si="139"/>
        <v>156.54400000000001</v>
      </c>
      <c r="K100" s="615">
        <f t="shared" si="139"/>
        <v>132.07</v>
      </c>
      <c r="L100" s="615">
        <f t="shared" si="139"/>
        <v>174.82599999999999</v>
      </c>
      <c r="M100" s="615">
        <f t="shared" si="139"/>
        <v>192.86699999999999</v>
      </c>
      <c r="N100" s="618">
        <f t="shared" si="139"/>
        <v>212.53200000000001</v>
      </c>
      <c r="O100" s="615">
        <f t="shared" si="139"/>
        <v>189.881</v>
      </c>
      <c r="P100" s="615">
        <f t="shared" si="139"/>
        <v>201.56100000000001</v>
      </c>
      <c r="Q100" s="615">
        <f t="shared" si="139"/>
        <v>205.98599999999999</v>
      </c>
      <c r="R100" s="618">
        <f>+SUM(R97:R99)</f>
        <v>212.595</v>
      </c>
      <c r="S100" s="615">
        <f>+SUM(S97:S99)</f>
        <v>175.52</v>
      </c>
      <c r="T100" s="615">
        <f t="shared" ref="T100:U100" si="140">+SUM(T97:T99)</f>
        <v>185.315</v>
      </c>
      <c r="U100" s="615">
        <f t="shared" si="140"/>
        <v>200.364</v>
      </c>
      <c r="V100" s="618">
        <f t="shared" ref="V100:W100" si="141">+SUM(V97:V99)</f>
        <v>202.56199999999998</v>
      </c>
      <c r="W100" s="615">
        <f t="shared" si="141"/>
        <v>169.416</v>
      </c>
      <c r="X100" s="615">
        <f t="shared" ref="X100" si="142">+SUM(X97:X99)</f>
        <v>184.54599999999999</v>
      </c>
      <c r="Y100" s="615">
        <f>Y9</f>
        <v>199.119</v>
      </c>
      <c r="Z100" s="615"/>
      <c r="AA100" s="615"/>
      <c r="AB100" s="615"/>
      <c r="AC100" s="615"/>
      <c r="AD100" s="615"/>
      <c r="AE100" s="615"/>
      <c r="AF100" s="615"/>
      <c r="AG100" s="615"/>
      <c r="AH100" s="615"/>
      <c r="AI100" s="615">
        <f>+SUM(AI97:AI99)</f>
        <v>481.76699999999994</v>
      </c>
      <c r="AJ100" s="615">
        <f>+SUM(AJ97:AJ99)</f>
        <v>509.15399999999994</v>
      </c>
      <c r="AK100" s="615">
        <f>SUM(K100:N100)</f>
        <v>712.29499999999996</v>
      </c>
      <c r="AL100" s="615">
        <f>+SUM(O100:R100)</f>
        <v>810.02300000000002</v>
      </c>
      <c r="AM100" s="615">
        <f>+SUM(S100:V100)</f>
        <v>763.76100000000008</v>
      </c>
      <c r="AN100" s="594"/>
      <c r="AO100" s="573"/>
    </row>
    <row r="101" spans="1:41" x14ac:dyDescent="0.25">
      <c r="C101" s="568"/>
      <c r="D101" s="568"/>
      <c r="E101" s="568"/>
      <c r="F101" s="588"/>
      <c r="G101" s="568"/>
      <c r="H101" s="568"/>
      <c r="I101" s="568"/>
      <c r="J101" s="588"/>
      <c r="K101" s="583"/>
      <c r="L101" s="583"/>
      <c r="M101" s="583"/>
      <c r="N101" s="588"/>
      <c r="O101" s="568"/>
      <c r="P101" s="568"/>
      <c r="Q101" s="568"/>
      <c r="R101" s="588"/>
      <c r="S101" s="568"/>
      <c r="T101" s="568"/>
      <c r="U101" s="568"/>
      <c r="V101" s="588"/>
      <c r="W101" s="568"/>
      <c r="X101" s="568"/>
      <c r="Y101" s="568"/>
      <c r="Z101" s="583"/>
      <c r="AA101" s="583"/>
      <c r="AB101" s="583"/>
      <c r="AC101" s="583"/>
      <c r="AD101" s="583"/>
      <c r="AE101" s="583"/>
      <c r="AF101" s="583"/>
      <c r="AG101" s="583"/>
      <c r="AH101" s="583"/>
      <c r="AI101" s="568"/>
      <c r="AJ101" s="568"/>
      <c r="AK101" s="568"/>
      <c r="AL101" s="568"/>
      <c r="AM101" s="568"/>
      <c r="AN101" s="583"/>
      <c r="AO101" s="571"/>
    </row>
    <row r="102" spans="1:41" ht="13" x14ac:dyDescent="0.3">
      <c r="A102" s="574" t="s">
        <v>29</v>
      </c>
      <c r="B102" s="163"/>
      <c r="C102" s="585"/>
      <c r="D102" s="585"/>
      <c r="E102" s="585"/>
      <c r="F102" s="655"/>
      <c r="G102" s="585"/>
      <c r="H102" s="585"/>
      <c r="I102" s="585"/>
      <c r="J102" s="655"/>
      <c r="K102" s="441"/>
      <c r="L102" s="441"/>
      <c r="M102" s="441"/>
      <c r="N102" s="442"/>
      <c r="O102" s="441"/>
      <c r="P102" s="441"/>
      <c r="Q102" s="441"/>
      <c r="R102" s="441"/>
      <c r="S102" s="726"/>
      <c r="T102" s="441"/>
      <c r="U102" s="441"/>
      <c r="V102" s="442"/>
      <c r="W102" s="441"/>
      <c r="X102" s="441"/>
      <c r="Y102" s="441"/>
      <c r="Z102" s="585"/>
      <c r="AA102" s="585"/>
      <c r="AB102" s="585"/>
      <c r="AC102" s="585"/>
      <c r="AD102" s="585"/>
      <c r="AE102" s="585"/>
      <c r="AF102" s="585"/>
      <c r="AG102" s="585"/>
      <c r="AH102" s="441"/>
      <c r="AI102" s="441"/>
      <c r="AJ102" s="441"/>
      <c r="AK102" s="441"/>
      <c r="AL102" s="441"/>
      <c r="AM102" s="441"/>
      <c r="AN102" s="441"/>
    </row>
    <row r="103" spans="1:41" ht="13" x14ac:dyDescent="0.3">
      <c r="A103" s="153" t="s">
        <v>213</v>
      </c>
      <c r="B103" s="163"/>
      <c r="C103" s="585"/>
      <c r="D103" s="585"/>
      <c r="E103" s="585"/>
      <c r="F103" s="655"/>
      <c r="G103" s="585"/>
      <c r="H103" s="585"/>
      <c r="I103" s="585"/>
      <c r="J103" s="655"/>
      <c r="K103" s="441">
        <f>+K97/G97-1</f>
        <v>0.18577766923108241</v>
      </c>
      <c r="L103" s="441">
        <f t="shared" ref="L103:S103" si="143">+L97/H97-1</f>
        <v>0.55293018713710995</v>
      </c>
      <c r="M103" s="441">
        <f t="shared" si="143"/>
        <v>0.2641204863347566</v>
      </c>
      <c r="N103" s="442">
        <f t="shared" si="143"/>
        <v>0.26659915799110823</v>
      </c>
      <c r="O103" s="441">
        <f t="shared" si="143"/>
        <v>0.373862895197556</v>
      </c>
      <c r="P103" s="441">
        <f t="shared" si="143"/>
        <v>0.16603554340396465</v>
      </c>
      <c r="Q103" s="441">
        <f t="shared" si="143"/>
        <v>0.10768563017386734</v>
      </c>
      <c r="R103" s="441">
        <f t="shared" si="143"/>
        <v>2.9997207269859771E-2</v>
      </c>
      <c r="S103" s="726">
        <f t="shared" si="143"/>
        <v>-5.017240517715249E-2</v>
      </c>
      <c r="T103" s="441">
        <f t="shared" ref="T103:T106" si="144">+T97/P97-1</f>
        <v>-4.636235205843231E-2</v>
      </c>
      <c r="U103" s="441">
        <f t="shared" ref="U103:U106" si="145">+U97/Q97-1</f>
        <v>-2.5554968737762085E-4</v>
      </c>
      <c r="V103" s="442">
        <f t="shared" ref="V103:V106" si="146">+V97/R97-1</f>
        <v>-3.0862064382360055E-2</v>
      </c>
      <c r="W103" s="441">
        <f t="shared" ref="W103:W106" si="147">+W97/S97-1</f>
        <v>-1.9262640079970583E-2</v>
      </c>
      <c r="X103" s="441">
        <f t="shared" ref="X103:X106" si="148">+X97/T97-1</f>
        <v>-1.8686763132983453E-3</v>
      </c>
      <c r="Y103" s="441">
        <f t="shared" ref="Y103:Y106" si="149">+Y97/U97-1</f>
        <v>-6.4812605796211731E-3</v>
      </c>
      <c r="Z103" s="441"/>
      <c r="AA103" s="441"/>
      <c r="AB103" s="441"/>
      <c r="AC103" s="585"/>
      <c r="AD103" s="585"/>
      <c r="AE103" s="585"/>
      <c r="AF103" s="585"/>
      <c r="AG103" s="585"/>
      <c r="AH103" s="441"/>
      <c r="AI103" s="441"/>
      <c r="AJ103" s="441">
        <f>+AJ97/AI97-1</f>
        <v>9.2751273737841755E-2</v>
      </c>
      <c r="AK103" s="441">
        <f t="shared" ref="AK103:AL103" si="150">+AK97/AJ97-1</f>
        <v>0.30708479216631024</v>
      </c>
      <c r="AL103" s="441">
        <f t="shared" si="150"/>
        <v>0.1496526381795229</v>
      </c>
      <c r="AM103" s="441">
        <f t="shared" ref="AM103:AM106" si="151">+AM97/AL97-1</f>
        <v>-3.1360048354716508E-2</v>
      </c>
      <c r="AN103" s="441"/>
    </row>
    <row r="104" spans="1:41" ht="13" x14ac:dyDescent="0.3">
      <c r="A104" s="153" t="s">
        <v>214</v>
      </c>
      <c r="B104" s="163"/>
      <c r="C104" s="585"/>
      <c r="D104" s="585"/>
      <c r="E104" s="585"/>
      <c r="F104" s="655"/>
      <c r="G104" s="585"/>
      <c r="H104" s="585"/>
      <c r="I104" s="585"/>
      <c r="J104" s="655"/>
      <c r="K104" s="441">
        <f t="shared" ref="K104:S104" si="152">+K98/G98-1</f>
        <v>0.22590673575129561</v>
      </c>
      <c r="L104" s="441">
        <f t="shared" si="152"/>
        <v>1.6158796417079744</v>
      </c>
      <c r="M104" s="441">
        <f t="shared" si="152"/>
        <v>1.9684763572679511</v>
      </c>
      <c r="N104" s="442">
        <f t="shared" si="152"/>
        <v>1.3564488615293335</v>
      </c>
      <c r="O104" s="441">
        <f t="shared" si="152"/>
        <v>0.91649559231976796</v>
      </c>
      <c r="P104" s="441">
        <f t="shared" si="152"/>
        <v>9.8537234042553212E-2</v>
      </c>
      <c r="Q104" s="441">
        <f t="shared" si="152"/>
        <v>-0.11144823711195384</v>
      </c>
      <c r="R104" s="441">
        <f t="shared" si="152"/>
        <v>-0.1757837089260984</v>
      </c>
      <c r="S104" s="726">
        <f t="shared" si="152"/>
        <v>-0.21716392048139632</v>
      </c>
      <c r="T104" s="441">
        <f t="shared" si="144"/>
        <v>-0.27027599564217397</v>
      </c>
      <c r="U104" s="441">
        <f t="shared" si="145"/>
        <v>-0.1841090173264196</v>
      </c>
      <c r="V104" s="442">
        <f t="shared" si="146"/>
        <v>-0.15740634666055675</v>
      </c>
      <c r="W104" s="441">
        <f t="shared" si="147"/>
        <v>-0.11369124275595621</v>
      </c>
      <c r="X104" s="441">
        <f t="shared" si="148"/>
        <v>3.0688840044790222E-3</v>
      </c>
      <c r="Y104" s="441">
        <f t="shared" si="149"/>
        <v>3.1738035264483599E-2</v>
      </c>
      <c r="Z104" s="441"/>
      <c r="AA104" s="441"/>
      <c r="AB104" s="441"/>
      <c r="AC104" s="585"/>
      <c r="AD104" s="585"/>
      <c r="AE104" s="585"/>
      <c r="AF104" s="585"/>
      <c r="AG104" s="585"/>
      <c r="AH104" s="441"/>
      <c r="AI104" s="441"/>
      <c r="AJ104" s="441">
        <f t="shared" ref="AJ104:AL104" si="153">+AJ98/AI98-1</f>
        <v>-0.19802058842218984</v>
      </c>
      <c r="AK104" s="441">
        <f t="shared" si="153"/>
        <v>1.2583642018105103</v>
      </c>
      <c r="AL104" s="441">
        <f t="shared" si="153"/>
        <v>7.5353700146479685E-2</v>
      </c>
      <c r="AM104" s="441">
        <f t="shared" si="151"/>
        <v>-0.21018760195758568</v>
      </c>
      <c r="AN104" s="441"/>
    </row>
    <row r="105" spans="1:41" ht="13" x14ac:dyDescent="0.3">
      <c r="A105" s="153" t="s">
        <v>215</v>
      </c>
      <c r="B105" s="163"/>
      <c r="C105" s="585"/>
      <c r="D105" s="585"/>
      <c r="E105" s="585"/>
      <c r="F105" s="655"/>
      <c r="G105" s="585"/>
      <c r="H105" s="585"/>
      <c r="I105" s="585"/>
      <c r="J105" s="655"/>
      <c r="K105" s="443">
        <f t="shared" ref="K105:S105" si="154">+K99/G99-1</f>
        <v>8.2002129925452305E-2</v>
      </c>
      <c r="L105" s="443">
        <f t="shared" si="154"/>
        <v>1.1734265734265734</v>
      </c>
      <c r="M105" s="443">
        <f t="shared" si="154"/>
        <v>0.75257731958762886</v>
      </c>
      <c r="N105" s="444">
        <f t="shared" si="154"/>
        <v>0.66100178890876649</v>
      </c>
      <c r="O105" s="443">
        <f t="shared" si="154"/>
        <v>0.91732283464566922</v>
      </c>
      <c r="P105" s="443">
        <f t="shared" si="154"/>
        <v>0.33462033462033447</v>
      </c>
      <c r="Q105" s="443">
        <f t="shared" si="154"/>
        <v>1.9411764705882462E-2</v>
      </c>
      <c r="R105" s="443">
        <f t="shared" si="154"/>
        <v>-9.1545503500269243E-2</v>
      </c>
      <c r="S105" s="727">
        <f t="shared" si="154"/>
        <v>-0.28952772073921973</v>
      </c>
      <c r="T105" s="443">
        <f t="shared" si="144"/>
        <v>-0.2864030858244937</v>
      </c>
      <c r="U105" s="443">
        <f t="shared" si="145"/>
        <v>-0.14195037507212926</v>
      </c>
      <c r="V105" s="444">
        <f t="shared" si="146"/>
        <v>6.2833432128037936E-2</v>
      </c>
      <c r="W105" s="443">
        <f t="shared" si="147"/>
        <v>0.25289017341040476</v>
      </c>
      <c r="X105" s="443">
        <f t="shared" si="148"/>
        <v>0.3641891891891893</v>
      </c>
      <c r="Y105" s="443">
        <f t="shared" si="149"/>
        <v>0.62071284465366272</v>
      </c>
      <c r="Z105" s="445"/>
      <c r="AA105" s="445"/>
      <c r="AB105" s="445"/>
      <c r="AC105" s="585"/>
      <c r="AD105" s="585"/>
      <c r="AE105" s="585"/>
      <c r="AF105" s="585"/>
      <c r="AG105" s="585"/>
      <c r="AH105" s="443"/>
      <c r="AI105" s="443"/>
      <c r="AJ105" s="443">
        <f t="shared" ref="AJ105:AL105" si="155">+AJ99/AI99-1</f>
        <v>-0.13878020713463746</v>
      </c>
      <c r="AK105" s="443">
        <f t="shared" si="155"/>
        <v>0.63735970069481573</v>
      </c>
      <c r="AL105" s="443">
        <f t="shared" si="155"/>
        <v>0.2146237963114086</v>
      </c>
      <c r="AM105" s="443">
        <f t="shared" si="151"/>
        <v>-0.17441547970975557</v>
      </c>
      <c r="AN105" s="441"/>
    </row>
    <row r="106" spans="1:41" s="163" customFormat="1" ht="13" x14ac:dyDescent="0.3">
      <c r="A106" s="576" t="s">
        <v>216</v>
      </c>
      <c r="C106" s="651"/>
      <c r="D106" s="651"/>
      <c r="E106" s="651"/>
      <c r="F106" s="688"/>
      <c r="G106" s="651">
        <f t="shared" ref="G106" si="156">+G100/C100-1</f>
        <v>1.0502611977718512E-2</v>
      </c>
      <c r="H106" s="651">
        <f t="shared" ref="H106" si="157">+H100/D100-1</f>
        <v>-0.13671980990125066</v>
      </c>
      <c r="I106" s="651">
        <f t="shared" ref="I106" si="158">+I100/E100-1</f>
        <v>0.10510709466829327</v>
      </c>
      <c r="J106" s="688">
        <f t="shared" ref="J106" si="159">+J100/F100-1</f>
        <v>0.23564606519851616</v>
      </c>
      <c r="K106" s="445">
        <f t="shared" ref="K106:S106" si="160">+K100/G100-1</f>
        <v>0.19154810130008393</v>
      </c>
      <c r="L106" s="445">
        <f t="shared" si="160"/>
        <v>0.66512053184498021</v>
      </c>
      <c r="M106" s="445">
        <f t="shared" si="160"/>
        <v>0.41007325739519507</v>
      </c>
      <c r="N106" s="446">
        <f t="shared" si="160"/>
        <v>0.35765024529844647</v>
      </c>
      <c r="O106" s="445">
        <f t="shared" si="160"/>
        <v>0.43772999167108351</v>
      </c>
      <c r="P106" s="445">
        <f t="shared" si="160"/>
        <v>0.15292347820118302</v>
      </c>
      <c r="Q106" s="445">
        <f t="shared" si="160"/>
        <v>6.8020967817200351E-2</v>
      </c>
      <c r="R106" s="445">
        <f t="shared" si="160"/>
        <v>2.9642594997447702E-4</v>
      </c>
      <c r="S106" s="728">
        <f t="shared" si="160"/>
        <v>-7.5631579778914104E-2</v>
      </c>
      <c r="T106" s="445">
        <f t="shared" si="144"/>
        <v>-8.06009098982442E-2</v>
      </c>
      <c r="U106" s="445">
        <f t="shared" si="145"/>
        <v>-2.7293117007951895E-2</v>
      </c>
      <c r="V106" s="446">
        <f t="shared" si="146"/>
        <v>-4.7193019591241669E-2</v>
      </c>
      <c r="W106" s="445">
        <f t="shared" si="147"/>
        <v>-3.4776663628076632E-2</v>
      </c>
      <c r="X106" s="445">
        <f t="shared" si="148"/>
        <v>-4.1496910665623776E-3</v>
      </c>
      <c r="Y106" s="445">
        <f t="shared" si="149"/>
        <v>-6.2136910822303548E-3</v>
      </c>
      <c r="Z106" s="445"/>
      <c r="AA106" s="445"/>
      <c r="AB106" s="445"/>
      <c r="AC106" s="445"/>
      <c r="AD106" s="445"/>
      <c r="AE106" s="445"/>
      <c r="AF106" s="445"/>
      <c r="AG106" s="651"/>
      <c r="AH106" s="445"/>
      <c r="AI106" s="445"/>
      <c r="AJ106" s="445">
        <f t="shared" ref="AJ106:AL106" si="161">+AJ100/AI100-1</f>
        <v>5.684698204733829E-2</v>
      </c>
      <c r="AK106" s="445">
        <f t="shared" si="161"/>
        <v>0.39897751957168182</v>
      </c>
      <c r="AL106" s="445">
        <f t="shared" si="161"/>
        <v>0.13720158080570566</v>
      </c>
      <c r="AM106" s="445">
        <f t="shared" si="151"/>
        <v>-5.7111958549325048E-2</v>
      </c>
      <c r="AN106" s="445"/>
    </row>
    <row r="107" spans="1:41" s="163" customFormat="1" ht="13" x14ac:dyDescent="0.3">
      <c r="A107" s="576"/>
      <c r="C107" s="651"/>
      <c r="D107" s="651"/>
      <c r="E107" s="651"/>
      <c r="F107" s="688"/>
      <c r="G107" s="651"/>
      <c r="H107" s="651"/>
      <c r="I107" s="651"/>
      <c r="J107" s="688"/>
      <c r="K107" s="445"/>
      <c r="L107" s="445"/>
      <c r="M107" s="445"/>
      <c r="N107" s="446"/>
      <c r="O107" s="445"/>
      <c r="P107" s="445"/>
      <c r="Q107" s="445"/>
      <c r="R107" s="588"/>
      <c r="S107" s="568"/>
      <c r="T107" s="445"/>
      <c r="U107" s="445"/>
      <c r="V107" s="446"/>
      <c r="W107" s="445"/>
      <c r="X107" s="445"/>
      <c r="Y107" s="445"/>
      <c r="Z107" s="445"/>
      <c r="AA107" s="445"/>
      <c r="AB107" s="445"/>
      <c r="AC107" s="445"/>
      <c r="AD107" s="445"/>
      <c r="AE107" s="445"/>
      <c r="AF107" s="445"/>
      <c r="AG107" s="651"/>
      <c r="AH107" s="445"/>
      <c r="AI107" s="445"/>
      <c r="AJ107" s="445"/>
      <c r="AK107" s="445"/>
      <c r="AL107" s="445"/>
      <c r="AM107" s="445"/>
      <c r="AN107" s="445"/>
    </row>
    <row r="108" spans="1:41" ht="13" x14ac:dyDescent="0.3">
      <c r="A108" s="374" t="s">
        <v>233</v>
      </c>
      <c r="C108" s="568"/>
      <c r="D108" s="568"/>
      <c r="E108" s="568"/>
      <c r="F108" s="588"/>
      <c r="G108" s="568"/>
      <c r="H108" s="568"/>
      <c r="I108" s="568"/>
      <c r="J108" s="588"/>
      <c r="K108" s="583"/>
      <c r="L108" s="583"/>
      <c r="M108" s="583"/>
      <c r="N108" s="588"/>
      <c r="O108" s="568"/>
      <c r="P108" s="568"/>
      <c r="Q108" s="568"/>
      <c r="R108" s="588"/>
      <c r="S108" s="568"/>
      <c r="T108" s="568"/>
      <c r="U108" s="568"/>
      <c r="V108" s="588"/>
      <c r="W108" s="568"/>
      <c r="X108" s="583"/>
      <c r="Y108" s="583"/>
      <c r="Z108" s="583"/>
      <c r="AA108" s="583"/>
      <c r="AB108" s="583"/>
      <c r="AC108" s="583"/>
      <c r="AD108" s="583"/>
      <c r="AE108" s="583"/>
      <c r="AF108" s="583"/>
      <c r="AG108" s="583"/>
      <c r="AH108" s="583"/>
      <c r="AI108" s="568"/>
      <c r="AJ108" s="568"/>
      <c r="AK108" s="568"/>
      <c r="AL108" s="568"/>
      <c r="AM108" s="568"/>
      <c r="AN108" s="583"/>
      <c r="AO108" s="571"/>
    </row>
    <row r="109" spans="1:41" x14ac:dyDescent="0.25">
      <c r="A109" s="132" t="s">
        <v>213</v>
      </c>
      <c r="C109" s="611"/>
      <c r="D109" s="611"/>
      <c r="E109" s="611"/>
      <c r="F109" s="616"/>
      <c r="G109" s="611"/>
      <c r="H109" s="611"/>
      <c r="I109" s="611"/>
      <c r="J109" s="616"/>
      <c r="K109" s="611">
        <f>+Daloopa!K67/1000</f>
        <v>33.847000000000001</v>
      </c>
      <c r="L109" s="611">
        <f>+Daloopa!L67/1000</f>
        <v>49.207999999999998</v>
      </c>
      <c r="M109" s="611">
        <v>53.222999999999999</v>
      </c>
      <c r="N109" s="616">
        <f>+AK109-SUM(K109:M109)</f>
        <v>62.194999999999993</v>
      </c>
      <c r="O109" s="611">
        <f>+Daloopa!O67/1000</f>
        <v>46.819000000000003</v>
      </c>
      <c r="P109" s="611">
        <f>+Daloopa!P67/1000</f>
        <v>52.954000000000001</v>
      </c>
      <c r="Q109" s="611">
        <v>57.204999999999998</v>
      </c>
      <c r="R109" s="616">
        <f>+AL109-SUM(O109:Q109)</f>
        <v>64.676999999999992</v>
      </c>
      <c r="S109" s="611">
        <v>44.655999999999999</v>
      </c>
      <c r="T109" s="1016">
        <v>52.323999999999998</v>
      </c>
      <c r="U109" s="1016">
        <v>60.188000000000002</v>
      </c>
      <c r="V109" s="1403">
        <f>+AM109-U109-T109-S109</f>
        <v>64.477000000000004</v>
      </c>
      <c r="W109" s="1016">
        <v>43.668999999999997</v>
      </c>
      <c r="X109" s="1016">
        <v>51.594000000000001</v>
      </c>
      <c r="Y109" s="1016">
        <v>58.637</v>
      </c>
      <c r="Z109" s="611"/>
      <c r="AA109" s="611"/>
      <c r="AB109" s="611"/>
      <c r="AC109" s="611"/>
      <c r="AD109" s="611"/>
      <c r="AE109" s="611"/>
      <c r="AF109" s="611"/>
      <c r="AG109" s="611"/>
      <c r="AH109" s="611"/>
      <c r="AI109" s="611"/>
      <c r="AJ109" s="611">
        <f>135.037+6.736</f>
        <v>141.773</v>
      </c>
      <c r="AK109" s="611">
        <v>198.47300000000001</v>
      </c>
      <c r="AL109" s="611">
        <v>221.655</v>
      </c>
      <c r="AM109" s="611">
        <v>221.64500000000001</v>
      </c>
      <c r="AN109" s="583"/>
      <c r="AO109" s="571"/>
    </row>
    <row r="110" spans="1:41" x14ac:dyDescent="0.25">
      <c r="A110" s="132" t="s">
        <v>214</v>
      </c>
      <c r="C110" s="611"/>
      <c r="D110" s="611"/>
      <c r="E110" s="611"/>
      <c r="F110" s="616"/>
      <c r="G110" s="611"/>
      <c r="H110" s="611"/>
      <c r="I110" s="611"/>
      <c r="J110" s="616"/>
      <c r="K110" s="611">
        <f>+Daloopa!K68/1000</f>
        <v>2.7429999999999999</v>
      </c>
      <c r="L110" s="611">
        <f>+Daloopa!L68/1000</f>
        <v>7.1139999999999999</v>
      </c>
      <c r="M110" s="611">
        <v>10.721</v>
      </c>
      <c r="N110" s="616">
        <f>+AL110-SUM(K110:M110)</f>
        <v>6.6769999999999996</v>
      </c>
      <c r="O110" s="611">
        <f>+Daloopa!O68/1000</f>
        <v>6.7809999999999997</v>
      </c>
      <c r="P110" s="611">
        <f>+Daloopa!P68/1000</f>
        <v>7.88</v>
      </c>
      <c r="Q110" s="611">
        <v>6.9829999999999997</v>
      </c>
      <c r="R110" s="616">
        <f>+AL110-SUM(O110:Q110)</f>
        <v>5.6110000000000007</v>
      </c>
      <c r="S110" s="611">
        <v>3.9039999999999999</v>
      </c>
      <c r="T110" s="1016">
        <v>3.6469999999999998</v>
      </c>
      <c r="U110" s="1016">
        <v>4.6029999999999998</v>
      </c>
      <c r="V110" s="1403">
        <f>+AM110-U110-T110-S110</f>
        <v>3.7569999999999997</v>
      </c>
      <c r="W110" s="1016">
        <v>2.8889999999999998</v>
      </c>
      <c r="X110" s="1016">
        <v>4.1669999999999998</v>
      </c>
      <c r="Y110" s="1016">
        <v>5.4089999999999998</v>
      </c>
      <c r="Z110" s="611"/>
      <c r="AA110" s="611"/>
      <c r="AB110" s="611"/>
      <c r="AC110" s="611"/>
      <c r="AD110" s="611"/>
      <c r="AE110" s="611"/>
      <c r="AF110" s="611"/>
      <c r="AG110" s="611"/>
      <c r="AH110" s="611"/>
      <c r="AI110" s="611"/>
      <c r="AJ110" s="611">
        <f>4.739+0.286</f>
        <v>5.0249999999999995</v>
      </c>
      <c r="AK110" s="611">
        <v>27.821000000000002</v>
      </c>
      <c r="AL110" s="611">
        <v>27.254999999999999</v>
      </c>
      <c r="AM110" s="611">
        <v>15.911</v>
      </c>
      <c r="AN110" s="583"/>
      <c r="AO110" s="571"/>
    </row>
    <row r="111" spans="1:41" s="413" customFormat="1" ht="14" x14ac:dyDescent="0.4">
      <c r="A111" s="132" t="s">
        <v>215</v>
      </c>
      <c r="C111" s="612"/>
      <c r="D111" s="612"/>
      <c r="E111" s="612"/>
      <c r="F111" s="617"/>
      <c r="G111" s="612"/>
      <c r="H111" s="612"/>
      <c r="I111" s="612"/>
      <c r="J111" s="617"/>
      <c r="K111" s="612">
        <v>0</v>
      </c>
      <c r="L111" s="612">
        <v>0</v>
      </c>
      <c r="M111" s="612">
        <v>0</v>
      </c>
      <c r="N111" s="617">
        <f>+AL111-SUM(K111:M111)</f>
        <v>0</v>
      </c>
      <c r="O111" s="612">
        <v>0</v>
      </c>
      <c r="P111" s="612">
        <v>0</v>
      </c>
      <c r="Q111" s="612">
        <v>0</v>
      </c>
      <c r="R111" s="617">
        <f>+AL111-SUM(O111:Q111)</f>
        <v>0</v>
      </c>
      <c r="S111" s="612">
        <v>0</v>
      </c>
      <c r="T111" s="1017">
        <v>0</v>
      </c>
      <c r="U111" s="1017">
        <v>0</v>
      </c>
      <c r="V111" s="1404">
        <f>+AM111-U111-T111-S111</f>
        <v>0</v>
      </c>
      <c r="W111" s="1017">
        <v>0</v>
      </c>
      <c r="X111" s="1017">
        <f>+X112-X110-X109</f>
        <v>0</v>
      </c>
      <c r="Y111" s="1017">
        <v>0</v>
      </c>
      <c r="Z111" s="612"/>
      <c r="AA111" s="612"/>
      <c r="AB111" s="612"/>
      <c r="AC111" s="612"/>
      <c r="AD111" s="612"/>
      <c r="AE111" s="612"/>
      <c r="AF111" s="612"/>
      <c r="AG111" s="612"/>
      <c r="AH111" s="612"/>
      <c r="AI111" s="612"/>
      <c r="AJ111" s="612">
        <v>0</v>
      </c>
      <c r="AK111" s="612">
        <v>0</v>
      </c>
      <c r="AL111" s="612">
        <v>0</v>
      </c>
      <c r="AM111" s="612">
        <v>0</v>
      </c>
      <c r="AN111" s="719"/>
      <c r="AO111" s="614"/>
    </row>
    <row r="112" spans="1:41" s="163" customFormat="1" ht="13" x14ac:dyDescent="0.3">
      <c r="A112" s="426" t="s">
        <v>275</v>
      </c>
      <c r="C112" s="615">
        <f t="shared" ref="C112:I112" si="162">+C76</f>
        <v>25.092000000000002</v>
      </c>
      <c r="D112" s="615">
        <f t="shared" si="162"/>
        <v>33.361999999999995</v>
      </c>
      <c r="E112" s="615">
        <f t="shared" si="162"/>
        <v>33.490999999999993</v>
      </c>
      <c r="F112" s="618">
        <f t="shared" si="162"/>
        <v>31.828000000000003</v>
      </c>
      <c r="G112" s="615">
        <f t="shared" si="162"/>
        <v>27.210999999999999</v>
      </c>
      <c r="H112" s="615">
        <f t="shared" si="162"/>
        <v>31.655000000000005</v>
      </c>
      <c r="I112" s="615">
        <f t="shared" si="162"/>
        <v>43.287000000000006</v>
      </c>
      <c r="J112" s="618">
        <f>+J76</f>
        <v>44.644999999999996</v>
      </c>
      <c r="K112" s="615">
        <f>+SUM(K109:K111)</f>
        <v>36.590000000000003</v>
      </c>
      <c r="L112" s="615">
        <f t="shared" ref="L112:N112" si="163">+SUM(L109:L111)</f>
        <v>56.321999999999996</v>
      </c>
      <c r="M112" s="615">
        <f t="shared" si="163"/>
        <v>63.944000000000003</v>
      </c>
      <c r="N112" s="618">
        <f t="shared" si="163"/>
        <v>68.871999999999986</v>
      </c>
      <c r="O112" s="615">
        <f>+SUM(O109:O111)</f>
        <v>53.6</v>
      </c>
      <c r="P112" s="615">
        <f t="shared" ref="P112:S112" si="164">+SUM(P109:P111)</f>
        <v>60.834000000000003</v>
      </c>
      <c r="Q112" s="615">
        <f t="shared" si="164"/>
        <v>64.188000000000002</v>
      </c>
      <c r="R112" s="618">
        <f>+AL112-SUM(O112:Q112)</f>
        <v>70.287999999999982</v>
      </c>
      <c r="S112" s="615">
        <f t="shared" si="164"/>
        <v>48.56</v>
      </c>
      <c r="T112" s="1018">
        <f t="shared" ref="T112" si="165">+SUM(T109:T111)</f>
        <v>55.970999999999997</v>
      </c>
      <c r="U112" s="1018">
        <f>+U76</f>
        <v>64.790999999999997</v>
      </c>
      <c r="V112" s="1400">
        <f>+AM112-U112-T112-S112</f>
        <v>68.234000000000009</v>
      </c>
      <c r="W112" s="1018">
        <f>+SUM(W109:W111)</f>
        <v>46.558</v>
      </c>
      <c r="X112" s="1018">
        <f>+X76</f>
        <v>55.761000000000003</v>
      </c>
      <c r="Y112" s="1018">
        <f>+Y76</f>
        <v>64.046000000000006</v>
      </c>
      <c r="Z112" s="615"/>
      <c r="AA112" s="615"/>
      <c r="AB112" s="615"/>
      <c r="AC112" s="615"/>
      <c r="AD112" s="615"/>
      <c r="AE112" s="615"/>
      <c r="AF112" s="615"/>
      <c r="AG112" s="615"/>
      <c r="AH112" s="615"/>
      <c r="AI112" s="615">
        <f>+AI76</f>
        <v>123.773</v>
      </c>
      <c r="AJ112" s="615">
        <f t="shared" ref="AJ112:AL112" si="166">+SUM(AJ109:AJ111)</f>
        <v>146.798</v>
      </c>
      <c r="AK112" s="615">
        <f t="shared" si="166"/>
        <v>226.29400000000001</v>
      </c>
      <c r="AL112" s="615">
        <f t="shared" si="166"/>
        <v>248.91</v>
      </c>
      <c r="AM112" s="615">
        <f t="shared" ref="AM112" si="167">+SUM(AM109:AM111)</f>
        <v>237.55600000000001</v>
      </c>
      <c r="AN112" s="594"/>
      <c r="AO112" s="573"/>
    </row>
    <row r="113" spans="1:41" x14ac:dyDescent="0.25">
      <c r="C113" s="568"/>
      <c r="D113" s="568"/>
      <c r="E113" s="568"/>
      <c r="F113" s="588"/>
      <c r="G113" s="568"/>
      <c r="H113" s="568"/>
      <c r="I113" s="568"/>
      <c r="J113" s="588"/>
      <c r="K113" s="583"/>
      <c r="L113" s="583"/>
      <c r="M113" s="583"/>
      <c r="N113" s="588"/>
      <c r="O113" s="568"/>
      <c r="P113" s="568"/>
      <c r="Q113" s="568"/>
      <c r="R113" s="588"/>
      <c r="S113" s="568"/>
      <c r="T113" s="1019"/>
      <c r="U113" s="1019"/>
      <c r="V113" s="1405"/>
      <c r="W113" s="1019"/>
      <c r="X113" s="1019"/>
      <c r="Y113" s="1019"/>
      <c r="Z113" s="583"/>
      <c r="AA113" s="583"/>
      <c r="AB113" s="583"/>
      <c r="AC113" s="583"/>
      <c r="AD113" s="583"/>
      <c r="AE113" s="583"/>
      <c r="AF113" s="583"/>
      <c r="AG113" s="583"/>
      <c r="AH113" s="583"/>
      <c r="AI113" s="568"/>
      <c r="AJ113" s="568"/>
      <c r="AK113" s="568"/>
      <c r="AL113" s="568"/>
      <c r="AM113" s="568"/>
      <c r="AN113" s="583"/>
      <c r="AO113" s="571"/>
    </row>
    <row r="114" spans="1:41" ht="13" x14ac:dyDescent="0.3">
      <c r="A114" s="574" t="s">
        <v>33</v>
      </c>
      <c r="B114" s="163"/>
      <c r="C114" s="585"/>
      <c r="D114" s="585"/>
      <c r="E114" s="585"/>
      <c r="F114" s="655"/>
      <c r="G114" s="585"/>
      <c r="H114" s="585"/>
      <c r="I114" s="585"/>
      <c r="J114" s="655"/>
      <c r="K114" s="441"/>
      <c r="L114" s="441"/>
      <c r="M114" s="441"/>
      <c r="N114" s="442"/>
      <c r="O114" s="441"/>
      <c r="P114" s="441"/>
      <c r="Q114" s="441"/>
      <c r="R114" s="441"/>
      <c r="S114" s="726"/>
      <c r="T114" s="441"/>
      <c r="U114" s="441"/>
      <c r="V114" s="442"/>
      <c r="W114" s="441"/>
      <c r="X114" s="441"/>
      <c r="Y114" s="441"/>
      <c r="Z114" s="585"/>
      <c r="AA114" s="585"/>
      <c r="AB114" s="585"/>
      <c r="AC114" s="585"/>
      <c r="AD114" s="585"/>
      <c r="AE114" s="585"/>
      <c r="AF114" s="585"/>
      <c r="AG114" s="585"/>
      <c r="AH114" s="441"/>
      <c r="AI114" s="441"/>
      <c r="AJ114" s="441"/>
      <c r="AK114" s="441"/>
      <c r="AL114" s="441"/>
      <c r="AM114" s="441"/>
      <c r="AN114" s="441"/>
    </row>
    <row r="115" spans="1:41" ht="13" x14ac:dyDescent="0.3">
      <c r="A115" s="153" t="s">
        <v>213</v>
      </c>
      <c r="B115" s="163"/>
      <c r="C115" s="585"/>
      <c r="D115" s="585"/>
      <c r="E115" s="585"/>
      <c r="F115" s="655"/>
      <c r="G115" s="585"/>
      <c r="H115" s="585"/>
      <c r="I115" s="585"/>
      <c r="J115" s="655"/>
      <c r="K115" s="441">
        <f>+K109/K97</f>
        <v>0.29047234904397384</v>
      </c>
      <c r="L115" s="441">
        <f t="shared" ref="L115:S115" si="168">+L109/L97</f>
        <v>0.33634996582365007</v>
      </c>
      <c r="M115" s="441">
        <f t="shared" si="168"/>
        <v>0.33479480663261457</v>
      </c>
      <c r="N115" s="442">
        <f t="shared" si="168"/>
        <v>0.34057617855949879</v>
      </c>
      <c r="O115" s="441">
        <f t="shared" si="168"/>
        <v>0.2924578981560142</v>
      </c>
      <c r="P115" s="441">
        <f t="shared" si="168"/>
        <v>0.31041496913670708</v>
      </c>
      <c r="Q115" s="441">
        <f t="shared" si="168"/>
        <v>0.32486044147628212</v>
      </c>
      <c r="R115" s="441">
        <f t="shared" si="168"/>
        <v>0.34385284032005098</v>
      </c>
      <c r="S115" s="726">
        <f t="shared" si="168"/>
        <v>0.29368127531961907</v>
      </c>
      <c r="T115" s="441">
        <f t="shared" ref="T115:U115" si="169">+T109/T97</f>
        <v>0.32163361650336242</v>
      </c>
      <c r="U115" s="441">
        <f t="shared" si="169"/>
        <v>0.34188791565840748</v>
      </c>
      <c r="V115" s="442">
        <f t="shared" ref="V115:W116" si="170">+V109/V97</f>
        <v>0.35370563388008125</v>
      </c>
      <c r="W115" s="441">
        <f t="shared" si="170"/>
        <v>0.29283094275349197</v>
      </c>
      <c r="X115" s="441">
        <f t="shared" ref="X115:Y115" si="171">+X109/X97</f>
        <v>0.31774008794294795</v>
      </c>
      <c r="Y115" s="441">
        <f t="shared" si="171"/>
        <v>0.3352505645922072</v>
      </c>
      <c r="Z115" s="441"/>
      <c r="AA115" s="441"/>
      <c r="AB115" s="441"/>
      <c r="AC115" s="585"/>
      <c r="AD115" s="585"/>
      <c r="AE115" s="585"/>
      <c r="AF115" s="585"/>
      <c r="AG115" s="585"/>
      <c r="AH115" s="441"/>
      <c r="AI115" s="441"/>
      <c r="AJ115" s="441">
        <f t="shared" ref="AJ115:AL115" si="172">+AJ109/AJ97</f>
        <v>0.3065938890126359</v>
      </c>
      <c r="AK115" s="441">
        <f t="shared" si="172"/>
        <v>0.32837314882373481</v>
      </c>
      <c r="AL115" s="441">
        <f t="shared" si="172"/>
        <v>0.31899001964410351</v>
      </c>
      <c r="AM115" s="441">
        <f t="shared" ref="AM115" si="173">+AM109/AM97</f>
        <v>0.3293025729711741</v>
      </c>
      <c r="AN115" s="441"/>
    </row>
    <row r="116" spans="1:41" ht="13" x14ac:dyDescent="0.3">
      <c r="A116" s="153" t="s">
        <v>214</v>
      </c>
      <c r="B116" s="163"/>
      <c r="C116" s="585"/>
      <c r="D116" s="585"/>
      <c r="E116" s="585"/>
      <c r="F116" s="655"/>
      <c r="G116" s="585"/>
      <c r="H116" s="585"/>
      <c r="I116" s="585"/>
      <c r="J116" s="655"/>
      <c r="K116" s="441">
        <f t="shared" ref="K116:S116" si="174">+K110/K98</f>
        <v>0.16562009419152274</v>
      </c>
      <c r="L116" s="441">
        <f t="shared" si="174"/>
        <v>0.23650265957446809</v>
      </c>
      <c r="M116" s="441">
        <f t="shared" si="174"/>
        <v>0.30119398791965163</v>
      </c>
      <c r="N116" s="442">
        <f t="shared" si="174"/>
        <v>0.21015359435981368</v>
      </c>
      <c r="O116" s="441">
        <f t="shared" si="174"/>
        <v>0.21363536120475093</v>
      </c>
      <c r="P116" s="441">
        <f t="shared" si="174"/>
        <v>0.23846991889601746</v>
      </c>
      <c r="Q116" s="441">
        <f t="shared" si="174"/>
        <v>0.22078538004299986</v>
      </c>
      <c r="R116" s="441">
        <f t="shared" si="174"/>
        <v>0.21426662084240272</v>
      </c>
      <c r="S116" s="726">
        <f t="shared" si="174"/>
        <v>0.15711526078557631</v>
      </c>
      <c r="T116" s="441">
        <f t="shared" ref="T116:U116" si="175">+T110/T98</f>
        <v>0.15124621573425123</v>
      </c>
      <c r="U116" s="441">
        <f t="shared" si="175"/>
        <v>0.1783762836659562</v>
      </c>
      <c r="V116" s="442">
        <f t="shared" ref="V116" si="176">+V110/V98</f>
        <v>0.17026965782914114</v>
      </c>
      <c r="W116" s="441">
        <f t="shared" si="170"/>
        <v>0.13118103800572128</v>
      </c>
      <c r="X116" s="441">
        <f t="shared" ref="X116:Y116" si="177">+X110/X98</f>
        <v>0.1722826311655021</v>
      </c>
      <c r="Y116" s="441">
        <f t="shared" si="177"/>
        <v>0.20316256009615385</v>
      </c>
      <c r="Z116" s="441"/>
      <c r="AA116" s="441"/>
      <c r="AB116" s="441"/>
      <c r="AC116" s="585"/>
      <c r="AD116" s="585"/>
      <c r="AE116" s="585"/>
      <c r="AF116" s="585"/>
      <c r="AG116" s="585"/>
      <c r="AH116" s="441"/>
      <c r="AI116" s="441"/>
      <c r="AJ116" s="441">
        <f t="shared" ref="AJ116:AL116" si="178">+AJ110/AJ98</f>
        <v>9.9538458490977158E-2</v>
      </c>
      <c r="AK116" s="441">
        <f t="shared" si="178"/>
        <v>0.24402459454955314</v>
      </c>
      <c r="AL116" s="441">
        <f t="shared" si="178"/>
        <v>0.2223083197389886</v>
      </c>
      <c r="AM116" s="441">
        <f t="shared" ref="AM116" si="179">+AM110/AM98</f>
        <v>0.16431721246295092</v>
      </c>
      <c r="AN116" s="441"/>
    </row>
    <row r="117" spans="1:41" ht="13" x14ac:dyDescent="0.3">
      <c r="A117" s="153" t="s">
        <v>215</v>
      </c>
      <c r="B117" s="163"/>
      <c r="C117" s="585"/>
      <c r="D117" s="585"/>
      <c r="E117" s="585"/>
      <c r="F117" s="655"/>
      <c r="G117" s="585"/>
      <c r="H117" s="585"/>
      <c r="I117" s="585"/>
      <c r="J117" s="655"/>
      <c r="K117" s="443">
        <f t="shared" ref="K117:S117" si="180">+K111/K99</f>
        <v>0</v>
      </c>
      <c r="L117" s="443">
        <f t="shared" si="180"/>
        <v>0</v>
      </c>
      <c r="M117" s="443">
        <f t="shared" si="180"/>
        <v>0</v>
      </c>
      <c r="N117" s="444">
        <f t="shared" si="180"/>
        <v>0</v>
      </c>
      <c r="O117" s="443">
        <f t="shared" si="180"/>
        <v>0</v>
      </c>
      <c r="P117" s="443">
        <f t="shared" si="180"/>
        <v>0</v>
      </c>
      <c r="Q117" s="443">
        <f t="shared" si="180"/>
        <v>0</v>
      </c>
      <c r="R117" s="443">
        <f t="shared" si="180"/>
        <v>0</v>
      </c>
      <c r="S117" s="727">
        <f t="shared" si="180"/>
        <v>0</v>
      </c>
      <c r="T117" s="443">
        <f t="shared" ref="T117:U117" si="181">+T111/T99</f>
        <v>0</v>
      </c>
      <c r="U117" s="443">
        <f t="shared" si="181"/>
        <v>0</v>
      </c>
      <c r="V117" s="444">
        <f t="shared" ref="V117:W117" si="182">+V111/V99</f>
        <v>0</v>
      </c>
      <c r="W117" s="443">
        <f t="shared" si="182"/>
        <v>0</v>
      </c>
      <c r="X117" s="443">
        <f t="shared" ref="X117:Y117" si="183">+X111/X99</f>
        <v>0</v>
      </c>
      <c r="Y117" s="443">
        <f t="shared" si="183"/>
        <v>0</v>
      </c>
      <c r="Z117" s="445"/>
      <c r="AA117" s="445"/>
      <c r="AB117" s="445"/>
      <c r="AC117" s="585"/>
      <c r="AD117" s="585"/>
      <c r="AE117" s="585"/>
      <c r="AF117" s="585"/>
      <c r="AG117" s="585"/>
      <c r="AH117" s="443"/>
      <c r="AI117" s="443"/>
      <c r="AJ117" s="443">
        <f t="shared" ref="AJ117:AL117" si="184">+AJ111/AJ99</f>
        <v>0</v>
      </c>
      <c r="AK117" s="443">
        <f t="shared" si="184"/>
        <v>0</v>
      </c>
      <c r="AL117" s="443">
        <f t="shared" si="184"/>
        <v>0</v>
      </c>
      <c r="AM117" s="443">
        <f t="shared" ref="AM117" si="185">+AM111/AM99</f>
        <v>0</v>
      </c>
      <c r="AN117" s="441"/>
    </row>
    <row r="118" spans="1:41" s="163" customFormat="1" ht="13" x14ac:dyDescent="0.3">
      <c r="A118" s="576" t="s">
        <v>216</v>
      </c>
      <c r="C118" s="651">
        <f t="shared" ref="C118:I118" si="186">+C112/C100</f>
        <v>0.22876001713967931</v>
      </c>
      <c r="D118" s="651">
        <f t="shared" si="186"/>
        <v>0.27431117981269681</v>
      </c>
      <c r="E118" s="651">
        <f t="shared" si="186"/>
        <v>0.27059279787345775</v>
      </c>
      <c r="F118" s="688">
        <f t="shared" si="186"/>
        <v>0.25122740547793831</v>
      </c>
      <c r="G118" s="651">
        <f t="shared" si="186"/>
        <v>0.24550023006342531</v>
      </c>
      <c r="H118" s="651">
        <f t="shared" si="186"/>
        <v>0.30149629022887248</v>
      </c>
      <c r="I118" s="651">
        <f t="shared" si="186"/>
        <v>0.31647633391334873</v>
      </c>
      <c r="J118" s="688">
        <f t="shared" ref="J118" si="187">+J112/J100</f>
        <v>0.28519138389206866</v>
      </c>
      <c r="K118" s="445">
        <f t="shared" ref="K118:S118" si="188">+K112/K100</f>
        <v>0.2770500492163247</v>
      </c>
      <c r="L118" s="445">
        <f t="shared" si="188"/>
        <v>0.32216031940329243</v>
      </c>
      <c r="M118" s="445">
        <f t="shared" si="188"/>
        <v>0.33154453587187027</v>
      </c>
      <c r="N118" s="446">
        <f t="shared" si="188"/>
        <v>0.32405473058174761</v>
      </c>
      <c r="O118" s="445">
        <f t="shared" si="188"/>
        <v>0.28228206086970259</v>
      </c>
      <c r="P118" s="445">
        <f t="shared" si="188"/>
        <v>0.30181433908345368</v>
      </c>
      <c r="Q118" s="445">
        <f t="shared" si="188"/>
        <v>0.31161341062013925</v>
      </c>
      <c r="R118" s="445">
        <f t="shared" si="188"/>
        <v>0.33061925256943947</v>
      </c>
      <c r="S118" s="728">
        <f t="shared" si="188"/>
        <v>0.27666362807657247</v>
      </c>
      <c r="T118" s="445">
        <f t="shared" ref="T118:U118" si="189">+T112/T100</f>
        <v>0.30203167579526752</v>
      </c>
      <c r="U118" s="445">
        <f t="shared" si="189"/>
        <v>0.32336647301910521</v>
      </c>
      <c r="V118" s="446">
        <f t="shared" ref="V118:W118" si="190">+V112/V100</f>
        <v>0.33685488887353016</v>
      </c>
      <c r="W118" s="445">
        <f t="shared" si="190"/>
        <v>0.27481465741134248</v>
      </c>
      <c r="X118" s="445">
        <f t="shared" ref="X118:Y118" si="191">+X112/X100</f>
        <v>0.30215230890943184</v>
      </c>
      <c r="Y118" s="445">
        <f t="shared" si="191"/>
        <v>0.32164685439360385</v>
      </c>
      <c r="Z118" s="445"/>
      <c r="AA118" s="445"/>
      <c r="AB118" s="445"/>
      <c r="AC118" s="445"/>
      <c r="AD118" s="445"/>
      <c r="AE118" s="445"/>
      <c r="AF118" s="445"/>
      <c r="AG118" s="651"/>
      <c r="AH118" s="445"/>
      <c r="AI118" s="445">
        <f t="shared" ref="AI118:AL118" si="192">+AI112/AI100</f>
        <v>0.25691464961277966</v>
      </c>
      <c r="AJ118" s="445">
        <f t="shared" si="192"/>
        <v>0.28831748351186481</v>
      </c>
      <c r="AK118" s="445">
        <f t="shared" si="192"/>
        <v>0.31769702159919699</v>
      </c>
      <c r="AL118" s="445">
        <f t="shared" si="192"/>
        <v>0.30728757084675373</v>
      </c>
      <c r="AM118" s="445">
        <f t="shared" ref="AM118" si="193">+AM112/AM100</f>
        <v>0.31103447282592328</v>
      </c>
      <c r="AN118" s="445"/>
    </row>
    <row r="119" spans="1:41" x14ac:dyDescent="0.25">
      <c r="C119" s="568"/>
      <c r="D119" s="568"/>
      <c r="E119" s="568"/>
      <c r="F119" s="588"/>
      <c r="G119" s="568"/>
      <c r="H119" s="568"/>
      <c r="I119" s="568"/>
      <c r="J119" s="588"/>
      <c r="K119" s="583"/>
      <c r="L119" s="583"/>
      <c r="M119" s="583"/>
      <c r="N119" s="588"/>
      <c r="O119" s="568"/>
      <c r="P119" s="568"/>
      <c r="Q119" s="568"/>
      <c r="R119" s="588"/>
      <c r="S119" s="568"/>
      <c r="T119" s="1019"/>
      <c r="U119" s="1019"/>
      <c r="V119" s="1405"/>
      <c r="W119" s="1019"/>
      <c r="X119" s="1019"/>
      <c r="Y119" s="1019"/>
      <c r="Z119" s="583"/>
      <c r="AA119" s="583"/>
      <c r="AB119" s="583"/>
      <c r="AC119" s="583"/>
      <c r="AD119" s="583"/>
      <c r="AE119" s="583"/>
      <c r="AF119" s="583"/>
      <c r="AG119" s="583"/>
      <c r="AH119" s="583"/>
      <c r="AI119" s="568"/>
      <c r="AJ119" s="568"/>
      <c r="AK119" s="568"/>
      <c r="AL119" s="568"/>
      <c r="AM119" s="568"/>
      <c r="AN119" s="583"/>
      <c r="AO119" s="571"/>
    </row>
    <row r="120" spans="1:41" ht="13" x14ac:dyDescent="0.3">
      <c r="A120" s="569" t="s">
        <v>367</v>
      </c>
      <c r="B120" s="570"/>
      <c r="C120" s="568"/>
      <c r="D120" s="568"/>
      <c r="E120" s="568"/>
      <c r="F120" s="588"/>
      <c r="G120" s="568"/>
      <c r="H120" s="568"/>
      <c r="I120" s="568"/>
      <c r="J120" s="588"/>
      <c r="K120" s="583"/>
      <c r="L120" s="583"/>
      <c r="M120" s="583"/>
      <c r="N120" s="588"/>
      <c r="O120" s="568"/>
      <c r="P120" s="568"/>
      <c r="Q120" s="568"/>
      <c r="R120" s="588"/>
      <c r="S120" s="568"/>
      <c r="T120" s="1019"/>
      <c r="U120" s="1019"/>
      <c r="V120" s="1405"/>
      <c r="W120" s="1019"/>
      <c r="X120" s="1019"/>
      <c r="Y120" s="1019"/>
      <c r="Z120" s="583"/>
      <c r="AA120" s="583"/>
      <c r="AB120" s="583"/>
      <c r="AC120" s="583"/>
      <c r="AD120" s="583"/>
      <c r="AE120" s="583"/>
      <c r="AF120" s="583"/>
      <c r="AG120" s="583"/>
      <c r="AH120" s="583"/>
      <c r="AI120" s="568"/>
      <c r="AJ120" s="568"/>
      <c r="AK120" s="568"/>
      <c r="AL120" s="568"/>
      <c r="AM120" s="568"/>
      <c r="AN120" s="583"/>
      <c r="AO120" s="571"/>
    </row>
    <row r="121" spans="1:41" ht="13" x14ac:dyDescent="0.3">
      <c r="A121" s="374"/>
      <c r="C121" s="568"/>
      <c r="D121" s="568"/>
      <c r="E121" s="568"/>
      <c r="F121" s="588"/>
      <c r="G121" s="568"/>
      <c r="H121" s="568"/>
      <c r="I121" s="568"/>
      <c r="J121" s="588"/>
      <c r="K121" s="583"/>
      <c r="L121" s="583"/>
      <c r="M121" s="583"/>
      <c r="N121" s="588"/>
      <c r="O121" s="568"/>
      <c r="P121" s="568"/>
      <c r="Q121" s="568"/>
      <c r="R121" s="588"/>
      <c r="S121" s="568"/>
      <c r="T121" s="1019"/>
      <c r="U121" s="1019"/>
      <c r="V121" s="1405"/>
      <c r="W121" s="1019"/>
      <c r="X121" s="1019"/>
      <c r="Y121" s="1019"/>
      <c r="Z121" s="583"/>
      <c r="AA121" s="583"/>
      <c r="AB121" s="583"/>
      <c r="AC121" s="583"/>
      <c r="AD121" s="583"/>
      <c r="AE121" s="583"/>
      <c r="AF121" s="583"/>
      <c r="AG121" s="583"/>
      <c r="AH121" s="583"/>
      <c r="AI121" s="568"/>
      <c r="AJ121" s="568"/>
      <c r="AK121" s="568"/>
      <c r="AL121" s="568"/>
      <c r="AM121" s="568"/>
      <c r="AN121" s="583"/>
      <c r="AO121" s="571"/>
    </row>
    <row r="122" spans="1:41" x14ac:dyDescent="0.25">
      <c r="A122" s="132" t="s">
        <v>28</v>
      </c>
      <c r="C122" s="611">
        <f t="shared" ref="C122:S122" si="194">+C9</f>
        <v>109.687</v>
      </c>
      <c r="D122" s="611">
        <f t="shared" si="194"/>
        <v>121.621</v>
      </c>
      <c r="E122" s="611">
        <f t="shared" si="194"/>
        <v>123.76900000000001</v>
      </c>
      <c r="F122" s="616">
        <f t="shared" si="194"/>
        <v>126.69</v>
      </c>
      <c r="G122" s="611">
        <f t="shared" si="194"/>
        <v>110.839</v>
      </c>
      <c r="H122" s="611">
        <f t="shared" si="194"/>
        <v>104.99299999999999</v>
      </c>
      <c r="I122" s="611">
        <f t="shared" si="194"/>
        <v>136.77799999999999</v>
      </c>
      <c r="J122" s="616">
        <f t="shared" si="194"/>
        <v>156.54400000000001</v>
      </c>
      <c r="K122" s="611">
        <f t="shared" si="194"/>
        <v>132.07</v>
      </c>
      <c r="L122" s="611">
        <f t="shared" si="194"/>
        <v>174.82599999999999</v>
      </c>
      <c r="M122" s="611">
        <f t="shared" si="194"/>
        <v>192.86699999999999</v>
      </c>
      <c r="N122" s="616">
        <f t="shared" si="194"/>
        <v>212.53200000000001</v>
      </c>
      <c r="O122" s="611">
        <f t="shared" si="194"/>
        <v>189.881</v>
      </c>
      <c r="P122" s="611">
        <f t="shared" si="194"/>
        <v>201.56100000000001</v>
      </c>
      <c r="Q122" s="611">
        <f t="shared" si="194"/>
        <v>205.98599999999999</v>
      </c>
      <c r="R122" s="616">
        <f t="shared" si="194"/>
        <v>212.595</v>
      </c>
      <c r="S122" s="611">
        <f t="shared" si="194"/>
        <v>175.52</v>
      </c>
      <c r="T122" s="611">
        <f t="shared" ref="T122:U122" si="195">+T9</f>
        <v>185.315</v>
      </c>
      <c r="U122" s="611">
        <f t="shared" si="195"/>
        <v>200.364</v>
      </c>
      <c r="V122" s="616">
        <f t="shared" ref="V122:W122" si="196">+V9</f>
        <v>202.56200000000001</v>
      </c>
      <c r="W122" s="611">
        <f t="shared" si="196"/>
        <v>169.416</v>
      </c>
      <c r="X122" s="611">
        <f t="shared" ref="X122:Y122" si="197">+X9</f>
        <v>184.548</v>
      </c>
      <c r="Y122" s="611">
        <f t="shared" si="197"/>
        <v>199.119</v>
      </c>
      <c r="Z122" s="611"/>
      <c r="AA122" s="611"/>
      <c r="AB122" s="611"/>
      <c r="AC122" s="611"/>
      <c r="AD122" s="611"/>
      <c r="AE122" s="611"/>
      <c r="AF122" s="611"/>
      <c r="AG122" s="611"/>
      <c r="AH122" s="611"/>
      <c r="AI122" s="611">
        <f>+AI9</f>
        <v>481.767</v>
      </c>
      <c r="AJ122" s="611">
        <f>+AJ9</f>
        <v>509.154</v>
      </c>
      <c r="AK122" s="611">
        <f>+AK9</f>
        <v>712.29499999999996</v>
      </c>
      <c r="AL122" s="611">
        <f>+AL9</f>
        <v>810.02300000000002</v>
      </c>
      <c r="AM122" s="611">
        <f>+SUM(S122:V122)</f>
        <v>763.76100000000008</v>
      </c>
      <c r="AN122" s="583"/>
      <c r="AO122" s="571"/>
    </row>
    <row r="123" spans="1:41" ht="13" x14ac:dyDescent="0.3">
      <c r="A123" s="153" t="s">
        <v>121</v>
      </c>
      <c r="C123" s="568"/>
      <c r="D123" s="568"/>
      <c r="E123" s="568"/>
      <c r="F123" s="588"/>
      <c r="G123" s="568">
        <f>+G122/C122-1</f>
        <v>1.0502611977718512E-2</v>
      </c>
      <c r="H123" s="568">
        <f t="shared" ref="H123:P123" si="198">+H122/D122-1</f>
        <v>-0.13671980990125066</v>
      </c>
      <c r="I123" s="568">
        <f t="shared" si="198"/>
        <v>0.10510709466829327</v>
      </c>
      <c r="J123" s="588">
        <f t="shared" si="198"/>
        <v>0.23564606519851616</v>
      </c>
      <c r="K123" s="595">
        <f t="shared" si="198"/>
        <v>0.19154810130008393</v>
      </c>
      <c r="L123" s="595">
        <f t="shared" si="198"/>
        <v>0.66512053184498021</v>
      </c>
      <c r="M123" s="595">
        <f t="shared" si="198"/>
        <v>0.41007325739519507</v>
      </c>
      <c r="N123" s="596">
        <f t="shared" si="198"/>
        <v>0.35765024529844647</v>
      </c>
      <c r="O123" s="595">
        <f t="shared" si="198"/>
        <v>0.43772999167108351</v>
      </c>
      <c r="P123" s="595">
        <f t="shared" si="198"/>
        <v>0.15292347820118302</v>
      </c>
      <c r="Q123" s="595">
        <f t="shared" ref="Q123" si="199">+Q122/M122-1</f>
        <v>6.8020967817200351E-2</v>
      </c>
      <c r="R123" s="596">
        <f t="shared" ref="R123" si="200">+R122/N122-1</f>
        <v>2.9642594997447702E-4</v>
      </c>
      <c r="S123" s="595">
        <f t="shared" ref="S123" si="201">+S122/O122-1</f>
        <v>-7.5631579778914104E-2</v>
      </c>
      <c r="T123" s="595">
        <f t="shared" ref="T123" si="202">+T122/P122-1</f>
        <v>-8.06009098982442E-2</v>
      </c>
      <c r="U123" s="595">
        <f t="shared" ref="U123" si="203">+U122/Q122-1</f>
        <v>-2.7293117007951895E-2</v>
      </c>
      <c r="V123" s="596">
        <f t="shared" ref="V123" si="204">+V122/R122-1</f>
        <v>-4.7193019591241447E-2</v>
      </c>
      <c r="W123" s="595">
        <f t="shared" ref="W123" si="205">+W122/S122-1</f>
        <v>-3.4776663628076632E-2</v>
      </c>
      <c r="X123" s="595">
        <f t="shared" ref="X123" si="206">+X122/T122-1</f>
        <v>-4.1388986320588517E-3</v>
      </c>
      <c r="Y123" s="595">
        <f t="shared" ref="Y123" si="207">+Y122/U122-1</f>
        <v>-6.2136910822303548E-3</v>
      </c>
      <c r="Z123" s="583"/>
      <c r="AA123" s="583"/>
      <c r="AB123" s="583"/>
      <c r="AC123" s="583"/>
      <c r="AD123" s="583"/>
      <c r="AE123" s="583"/>
      <c r="AF123" s="583"/>
      <c r="AG123" s="583"/>
      <c r="AH123" s="583"/>
      <c r="AI123" s="568"/>
      <c r="AJ123" s="595">
        <f>+AJ122/AI122-1</f>
        <v>5.684698204733829E-2</v>
      </c>
      <c r="AK123" s="595">
        <f t="shared" ref="AK123:AM123" si="208">+AK122/AJ122-1</f>
        <v>0.39897751957168159</v>
      </c>
      <c r="AL123" s="595">
        <f t="shared" si="208"/>
        <v>0.13720158080570566</v>
      </c>
      <c r="AM123" s="595">
        <f t="shared" si="208"/>
        <v>-5.7111958549325048E-2</v>
      </c>
      <c r="AN123" s="583"/>
      <c r="AO123" s="571"/>
    </row>
    <row r="124" spans="1:41" x14ac:dyDescent="0.25">
      <c r="C124" s="568"/>
      <c r="D124" s="568"/>
      <c r="E124" s="568"/>
      <c r="F124" s="588"/>
      <c r="G124" s="568"/>
      <c r="H124" s="568"/>
      <c r="I124" s="568"/>
      <c r="J124" s="588"/>
      <c r="K124" s="583"/>
      <c r="L124" s="583"/>
      <c r="M124" s="583"/>
      <c r="N124" s="588"/>
      <c r="O124" s="568"/>
      <c r="P124" s="568"/>
      <c r="Q124" s="568"/>
      <c r="R124" s="588"/>
      <c r="S124" s="568"/>
      <c r="T124" s="568"/>
      <c r="U124" s="568"/>
      <c r="V124" s="588"/>
      <c r="W124" s="568"/>
      <c r="X124" s="568"/>
      <c r="Y124" s="568"/>
      <c r="Z124" s="583"/>
      <c r="AA124" s="583"/>
      <c r="AB124" s="583"/>
      <c r="AC124" s="583"/>
      <c r="AD124" s="583"/>
      <c r="AE124" s="583"/>
      <c r="AF124" s="583"/>
      <c r="AG124" s="583"/>
      <c r="AH124" s="583"/>
      <c r="AI124" s="568"/>
      <c r="AJ124" s="568"/>
      <c r="AK124" s="568"/>
      <c r="AL124" s="568"/>
      <c r="AM124" s="568"/>
      <c r="AN124" s="583"/>
      <c r="AO124" s="571"/>
    </row>
    <row r="125" spans="1:41" x14ac:dyDescent="0.25">
      <c r="A125" s="132" t="s">
        <v>368</v>
      </c>
      <c r="C125" s="611"/>
      <c r="D125" s="611"/>
      <c r="E125" s="611"/>
      <c r="F125" s="616"/>
      <c r="G125" s="611"/>
      <c r="H125" s="611"/>
      <c r="I125" s="611"/>
      <c r="J125" s="616"/>
      <c r="K125" s="611">
        <f>+Daloopa!K54</f>
        <v>10.6</v>
      </c>
      <c r="L125" s="611">
        <f>+Daloopa!L54</f>
        <v>49.3</v>
      </c>
      <c r="M125" s="611">
        <f>+Daloopa!M54</f>
        <v>39.9</v>
      </c>
      <c r="N125" s="616">
        <f>+Daloopa!N54</f>
        <v>39.600000000000009</v>
      </c>
      <c r="O125" s="611">
        <f>+Daloopa!O54</f>
        <v>33.9</v>
      </c>
      <c r="P125" s="611">
        <f>+Daloopa!P54</f>
        <v>9.6</v>
      </c>
      <c r="Q125" s="611">
        <f>+Q128-Q126-Q127</f>
        <v>-4.5810000000000013</v>
      </c>
      <c r="R125" s="616">
        <f>+R128-R126-R127</f>
        <v>-13.686000000000012</v>
      </c>
      <c r="S125" s="611">
        <f t="shared" ref="S125:U125" si="209">+S128-S126-S127</f>
        <v>-22.36099999999999</v>
      </c>
      <c r="T125" s="611">
        <f t="shared" si="209"/>
        <v>-25.646000000000008</v>
      </c>
      <c r="U125" s="611">
        <f t="shared" si="209"/>
        <v>-16.272999999999985</v>
      </c>
      <c r="V125" s="616">
        <f>+V128-V126-V127</f>
        <v>-20.475999999999988</v>
      </c>
      <c r="W125" s="611">
        <f>+W128-W126-W127</f>
        <v>-17.864520000000013</v>
      </c>
      <c r="X125" s="611">
        <f t="shared" ref="X125:Y125" si="210">+X128-X126-X127</f>
        <v>-11.479599999999998</v>
      </c>
      <c r="Y125" s="611">
        <f t="shared" si="210"/>
        <v>-10.555920000000004</v>
      </c>
      <c r="Z125" s="611"/>
      <c r="AA125" s="611"/>
      <c r="AB125" s="611"/>
      <c r="AC125" s="611"/>
      <c r="AD125" s="611"/>
      <c r="AE125" s="611"/>
      <c r="AF125" s="611"/>
      <c r="AG125" s="611"/>
      <c r="AH125" s="611"/>
      <c r="AI125" s="611"/>
      <c r="AJ125" s="611"/>
      <c r="AK125" s="611">
        <f>SUM(K125:N125)</f>
        <v>139.4</v>
      </c>
      <c r="AL125" s="611">
        <f>+SUM(O125:R125)</f>
        <v>25.232999999999983</v>
      </c>
      <c r="AM125" s="611">
        <f>+SUM(S125:V125)</f>
        <v>-84.755999999999972</v>
      </c>
      <c r="AN125" s="583"/>
      <c r="AO125" s="571"/>
    </row>
    <row r="126" spans="1:41" x14ac:dyDescent="0.25">
      <c r="A126" s="132" t="s">
        <v>369</v>
      </c>
      <c r="C126" s="611"/>
      <c r="D126" s="611"/>
      <c r="E126" s="611"/>
      <c r="F126" s="616"/>
      <c r="G126" s="611"/>
      <c r="H126" s="611"/>
      <c r="I126" s="611"/>
      <c r="J126" s="616"/>
      <c r="K126" s="611">
        <f t="shared" ref="K126:O126" si="211">+K128-K127-K125</f>
        <v>10.630999999999995</v>
      </c>
      <c r="L126" s="611">
        <f t="shared" si="211"/>
        <v>13.393000000000001</v>
      </c>
      <c r="M126" s="611">
        <f t="shared" si="211"/>
        <v>7.3489999999999966</v>
      </c>
      <c r="N126" s="616">
        <f t="shared" si="211"/>
        <v>7.7679999999999865</v>
      </c>
      <c r="O126" s="611">
        <f t="shared" si="211"/>
        <v>9.1110000000000113</v>
      </c>
      <c r="P126" s="611">
        <f>+P128-P127-P125</f>
        <v>8.8350000000000133</v>
      </c>
      <c r="Q126" s="611">
        <v>9.3000000000000007</v>
      </c>
      <c r="R126" s="616">
        <v>8.3000000000000007</v>
      </c>
      <c r="S126" s="611">
        <v>8</v>
      </c>
      <c r="T126" s="611">
        <v>9.4</v>
      </c>
      <c r="U126" s="611">
        <v>9.8000000000000007</v>
      </c>
      <c r="V126" s="616">
        <v>8.3000000000000007</v>
      </c>
      <c r="W126" s="611">
        <f>+W139*S122</f>
        <v>8.9515200000000004</v>
      </c>
      <c r="X126" s="611">
        <f t="shared" ref="X126:Y126" si="212">+X139*T122</f>
        <v>7.4126000000000003</v>
      </c>
      <c r="Y126" s="611">
        <f t="shared" si="212"/>
        <v>6.0109199999999996</v>
      </c>
      <c r="Z126" s="611"/>
      <c r="AA126" s="611"/>
      <c r="AB126" s="611"/>
      <c r="AC126" s="611"/>
      <c r="AD126" s="611"/>
      <c r="AE126" s="611"/>
      <c r="AF126" s="611"/>
      <c r="AG126" s="611"/>
      <c r="AH126" s="611"/>
      <c r="AI126" s="611"/>
      <c r="AJ126" s="611"/>
      <c r="AK126" s="611">
        <f>SUM(K126:N126)</f>
        <v>39.140999999999977</v>
      </c>
      <c r="AL126" s="611">
        <f>+SUM(O126:R126)</f>
        <v>35.546000000000028</v>
      </c>
      <c r="AM126" s="611">
        <f>+SUM(S126:V126)</f>
        <v>35.5</v>
      </c>
      <c r="AN126" s="583"/>
      <c r="AO126" s="571"/>
    </row>
    <row r="127" spans="1:41" s="413" customFormat="1" ht="14" x14ac:dyDescent="0.4">
      <c r="A127" s="132" t="s">
        <v>370</v>
      </c>
      <c r="C127" s="612"/>
      <c r="D127" s="612"/>
      <c r="E127" s="612"/>
      <c r="F127" s="617"/>
      <c r="G127" s="612"/>
      <c r="H127" s="612"/>
      <c r="I127" s="612"/>
      <c r="J127" s="617"/>
      <c r="K127" s="612">
        <f>+K179</f>
        <v>0</v>
      </c>
      <c r="L127" s="612">
        <f t="shared" ref="L127:P127" si="213">+L179</f>
        <v>7.14</v>
      </c>
      <c r="M127" s="612">
        <f t="shared" si="213"/>
        <v>8.84</v>
      </c>
      <c r="N127" s="617">
        <f t="shared" si="213"/>
        <v>8.620000000000001</v>
      </c>
      <c r="O127" s="612">
        <f t="shared" si="213"/>
        <v>14.8</v>
      </c>
      <c r="P127" s="612">
        <f t="shared" si="213"/>
        <v>8.3000000000000007</v>
      </c>
      <c r="Q127" s="612">
        <v>8.4</v>
      </c>
      <c r="R127" s="617">
        <v>5.4489999999999998</v>
      </c>
      <c r="S127" s="612">
        <v>0</v>
      </c>
      <c r="T127" s="612">
        <v>0</v>
      </c>
      <c r="U127" s="612">
        <v>0.85099999999999998</v>
      </c>
      <c r="V127" s="617">
        <f>+V179</f>
        <v>2.1429999999999998</v>
      </c>
      <c r="W127" s="612">
        <f>+W179</f>
        <v>2.8090000000000002</v>
      </c>
      <c r="X127" s="612">
        <f t="shared" ref="X127:Y127" si="214">+X179</f>
        <v>3.3</v>
      </c>
      <c r="Y127" s="612">
        <f t="shared" si="214"/>
        <v>3.3</v>
      </c>
      <c r="Z127" s="612"/>
      <c r="AA127" s="612"/>
      <c r="AB127" s="612"/>
      <c r="AC127" s="612"/>
      <c r="AD127" s="612"/>
      <c r="AE127" s="612"/>
      <c r="AF127" s="612"/>
      <c r="AG127" s="612"/>
      <c r="AH127" s="612"/>
      <c r="AI127" s="612"/>
      <c r="AJ127" s="612"/>
      <c r="AK127" s="612">
        <f>SUM(K127:N127)</f>
        <v>24.6</v>
      </c>
      <c r="AL127" s="612">
        <f>+SUM(O127:R127)</f>
        <v>36.948999999999998</v>
      </c>
      <c r="AM127" s="612">
        <f>+SUM(S127:V127)</f>
        <v>2.9939999999999998</v>
      </c>
      <c r="AN127" s="719"/>
      <c r="AO127" s="614"/>
    </row>
    <row r="128" spans="1:41" s="163" customFormat="1" ht="13" x14ac:dyDescent="0.3">
      <c r="A128" s="426" t="s">
        <v>371</v>
      </c>
      <c r="C128" s="615"/>
      <c r="D128" s="615"/>
      <c r="E128" s="615"/>
      <c r="F128" s="618"/>
      <c r="G128" s="615">
        <f t="shared" ref="G128:R128" si="215">+G122-C122</f>
        <v>1.152000000000001</v>
      </c>
      <c r="H128" s="615">
        <f t="shared" si="215"/>
        <v>-16.628</v>
      </c>
      <c r="I128" s="615">
        <f t="shared" si="215"/>
        <v>13.008999999999986</v>
      </c>
      <c r="J128" s="618">
        <f t="shared" si="215"/>
        <v>29.854000000000013</v>
      </c>
      <c r="K128" s="615">
        <f t="shared" si="215"/>
        <v>21.230999999999995</v>
      </c>
      <c r="L128" s="615">
        <f t="shared" si="215"/>
        <v>69.832999999999998</v>
      </c>
      <c r="M128" s="615">
        <f t="shared" si="215"/>
        <v>56.088999999999999</v>
      </c>
      <c r="N128" s="618">
        <f t="shared" si="215"/>
        <v>55.988</v>
      </c>
      <c r="O128" s="615">
        <f t="shared" si="215"/>
        <v>57.811000000000007</v>
      </c>
      <c r="P128" s="615">
        <f t="shared" si="215"/>
        <v>26.735000000000014</v>
      </c>
      <c r="Q128" s="615">
        <f t="shared" si="215"/>
        <v>13.119</v>
      </c>
      <c r="R128" s="618">
        <f t="shared" si="215"/>
        <v>6.2999999999988177E-2</v>
      </c>
      <c r="S128" s="615">
        <f t="shared" ref="S128" si="216">+S122-O122</f>
        <v>-14.36099999999999</v>
      </c>
      <c r="T128" s="615">
        <f t="shared" ref="T128" si="217">+T122-P122</f>
        <v>-16.246000000000009</v>
      </c>
      <c r="U128" s="615">
        <f t="shared" ref="U128" si="218">+U122-Q122</f>
        <v>-5.6219999999999857</v>
      </c>
      <c r="V128" s="618">
        <f t="shared" ref="V128:W128" si="219">+V122-R122</f>
        <v>-10.032999999999987</v>
      </c>
      <c r="W128" s="615">
        <f t="shared" si="219"/>
        <v>-6.1040000000000134</v>
      </c>
      <c r="X128" s="615">
        <f t="shared" ref="X128:Y128" si="220">+X122-T122</f>
        <v>-0.76699999999999591</v>
      </c>
      <c r="Y128" s="615">
        <f t="shared" si="220"/>
        <v>-1.2450000000000045</v>
      </c>
      <c r="Z128" s="615"/>
      <c r="AA128" s="615"/>
      <c r="AB128" s="615"/>
      <c r="AC128" s="615"/>
      <c r="AD128" s="615"/>
      <c r="AE128" s="615"/>
      <c r="AF128" s="615"/>
      <c r="AG128" s="615"/>
      <c r="AH128" s="615"/>
      <c r="AI128" s="615"/>
      <c r="AJ128" s="615"/>
      <c r="AK128" s="615">
        <f>SUM(K128:N128)</f>
        <v>203.14099999999999</v>
      </c>
      <c r="AL128" s="615">
        <f>+SUM(O128:R128)</f>
        <v>97.728000000000009</v>
      </c>
      <c r="AM128" s="615">
        <f>+SUM(S128:V128)</f>
        <v>-46.261999999999972</v>
      </c>
      <c r="AN128" s="594"/>
      <c r="AO128" s="573"/>
    </row>
    <row r="129" spans="1:41" x14ac:dyDescent="0.25">
      <c r="C129" s="568"/>
      <c r="D129" s="568"/>
      <c r="E129" s="568"/>
      <c r="F129" s="588"/>
      <c r="G129" s="568"/>
      <c r="H129" s="568"/>
      <c r="I129" s="568"/>
      <c r="J129" s="588"/>
      <c r="K129" s="583"/>
      <c r="L129" s="583"/>
      <c r="M129" s="583"/>
      <c r="N129" s="588"/>
      <c r="O129" s="568"/>
      <c r="P129" s="568"/>
      <c r="Q129" s="568"/>
      <c r="R129" s="588"/>
      <c r="S129" s="568"/>
      <c r="T129" s="568"/>
      <c r="U129" s="568"/>
      <c r="V129" s="588"/>
      <c r="W129" s="568"/>
      <c r="X129" s="568"/>
      <c r="Y129" s="568"/>
      <c r="Z129" s="583"/>
      <c r="AA129" s="583"/>
      <c r="AB129" s="583"/>
      <c r="AC129" s="583"/>
      <c r="AD129" s="583"/>
      <c r="AE129" s="583"/>
      <c r="AF129" s="583"/>
      <c r="AG129" s="583"/>
      <c r="AH129" s="583"/>
      <c r="AI129" s="568"/>
      <c r="AJ129" s="568"/>
      <c r="AK129" s="568"/>
      <c r="AL129" s="568"/>
      <c r="AM129" s="568"/>
      <c r="AN129" s="583"/>
      <c r="AO129" s="571"/>
    </row>
    <row r="130" spans="1:41" ht="13" x14ac:dyDescent="0.3">
      <c r="A130" s="574" t="s">
        <v>372</v>
      </c>
      <c r="C130" s="568"/>
      <c r="D130" s="568"/>
      <c r="E130" s="568"/>
      <c r="F130" s="588"/>
      <c r="G130" s="568"/>
      <c r="H130" s="568"/>
      <c r="I130" s="568"/>
      <c r="J130" s="588"/>
      <c r="K130" s="583"/>
      <c r="L130" s="583"/>
      <c r="M130" s="583"/>
      <c r="N130" s="588"/>
      <c r="O130" s="568"/>
      <c r="P130" s="568"/>
      <c r="Q130" s="568"/>
      <c r="R130" s="588"/>
      <c r="S130" s="568"/>
      <c r="T130" s="568"/>
      <c r="U130" s="568"/>
      <c r="V130" s="588"/>
      <c r="W130" s="568"/>
      <c r="X130" s="568"/>
      <c r="Y130" s="568"/>
      <c r="Z130" s="583"/>
      <c r="AA130" s="583"/>
      <c r="AB130" s="583"/>
      <c r="AC130" s="583"/>
      <c r="AD130" s="583"/>
      <c r="AE130" s="583"/>
      <c r="AF130" s="583"/>
      <c r="AG130" s="583"/>
      <c r="AH130" s="583"/>
      <c r="AI130" s="568"/>
      <c r="AJ130" s="568"/>
      <c r="AK130" s="568"/>
      <c r="AL130" s="568"/>
      <c r="AM130" s="568"/>
      <c r="AN130" s="583"/>
      <c r="AO130" s="571"/>
    </row>
    <row r="131" spans="1:41" s="199" customFormat="1" ht="13" x14ac:dyDescent="0.3">
      <c r="A131" s="153" t="str">
        <f>+A125</f>
        <v>Change in Existing Customers</v>
      </c>
      <c r="C131" s="597"/>
      <c r="D131" s="597"/>
      <c r="E131" s="597"/>
      <c r="F131" s="598"/>
      <c r="G131" s="597"/>
      <c r="H131" s="597"/>
      <c r="I131" s="597"/>
      <c r="J131" s="598"/>
      <c r="K131" s="595">
        <f t="shared" ref="K131:O131" si="221">+K125/G$122</f>
        <v>9.5634208175822591E-2</v>
      </c>
      <c r="L131" s="595">
        <f t="shared" si="221"/>
        <v>0.46955511319802273</v>
      </c>
      <c r="M131" s="595">
        <f t="shared" si="221"/>
        <v>0.29171357966924505</v>
      </c>
      <c r="N131" s="596">
        <f t="shared" si="221"/>
        <v>0.25296402289452169</v>
      </c>
      <c r="O131" s="595">
        <f t="shared" si="221"/>
        <v>0.25668206254259107</v>
      </c>
      <c r="P131" s="595">
        <f>+P125/L$122</f>
        <v>5.4911740816583343E-2</v>
      </c>
      <c r="Q131" s="595">
        <f t="shared" ref="Q131:S134" si="222">+Q125/M$122</f>
        <v>-2.375211933612283E-2</v>
      </c>
      <c r="R131" s="596">
        <f t="shared" ref="R131:S134" si="223">+R125/N$122</f>
        <v>-6.4395008751623337E-2</v>
      </c>
      <c r="S131" s="595">
        <f>+S134-S132-S133</f>
        <v>-0.11776323065498912</v>
      </c>
      <c r="T131" s="595">
        <f>+T134-T132-T133</f>
        <v>-0.127236915871622</v>
      </c>
      <c r="U131" s="595">
        <f t="shared" ref="U131:V131" si="224">+U134-U132-U133</f>
        <v>-7.9000514598079399E-2</v>
      </c>
      <c r="V131" s="596">
        <f t="shared" si="224"/>
        <v>-9.6314588772078241E-2</v>
      </c>
      <c r="W131" s="595">
        <f t="shared" ref="W131:X131" si="225">+W134-W132-W133</f>
        <v>-0.10178053783044672</v>
      </c>
      <c r="X131" s="595">
        <f t="shared" si="225"/>
        <v>-6.1946415562690482E-2</v>
      </c>
      <c r="Y131" s="595">
        <f t="shared" ref="Y131" si="226">+Y134-Y132-Y133</f>
        <v>-5.2683715637539694E-2</v>
      </c>
      <c r="Z131" s="599"/>
      <c r="AA131" s="599"/>
      <c r="AB131" s="599"/>
      <c r="AC131" s="599"/>
      <c r="AD131" s="599"/>
      <c r="AE131" s="599"/>
      <c r="AF131" s="599"/>
      <c r="AG131" s="599"/>
      <c r="AH131" s="599"/>
      <c r="AI131" s="597"/>
      <c r="AJ131" s="597"/>
      <c r="AK131" s="595">
        <f>+AK125/AJ$122</f>
        <v>0.27378749847786721</v>
      </c>
      <c r="AL131" s="595">
        <f t="shared" ref="AL131:AL134" si="227">+AL125/AK$122</f>
        <v>3.5424929277897477E-2</v>
      </c>
      <c r="AM131" s="595">
        <f t="shared" ref="AM131:AM132" si="228">+AM125/AL$122</f>
        <v>-0.10463406594627556</v>
      </c>
      <c r="AN131" s="599"/>
      <c r="AO131" s="575"/>
    </row>
    <row r="132" spans="1:41" s="199" customFormat="1" ht="13" x14ac:dyDescent="0.3">
      <c r="A132" s="153" t="str">
        <f t="shared" ref="A132:A134" si="229">+A126</f>
        <v>New Customer Contribution</v>
      </c>
      <c r="C132" s="597"/>
      <c r="D132" s="597"/>
      <c r="E132" s="597"/>
      <c r="F132" s="598"/>
      <c r="G132" s="597"/>
      <c r="H132" s="597"/>
      <c r="I132" s="597"/>
      <c r="J132" s="598"/>
      <c r="K132" s="595">
        <f t="shared" ref="K132:P132" si="230">+K126/G$122</f>
        <v>9.5913893124261268E-2</v>
      </c>
      <c r="L132" s="595">
        <f t="shared" si="230"/>
        <v>0.12756088501138171</v>
      </c>
      <c r="M132" s="595">
        <f t="shared" si="230"/>
        <v>5.3729400927049649E-2</v>
      </c>
      <c r="N132" s="596">
        <f t="shared" si="230"/>
        <v>4.9621831561733352E-2</v>
      </c>
      <c r="O132" s="595">
        <f t="shared" si="230"/>
        <v>6.8986143711668141E-2</v>
      </c>
      <c r="P132" s="595">
        <f t="shared" si="230"/>
        <v>5.0535961470261938E-2</v>
      </c>
      <c r="Q132" s="595">
        <f t="shared" si="222"/>
        <v>4.8219757656830876E-2</v>
      </c>
      <c r="R132" s="596">
        <f t="shared" si="223"/>
        <v>3.9052942615700227E-2</v>
      </c>
      <c r="S132" s="595">
        <f t="shared" si="223"/>
        <v>4.2131650876075018E-2</v>
      </c>
      <c r="T132" s="595">
        <f t="shared" ref="T132:T133" si="231">+T126/P$122</f>
        <v>4.6636005973377789E-2</v>
      </c>
      <c r="U132" s="595">
        <f t="shared" ref="U132:V133" si="232">+U126/Q$122</f>
        <v>4.7576048857689367E-2</v>
      </c>
      <c r="V132" s="596">
        <f t="shared" si="232"/>
        <v>3.9041369740586564E-2</v>
      </c>
      <c r="W132" s="595">
        <f t="shared" ref="W132:W133" si="233">+W126/S$122</f>
        <v>5.0999999999999997E-2</v>
      </c>
      <c r="X132" s="595">
        <f t="shared" ref="X132:Y133" si="234">+X126/T$122</f>
        <v>0.04</v>
      </c>
      <c r="Y132" s="595">
        <f t="shared" si="234"/>
        <v>0.03</v>
      </c>
      <c r="Z132" s="599"/>
      <c r="AA132" s="599"/>
      <c r="AB132" s="599"/>
      <c r="AC132" s="599"/>
      <c r="AD132" s="599"/>
      <c r="AE132" s="599"/>
      <c r="AF132" s="599"/>
      <c r="AG132" s="599"/>
      <c r="AH132" s="599"/>
      <c r="AI132" s="597"/>
      <c r="AJ132" s="597"/>
      <c r="AK132" s="595">
        <f t="shared" ref="AK132:AK134" si="235">+AK126/AJ$122</f>
        <v>7.6874580185955485E-2</v>
      </c>
      <c r="AL132" s="595">
        <f t="shared" si="227"/>
        <v>4.9903481001551363E-2</v>
      </c>
      <c r="AM132" s="595">
        <f t="shared" si="228"/>
        <v>4.3825916054235498E-2</v>
      </c>
      <c r="AN132" s="599"/>
      <c r="AO132" s="575"/>
    </row>
    <row r="133" spans="1:41" s="578" customFormat="1" ht="13" x14ac:dyDescent="0.3">
      <c r="A133" s="153" t="str">
        <f t="shared" si="229"/>
        <v>Acquisition Contribution</v>
      </c>
      <c r="C133" s="600"/>
      <c r="D133" s="600"/>
      <c r="E133" s="600"/>
      <c r="F133" s="601"/>
      <c r="G133" s="600"/>
      <c r="H133" s="600"/>
      <c r="I133" s="600"/>
      <c r="J133" s="601"/>
      <c r="K133" s="603">
        <f t="shared" ref="K133:P133" si="236">+K127/G$122</f>
        <v>0</v>
      </c>
      <c r="L133" s="603">
        <f t="shared" si="236"/>
        <v>6.8004533635575709E-2</v>
      </c>
      <c r="M133" s="603">
        <f t="shared" si="236"/>
        <v>6.4630276798900405E-2</v>
      </c>
      <c r="N133" s="604">
        <f t="shared" si="236"/>
        <v>5.5064390842191335E-2</v>
      </c>
      <c r="O133" s="603">
        <f t="shared" si="236"/>
        <v>0.11206178541682442</v>
      </c>
      <c r="P133" s="603">
        <f t="shared" si="236"/>
        <v>4.7475775914337687E-2</v>
      </c>
      <c r="Q133" s="603">
        <f t="shared" si="222"/>
        <v>4.3553329496492404E-2</v>
      </c>
      <c r="R133" s="604">
        <f t="shared" si="222"/>
        <v>2.5638492085897652E-2</v>
      </c>
      <c r="S133" s="717">
        <f t="shared" si="222"/>
        <v>0</v>
      </c>
      <c r="T133" s="717">
        <f t="shared" si="231"/>
        <v>0</v>
      </c>
      <c r="U133" s="717">
        <f t="shared" si="232"/>
        <v>4.1313487324381266E-3</v>
      </c>
      <c r="V133" s="1406">
        <f t="shared" si="232"/>
        <v>1.0080199440250241E-2</v>
      </c>
      <c r="W133" s="717">
        <f t="shared" si="233"/>
        <v>1.6003874202370101E-2</v>
      </c>
      <c r="X133" s="717">
        <f t="shared" si="234"/>
        <v>1.7807516930631626E-2</v>
      </c>
      <c r="Y133" s="717">
        <f t="shared" si="234"/>
        <v>1.6470024555309336E-2</v>
      </c>
      <c r="Z133" s="602"/>
      <c r="AA133" s="602"/>
      <c r="AB133" s="602"/>
      <c r="AC133" s="602"/>
      <c r="AD133" s="602"/>
      <c r="AE133" s="602"/>
      <c r="AF133" s="602"/>
      <c r="AG133" s="602"/>
      <c r="AH133" s="602"/>
      <c r="AI133" s="600"/>
      <c r="AJ133" s="600"/>
      <c r="AK133" s="603">
        <f t="shared" si="235"/>
        <v>4.8315440907858921E-2</v>
      </c>
      <c r="AL133" s="603">
        <f t="shared" si="227"/>
        <v>5.187317052625668E-2</v>
      </c>
      <c r="AM133" s="603">
        <f t="shared" ref="AM133:AM134" si="237">+AM127/AL$122</f>
        <v>3.6961913427149594E-3</v>
      </c>
      <c r="AN133" s="602"/>
      <c r="AO133" s="579"/>
    </row>
    <row r="134" spans="1:41" s="299" customFormat="1" ht="13" x14ac:dyDescent="0.3">
      <c r="A134" s="576" t="str">
        <f t="shared" si="229"/>
        <v>YoY Change in Revenue</v>
      </c>
      <c r="C134" s="605"/>
      <c r="D134" s="605"/>
      <c r="E134" s="605"/>
      <c r="F134" s="606"/>
      <c r="G134" s="605">
        <f t="shared" ref="G134" si="238">+G128/C$122</f>
        <v>1.0502611977718427E-2</v>
      </c>
      <c r="H134" s="605">
        <f t="shared" ref="H134" si="239">+H128/D$122</f>
        <v>-0.1367198099012506</v>
      </c>
      <c r="I134" s="605">
        <f t="shared" ref="I134" si="240">+I128/E$122</f>
        <v>0.10510709466829324</v>
      </c>
      <c r="J134" s="606">
        <f t="shared" ref="J134" si="241">+J128/F$122</f>
        <v>0.23564606519851616</v>
      </c>
      <c r="K134" s="607">
        <f t="shared" ref="K134:P134" si="242">+K128/G$122</f>
        <v>0.19154810130008385</v>
      </c>
      <c r="L134" s="607">
        <f t="shared" si="242"/>
        <v>0.66512053184498021</v>
      </c>
      <c r="M134" s="607">
        <f t="shared" si="242"/>
        <v>0.41007325739519512</v>
      </c>
      <c r="N134" s="608">
        <f t="shared" si="242"/>
        <v>0.35765024529844641</v>
      </c>
      <c r="O134" s="607">
        <f t="shared" si="242"/>
        <v>0.43772999167108362</v>
      </c>
      <c r="P134" s="607">
        <f t="shared" si="242"/>
        <v>0.15292347820118296</v>
      </c>
      <c r="Q134" s="607">
        <f t="shared" si="222"/>
        <v>6.8020967817200462E-2</v>
      </c>
      <c r="R134" s="608">
        <f t="shared" si="223"/>
        <v>2.9642594997453644E-4</v>
      </c>
      <c r="S134" s="607">
        <f>+S123</f>
        <v>-7.5631579778914104E-2</v>
      </c>
      <c r="T134" s="607">
        <f>+T123</f>
        <v>-8.06009098982442E-2</v>
      </c>
      <c r="U134" s="607">
        <f t="shared" ref="U134:V134" si="243">+U123</f>
        <v>-2.7293117007951895E-2</v>
      </c>
      <c r="V134" s="608">
        <f t="shared" si="243"/>
        <v>-4.7193019591241447E-2</v>
      </c>
      <c r="W134" s="607">
        <f t="shared" ref="W134:X134" si="244">+W123</f>
        <v>-3.4776663628076632E-2</v>
      </c>
      <c r="X134" s="607">
        <f t="shared" si="244"/>
        <v>-4.1388986320588517E-3</v>
      </c>
      <c r="Y134" s="607">
        <f t="shared" ref="Y134" si="245">+Y123</f>
        <v>-6.2136910822303548E-3</v>
      </c>
      <c r="Z134" s="609"/>
      <c r="AA134" s="609"/>
      <c r="AB134" s="609"/>
      <c r="AC134" s="609"/>
      <c r="AD134" s="609"/>
      <c r="AE134" s="609"/>
      <c r="AF134" s="609"/>
      <c r="AG134" s="609"/>
      <c r="AH134" s="609"/>
      <c r="AI134" s="605"/>
      <c r="AJ134" s="605"/>
      <c r="AK134" s="607">
        <f t="shared" si="235"/>
        <v>0.39897751957168165</v>
      </c>
      <c r="AL134" s="607">
        <f t="shared" si="227"/>
        <v>0.13720158080570552</v>
      </c>
      <c r="AM134" s="607">
        <f t="shared" si="237"/>
        <v>-5.7111958549325104E-2</v>
      </c>
      <c r="AN134" s="609"/>
      <c r="AO134" s="577"/>
    </row>
    <row r="135" spans="1:41" s="199" customFormat="1" ht="13" hidden="1" outlineLevel="1" x14ac:dyDescent="0.3">
      <c r="A135" s="153" t="s">
        <v>373</v>
      </c>
      <c r="C135" s="595"/>
      <c r="D135" s="595"/>
      <c r="E135" s="595"/>
      <c r="F135" s="596"/>
      <c r="G135" s="595">
        <v>1.0502611977718512E-2</v>
      </c>
      <c r="H135" s="595">
        <v>-0.13671980990125066</v>
      </c>
      <c r="I135" s="595">
        <v>0.10510709466829327</v>
      </c>
      <c r="J135" s="596">
        <v>0.23564606519851594</v>
      </c>
      <c r="K135" s="595">
        <v>0.19154810130008393</v>
      </c>
      <c r="L135" s="595">
        <v>0.59799999999999998</v>
      </c>
      <c r="M135" s="595">
        <v>0.34499999999999997</v>
      </c>
      <c r="N135" s="596">
        <v>0.30299999999999999</v>
      </c>
      <c r="O135" s="595">
        <v>0.32600000000000001</v>
      </c>
      <c r="P135" s="595">
        <v>0.105</v>
      </c>
      <c r="Q135" s="595">
        <f>+(Q122-4.4%*M122)/M122-1</f>
        <v>2.4020967817200312E-2</v>
      </c>
      <c r="R135" s="596"/>
      <c r="S135" s="595"/>
      <c r="T135" s="595"/>
      <c r="U135" s="595"/>
      <c r="V135" s="596"/>
      <c r="W135" s="595"/>
      <c r="X135" s="595"/>
      <c r="Y135" s="595"/>
      <c r="Z135" s="599"/>
      <c r="AA135" s="599"/>
      <c r="AB135" s="599"/>
      <c r="AC135" s="599"/>
      <c r="AD135" s="599"/>
      <c r="AE135" s="599"/>
      <c r="AF135" s="599"/>
      <c r="AG135" s="599"/>
      <c r="AH135" s="599"/>
      <c r="AI135" s="597"/>
      <c r="AJ135" s="597"/>
      <c r="AK135" s="595">
        <f>+'FA - Historical Financials'!AI14</f>
        <v>0.35099999999999998</v>
      </c>
      <c r="AL135" s="595"/>
      <c r="AM135" s="595"/>
      <c r="AN135" s="599"/>
      <c r="AO135" s="575"/>
    </row>
    <row r="136" spans="1:41" ht="13" collapsed="1" x14ac:dyDescent="0.3">
      <c r="C136" s="568"/>
      <c r="D136" s="568"/>
      <c r="E136" s="568"/>
      <c r="F136" s="588"/>
      <c r="G136" s="568"/>
      <c r="H136" s="568"/>
      <c r="I136" s="568"/>
      <c r="J136" s="588"/>
      <c r="K136" s="566"/>
      <c r="L136" s="595"/>
      <c r="M136" s="595"/>
      <c r="N136" s="596"/>
      <c r="O136" s="595"/>
      <c r="P136" s="595"/>
      <c r="Q136" s="595"/>
      <c r="R136" s="596"/>
      <c r="S136" s="595"/>
      <c r="T136" s="595"/>
      <c r="U136" s="595"/>
      <c r="V136" s="596"/>
      <c r="W136" s="595"/>
      <c r="X136" s="595"/>
      <c r="Y136" s="595"/>
      <c r="Z136" s="583"/>
      <c r="AA136" s="583"/>
      <c r="AB136" s="583"/>
      <c r="AC136" s="583"/>
      <c r="AD136" s="583"/>
      <c r="AE136" s="583"/>
      <c r="AF136" s="583"/>
      <c r="AG136" s="583"/>
      <c r="AH136" s="583"/>
      <c r="AI136" s="568"/>
      <c r="AJ136" s="568"/>
      <c r="AK136" s="568"/>
      <c r="AL136" s="568"/>
      <c r="AM136" s="568"/>
      <c r="AN136" s="583"/>
      <c r="AO136" s="571"/>
    </row>
    <row r="137" spans="1:41" ht="13" x14ac:dyDescent="0.3">
      <c r="A137" s="574" t="s">
        <v>374</v>
      </c>
      <c r="C137" s="568"/>
      <c r="D137" s="568"/>
      <c r="E137" s="568"/>
      <c r="F137" s="588"/>
      <c r="G137" s="568"/>
      <c r="H137" s="568"/>
      <c r="I137" s="568"/>
      <c r="J137" s="588"/>
      <c r="K137" s="583"/>
      <c r="L137" s="583"/>
      <c r="M137" s="583"/>
      <c r="N137" s="588"/>
      <c r="O137" s="568"/>
      <c r="P137" s="568"/>
      <c r="Q137" s="568"/>
      <c r="R137" s="588"/>
      <c r="S137" s="568"/>
      <c r="T137" s="568"/>
      <c r="U137" s="568"/>
      <c r="V137" s="588"/>
      <c r="W137" s="568"/>
      <c r="X137" s="568"/>
      <c r="Y137" s="568"/>
      <c r="Z137" s="583"/>
      <c r="AA137" s="583"/>
      <c r="AB137" s="583"/>
      <c r="AC137" s="583"/>
      <c r="AD137" s="583"/>
      <c r="AE137" s="583"/>
      <c r="AF137" s="583"/>
      <c r="AG137" s="583"/>
      <c r="AH137" s="583"/>
      <c r="AI137" s="568"/>
      <c r="AJ137" s="568"/>
      <c r="AK137" s="568"/>
      <c r="AL137" s="568"/>
      <c r="AM137" s="568"/>
      <c r="AN137" s="583"/>
      <c r="AO137" s="571"/>
    </row>
    <row r="138" spans="1:41" s="199" customFormat="1" ht="13" x14ac:dyDescent="0.3">
      <c r="A138" s="153" t="s">
        <v>375</v>
      </c>
      <c r="C138" s="597"/>
      <c r="D138" s="597"/>
      <c r="E138" s="597"/>
      <c r="F138" s="598"/>
      <c r="G138" s="597"/>
      <c r="H138" s="597"/>
      <c r="I138" s="597"/>
      <c r="J138" s="598"/>
      <c r="K138" s="1023"/>
      <c r="L138" s="1023"/>
      <c r="M138" s="1023"/>
      <c r="N138" s="1024"/>
      <c r="O138" s="1023"/>
      <c r="P138" s="1023"/>
      <c r="Q138" s="1023"/>
      <c r="R138" s="1024">
        <v>0.04</v>
      </c>
      <c r="S138" s="1023">
        <v>0.05</v>
      </c>
      <c r="T138" s="1023">
        <v>0.04</v>
      </c>
      <c r="U138" s="1023">
        <v>0.04</v>
      </c>
      <c r="V138" s="1024">
        <v>0.06</v>
      </c>
      <c r="W138" s="1023">
        <v>0.04</v>
      </c>
      <c r="X138" s="1023">
        <v>0.05</v>
      </c>
      <c r="Y138" s="1023">
        <v>7.0000000000000007E-2</v>
      </c>
      <c r="Z138" s="1023"/>
      <c r="AA138" s="1023"/>
      <c r="AB138" s="1023"/>
      <c r="AC138" s="1023"/>
      <c r="AD138" s="1023"/>
      <c r="AE138" s="1023"/>
      <c r="AF138" s="1023"/>
      <c r="AG138" s="1023"/>
      <c r="AH138" s="1023"/>
      <c r="AI138" s="1023"/>
      <c r="AJ138" s="1023"/>
      <c r="AK138" s="1023">
        <v>0.04</v>
      </c>
      <c r="AL138" s="1023">
        <v>0.04</v>
      </c>
      <c r="AM138" s="1023">
        <v>0.05</v>
      </c>
      <c r="AN138" s="599"/>
      <c r="AO138" s="575"/>
    </row>
    <row r="139" spans="1:41" s="199" customFormat="1" ht="13" x14ac:dyDescent="0.3">
      <c r="A139" s="153" t="s">
        <v>376</v>
      </c>
      <c r="C139" s="597"/>
      <c r="D139" s="597"/>
      <c r="E139" s="597"/>
      <c r="F139" s="598"/>
      <c r="G139" s="597"/>
      <c r="H139" s="597"/>
      <c r="I139" s="597"/>
      <c r="J139" s="598"/>
      <c r="K139" s="1023"/>
      <c r="L139" s="1023"/>
      <c r="M139" s="1023"/>
      <c r="N139" s="1024"/>
      <c r="O139" s="1023"/>
      <c r="P139" s="1023"/>
      <c r="Q139" s="1023"/>
      <c r="R139" s="1024">
        <v>0.04</v>
      </c>
      <c r="S139" s="1023">
        <v>0.04</v>
      </c>
      <c r="T139" s="1023">
        <v>0.05</v>
      </c>
      <c r="U139" s="1023">
        <v>0.05</v>
      </c>
      <c r="V139" s="1024">
        <v>0.04</v>
      </c>
      <c r="W139" s="1023">
        <v>5.0999999999999997E-2</v>
      </c>
      <c r="X139" s="1023">
        <v>0.04</v>
      </c>
      <c r="Y139" s="1023">
        <v>0.03</v>
      </c>
      <c r="Z139" s="1023"/>
      <c r="AA139" s="1023"/>
      <c r="AB139" s="1023"/>
      <c r="AC139" s="1023"/>
      <c r="AD139" s="1023"/>
      <c r="AE139" s="1023"/>
      <c r="AF139" s="1023"/>
      <c r="AG139" s="1023"/>
      <c r="AH139" s="1023"/>
      <c r="AI139" s="1023"/>
      <c r="AJ139" s="1023"/>
      <c r="AK139" s="1023">
        <v>0.08</v>
      </c>
      <c r="AL139" s="1023">
        <v>0.05</v>
      </c>
      <c r="AM139" s="1023">
        <v>0.04</v>
      </c>
      <c r="AN139" s="599"/>
      <c r="AO139" s="575"/>
    </row>
    <row r="140" spans="1:41" s="199" customFormat="1" ht="13" x14ac:dyDescent="0.3">
      <c r="A140" s="153" t="s">
        <v>377</v>
      </c>
      <c r="C140" s="597"/>
      <c r="D140" s="597"/>
      <c r="E140" s="597"/>
      <c r="F140" s="598"/>
      <c r="G140" s="597"/>
      <c r="H140" s="597"/>
      <c r="I140" s="597"/>
      <c r="J140" s="598"/>
      <c r="K140" s="1023"/>
      <c r="L140" s="1023"/>
      <c r="M140" s="1023"/>
      <c r="N140" s="1024"/>
      <c r="O140" s="1023"/>
      <c r="P140" s="1023"/>
      <c r="Q140" s="1023"/>
      <c r="R140" s="1024">
        <v>-0.02</v>
      </c>
      <c r="S140" s="1023">
        <v>-0.03</v>
      </c>
      <c r="T140" s="1023">
        <v>-0.03</v>
      </c>
      <c r="U140" s="1023">
        <v>-0.03</v>
      </c>
      <c r="V140" s="1024">
        <v>-0.03</v>
      </c>
      <c r="W140" s="1023">
        <v>-0.03</v>
      </c>
      <c r="X140" s="1023">
        <v>-0.04</v>
      </c>
      <c r="Y140" s="1023">
        <v>-0.04</v>
      </c>
      <c r="Z140" s="1023"/>
      <c r="AA140" s="1023"/>
      <c r="AB140" s="1023"/>
      <c r="AC140" s="1023"/>
      <c r="AD140" s="1023"/>
      <c r="AE140" s="1023"/>
      <c r="AF140" s="1023"/>
      <c r="AG140" s="1023"/>
      <c r="AH140" s="1023"/>
      <c r="AI140" s="1023"/>
      <c r="AJ140" s="1023"/>
      <c r="AK140" s="1023">
        <v>-0.03</v>
      </c>
      <c r="AL140" s="1023">
        <v>-0.03</v>
      </c>
      <c r="AM140" s="1023">
        <v>-0.03</v>
      </c>
      <c r="AN140" s="599"/>
      <c r="AO140" s="575"/>
    </row>
    <row r="141" spans="1:41" s="199" customFormat="1" ht="13" x14ac:dyDescent="0.3">
      <c r="A141" s="153" t="s">
        <v>378</v>
      </c>
      <c r="C141" s="597"/>
      <c r="D141" s="597"/>
      <c r="E141" s="597"/>
      <c r="F141" s="598"/>
      <c r="G141" s="597"/>
      <c r="H141" s="597"/>
      <c r="I141" s="597"/>
      <c r="J141" s="598"/>
      <c r="K141" s="1023"/>
      <c r="L141" s="1023"/>
      <c r="M141" s="1023"/>
      <c r="N141" s="1024"/>
      <c r="O141" s="1023"/>
      <c r="P141" s="1023"/>
      <c r="Q141" s="1023"/>
      <c r="R141" s="1024">
        <v>-0.08</v>
      </c>
      <c r="S141" s="2357">
        <v>-0.13</v>
      </c>
      <c r="T141" s="2357">
        <v>-0.13</v>
      </c>
      <c r="U141" s="2357">
        <v>-0.09</v>
      </c>
      <c r="V141" s="2358">
        <v>-0.13</v>
      </c>
      <c r="W141" s="2357">
        <v>-0.11</v>
      </c>
      <c r="X141" s="2357">
        <v>-7.0000000000000007E-2</v>
      </c>
      <c r="Y141" s="2357">
        <v>-0.08</v>
      </c>
      <c r="Z141" s="2357"/>
      <c r="AA141" s="2357"/>
      <c r="AB141" s="2357"/>
      <c r="AC141" s="2357"/>
      <c r="AD141" s="2357"/>
      <c r="AE141" s="2357"/>
      <c r="AF141" s="2357"/>
      <c r="AG141" s="2357"/>
      <c r="AH141" s="2357"/>
      <c r="AI141" s="2357"/>
      <c r="AJ141" s="2357"/>
      <c r="AK141" s="2357">
        <v>0.26</v>
      </c>
      <c r="AL141" s="2357">
        <v>0.02</v>
      </c>
      <c r="AM141" s="2357">
        <v>-0.12</v>
      </c>
      <c r="AN141" s="599"/>
      <c r="AO141" s="575"/>
    </row>
    <row r="142" spans="1:41" s="299" customFormat="1" ht="13" x14ac:dyDescent="0.3">
      <c r="A142" s="576"/>
      <c r="C142" s="605"/>
      <c r="D142" s="605"/>
      <c r="E142" s="605"/>
      <c r="F142" s="606"/>
      <c r="G142" s="605"/>
      <c r="H142" s="605"/>
      <c r="I142" s="605"/>
      <c r="J142" s="606"/>
      <c r="K142" s="607"/>
      <c r="L142" s="607"/>
      <c r="M142" s="607"/>
      <c r="N142" s="608"/>
      <c r="O142" s="607"/>
      <c r="P142" s="607"/>
      <c r="Q142" s="607"/>
      <c r="R142" s="608"/>
      <c r="S142" s="607"/>
      <c r="T142" s="607"/>
      <c r="U142" s="607"/>
      <c r="V142" s="608"/>
      <c r="W142" s="607"/>
      <c r="X142" s="609"/>
      <c r="Y142" s="609"/>
      <c r="Z142" s="609"/>
      <c r="AA142" s="609"/>
      <c r="AB142" s="609"/>
      <c r="AC142" s="609"/>
      <c r="AD142" s="609"/>
      <c r="AE142" s="609"/>
      <c r="AF142" s="609"/>
      <c r="AG142" s="609"/>
      <c r="AH142" s="609"/>
      <c r="AI142" s="605"/>
      <c r="AJ142" s="605"/>
      <c r="AK142" s="607"/>
      <c r="AL142" s="607"/>
      <c r="AM142" s="607"/>
      <c r="AN142" s="609"/>
      <c r="AO142" s="577"/>
    </row>
    <row r="143" spans="1:41" ht="13" x14ac:dyDescent="0.3">
      <c r="A143" s="374" t="s">
        <v>379</v>
      </c>
      <c r="C143" s="568"/>
      <c r="D143" s="568"/>
      <c r="E143" s="568"/>
      <c r="F143" s="588"/>
      <c r="G143" s="568"/>
      <c r="H143" s="568"/>
      <c r="I143" s="568"/>
      <c r="J143" s="588"/>
      <c r="K143" s="566"/>
      <c r="L143" s="595"/>
      <c r="M143" s="595"/>
      <c r="N143" s="596"/>
      <c r="O143" s="595"/>
      <c r="P143" s="595"/>
      <c r="Q143" s="595"/>
      <c r="R143" s="596"/>
      <c r="S143" s="595"/>
      <c r="T143" s="595"/>
      <c r="U143" s="595"/>
      <c r="V143" s="596"/>
      <c r="W143" s="595"/>
      <c r="X143" s="583"/>
      <c r="Y143" s="583"/>
      <c r="Z143" s="583"/>
      <c r="AA143" s="583"/>
      <c r="AB143" s="583"/>
      <c r="AC143" s="583"/>
      <c r="AD143" s="583"/>
      <c r="AE143" s="583"/>
      <c r="AF143" s="583"/>
      <c r="AG143" s="583"/>
      <c r="AH143" s="583"/>
      <c r="AI143" s="568"/>
      <c r="AJ143" s="568"/>
      <c r="AK143" s="568"/>
      <c r="AL143" s="568"/>
      <c r="AM143" s="568"/>
      <c r="AN143" s="583"/>
      <c r="AO143" s="571"/>
    </row>
    <row r="144" spans="1:41" x14ac:dyDescent="0.25">
      <c r="A144" s="132" t="s">
        <v>380</v>
      </c>
      <c r="C144" s="568"/>
      <c r="D144" s="568"/>
      <c r="E144" s="568"/>
      <c r="F144" s="588"/>
      <c r="G144" s="568"/>
      <c r="H144" s="568"/>
      <c r="I144" s="568"/>
      <c r="J144" s="588"/>
      <c r="K144" s="568"/>
      <c r="L144" s="568">
        <f t="shared" ref="L144:Y144" si="246">+L97</f>
        <v>146.29999999999998</v>
      </c>
      <c r="M144" s="568">
        <f t="shared" si="246"/>
        <v>158.97199999999998</v>
      </c>
      <c r="N144" s="588">
        <f t="shared" si="246"/>
        <v>182.61700000000002</v>
      </c>
      <c r="O144" s="568">
        <f t="shared" si="246"/>
        <v>160.08799999999999</v>
      </c>
      <c r="P144" s="568">
        <f t="shared" si="246"/>
        <v>170.59100000000001</v>
      </c>
      <c r="Q144" s="568">
        <f t="shared" si="246"/>
        <v>176.09100000000001</v>
      </c>
      <c r="R144" s="588">
        <f t="shared" si="246"/>
        <v>188.095</v>
      </c>
      <c r="S144" s="568">
        <f t="shared" si="246"/>
        <v>152.05600000000001</v>
      </c>
      <c r="T144" s="568">
        <f t="shared" si="246"/>
        <v>162.68199999999999</v>
      </c>
      <c r="U144" s="568">
        <f t="shared" si="246"/>
        <v>176.04599999999999</v>
      </c>
      <c r="V144" s="588">
        <f t="shared" si="246"/>
        <v>182.29</v>
      </c>
      <c r="W144" s="568">
        <f t="shared" si="246"/>
        <v>149.12700000000001</v>
      </c>
      <c r="X144" s="568">
        <f t="shared" si="246"/>
        <v>162.37799999999999</v>
      </c>
      <c r="Y144" s="568">
        <f t="shared" si="246"/>
        <v>174.905</v>
      </c>
      <c r="Z144" s="583"/>
      <c r="AA144" s="583"/>
      <c r="AB144" s="583"/>
      <c r="AC144" s="583"/>
      <c r="AD144" s="583"/>
      <c r="AE144" s="583"/>
      <c r="AF144" s="583"/>
      <c r="AG144" s="583"/>
      <c r="AH144" s="583"/>
      <c r="AI144" s="568"/>
      <c r="AJ144" s="568"/>
      <c r="AK144" s="568"/>
      <c r="AL144" s="568">
        <f>+AL97</f>
        <v>694.86500000000001</v>
      </c>
      <c r="AM144" s="568">
        <f>+SUM(S144:V144)</f>
        <v>673.07399999999996</v>
      </c>
      <c r="AN144" s="583"/>
      <c r="AO144" s="571"/>
    </row>
    <row r="145" spans="1:41" s="413" customFormat="1" ht="14" x14ac:dyDescent="0.4">
      <c r="A145" s="132" t="s">
        <v>381</v>
      </c>
      <c r="C145" s="613"/>
      <c r="D145" s="613"/>
      <c r="E145" s="613"/>
      <c r="F145" s="718"/>
      <c r="G145" s="613"/>
      <c r="H145" s="613"/>
      <c r="I145" s="613"/>
      <c r="J145" s="718"/>
      <c r="K145" s="613"/>
      <c r="L145" s="613"/>
      <c r="M145" s="613"/>
      <c r="N145" s="718"/>
      <c r="O145" s="613"/>
      <c r="P145" s="613"/>
      <c r="Q145" s="613">
        <v>5.2999999999999999E-2</v>
      </c>
      <c r="R145" s="718">
        <v>7.6999999999999999E-2</v>
      </c>
      <c r="S145" s="613">
        <v>0.02</v>
      </c>
      <c r="T145" s="613">
        <v>-2.5999999999999999E-2</v>
      </c>
      <c r="U145" s="613">
        <v>-8.3000000000000004E-2</v>
      </c>
      <c r="V145" s="718">
        <v>-5.6000000000000001E-2</v>
      </c>
      <c r="W145" s="613">
        <v>-4.5999999999999999E-2</v>
      </c>
      <c r="X145" s="613">
        <v>-5.0000000000000001E-3</v>
      </c>
      <c r="Y145" s="613">
        <v>8.8999999999999996E-2</v>
      </c>
      <c r="Z145" s="719"/>
      <c r="AA145" s="719"/>
      <c r="AB145" s="719"/>
      <c r="AC145" s="719"/>
      <c r="AD145" s="719"/>
      <c r="AE145" s="719"/>
      <c r="AF145" s="719"/>
      <c r="AG145" s="719"/>
      <c r="AH145" s="719"/>
      <c r="AI145" s="613"/>
      <c r="AJ145" s="613"/>
      <c r="AK145" s="613"/>
      <c r="AL145" s="613">
        <v>0.19900000000000001</v>
      </c>
      <c r="AM145" s="613">
        <f>+SUM(S145:V145)</f>
        <v>-0.14499999999999999</v>
      </c>
      <c r="AN145" s="719"/>
      <c r="AO145" s="614"/>
    </row>
    <row r="146" spans="1:41" x14ac:dyDescent="0.25">
      <c r="A146" s="425" t="s">
        <v>382</v>
      </c>
      <c r="C146" s="568"/>
      <c r="D146" s="568"/>
      <c r="E146" s="568"/>
      <c r="F146" s="588"/>
      <c r="G146" s="568"/>
      <c r="H146" s="568"/>
      <c r="I146" s="568"/>
      <c r="J146" s="588"/>
      <c r="K146" s="568"/>
      <c r="L146" s="568"/>
      <c r="M146" s="568"/>
      <c r="N146" s="588"/>
      <c r="O146" s="568"/>
      <c r="P146" s="568"/>
      <c r="Q146" s="568">
        <f t="shared" ref="Q146:R146" si="247">+Q145+Q144</f>
        <v>176.14400000000001</v>
      </c>
      <c r="R146" s="588">
        <f t="shared" si="247"/>
        <v>188.172</v>
      </c>
      <c r="S146" s="568">
        <f>+S145+S144</f>
        <v>152.07600000000002</v>
      </c>
      <c r="T146" s="568">
        <f t="shared" ref="T146:W146" si="248">+T145+T144</f>
        <v>162.65599999999998</v>
      </c>
      <c r="U146" s="568">
        <f t="shared" si="248"/>
        <v>175.96299999999999</v>
      </c>
      <c r="V146" s="588">
        <f t="shared" si="248"/>
        <v>182.23399999999998</v>
      </c>
      <c r="W146" s="568">
        <f t="shared" si="248"/>
        <v>149.08100000000002</v>
      </c>
      <c r="X146" s="568">
        <f t="shared" ref="X146:Y146" si="249">+X145+X144</f>
        <v>162.37299999999999</v>
      </c>
      <c r="Y146" s="568">
        <f t="shared" si="249"/>
        <v>174.994</v>
      </c>
      <c r="Z146" s="583"/>
      <c r="AA146" s="583"/>
      <c r="AB146" s="583"/>
      <c r="AC146" s="583"/>
      <c r="AD146" s="583"/>
      <c r="AE146" s="583"/>
      <c r="AF146" s="583"/>
      <c r="AG146" s="583"/>
      <c r="AH146" s="583"/>
      <c r="AI146" s="568"/>
      <c r="AJ146" s="568"/>
      <c r="AK146" s="568"/>
      <c r="AL146" s="568">
        <f>+AL145+AL144</f>
        <v>695.06399999999996</v>
      </c>
      <c r="AM146" s="568">
        <f>+SUM(S146:V146)</f>
        <v>672.92899999999986</v>
      </c>
      <c r="AN146" s="583"/>
      <c r="AO146" s="571"/>
    </row>
    <row r="147" spans="1:41" s="413" customFormat="1" ht="14" x14ac:dyDescent="0.4">
      <c r="A147" s="132" t="s">
        <v>383</v>
      </c>
      <c r="C147" s="613"/>
      <c r="D147" s="613"/>
      <c r="E147" s="613"/>
      <c r="F147" s="718"/>
      <c r="G147" s="613"/>
      <c r="H147" s="613"/>
      <c r="I147" s="613"/>
      <c r="J147" s="718"/>
      <c r="K147" s="613"/>
      <c r="L147" s="613"/>
      <c r="M147" s="613"/>
      <c r="N147" s="718"/>
      <c r="O147" s="613"/>
      <c r="P147" s="613"/>
      <c r="Q147" s="613">
        <f>+SUM(Q175:Q177)</f>
        <v>8.4</v>
      </c>
      <c r="R147" s="718">
        <v>5.4489999999999998</v>
      </c>
      <c r="S147" s="613">
        <v>0</v>
      </c>
      <c r="T147" s="613">
        <v>0</v>
      </c>
      <c r="U147" s="613">
        <v>0.85099999999999998</v>
      </c>
      <c r="V147" s="718">
        <v>2.1429999999999998</v>
      </c>
      <c r="W147" s="613">
        <v>2.8090000000000002</v>
      </c>
      <c r="X147" s="613">
        <v>3.3</v>
      </c>
      <c r="Y147" s="613">
        <v>3.3</v>
      </c>
      <c r="Z147" s="719"/>
      <c r="AA147" s="719"/>
      <c r="AB147" s="719"/>
      <c r="AC147" s="719"/>
      <c r="AD147" s="719"/>
      <c r="AE147" s="719"/>
      <c r="AF147" s="719"/>
      <c r="AG147" s="719"/>
      <c r="AH147" s="719"/>
      <c r="AI147" s="613"/>
      <c r="AJ147" s="613"/>
      <c r="AK147" s="613"/>
      <c r="AL147" s="613">
        <v>29.401</v>
      </c>
      <c r="AM147" s="613">
        <f>+SUM(S147:V147)</f>
        <v>2.9939999999999998</v>
      </c>
      <c r="AN147" s="719"/>
      <c r="AO147" s="614"/>
    </row>
    <row r="148" spans="1:41" x14ac:dyDescent="0.25">
      <c r="A148" s="425" t="s">
        <v>384</v>
      </c>
      <c r="C148" s="568"/>
      <c r="D148" s="568"/>
      <c r="E148" s="568"/>
      <c r="F148" s="588"/>
      <c r="G148" s="568"/>
      <c r="H148" s="568"/>
      <c r="I148" s="568"/>
      <c r="J148" s="588"/>
      <c r="K148" s="568"/>
      <c r="L148" s="568"/>
      <c r="M148" s="568"/>
      <c r="N148" s="588"/>
      <c r="O148" s="568"/>
      <c r="P148" s="568"/>
      <c r="Q148" s="568">
        <f t="shared" ref="Q148:R148" si="250">+Q146-Q147</f>
        <v>167.744</v>
      </c>
      <c r="R148" s="588">
        <f t="shared" si="250"/>
        <v>182.72299999999998</v>
      </c>
      <c r="S148" s="568">
        <f t="shared" ref="S148:T148" si="251">+S146-S147</f>
        <v>152.07600000000002</v>
      </c>
      <c r="T148" s="568">
        <f t="shared" si="251"/>
        <v>162.65599999999998</v>
      </c>
      <c r="U148" s="568">
        <f t="shared" ref="U148:W148" si="252">+U146-U147</f>
        <v>175.11199999999999</v>
      </c>
      <c r="V148" s="588">
        <f t="shared" si="252"/>
        <v>180.09099999999998</v>
      </c>
      <c r="W148" s="568">
        <f t="shared" si="252"/>
        <v>146.27200000000002</v>
      </c>
      <c r="X148" s="568">
        <f t="shared" ref="X148:Y148" si="253">+X146-X147</f>
        <v>159.07299999999998</v>
      </c>
      <c r="Y148" s="568">
        <f t="shared" si="253"/>
        <v>171.69399999999999</v>
      </c>
      <c r="Z148" s="583"/>
      <c r="AA148" s="583"/>
      <c r="AB148" s="583"/>
      <c r="AC148" s="583"/>
      <c r="AD148" s="583"/>
      <c r="AE148" s="583"/>
      <c r="AF148" s="583"/>
      <c r="AG148" s="583"/>
      <c r="AH148" s="583"/>
      <c r="AI148" s="568"/>
      <c r="AJ148" s="568"/>
      <c r="AK148" s="568"/>
      <c r="AL148" s="568">
        <f>+AL146-AL147</f>
        <v>665.66300000000001</v>
      </c>
      <c r="AM148" s="568">
        <f>+SUM(S148:V148)</f>
        <v>669.93499999999995</v>
      </c>
      <c r="AN148" s="583"/>
      <c r="AO148" s="571"/>
    </row>
    <row r="149" spans="1:41" ht="13" x14ac:dyDescent="0.3">
      <c r="C149" s="568"/>
      <c r="D149" s="568"/>
      <c r="E149" s="568"/>
      <c r="F149" s="588"/>
      <c r="G149" s="568"/>
      <c r="H149" s="568"/>
      <c r="I149" s="568"/>
      <c r="J149" s="588"/>
      <c r="K149" s="568"/>
      <c r="L149" s="597"/>
      <c r="M149" s="597"/>
      <c r="N149" s="598"/>
      <c r="O149" s="597"/>
      <c r="P149" s="597"/>
      <c r="Q149" s="597"/>
      <c r="R149" s="598"/>
      <c r="S149" s="597"/>
      <c r="T149" s="597"/>
      <c r="U149" s="597"/>
      <c r="V149" s="598"/>
      <c r="W149" s="597"/>
      <c r="X149" s="583"/>
      <c r="Y149" s="583"/>
      <c r="Z149" s="583"/>
      <c r="AA149" s="583"/>
      <c r="AB149" s="583"/>
      <c r="AC149" s="583"/>
      <c r="AD149" s="583"/>
      <c r="AE149" s="583"/>
      <c r="AF149" s="583"/>
      <c r="AG149" s="583"/>
      <c r="AH149" s="583"/>
      <c r="AI149" s="568"/>
      <c r="AJ149" s="568"/>
      <c r="AK149" s="568"/>
      <c r="AL149" s="568"/>
      <c r="AM149" s="568"/>
      <c r="AN149" s="583"/>
      <c r="AO149" s="571"/>
    </row>
    <row r="150" spans="1:41" x14ac:dyDescent="0.25">
      <c r="A150" s="132" t="s">
        <v>385</v>
      </c>
      <c r="C150" s="568"/>
      <c r="D150" s="568"/>
      <c r="E150" s="568"/>
      <c r="F150" s="588"/>
      <c r="G150" s="568"/>
      <c r="H150" s="568"/>
      <c r="I150" s="568"/>
      <c r="J150" s="588"/>
      <c r="K150" s="568"/>
      <c r="L150" s="568">
        <f t="shared" ref="L150:Y150" si="254">+L98</f>
        <v>30.08</v>
      </c>
      <c r="M150" s="568">
        <f t="shared" si="254"/>
        <v>35.594999999999999</v>
      </c>
      <c r="N150" s="588">
        <f t="shared" si="254"/>
        <v>31.771999999999998</v>
      </c>
      <c r="O150" s="568">
        <f t="shared" si="254"/>
        <v>31.741</v>
      </c>
      <c r="P150" s="568">
        <f t="shared" si="254"/>
        <v>33.043999999999997</v>
      </c>
      <c r="Q150" s="568">
        <f t="shared" si="254"/>
        <v>31.628</v>
      </c>
      <c r="R150" s="588">
        <f t="shared" si="254"/>
        <v>26.187000000000001</v>
      </c>
      <c r="S150" s="568">
        <f t="shared" si="254"/>
        <v>24.847999999999999</v>
      </c>
      <c r="T150" s="568">
        <f t="shared" si="254"/>
        <v>24.113</v>
      </c>
      <c r="U150" s="568">
        <f t="shared" si="254"/>
        <v>25.805</v>
      </c>
      <c r="V150" s="588">
        <f t="shared" si="254"/>
        <v>22.065000000000001</v>
      </c>
      <c r="W150" s="568">
        <f t="shared" si="254"/>
        <v>22.023</v>
      </c>
      <c r="X150" s="568">
        <f t="shared" si="254"/>
        <v>24.187000000000001</v>
      </c>
      <c r="Y150" s="568">
        <f t="shared" si="254"/>
        <v>26.623999999999999</v>
      </c>
      <c r="Z150" s="583"/>
      <c r="AA150" s="583"/>
      <c r="AB150" s="583"/>
      <c r="AC150" s="583"/>
      <c r="AD150" s="583"/>
      <c r="AE150" s="583"/>
      <c r="AF150" s="583"/>
      <c r="AG150" s="583"/>
      <c r="AH150" s="583"/>
      <c r="AI150" s="568"/>
      <c r="AJ150" s="568"/>
      <c r="AK150" s="568"/>
      <c r="AL150" s="568">
        <f>+AL98</f>
        <v>122.6</v>
      </c>
      <c r="AM150" s="568">
        <f>+SUM(S150:V150)</f>
        <v>96.830999999999989</v>
      </c>
      <c r="AN150" s="583"/>
      <c r="AO150" s="571"/>
    </row>
    <row r="151" spans="1:41" s="413" customFormat="1" ht="14" x14ac:dyDescent="0.4">
      <c r="A151" s="132" t="s">
        <v>381</v>
      </c>
      <c r="C151" s="613"/>
      <c r="D151" s="613"/>
      <c r="E151" s="613"/>
      <c r="F151" s="718"/>
      <c r="G151" s="613"/>
      <c r="H151" s="613"/>
      <c r="I151" s="613"/>
      <c r="J151" s="718"/>
      <c r="K151" s="613"/>
      <c r="L151" s="613"/>
      <c r="M151" s="613"/>
      <c r="N151" s="718"/>
      <c r="O151" s="613"/>
      <c r="P151" s="613"/>
      <c r="Q151" s="613">
        <v>3.3119999999999998</v>
      </c>
      <c r="R151" s="718">
        <v>3.4750000000000001</v>
      </c>
      <c r="S151" s="613">
        <v>2.077</v>
      </c>
      <c r="T151" s="613">
        <v>1.0609999999999999</v>
      </c>
      <c r="U151" s="613">
        <v>-0.434</v>
      </c>
      <c r="V151" s="718">
        <v>-0.63600000000000001</v>
      </c>
      <c r="W151" s="613">
        <v>-7.2999999999999995E-2</v>
      </c>
      <c r="X151" s="613">
        <v>0.04</v>
      </c>
      <c r="Y151" s="613">
        <v>-0.216</v>
      </c>
      <c r="Z151" s="719"/>
      <c r="AA151" s="719"/>
      <c r="AB151" s="719"/>
      <c r="AC151" s="719"/>
      <c r="AD151" s="719"/>
      <c r="AE151" s="719"/>
      <c r="AF151" s="719"/>
      <c r="AG151" s="719"/>
      <c r="AH151" s="719"/>
      <c r="AI151" s="613"/>
      <c r="AJ151" s="613"/>
      <c r="AK151" s="613"/>
      <c r="AL151" s="613">
        <v>9.7739999999999991</v>
      </c>
      <c r="AM151" s="613">
        <f>+SUM(S151:V151)</f>
        <v>2.0679999999999996</v>
      </c>
      <c r="AN151" s="719"/>
      <c r="AO151" s="614"/>
    </row>
    <row r="152" spans="1:41" x14ac:dyDescent="0.25">
      <c r="A152" s="425" t="s">
        <v>386</v>
      </c>
      <c r="C152" s="568"/>
      <c r="D152" s="568"/>
      <c r="E152" s="568"/>
      <c r="F152" s="588"/>
      <c r="G152" s="568"/>
      <c r="H152" s="568"/>
      <c r="I152" s="568"/>
      <c r="J152" s="588"/>
      <c r="K152" s="568"/>
      <c r="L152" s="568"/>
      <c r="M152" s="568"/>
      <c r="N152" s="588"/>
      <c r="O152" s="568"/>
      <c r="P152" s="568"/>
      <c r="Q152" s="568">
        <f t="shared" ref="Q152:R152" si="255">+Q151+Q150</f>
        <v>34.94</v>
      </c>
      <c r="R152" s="588">
        <f t="shared" si="255"/>
        <v>29.662000000000003</v>
      </c>
      <c r="S152" s="568">
        <f>+S151+S150</f>
        <v>26.924999999999997</v>
      </c>
      <c r="T152" s="568">
        <f t="shared" ref="T152:W152" si="256">+T151+T150</f>
        <v>25.173999999999999</v>
      </c>
      <c r="U152" s="568">
        <f t="shared" si="256"/>
        <v>25.370999999999999</v>
      </c>
      <c r="V152" s="588">
        <f t="shared" si="256"/>
        <v>21.429000000000002</v>
      </c>
      <c r="W152" s="568">
        <f t="shared" si="256"/>
        <v>21.95</v>
      </c>
      <c r="X152" s="568">
        <f t="shared" ref="X152:Y152" si="257">+X151+X150</f>
        <v>24.227</v>
      </c>
      <c r="Y152" s="568">
        <f t="shared" si="257"/>
        <v>26.407999999999998</v>
      </c>
      <c r="Z152" s="583"/>
      <c r="AA152" s="583"/>
      <c r="AB152" s="583"/>
      <c r="AC152" s="583"/>
      <c r="AD152" s="583"/>
      <c r="AE152" s="583"/>
      <c r="AF152" s="583"/>
      <c r="AG152" s="583"/>
      <c r="AH152" s="583"/>
      <c r="AI152" s="568"/>
      <c r="AJ152" s="568"/>
      <c r="AK152" s="568"/>
      <c r="AL152" s="568">
        <f>+AL151+AL150</f>
        <v>132.374</v>
      </c>
      <c r="AM152" s="568">
        <f>+SUM(S152:V152)</f>
        <v>98.899000000000001</v>
      </c>
      <c r="AN152" s="583"/>
      <c r="AO152" s="571"/>
    </row>
    <row r="153" spans="1:41" s="413" customFormat="1" ht="14" x14ac:dyDescent="0.4">
      <c r="A153" s="132" t="s">
        <v>383</v>
      </c>
      <c r="C153" s="613"/>
      <c r="D153" s="613"/>
      <c r="E153" s="613"/>
      <c r="F153" s="718"/>
      <c r="G153" s="613"/>
      <c r="H153" s="613"/>
      <c r="I153" s="613"/>
      <c r="J153" s="718"/>
      <c r="K153" s="613"/>
      <c r="L153" s="613"/>
      <c r="M153" s="613"/>
      <c r="N153" s="718"/>
      <c r="O153" s="613"/>
      <c r="P153" s="613"/>
      <c r="Q153" s="613">
        <v>0</v>
      </c>
      <c r="R153" s="718">
        <v>0</v>
      </c>
      <c r="S153" s="613">
        <v>0</v>
      </c>
      <c r="T153" s="613">
        <v>0</v>
      </c>
      <c r="U153" s="613">
        <v>0</v>
      </c>
      <c r="V153" s="718">
        <v>0</v>
      </c>
      <c r="W153" s="613">
        <v>0</v>
      </c>
      <c r="X153" s="613">
        <v>0</v>
      </c>
      <c r="Y153" s="613">
        <v>0</v>
      </c>
      <c r="Z153" s="719"/>
      <c r="AA153" s="719"/>
      <c r="AB153" s="719"/>
      <c r="AC153" s="719"/>
      <c r="AD153" s="719"/>
      <c r="AE153" s="719"/>
      <c r="AF153" s="719"/>
      <c r="AG153" s="719"/>
      <c r="AH153" s="719"/>
      <c r="AI153" s="613"/>
      <c r="AJ153" s="613"/>
      <c r="AK153" s="613"/>
      <c r="AL153" s="613">
        <v>7.6429999999999998</v>
      </c>
      <c r="AM153" s="613">
        <f>+SUM(S153:V153)</f>
        <v>0</v>
      </c>
      <c r="AN153" s="719"/>
      <c r="AO153" s="614"/>
    </row>
    <row r="154" spans="1:41" x14ac:dyDescent="0.25">
      <c r="A154" s="425" t="s">
        <v>387</v>
      </c>
      <c r="C154" s="568"/>
      <c r="D154" s="568"/>
      <c r="E154" s="568"/>
      <c r="F154" s="588"/>
      <c r="G154" s="568"/>
      <c r="H154" s="568"/>
      <c r="I154" s="568"/>
      <c r="J154" s="588"/>
      <c r="K154" s="568"/>
      <c r="L154" s="568"/>
      <c r="M154" s="568"/>
      <c r="N154" s="588"/>
      <c r="O154" s="568"/>
      <c r="P154" s="568"/>
      <c r="Q154" s="568">
        <f t="shared" ref="Q154:R154" si="258">+Q152-Q153</f>
        <v>34.94</v>
      </c>
      <c r="R154" s="588">
        <f t="shared" si="258"/>
        <v>29.662000000000003</v>
      </c>
      <c r="S154" s="568">
        <f t="shared" ref="S154:T154" si="259">+S152-S153</f>
        <v>26.924999999999997</v>
      </c>
      <c r="T154" s="568">
        <f t="shared" si="259"/>
        <v>25.173999999999999</v>
      </c>
      <c r="U154" s="568">
        <f t="shared" ref="U154:V154" si="260">+U152-U153</f>
        <v>25.370999999999999</v>
      </c>
      <c r="V154" s="588">
        <f t="shared" si="260"/>
        <v>21.429000000000002</v>
      </c>
      <c r="W154" s="568">
        <f t="shared" ref="W154:X154" si="261">+W152-W153</f>
        <v>21.95</v>
      </c>
      <c r="X154" s="568">
        <f t="shared" si="261"/>
        <v>24.227</v>
      </c>
      <c r="Y154" s="568">
        <f t="shared" ref="Y154" si="262">+Y152-Y153</f>
        <v>26.407999999999998</v>
      </c>
      <c r="Z154" s="583"/>
      <c r="AA154" s="583"/>
      <c r="AB154" s="583"/>
      <c r="AC154" s="583"/>
      <c r="AD154" s="583"/>
      <c r="AE154" s="583"/>
      <c r="AF154" s="583"/>
      <c r="AG154" s="583"/>
      <c r="AH154" s="583"/>
      <c r="AI154" s="568"/>
      <c r="AJ154" s="568"/>
      <c r="AK154" s="568"/>
      <c r="AL154" s="568">
        <f t="shared" ref="AL154" si="263">+AL152-AL153</f>
        <v>124.73099999999999</v>
      </c>
      <c r="AM154" s="568">
        <f>+SUM(S154:V154)</f>
        <v>98.899000000000001</v>
      </c>
      <c r="AN154" s="583"/>
      <c r="AO154" s="571"/>
    </row>
    <row r="155" spans="1:41" ht="13" x14ac:dyDescent="0.3">
      <c r="C155" s="568"/>
      <c r="D155" s="568"/>
      <c r="E155" s="568"/>
      <c r="F155" s="588"/>
      <c r="G155" s="568"/>
      <c r="H155" s="568"/>
      <c r="I155" s="568"/>
      <c r="J155" s="588"/>
      <c r="K155" s="568"/>
      <c r="L155" s="597"/>
      <c r="M155" s="597"/>
      <c r="N155" s="598"/>
      <c r="O155" s="597"/>
      <c r="P155" s="597"/>
      <c r="Q155" s="597"/>
      <c r="R155" s="598"/>
      <c r="S155" s="597"/>
      <c r="T155" s="597"/>
      <c r="U155" s="597"/>
      <c r="V155" s="598"/>
      <c r="W155" s="597"/>
      <c r="X155" s="583"/>
      <c r="Y155" s="583"/>
      <c r="Z155" s="583"/>
      <c r="AA155" s="583"/>
      <c r="AB155" s="583"/>
      <c r="AC155" s="583"/>
      <c r="AD155" s="583"/>
      <c r="AE155" s="583"/>
      <c r="AF155" s="583"/>
      <c r="AG155" s="583"/>
      <c r="AH155" s="583"/>
      <c r="AI155" s="568"/>
      <c r="AJ155" s="568"/>
      <c r="AK155" s="568"/>
      <c r="AL155" s="568"/>
      <c r="AM155" s="568"/>
      <c r="AN155" s="583"/>
      <c r="AO155" s="571"/>
    </row>
    <row r="156" spans="1:41" x14ac:dyDescent="0.25">
      <c r="A156" s="132" t="s">
        <v>388</v>
      </c>
      <c r="C156" s="568"/>
      <c r="D156" s="568"/>
      <c r="E156" s="568"/>
      <c r="F156" s="588"/>
      <c r="G156" s="568"/>
      <c r="H156" s="568"/>
      <c r="I156" s="568"/>
      <c r="J156" s="588"/>
      <c r="K156" s="568"/>
      <c r="L156" s="568">
        <f t="shared" ref="L156:Y156" si="264">+L99</f>
        <v>-1.554</v>
      </c>
      <c r="M156" s="568">
        <f t="shared" si="264"/>
        <v>-1.7</v>
      </c>
      <c r="N156" s="588">
        <f t="shared" si="264"/>
        <v>-1.857</v>
      </c>
      <c r="O156" s="568">
        <f t="shared" si="264"/>
        <v>-1.948</v>
      </c>
      <c r="P156" s="568">
        <f t="shared" si="264"/>
        <v>-2.0739999999999998</v>
      </c>
      <c r="Q156" s="568">
        <f t="shared" si="264"/>
        <v>-1.7330000000000001</v>
      </c>
      <c r="R156" s="588">
        <f t="shared" si="264"/>
        <v>-1.6870000000000001</v>
      </c>
      <c r="S156" s="568">
        <f t="shared" si="264"/>
        <v>-1.3839999999999999</v>
      </c>
      <c r="T156" s="568">
        <f t="shared" si="264"/>
        <v>-1.48</v>
      </c>
      <c r="U156" s="568">
        <f t="shared" si="264"/>
        <v>-1.4870000000000001</v>
      </c>
      <c r="V156" s="588">
        <f t="shared" si="264"/>
        <v>-1.7929999999999999</v>
      </c>
      <c r="W156" s="568">
        <f t="shared" si="264"/>
        <v>-1.734</v>
      </c>
      <c r="X156" s="568">
        <f t="shared" si="264"/>
        <v>-2.0190000000000001</v>
      </c>
      <c r="Y156" s="568">
        <f t="shared" si="264"/>
        <v>-2.4099999999999966</v>
      </c>
      <c r="Z156" s="583"/>
      <c r="AA156" s="583"/>
      <c r="AB156" s="583"/>
      <c r="AC156" s="583"/>
      <c r="AD156" s="583"/>
      <c r="AE156" s="583"/>
      <c r="AF156" s="583"/>
      <c r="AG156" s="583"/>
      <c r="AH156" s="583"/>
      <c r="AI156" s="568"/>
      <c r="AJ156" s="568"/>
      <c r="AK156" s="568"/>
      <c r="AL156" s="568">
        <f>+AL99</f>
        <v>-7.4420000000000011</v>
      </c>
      <c r="AM156" s="568">
        <f>+SUM(S156:V156)</f>
        <v>-6.1440000000000001</v>
      </c>
      <c r="AN156" s="583"/>
      <c r="AO156" s="571"/>
    </row>
    <row r="157" spans="1:41" s="413" customFormat="1" ht="14" x14ac:dyDescent="0.4">
      <c r="A157" s="132" t="s">
        <v>381</v>
      </c>
      <c r="C157" s="613"/>
      <c r="D157" s="613"/>
      <c r="E157" s="613"/>
      <c r="F157" s="718"/>
      <c r="G157" s="613"/>
      <c r="H157" s="613"/>
      <c r="I157" s="613"/>
      <c r="J157" s="718"/>
      <c r="K157" s="613"/>
      <c r="L157" s="613"/>
      <c r="M157" s="613"/>
      <c r="N157" s="718"/>
      <c r="O157" s="613"/>
      <c r="P157" s="613"/>
      <c r="Q157" s="613">
        <v>9.1999999999999998E-2</v>
      </c>
      <c r="R157" s="718">
        <v>0.109</v>
      </c>
      <c r="S157" s="613">
        <v>5.2999999999999999E-2</v>
      </c>
      <c r="T157" s="613">
        <v>4.1000000000000002E-2</v>
      </c>
      <c r="U157" s="613">
        <v>1.9E-2</v>
      </c>
      <c r="V157" s="718">
        <v>1.2E-2</v>
      </c>
      <c r="W157" s="613">
        <v>0.01</v>
      </c>
      <c r="X157" s="613">
        <v>2.1999999999999999E-2</v>
      </c>
      <c r="Y157" s="613">
        <v>1.0999999999999999E-2</v>
      </c>
      <c r="Z157" s="719"/>
      <c r="AA157" s="719"/>
      <c r="AB157" s="719"/>
      <c r="AC157" s="719"/>
      <c r="AD157" s="719"/>
      <c r="AE157" s="719"/>
      <c r="AF157" s="719"/>
      <c r="AG157" s="719"/>
      <c r="AH157" s="719"/>
      <c r="AI157" s="613"/>
      <c r="AJ157" s="613"/>
      <c r="AK157" s="613"/>
      <c r="AL157" s="613">
        <v>0.32400000000000001</v>
      </c>
      <c r="AM157" s="613">
        <f>+SUM(S157:V157)</f>
        <v>0.125</v>
      </c>
      <c r="AN157" s="719"/>
      <c r="AO157" s="614"/>
    </row>
    <row r="158" spans="1:41" x14ac:dyDescent="0.25">
      <c r="A158" s="425" t="s">
        <v>389</v>
      </c>
      <c r="C158" s="568"/>
      <c r="D158" s="568"/>
      <c r="E158" s="568"/>
      <c r="F158" s="588"/>
      <c r="G158" s="568"/>
      <c r="H158" s="568"/>
      <c r="I158" s="568"/>
      <c r="J158" s="588"/>
      <c r="K158" s="568"/>
      <c r="L158" s="568"/>
      <c r="M158" s="568"/>
      <c r="N158" s="588"/>
      <c r="O158" s="568"/>
      <c r="P158" s="568"/>
      <c r="Q158" s="568">
        <f t="shared" ref="Q158:R158" si="265">+Q157+Q156</f>
        <v>-1.641</v>
      </c>
      <c r="R158" s="588">
        <f t="shared" si="265"/>
        <v>-1.5780000000000001</v>
      </c>
      <c r="S158" s="568">
        <f>+S157+S156</f>
        <v>-1.331</v>
      </c>
      <c r="T158" s="568">
        <f t="shared" ref="T158:W158" si="266">+T157+T156</f>
        <v>-1.4390000000000001</v>
      </c>
      <c r="U158" s="568">
        <f t="shared" si="266"/>
        <v>-1.4680000000000002</v>
      </c>
      <c r="V158" s="588">
        <f t="shared" si="266"/>
        <v>-1.7809999999999999</v>
      </c>
      <c r="W158" s="568">
        <f t="shared" si="266"/>
        <v>-1.724</v>
      </c>
      <c r="X158" s="568">
        <f t="shared" ref="X158:Y158" si="267">+X157+X156</f>
        <v>-1.9970000000000001</v>
      </c>
      <c r="Y158" s="568">
        <f t="shared" si="267"/>
        <v>-2.3989999999999965</v>
      </c>
      <c r="Z158" s="583"/>
      <c r="AA158" s="583"/>
      <c r="AB158" s="583"/>
      <c r="AC158" s="583"/>
      <c r="AD158" s="583"/>
      <c r="AE158" s="583"/>
      <c r="AF158" s="583"/>
      <c r="AG158" s="583"/>
      <c r="AH158" s="583"/>
      <c r="AI158" s="568"/>
      <c r="AJ158" s="568"/>
      <c r="AK158" s="568"/>
      <c r="AL158" s="568">
        <f>+AL157+AL156</f>
        <v>-7.1180000000000012</v>
      </c>
      <c r="AM158" s="568">
        <f>+SUM(S158:V158)</f>
        <v>-6.0190000000000001</v>
      </c>
      <c r="AN158" s="583"/>
      <c r="AO158" s="571"/>
    </row>
    <row r="159" spans="1:41" s="413" customFormat="1" ht="14" x14ac:dyDescent="0.4">
      <c r="A159" s="132" t="s">
        <v>383</v>
      </c>
      <c r="C159" s="613"/>
      <c r="D159" s="613"/>
      <c r="E159" s="613"/>
      <c r="F159" s="718"/>
      <c r="G159" s="613"/>
      <c r="H159" s="613"/>
      <c r="I159" s="613"/>
      <c r="J159" s="718"/>
      <c r="K159" s="613"/>
      <c r="L159" s="613"/>
      <c r="M159" s="613"/>
      <c r="N159" s="718"/>
      <c r="O159" s="613"/>
      <c r="P159" s="613"/>
      <c r="Q159" s="613">
        <v>0</v>
      </c>
      <c r="R159" s="718">
        <v>0</v>
      </c>
      <c r="S159" s="613">
        <v>0</v>
      </c>
      <c r="T159" s="613">
        <v>0</v>
      </c>
      <c r="U159" s="613">
        <v>0</v>
      </c>
      <c r="V159" s="718">
        <v>0</v>
      </c>
      <c r="W159" s="613">
        <v>0</v>
      </c>
      <c r="X159" s="613">
        <v>0</v>
      </c>
      <c r="Y159" s="613">
        <v>0</v>
      </c>
      <c r="Z159" s="719"/>
      <c r="AA159" s="719"/>
      <c r="AB159" s="719"/>
      <c r="AC159" s="719"/>
      <c r="AD159" s="719"/>
      <c r="AE159" s="719"/>
      <c r="AF159" s="719"/>
      <c r="AG159" s="719"/>
      <c r="AH159" s="719"/>
      <c r="AI159" s="613"/>
      <c r="AJ159" s="613"/>
      <c r="AK159" s="613"/>
      <c r="AL159" s="613">
        <v>0</v>
      </c>
      <c r="AM159" s="613">
        <f>+SUM(S159:V159)</f>
        <v>0</v>
      </c>
      <c r="AN159" s="719"/>
      <c r="AO159" s="614"/>
    </row>
    <row r="160" spans="1:41" x14ac:dyDescent="0.25">
      <c r="A160" s="425" t="s">
        <v>390</v>
      </c>
      <c r="C160" s="568"/>
      <c r="D160" s="568"/>
      <c r="E160" s="568"/>
      <c r="F160" s="588"/>
      <c r="G160" s="568"/>
      <c r="H160" s="568"/>
      <c r="I160" s="568"/>
      <c r="J160" s="588"/>
      <c r="K160" s="568"/>
      <c r="L160" s="568"/>
      <c r="M160" s="568"/>
      <c r="N160" s="588"/>
      <c r="O160" s="568"/>
      <c r="P160" s="568"/>
      <c r="Q160" s="568">
        <f t="shared" ref="Q160:R160" si="268">+Q158-Q159</f>
        <v>-1.641</v>
      </c>
      <c r="R160" s="588">
        <f t="shared" si="268"/>
        <v>-1.5780000000000001</v>
      </c>
      <c r="S160" s="568">
        <f t="shared" ref="S160:T160" si="269">+S158-S159</f>
        <v>-1.331</v>
      </c>
      <c r="T160" s="568">
        <f t="shared" si="269"/>
        <v>-1.4390000000000001</v>
      </c>
      <c r="U160" s="568">
        <f t="shared" ref="U160:V160" si="270">+U158-U159</f>
        <v>-1.4680000000000002</v>
      </c>
      <c r="V160" s="588">
        <f t="shared" si="270"/>
        <v>-1.7809999999999999</v>
      </c>
      <c r="W160" s="568">
        <f t="shared" ref="W160:X160" si="271">+W158-W159</f>
        <v>-1.724</v>
      </c>
      <c r="X160" s="568">
        <f t="shared" si="271"/>
        <v>-1.9970000000000001</v>
      </c>
      <c r="Y160" s="568">
        <f t="shared" ref="Y160" si="272">+Y158-Y159</f>
        <v>-2.3989999999999965</v>
      </c>
      <c r="Z160" s="583"/>
      <c r="AA160" s="583"/>
      <c r="AB160" s="583"/>
      <c r="AC160" s="583"/>
      <c r="AD160" s="583"/>
      <c r="AE160" s="583"/>
      <c r="AF160" s="583"/>
      <c r="AG160" s="583"/>
      <c r="AH160" s="583"/>
      <c r="AI160" s="568"/>
      <c r="AJ160" s="568"/>
      <c r="AK160" s="568"/>
      <c r="AL160" s="568">
        <f t="shared" ref="AL160" si="273">+AL158-AL159</f>
        <v>-7.1180000000000012</v>
      </c>
      <c r="AM160" s="568">
        <f>+SUM(S160:V160)</f>
        <v>-6.0190000000000001</v>
      </c>
      <c r="AN160" s="583"/>
      <c r="AO160" s="571"/>
    </row>
    <row r="161" spans="1:41" ht="13" x14ac:dyDescent="0.3">
      <c r="C161" s="568"/>
      <c r="D161" s="568"/>
      <c r="E161" s="568"/>
      <c r="F161" s="588"/>
      <c r="G161" s="568"/>
      <c r="H161" s="568"/>
      <c r="I161" s="568"/>
      <c r="J161" s="588"/>
      <c r="K161" s="568"/>
      <c r="L161" s="597"/>
      <c r="M161" s="597"/>
      <c r="N161" s="598"/>
      <c r="O161" s="597"/>
      <c r="P161" s="597"/>
      <c r="Q161" s="597"/>
      <c r="R161" s="598"/>
      <c r="S161" s="597"/>
      <c r="T161" s="597"/>
      <c r="U161" s="597"/>
      <c r="V161" s="598"/>
      <c r="W161" s="597"/>
      <c r="X161" s="583"/>
      <c r="Y161" s="583"/>
      <c r="Z161" s="583"/>
      <c r="AA161" s="583"/>
      <c r="AB161" s="583"/>
      <c r="AC161" s="583"/>
      <c r="AD161" s="583"/>
      <c r="AE161" s="583"/>
      <c r="AF161" s="583"/>
      <c r="AG161" s="583"/>
      <c r="AH161" s="583"/>
      <c r="AI161" s="568"/>
      <c r="AJ161" s="568"/>
      <c r="AK161" s="568"/>
      <c r="AL161" s="568"/>
      <c r="AM161" s="568"/>
      <c r="AN161" s="583"/>
      <c r="AO161" s="571"/>
    </row>
    <row r="162" spans="1:41" x14ac:dyDescent="0.25">
      <c r="A162" s="132" t="s">
        <v>391</v>
      </c>
      <c r="C162" s="568"/>
      <c r="D162" s="568"/>
      <c r="E162" s="568"/>
      <c r="F162" s="588"/>
      <c r="G162" s="568"/>
      <c r="H162" s="568"/>
      <c r="I162" s="568"/>
      <c r="J162" s="588"/>
      <c r="K162" s="568"/>
      <c r="L162" s="568">
        <f t="shared" ref="L162" si="274">+L144+L150+L156</f>
        <v>174.82599999999999</v>
      </c>
      <c r="M162" s="568">
        <f t="shared" ref="M162" si="275">+M144+M150+M156</f>
        <v>192.86699999999999</v>
      </c>
      <c r="N162" s="588">
        <f t="shared" ref="N162:O162" si="276">+N144+N150+N156</f>
        <v>212.53200000000001</v>
      </c>
      <c r="O162" s="568">
        <f t="shared" si="276"/>
        <v>189.881</v>
      </c>
      <c r="P162" s="568">
        <f t="shared" ref="P162" si="277">+P144+P150+P156</f>
        <v>201.56099999999998</v>
      </c>
      <c r="Q162" s="568">
        <f t="shared" ref="Q162:R162" si="278">+Q144+Q150+Q156</f>
        <v>205.98599999999999</v>
      </c>
      <c r="R162" s="588">
        <f t="shared" si="278"/>
        <v>212.595</v>
      </c>
      <c r="S162" s="568">
        <f>+S144+S150+S156</f>
        <v>175.52</v>
      </c>
      <c r="T162" s="568">
        <f t="shared" ref="T162:U162" si="279">+T144+T150+T156</f>
        <v>185.315</v>
      </c>
      <c r="U162" s="568">
        <f t="shared" si="279"/>
        <v>200.364</v>
      </c>
      <c r="V162" s="588">
        <f t="shared" ref="V162:W162" si="280">+V144+V150+V156</f>
        <v>202.56199999999998</v>
      </c>
      <c r="W162" s="568">
        <f t="shared" si="280"/>
        <v>169.416</v>
      </c>
      <c r="X162" s="568">
        <f t="shared" ref="X162:Y162" si="281">+X144+X150+X156</f>
        <v>184.54599999999999</v>
      </c>
      <c r="Y162" s="568">
        <f t="shared" si="281"/>
        <v>199.119</v>
      </c>
      <c r="Z162" s="583"/>
      <c r="AA162" s="583"/>
      <c r="AB162" s="583"/>
      <c r="AC162" s="583"/>
      <c r="AD162" s="583"/>
      <c r="AE162" s="583"/>
      <c r="AF162" s="583"/>
      <c r="AG162" s="583"/>
      <c r="AH162" s="583"/>
      <c r="AI162" s="568"/>
      <c r="AJ162" s="568"/>
      <c r="AK162" s="568"/>
      <c r="AL162" s="568">
        <f t="shared" ref="AL162" si="282">+AL144+AL150+AL156</f>
        <v>810.02300000000002</v>
      </c>
      <c r="AM162" s="568">
        <f>+SUM(S162:V162)</f>
        <v>763.76100000000008</v>
      </c>
      <c r="AN162" s="583"/>
      <c r="AO162" s="571"/>
    </row>
    <row r="163" spans="1:41" s="413" customFormat="1" ht="14" x14ac:dyDescent="0.4">
      <c r="A163" s="132" t="s">
        <v>381</v>
      </c>
      <c r="C163" s="613"/>
      <c r="D163" s="613"/>
      <c r="E163" s="613"/>
      <c r="F163" s="718"/>
      <c r="G163" s="613"/>
      <c r="H163" s="613"/>
      <c r="I163" s="613"/>
      <c r="J163" s="718"/>
      <c r="K163" s="613"/>
      <c r="L163" s="613">
        <v>-0.4</v>
      </c>
      <c r="M163" s="613">
        <v>-0.4</v>
      </c>
      <c r="N163" s="718">
        <v>-0.08</v>
      </c>
      <c r="O163" s="613">
        <v>0.96099999999999997</v>
      </c>
      <c r="P163" s="613">
        <v>2.1800000000000002</v>
      </c>
      <c r="Q163" s="613">
        <f t="shared" ref="Q163:S163" si="283">+Q145+Q151+Q157</f>
        <v>3.4569999999999999</v>
      </c>
      <c r="R163" s="718">
        <f t="shared" si="283"/>
        <v>3.661</v>
      </c>
      <c r="S163" s="613">
        <f t="shared" si="283"/>
        <v>2.15</v>
      </c>
      <c r="T163" s="613">
        <f t="shared" ref="T163:U165" si="284">+T145+T151+T157</f>
        <v>1.0759999999999998</v>
      </c>
      <c r="U163" s="613">
        <f t="shared" si="284"/>
        <v>-0.498</v>
      </c>
      <c r="V163" s="718">
        <f t="shared" ref="V163:W163" si="285">+V145+V151+V157</f>
        <v>-0.68</v>
      </c>
      <c r="W163" s="613">
        <f t="shared" si="285"/>
        <v>-0.109</v>
      </c>
      <c r="X163" s="613">
        <f t="shared" ref="X163:Y163" si="286">+X145+X151+X157</f>
        <v>5.7000000000000002E-2</v>
      </c>
      <c r="Y163" s="613">
        <f t="shared" si="286"/>
        <v>-0.11600000000000001</v>
      </c>
      <c r="Z163" s="719"/>
      <c r="AA163" s="719"/>
      <c r="AB163" s="719"/>
      <c r="AC163" s="719"/>
      <c r="AD163" s="719"/>
      <c r="AE163" s="719"/>
      <c r="AF163" s="719"/>
      <c r="AG163" s="719"/>
      <c r="AH163" s="719"/>
      <c r="AI163" s="613"/>
      <c r="AJ163" s="613"/>
      <c r="AK163" s="613"/>
      <c r="AL163" s="613">
        <f t="shared" ref="AL163" si="287">+AL145+AL151+AL157</f>
        <v>10.296999999999999</v>
      </c>
      <c r="AM163" s="613">
        <f>+SUM(S163:V163)</f>
        <v>2.0479999999999996</v>
      </c>
      <c r="AN163" s="719"/>
      <c r="AO163" s="614"/>
    </row>
    <row r="164" spans="1:41" x14ac:dyDescent="0.25">
      <c r="A164" s="425" t="s">
        <v>392</v>
      </c>
      <c r="C164" s="568"/>
      <c r="D164" s="568"/>
      <c r="E164" s="568"/>
      <c r="F164" s="588"/>
      <c r="G164" s="568"/>
      <c r="H164" s="568"/>
      <c r="I164" s="568"/>
      <c r="J164" s="588"/>
      <c r="K164" s="568"/>
      <c r="L164" s="568">
        <f t="shared" ref="L164" si="288">+L163+L162</f>
        <v>174.42599999999999</v>
      </c>
      <c r="M164" s="568">
        <f t="shared" ref="M164" si="289">+M163+M162</f>
        <v>192.46699999999998</v>
      </c>
      <c r="N164" s="588">
        <f t="shared" ref="N164" si="290">+N163+N162</f>
        <v>212.452</v>
      </c>
      <c r="O164" s="568">
        <f t="shared" ref="O164" si="291">+O163+O162</f>
        <v>190.84200000000001</v>
      </c>
      <c r="P164" s="568">
        <f t="shared" ref="P164" si="292">+P163+P162</f>
        <v>203.74099999999999</v>
      </c>
      <c r="Q164" s="568">
        <f t="shared" ref="Q164:R164" si="293">+Q163+Q162</f>
        <v>209.44299999999998</v>
      </c>
      <c r="R164" s="588">
        <f t="shared" si="293"/>
        <v>216.256</v>
      </c>
      <c r="S164" s="568">
        <f>+S163+S162</f>
        <v>177.67000000000002</v>
      </c>
      <c r="T164" s="568">
        <f t="shared" ref="T164:U164" si="294">+T163+T162</f>
        <v>186.39099999999999</v>
      </c>
      <c r="U164" s="568">
        <f t="shared" si="294"/>
        <v>199.86600000000001</v>
      </c>
      <c r="V164" s="588">
        <f t="shared" ref="V164:W164" si="295">+V163+V162</f>
        <v>201.88199999999998</v>
      </c>
      <c r="W164" s="568">
        <f t="shared" si="295"/>
        <v>169.30699999999999</v>
      </c>
      <c r="X164" s="568">
        <f t="shared" ref="X164:Y164" si="296">+X163+X162</f>
        <v>184.60299999999998</v>
      </c>
      <c r="Y164" s="568">
        <f t="shared" si="296"/>
        <v>199.00299999999999</v>
      </c>
      <c r="Z164" s="1036"/>
      <c r="AA164" s="583"/>
      <c r="AB164" s="583"/>
      <c r="AC164" s="583"/>
      <c r="AD164" s="583"/>
      <c r="AE164" s="583"/>
      <c r="AF164" s="583"/>
      <c r="AG164" s="583"/>
      <c r="AH164" s="583"/>
      <c r="AI164" s="568"/>
      <c r="AJ164" s="568"/>
      <c r="AK164" s="568"/>
      <c r="AL164" s="568">
        <f t="shared" ref="AL164" si="297">+AL163+AL162</f>
        <v>820.32</v>
      </c>
      <c r="AM164" s="568">
        <f>+SUM(S164:V164)</f>
        <v>765.80899999999997</v>
      </c>
      <c r="AN164" s="583"/>
      <c r="AO164" s="571"/>
    </row>
    <row r="165" spans="1:41" s="413" customFormat="1" ht="14" x14ac:dyDescent="0.4">
      <c r="A165" s="132" t="s">
        <v>383</v>
      </c>
      <c r="C165" s="613"/>
      <c r="D165" s="613"/>
      <c r="E165" s="613"/>
      <c r="F165" s="718"/>
      <c r="G165" s="613"/>
      <c r="H165" s="613"/>
      <c r="I165" s="613"/>
      <c r="J165" s="718"/>
      <c r="K165" s="613"/>
      <c r="L165" s="613">
        <f t="shared" ref="L165" si="298">+L179</f>
        <v>7.14</v>
      </c>
      <c r="M165" s="613">
        <f t="shared" ref="M165" si="299">+M179</f>
        <v>8.84</v>
      </c>
      <c r="N165" s="718">
        <f t="shared" ref="N165" si="300">+N179</f>
        <v>8.620000000000001</v>
      </c>
      <c r="O165" s="613">
        <f t="shared" ref="O165" si="301">+O179</f>
        <v>14.8</v>
      </c>
      <c r="P165" s="613">
        <f>+P179</f>
        <v>8.3000000000000007</v>
      </c>
      <c r="Q165" s="613">
        <v>8.4169999999999998</v>
      </c>
      <c r="R165" s="718">
        <f t="shared" ref="R165" si="302">+R147+R153+R159</f>
        <v>5.4489999999999998</v>
      </c>
      <c r="S165" s="613">
        <v>0</v>
      </c>
      <c r="T165" s="613">
        <v>0</v>
      </c>
      <c r="U165" s="613">
        <f t="shared" si="284"/>
        <v>0.85099999999999998</v>
      </c>
      <c r="V165" s="718">
        <f t="shared" ref="V165:W165" si="303">+V147+V153+V159</f>
        <v>2.1429999999999998</v>
      </c>
      <c r="W165" s="613">
        <f t="shared" si="303"/>
        <v>2.8090000000000002</v>
      </c>
      <c r="X165" s="613">
        <f t="shared" ref="X165:Y165" si="304">+X147+X153+X159</f>
        <v>3.3</v>
      </c>
      <c r="Y165" s="613">
        <f t="shared" si="304"/>
        <v>3.3</v>
      </c>
      <c r="Z165" s="719"/>
      <c r="AA165" s="719"/>
      <c r="AB165" s="719"/>
      <c r="AC165" s="719"/>
      <c r="AD165" s="719"/>
      <c r="AE165" s="719"/>
      <c r="AF165" s="719"/>
      <c r="AG165" s="719"/>
      <c r="AH165" s="719"/>
      <c r="AI165" s="613"/>
      <c r="AJ165" s="613"/>
      <c r="AK165" s="613"/>
      <c r="AL165" s="613">
        <f t="shared" ref="AL165" si="305">+AL147+AL153+AL159</f>
        <v>37.043999999999997</v>
      </c>
      <c r="AM165" s="613">
        <f>+SUM(S165:V165)</f>
        <v>2.9939999999999998</v>
      </c>
      <c r="AN165" s="719"/>
      <c r="AO165" s="614"/>
    </row>
    <row r="166" spans="1:41" x14ac:dyDescent="0.25">
      <c r="A166" s="425" t="s">
        <v>393</v>
      </c>
      <c r="C166" s="568"/>
      <c r="D166" s="568"/>
      <c r="E166" s="568"/>
      <c r="F166" s="588"/>
      <c r="G166" s="568"/>
      <c r="H166" s="568"/>
      <c r="I166" s="568"/>
      <c r="J166" s="588"/>
      <c r="K166" s="568"/>
      <c r="L166" s="568">
        <f t="shared" ref="L166" si="306">+L164-L165</f>
        <v>167.286</v>
      </c>
      <c r="M166" s="568">
        <f t="shared" ref="M166" si="307">+M164-M165</f>
        <v>183.62699999999998</v>
      </c>
      <c r="N166" s="588">
        <f t="shared" ref="N166" si="308">+N164-N165</f>
        <v>203.83199999999999</v>
      </c>
      <c r="O166" s="568">
        <f t="shared" ref="O166" si="309">+O164-O165</f>
        <v>176.042</v>
      </c>
      <c r="P166" s="568">
        <f t="shared" ref="P166" si="310">+P164-P165</f>
        <v>195.44099999999997</v>
      </c>
      <c r="Q166" s="568">
        <f t="shared" ref="Q166" si="311">+Q164-Q165</f>
        <v>201.02599999999998</v>
      </c>
      <c r="R166" s="588">
        <f t="shared" ref="R166" si="312">+R164-R165</f>
        <v>210.80699999999999</v>
      </c>
      <c r="S166" s="568">
        <f t="shared" ref="S166:T166" si="313">+S164-S165</f>
        <v>177.67000000000002</v>
      </c>
      <c r="T166" s="568">
        <f t="shared" si="313"/>
        <v>186.39099999999999</v>
      </c>
      <c r="U166" s="568">
        <f t="shared" ref="U166:V166" si="314">+U164-U165</f>
        <v>199.01500000000001</v>
      </c>
      <c r="V166" s="588">
        <f t="shared" si="314"/>
        <v>199.73899999999998</v>
      </c>
      <c r="W166" s="568">
        <f t="shared" ref="W166:X166" si="315">+W164-W165</f>
        <v>166.49799999999999</v>
      </c>
      <c r="X166" s="568">
        <f t="shared" si="315"/>
        <v>181.30299999999997</v>
      </c>
      <c r="Y166" s="568">
        <f t="shared" ref="Y166" si="316">+Y164-Y165</f>
        <v>195.70299999999997</v>
      </c>
      <c r="Z166" s="583"/>
      <c r="AA166" s="583"/>
      <c r="AB166" s="583"/>
      <c r="AC166" s="583"/>
      <c r="AD166" s="583"/>
      <c r="AE166" s="583"/>
      <c r="AF166" s="583"/>
      <c r="AG166" s="583"/>
      <c r="AH166" s="583"/>
      <c r="AI166" s="568"/>
      <c r="AJ166" s="568"/>
      <c r="AK166" s="568"/>
      <c r="AL166" s="568">
        <f t="shared" ref="AL166" si="317">+AL164-AL165</f>
        <v>783.27600000000007</v>
      </c>
      <c r="AM166" s="568">
        <f>+SUM(S166:V166)</f>
        <v>762.81500000000005</v>
      </c>
      <c r="AN166" s="583"/>
      <c r="AO166" s="571"/>
    </row>
    <row r="167" spans="1:41" ht="13" x14ac:dyDescent="0.3">
      <c r="C167" s="568"/>
      <c r="D167" s="568"/>
      <c r="E167" s="568"/>
      <c r="F167" s="588"/>
      <c r="G167" s="568"/>
      <c r="H167" s="568"/>
      <c r="I167" s="568"/>
      <c r="J167" s="588"/>
      <c r="K167" s="568"/>
      <c r="L167" s="597"/>
      <c r="M167" s="597"/>
      <c r="N167" s="598"/>
      <c r="O167" s="597"/>
      <c r="P167" s="597"/>
      <c r="Q167" s="720"/>
      <c r="R167" s="598"/>
      <c r="S167" s="597"/>
      <c r="T167" s="597"/>
      <c r="U167" s="597"/>
      <c r="V167" s="598"/>
      <c r="W167" s="597"/>
      <c r="X167" s="583"/>
      <c r="Y167" s="583"/>
      <c r="Z167" s="583"/>
      <c r="AA167" s="583"/>
      <c r="AB167" s="583"/>
      <c r="AC167" s="583"/>
      <c r="AD167" s="583"/>
      <c r="AE167" s="583"/>
      <c r="AF167" s="583"/>
      <c r="AG167" s="583"/>
      <c r="AH167" s="583"/>
      <c r="AI167" s="568"/>
      <c r="AJ167" s="568"/>
      <c r="AK167" s="568"/>
      <c r="AL167" s="568"/>
      <c r="AM167" s="568"/>
      <c r="AN167" s="583"/>
      <c r="AO167" s="571"/>
    </row>
    <row r="168" spans="1:41" x14ac:dyDescent="0.25">
      <c r="A168" s="132" t="s">
        <v>394</v>
      </c>
      <c r="C168" s="568"/>
      <c r="D168" s="568"/>
      <c r="E168" s="568"/>
      <c r="F168" s="588"/>
      <c r="G168" s="568"/>
      <c r="H168" s="568"/>
      <c r="I168" s="568"/>
      <c r="J168" s="588"/>
      <c r="K168" s="568"/>
      <c r="L168" s="568"/>
      <c r="M168" s="568"/>
      <c r="N168" s="588"/>
      <c r="O168" s="568"/>
      <c r="P168" s="568">
        <f t="shared" ref="P168:Y168" si="318">+P76</f>
        <v>60.833999999999996</v>
      </c>
      <c r="Q168" s="568">
        <f t="shared" si="318"/>
        <v>64.188000000000002</v>
      </c>
      <c r="R168" s="588">
        <f t="shared" si="318"/>
        <v>70.287999999999997</v>
      </c>
      <c r="S168" s="568">
        <f t="shared" si="318"/>
        <v>48.559999999999995</v>
      </c>
      <c r="T168" s="568">
        <f t="shared" si="318"/>
        <v>55.970999999999997</v>
      </c>
      <c r="U168" s="568">
        <f t="shared" si="318"/>
        <v>64.790999999999997</v>
      </c>
      <c r="V168" s="588">
        <f t="shared" si="318"/>
        <v>68.233999999999995</v>
      </c>
      <c r="W168" s="568">
        <f t="shared" si="318"/>
        <v>46.558</v>
      </c>
      <c r="X168" s="568">
        <f t="shared" si="318"/>
        <v>55.761000000000003</v>
      </c>
      <c r="Y168" s="568">
        <f t="shared" si="318"/>
        <v>64.046000000000006</v>
      </c>
      <c r="Z168" s="583"/>
      <c r="AA168" s="583"/>
      <c r="AB168" s="583"/>
      <c r="AC168" s="583"/>
      <c r="AD168" s="583"/>
      <c r="AE168" s="583"/>
      <c r="AF168" s="583"/>
      <c r="AG168" s="583"/>
      <c r="AH168" s="583"/>
      <c r="AI168" s="568"/>
      <c r="AJ168" s="568"/>
      <c r="AK168" s="568"/>
      <c r="AL168" s="568">
        <f>+AL76</f>
        <v>248.91000000000003</v>
      </c>
      <c r="AM168" s="568">
        <f>+SUM(S168:V168)</f>
        <v>237.55599999999998</v>
      </c>
      <c r="AN168" s="583"/>
      <c r="AO168" s="571"/>
    </row>
    <row r="169" spans="1:41" s="413" customFormat="1" ht="14" x14ac:dyDescent="0.4">
      <c r="A169" s="132" t="s">
        <v>381</v>
      </c>
      <c r="C169" s="613"/>
      <c r="D169" s="613"/>
      <c r="E169" s="613"/>
      <c r="F169" s="718"/>
      <c r="G169" s="613"/>
      <c r="H169" s="613"/>
      <c r="I169" s="613"/>
      <c r="J169" s="718"/>
      <c r="K169" s="613"/>
      <c r="L169" s="613"/>
      <c r="M169" s="613"/>
      <c r="N169" s="718"/>
      <c r="O169" s="613"/>
      <c r="P169" s="613">
        <v>0.73</v>
      </c>
      <c r="Q169" s="613">
        <v>1.0900000000000001</v>
      </c>
      <c r="R169" s="718">
        <v>1.2</v>
      </c>
      <c r="S169" s="613">
        <v>0.52400000000000002</v>
      </c>
      <c r="T169" s="613">
        <v>0.14499999999999999</v>
      </c>
      <c r="U169" s="613">
        <v>-6.0999999999999999E-2</v>
      </c>
      <c r="V169" s="718">
        <v>-0.11</v>
      </c>
      <c r="W169" s="613">
        <v>4.0000000000000001E-3</v>
      </c>
      <c r="X169" s="613">
        <v>5.5E-2</v>
      </c>
      <c r="Y169" s="613">
        <v>5.5E-2</v>
      </c>
      <c r="Z169" s="719"/>
      <c r="AA169" s="719"/>
      <c r="AB169" s="719"/>
      <c r="AC169" s="719"/>
      <c r="AD169" s="719"/>
      <c r="AE169" s="719"/>
      <c r="AF169" s="719"/>
      <c r="AG169" s="719"/>
      <c r="AH169" s="719"/>
      <c r="AI169" s="613"/>
      <c r="AJ169" s="613"/>
      <c r="AK169" s="613"/>
      <c r="AL169" s="613">
        <v>3.4119999999999999</v>
      </c>
      <c r="AM169" s="613">
        <f>+SUM(S169:V169)</f>
        <v>0.49800000000000011</v>
      </c>
      <c r="AN169" s="719"/>
      <c r="AO169" s="614"/>
    </row>
    <row r="170" spans="1:41" x14ac:dyDescent="0.25">
      <c r="A170" s="425" t="s">
        <v>395</v>
      </c>
      <c r="C170" s="568"/>
      <c r="D170" s="568"/>
      <c r="E170" s="568"/>
      <c r="F170" s="588"/>
      <c r="G170" s="568"/>
      <c r="H170" s="568"/>
      <c r="I170" s="568"/>
      <c r="J170" s="588"/>
      <c r="K170" s="568"/>
      <c r="L170" s="568"/>
      <c r="M170" s="568"/>
      <c r="N170" s="588"/>
      <c r="O170" s="568"/>
      <c r="P170" s="568">
        <f t="shared" ref="P170" si="319">+P169+P168</f>
        <v>61.563999999999993</v>
      </c>
      <c r="Q170" s="568">
        <f t="shared" ref="Q170:R170" si="320">+Q169+Q168</f>
        <v>65.278000000000006</v>
      </c>
      <c r="R170" s="588">
        <f t="shared" si="320"/>
        <v>71.488</v>
      </c>
      <c r="S170" s="568">
        <f>+S169+S168</f>
        <v>49.083999999999996</v>
      </c>
      <c r="T170" s="568">
        <f t="shared" ref="T170:U170" si="321">+T169+T168</f>
        <v>56.116</v>
      </c>
      <c r="U170" s="568">
        <f t="shared" si="321"/>
        <v>64.72999999999999</v>
      </c>
      <c r="V170" s="588">
        <f t="shared" ref="V170:W170" si="322">+V169+V168</f>
        <v>68.123999999999995</v>
      </c>
      <c r="W170" s="568">
        <f t="shared" si="322"/>
        <v>46.561999999999998</v>
      </c>
      <c r="X170" s="568">
        <f t="shared" ref="X170:Y170" si="323">+X169+X168</f>
        <v>55.816000000000003</v>
      </c>
      <c r="Y170" s="568">
        <f t="shared" si="323"/>
        <v>64.101000000000013</v>
      </c>
      <c r="Z170" s="583"/>
      <c r="AA170" s="583"/>
      <c r="AB170" s="583"/>
      <c r="AC170" s="583"/>
      <c r="AD170" s="583"/>
      <c r="AE170" s="583"/>
      <c r="AF170" s="583"/>
      <c r="AG170" s="583"/>
      <c r="AH170" s="583"/>
      <c r="AI170" s="568"/>
      <c r="AJ170" s="568"/>
      <c r="AK170" s="568"/>
      <c r="AL170" s="568">
        <f>+AL169+AL168</f>
        <v>252.32200000000003</v>
      </c>
      <c r="AM170" s="568">
        <f>+SUM(S170:V170)</f>
        <v>238.05399999999997</v>
      </c>
      <c r="AN170" s="583"/>
      <c r="AO170" s="571"/>
    </row>
    <row r="171" spans="1:41" ht="13" x14ac:dyDescent="0.3">
      <c r="C171" s="568"/>
      <c r="D171" s="568"/>
      <c r="E171" s="568"/>
      <c r="F171" s="588"/>
      <c r="G171" s="568"/>
      <c r="H171" s="568"/>
      <c r="I171" s="568"/>
      <c r="J171" s="588"/>
      <c r="K171" s="568"/>
      <c r="L171" s="597"/>
      <c r="M171" s="597"/>
      <c r="N171" s="598"/>
      <c r="O171" s="597"/>
      <c r="P171" s="597"/>
      <c r="Q171" s="597"/>
      <c r="R171" s="598"/>
      <c r="S171" s="597"/>
      <c r="T171" s="597"/>
      <c r="U171" s="597"/>
      <c r="V171" s="598"/>
      <c r="W171" s="597"/>
      <c r="X171" s="583"/>
      <c r="Y171" s="583"/>
      <c r="Z171" s="583"/>
      <c r="AA171" s="583"/>
      <c r="AB171" s="583"/>
      <c r="AC171" s="583"/>
      <c r="AD171" s="583"/>
      <c r="AE171" s="583"/>
      <c r="AF171" s="583"/>
      <c r="AG171" s="583"/>
      <c r="AH171" s="583"/>
      <c r="AI171" s="568"/>
      <c r="AJ171" s="568"/>
      <c r="AK171" s="568"/>
      <c r="AL171" s="568"/>
      <c r="AM171" s="568"/>
      <c r="AN171" s="583"/>
      <c r="AO171" s="571"/>
    </row>
    <row r="172" spans="1:41" ht="13" x14ac:dyDescent="0.3">
      <c r="A172" s="569" t="s">
        <v>250</v>
      </c>
      <c r="B172" s="570"/>
      <c r="C172" s="568"/>
      <c r="D172" s="568"/>
      <c r="E172" s="568"/>
      <c r="F172" s="588"/>
      <c r="G172" s="568"/>
      <c r="H172" s="568"/>
      <c r="I172" s="568"/>
      <c r="J172" s="588"/>
      <c r="K172" s="583"/>
      <c r="L172" s="583"/>
      <c r="M172" s="583"/>
      <c r="N172" s="588"/>
      <c r="O172" s="568"/>
      <c r="P172" s="568"/>
      <c r="Q172" s="568"/>
      <c r="R172" s="588"/>
      <c r="S172" s="568"/>
      <c r="T172" s="568"/>
      <c r="U172" s="568"/>
      <c r="V172" s="588"/>
      <c r="W172" s="568"/>
      <c r="X172" s="583"/>
      <c r="Y172" s="583"/>
      <c r="Z172" s="583"/>
      <c r="AA172" s="583"/>
      <c r="AB172" s="583"/>
      <c r="AC172" s="583"/>
      <c r="AD172" s="583"/>
      <c r="AE172" s="583"/>
      <c r="AF172" s="583"/>
      <c r="AG172" s="583"/>
      <c r="AH172" s="583"/>
      <c r="AI172" s="568"/>
      <c r="AJ172" s="568"/>
      <c r="AK172" s="568"/>
      <c r="AL172" s="568"/>
      <c r="AM172" s="568"/>
      <c r="AN172" s="583"/>
      <c r="AO172" s="571"/>
    </row>
    <row r="173" spans="1:41" x14ac:dyDescent="0.25">
      <c r="C173" s="568"/>
      <c r="D173" s="568"/>
      <c r="E173" s="568"/>
      <c r="F173" s="588"/>
      <c r="G173" s="568"/>
      <c r="H173" s="568"/>
      <c r="I173" s="568"/>
      <c r="J173" s="588"/>
      <c r="K173" s="583"/>
      <c r="L173" s="583"/>
      <c r="M173" s="583"/>
      <c r="N173" s="588"/>
      <c r="O173" s="568"/>
      <c r="P173" s="568"/>
      <c r="Q173" s="568"/>
      <c r="R173" s="588"/>
      <c r="S173" s="568"/>
      <c r="T173" s="568"/>
      <c r="U173" s="568"/>
      <c r="V173" s="588"/>
      <c r="W173" s="568"/>
      <c r="X173" s="583"/>
      <c r="Y173" s="583"/>
      <c r="Z173" s="583"/>
      <c r="AA173" s="583"/>
      <c r="AB173" s="583"/>
      <c r="AC173" s="583"/>
      <c r="AD173" s="583"/>
      <c r="AE173" s="583"/>
      <c r="AF173" s="583"/>
      <c r="AG173" s="583"/>
      <c r="AH173" s="583"/>
      <c r="AI173" s="568"/>
      <c r="AJ173" s="568"/>
      <c r="AK173" s="568"/>
      <c r="AL173" s="568"/>
      <c r="AM173" s="568"/>
      <c r="AN173" s="583"/>
      <c r="AO173" s="571"/>
    </row>
    <row r="174" spans="1:41" x14ac:dyDescent="0.25">
      <c r="A174" s="132" t="s">
        <v>251</v>
      </c>
      <c r="C174" s="611"/>
      <c r="D174" s="611"/>
      <c r="E174" s="611"/>
      <c r="F174" s="616"/>
      <c r="G174" s="611">
        <f>+JPM!P167</f>
        <v>0</v>
      </c>
      <c r="H174" s="611">
        <f>+JPM!Q167</f>
        <v>0</v>
      </c>
      <c r="I174" s="611">
        <f>+JPM!R167</f>
        <v>0</v>
      </c>
      <c r="J174" s="616">
        <f>+JPM!S167</f>
        <v>0</v>
      </c>
      <c r="K174" s="611">
        <f>+JPM!T167</f>
        <v>0</v>
      </c>
      <c r="L174" s="611">
        <f>+L179</f>
        <v>7.14</v>
      </c>
      <c r="M174" s="611">
        <f>+M179</f>
        <v>8.84</v>
      </c>
      <c r="N174" s="616">
        <f>+AVERAGE(L174:M174)</f>
        <v>7.99</v>
      </c>
      <c r="O174" s="611">
        <v>8</v>
      </c>
      <c r="P174" s="611">
        <f>+JPM!AA167</f>
        <v>0</v>
      </c>
      <c r="Q174" s="611">
        <f>+JPM!AB167</f>
        <v>0</v>
      </c>
      <c r="R174" s="616">
        <f>+JPM!AC167</f>
        <v>0</v>
      </c>
      <c r="S174" s="611">
        <v>0</v>
      </c>
      <c r="T174" s="611">
        <v>0</v>
      </c>
      <c r="U174" s="611">
        <v>0</v>
      </c>
      <c r="V174" s="616">
        <v>0</v>
      </c>
      <c r="W174" s="611">
        <v>0</v>
      </c>
      <c r="X174" s="611">
        <v>0</v>
      </c>
      <c r="Y174" s="611">
        <v>0</v>
      </c>
      <c r="Z174" s="611"/>
      <c r="AA174" s="611"/>
      <c r="AB174" s="611"/>
      <c r="AC174" s="611"/>
      <c r="AD174" s="611"/>
      <c r="AE174" s="611"/>
      <c r="AF174" s="611"/>
      <c r="AG174" s="611"/>
      <c r="AH174" s="611"/>
      <c r="AI174" s="611"/>
      <c r="AJ174" s="611">
        <f>+SUM(G174:J174)</f>
        <v>0</v>
      </c>
      <c r="AK174" s="611">
        <f>+SUM(K174:N174)</f>
        <v>23.97</v>
      </c>
      <c r="AL174" s="611">
        <f>+SUM(O174:R174)</f>
        <v>8</v>
      </c>
      <c r="AM174" s="611">
        <f t="shared" ref="AM174:AM179" si="324">+SUM(S174:V174)</f>
        <v>0</v>
      </c>
      <c r="AN174" s="583"/>
      <c r="AO174" s="571"/>
    </row>
    <row r="175" spans="1:41" x14ac:dyDescent="0.25">
      <c r="A175" s="132" t="s">
        <v>252</v>
      </c>
      <c r="C175" s="611"/>
      <c r="D175" s="611"/>
      <c r="E175" s="611"/>
      <c r="F175" s="616"/>
      <c r="G175" s="611">
        <f>+JPM!P168</f>
        <v>0</v>
      </c>
      <c r="H175" s="611">
        <f>+JPM!Q168</f>
        <v>0</v>
      </c>
      <c r="I175" s="611">
        <f>+JPM!R168</f>
        <v>0</v>
      </c>
      <c r="J175" s="616">
        <f>+JPM!S168</f>
        <v>0</v>
      </c>
      <c r="K175" s="611">
        <f>+JPM!T168</f>
        <v>0</v>
      </c>
      <c r="L175" s="611">
        <f>+JPM!U168</f>
        <v>0</v>
      </c>
      <c r="M175" s="611">
        <f>+JPM!V168</f>
        <v>0</v>
      </c>
      <c r="N175" s="616">
        <f>+(N179-N174)/2</f>
        <v>0.31500000000000039</v>
      </c>
      <c r="O175" s="611">
        <v>4.5</v>
      </c>
      <c r="P175" s="611">
        <f>+P179-P176-P177</f>
        <v>6.0500000000000007</v>
      </c>
      <c r="Q175" s="611">
        <f t="shared" ref="Q175:R175" si="325">+Q179-Q176-Q177</f>
        <v>6.4</v>
      </c>
      <c r="R175" s="616">
        <f t="shared" si="325"/>
        <v>4.0489999999999995</v>
      </c>
      <c r="S175" s="611">
        <v>0</v>
      </c>
      <c r="T175" s="611">
        <v>0</v>
      </c>
      <c r="U175" s="611">
        <v>0</v>
      </c>
      <c r="V175" s="616">
        <v>0</v>
      </c>
      <c r="W175" s="611">
        <v>0</v>
      </c>
      <c r="X175" s="611">
        <v>0</v>
      </c>
      <c r="Y175" s="611">
        <v>0</v>
      </c>
      <c r="Z175" s="611"/>
      <c r="AA175" s="611"/>
      <c r="AB175" s="611"/>
      <c r="AC175" s="611"/>
      <c r="AD175" s="611"/>
      <c r="AE175" s="611"/>
      <c r="AF175" s="611"/>
      <c r="AG175" s="611"/>
      <c r="AH175" s="611"/>
      <c r="AI175" s="611"/>
      <c r="AJ175" s="611">
        <f t="shared" ref="AJ175:AJ179" si="326">+SUM(G175:J175)</f>
        <v>0</v>
      </c>
      <c r="AK175" s="611">
        <f t="shared" ref="AK175:AK179" si="327">+SUM(K175:N175)</f>
        <v>0.31500000000000039</v>
      </c>
      <c r="AL175" s="611">
        <f>+SUM(O175:R175)</f>
        <v>20.999000000000002</v>
      </c>
      <c r="AM175" s="611">
        <f t="shared" si="324"/>
        <v>0</v>
      </c>
      <c r="AN175" s="583"/>
      <c r="AO175" s="571"/>
    </row>
    <row r="176" spans="1:41" x14ac:dyDescent="0.25">
      <c r="A176" s="132" t="s">
        <v>253</v>
      </c>
      <c r="C176" s="611"/>
      <c r="D176" s="611"/>
      <c r="E176" s="611"/>
      <c r="F176" s="616"/>
      <c r="G176" s="611">
        <f>+JPM!P169</f>
        <v>0</v>
      </c>
      <c r="H176" s="611">
        <f>+JPM!Q169</f>
        <v>0</v>
      </c>
      <c r="I176" s="611">
        <f>+JPM!R169</f>
        <v>0</v>
      </c>
      <c r="J176" s="616">
        <f>+JPM!S169</f>
        <v>0</v>
      </c>
      <c r="K176" s="611">
        <f>+JPM!T169</f>
        <v>0</v>
      </c>
      <c r="L176" s="611">
        <f>+JPM!U169</f>
        <v>0</v>
      </c>
      <c r="M176" s="611">
        <f>+JPM!V169</f>
        <v>0</v>
      </c>
      <c r="N176" s="616">
        <f>+N175</f>
        <v>0.31500000000000039</v>
      </c>
      <c r="O176" s="611">
        <f>+O179-O174-O175-O177</f>
        <v>1.0500000000000007</v>
      </c>
      <c r="P176" s="611">
        <v>1</v>
      </c>
      <c r="Q176" s="611">
        <v>1</v>
      </c>
      <c r="R176" s="616">
        <v>0.4</v>
      </c>
      <c r="S176" s="611">
        <v>0</v>
      </c>
      <c r="T176" s="611">
        <v>0</v>
      </c>
      <c r="U176" s="611">
        <v>0</v>
      </c>
      <c r="V176" s="616">
        <v>0</v>
      </c>
      <c r="W176" s="611">
        <v>0</v>
      </c>
      <c r="X176" s="611">
        <v>0</v>
      </c>
      <c r="Y176" s="611">
        <v>0</v>
      </c>
      <c r="Z176" s="611"/>
      <c r="AA176" s="611"/>
      <c r="AB176" s="611"/>
      <c r="AC176" s="611"/>
      <c r="AD176" s="611"/>
      <c r="AE176" s="611"/>
      <c r="AF176" s="611"/>
      <c r="AG176" s="611"/>
      <c r="AH176" s="611"/>
      <c r="AI176" s="611"/>
      <c r="AJ176" s="611">
        <f t="shared" si="326"/>
        <v>0</v>
      </c>
      <c r="AK176" s="611">
        <f t="shared" si="327"/>
        <v>0.31500000000000039</v>
      </c>
      <c r="AL176" s="611">
        <f>+SUM(O176:R176)</f>
        <v>3.4500000000000006</v>
      </c>
      <c r="AM176" s="611">
        <f t="shared" si="324"/>
        <v>0</v>
      </c>
      <c r="AN176" s="583"/>
      <c r="AO176" s="571"/>
    </row>
    <row r="177" spans="1:46" x14ac:dyDescent="0.25">
      <c r="A177" s="132" t="s">
        <v>254</v>
      </c>
      <c r="C177" s="611"/>
      <c r="D177" s="611"/>
      <c r="E177" s="611"/>
      <c r="F177" s="616"/>
      <c r="G177" s="611">
        <f>+JPM!P170</f>
        <v>0</v>
      </c>
      <c r="H177" s="611">
        <f>+JPM!Q170</f>
        <v>0</v>
      </c>
      <c r="I177" s="611">
        <f>+JPM!R170</f>
        <v>0</v>
      </c>
      <c r="J177" s="616">
        <f>+JPM!S170</f>
        <v>0</v>
      </c>
      <c r="K177" s="611">
        <f>+JPM!T170</f>
        <v>0</v>
      </c>
      <c r="L177" s="611">
        <f>+JPM!U170</f>
        <v>0</v>
      </c>
      <c r="M177" s="611">
        <f>+JPM!V170</f>
        <v>0</v>
      </c>
      <c r="N177" s="616">
        <f>+JPM!W170</f>
        <v>0</v>
      </c>
      <c r="O177" s="611">
        <f>+JPM!Z170</f>
        <v>1.25</v>
      </c>
      <c r="P177" s="611">
        <f>+O177</f>
        <v>1.25</v>
      </c>
      <c r="Q177" s="611">
        <v>1</v>
      </c>
      <c r="R177" s="616">
        <v>1</v>
      </c>
      <c r="S177" s="611">
        <v>0</v>
      </c>
      <c r="T177" s="611">
        <v>0</v>
      </c>
      <c r="U177" s="611">
        <v>0</v>
      </c>
      <c r="V177" s="616">
        <v>0</v>
      </c>
      <c r="W177" s="611">
        <v>0</v>
      </c>
      <c r="X177" s="611">
        <v>0</v>
      </c>
      <c r="Y177" s="611">
        <v>0</v>
      </c>
      <c r="Z177" s="611"/>
      <c r="AA177" s="611"/>
      <c r="AB177" s="611"/>
      <c r="AC177" s="611"/>
      <c r="AD177" s="611"/>
      <c r="AE177" s="611"/>
      <c r="AF177" s="611"/>
      <c r="AG177" s="611"/>
      <c r="AH177" s="611"/>
      <c r="AI177" s="611"/>
      <c r="AJ177" s="611">
        <f t="shared" si="326"/>
        <v>0</v>
      </c>
      <c r="AK177" s="611">
        <f t="shared" si="327"/>
        <v>0</v>
      </c>
      <c r="AL177" s="611">
        <f>+SUM(O177:R177)</f>
        <v>4.5</v>
      </c>
      <c r="AM177" s="611">
        <f t="shared" si="324"/>
        <v>0</v>
      </c>
      <c r="AN177" s="583"/>
      <c r="AO177" s="571"/>
    </row>
    <row r="178" spans="1:46" s="413" customFormat="1" ht="14" x14ac:dyDescent="0.4">
      <c r="A178" s="132" t="s">
        <v>255</v>
      </c>
      <c r="C178" s="612"/>
      <c r="D178" s="612"/>
      <c r="E178" s="612"/>
      <c r="F178" s="617"/>
      <c r="G178" s="612">
        <v>0</v>
      </c>
      <c r="H178" s="612">
        <v>0</v>
      </c>
      <c r="I178" s="612">
        <v>0</v>
      </c>
      <c r="J178" s="617">
        <v>0</v>
      </c>
      <c r="K178" s="612">
        <v>0</v>
      </c>
      <c r="L178" s="612">
        <v>0</v>
      </c>
      <c r="M178" s="612">
        <v>0</v>
      </c>
      <c r="N178" s="617">
        <v>0</v>
      </c>
      <c r="O178" s="612">
        <v>0</v>
      </c>
      <c r="P178" s="612">
        <v>0</v>
      </c>
      <c r="Q178" s="612">
        <v>0</v>
      </c>
      <c r="R178" s="617">
        <v>0</v>
      </c>
      <c r="S178" s="612">
        <v>0</v>
      </c>
      <c r="T178" s="612">
        <v>0</v>
      </c>
      <c r="U178" s="612">
        <v>0.85099999999999998</v>
      </c>
      <c r="V178" s="617">
        <f>+V147</f>
        <v>2.1429999999999998</v>
      </c>
      <c r="W178" s="612">
        <f t="shared" ref="W178:X178" si="328">+W147</f>
        <v>2.8090000000000002</v>
      </c>
      <c r="X178" s="612">
        <f t="shared" si="328"/>
        <v>3.3</v>
      </c>
      <c r="Y178" s="612">
        <f t="shared" ref="Y178" si="329">+Y147</f>
        <v>3.3</v>
      </c>
      <c r="Z178" s="612"/>
      <c r="AA178" s="612"/>
      <c r="AB178" s="612"/>
      <c r="AC178" s="612"/>
      <c r="AD178" s="612"/>
      <c r="AE178" s="612"/>
      <c r="AF178" s="612"/>
      <c r="AG178" s="612"/>
      <c r="AH178" s="612"/>
      <c r="AI178" s="612"/>
      <c r="AJ178" s="612">
        <f t="shared" si="326"/>
        <v>0</v>
      </c>
      <c r="AK178" s="612">
        <f t="shared" si="327"/>
        <v>0</v>
      </c>
      <c r="AL178" s="612">
        <v>0</v>
      </c>
      <c r="AM178" s="612">
        <f t="shared" si="324"/>
        <v>2.9939999999999998</v>
      </c>
      <c r="AN178" s="719"/>
      <c r="AO178" s="614"/>
    </row>
    <row r="179" spans="1:46" x14ac:dyDescent="0.25">
      <c r="A179" s="425" t="s">
        <v>256</v>
      </c>
      <c r="C179" s="611"/>
      <c r="D179" s="611"/>
      <c r="E179" s="611"/>
      <c r="F179" s="616"/>
      <c r="G179" s="611">
        <f t="shared" ref="G179:J179" si="330">SUM(G174:G177)</f>
        <v>0</v>
      </c>
      <c r="H179" s="611">
        <f t="shared" si="330"/>
        <v>0</v>
      </c>
      <c r="I179" s="611">
        <f t="shared" si="330"/>
        <v>0</v>
      </c>
      <c r="J179" s="616">
        <f t="shared" si="330"/>
        <v>0</v>
      </c>
      <c r="K179" s="611">
        <f>SUM(K174:K177)</f>
        <v>0</v>
      </c>
      <c r="L179" s="611">
        <v>7.14</v>
      </c>
      <c r="M179" s="611">
        <f>+Daloopa!M58</f>
        <v>8.84</v>
      </c>
      <c r="N179" s="616">
        <f>+Daloopa!T57-'FA - Detailed Disclosure'!M179-'FA - Detailed Disclosure'!L179</f>
        <v>8.620000000000001</v>
      </c>
      <c r="O179" s="611">
        <f>+Daloopa!O55</f>
        <v>14.8</v>
      </c>
      <c r="P179" s="611">
        <f>+Daloopa!P55</f>
        <v>8.3000000000000007</v>
      </c>
      <c r="Q179" s="611">
        <f>+Q127</f>
        <v>8.4</v>
      </c>
      <c r="R179" s="616">
        <f>+R127</f>
        <v>5.4489999999999998</v>
      </c>
      <c r="S179" s="611">
        <f>+SUM(S174:S177)</f>
        <v>0</v>
      </c>
      <c r="T179" s="611">
        <f>+SUM(T174:T177)</f>
        <v>0</v>
      </c>
      <c r="U179" s="611">
        <f>+SUM(U174:U178)</f>
        <v>0.85099999999999998</v>
      </c>
      <c r="V179" s="616">
        <f>+SUM(V174:V178)</f>
        <v>2.1429999999999998</v>
      </c>
      <c r="W179" s="611">
        <f t="shared" ref="W179:X179" si="331">+SUM(W174:W178)</f>
        <v>2.8090000000000002</v>
      </c>
      <c r="X179" s="611">
        <f t="shared" si="331"/>
        <v>3.3</v>
      </c>
      <c r="Y179" s="611">
        <f t="shared" ref="Y179" si="332">+SUM(Y174:Y178)</f>
        <v>3.3</v>
      </c>
      <c r="Z179" s="611"/>
      <c r="AA179" s="611"/>
      <c r="AB179" s="611"/>
      <c r="AC179" s="611"/>
      <c r="AD179" s="611"/>
      <c r="AE179" s="611"/>
      <c r="AF179" s="611"/>
      <c r="AG179" s="611"/>
      <c r="AH179" s="611"/>
      <c r="AI179" s="611"/>
      <c r="AJ179" s="611">
        <f t="shared" si="326"/>
        <v>0</v>
      </c>
      <c r="AK179" s="611">
        <f t="shared" si="327"/>
        <v>24.6</v>
      </c>
      <c r="AL179" s="611">
        <f>+SUM(O179:R179)</f>
        <v>36.948999999999998</v>
      </c>
      <c r="AM179" s="611">
        <f t="shared" si="324"/>
        <v>2.9939999999999998</v>
      </c>
      <c r="AN179" s="583"/>
      <c r="AO179" s="571"/>
    </row>
    <row r="180" spans="1:46" x14ac:dyDescent="0.25">
      <c r="C180" s="568"/>
      <c r="D180" s="568"/>
      <c r="E180" s="568"/>
      <c r="F180" s="588"/>
      <c r="G180" s="568"/>
      <c r="H180" s="568"/>
      <c r="I180" s="568"/>
      <c r="J180" s="588"/>
      <c r="K180" s="583"/>
      <c r="L180" s="610"/>
      <c r="M180" s="583"/>
      <c r="N180" s="588"/>
      <c r="O180" s="568"/>
      <c r="P180" s="568"/>
      <c r="Q180" s="568"/>
      <c r="R180" s="588"/>
      <c r="S180" s="568"/>
      <c r="T180" s="568"/>
      <c r="U180" s="568"/>
      <c r="V180" s="588"/>
      <c r="W180" s="568"/>
      <c r="X180" s="583"/>
      <c r="Y180" s="583"/>
      <c r="Z180" s="583"/>
      <c r="AA180" s="583"/>
      <c r="AB180" s="583"/>
      <c r="AC180" s="583"/>
      <c r="AD180" s="583"/>
      <c r="AE180" s="583"/>
      <c r="AF180" s="583"/>
      <c r="AG180" s="583"/>
      <c r="AH180" s="583"/>
      <c r="AI180" s="568"/>
      <c r="AJ180" s="568"/>
      <c r="AK180" s="568"/>
      <c r="AL180" s="568"/>
      <c r="AM180" s="568"/>
      <c r="AN180" s="583"/>
      <c r="AO180" s="571"/>
    </row>
    <row r="181" spans="1:46" ht="13" x14ac:dyDescent="0.3">
      <c r="A181" s="569" t="s">
        <v>396</v>
      </c>
      <c r="B181" s="570"/>
      <c r="C181" s="566"/>
      <c r="D181" s="566"/>
      <c r="E181" s="566"/>
      <c r="F181" s="581"/>
      <c r="G181" s="566"/>
      <c r="H181" s="566"/>
      <c r="I181" s="566"/>
      <c r="J181" s="581"/>
      <c r="K181" s="566"/>
      <c r="L181" s="566"/>
      <c r="M181" s="566"/>
      <c r="N181" s="581"/>
      <c r="O181" s="566"/>
      <c r="P181" s="566"/>
      <c r="Q181" s="566"/>
      <c r="R181" s="581"/>
      <c r="S181" s="566"/>
      <c r="T181" s="566"/>
      <c r="U181" s="566"/>
      <c r="V181" s="581"/>
      <c r="W181" s="566"/>
      <c r="X181" s="566"/>
      <c r="Y181" s="566"/>
      <c r="Z181" s="566"/>
      <c r="AA181" s="566"/>
      <c r="AB181" s="566"/>
      <c r="AC181" s="566"/>
      <c r="AD181" s="566"/>
      <c r="AE181" s="566"/>
      <c r="AF181" s="566"/>
      <c r="AG181" s="566"/>
      <c r="AH181" s="566"/>
      <c r="AI181" s="566"/>
      <c r="AJ181" s="566"/>
      <c r="AK181" s="566"/>
      <c r="AL181" s="566"/>
      <c r="AM181" s="566"/>
      <c r="AN181" s="566"/>
    </row>
    <row r="182" spans="1:46" ht="13" x14ac:dyDescent="0.3">
      <c r="A182" s="163"/>
      <c r="B182" s="163"/>
      <c r="C182" s="566"/>
      <c r="D182" s="566"/>
      <c r="E182" s="566"/>
      <c r="F182" s="581"/>
      <c r="G182" s="566"/>
      <c r="H182" s="566"/>
      <c r="I182" s="566"/>
      <c r="J182" s="581"/>
      <c r="K182" s="566"/>
      <c r="L182" s="566"/>
      <c r="M182" s="566"/>
      <c r="N182" s="581"/>
      <c r="O182" s="566"/>
      <c r="P182" s="566"/>
      <c r="Q182" s="566"/>
      <c r="R182" s="581"/>
      <c r="S182" s="566"/>
      <c r="T182" s="566"/>
      <c r="U182" s="566"/>
      <c r="V182" s="581"/>
      <c r="W182" s="566"/>
      <c r="X182" s="566"/>
      <c r="Y182" s="566"/>
      <c r="Z182" s="566"/>
      <c r="AA182" s="566"/>
      <c r="AB182" s="566"/>
      <c r="AC182" s="566"/>
      <c r="AD182" s="566"/>
      <c r="AE182" s="566"/>
      <c r="AF182" s="566"/>
      <c r="AG182" s="566"/>
      <c r="AH182" s="566"/>
      <c r="AI182" s="566"/>
      <c r="AJ182" s="566"/>
      <c r="AK182" s="566"/>
      <c r="AL182" s="566"/>
      <c r="AM182" s="566"/>
      <c r="AN182" s="566"/>
    </row>
    <row r="183" spans="1:46" ht="13" x14ac:dyDescent="0.3">
      <c r="A183" s="374" t="s">
        <v>397</v>
      </c>
      <c r="C183" s="566"/>
      <c r="D183" s="566"/>
      <c r="E183" s="566"/>
      <c r="F183" s="581"/>
      <c r="G183" s="566"/>
      <c r="H183" s="566"/>
      <c r="I183" s="566"/>
      <c r="J183" s="581"/>
      <c r="K183" s="566"/>
      <c r="L183" s="566"/>
      <c r="M183" s="566"/>
      <c r="N183" s="581"/>
      <c r="O183" s="566"/>
      <c r="P183" s="566"/>
      <c r="Q183" s="566"/>
      <c r="R183" s="581"/>
      <c r="S183" s="566"/>
      <c r="T183" s="566"/>
      <c r="U183" s="566"/>
      <c r="V183" s="581"/>
      <c r="W183" s="566"/>
      <c r="X183" s="566"/>
      <c r="Y183" s="566"/>
      <c r="Z183" s="566"/>
      <c r="AA183" s="566"/>
      <c r="AB183" s="566"/>
      <c r="AC183" s="566"/>
      <c r="AD183" s="566"/>
      <c r="AE183" s="566"/>
      <c r="AF183" s="566"/>
      <c r="AG183" s="566"/>
      <c r="AH183" s="566"/>
      <c r="AI183" s="566"/>
      <c r="AJ183" s="566"/>
      <c r="AK183" s="566"/>
      <c r="AL183" s="566"/>
      <c r="AM183" s="566"/>
      <c r="AN183" s="566"/>
    </row>
    <row r="184" spans="1:46" x14ac:dyDescent="0.25">
      <c r="A184" s="132" t="s">
        <v>398</v>
      </c>
      <c r="C184" s="566"/>
      <c r="D184" s="566"/>
      <c r="E184" s="566"/>
      <c r="F184" s="581"/>
      <c r="G184" s="566"/>
      <c r="H184" s="566"/>
      <c r="I184" s="566"/>
      <c r="J184" s="581"/>
      <c r="K184" s="566"/>
      <c r="L184" s="566"/>
      <c r="M184" s="566">
        <v>5</v>
      </c>
      <c r="N184" s="581"/>
      <c r="O184" s="566"/>
      <c r="P184" s="566"/>
      <c r="Q184" s="566"/>
      <c r="R184" s="581"/>
      <c r="S184" s="566"/>
      <c r="T184" s="566"/>
      <c r="U184" s="566"/>
      <c r="V184" s="581"/>
      <c r="W184" s="566"/>
      <c r="X184" s="566"/>
      <c r="Y184" s="566"/>
      <c r="Z184" s="566"/>
      <c r="AA184" s="566"/>
      <c r="AB184" s="566"/>
      <c r="AC184" s="566"/>
      <c r="AD184" s="566"/>
      <c r="AE184" s="566"/>
      <c r="AF184" s="566"/>
      <c r="AG184" s="566"/>
      <c r="AH184" s="566"/>
      <c r="AI184" s="566"/>
      <c r="AJ184" s="566"/>
      <c r="AK184" s="566"/>
      <c r="AL184" s="566"/>
      <c r="AM184" s="566"/>
      <c r="AN184" s="566"/>
    </row>
    <row r="185" spans="1:46" x14ac:dyDescent="0.25">
      <c r="A185" s="132" t="s">
        <v>399</v>
      </c>
      <c r="C185" s="566"/>
      <c r="D185" s="566"/>
      <c r="E185" s="566"/>
      <c r="F185" s="581"/>
      <c r="G185" s="566"/>
      <c r="H185" s="566"/>
      <c r="I185" s="566"/>
      <c r="J185" s="581"/>
      <c r="K185" s="566"/>
      <c r="L185" s="567">
        <v>0.55000000000000004</v>
      </c>
      <c r="M185" s="567">
        <v>0.55000000000000004</v>
      </c>
      <c r="N185" s="582" t="s">
        <v>400</v>
      </c>
      <c r="O185" s="567" t="s">
        <v>400</v>
      </c>
      <c r="P185" s="567" t="s">
        <v>400</v>
      </c>
      <c r="Q185" s="567" t="s">
        <v>400</v>
      </c>
      <c r="R185" s="582" t="s">
        <v>400</v>
      </c>
      <c r="S185" s="567" t="s">
        <v>400</v>
      </c>
      <c r="T185" s="567" t="s">
        <v>400</v>
      </c>
      <c r="U185" s="567" t="s">
        <v>400</v>
      </c>
      <c r="V185" s="582" t="s">
        <v>126</v>
      </c>
      <c r="W185" s="567" t="s">
        <v>126</v>
      </c>
      <c r="X185" s="567" t="s">
        <v>126</v>
      </c>
      <c r="Y185" s="567" t="s">
        <v>126</v>
      </c>
      <c r="Z185" s="567"/>
      <c r="AA185" s="566"/>
      <c r="AB185" s="566"/>
      <c r="AC185" s="566"/>
      <c r="AD185" s="566"/>
      <c r="AE185" s="566"/>
      <c r="AF185" s="566"/>
      <c r="AG185" s="566"/>
      <c r="AH185" s="566"/>
      <c r="AI185" s="566"/>
      <c r="AJ185" s="566"/>
      <c r="AK185" s="566"/>
      <c r="AL185" s="567" t="str">
        <f>+R185</f>
        <v>&gt;50%</v>
      </c>
      <c r="AM185" s="567" t="s">
        <v>126</v>
      </c>
      <c r="AN185" s="566"/>
    </row>
    <row r="186" spans="1:46" x14ac:dyDescent="0.25">
      <c r="A186" s="132" t="s">
        <v>401</v>
      </c>
      <c r="C186" s="566"/>
      <c r="D186" s="566"/>
      <c r="E186" s="566"/>
      <c r="F186" s="581"/>
      <c r="G186" s="566"/>
      <c r="H186" s="566"/>
      <c r="I186" s="566"/>
      <c r="J186" s="581"/>
      <c r="K186" s="566"/>
      <c r="L186" s="567">
        <f>165/500</f>
        <v>0.33</v>
      </c>
      <c r="M186" s="567">
        <f>165/500</f>
        <v>0.33</v>
      </c>
      <c r="N186" s="581"/>
      <c r="O186" s="566" t="s">
        <v>402</v>
      </c>
      <c r="P186" s="566" t="s">
        <v>402</v>
      </c>
      <c r="Q186" s="566" t="s">
        <v>402</v>
      </c>
      <c r="R186" s="581" t="s">
        <v>403</v>
      </c>
      <c r="S186" s="566" t="s">
        <v>403</v>
      </c>
      <c r="T186" s="566" t="s">
        <v>403</v>
      </c>
      <c r="U186" s="566" t="s">
        <v>403</v>
      </c>
      <c r="V186" s="582" t="s">
        <v>126</v>
      </c>
      <c r="W186" s="567" t="s">
        <v>126</v>
      </c>
      <c r="X186" s="567" t="s">
        <v>126</v>
      </c>
      <c r="Y186" s="567" t="s">
        <v>126</v>
      </c>
      <c r="Z186" s="566"/>
      <c r="AA186" s="566"/>
      <c r="AB186" s="566"/>
      <c r="AC186" s="566"/>
      <c r="AD186" s="566"/>
      <c r="AE186" s="566"/>
      <c r="AF186" s="566"/>
      <c r="AG186" s="566"/>
      <c r="AH186" s="566"/>
      <c r="AI186" s="566"/>
      <c r="AJ186" s="566"/>
      <c r="AK186" s="566"/>
      <c r="AL186" s="567" t="str">
        <f>+R186</f>
        <v>~33%</v>
      </c>
      <c r="AM186" s="567" t="s">
        <v>126</v>
      </c>
      <c r="AN186" s="566"/>
    </row>
    <row r="187" spans="1:46" x14ac:dyDescent="0.25">
      <c r="A187" s="132" t="s">
        <v>404</v>
      </c>
      <c r="C187" s="566"/>
      <c r="D187" s="566"/>
      <c r="E187" s="566"/>
      <c r="F187" s="581"/>
      <c r="G187" s="566"/>
      <c r="H187" s="566"/>
      <c r="I187" s="566"/>
      <c r="J187" s="581"/>
      <c r="K187" s="566"/>
      <c r="L187" s="566">
        <v>12</v>
      </c>
      <c r="M187" s="566">
        <v>12</v>
      </c>
      <c r="N187" s="581">
        <v>12</v>
      </c>
      <c r="O187" s="566">
        <v>12</v>
      </c>
      <c r="P187" s="566">
        <v>12</v>
      </c>
      <c r="Q187" s="566">
        <v>12</v>
      </c>
      <c r="R187" s="581">
        <v>13</v>
      </c>
      <c r="S187" s="566">
        <v>13</v>
      </c>
      <c r="T187" s="566">
        <v>13</v>
      </c>
      <c r="U187" s="566">
        <v>13</v>
      </c>
      <c r="V187" s="581">
        <v>12</v>
      </c>
      <c r="W187" s="566">
        <v>12</v>
      </c>
      <c r="X187" s="566">
        <v>12</v>
      </c>
      <c r="Y187" s="567" t="s">
        <v>126</v>
      </c>
      <c r="Z187" s="566"/>
      <c r="AA187" s="566"/>
      <c r="AB187" s="566"/>
      <c r="AC187" s="566"/>
      <c r="AD187" s="566"/>
      <c r="AE187" s="566"/>
      <c r="AF187" s="566"/>
      <c r="AG187" s="566"/>
      <c r="AH187" s="566"/>
      <c r="AI187" s="566"/>
      <c r="AJ187" s="566"/>
      <c r="AK187" s="566"/>
      <c r="AL187" s="566">
        <f>+R187</f>
        <v>13</v>
      </c>
      <c r="AM187" s="566">
        <v>12</v>
      </c>
      <c r="AN187" s="566"/>
    </row>
    <row r="188" spans="1:46" x14ac:dyDescent="0.25">
      <c r="A188" s="132" t="s">
        <v>405</v>
      </c>
      <c r="C188" s="566"/>
      <c r="D188" s="566"/>
      <c r="E188" s="566"/>
      <c r="F188" s="581"/>
      <c r="G188" s="566"/>
      <c r="H188" s="566"/>
      <c r="I188" s="566"/>
      <c r="J188" s="581"/>
      <c r="K188" s="566"/>
      <c r="L188" s="567">
        <v>0.95</v>
      </c>
      <c r="M188" s="567">
        <v>0.95</v>
      </c>
      <c r="N188" s="582">
        <v>0.96</v>
      </c>
      <c r="O188" s="567">
        <v>0.96</v>
      </c>
      <c r="P188" s="567">
        <v>0.96</v>
      </c>
      <c r="Q188" s="567">
        <v>0.96</v>
      </c>
      <c r="R188" s="582">
        <v>0.97</v>
      </c>
      <c r="S188" s="567">
        <v>0.97</v>
      </c>
      <c r="T188" s="567">
        <v>0.97</v>
      </c>
      <c r="U188" s="567">
        <v>0.97</v>
      </c>
      <c r="V188" s="582">
        <v>0.97</v>
      </c>
      <c r="W188" s="567">
        <v>0.97</v>
      </c>
      <c r="X188" s="567">
        <v>0.97</v>
      </c>
      <c r="Y188" s="567" t="s">
        <v>406</v>
      </c>
      <c r="Z188" s="566"/>
      <c r="AA188" s="566"/>
      <c r="AB188" s="566"/>
      <c r="AC188" s="566"/>
      <c r="AD188" s="566"/>
      <c r="AE188" s="566"/>
      <c r="AF188" s="566"/>
      <c r="AG188" s="566"/>
      <c r="AH188" s="566"/>
      <c r="AI188" s="566"/>
      <c r="AJ188" s="566"/>
      <c r="AK188" s="566"/>
      <c r="AL188" s="567">
        <f>+R188</f>
        <v>0.97</v>
      </c>
      <c r="AM188" s="567">
        <f>+V188</f>
        <v>0.97</v>
      </c>
      <c r="AN188" s="566"/>
    </row>
    <row r="189" spans="1:46" x14ac:dyDescent="0.25">
      <c r="A189" s="132" t="s">
        <v>407</v>
      </c>
      <c r="C189" s="566"/>
      <c r="D189" s="566"/>
      <c r="E189" s="566"/>
      <c r="F189" s="581"/>
      <c r="G189" s="566"/>
      <c r="H189" s="566"/>
      <c r="I189" s="566"/>
      <c r="J189" s="581">
        <f>+AJ189</f>
        <v>141</v>
      </c>
      <c r="K189" s="566"/>
      <c r="L189" s="566"/>
      <c r="M189" s="567"/>
      <c r="N189" s="581">
        <f>+AK189</f>
        <v>189</v>
      </c>
      <c r="O189" s="566"/>
      <c r="P189" s="566">
        <f>+Q189-11</f>
        <v>217</v>
      </c>
      <c r="Q189" s="566">
        <f>+R189-7</f>
        <v>228</v>
      </c>
      <c r="R189" s="581">
        <v>235</v>
      </c>
      <c r="S189" s="566">
        <f>+R189+7</f>
        <v>242</v>
      </c>
      <c r="T189" s="566">
        <f>+S189+7</f>
        <v>249</v>
      </c>
      <c r="U189" s="566">
        <f>+T189+8</f>
        <v>257</v>
      </c>
      <c r="V189" s="581" t="s">
        <v>126</v>
      </c>
      <c r="W189" s="566" t="s">
        <v>126</v>
      </c>
      <c r="X189" s="566" t="s">
        <v>126</v>
      </c>
      <c r="Y189" s="567" t="s">
        <v>126</v>
      </c>
      <c r="Z189" s="566"/>
      <c r="AA189" s="566"/>
      <c r="AB189" s="566"/>
      <c r="AC189" s="566"/>
      <c r="AD189" s="566"/>
      <c r="AE189" s="566"/>
      <c r="AF189" s="566"/>
      <c r="AG189" s="566"/>
      <c r="AH189" s="566"/>
      <c r="AI189" s="566"/>
      <c r="AJ189" s="566">
        <v>141</v>
      </c>
      <c r="AK189" s="566">
        <v>189</v>
      </c>
      <c r="AL189" s="566">
        <v>235</v>
      </c>
      <c r="AM189" s="566" t="s">
        <v>126</v>
      </c>
      <c r="AN189" s="566"/>
      <c r="AO189" s="566"/>
      <c r="AP189" s="566"/>
      <c r="AQ189" s="566"/>
      <c r="AR189" s="566"/>
      <c r="AS189" s="566"/>
      <c r="AT189" s="566"/>
    </row>
    <row r="190" spans="1:46" x14ac:dyDescent="0.25">
      <c r="A190" s="132" t="s">
        <v>408</v>
      </c>
      <c r="C190" s="566"/>
      <c r="D190" s="566"/>
      <c r="E190" s="566"/>
      <c r="F190" s="581"/>
      <c r="G190" s="566"/>
      <c r="H190" s="566"/>
      <c r="I190" s="566"/>
      <c r="J190" s="581"/>
      <c r="K190" s="566"/>
      <c r="L190" s="567" t="s">
        <v>409</v>
      </c>
      <c r="M190" s="567" t="s">
        <v>409</v>
      </c>
      <c r="N190" s="582" t="s">
        <v>410</v>
      </c>
      <c r="O190" s="567" t="s">
        <v>410</v>
      </c>
      <c r="P190" s="567" t="s">
        <v>410</v>
      </c>
      <c r="Q190" s="567" t="s">
        <v>410</v>
      </c>
      <c r="R190" s="582" t="s">
        <v>410</v>
      </c>
      <c r="S190" s="567" t="s">
        <v>410</v>
      </c>
      <c r="T190" s="568">
        <v>33000</v>
      </c>
      <c r="U190" s="568">
        <v>33000</v>
      </c>
      <c r="V190" s="582" t="s">
        <v>409</v>
      </c>
      <c r="W190" s="567" t="s">
        <v>409</v>
      </c>
      <c r="X190" s="567" t="s">
        <v>409</v>
      </c>
      <c r="Y190" s="567" t="s">
        <v>126</v>
      </c>
      <c r="Z190" s="566"/>
      <c r="AA190" s="566"/>
      <c r="AB190" s="566"/>
      <c r="AC190" s="566"/>
      <c r="AD190" s="566"/>
      <c r="AE190" s="566"/>
      <c r="AF190" s="566"/>
      <c r="AG190" s="566"/>
      <c r="AH190" s="566"/>
      <c r="AI190" s="566"/>
      <c r="AJ190" s="568">
        <v>30000</v>
      </c>
      <c r="AK190" s="567" t="str">
        <f>+N190</f>
        <v>&gt;33,000</v>
      </c>
      <c r="AL190" s="567" t="str">
        <f>+R190</f>
        <v>&gt;33,000</v>
      </c>
      <c r="AM190" s="567" t="s">
        <v>409</v>
      </c>
      <c r="AN190" s="566"/>
      <c r="AO190" s="566"/>
      <c r="AP190" s="566"/>
      <c r="AQ190" s="566"/>
      <c r="AR190" s="566"/>
      <c r="AS190" s="566"/>
      <c r="AT190" s="566"/>
    </row>
    <row r="191" spans="1:46" x14ac:dyDescent="0.25">
      <c r="A191" s="132" t="s">
        <v>411</v>
      </c>
      <c r="C191" s="566"/>
      <c r="D191" s="566"/>
      <c r="E191" s="566"/>
      <c r="F191" s="581"/>
      <c r="G191" s="566"/>
      <c r="H191" s="566"/>
      <c r="I191" s="566"/>
      <c r="J191" s="581"/>
      <c r="K191" s="566"/>
      <c r="L191" s="566"/>
      <c r="M191" s="567" t="s">
        <v>412</v>
      </c>
      <c r="N191" s="581"/>
      <c r="O191" s="969" t="s">
        <v>413</v>
      </c>
      <c r="P191" s="969" t="s">
        <v>413</v>
      </c>
      <c r="Q191" s="969" t="s">
        <v>413</v>
      </c>
      <c r="R191" s="581"/>
      <c r="S191" s="969" t="s">
        <v>413</v>
      </c>
      <c r="T191" s="969"/>
      <c r="U191" s="969"/>
      <c r="V191" s="1407"/>
      <c r="W191" s="969"/>
      <c r="X191" s="969"/>
      <c r="Y191" s="969"/>
      <c r="Z191" s="566"/>
      <c r="AA191" s="566"/>
      <c r="AB191" s="566"/>
      <c r="AC191" s="566"/>
      <c r="AD191" s="566"/>
      <c r="AE191" s="566"/>
      <c r="AF191" s="566"/>
      <c r="AG191" s="566"/>
      <c r="AH191" s="566"/>
      <c r="AI191" s="566"/>
      <c r="AJ191" s="567">
        <v>0.12</v>
      </c>
      <c r="AK191" s="567" t="s">
        <v>412</v>
      </c>
      <c r="AL191" s="567" t="s">
        <v>414</v>
      </c>
      <c r="AM191" s="567"/>
      <c r="AN191" s="566"/>
      <c r="AO191" s="566"/>
      <c r="AP191" s="566"/>
      <c r="AQ191" s="566"/>
      <c r="AR191" s="566"/>
      <c r="AS191" s="566"/>
      <c r="AT191" s="566"/>
    </row>
    <row r="192" spans="1:46" x14ac:dyDescent="0.25">
      <c r="C192" s="566"/>
      <c r="D192" s="566"/>
      <c r="E192" s="566"/>
      <c r="F192" s="581"/>
      <c r="G192" s="566"/>
      <c r="H192" s="566"/>
      <c r="I192" s="566"/>
      <c r="J192" s="581"/>
      <c r="K192" s="566"/>
      <c r="L192" s="566"/>
      <c r="M192" s="566"/>
      <c r="N192" s="581"/>
      <c r="O192" s="566"/>
      <c r="P192" s="566"/>
      <c r="Q192" s="566"/>
      <c r="R192" s="581"/>
      <c r="S192" s="566"/>
      <c r="T192" s="566"/>
      <c r="U192" s="566"/>
      <c r="V192" s="581"/>
      <c r="W192" s="566"/>
      <c r="X192" s="566"/>
      <c r="Y192" s="566"/>
      <c r="Z192" s="566"/>
      <c r="AA192" s="566"/>
      <c r="AB192" s="566"/>
      <c r="AC192" s="566"/>
      <c r="AD192" s="566"/>
      <c r="AE192" s="566"/>
      <c r="AF192" s="566"/>
      <c r="AG192" s="566"/>
      <c r="AH192" s="566"/>
      <c r="AI192" s="566"/>
      <c r="AJ192" s="566"/>
      <c r="AK192" s="566"/>
      <c r="AL192" s="566"/>
      <c r="AM192" s="566"/>
      <c r="AN192" s="566"/>
      <c r="AO192" s="566"/>
      <c r="AP192" s="566"/>
      <c r="AQ192" s="566"/>
      <c r="AR192" s="566">
        <v>8681</v>
      </c>
      <c r="AS192" s="566">
        <v>-850</v>
      </c>
      <c r="AT192" s="566"/>
    </row>
    <row r="193" spans="1:46" ht="13" x14ac:dyDescent="0.3">
      <c r="A193" s="374" t="s">
        <v>415</v>
      </c>
      <c r="C193" s="566"/>
      <c r="D193" s="566"/>
      <c r="E193" s="566"/>
      <c r="F193" s="581"/>
      <c r="G193" s="566"/>
      <c r="H193" s="566"/>
      <c r="I193" s="566"/>
      <c r="J193" s="581"/>
      <c r="K193" s="566"/>
      <c r="L193" s="566"/>
      <c r="M193" s="566"/>
      <c r="N193" s="581"/>
      <c r="O193" s="566"/>
      <c r="P193" s="566"/>
      <c r="Q193" s="566"/>
      <c r="R193" s="581"/>
      <c r="S193" s="566"/>
      <c r="T193" s="566"/>
      <c r="U193" s="566"/>
      <c r="V193" s="581"/>
      <c r="W193" s="566"/>
      <c r="X193" s="566"/>
      <c r="Y193" s="566"/>
      <c r="Z193" s="566"/>
      <c r="AA193" s="566"/>
      <c r="AB193" s="566"/>
      <c r="AC193" s="566"/>
      <c r="AD193" s="566"/>
      <c r="AE193" s="566"/>
      <c r="AF193" s="566"/>
      <c r="AG193" s="566"/>
      <c r="AH193" s="566"/>
      <c r="AI193" s="566"/>
      <c r="AJ193" s="566"/>
      <c r="AK193" s="566"/>
      <c r="AL193" s="566"/>
      <c r="AM193" s="566"/>
      <c r="AN193" s="566"/>
      <c r="AO193" s="566"/>
      <c r="AP193" s="566"/>
      <c r="AQ193" s="566"/>
      <c r="AR193" s="566">
        <v>461</v>
      </c>
      <c r="AS193" s="566">
        <v>-445</v>
      </c>
      <c r="AT193" s="566"/>
    </row>
    <row r="194" spans="1:46" x14ac:dyDescent="0.25">
      <c r="A194" s="132" t="s">
        <v>416</v>
      </c>
      <c r="C194" s="566"/>
      <c r="D194" s="566"/>
      <c r="E194" s="566"/>
      <c r="F194" s="581"/>
      <c r="G194" s="566"/>
      <c r="H194" s="566"/>
      <c r="I194" s="566"/>
      <c r="J194" s="581"/>
      <c r="K194" s="566"/>
      <c r="L194" s="566"/>
      <c r="M194" s="566" t="s">
        <v>417</v>
      </c>
      <c r="N194" s="581"/>
      <c r="O194" s="566"/>
      <c r="P194" s="566"/>
      <c r="Q194" s="566"/>
      <c r="R194" s="581"/>
      <c r="S194" s="566"/>
      <c r="T194" s="566"/>
      <c r="U194" s="566"/>
      <c r="V194" s="581"/>
      <c r="W194" s="566"/>
      <c r="X194" s="566"/>
      <c r="Y194" s="566"/>
      <c r="Z194" s="566"/>
      <c r="AA194" s="566"/>
      <c r="AB194" s="566"/>
      <c r="AC194" s="566"/>
      <c r="AD194" s="566"/>
      <c r="AE194" s="566"/>
      <c r="AF194" s="566"/>
      <c r="AG194" s="566"/>
      <c r="AH194" s="566"/>
      <c r="AI194" s="566"/>
      <c r="AJ194" s="566"/>
      <c r="AK194" s="566"/>
      <c r="AL194" s="566"/>
      <c r="AM194" s="566"/>
      <c r="AN194" s="566"/>
      <c r="AO194" s="566"/>
      <c r="AP194" s="566"/>
      <c r="AQ194" s="566"/>
      <c r="AR194" s="566">
        <v>1879</v>
      </c>
      <c r="AS194" s="566">
        <v>-5260</v>
      </c>
      <c r="AT194" s="566"/>
    </row>
    <row r="195" spans="1:46" x14ac:dyDescent="0.25">
      <c r="A195" s="132" t="s">
        <v>418</v>
      </c>
      <c r="C195" s="566"/>
      <c r="D195" s="566"/>
      <c r="E195" s="566"/>
      <c r="F195" s="581"/>
      <c r="G195" s="566"/>
      <c r="H195" s="566"/>
      <c r="I195" s="566"/>
      <c r="J195" s="581"/>
      <c r="K195" s="566"/>
      <c r="L195" s="566"/>
      <c r="M195" s="566" t="s">
        <v>419</v>
      </c>
      <c r="N195" s="581"/>
      <c r="O195" s="566"/>
      <c r="P195" s="566"/>
      <c r="Q195" s="566"/>
      <c r="R195" s="581"/>
      <c r="S195" s="566"/>
      <c r="T195" s="566"/>
      <c r="U195" s="566"/>
      <c r="V195" s="581"/>
      <c r="W195" s="566"/>
      <c r="X195" s="566"/>
      <c r="Y195" s="566"/>
      <c r="Z195" s="566"/>
      <c r="AA195" s="566"/>
      <c r="AB195" s="566"/>
      <c r="AC195" s="566"/>
      <c r="AD195" s="566"/>
      <c r="AE195" s="566"/>
      <c r="AF195" s="566"/>
      <c r="AG195" s="566"/>
      <c r="AH195" s="566"/>
      <c r="AI195" s="566"/>
      <c r="AJ195" s="566"/>
      <c r="AK195" s="566"/>
      <c r="AL195" s="566"/>
      <c r="AM195" s="566"/>
      <c r="AN195" s="566"/>
      <c r="AO195" s="566"/>
      <c r="AP195" s="566"/>
      <c r="AQ195" s="566"/>
      <c r="AR195" s="566">
        <v>10625</v>
      </c>
      <c r="AS195" s="566">
        <v>4774</v>
      </c>
      <c r="AT195" s="566"/>
    </row>
    <row r="196" spans="1:46" x14ac:dyDescent="0.25">
      <c r="A196" s="132" t="s">
        <v>420</v>
      </c>
      <c r="C196" s="566"/>
      <c r="D196" s="566"/>
      <c r="E196" s="566"/>
      <c r="F196" s="581"/>
      <c r="G196" s="566"/>
      <c r="H196" s="566"/>
      <c r="I196" s="566"/>
      <c r="J196" s="581"/>
      <c r="K196" s="566"/>
      <c r="L196" s="566"/>
      <c r="M196" s="583">
        <v>5100</v>
      </c>
      <c r="N196" s="584">
        <v>5500</v>
      </c>
      <c r="O196" s="566"/>
      <c r="P196" s="566"/>
      <c r="Q196" s="566"/>
      <c r="R196" s="584">
        <v>5800</v>
      </c>
      <c r="S196" s="566"/>
      <c r="T196" s="566"/>
      <c r="U196" s="566"/>
      <c r="V196" s="584">
        <v>5000</v>
      </c>
      <c r="W196" s="580"/>
      <c r="X196" s="580"/>
      <c r="Y196" s="580"/>
      <c r="Z196" s="566"/>
      <c r="AA196" s="566"/>
      <c r="AB196" s="566"/>
      <c r="AC196" s="566"/>
      <c r="AD196" s="566"/>
      <c r="AE196" s="566"/>
      <c r="AF196" s="566"/>
      <c r="AG196" s="566"/>
      <c r="AH196" s="566"/>
      <c r="AI196" s="566"/>
      <c r="AJ196" s="566"/>
      <c r="AK196" s="580">
        <v>5500</v>
      </c>
      <c r="AL196" s="580">
        <f>+R196</f>
        <v>5800</v>
      </c>
      <c r="AM196" s="580">
        <f>+V196</f>
        <v>5000</v>
      </c>
      <c r="AN196" s="566"/>
      <c r="AO196" s="566"/>
      <c r="AP196" s="566"/>
      <c r="AQ196" s="566"/>
      <c r="AR196" s="566"/>
      <c r="AS196" s="566"/>
      <c r="AT196" s="566"/>
    </row>
    <row r="197" spans="1:46" x14ac:dyDescent="0.25">
      <c r="C197" s="566"/>
      <c r="D197" s="566"/>
      <c r="E197" s="566"/>
      <c r="F197" s="581"/>
      <c r="G197" s="566"/>
      <c r="H197" s="566"/>
      <c r="I197" s="566"/>
      <c r="J197" s="581"/>
      <c r="K197" s="566"/>
      <c r="L197" s="566"/>
      <c r="M197" s="566"/>
      <c r="N197" s="581"/>
      <c r="O197" s="566"/>
      <c r="P197" s="566"/>
      <c r="Q197" s="566"/>
      <c r="R197" s="581"/>
      <c r="S197" s="566"/>
      <c r="T197" s="566"/>
      <c r="U197" s="566"/>
      <c r="V197" s="581"/>
      <c r="W197" s="566"/>
      <c r="X197" s="566"/>
      <c r="Y197" s="566"/>
      <c r="Z197" s="566"/>
      <c r="AA197" s="566"/>
      <c r="AB197" s="566"/>
      <c r="AC197" s="566"/>
      <c r="AD197" s="566"/>
      <c r="AE197" s="566"/>
      <c r="AF197" s="566"/>
      <c r="AG197" s="566"/>
      <c r="AH197" s="566"/>
      <c r="AI197" s="566"/>
      <c r="AJ197" s="566"/>
      <c r="AK197" s="566"/>
      <c r="AL197" s="566"/>
      <c r="AM197" s="566"/>
      <c r="AN197" s="566"/>
      <c r="AO197" s="566"/>
      <c r="AP197" s="566"/>
      <c r="AQ197" s="566"/>
      <c r="AR197" s="132">
        <v>-4284</v>
      </c>
      <c r="AS197" s="132">
        <v>-809</v>
      </c>
      <c r="AT197" s="566"/>
    </row>
    <row r="198" spans="1:46" ht="13" x14ac:dyDescent="0.3">
      <c r="A198" s="374" t="s">
        <v>363</v>
      </c>
      <c r="C198" s="566"/>
      <c r="D198" s="566"/>
      <c r="E198" s="566"/>
      <c r="F198" s="581"/>
      <c r="G198" s="566"/>
      <c r="H198" s="566"/>
      <c r="I198" s="566"/>
      <c r="J198" s="581"/>
      <c r="K198" s="566"/>
      <c r="L198" s="566"/>
      <c r="M198" s="566"/>
      <c r="N198" s="581"/>
      <c r="O198" s="566"/>
      <c r="P198" s="566"/>
      <c r="Q198" s="566"/>
      <c r="R198" s="581"/>
      <c r="S198" s="566"/>
      <c r="T198" s="566"/>
      <c r="U198" s="566"/>
      <c r="V198" s="581"/>
      <c r="W198" s="566"/>
      <c r="X198" s="566"/>
      <c r="Y198" s="566"/>
      <c r="Z198" s="566"/>
      <c r="AA198" s="566"/>
      <c r="AB198" s="566"/>
      <c r="AC198" s="566"/>
      <c r="AD198" s="566"/>
      <c r="AE198" s="566"/>
      <c r="AF198" s="566"/>
      <c r="AG198" s="566"/>
      <c r="AH198" s="566"/>
      <c r="AI198" s="566"/>
      <c r="AJ198" s="566"/>
      <c r="AK198" s="566"/>
      <c r="AL198" s="566"/>
      <c r="AM198" s="566"/>
      <c r="AN198" s="566"/>
      <c r="AO198" s="566"/>
      <c r="AP198" s="566"/>
      <c r="AQ198" s="566"/>
      <c r="AT198" s="566"/>
    </row>
    <row r="199" spans="1:46" x14ac:dyDescent="0.25">
      <c r="A199" s="132" t="s">
        <v>421</v>
      </c>
      <c r="C199" s="566"/>
      <c r="D199" s="566"/>
      <c r="E199" s="566"/>
      <c r="F199" s="581"/>
      <c r="G199" s="566"/>
      <c r="H199" s="566"/>
      <c r="I199" s="566"/>
      <c r="J199" s="581"/>
      <c r="K199" s="566"/>
      <c r="L199" s="566" t="s">
        <v>422</v>
      </c>
      <c r="M199" s="566" t="s">
        <v>423</v>
      </c>
      <c r="N199" s="581" t="s">
        <v>424</v>
      </c>
      <c r="O199" s="566" t="s">
        <v>424</v>
      </c>
      <c r="P199" s="566" t="s">
        <v>424</v>
      </c>
      <c r="Q199" s="566" t="s">
        <v>424</v>
      </c>
      <c r="R199" s="581" t="s">
        <v>424</v>
      </c>
      <c r="S199" s="566" t="s">
        <v>424</v>
      </c>
      <c r="T199" s="566" t="s">
        <v>424</v>
      </c>
      <c r="U199" s="566" t="s">
        <v>424</v>
      </c>
      <c r="V199" s="581" t="s">
        <v>424</v>
      </c>
      <c r="W199" s="566" t="s">
        <v>424</v>
      </c>
      <c r="X199" s="566" t="s">
        <v>424</v>
      </c>
      <c r="Y199" s="567" t="s">
        <v>126</v>
      </c>
      <c r="Z199" s="566"/>
      <c r="AA199" s="566"/>
      <c r="AB199" s="566"/>
      <c r="AC199" s="566"/>
      <c r="AD199" s="566"/>
      <c r="AE199" s="566"/>
      <c r="AF199" s="566"/>
      <c r="AG199" s="566"/>
      <c r="AH199" s="566"/>
      <c r="AI199" s="566"/>
      <c r="AJ199" s="566"/>
      <c r="AK199" s="566" t="str">
        <f>+N199</f>
        <v>&gt;75</v>
      </c>
      <c r="AL199" s="566" t="str">
        <f>+R199</f>
        <v>&gt;75</v>
      </c>
      <c r="AM199" s="566" t="str">
        <f>+V199</f>
        <v>&gt;75</v>
      </c>
      <c r="AN199" s="566"/>
      <c r="AO199" s="566"/>
      <c r="AP199" s="566"/>
      <c r="AQ199" s="566"/>
      <c r="AR199" s="566">
        <v>4468</v>
      </c>
      <c r="AS199" s="566">
        <v>-4815</v>
      </c>
      <c r="AT199" s="566"/>
    </row>
    <row r="200" spans="1:46" x14ac:dyDescent="0.25">
      <c r="A200" s="132" t="s">
        <v>425</v>
      </c>
      <c r="C200" s="566"/>
      <c r="D200" s="566"/>
      <c r="E200" s="566"/>
      <c r="F200" s="581"/>
      <c r="G200" s="566"/>
      <c r="H200" s="566"/>
      <c r="I200" s="566"/>
      <c r="J200" s="581"/>
      <c r="K200" s="566"/>
      <c r="L200" s="566"/>
      <c r="M200" s="566"/>
      <c r="N200" s="581"/>
      <c r="O200" s="566"/>
      <c r="P200" s="566"/>
      <c r="Q200" s="566"/>
      <c r="R200" s="581"/>
      <c r="S200" s="566"/>
      <c r="T200" s="566"/>
      <c r="U200" s="566"/>
      <c r="V200" s="581" t="s">
        <v>426</v>
      </c>
      <c r="W200" s="566" t="s">
        <v>426</v>
      </c>
      <c r="X200" s="566" t="s">
        <v>426</v>
      </c>
      <c r="Y200" s="567" t="s">
        <v>126</v>
      </c>
      <c r="Z200" s="566"/>
      <c r="AA200" s="566"/>
      <c r="AB200" s="566"/>
      <c r="AC200" s="566"/>
      <c r="AD200" s="566"/>
      <c r="AE200" s="566"/>
      <c r="AF200" s="566"/>
      <c r="AG200" s="566"/>
      <c r="AH200" s="566"/>
      <c r="AI200" s="566"/>
      <c r="AJ200" s="566"/>
      <c r="AK200" s="566"/>
      <c r="AL200" s="566"/>
      <c r="AM200" s="566" t="str">
        <f>+V200</f>
        <v>&gt;3,900</v>
      </c>
      <c r="AN200" s="566"/>
      <c r="AO200" s="566"/>
      <c r="AP200" s="566"/>
      <c r="AQ200" s="566"/>
      <c r="AR200" s="566"/>
      <c r="AS200" s="566"/>
      <c r="AT200" s="566"/>
    </row>
    <row r="201" spans="1:46" x14ac:dyDescent="0.25">
      <c r="A201" s="132" t="s">
        <v>427</v>
      </c>
      <c r="C201" s="566"/>
      <c r="D201" s="566"/>
      <c r="E201" s="566"/>
      <c r="F201" s="581"/>
      <c r="G201" s="566"/>
      <c r="H201" s="566"/>
      <c r="I201" s="566"/>
      <c r="J201" s="581"/>
      <c r="K201" s="566"/>
      <c r="L201" s="566" t="s">
        <v>428</v>
      </c>
      <c r="M201" s="566" t="s">
        <v>429</v>
      </c>
      <c r="N201" s="581" t="s">
        <v>430</v>
      </c>
      <c r="O201" s="566" t="s">
        <v>430</v>
      </c>
      <c r="P201" s="566" t="s">
        <v>430</v>
      </c>
      <c r="Q201" s="566" t="s">
        <v>430</v>
      </c>
      <c r="R201" s="581" t="s">
        <v>431</v>
      </c>
      <c r="S201" s="566" t="s">
        <v>431</v>
      </c>
      <c r="T201" s="566" t="s">
        <v>431</v>
      </c>
      <c r="U201" s="566" t="s">
        <v>431</v>
      </c>
      <c r="V201" s="407"/>
      <c r="Z201" s="566"/>
      <c r="AA201" s="566"/>
      <c r="AB201" s="566"/>
      <c r="AC201" s="566"/>
      <c r="AD201" s="566"/>
      <c r="AE201" s="566"/>
      <c r="AF201" s="566"/>
      <c r="AG201" s="566"/>
      <c r="AH201" s="566"/>
      <c r="AI201" s="566"/>
      <c r="AJ201" s="566"/>
      <c r="AK201" s="566" t="str">
        <f>+N201</f>
        <v>&gt;2,875</v>
      </c>
      <c r="AL201" s="566" t="str">
        <f>+R201</f>
        <v>&gt;3,000</v>
      </c>
      <c r="AM201" s="566"/>
      <c r="AN201" s="566"/>
      <c r="AO201" s="566"/>
      <c r="AP201" s="566"/>
      <c r="AQ201" s="566"/>
      <c r="AR201" s="566">
        <v>2128</v>
      </c>
      <c r="AS201" s="566"/>
      <c r="AT201" s="566"/>
    </row>
    <row r="202" spans="1:46" x14ac:dyDescent="0.25">
      <c r="A202" s="132" t="s">
        <v>432</v>
      </c>
      <c r="C202" s="566"/>
      <c r="D202" s="566"/>
      <c r="E202" s="566"/>
      <c r="F202" s="581"/>
      <c r="G202" s="566"/>
      <c r="H202" s="566"/>
      <c r="I202" s="566"/>
      <c r="J202" s="581"/>
      <c r="K202" s="566"/>
      <c r="L202" s="566"/>
      <c r="M202" s="566"/>
      <c r="N202" s="581" t="s">
        <v>433</v>
      </c>
      <c r="O202" s="566" t="s">
        <v>433</v>
      </c>
      <c r="P202" s="566" t="s">
        <v>433</v>
      </c>
      <c r="Q202" s="566" t="s">
        <v>433</v>
      </c>
      <c r="R202" s="581" t="s">
        <v>434</v>
      </c>
      <c r="S202" s="566" t="s">
        <v>434</v>
      </c>
      <c r="T202" s="566" t="s">
        <v>435</v>
      </c>
      <c r="U202" s="566" t="s">
        <v>435</v>
      </c>
      <c r="V202" s="581" t="s">
        <v>436</v>
      </c>
      <c r="W202" s="566" t="s">
        <v>436</v>
      </c>
      <c r="X202" s="566" t="s">
        <v>436</v>
      </c>
      <c r="Y202" s="566" t="s">
        <v>437</v>
      </c>
      <c r="Z202" s="566"/>
      <c r="AA202" s="566"/>
      <c r="AB202" s="566"/>
      <c r="AC202" s="566"/>
      <c r="AD202" s="566"/>
      <c r="AE202" s="566"/>
      <c r="AF202" s="566"/>
      <c r="AG202" s="566"/>
      <c r="AH202" s="566"/>
      <c r="AI202" s="566"/>
      <c r="AJ202" s="566" t="s">
        <v>438</v>
      </c>
      <c r="AK202" s="566" t="str">
        <f>+N202</f>
        <v>~93M</v>
      </c>
      <c r="AL202" s="566" t="str">
        <f>+R202</f>
        <v>~100M</v>
      </c>
      <c r="AM202" s="566" t="str">
        <f>+V202</f>
        <v>100M</v>
      </c>
      <c r="AN202" s="566"/>
      <c r="AO202" s="566"/>
      <c r="AP202" s="566"/>
      <c r="AQ202" s="566"/>
      <c r="AR202" s="566"/>
      <c r="AS202" s="566"/>
      <c r="AT202" s="566"/>
    </row>
    <row r="203" spans="1:46" x14ac:dyDescent="0.25">
      <c r="C203" s="566"/>
      <c r="D203" s="566"/>
      <c r="E203" s="566"/>
      <c r="F203" s="581"/>
      <c r="G203" s="566"/>
      <c r="H203" s="566"/>
      <c r="I203" s="566"/>
      <c r="J203" s="581"/>
      <c r="K203" s="566"/>
      <c r="L203" s="566"/>
      <c r="M203" s="566"/>
      <c r="N203" s="581"/>
      <c r="O203" s="566"/>
      <c r="P203" s="566"/>
      <c r="Q203" s="566"/>
      <c r="R203" s="581"/>
      <c r="S203" s="566"/>
      <c r="T203" s="566"/>
      <c r="U203" s="566"/>
      <c r="V203" s="581"/>
      <c r="W203" s="566"/>
      <c r="X203" s="566"/>
      <c r="Y203" s="566"/>
      <c r="Z203" s="566"/>
      <c r="AA203" s="566"/>
      <c r="AB203" s="566"/>
      <c r="AC203" s="566"/>
      <c r="AD203" s="566"/>
      <c r="AE203" s="566"/>
      <c r="AF203" s="566"/>
      <c r="AG203" s="566"/>
      <c r="AH203" s="566"/>
      <c r="AI203" s="566"/>
      <c r="AJ203" s="566"/>
      <c r="AK203" s="566"/>
      <c r="AL203" s="566"/>
      <c r="AM203" s="566"/>
      <c r="AN203" s="566"/>
      <c r="AO203" s="566"/>
      <c r="AP203" s="566"/>
      <c r="AQ203" s="566"/>
      <c r="AR203" s="566"/>
      <c r="AS203" s="566"/>
      <c r="AT203" s="566"/>
    </row>
    <row r="204" spans="1:46" ht="13" x14ac:dyDescent="0.3">
      <c r="A204" s="374" t="s">
        <v>439</v>
      </c>
      <c r="C204" s="566"/>
      <c r="D204" s="566"/>
      <c r="E204" s="566"/>
      <c r="F204" s="581"/>
      <c r="G204" s="566"/>
      <c r="H204" s="566"/>
      <c r="I204" s="566"/>
      <c r="J204" s="581"/>
      <c r="K204" s="566"/>
      <c r="L204" s="566"/>
      <c r="M204" s="566"/>
      <c r="N204" s="581"/>
      <c r="O204" s="566"/>
      <c r="P204" s="566"/>
      <c r="Q204" s="566"/>
      <c r="R204" s="581"/>
      <c r="S204" s="566"/>
      <c r="T204" s="566"/>
      <c r="U204" s="566"/>
      <c r="V204" s="581"/>
      <c r="W204" s="566"/>
      <c r="X204" s="566"/>
      <c r="Y204" s="566"/>
      <c r="Z204" s="566"/>
      <c r="AA204" s="566"/>
      <c r="AB204" s="566"/>
      <c r="AC204" s="566"/>
      <c r="AD204" s="566"/>
      <c r="AE204" s="566"/>
      <c r="AF204" s="566"/>
      <c r="AG204" s="566"/>
      <c r="AH204" s="566"/>
      <c r="AI204" s="566"/>
      <c r="AJ204" s="566"/>
      <c r="AK204" s="566"/>
      <c r="AL204" s="566"/>
      <c r="AM204" s="566"/>
      <c r="AN204" s="566"/>
      <c r="AO204" s="566"/>
      <c r="AP204" s="566"/>
      <c r="AQ204" s="566"/>
      <c r="AR204" s="566"/>
      <c r="AS204" s="566"/>
      <c r="AT204" s="566"/>
    </row>
    <row r="205" spans="1:46" x14ac:dyDescent="0.25">
      <c r="A205" s="132" t="s">
        <v>440</v>
      </c>
      <c r="C205" s="566"/>
      <c r="D205" s="566"/>
      <c r="E205" s="566"/>
      <c r="F205" s="581"/>
      <c r="G205" s="566"/>
      <c r="H205" s="566"/>
      <c r="I205" s="566"/>
      <c r="J205" s="581"/>
      <c r="K205" s="566"/>
      <c r="L205" s="566" t="s">
        <v>441</v>
      </c>
      <c r="M205" s="566" t="s">
        <v>441</v>
      </c>
      <c r="N205" s="581" t="s">
        <v>442</v>
      </c>
      <c r="O205" s="566" t="s">
        <v>442</v>
      </c>
      <c r="P205" s="566" t="s">
        <v>442</v>
      </c>
      <c r="Q205" s="566" t="s">
        <v>442</v>
      </c>
      <c r="R205" s="581" t="s">
        <v>443</v>
      </c>
      <c r="S205" s="566" t="s">
        <v>444</v>
      </c>
      <c r="T205" s="566" t="s">
        <v>444</v>
      </c>
      <c r="U205" s="566" t="s">
        <v>444</v>
      </c>
      <c r="V205" s="581" t="s">
        <v>126</v>
      </c>
      <c r="W205" s="566" t="s">
        <v>126</v>
      </c>
      <c r="X205" s="566" t="s">
        <v>126</v>
      </c>
      <c r="Y205" s="566" t="s">
        <v>126</v>
      </c>
      <c r="Z205" s="566"/>
      <c r="AA205" s="566"/>
      <c r="AB205" s="566"/>
      <c r="AC205" s="566"/>
      <c r="AD205" s="566"/>
      <c r="AE205" s="566"/>
      <c r="AF205" s="566"/>
      <c r="AG205" s="566"/>
      <c r="AH205" s="566"/>
      <c r="AI205" s="566"/>
      <c r="AJ205" s="566"/>
      <c r="AK205" s="566" t="str">
        <f>+N205</f>
        <v>&gt;850</v>
      </c>
      <c r="AL205" s="566" t="str">
        <f>+R205</f>
        <v>&gt;925</v>
      </c>
      <c r="AM205" s="566" t="str">
        <f>+V205</f>
        <v>NA</v>
      </c>
      <c r="AN205" s="566"/>
      <c r="AO205" s="566"/>
      <c r="AP205" s="566"/>
      <c r="AQ205" s="566"/>
      <c r="AR205" s="566"/>
      <c r="AS205" s="566"/>
      <c r="AT205" s="566"/>
    </row>
    <row r="206" spans="1:46" x14ac:dyDescent="0.25">
      <c r="A206" s="132" t="s">
        <v>445</v>
      </c>
      <c r="C206" s="566"/>
      <c r="D206" s="566"/>
      <c r="E206" s="566"/>
      <c r="F206" s="581"/>
      <c r="G206" s="566"/>
      <c r="H206" s="566"/>
      <c r="I206" s="566"/>
      <c r="J206" s="581"/>
      <c r="K206" s="566"/>
      <c r="L206" s="566" t="s">
        <v>446</v>
      </c>
      <c r="M206" s="566" t="s">
        <v>447</v>
      </c>
      <c r="N206" s="581" t="s">
        <v>448</v>
      </c>
      <c r="O206" s="566" t="s">
        <v>448</v>
      </c>
      <c r="P206" s="566" t="s">
        <v>449</v>
      </c>
      <c r="Q206" s="566" t="s">
        <v>449</v>
      </c>
      <c r="R206" s="581" t="s">
        <v>450</v>
      </c>
      <c r="S206" s="566" t="s">
        <v>451</v>
      </c>
      <c r="T206" s="566" t="s">
        <v>452</v>
      </c>
      <c r="U206" s="566" t="s">
        <v>453</v>
      </c>
      <c r="V206" s="581" t="s">
        <v>454</v>
      </c>
      <c r="W206" s="566" t="s">
        <v>455</v>
      </c>
      <c r="X206" s="566" t="s">
        <v>455</v>
      </c>
      <c r="Y206" s="566" t="s">
        <v>455</v>
      </c>
      <c r="Z206" s="566"/>
      <c r="AA206" s="566"/>
      <c r="AB206" s="566"/>
      <c r="AC206" s="566"/>
      <c r="AD206" s="566"/>
      <c r="AE206" s="566"/>
      <c r="AF206" s="566"/>
      <c r="AG206" s="566"/>
      <c r="AH206" s="566"/>
      <c r="AI206" s="566"/>
      <c r="AJ206" s="566"/>
      <c r="AK206" s="566" t="str">
        <f>+N206</f>
        <v>&gt;616M</v>
      </c>
      <c r="AL206" s="566" t="str">
        <f>+R206</f>
        <v>&gt;690M</v>
      </c>
      <c r="AM206" s="566" t="str">
        <f>+V206</f>
        <v>&gt;746M</v>
      </c>
      <c r="AN206" s="566"/>
      <c r="AO206" s="566"/>
      <c r="AP206" s="566"/>
      <c r="AQ206" s="566"/>
      <c r="AR206" s="566"/>
      <c r="AS206" s="566"/>
      <c r="AT206" s="566"/>
    </row>
    <row r="207" spans="1:46" x14ac:dyDescent="0.25">
      <c r="C207" s="566"/>
      <c r="D207" s="566"/>
      <c r="E207" s="566"/>
      <c r="F207" s="581"/>
      <c r="G207" s="566"/>
      <c r="H207" s="566"/>
      <c r="I207" s="566"/>
      <c r="J207" s="581"/>
      <c r="K207" s="566"/>
      <c r="L207" s="566"/>
      <c r="M207" s="566"/>
      <c r="N207" s="581"/>
      <c r="O207" s="566"/>
      <c r="P207" s="566"/>
      <c r="Q207" s="566"/>
      <c r="R207" s="581"/>
      <c r="S207" s="566"/>
      <c r="T207" s="566"/>
      <c r="U207" s="566"/>
      <c r="V207" s="581"/>
      <c r="W207" s="566"/>
      <c r="X207" s="566"/>
      <c r="Y207" s="566"/>
      <c r="Z207" s="566"/>
      <c r="AA207" s="566"/>
      <c r="AB207" s="566"/>
      <c r="AC207" s="566"/>
      <c r="AD207" s="566"/>
      <c r="AE207" s="566"/>
      <c r="AF207" s="566"/>
      <c r="AG207" s="566"/>
      <c r="AH207" s="566"/>
      <c r="AI207" s="566"/>
      <c r="AJ207" s="566"/>
      <c r="AK207" s="566"/>
      <c r="AL207" s="566"/>
      <c r="AM207" s="566"/>
      <c r="AN207" s="566"/>
      <c r="AO207" s="566"/>
      <c r="AP207" s="566"/>
      <c r="AQ207" s="566"/>
      <c r="AR207" s="566"/>
      <c r="AS207" s="566"/>
      <c r="AT207" s="566"/>
    </row>
    <row r="208" spans="1:46" ht="13" x14ac:dyDescent="0.3">
      <c r="A208" s="374" t="s">
        <v>456</v>
      </c>
      <c r="C208" s="568"/>
      <c r="D208" s="568"/>
      <c r="E208" s="568"/>
      <c r="F208" s="588"/>
      <c r="G208" s="568"/>
      <c r="H208" s="568"/>
      <c r="I208" s="568"/>
      <c r="J208" s="588"/>
      <c r="K208" s="583"/>
      <c r="L208" s="583"/>
      <c r="M208" s="583"/>
      <c r="N208" s="588"/>
      <c r="O208" s="568"/>
      <c r="P208" s="568"/>
      <c r="Q208" s="568"/>
      <c r="R208" s="588"/>
      <c r="S208" s="568"/>
      <c r="T208" s="568"/>
      <c r="U208" s="568"/>
      <c r="V208" s="588"/>
      <c r="W208" s="568"/>
      <c r="X208" s="583"/>
      <c r="Y208" s="583"/>
      <c r="Z208" s="583"/>
      <c r="AA208" s="583"/>
      <c r="AB208" s="583"/>
      <c r="AC208" s="583"/>
      <c r="AD208" s="583"/>
      <c r="AE208" s="583"/>
      <c r="AF208" s="583"/>
      <c r="AG208" s="583"/>
      <c r="AH208" s="583"/>
      <c r="AI208" s="568"/>
      <c r="AJ208" s="568"/>
      <c r="AK208" s="568"/>
      <c r="AL208" s="568"/>
      <c r="AM208" s="568"/>
      <c r="AN208" s="583"/>
      <c r="AO208" s="571"/>
    </row>
    <row r="209" spans="1:46" x14ac:dyDescent="0.25">
      <c r="A209" s="132" t="s">
        <v>457</v>
      </c>
      <c r="C209" s="568"/>
      <c r="D209" s="568"/>
      <c r="E209" s="568"/>
      <c r="F209" s="588"/>
      <c r="G209" s="568"/>
      <c r="H209" s="568"/>
      <c r="I209" s="568"/>
      <c r="J209" s="588"/>
      <c r="K209" s="583"/>
      <c r="L209" s="583"/>
      <c r="M209" s="583"/>
      <c r="N209" s="588"/>
      <c r="O209" s="568"/>
      <c r="P209" s="568"/>
      <c r="Q209" s="568"/>
      <c r="R209" s="588"/>
      <c r="S209" s="568"/>
      <c r="T209" s="568"/>
      <c r="U209" s="568"/>
      <c r="V209" s="588"/>
      <c r="W209" s="568"/>
      <c r="X209" s="583"/>
      <c r="Y209" s="583"/>
      <c r="Z209" s="583"/>
      <c r="AA209" s="583"/>
      <c r="AB209" s="583"/>
      <c r="AC209" s="583"/>
      <c r="AD209" s="583"/>
      <c r="AE209" s="583"/>
      <c r="AF209" s="583"/>
      <c r="AG209" s="583"/>
      <c r="AH209" s="583"/>
      <c r="AI209" s="568"/>
      <c r="AJ209" s="568"/>
      <c r="AK209" s="568">
        <v>7.8</v>
      </c>
      <c r="AL209" s="568">
        <v>-4.2</v>
      </c>
      <c r="AM209" s="568">
        <v>-1</v>
      </c>
      <c r="AN209" s="583"/>
      <c r="AO209" s="571"/>
    </row>
    <row r="210" spans="1:46" x14ac:dyDescent="0.25">
      <c r="A210" s="132" t="s">
        <v>458</v>
      </c>
      <c r="C210" s="568"/>
      <c r="D210" s="568"/>
      <c r="E210" s="568"/>
      <c r="F210" s="588"/>
      <c r="G210" s="568"/>
      <c r="H210" s="568"/>
      <c r="I210" s="568"/>
      <c r="J210" s="588"/>
      <c r="K210" s="583"/>
      <c r="L210" s="583"/>
      <c r="M210" s="583"/>
      <c r="N210" s="588"/>
      <c r="O210" s="568"/>
      <c r="P210" s="568"/>
      <c r="Q210" s="568"/>
      <c r="R210" s="588"/>
      <c r="S210" s="568"/>
      <c r="T210" s="568"/>
      <c r="U210" s="568"/>
      <c r="V210" s="588"/>
      <c r="W210" s="568"/>
      <c r="X210" s="583"/>
      <c r="Y210" s="583"/>
      <c r="Z210" s="583"/>
      <c r="AA210" s="583"/>
      <c r="AB210" s="583"/>
      <c r="AC210" s="583"/>
      <c r="AD210" s="583"/>
      <c r="AE210" s="583"/>
      <c r="AF210" s="583"/>
      <c r="AG210" s="583"/>
      <c r="AH210" s="583"/>
      <c r="AI210" s="568"/>
      <c r="AJ210" s="568"/>
      <c r="AK210" s="568">
        <v>7.3</v>
      </c>
      <c r="AL210" s="568">
        <v>-2.7</v>
      </c>
      <c r="AM210" s="568">
        <v>-4</v>
      </c>
      <c r="AN210" s="583"/>
      <c r="AO210" s="571"/>
    </row>
    <row r="211" spans="1:46" x14ac:dyDescent="0.25">
      <c r="A211" s="132" t="s">
        <v>459</v>
      </c>
      <c r="C211" s="568"/>
      <c r="D211" s="568"/>
      <c r="E211" s="568"/>
      <c r="F211" s="588"/>
      <c r="G211" s="568"/>
      <c r="H211" s="568"/>
      <c r="I211" s="568"/>
      <c r="J211" s="588"/>
      <c r="K211" s="583"/>
      <c r="L211" s="583"/>
      <c r="M211" s="583"/>
      <c r="N211" s="588"/>
      <c r="O211" s="568"/>
      <c r="P211" s="568"/>
      <c r="Q211" s="568"/>
      <c r="R211" s="588"/>
      <c r="S211" s="568"/>
      <c r="T211" s="568"/>
      <c r="U211" s="568"/>
      <c r="V211" s="588"/>
      <c r="W211" s="568"/>
      <c r="X211" s="583"/>
      <c r="Y211" s="583"/>
      <c r="Z211" s="583"/>
      <c r="AA211" s="583"/>
      <c r="AB211" s="583"/>
      <c r="AC211" s="583"/>
      <c r="AD211" s="583"/>
      <c r="AE211" s="583"/>
      <c r="AF211" s="583"/>
      <c r="AG211" s="583"/>
      <c r="AH211" s="583"/>
      <c r="AI211" s="568"/>
      <c r="AJ211" s="568"/>
      <c r="AK211" s="568">
        <v>5.9</v>
      </c>
      <c r="AL211" s="568">
        <v>6.7</v>
      </c>
      <c r="AM211" s="568">
        <v>-3.1</v>
      </c>
      <c r="AN211" s="583"/>
      <c r="AO211" s="571"/>
    </row>
    <row r="212" spans="1:46" x14ac:dyDescent="0.25">
      <c r="A212" s="132" t="s">
        <v>460</v>
      </c>
      <c r="C212" s="568"/>
      <c r="D212" s="568"/>
      <c r="E212" s="568"/>
      <c r="F212" s="588"/>
      <c r="G212" s="568"/>
      <c r="H212" s="568"/>
      <c r="I212" s="568"/>
      <c r="J212" s="588"/>
      <c r="K212" s="583"/>
      <c r="L212" s="583"/>
      <c r="M212" s="583"/>
      <c r="N212" s="588"/>
      <c r="O212" s="568"/>
      <c r="P212" s="568"/>
      <c r="Q212" s="568"/>
      <c r="R212" s="588"/>
      <c r="S212" s="568"/>
      <c r="T212" s="568"/>
      <c r="U212" s="568"/>
      <c r="V212" s="588"/>
      <c r="W212" s="568"/>
      <c r="X212" s="583"/>
      <c r="Y212" s="583"/>
      <c r="Z212" s="583"/>
      <c r="AA212" s="583"/>
      <c r="AB212" s="583"/>
      <c r="AC212" s="583"/>
      <c r="AD212" s="583"/>
      <c r="AE212" s="583"/>
      <c r="AF212" s="583"/>
      <c r="AG212" s="583"/>
      <c r="AH212" s="583"/>
      <c r="AI212" s="568"/>
      <c r="AJ212" s="568"/>
      <c r="AK212" s="568">
        <v>3.5</v>
      </c>
      <c r="AL212" s="568">
        <v>-3.5</v>
      </c>
      <c r="AM212" s="568">
        <v>6.3</v>
      </c>
      <c r="AN212" s="583"/>
      <c r="AO212" s="571"/>
    </row>
    <row r="213" spans="1:46" x14ac:dyDescent="0.25">
      <c r="A213" s="132" t="s">
        <v>461</v>
      </c>
      <c r="C213" s="568"/>
      <c r="D213" s="568"/>
      <c r="E213" s="568"/>
      <c r="F213" s="588"/>
      <c r="G213" s="568"/>
      <c r="H213" s="568"/>
      <c r="I213" s="568"/>
      <c r="J213" s="588"/>
      <c r="K213" s="583"/>
      <c r="L213" s="583"/>
      <c r="M213" s="583"/>
      <c r="N213" s="588"/>
      <c r="O213" s="568"/>
      <c r="P213" s="568"/>
      <c r="Q213" s="568"/>
      <c r="R213" s="588"/>
      <c r="S213" s="568"/>
      <c r="T213" s="568"/>
      <c r="U213" s="568"/>
      <c r="V213" s="588"/>
      <c r="W213" s="568"/>
      <c r="X213" s="583"/>
      <c r="Y213" s="583"/>
      <c r="Z213" s="583"/>
      <c r="AA213" s="583"/>
      <c r="AB213" s="583"/>
      <c r="AC213" s="583"/>
      <c r="AD213" s="583"/>
      <c r="AE213" s="583"/>
      <c r="AF213" s="583"/>
      <c r="AG213" s="583"/>
      <c r="AH213" s="583"/>
      <c r="AI213" s="568"/>
      <c r="AJ213" s="568"/>
      <c r="AK213" s="568">
        <v>2</v>
      </c>
      <c r="AL213" s="568">
        <f>2+3.2</f>
        <v>5.2</v>
      </c>
      <c r="AM213" s="568">
        <v>2.8</v>
      </c>
      <c r="AN213" s="583"/>
      <c r="AO213" s="571"/>
    </row>
    <row r="214" spans="1:46" s="565" customFormat="1" x14ac:dyDescent="0.25">
      <c r="A214" s="132" t="s">
        <v>363</v>
      </c>
      <c r="C214" s="589"/>
      <c r="D214" s="589"/>
      <c r="E214" s="589"/>
      <c r="F214" s="590"/>
      <c r="G214" s="589"/>
      <c r="H214" s="589"/>
      <c r="I214" s="589"/>
      <c r="J214" s="590"/>
      <c r="K214" s="591"/>
      <c r="L214" s="591"/>
      <c r="M214" s="591"/>
      <c r="N214" s="590"/>
      <c r="O214" s="589"/>
      <c r="P214" s="589"/>
      <c r="Q214" s="589"/>
      <c r="R214" s="590"/>
      <c r="S214" s="589"/>
      <c r="T214" s="589"/>
      <c r="U214" s="589"/>
      <c r="V214" s="590"/>
      <c r="W214" s="589"/>
      <c r="X214" s="591"/>
      <c r="Y214" s="591"/>
      <c r="Z214" s="591"/>
      <c r="AA214" s="591"/>
      <c r="AB214" s="591"/>
      <c r="AC214" s="591"/>
      <c r="AD214" s="591"/>
      <c r="AE214" s="591"/>
      <c r="AF214" s="591"/>
      <c r="AG214" s="591"/>
      <c r="AH214" s="591"/>
      <c r="AI214" s="589"/>
      <c r="AJ214" s="589"/>
      <c r="AK214" s="589">
        <f>+AK215-SUM(AK209:AK213)</f>
        <v>3.3810000000000002</v>
      </c>
      <c r="AL214" s="589">
        <f t="shared" ref="AL214:AM214" si="333">+AL215-SUM(AL209:AL213)</f>
        <v>7.1599999999999966</v>
      </c>
      <c r="AM214" s="589">
        <f t="shared" si="333"/>
        <v>-0.90800000000000125</v>
      </c>
      <c r="AN214" s="591"/>
      <c r="AO214" s="572"/>
    </row>
    <row r="215" spans="1:46" s="163" customFormat="1" ht="13" x14ac:dyDescent="0.3">
      <c r="A215" s="426" t="s">
        <v>462</v>
      </c>
      <c r="C215" s="592"/>
      <c r="D215" s="592"/>
      <c r="E215" s="592"/>
      <c r="F215" s="593"/>
      <c r="G215" s="592"/>
      <c r="H215" s="592"/>
      <c r="I215" s="592"/>
      <c r="J215" s="593"/>
      <c r="K215" s="594"/>
      <c r="L215" s="594"/>
      <c r="M215" s="594"/>
      <c r="N215" s="593"/>
      <c r="O215" s="592"/>
      <c r="P215" s="592"/>
      <c r="Q215" s="592"/>
      <c r="R215" s="593"/>
      <c r="S215" s="592"/>
      <c r="T215" s="592"/>
      <c r="U215" s="592"/>
      <c r="V215" s="593"/>
      <c r="W215" s="592"/>
      <c r="X215" s="594"/>
      <c r="Y215" s="594"/>
      <c r="Z215" s="594"/>
      <c r="AA215" s="594"/>
      <c r="AB215" s="594"/>
      <c r="AC215" s="594"/>
      <c r="AD215" s="594"/>
      <c r="AE215" s="594"/>
      <c r="AF215" s="594"/>
      <c r="AG215" s="594"/>
      <c r="AH215" s="594"/>
      <c r="AI215" s="592"/>
      <c r="AJ215" s="592"/>
      <c r="AK215" s="592">
        <f>+AK14-AJ14</f>
        <v>29.881</v>
      </c>
      <c r="AL215" s="592">
        <f>+AL14-AK14</f>
        <v>8.6599999999999966</v>
      </c>
      <c r="AM215" s="592">
        <f>+AM14-AL14</f>
        <v>9.1999999999998749E-2</v>
      </c>
      <c r="AN215" s="594"/>
      <c r="AO215" s="573"/>
    </row>
    <row r="216" spans="1:46" x14ac:dyDescent="0.25">
      <c r="C216" s="568"/>
      <c r="D216" s="568"/>
      <c r="E216" s="568"/>
      <c r="F216" s="588"/>
      <c r="G216" s="568"/>
      <c r="H216" s="568"/>
      <c r="I216" s="568"/>
      <c r="J216" s="588"/>
      <c r="K216" s="583"/>
      <c r="L216" s="583"/>
      <c r="M216" s="583"/>
      <c r="N216" s="588"/>
      <c r="O216" s="568"/>
      <c r="P216" s="568"/>
      <c r="Q216" s="568"/>
      <c r="R216" s="588"/>
      <c r="S216" s="568"/>
      <c r="T216" s="568"/>
      <c r="U216" s="568"/>
      <c r="V216" s="588"/>
      <c r="W216" s="568"/>
      <c r="X216" s="583"/>
      <c r="Y216" s="583"/>
      <c r="Z216" s="583"/>
      <c r="AA216" s="583"/>
      <c r="AB216" s="583"/>
      <c r="AC216" s="583"/>
      <c r="AD216" s="583"/>
      <c r="AE216" s="583"/>
      <c r="AF216" s="583"/>
      <c r="AG216" s="583"/>
      <c r="AH216" s="583"/>
      <c r="AI216" s="568"/>
      <c r="AJ216" s="568"/>
      <c r="AK216" s="568"/>
      <c r="AL216" s="568"/>
      <c r="AM216" s="568"/>
      <c r="AN216" s="583"/>
      <c r="AO216" s="571"/>
    </row>
    <row r="217" spans="1:46" x14ac:dyDescent="0.25">
      <c r="A217" s="132" t="s">
        <v>463</v>
      </c>
      <c r="C217" s="568"/>
      <c r="D217" s="568"/>
      <c r="E217" s="568"/>
      <c r="F217" s="588"/>
      <c r="G217" s="568"/>
      <c r="H217" s="568"/>
      <c r="I217" s="568"/>
      <c r="J217" s="588"/>
      <c r="K217" s="583"/>
      <c r="L217" s="583"/>
      <c r="M217" s="583"/>
      <c r="N217" s="588"/>
      <c r="O217" s="568"/>
      <c r="P217" s="568"/>
      <c r="Q217" s="568"/>
      <c r="R217" s="588"/>
      <c r="S217" s="568"/>
      <c r="T217" s="568"/>
      <c r="U217" s="568"/>
      <c r="V217" s="588"/>
      <c r="W217" s="568"/>
      <c r="X217" s="583"/>
      <c r="Y217" s="583"/>
      <c r="Z217" s="583"/>
      <c r="AA217" s="583"/>
      <c r="AB217" s="583"/>
      <c r="AC217" s="583"/>
      <c r="AD217" s="583"/>
      <c r="AE217" s="583"/>
      <c r="AF217" s="583"/>
      <c r="AG217" s="583"/>
      <c r="AH217" s="583"/>
      <c r="AI217" s="568">
        <v>1.8</v>
      </c>
      <c r="AJ217" s="568">
        <f>0.1+0.6</f>
        <v>0.7</v>
      </c>
      <c r="AK217" s="568">
        <v>1.4</v>
      </c>
      <c r="AL217" s="568">
        <v>2.9</v>
      </c>
      <c r="AM217" s="568">
        <v>1.9</v>
      </c>
      <c r="AN217" s="583"/>
      <c r="AO217" s="571"/>
    </row>
    <row r="218" spans="1:46" x14ac:dyDescent="0.25">
      <c r="C218" s="568"/>
      <c r="D218" s="568"/>
      <c r="E218" s="568"/>
      <c r="F218" s="588"/>
      <c r="G218" s="568"/>
      <c r="H218" s="568"/>
      <c r="I218" s="568"/>
      <c r="J218" s="588"/>
      <c r="K218" s="583"/>
      <c r="L218" s="583"/>
      <c r="M218" s="583"/>
      <c r="N218" s="588"/>
      <c r="O218" s="568"/>
      <c r="P218" s="568"/>
      <c r="Q218" s="568"/>
      <c r="R218" s="588"/>
      <c r="S218" s="568"/>
      <c r="T218" s="568"/>
      <c r="U218" s="568"/>
      <c r="V218" s="588"/>
      <c r="W218" s="568"/>
      <c r="X218" s="583"/>
      <c r="Y218" s="583"/>
      <c r="Z218" s="583"/>
      <c r="AA218" s="583"/>
      <c r="AB218" s="583"/>
      <c r="AC218" s="583"/>
      <c r="AD218" s="583"/>
      <c r="AE218" s="583"/>
      <c r="AF218" s="583"/>
      <c r="AG218" s="583"/>
      <c r="AH218" s="583"/>
      <c r="AI218" s="568"/>
      <c r="AJ218" s="568"/>
      <c r="AK218" s="568"/>
      <c r="AL218" s="568"/>
      <c r="AM218" s="568"/>
      <c r="AN218" s="583"/>
      <c r="AO218" s="571"/>
    </row>
    <row r="219" spans="1:46" s="721" customFormat="1" ht="13" x14ac:dyDescent="0.3">
      <c r="A219" s="725" t="s">
        <v>464</v>
      </c>
      <c r="C219" s="722"/>
      <c r="D219" s="722"/>
      <c r="E219" s="722"/>
      <c r="F219" s="723"/>
      <c r="G219" s="722"/>
      <c r="H219" s="722"/>
      <c r="I219" s="722"/>
      <c r="J219" s="723"/>
      <c r="K219" s="722"/>
      <c r="L219" s="722"/>
      <c r="M219" s="722"/>
      <c r="N219" s="723"/>
      <c r="O219" s="722"/>
      <c r="P219" s="722"/>
      <c r="Q219" s="722"/>
      <c r="R219" s="723"/>
      <c r="S219" s="722"/>
      <c r="T219" s="722"/>
      <c r="U219" s="722"/>
      <c r="V219" s="723"/>
      <c r="W219" s="722"/>
      <c r="X219" s="722"/>
      <c r="Y219" s="722"/>
      <c r="Z219" s="722"/>
      <c r="AA219" s="722"/>
      <c r="AB219" s="722"/>
      <c r="AC219" s="722"/>
      <c r="AD219" s="722"/>
      <c r="AE219" s="722"/>
      <c r="AF219" s="722"/>
      <c r="AG219" s="722"/>
      <c r="AH219" s="722"/>
      <c r="AI219" s="722"/>
      <c r="AJ219" s="722"/>
      <c r="AK219" s="722"/>
      <c r="AL219" s="722"/>
      <c r="AM219" s="722"/>
      <c r="AN219" s="583"/>
      <c r="AO219" s="724"/>
    </row>
    <row r="220" spans="1:46" x14ac:dyDescent="0.25">
      <c r="A220" s="132" t="s">
        <v>465</v>
      </c>
      <c r="C220" s="583"/>
      <c r="D220" s="583"/>
      <c r="E220" s="583"/>
      <c r="F220" s="588"/>
      <c r="G220" s="583"/>
      <c r="H220" s="583"/>
      <c r="I220" s="583"/>
      <c r="J220" s="588"/>
      <c r="K220" s="583"/>
      <c r="L220" s="583"/>
      <c r="M220" s="583"/>
      <c r="N220" s="588"/>
      <c r="O220" s="583"/>
      <c r="P220" s="583"/>
      <c r="Q220" s="583"/>
      <c r="R220" s="588"/>
      <c r="S220" s="583"/>
      <c r="T220" s="583"/>
      <c r="U220" s="583"/>
      <c r="V220" s="588"/>
      <c r="W220" s="583"/>
      <c r="X220" s="583"/>
      <c r="Y220" s="583"/>
      <c r="Z220" s="583"/>
      <c r="AA220" s="583"/>
      <c r="AB220" s="583"/>
      <c r="AC220" s="583"/>
      <c r="AD220" s="583"/>
      <c r="AE220" s="583"/>
      <c r="AF220" s="583"/>
      <c r="AG220" s="583"/>
      <c r="AH220" s="583"/>
      <c r="AI220" s="583"/>
      <c r="AJ220" s="583"/>
      <c r="AK220" s="583"/>
      <c r="AL220" s="583"/>
      <c r="AM220" s="583"/>
      <c r="AN220" s="583"/>
      <c r="AO220" s="667"/>
    </row>
    <row r="221" spans="1:46" x14ac:dyDescent="0.25">
      <c r="C221" s="566"/>
      <c r="D221" s="566"/>
      <c r="E221" s="566"/>
      <c r="F221" s="581"/>
      <c r="G221" s="566"/>
      <c r="H221" s="566"/>
      <c r="I221" s="566"/>
      <c r="J221" s="581"/>
      <c r="K221" s="566"/>
      <c r="L221" s="566"/>
      <c r="M221" s="566"/>
      <c r="N221" s="581"/>
      <c r="O221" s="566"/>
      <c r="P221" s="566"/>
      <c r="Q221" s="566"/>
      <c r="R221" s="581"/>
      <c r="S221" s="566"/>
      <c r="T221" s="566"/>
      <c r="U221" s="566"/>
      <c r="V221" s="581"/>
      <c r="W221" s="566"/>
      <c r="X221" s="566"/>
      <c r="Y221" s="566"/>
      <c r="Z221" s="566"/>
      <c r="AA221" s="566"/>
      <c r="AB221" s="566"/>
      <c r="AC221" s="566"/>
      <c r="AD221" s="566"/>
      <c r="AE221" s="566"/>
      <c r="AF221" s="566"/>
      <c r="AG221" s="566"/>
      <c r="AH221" s="566"/>
      <c r="AI221" s="566"/>
      <c r="AJ221" s="566"/>
      <c r="AK221" s="566"/>
      <c r="AL221" s="566"/>
      <c r="AM221" s="566"/>
      <c r="AN221" s="566"/>
      <c r="AO221" s="566"/>
      <c r="AP221" s="566"/>
      <c r="AQ221" s="566"/>
      <c r="AR221" s="566"/>
      <c r="AS221" s="566"/>
      <c r="AT221" s="566"/>
    </row>
    <row r="222" spans="1:46" ht="13" x14ac:dyDescent="0.3">
      <c r="A222" s="569" t="s">
        <v>466</v>
      </c>
      <c r="B222" s="570"/>
      <c r="C222" s="568"/>
      <c r="D222" s="568"/>
      <c r="E222" s="568"/>
      <c r="F222" s="588"/>
      <c r="G222" s="568"/>
      <c r="H222" s="568"/>
      <c r="I222" s="568"/>
      <c r="J222" s="588"/>
      <c r="K222" s="583"/>
      <c r="L222" s="583"/>
      <c r="M222" s="583"/>
      <c r="N222" s="588"/>
      <c r="O222" s="568"/>
      <c r="P222" s="568"/>
      <c r="Q222" s="568"/>
      <c r="R222" s="588"/>
      <c r="S222" s="568"/>
      <c r="T222" s="568"/>
      <c r="U222" s="568"/>
      <c r="V222" s="588"/>
      <c r="W222" s="568"/>
      <c r="X222" s="583"/>
      <c r="Y222" s="583"/>
      <c r="Z222" s="583"/>
      <c r="AA222" s="583"/>
      <c r="AB222" s="583"/>
      <c r="AC222" s="583"/>
      <c r="AD222" s="583"/>
      <c r="AE222" s="583"/>
      <c r="AF222" s="583"/>
      <c r="AG222" s="583"/>
      <c r="AH222" s="583"/>
      <c r="AI222" s="568"/>
      <c r="AJ222" s="568"/>
      <c r="AK222" s="568"/>
      <c r="AL222" s="568"/>
      <c r="AM222" s="568"/>
      <c r="AN222" s="583"/>
      <c r="AO222" s="571"/>
    </row>
    <row r="223" spans="1:46" x14ac:dyDescent="0.25">
      <c r="C223" s="568"/>
      <c r="D223" s="568"/>
      <c r="E223" s="568"/>
      <c r="F223" s="588"/>
      <c r="G223" s="568"/>
      <c r="H223" s="568"/>
      <c r="I223" s="568"/>
      <c r="J223" s="588"/>
      <c r="K223" s="583"/>
      <c r="L223" s="583"/>
      <c r="M223" s="583"/>
      <c r="N223" s="588"/>
      <c r="O223" s="568"/>
      <c r="P223" s="568"/>
      <c r="Q223" s="568"/>
      <c r="R223" s="588"/>
      <c r="S223" s="568"/>
      <c r="T223" s="568"/>
      <c r="U223" s="568"/>
      <c r="V223" s="588"/>
      <c r="W223" s="568"/>
      <c r="X223" s="583"/>
      <c r="Y223" s="583"/>
      <c r="Z223" s="583"/>
      <c r="AA223" s="583"/>
      <c r="AB223" s="583"/>
      <c r="AC223" s="583"/>
      <c r="AD223" s="583"/>
      <c r="AE223" s="583"/>
      <c r="AF223" s="583"/>
      <c r="AG223" s="583"/>
      <c r="AH223" s="583"/>
      <c r="AI223" s="568"/>
      <c r="AJ223" s="568"/>
      <c r="AK223" s="568"/>
      <c r="AL223" s="568"/>
      <c r="AM223" s="568"/>
      <c r="AN223" s="583"/>
      <c r="AO223" s="571"/>
    </row>
    <row r="224" spans="1:46" ht="13" x14ac:dyDescent="0.3">
      <c r="A224" s="163" t="s">
        <v>154</v>
      </c>
      <c r="C224" s="568"/>
      <c r="D224" s="568"/>
      <c r="E224" s="568"/>
      <c r="F224" s="588"/>
      <c r="G224" s="568"/>
      <c r="H224" s="568"/>
      <c r="I224" s="568"/>
      <c r="J224" s="588"/>
      <c r="K224" s="583"/>
      <c r="L224" s="583"/>
      <c r="M224" s="583"/>
      <c r="N224" s="588"/>
      <c r="O224" s="568"/>
      <c r="P224" s="568"/>
      <c r="Q224" s="568"/>
      <c r="R224" s="588"/>
      <c r="S224" s="568"/>
      <c r="T224" s="568"/>
      <c r="U224" s="568"/>
      <c r="V224" s="588"/>
      <c r="W224" s="568"/>
      <c r="X224" s="583"/>
      <c r="Y224" s="583"/>
      <c r="Z224" s="583"/>
      <c r="AA224" s="583"/>
      <c r="AB224" s="583"/>
      <c r="AC224" s="583"/>
      <c r="AD224" s="583"/>
      <c r="AE224" s="583"/>
      <c r="AF224" s="583"/>
      <c r="AG224" s="583"/>
      <c r="AH224" s="583"/>
      <c r="AI224" s="568"/>
      <c r="AJ224" s="568"/>
      <c r="AK224" s="568"/>
      <c r="AL224" s="568"/>
      <c r="AM224" s="568"/>
      <c r="AN224" s="583"/>
      <c r="AO224" s="571"/>
    </row>
    <row r="225" spans="1:41" x14ac:dyDescent="0.25">
      <c r="A225" s="132" t="s">
        <v>155</v>
      </c>
      <c r="C225" s="611"/>
      <c r="D225" s="611"/>
      <c r="E225" s="611"/>
      <c r="F225" s="616">
        <f>+JPM!L80</f>
        <v>80.62</v>
      </c>
      <c r="G225" s="611">
        <f>+JPM!N80</f>
        <v>129.66300000000001</v>
      </c>
      <c r="H225" s="611">
        <f>+JPM!O80</f>
        <v>116.887</v>
      </c>
      <c r="I225" s="611">
        <f>+JPM!P80</f>
        <v>123.63800000000001</v>
      </c>
      <c r="J225" s="616">
        <f>+JPM!Q80</f>
        <v>152.81800000000001</v>
      </c>
      <c r="K225" s="611">
        <f>+JPM!T80</f>
        <v>113.328</v>
      </c>
      <c r="L225" s="611">
        <f>+JPM!U80</f>
        <v>257.12200000000001</v>
      </c>
      <c r="M225" s="611">
        <f>+JPM!V80</f>
        <v>275.53800000000001</v>
      </c>
      <c r="N225" s="616">
        <f>+JPM!W80</f>
        <v>292.642</v>
      </c>
      <c r="O225" s="611">
        <f>+JPM!Z80</f>
        <v>307.67099999999999</v>
      </c>
      <c r="P225" s="611">
        <f>+JPM!AA80</f>
        <v>352.25099999999998</v>
      </c>
      <c r="Q225" s="611">
        <v>390.262</v>
      </c>
      <c r="R225" s="616">
        <v>391.65499999999997</v>
      </c>
      <c r="S225" s="611">
        <v>400.15600000000001</v>
      </c>
      <c r="T225" s="611">
        <v>399.05</v>
      </c>
      <c r="U225" s="611">
        <v>164.874</v>
      </c>
      <c r="V225" s="616">
        <v>213.774</v>
      </c>
      <c r="W225" s="611">
        <v>245.43600000000001</v>
      </c>
      <c r="X225" s="611">
        <v>269.56299999999999</v>
      </c>
      <c r="Y225" s="611">
        <v>307.392</v>
      </c>
      <c r="Z225" s="611"/>
      <c r="AA225" s="611"/>
      <c r="AB225" s="611"/>
      <c r="AC225" s="611"/>
      <c r="AD225" s="611"/>
      <c r="AE225" s="611"/>
      <c r="AF225" s="611"/>
      <c r="AG225" s="611"/>
      <c r="AH225" s="611"/>
      <c r="AI225" s="611">
        <f t="shared" ref="AI225:AI238" si="334">+F225</f>
        <v>80.62</v>
      </c>
      <c r="AJ225" s="611">
        <f t="shared" ref="AJ225:AJ238" si="335">+J225</f>
        <v>152.81800000000001</v>
      </c>
      <c r="AK225" s="611">
        <f t="shared" ref="AK225:AK238" si="336">+N225</f>
        <v>292.642</v>
      </c>
      <c r="AL225" s="611">
        <f t="shared" ref="AL225:AL238" si="337">+R225</f>
        <v>391.65499999999997</v>
      </c>
      <c r="AM225" s="611">
        <f t="shared" ref="AM225:AM238" si="338">+V225</f>
        <v>213.774</v>
      </c>
      <c r="AN225" s="583"/>
      <c r="AO225" s="571"/>
    </row>
    <row r="226" spans="1:41" x14ac:dyDescent="0.25">
      <c r="A226" s="132" t="s">
        <v>467</v>
      </c>
      <c r="C226" s="611"/>
      <c r="D226" s="611"/>
      <c r="E226" s="611"/>
      <c r="F226" s="616">
        <f>+JPM!L81</f>
        <v>0.126</v>
      </c>
      <c r="G226" s="611">
        <f>+JPM!N81</f>
        <v>0.114</v>
      </c>
      <c r="H226" s="611">
        <f>+JPM!O81</f>
        <v>0.123</v>
      </c>
      <c r="I226" s="611">
        <f>+JPM!P81</f>
        <v>0.14399999999999999</v>
      </c>
      <c r="J226" s="616">
        <f>+JPM!Q81</f>
        <v>0.152</v>
      </c>
      <c r="K226" s="611">
        <f>+JPM!T81</f>
        <v>0.156</v>
      </c>
      <c r="L226" s="611">
        <f>+JPM!U81</f>
        <v>0.156</v>
      </c>
      <c r="M226" s="611">
        <f>+JPM!V81</f>
        <v>0.15</v>
      </c>
      <c r="N226" s="616">
        <f>+JPM!W81</f>
        <v>0.14799999999999999</v>
      </c>
      <c r="O226" s="611">
        <f>+JPM!Z81</f>
        <v>0.248</v>
      </c>
      <c r="P226" s="611">
        <f>+JPM!AA81</f>
        <v>0.22900000000000001</v>
      </c>
      <c r="Q226" s="611">
        <v>0.13800000000000001</v>
      </c>
      <c r="R226" s="616">
        <v>0.14099999999999999</v>
      </c>
      <c r="S226" s="611">
        <v>0.14000000000000001</v>
      </c>
      <c r="T226" s="611">
        <v>0.13600000000000001</v>
      </c>
      <c r="U226" s="611">
        <v>0.13300000000000001</v>
      </c>
      <c r="V226" s="616">
        <v>0.13800000000000001</v>
      </c>
      <c r="W226" s="611">
        <v>0.13500000000000001</v>
      </c>
      <c r="X226" s="611">
        <v>8.5999999999999993E-2</v>
      </c>
      <c r="Y226" s="611">
        <v>8.7999999999999995E-2</v>
      </c>
      <c r="Z226" s="611"/>
      <c r="AA226" s="611"/>
      <c r="AB226" s="611"/>
      <c r="AC226" s="611"/>
      <c r="AD226" s="611"/>
      <c r="AE226" s="611"/>
      <c r="AF226" s="611"/>
      <c r="AG226" s="611"/>
      <c r="AH226" s="611"/>
      <c r="AI226" s="611">
        <f t="shared" si="334"/>
        <v>0.126</v>
      </c>
      <c r="AJ226" s="611">
        <f t="shared" si="335"/>
        <v>0.152</v>
      </c>
      <c r="AK226" s="611">
        <f t="shared" si="336"/>
        <v>0.14799999999999999</v>
      </c>
      <c r="AL226" s="611">
        <f t="shared" si="337"/>
        <v>0.14099999999999999</v>
      </c>
      <c r="AM226" s="611">
        <f t="shared" si="338"/>
        <v>0.13800000000000001</v>
      </c>
      <c r="AN226" s="583"/>
      <c r="AO226" s="571"/>
    </row>
    <row r="227" spans="1:41" x14ac:dyDescent="0.25">
      <c r="A227" s="132" t="s">
        <v>468</v>
      </c>
      <c r="C227" s="611"/>
      <c r="D227" s="611"/>
      <c r="E227" s="611"/>
      <c r="F227" s="616">
        <f>+JPM!L83</f>
        <v>1.3260000000000001</v>
      </c>
      <c r="G227" s="611">
        <f>+JPM!N83</f>
        <v>0.72499999999999998</v>
      </c>
      <c r="H227" s="611">
        <f>+JPM!O83</f>
        <v>0.72199999999999998</v>
      </c>
      <c r="I227" s="611">
        <f>+JPM!P83</f>
        <v>0.73899999999999999</v>
      </c>
      <c r="J227" s="616">
        <f>+JPM!Q83</f>
        <v>1.2669999999999999</v>
      </c>
      <c r="K227" s="611">
        <f>+JPM!T83</f>
        <v>0.84399999999999997</v>
      </c>
      <c r="L227" s="611">
        <f>+JPM!U83</f>
        <v>1.3520000000000001</v>
      </c>
      <c r="M227" s="611">
        <f>+JPM!V83</f>
        <v>0.95799999999999996</v>
      </c>
      <c r="N227" s="616">
        <f>+JPM!W83</f>
        <v>0.94099999999999995</v>
      </c>
      <c r="O227" s="611">
        <f>+JPM!Z83</f>
        <v>0.92700000000000005</v>
      </c>
      <c r="P227" s="611">
        <f>+JPM!AA83</f>
        <v>0.90400000000000003</v>
      </c>
      <c r="Q227" s="611">
        <v>0</v>
      </c>
      <c r="R227" s="616">
        <v>1.956</v>
      </c>
      <c r="S227" s="611">
        <v>1.954</v>
      </c>
      <c r="T227" s="611">
        <v>2.153</v>
      </c>
      <c r="U227" s="611">
        <v>2.1669999999999998</v>
      </c>
      <c r="V227" s="616">
        <v>0</v>
      </c>
      <c r="W227" s="611">
        <v>0</v>
      </c>
      <c r="X227" s="611">
        <v>0</v>
      </c>
      <c r="Y227" s="611">
        <v>0</v>
      </c>
      <c r="Z227" s="611"/>
      <c r="AA227" s="611"/>
      <c r="AB227" s="611"/>
      <c r="AC227" s="611"/>
      <c r="AD227" s="611"/>
      <c r="AE227" s="611"/>
      <c r="AF227" s="611"/>
      <c r="AG227" s="611"/>
      <c r="AH227" s="611"/>
      <c r="AI227" s="611">
        <f t="shared" si="334"/>
        <v>1.3260000000000001</v>
      </c>
      <c r="AJ227" s="611">
        <f t="shared" si="335"/>
        <v>1.2669999999999999</v>
      </c>
      <c r="AK227" s="611">
        <f t="shared" si="336"/>
        <v>0.94099999999999995</v>
      </c>
      <c r="AL227" s="611">
        <f t="shared" si="337"/>
        <v>1.956</v>
      </c>
      <c r="AM227" s="611">
        <f t="shared" si="338"/>
        <v>0</v>
      </c>
      <c r="AN227" s="583"/>
      <c r="AO227" s="571"/>
    </row>
    <row r="228" spans="1:41" x14ac:dyDescent="0.25">
      <c r="A228" s="132" t="s">
        <v>469</v>
      </c>
      <c r="C228" s="611"/>
      <c r="D228" s="611"/>
      <c r="E228" s="611"/>
      <c r="F228" s="616">
        <f>+JPM!L82</f>
        <v>92.51</v>
      </c>
      <c r="G228" s="611">
        <f>+JPM!N82</f>
        <v>86.91</v>
      </c>
      <c r="H228" s="611">
        <f>+JPM!O82</f>
        <v>75.42</v>
      </c>
      <c r="I228" s="611">
        <f>+JPM!P82</f>
        <v>103.312</v>
      </c>
      <c r="J228" s="616">
        <f>+JPM!Q82</f>
        <v>111.363</v>
      </c>
      <c r="K228" s="611">
        <f>+JPM!T82</f>
        <v>104.694</v>
      </c>
      <c r="L228" s="611">
        <f>+JPM!U82</f>
        <v>128.90600000000001</v>
      </c>
      <c r="M228" s="611">
        <f>+JPM!V82</f>
        <v>147.13800000000001</v>
      </c>
      <c r="N228" s="616">
        <f>+JPM!W82</f>
        <v>155.77199999999999</v>
      </c>
      <c r="O228" s="611">
        <f>+JPM!Z82</f>
        <v>148.16300000000001</v>
      </c>
      <c r="P228" s="611">
        <f>+JPM!AA82</f>
        <v>144.376</v>
      </c>
      <c r="Q228" s="611">
        <v>151.197</v>
      </c>
      <c r="R228" s="616">
        <v>143.81100000000001</v>
      </c>
      <c r="S228" s="611">
        <v>127.962</v>
      </c>
      <c r="T228" s="611">
        <v>139.96799999999999</v>
      </c>
      <c r="U228" s="611">
        <v>156.91200000000001</v>
      </c>
      <c r="V228" s="616">
        <v>142.69</v>
      </c>
      <c r="W228" s="611">
        <v>129.011</v>
      </c>
      <c r="X228" s="611">
        <v>130.768</v>
      </c>
      <c r="Y228" s="611">
        <v>143.02000000000001</v>
      </c>
      <c r="Z228" s="611"/>
      <c r="AA228" s="611"/>
      <c r="AB228" s="611"/>
      <c r="AC228" s="611"/>
      <c r="AD228" s="611"/>
      <c r="AE228" s="611"/>
      <c r="AF228" s="611"/>
      <c r="AG228" s="611"/>
      <c r="AH228" s="611"/>
      <c r="AI228" s="611">
        <f t="shared" si="334"/>
        <v>92.51</v>
      </c>
      <c r="AJ228" s="611">
        <f t="shared" si="335"/>
        <v>111.363</v>
      </c>
      <c r="AK228" s="611">
        <f t="shared" si="336"/>
        <v>155.77199999999999</v>
      </c>
      <c r="AL228" s="611">
        <f t="shared" si="337"/>
        <v>143.81100000000001</v>
      </c>
      <c r="AM228" s="611">
        <f t="shared" si="338"/>
        <v>142.69</v>
      </c>
      <c r="AN228" s="583"/>
      <c r="AO228" s="571"/>
    </row>
    <row r="229" spans="1:41" x14ac:dyDescent="0.25">
      <c r="A229" s="132" t="s">
        <v>470</v>
      </c>
      <c r="C229" s="611"/>
      <c r="D229" s="611"/>
      <c r="E229" s="611"/>
      <c r="F229" s="616">
        <f>+JPM!L85</f>
        <v>7.64</v>
      </c>
      <c r="G229" s="611">
        <f>+JPM!N85</f>
        <v>9.2210000000000001</v>
      </c>
      <c r="H229" s="611">
        <f>+JPM!O85</f>
        <v>7.7450000000000001</v>
      </c>
      <c r="I229" s="611">
        <f>+JPM!P85</f>
        <v>12.098000000000001</v>
      </c>
      <c r="J229" s="616">
        <f>+JPM!Q85</f>
        <v>8.6989999999999998</v>
      </c>
      <c r="K229" s="611">
        <f>+JPM!T85</f>
        <v>13.865</v>
      </c>
      <c r="L229" s="611">
        <f>+JPM!U85</f>
        <v>2.2719999999999998</v>
      </c>
      <c r="M229" s="611">
        <f>+JPM!V85</f>
        <v>17.294</v>
      </c>
      <c r="N229" s="616">
        <f>+JPM!W85</f>
        <v>14.365</v>
      </c>
      <c r="O229" s="611">
        <f>+JPM!Z85</f>
        <v>19.088999999999999</v>
      </c>
      <c r="P229" s="611">
        <f>+JPM!AA85</f>
        <v>23.367999999999999</v>
      </c>
      <c r="Q229" s="611">
        <v>27.318000000000001</v>
      </c>
      <c r="R229" s="616">
        <v>25.407</v>
      </c>
      <c r="S229" s="611">
        <v>22.78</v>
      </c>
      <c r="T229" s="611">
        <v>21.471</v>
      </c>
      <c r="U229" s="611">
        <v>19.335000000000001</v>
      </c>
      <c r="V229" s="616">
        <v>13.426</v>
      </c>
      <c r="W229" s="611">
        <v>21.795000000000002</v>
      </c>
      <c r="X229" s="611">
        <v>19.707000000000001</v>
      </c>
      <c r="Y229" s="611">
        <v>13.667</v>
      </c>
      <c r="Z229" s="611"/>
      <c r="AA229" s="611"/>
      <c r="AB229" s="611"/>
      <c r="AC229" s="611"/>
      <c r="AD229" s="611"/>
      <c r="AE229" s="611"/>
      <c r="AF229" s="611"/>
      <c r="AG229" s="611"/>
      <c r="AH229" s="611"/>
      <c r="AI229" s="611">
        <f t="shared" si="334"/>
        <v>7.64</v>
      </c>
      <c r="AJ229" s="611">
        <f t="shared" si="335"/>
        <v>8.6989999999999998</v>
      </c>
      <c r="AK229" s="611">
        <f t="shared" si="336"/>
        <v>14.365</v>
      </c>
      <c r="AL229" s="611">
        <f t="shared" si="337"/>
        <v>25.407</v>
      </c>
      <c r="AM229" s="611">
        <f t="shared" si="338"/>
        <v>13.426</v>
      </c>
      <c r="AN229" s="583"/>
      <c r="AO229" s="571"/>
    </row>
    <row r="230" spans="1:41" s="565" customFormat="1" x14ac:dyDescent="0.25">
      <c r="A230" s="132" t="s">
        <v>471</v>
      </c>
      <c r="C230" s="589"/>
      <c r="D230" s="589"/>
      <c r="E230" s="589"/>
      <c r="F230" s="590">
        <f>+JPM!L84</f>
        <v>3.681</v>
      </c>
      <c r="G230" s="589">
        <f>+JPM!N84</f>
        <v>3.8450000000000002</v>
      </c>
      <c r="H230" s="589">
        <f>+JPM!O84</f>
        <v>3.7869999999999999</v>
      </c>
      <c r="I230" s="589">
        <f>+JPM!P84</f>
        <v>4.3630000000000004</v>
      </c>
      <c r="J230" s="590">
        <f>+JPM!Q84</f>
        <v>3.4790000000000001</v>
      </c>
      <c r="K230" s="591">
        <f>+JPM!T84</f>
        <v>2.15</v>
      </c>
      <c r="L230" s="591">
        <f>+JPM!U84</f>
        <v>11.337999999999999</v>
      </c>
      <c r="M230" s="591">
        <f>+JPM!V84</f>
        <v>2.4260000000000002</v>
      </c>
      <c r="N230" s="590">
        <f>+JPM!W84</f>
        <v>2.2919999999999998</v>
      </c>
      <c r="O230" s="589">
        <f>+JPM!Z84</f>
        <v>1.5720000000000001</v>
      </c>
      <c r="P230" s="589">
        <f>+JPM!AA84</f>
        <v>1.6080000000000001</v>
      </c>
      <c r="Q230" s="589">
        <v>2.556</v>
      </c>
      <c r="R230" s="590">
        <v>3.2250000000000001</v>
      </c>
      <c r="S230" s="589">
        <v>2.4820000000000002</v>
      </c>
      <c r="T230" s="589">
        <v>8.9589999999999996</v>
      </c>
      <c r="U230" s="589">
        <v>5.8929999999999998</v>
      </c>
      <c r="V230" s="590">
        <v>3.71</v>
      </c>
      <c r="W230" s="589">
        <v>2.5680000000000001</v>
      </c>
      <c r="X230" s="591">
        <v>7.101</v>
      </c>
      <c r="Y230" s="591">
        <v>2.8079999999999998</v>
      </c>
      <c r="Z230" s="591"/>
      <c r="AA230" s="591"/>
      <c r="AB230" s="591"/>
      <c r="AC230" s="591"/>
      <c r="AD230" s="591"/>
      <c r="AE230" s="591"/>
      <c r="AF230" s="591"/>
      <c r="AG230" s="591"/>
      <c r="AH230" s="591"/>
      <c r="AI230" s="589">
        <f t="shared" si="334"/>
        <v>3.681</v>
      </c>
      <c r="AJ230" s="589">
        <f t="shared" si="335"/>
        <v>3.4790000000000001</v>
      </c>
      <c r="AK230" s="589">
        <f t="shared" si="336"/>
        <v>2.2919999999999998</v>
      </c>
      <c r="AL230" s="589">
        <f t="shared" si="337"/>
        <v>3.2250000000000001</v>
      </c>
      <c r="AM230" s="589">
        <f t="shared" si="338"/>
        <v>3.71</v>
      </c>
      <c r="AN230" s="591"/>
      <c r="AO230" s="572"/>
    </row>
    <row r="231" spans="1:41" x14ac:dyDescent="0.25">
      <c r="A231" s="425" t="s">
        <v>472</v>
      </c>
      <c r="C231" s="568"/>
      <c r="D231" s="568"/>
      <c r="E231" s="568"/>
      <c r="F231" s="588">
        <f>+SUM(F225:F230)</f>
        <v>185.90299999999999</v>
      </c>
      <c r="G231" s="568">
        <f t="shared" ref="G231:I231" si="339">+SUM(G225:G230)</f>
        <v>230.47800000000001</v>
      </c>
      <c r="H231" s="568">
        <f t="shared" si="339"/>
        <v>204.684</v>
      </c>
      <c r="I231" s="568">
        <f t="shared" si="339"/>
        <v>244.29400000000004</v>
      </c>
      <c r="J231" s="588">
        <f>+SUM(J225:J230)</f>
        <v>277.77800000000002</v>
      </c>
      <c r="K231" s="583">
        <f t="shared" ref="K231:M231" si="340">+SUM(K225:K230)</f>
        <v>235.03700000000001</v>
      </c>
      <c r="L231" s="583">
        <f t="shared" si="340"/>
        <v>401.14600000000002</v>
      </c>
      <c r="M231" s="583">
        <f t="shared" si="340"/>
        <v>443.50399999999996</v>
      </c>
      <c r="N231" s="588">
        <f>+SUM(N225:N230)</f>
        <v>466.15999999999997</v>
      </c>
      <c r="O231" s="568">
        <f t="shared" ref="O231" si="341">+SUM(O225:O230)</f>
        <v>477.67</v>
      </c>
      <c r="P231" s="568">
        <f t="shared" ref="P231:Y231" si="342">+SUM(P225:P230)</f>
        <v>522.73599999999999</v>
      </c>
      <c r="Q231" s="568">
        <f t="shared" si="342"/>
        <v>571.471</v>
      </c>
      <c r="R231" s="588">
        <f t="shared" si="342"/>
        <v>566.19500000000005</v>
      </c>
      <c r="S231" s="568">
        <f t="shared" si="342"/>
        <v>555.47399999999993</v>
      </c>
      <c r="T231" s="568">
        <f t="shared" si="342"/>
        <v>571.73699999999997</v>
      </c>
      <c r="U231" s="568">
        <f t="shared" si="342"/>
        <v>349.31399999999996</v>
      </c>
      <c r="V231" s="588">
        <f t="shared" si="342"/>
        <v>373.73799999999994</v>
      </c>
      <c r="W231" s="568">
        <f t="shared" si="342"/>
        <v>398.94499999999999</v>
      </c>
      <c r="X231" s="568">
        <f t="shared" si="342"/>
        <v>427.22500000000002</v>
      </c>
      <c r="Y231" s="568">
        <f t="shared" si="342"/>
        <v>466.97499999999997</v>
      </c>
      <c r="Z231" s="583"/>
      <c r="AA231" s="583"/>
      <c r="AB231" s="583"/>
      <c r="AC231" s="583"/>
      <c r="AD231" s="583"/>
      <c r="AE231" s="583"/>
      <c r="AF231" s="583"/>
      <c r="AG231" s="583"/>
      <c r="AH231" s="583"/>
      <c r="AI231" s="568">
        <f t="shared" si="334"/>
        <v>185.90299999999999</v>
      </c>
      <c r="AJ231" s="568">
        <f t="shared" si="335"/>
        <v>277.77800000000002</v>
      </c>
      <c r="AK231" s="568">
        <f t="shared" si="336"/>
        <v>466.15999999999997</v>
      </c>
      <c r="AL231" s="568">
        <f t="shared" si="337"/>
        <v>566.19500000000005</v>
      </c>
      <c r="AM231" s="568">
        <f t="shared" si="338"/>
        <v>373.73799999999994</v>
      </c>
      <c r="AN231" s="583"/>
      <c r="AO231" s="571"/>
    </row>
    <row r="232" spans="1:41" x14ac:dyDescent="0.25">
      <c r="A232" s="132" t="s">
        <v>473</v>
      </c>
      <c r="C232" s="611"/>
      <c r="D232" s="611"/>
      <c r="E232" s="611"/>
      <c r="F232" s="616">
        <f>+JPM!L88</f>
        <v>29.094000000000001</v>
      </c>
      <c r="G232" s="611">
        <f>+JPM!N88</f>
        <v>228.126</v>
      </c>
      <c r="H232" s="611">
        <f>+JPM!O88</f>
        <v>215.886</v>
      </c>
      <c r="I232" s="611">
        <f>+JPM!P88</f>
        <v>203.393</v>
      </c>
      <c r="J232" s="616">
        <f>+JPM!Q88</f>
        <v>190.28200000000001</v>
      </c>
      <c r="K232" s="611">
        <f>+JPM!T88</f>
        <v>180.602</v>
      </c>
      <c r="L232" s="611">
        <f>+JPM!U88</f>
        <v>172.239</v>
      </c>
      <c r="M232" s="611">
        <f>+JPM!V88</f>
        <v>161.33000000000001</v>
      </c>
      <c r="N232" s="616">
        <f>+JPM!W88</f>
        <v>154.309</v>
      </c>
      <c r="O232" s="611">
        <f>+JPM!Z88</f>
        <v>146.392</v>
      </c>
      <c r="P232" s="611">
        <f>+JPM!AA88</f>
        <v>136.536</v>
      </c>
      <c r="Q232" s="611">
        <v>125.623</v>
      </c>
      <c r="R232" s="616">
        <v>113.529</v>
      </c>
      <c r="S232" s="611">
        <v>103.301</v>
      </c>
      <c r="T232" s="611">
        <v>93.265000000000001</v>
      </c>
      <c r="U232" s="611">
        <v>89.673000000000002</v>
      </c>
      <c r="V232" s="616">
        <v>79.441000000000003</v>
      </c>
      <c r="W232" s="611">
        <v>71.352000000000004</v>
      </c>
      <c r="X232" s="611">
        <v>63.463000000000001</v>
      </c>
      <c r="Y232" s="611">
        <v>55.402999999999999</v>
      </c>
      <c r="Z232" s="611"/>
      <c r="AA232" s="611"/>
      <c r="AB232" s="611"/>
      <c r="AC232" s="611"/>
      <c r="AD232" s="611"/>
      <c r="AE232" s="611"/>
      <c r="AF232" s="611"/>
      <c r="AG232" s="611"/>
      <c r="AH232" s="611"/>
      <c r="AI232" s="611">
        <f t="shared" si="334"/>
        <v>29.094000000000001</v>
      </c>
      <c r="AJ232" s="611">
        <f t="shared" si="335"/>
        <v>190.28200000000001</v>
      </c>
      <c r="AK232" s="611">
        <f t="shared" si="336"/>
        <v>154.309</v>
      </c>
      <c r="AL232" s="611">
        <f t="shared" si="337"/>
        <v>113.529</v>
      </c>
      <c r="AM232" s="611">
        <f t="shared" si="338"/>
        <v>79.441000000000003</v>
      </c>
      <c r="AN232" s="583"/>
      <c r="AO232" s="571"/>
    </row>
    <row r="233" spans="1:41" x14ac:dyDescent="0.25">
      <c r="A233" s="132" t="s">
        <v>158</v>
      </c>
      <c r="C233" s="611"/>
      <c r="D233" s="611"/>
      <c r="E233" s="611"/>
      <c r="F233" s="616">
        <f>+JPM!L89</f>
        <v>261.58999999999997</v>
      </c>
      <c r="G233" s="611">
        <f>+JPM!N89</f>
        <v>762.76</v>
      </c>
      <c r="H233" s="611">
        <f>+JPM!O89</f>
        <v>763.99</v>
      </c>
      <c r="I233" s="611">
        <f>+JPM!P89</f>
        <v>767.90200000000004</v>
      </c>
      <c r="J233" s="616">
        <f>+JPM!Q89</f>
        <v>770.08900000000006</v>
      </c>
      <c r="K233" s="611">
        <f>+JPM!T89</f>
        <v>775.09299999999996</v>
      </c>
      <c r="L233" s="611">
        <f>+JPM!U89</f>
        <v>774.56200000000001</v>
      </c>
      <c r="M233" s="611">
        <f>+JPM!V89</f>
        <v>772.66899999999998</v>
      </c>
      <c r="N233" s="616">
        <f>+JPM!W89</f>
        <v>793.89200000000005</v>
      </c>
      <c r="O233" s="611">
        <f>+JPM!Z89</f>
        <v>802.67499999999995</v>
      </c>
      <c r="P233" s="611">
        <f>+JPM!AA89</f>
        <v>796.55600000000004</v>
      </c>
      <c r="Q233" s="611">
        <v>791.57399999999996</v>
      </c>
      <c r="R233" s="616">
        <v>793.08</v>
      </c>
      <c r="S233" s="611">
        <v>793.29300000000001</v>
      </c>
      <c r="T233" s="611">
        <v>793.58199999999999</v>
      </c>
      <c r="U233" s="611">
        <v>820.97</v>
      </c>
      <c r="V233" s="616">
        <v>820.654</v>
      </c>
      <c r="W233" s="611">
        <v>819.63300000000004</v>
      </c>
      <c r="X233" s="611">
        <v>819.13599999999997</v>
      </c>
      <c r="Y233" s="611">
        <v>822.27700000000004</v>
      </c>
      <c r="Z233" s="611"/>
      <c r="AA233" s="611"/>
      <c r="AB233" s="611"/>
      <c r="AC233" s="611"/>
      <c r="AD233" s="611"/>
      <c r="AE233" s="611"/>
      <c r="AF233" s="611"/>
      <c r="AG233" s="611"/>
      <c r="AH233" s="611"/>
      <c r="AI233" s="611">
        <f t="shared" si="334"/>
        <v>261.58999999999997</v>
      </c>
      <c r="AJ233" s="611">
        <f t="shared" si="335"/>
        <v>770.08900000000006</v>
      </c>
      <c r="AK233" s="611">
        <f t="shared" si="336"/>
        <v>793.89200000000005</v>
      </c>
      <c r="AL233" s="611">
        <f t="shared" si="337"/>
        <v>793.08</v>
      </c>
      <c r="AM233" s="611">
        <f t="shared" si="338"/>
        <v>820.654</v>
      </c>
      <c r="AN233" s="583"/>
      <c r="AO233" s="571"/>
    </row>
    <row r="234" spans="1:41" x14ac:dyDescent="0.25">
      <c r="A234" s="132" t="s">
        <v>474</v>
      </c>
      <c r="C234" s="611"/>
      <c r="D234" s="611"/>
      <c r="E234" s="611"/>
      <c r="F234" s="616">
        <f>+JPM!L90</f>
        <v>13.224</v>
      </c>
      <c r="G234" s="611">
        <f>+JPM!N90</f>
        <v>93.132000000000005</v>
      </c>
      <c r="H234" s="611">
        <f>+JPM!O90</f>
        <v>91.179000000000002</v>
      </c>
      <c r="I234" s="611">
        <f>+JPM!P90</f>
        <v>89.533000000000001</v>
      </c>
      <c r="J234" s="616">
        <f>+JPM!Q90</f>
        <v>87.701999999999998</v>
      </c>
      <c r="K234" s="611">
        <f>+JPM!T90</f>
        <v>85.876999999999995</v>
      </c>
      <c r="L234" s="611">
        <f>+JPM!U90</f>
        <v>83.828000000000003</v>
      </c>
      <c r="M234" s="611">
        <f>+JPM!V90</f>
        <v>81.691000000000003</v>
      </c>
      <c r="N234" s="616">
        <f>+JPM!W90</f>
        <v>79.584999999999994</v>
      </c>
      <c r="O234" s="611">
        <f>+JPM!Z90</f>
        <v>77.641000000000005</v>
      </c>
      <c r="P234" s="611">
        <f>+JPM!AA90</f>
        <v>75.234999999999999</v>
      </c>
      <c r="Q234" s="611">
        <v>72.927999999999997</v>
      </c>
      <c r="R234" s="616">
        <v>71.162000000000006</v>
      </c>
      <c r="S234" s="611">
        <v>69.387</v>
      </c>
      <c r="T234" s="611">
        <v>67.564999999999998</v>
      </c>
      <c r="U234" s="611">
        <v>65.69</v>
      </c>
      <c r="V234" s="616">
        <v>66.228999999999999</v>
      </c>
      <c r="W234" s="611">
        <v>64.37</v>
      </c>
      <c r="X234" s="611">
        <v>62.570999999999998</v>
      </c>
      <c r="Y234" s="611">
        <v>60.99</v>
      </c>
      <c r="Z234" s="611"/>
      <c r="AA234" s="611"/>
      <c r="AB234" s="611"/>
      <c r="AC234" s="611"/>
      <c r="AD234" s="611"/>
      <c r="AE234" s="611"/>
      <c r="AF234" s="611"/>
      <c r="AG234" s="611"/>
      <c r="AH234" s="611"/>
      <c r="AI234" s="611">
        <f t="shared" si="334"/>
        <v>13.224</v>
      </c>
      <c r="AJ234" s="611">
        <f t="shared" si="335"/>
        <v>87.701999999999998</v>
      </c>
      <c r="AK234" s="611">
        <f t="shared" si="336"/>
        <v>79.584999999999994</v>
      </c>
      <c r="AL234" s="611">
        <f t="shared" si="337"/>
        <v>71.162000000000006</v>
      </c>
      <c r="AM234" s="611">
        <f t="shared" si="338"/>
        <v>66.228999999999999</v>
      </c>
      <c r="AN234" s="583"/>
      <c r="AO234" s="571"/>
    </row>
    <row r="235" spans="1:41" x14ac:dyDescent="0.25">
      <c r="A235" s="132" t="s">
        <v>475</v>
      </c>
      <c r="C235" s="611"/>
      <c r="D235" s="611"/>
      <c r="E235" s="611"/>
      <c r="F235" s="616">
        <f>+JPM!L91</f>
        <v>52.569000000000003</v>
      </c>
      <c r="G235" s="611">
        <f>+JPM!N91</f>
        <v>485.49299999999999</v>
      </c>
      <c r="H235" s="611">
        <f>+JPM!O91</f>
        <v>468.18599999999998</v>
      </c>
      <c r="I235" s="611">
        <f>+JPM!P91</f>
        <v>452.41699999999997</v>
      </c>
      <c r="J235" s="616">
        <f>+JPM!Q91</f>
        <v>435.661</v>
      </c>
      <c r="K235" s="611">
        <f>+JPM!T91</f>
        <v>423.11700000000002</v>
      </c>
      <c r="L235" s="611">
        <f>+JPM!U91</f>
        <v>406.41500000000002</v>
      </c>
      <c r="M235" s="611">
        <f>+JPM!V91</f>
        <v>389.21600000000001</v>
      </c>
      <c r="N235" s="616">
        <f>+JPM!W91</f>
        <v>384.76600000000002</v>
      </c>
      <c r="O235" s="611">
        <f>+JPM!Z91</f>
        <v>375.428</v>
      </c>
      <c r="P235" s="611">
        <f>+JPM!AA91</f>
        <v>357.697</v>
      </c>
      <c r="Q235" s="611">
        <v>340.55599999999998</v>
      </c>
      <c r="R235" s="616">
        <v>326.01400000000001</v>
      </c>
      <c r="S235" s="611">
        <v>312.56799999999998</v>
      </c>
      <c r="T235" s="611">
        <v>299</v>
      </c>
      <c r="U235" s="611">
        <v>291.55900000000003</v>
      </c>
      <c r="V235" s="616">
        <v>275.52800000000002</v>
      </c>
      <c r="W235" s="611">
        <v>262.87599999999998</v>
      </c>
      <c r="X235" s="611">
        <v>250.39699999999999</v>
      </c>
      <c r="Y235" s="611">
        <v>238.821</v>
      </c>
      <c r="Z235" s="611"/>
      <c r="AA235" s="611"/>
      <c r="AB235" s="611"/>
      <c r="AC235" s="611"/>
      <c r="AD235" s="611"/>
      <c r="AE235" s="611"/>
      <c r="AF235" s="611"/>
      <c r="AG235" s="611"/>
      <c r="AH235" s="611"/>
      <c r="AI235" s="611">
        <f t="shared" si="334"/>
        <v>52.569000000000003</v>
      </c>
      <c r="AJ235" s="611">
        <f t="shared" si="335"/>
        <v>435.661</v>
      </c>
      <c r="AK235" s="611">
        <f t="shared" si="336"/>
        <v>384.76600000000002</v>
      </c>
      <c r="AL235" s="611">
        <f t="shared" si="337"/>
        <v>326.01400000000001</v>
      </c>
      <c r="AM235" s="611">
        <f t="shared" si="338"/>
        <v>275.52800000000002</v>
      </c>
      <c r="AN235" s="583"/>
      <c r="AO235" s="571"/>
    </row>
    <row r="236" spans="1:41" x14ac:dyDescent="0.25">
      <c r="A236" s="132" t="s">
        <v>476</v>
      </c>
      <c r="C236" s="611"/>
      <c r="D236" s="611"/>
      <c r="E236" s="611"/>
      <c r="F236" s="616">
        <f>+JPM!L92</f>
        <v>0.98499999999999999</v>
      </c>
      <c r="G236" s="611">
        <f>+JPM!N92</f>
        <v>19.277999999999999</v>
      </c>
      <c r="H236" s="611">
        <f>+JPM!O92</f>
        <v>15.734999999999999</v>
      </c>
      <c r="I236" s="611">
        <f>+JPM!P92</f>
        <v>11.032999999999999</v>
      </c>
      <c r="J236" s="616">
        <f>+JPM!Q92</f>
        <v>0.80700000000000005</v>
      </c>
      <c r="K236" s="611">
        <f>+JPM!T92</f>
        <v>0.95299999999999996</v>
      </c>
      <c r="L236" s="611">
        <f>+JPM!U92</f>
        <v>1.5920000000000001</v>
      </c>
      <c r="M236" s="611">
        <f>+JPM!V92</f>
        <v>1.4419999999999999</v>
      </c>
      <c r="N236" s="616">
        <f>+JPM!W92</f>
        <v>1.413</v>
      </c>
      <c r="O236" s="611">
        <f>+JPM!Z92</f>
        <v>1.6040000000000001</v>
      </c>
      <c r="P236" s="611">
        <f>+JPM!AA92</f>
        <v>1.7190000000000001</v>
      </c>
      <c r="Q236" s="611">
        <v>1.744</v>
      </c>
      <c r="R236" s="616">
        <v>2.4220000000000002</v>
      </c>
      <c r="S236" s="611">
        <v>2.4049999999999998</v>
      </c>
      <c r="T236" s="611">
        <v>2.4729999999999999</v>
      </c>
      <c r="U236" s="611">
        <v>3.1880000000000002</v>
      </c>
      <c r="V236" s="616">
        <v>2.7890000000000001</v>
      </c>
      <c r="W236" s="611">
        <v>2.7970000000000002</v>
      </c>
      <c r="X236" s="611">
        <v>2.0179999999999998</v>
      </c>
      <c r="Y236" s="611">
        <v>3.1720000000000002</v>
      </c>
      <c r="Z236" s="611"/>
      <c r="AA236" s="611"/>
      <c r="AB236" s="611"/>
      <c r="AC236" s="611"/>
      <c r="AD236" s="611"/>
      <c r="AE236" s="611"/>
      <c r="AF236" s="611"/>
      <c r="AG236" s="611"/>
      <c r="AH236" s="611"/>
      <c r="AI236" s="611">
        <f t="shared" si="334"/>
        <v>0.98499999999999999</v>
      </c>
      <c r="AJ236" s="611">
        <f t="shared" si="335"/>
        <v>0.80700000000000005</v>
      </c>
      <c r="AK236" s="611">
        <f t="shared" si="336"/>
        <v>1.413</v>
      </c>
      <c r="AL236" s="611">
        <f t="shared" si="337"/>
        <v>2.4220000000000002</v>
      </c>
      <c r="AM236" s="611">
        <f t="shared" si="338"/>
        <v>2.7890000000000001</v>
      </c>
      <c r="AN236" s="583"/>
      <c r="AO236" s="571"/>
    </row>
    <row r="237" spans="1:41" s="565" customFormat="1" x14ac:dyDescent="0.25">
      <c r="A237" s="132" t="s">
        <v>477</v>
      </c>
      <c r="C237" s="589"/>
      <c r="D237" s="589"/>
      <c r="E237" s="589"/>
      <c r="F237" s="590">
        <f>+JPM!L93</f>
        <v>1.3680000000000001</v>
      </c>
      <c r="G237" s="589">
        <f>+JPM!N93</f>
        <v>1.6719999999999999</v>
      </c>
      <c r="H237" s="589">
        <f>+JPM!O93</f>
        <v>1.673</v>
      </c>
      <c r="I237" s="589">
        <f>+JPM!P93</f>
        <v>1.7430000000000001</v>
      </c>
      <c r="J237" s="590">
        <f>+JPM!Q93</f>
        <v>1.3720000000000001</v>
      </c>
      <c r="K237" s="591">
        <f>+JPM!T93</f>
        <v>2.37</v>
      </c>
      <c r="L237" s="591">
        <f>+JPM!U93</f>
        <v>2.3969999999999998</v>
      </c>
      <c r="M237" s="591">
        <f>+JPM!V93</f>
        <v>6.8410000000000002</v>
      </c>
      <c r="N237" s="590">
        <f>+JPM!W93</f>
        <v>6.4560000000000004</v>
      </c>
      <c r="O237" s="589">
        <f>+JPM!Z93</f>
        <v>21.920999999999999</v>
      </c>
      <c r="P237" s="589">
        <f>+JPM!AA93</f>
        <v>20.698</v>
      </c>
      <c r="Q237" s="589">
        <v>18.02</v>
      </c>
      <c r="R237" s="590">
        <v>13.423</v>
      </c>
      <c r="S237" s="589">
        <v>11.234999999999999</v>
      </c>
      <c r="T237" s="589">
        <v>10.491</v>
      </c>
      <c r="U237" s="589">
        <v>9.0530000000000008</v>
      </c>
      <c r="V237" s="590">
        <f>2.257+10.021</f>
        <v>12.278</v>
      </c>
      <c r="W237" s="589">
        <f>9.202+2.138</f>
        <v>11.34</v>
      </c>
      <c r="X237" s="591">
        <f>8.268+2.872</f>
        <v>11.14</v>
      </c>
      <c r="Y237" s="591">
        <v>7.5979999999999999</v>
      </c>
      <c r="Z237" s="591"/>
      <c r="AA237" s="591"/>
      <c r="AB237" s="591"/>
      <c r="AC237" s="591"/>
      <c r="AD237" s="591"/>
      <c r="AE237" s="591"/>
      <c r="AF237" s="591"/>
      <c r="AG237" s="591"/>
      <c r="AH237" s="591"/>
      <c r="AI237" s="589">
        <f t="shared" si="334"/>
        <v>1.3680000000000001</v>
      </c>
      <c r="AJ237" s="589">
        <f t="shared" si="335"/>
        <v>1.3720000000000001</v>
      </c>
      <c r="AK237" s="589">
        <f t="shared" si="336"/>
        <v>6.4560000000000004</v>
      </c>
      <c r="AL237" s="589">
        <f t="shared" si="337"/>
        <v>13.423</v>
      </c>
      <c r="AM237" s="589">
        <f t="shared" si="338"/>
        <v>12.278</v>
      </c>
      <c r="AN237" s="591"/>
      <c r="AO237" s="572"/>
    </row>
    <row r="238" spans="1:41" s="163" customFormat="1" ht="13" x14ac:dyDescent="0.3">
      <c r="A238" s="426" t="s">
        <v>478</v>
      </c>
      <c r="C238" s="592"/>
      <c r="D238" s="592"/>
      <c r="E238" s="592"/>
      <c r="F238" s="593">
        <f t="shared" ref="F238:Y238" si="343">+SUM(F232:F237,F231)</f>
        <v>544.73299999999995</v>
      </c>
      <c r="G238" s="592">
        <f t="shared" si="343"/>
        <v>1820.9390000000001</v>
      </c>
      <c r="H238" s="592">
        <f t="shared" si="343"/>
        <v>1761.3329999999999</v>
      </c>
      <c r="I238" s="592">
        <f t="shared" si="343"/>
        <v>1770.3149999999998</v>
      </c>
      <c r="J238" s="593">
        <f t="shared" si="343"/>
        <v>1763.6910000000003</v>
      </c>
      <c r="K238" s="594">
        <f t="shared" si="343"/>
        <v>1703.0489999999998</v>
      </c>
      <c r="L238" s="594">
        <f t="shared" si="343"/>
        <v>1842.1790000000001</v>
      </c>
      <c r="M238" s="594">
        <f t="shared" si="343"/>
        <v>1856.6929999999998</v>
      </c>
      <c r="N238" s="593">
        <f t="shared" si="343"/>
        <v>1886.5810000000001</v>
      </c>
      <c r="O238" s="592">
        <f t="shared" si="343"/>
        <v>1903.3310000000001</v>
      </c>
      <c r="P238" s="592">
        <f t="shared" si="343"/>
        <v>1911.1770000000001</v>
      </c>
      <c r="Q238" s="592">
        <f t="shared" si="343"/>
        <v>1921.9159999999999</v>
      </c>
      <c r="R238" s="593">
        <f t="shared" si="343"/>
        <v>1885.8250000000003</v>
      </c>
      <c r="S238" s="592">
        <f t="shared" si="343"/>
        <v>1847.6629999999998</v>
      </c>
      <c r="T238" s="592">
        <f t="shared" si="343"/>
        <v>1838.1129999999998</v>
      </c>
      <c r="U238" s="592">
        <f t="shared" si="343"/>
        <v>1629.4470000000001</v>
      </c>
      <c r="V238" s="593">
        <f t="shared" si="343"/>
        <v>1630.6570000000002</v>
      </c>
      <c r="W238" s="592">
        <f t="shared" si="343"/>
        <v>1631.3129999999999</v>
      </c>
      <c r="X238" s="592">
        <f t="shared" si="343"/>
        <v>1635.9500000000003</v>
      </c>
      <c r="Y238" s="592">
        <f t="shared" si="343"/>
        <v>1655.2359999999999</v>
      </c>
      <c r="Z238" s="594"/>
      <c r="AA238" s="594"/>
      <c r="AB238" s="594"/>
      <c r="AC238" s="594"/>
      <c r="AD238" s="594"/>
      <c r="AE238" s="594"/>
      <c r="AF238" s="594"/>
      <c r="AG238" s="594"/>
      <c r="AH238" s="594"/>
      <c r="AI238" s="592">
        <f t="shared" si="334"/>
        <v>544.73299999999995</v>
      </c>
      <c r="AJ238" s="592">
        <f t="shared" si="335"/>
        <v>1763.6910000000003</v>
      </c>
      <c r="AK238" s="592">
        <f t="shared" si="336"/>
        <v>1886.5810000000001</v>
      </c>
      <c r="AL238" s="592">
        <f t="shared" si="337"/>
        <v>1885.8250000000003</v>
      </c>
      <c r="AM238" s="592">
        <f t="shared" si="338"/>
        <v>1630.6570000000002</v>
      </c>
      <c r="AN238" s="594"/>
      <c r="AO238" s="573"/>
    </row>
    <row r="239" spans="1:41" x14ac:dyDescent="0.25">
      <c r="C239" s="568"/>
      <c r="D239" s="568"/>
      <c r="E239" s="568"/>
      <c r="F239" s="588"/>
      <c r="G239" s="568"/>
      <c r="H239" s="568"/>
      <c r="I239" s="568"/>
      <c r="J239" s="588"/>
      <c r="K239" s="583"/>
      <c r="L239" s="583"/>
      <c r="M239" s="583"/>
      <c r="N239" s="588"/>
      <c r="O239" s="568"/>
      <c r="P239" s="568"/>
      <c r="Q239" s="568"/>
      <c r="R239" s="588"/>
      <c r="S239" s="568"/>
      <c r="T239" s="568"/>
      <c r="U239" s="568"/>
      <c r="V239" s="588"/>
      <c r="W239" s="568"/>
      <c r="X239" s="583"/>
      <c r="Y239" s="583"/>
      <c r="Z239" s="583"/>
      <c r="AA239" s="583"/>
      <c r="AB239" s="583"/>
      <c r="AC239" s="583"/>
      <c r="AD239" s="583"/>
      <c r="AE239" s="583"/>
      <c r="AF239" s="583"/>
      <c r="AG239" s="583"/>
      <c r="AH239" s="583"/>
      <c r="AI239" s="568"/>
      <c r="AJ239" s="568"/>
      <c r="AK239" s="568"/>
      <c r="AL239" s="568"/>
      <c r="AM239" s="568"/>
      <c r="AN239" s="583"/>
      <c r="AO239" s="571"/>
    </row>
    <row r="240" spans="1:41" ht="13" x14ac:dyDescent="0.3">
      <c r="A240" s="163" t="s">
        <v>479</v>
      </c>
      <c r="C240" s="568"/>
      <c r="D240" s="568"/>
      <c r="E240" s="568"/>
      <c r="F240" s="588"/>
      <c r="G240" s="568"/>
      <c r="H240" s="568"/>
      <c r="I240" s="568"/>
      <c r="J240" s="588"/>
      <c r="K240" s="583"/>
      <c r="L240" s="583"/>
      <c r="M240" s="583"/>
      <c r="N240" s="588"/>
      <c r="O240" s="568"/>
      <c r="P240" s="568"/>
      <c r="Q240" s="568"/>
      <c r="R240" s="588"/>
      <c r="S240" s="568"/>
      <c r="T240" s="568"/>
      <c r="U240" s="568"/>
      <c r="V240" s="588"/>
      <c r="W240" s="568"/>
      <c r="X240" s="583"/>
      <c r="Y240" s="583"/>
      <c r="Z240" s="583"/>
      <c r="AA240" s="583"/>
      <c r="AB240" s="583"/>
      <c r="AC240" s="583"/>
      <c r="AD240" s="583"/>
      <c r="AE240" s="583"/>
      <c r="AF240" s="583"/>
      <c r="AG240" s="583"/>
      <c r="AH240" s="583"/>
      <c r="AI240" s="568"/>
      <c r="AJ240" s="568"/>
      <c r="AK240" s="568"/>
      <c r="AL240" s="568"/>
      <c r="AM240" s="568"/>
      <c r="AN240" s="583"/>
      <c r="AO240" s="571"/>
    </row>
    <row r="241" spans="1:41" x14ac:dyDescent="0.25">
      <c r="A241" s="132" t="s">
        <v>480</v>
      </c>
      <c r="C241" s="611"/>
      <c r="D241" s="611"/>
      <c r="E241" s="611"/>
      <c r="F241" s="616">
        <f>+JPM!L97</f>
        <v>36.341999999999999</v>
      </c>
      <c r="G241" s="611">
        <f>+JPM!N97</f>
        <v>32.826000000000001</v>
      </c>
      <c r="H241" s="611">
        <f>+JPM!O97</f>
        <v>31.062000000000001</v>
      </c>
      <c r="I241" s="611">
        <f>+JPM!P97</f>
        <v>39.197000000000003</v>
      </c>
      <c r="J241" s="616">
        <f>+JPM!Q97</f>
        <v>44.116999999999997</v>
      </c>
      <c r="K241" s="611">
        <f>+JPM!T97</f>
        <v>36.008000000000003</v>
      </c>
      <c r="L241" s="611">
        <f>+JPM!U97</f>
        <v>47.314</v>
      </c>
      <c r="M241" s="611">
        <f>+JPM!V97</f>
        <v>46.078000000000003</v>
      </c>
      <c r="N241" s="616">
        <f>+JPM!W97</f>
        <v>53.976999999999997</v>
      </c>
      <c r="O241" s="611">
        <f>+JPM!Z97</f>
        <v>51.45</v>
      </c>
      <c r="P241" s="611">
        <f>+JPM!AA97</f>
        <v>49.533999999999999</v>
      </c>
      <c r="Q241" s="611">
        <v>52.284999999999997</v>
      </c>
      <c r="R241" s="616">
        <v>54.947000000000003</v>
      </c>
      <c r="S241" s="611">
        <v>47.484000000000002</v>
      </c>
      <c r="T241" s="611">
        <v>51.93</v>
      </c>
      <c r="U241" s="611">
        <v>55.954000000000001</v>
      </c>
      <c r="V241" s="616">
        <v>47.024000000000001</v>
      </c>
      <c r="W241" s="611">
        <v>47.956000000000003</v>
      </c>
      <c r="X241" s="611">
        <v>55.468000000000004</v>
      </c>
      <c r="Y241" s="611">
        <v>71.108000000000004</v>
      </c>
      <c r="Z241" s="611"/>
      <c r="AA241" s="611"/>
      <c r="AB241" s="611"/>
      <c r="AC241" s="611"/>
      <c r="AD241" s="611"/>
      <c r="AE241" s="611"/>
      <c r="AF241" s="611"/>
      <c r="AG241" s="611"/>
      <c r="AH241" s="611"/>
      <c r="AI241" s="611">
        <f>+F241</f>
        <v>36.341999999999999</v>
      </c>
      <c r="AJ241" s="611">
        <f>+J241</f>
        <v>44.116999999999997</v>
      </c>
      <c r="AK241" s="611">
        <f>+N241</f>
        <v>53.976999999999997</v>
      </c>
      <c r="AL241" s="611">
        <f t="shared" ref="AL241:AL254" si="344">+R241</f>
        <v>54.947000000000003</v>
      </c>
      <c r="AM241" s="611">
        <f t="shared" ref="AM241:AM254" si="345">+V241</f>
        <v>47.024000000000001</v>
      </c>
      <c r="AN241" s="583"/>
      <c r="AO241" s="571"/>
    </row>
    <row r="242" spans="1:41" x14ac:dyDescent="0.25">
      <c r="A242" s="132" t="s">
        <v>481</v>
      </c>
      <c r="C242" s="611"/>
      <c r="D242" s="611"/>
      <c r="E242" s="611"/>
      <c r="F242" s="616">
        <f>+JPM!L96</f>
        <v>16.757999999999999</v>
      </c>
      <c r="G242" s="611">
        <f>+JPM!N96</f>
        <v>20.395</v>
      </c>
      <c r="H242" s="611">
        <f>+JPM!O96</f>
        <v>9.407</v>
      </c>
      <c r="I242" s="611">
        <f>+JPM!P96</f>
        <v>15.545</v>
      </c>
      <c r="J242" s="616">
        <f>+JPM!Q96</f>
        <v>18.939</v>
      </c>
      <c r="K242" s="611">
        <f>+JPM!T96</f>
        <v>23.334</v>
      </c>
      <c r="L242" s="611">
        <f>+JPM!U96</f>
        <v>22.244</v>
      </c>
      <c r="M242" s="611">
        <f>+JPM!V96</f>
        <v>26.172999999999998</v>
      </c>
      <c r="N242" s="616">
        <f>+JPM!W96</f>
        <v>30.053999999999998</v>
      </c>
      <c r="O242" s="611">
        <f>+JPM!Z96</f>
        <v>20.709</v>
      </c>
      <c r="P242" s="611">
        <f>+JPM!AA96</f>
        <v>24.75</v>
      </c>
      <c r="Q242" s="611">
        <v>23.47</v>
      </c>
      <c r="R242" s="616">
        <v>22.702000000000002</v>
      </c>
      <c r="S242" s="611">
        <v>12.99</v>
      </c>
      <c r="T242" s="611">
        <v>15.231</v>
      </c>
      <c r="U242" s="611">
        <v>15.954000000000001</v>
      </c>
      <c r="V242" s="616">
        <v>16.379000000000001</v>
      </c>
      <c r="W242" s="611">
        <v>12.742000000000001</v>
      </c>
      <c r="X242" s="611">
        <v>17.422000000000001</v>
      </c>
      <c r="Y242" s="611">
        <v>18.687000000000001</v>
      </c>
      <c r="Z242" s="611"/>
      <c r="AA242" s="611"/>
      <c r="AB242" s="611"/>
      <c r="AC242" s="611"/>
      <c r="AD242" s="611"/>
      <c r="AE242" s="611"/>
      <c r="AF242" s="611"/>
      <c r="AG242" s="611"/>
      <c r="AH242" s="611"/>
      <c r="AI242" s="611">
        <f>+F242</f>
        <v>16.757999999999999</v>
      </c>
      <c r="AJ242" s="611">
        <f>+J242</f>
        <v>18.939</v>
      </c>
      <c r="AK242" s="611">
        <f>+N242</f>
        <v>30.053999999999998</v>
      </c>
      <c r="AL242" s="611">
        <f t="shared" si="344"/>
        <v>22.702000000000002</v>
      </c>
      <c r="AM242" s="611">
        <f t="shared" si="345"/>
        <v>16.379000000000001</v>
      </c>
      <c r="AN242" s="583"/>
      <c r="AO242" s="571"/>
    </row>
    <row r="243" spans="1:41" x14ac:dyDescent="0.25">
      <c r="A243" s="132" t="s">
        <v>482</v>
      </c>
      <c r="C243" s="611"/>
      <c r="D243" s="611"/>
      <c r="E243" s="611"/>
      <c r="F243" s="616">
        <f>+JPM!L102</f>
        <v>22.763999999999999</v>
      </c>
      <c r="G243" s="611">
        <f>+JPM!N102</f>
        <v>21.222999999999999</v>
      </c>
      <c r="H243" s="611">
        <f>+JPM!O102</f>
        <v>24.18</v>
      </c>
      <c r="I243" s="611">
        <f>+JPM!P102</f>
        <v>22.938000000000002</v>
      </c>
      <c r="J243" s="616">
        <f>+JPM!Q102</f>
        <v>25.199999999999996</v>
      </c>
      <c r="K243" s="611">
        <f>+JPM!T102</f>
        <v>25.893000000000001</v>
      </c>
      <c r="L243" s="611">
        <f>+JPM!U102</f>
        <v>27.346</v>
      </c>
      <c r="M243" s="611">
        <f>+JPM!V102</f>
        <v>23.966000000000001</v>
      </c>
      <c r="N243" s="616">
        <f>+JPM!W102</f>
        <v>21.829000000000001</v>
      </c>
      <c r="O243" s="611">
        <f>+JPM!Z102</f>
        <v>17.984999999999999</v>
      </c>
      <c r="P243" s="611">
        <f>+JPM!AA102</f>
        <v>17.779</v>
      </c>
      <c r="Q243" s="611">
        <v>17.873000000000001</v>
      </c>
      <c r="R243" s="616">
        <v>16.399999999999999</v>
      </c>
      <c r="S243" s="611">
        <v>16.782</v>
      </c>
      <c r="T243" s="611">
        <v>15.661</v>
      </c>
      <c r="U243" s="611">
        <v>16.501999999999999</v>
      </c>
      <c r="V243" s="616">
        <v>16.161999999999999</v>
      </c>
      <c r="W243" s="611">
        <v>24.102</v>
      </c>
      <c r="X243" s="611">
        <v>20.640999999999998</v>
      </c>
      <c r="Y243" s="611">
        <v>22.962</v>
      </c>
      <c r="Z243" s="611"/>
      <c r="AA243" s="611"/>
      <c r="AB243" s="611"/>
      <c r="AC243" s="611"/>
      <c r="AD243" s="611"/>
      <c r="AE243" s="611"/>
      <c r="AF243" s="611"/>
      <c r="AG243" s="611"/>
      <c r="AH243" s="611"/>
      <c r="AI243" s="611">
        <f>+F243</f>
        <v>22.763999999999999</v>
      </c>
      <c r="AJ243" s="611">
        <f>+J243</f>
        <v>25.199999999999996</v>
      </c>
      <c r="AK243" s="611">
        <f>+N243</f>
        <v>21.829000000000001</v>
      </c>
      <c r="AL243" s="611">
        <f t="shared" si="344"/>
        <v>16.399999999999999</v>
      </c>
      <c r="AM243" s="611">
        <f t="shared" si="345"/>
        <v>16.161999999999999</v>
      </c>
      <c r="AN243" s="583"/>
      <c r="AO243" s="571"/>
    </row>
    <row r="244" spans="1:41" x14ac:dyDescent="0.25">
      <c r="A244" s="132" t="s">
        <v>483</v>
      </c>
      <c r="C244" s="611"/>
      <c r="D244" s="611"/>
      <c r="E244" s="611"/>
      <c r="F244" s="616">
        <f>+JPM!L105</f>
        <v>0</v>
      </c>
      <c r="G244" s="611">
        <f>+JPM!N105</f>
        <v>6.7</v>
      </c>
      <c r="H244" s="611">
        <f>+JPM!O105</f>
        <v>6.7</v>
      </c>
      <c r="I244" s="611">
        <f>+JPM!P105</f>
        <v>6.7</v>
      </c>
      <c r="J244" s="616">
        <f>+JPM!Q105</f>
        <v>6.7</v>
      </c>
      <c r="K244" s="611">
        <f>+JPM!T105</f>
        <v>7.7050000000000001</v>
      </c>
      <c r="L244" s="611">
        <v>0</v>
      </c>
      <c r="M244" s="611">
        <v>0</v>
      </c>
      <c r="N244" s="616">
        <v>0</v>
      </c>
      <c r="O244" s="611">
        <v>0</v>
      </c>
      <c r="P244" s="611">
        <v>0</v>
      </c>
      <c r="Q244" s="611">
        <v>0</v>
      </c>
      <c r="R244" s="616">
        <v>0</v>
      </c>
      <c r="S244" s="611">
        <v>0</v>
      </c>
      <c r="T244" s="611">
        <v>0</v>
      </c>
      <c r="U244" s="611">
        <v>0</v>
      </c>
      <c r="V244" s="616">
        <v>0</v>
      </c>
      <c r="W244" s="611">
        <v>0</v>
      </c>
      <c r="X244" s="611">
        <v>0</v>
      </c>
      <c r="Y244" s="611">
        <v>0</v>
      </c>
      <c r="Z244" s="611"/>
      <c r="AA244" s="611"/>
      <c r="AB244" s="611"/>
      <c r="AC244" s="611"/>
      <c r="AD244" s="611"/>
      <c r="AE244" s="611"/>
      <c r="AF244" s="611"/>
      <c r="AG244" s="611"/>
      <c r="AH244" s="611"/>
      <c r="AI244" s="611">
        <f>+F244</f>
        <v>0</v>
      </c>
      <c r="AJ244" s="611">
        <f>+J244</f>
        <v>6.7</v>
      </c>
      <c r="AK244" s="611">
        <f>+N244</f>
        <v>0</v>
      </c>
      <c r="AL244" s="611">
        <f t="shared" si="344"/>
        <v>0</v>
      </c>
      <c r="AM244" s="611">
        <f t="shared" si="345"/>
        <v>0</v>
      </c>
      <c r="AN244" s="583"/>
      <c r="AO244" s="571"/>
    </row>
    <row r="245" spans="1:41" x14ac:dyDescent="0.25">
      <c r="A245" s="132" t="s">
        <v>484</v>
      </c>
      <c r="C245" s="611"/>
      <c r="D245" s="611"/>
      <c r="E245" s="611"/>
      <c r="F245" s="616">
        <f>+JPM!L104</f>
        <v>1.8779999999999999</v>
      </c>
      <c r="G245" s="611">
        <f>+JPM!N104</f>
        <v>1.28</v>
      </c>
      <c r="H245" s="611">
        <f>+JPM!O104</f>
        <v>1.9179999999999999</v>
      </c>
      <c r="I245" s="611">
        <f>+JPM!P104</f>
        <v>2.5609999999999999</v>
      </c>
      <c r="J245" s="616">
        <f>+JPM!Q104</f>
        <v>2.4510000000000001</v>
      </c>
      <c r="K245" s="611">
        <f>+JPM!T104</f>
        <v>2.742</v>
      </c>
      <c r="L245" s="611">
        <f>+JPM!U104</f>
        <v>1.9219999999999999</v>
      </c>
      <c r="M245" s="611">
        <f>+JPM!V104</f>
        <v>2.5779999999999998</v>
      </c>
      <c r="N245" s="616">
        <f>+JPM!W104</f>
        <v>2.573</v>
      </c>
      <c r="O245" s="611">
        <f>+JPM!Z104</f>
        <v>9.5530000000000008</v>
      </c>
      <c r="P245" s="611">
        <f>+JPM!AA104</f>
        <v>8.6780000000000008</v>
      </c>
      <c r="Q245" s="611">
        <v>1.661</v>
      </c>
      <c r="R245" s="616">
        <v>0.72399999999999998</v>
      </c>
      <c r="S245" s="611">
        <v>0.80800000000000005</v>
      </c>
      <c r="T245" s="611">
        <v>0.379</v>
      </c>
      <c r="U245" s="611">
        <v>0.48</v>
      </c>
      <c r="V245" s="616">
        <v>0.26400000000000001</v>
      </c>
      <c r="W245" s="611">
        <v>2.988</v>
      </c>
      <c r="X245" s="611">
        <v>0.33100000000000002</v>
      </c>
      <c r="Y245" s="611">
        <v>3.5339999999999998</v>
      </c>
      <c r="Z245" s="611"/>
      <c r="AA245" s="611"/>
      <c r="AB245" s="611"/>
      <c r="AC245" s="611"/>
      <c r="AD245" s="611"/>
      <c r="AE245" s="611"/>
      <c r="AF245" s="611"/>
      <c r="AG245" s="611"/>
      <c r="AH245" s="611"/>
      <c r="AI245" s="611">
        <f>+F245</f>
        <v>1.8779999999999999</v>
      </c>
      <c r="AJ245" s="611">
        <f>+J245</f>
        <v>2.4510000000000001</v>
      </c>
      <c r="AK245" s="611">
        <f>+N245</f>
        <v>2.573</v>
      </c>
      <c r="AL245" s="611">
        <f t="shared" si="344"/>
        <v>0.72399999999999998</v>
      </c>
      <c r="AM245" s="611">
        <f t="shared" si="345"/>
        <v>0.26400000000000001</v>
      </c>
      <c r="AN245" s="583"/>
      <c r="AO245" s="571"/>
    </row>
    <row r="246" spans="1:41" x14ac:dyDescent="0.25">
      <c r="A246" s="132" t="s">
        <v>485</v>
      </c>
      <c r="C246" s="611">
        <v>0</v>
      </c>
      <c r="D246" s="611">
        <v>0</v>
      </c>
      <c r="E246" s="611">
        <v>0</v>
      </c>
      <c r="F246" s="616">
        <v>0</v>
      </c>
      <c r="G246" s="611">
        <v>0</v>
      </c>
      <c r="H246" s="611">
        <v>0</v>
      </c>
      <c r="I246" s="611">
        <v>0</v>
      </c>
      <c r="J246" s="616">
        <v>0</v>
      </c>
      <c r="K246" s="611">
        <v>0</v>
      </c>
      <c r="L246" s="611">
        <v>0</v>
      </c>
      <c r="M246" s="611">
        <v>0</v>
      </c>
      <c r="N246" s="616">
        <v>0</v>
      </c>
      <c r="O246" s="611">
        <v>0</v>
      </c>
      <c r="P246" s="611">
        <v>0</v>
      </c>
      <c r="Q246" s="611">
        <v>5.5</v>
      </c>
      <c r="R246" s="616">
        <v>4.9569999999999999</v>
      </c>
      <c r="S246" s="611">
        <v>5.64</v>
      </c>
      <c r="T246" s="611">
        <v>5.5940000000000003</v>
      </c>
      <c r="U246" s="611">
        <v>4.7329999999999997</v>
      </c>
      <c r="V246" s="616">
        <v>3.3540000000000001</v>
      </c>
      <c r="W246" s="611">
        <v>3.367</v>
      </c>
      <c r="X246" s="611">
        <v>2.984</v>
      </c>
      <c r="Y246" s="611">
        <v>2.5659999999999998</v>
      </c>
      <c r="Z246" s="611"/>
      <c r="AA246" s="611"/>
      <c r="AB246" s="611"/>
      <c r="AC246" s="611"/>
      <c r="AD246" s="611"/>
      <c r="AE246" s="611"/>
      <c r="AF246" s="611"/>
      <c r="AG246" s="611"/>
      <c r="AH246" s="611"/>
      <c r="AI246" s="611">
        <v>0</v>
      </c>
      <c r="AJ246" s="611">
        <v>0</v>
      </c>
      <c r="AK246" s="611">
        <v>0</v>
      </c>
      <c r="AL246" s="611">
        <f t="shared" si="344"/>
        <v>4.9569999999999999</v>
      </c>
      <c r="AM246" s="611">
        <f t="shared" si="345"/>
        <v>3.3540000000000001</v>
      </c>
      <c r="AN246" s="583"/>
      <c r="AO246" s="571"/>
    </row>
    <row r="247" spans="1:41" s="565" customFormat="1" x14ac:dyDescent="0.25">
      <c r="A247" s="132" t="s">
        <v>486</v>
      </c>
      <c r="C247" s="589"/>
      <c r="D247" s="589"/>
      <c r="E247" s="589"/>
      <c r="F247" s="590">
        <f>+JPM!L103</f>
        <v>0.69099999999999995</v>
      </c>
      <c r="G247" s="589">
        <f>+JPM!N103</f>
        <v>0.998</v>
      </c>
      <c r="H247" s="589">
        <f>+JPM!O103</f>
        <v>0.68600000000000005</v>
      </c>
      <c r="I247" s="589">
        <f>+JPM!P103</f>
        <v>0.622</v>
      </c>
      <c r="J247" s="590">
        <f>+JPM!Q103</f>
        <v>0.43099999999999999</v>
      </c>
      <c r="K247" s="591">
        <f>+JPM!T103</f>
        <v>0.46200000000000002</v>
      </c>
      <c r="L247" s="591">
        <f>+JPM!U103</f>
        <v>0.54</v>
      </c>
      <c r="M247" s="591">
        <f>+JPM!V103</f>
        <v>0.504</v>
      </c>
      <c r="N247" s="590">
        <f>+JPM!W103</f>
        <v>0.873</v>
      </c>
      <c r="O247" s="589">
        <f>+JPM!Z103</f>
        <v>0.72499999999999998</v>
      </c>
      <c r="P247" s="589">
        <f>+JPM!AA103</f>
        <v>0.69699999999999995</v>
      </c>
      <c r="Q247" s="589">
        <v>0.84699999999999998</v>
      </c>
      <c r="R247" s="590">
        <v>1.056</v>
      </c>
      <c r="S247" s="589">
        <v>1.256</v>
      </c>
      <c r="T247" s="589">
        <v>1.31</v>
      </c>
      <c r="U247" s="589">
        <v>1.159</v>
      </c>
      <c r="V247" s="590">
        <v>1.8560000000000001</v>
      </c>
      <c r="W247" s="589">
        <v>2.0430000000000001</v>
      </c>
      <c r="X247" s="591">
        <v>2.234</v>
      </c>
      <c r="Y247" s="591">
        <v>2.4950000000000001</v>
      </c>
      <c r="Z247" s="591"/>
      <c r="AA247" s="591"/>
      <c r="AB247" s="591"/>
      <c r="AC247" s="591"/>
      <c r="AD247" s="591"/>
      <c r="AE247" s="591"/>
      <c r="AF247" s="591"/>
      <c r="AG247" s="591"/>
      <c r="AH247" s="591"/>
      <c r="AI247" s="589">
        <f t="shared" ref="AI247:AI254" si="346">+F247</f>
        <v>0.69099999999999995</v>
      </c>
      <c r="AJ247" s="589">
        <f t="shared" ref="AJ247:AJ254" si="347">+J247</f>
        <v>0.43099999999999999</v>
      </c>
      <c r="AK247" s="589">
        <f t="shared" ref="AK247:AK254" si="348">+N247</f>
        <v>0.873</v>
      </c>
      <c r="AL247" s="589">
        <f t="shared" si="344"/>
        <v>1.056</v>
      </c>
      <c r="AM247" s="589">
        <f t="shared" si="345"/>
        <v>1.8560000000000001</v>
      </c>
      <c r="AN247" s="591"/>
      <c r="AO247" s="572"/>
    </row>
    <row r="248" spans="1:41" x14ac:dyDescent="0.25">
      <c r="A248" s="425" t="s">
        <v>487</v>
      </c>
      <c r="C248" s="568"/>
      <c r="D248" s="568"/>
      <c r="E248" s="568"/>
      <c r="F248" s="588">
        <f t="shared" ref="F248" si="349">+SUM(F241:F247)</f>
        <v>78.432999999999993</v>
      </c>
      <c r="G248" s="568">
        <f t="shared" ref="G248" si="350">+SUM(G241:G247)</f>
        <v>83.422000000000011</v>
      </c>
      <c r="H248" s="568">
        <f t="shared" ref="H248" si="351">+SUM(H241:H247)</f>
        <v>73.953000000000017</v>
      </c>
      <c r="I248" s="568">
        <f t="shared" ref="I248" si="352">+SUM(I241:I247)</f>
        <v>87.563000000000002</v>
      </c>
      <c r="J248" s="588">
        <f t="shared" ref="J248" si="353">+SUM(J241:J247)</f>
        <v>97.837999999999994</v>
      </c>
      <c r="K248" s="583">
        <f t="shared" ref="K248:M248" si="354">+SUM(K241:K247)</f>
        <v>96.144000000000005</v>
      </c>
      <c r="L248" s="583">
        <f t="shared" si="354"/>
        <v>99.366</v>
      </c>
      <c r="M248" s="583">
        <f t="shared" si="354"/>
        <v>99.299000000000021</v>
      </c>
      <c r="N248" s="588">
        <f>+SUM(N241:N247)</f>
        <v>109.30599999999998</v>
      </c>
      <c r="O248" s="568">
        <f t="shared" ref="O248" si="355">+SUM(O241:O247)</f>
        <v>100.422</v>
      </c>
      <c r="P248" s="568">
        <f t="shared" ref="P248:Y248" si="356">+SUM(P241:P247)</f>
        <v>101.43799999999999</v>
      </c>
      <c r="Q248" s="568">
        <f t="shared" si="356"/>
        <v>101.636</v>
      </c>
      <c r="R248" s="588">
        <f t="shared" si="356"/>
        <v>100.786</v>
      </c>
      <c r="S248" s="568">
        <f t="shared" si="356"/>
        <v>84.960000000000008</v>
      </c>
      <c r="T248" s="568">
        <f t="shared" si="356"/>
        <v>90.105000000000004</v>
      </c>
      <c r="U248" s="568">
        <f t="shared" si="356"/>
        <v>94.782000000000011</v>
      </c>
      <c r="V248" s="588">
        <f t="shared" si="356"/>
        <v>85.038999999999987</v>
      </c>
      <c r="W248" s="568">
        <f t="shared" si="356"/>
        <v>93.198000000000022</v>
      </c>
      <c r="X248" s="568">
        <f t="shared" si="356"/>
        <v>99.08</v>
      </c>
      <c r="Y248" s="568">
        <f t="shared" si="356"/>
        <v>121.35200000000002</v>
      </c>
      <c r="Z248" s="583"/>
      <c r="AA248" s="583"/>
      <c r="AB248" s="583"/>
      <c r="AC248" s="583"/>
      <c r="AD248" s="583"/>
      <c r="AE248" s="583"/>
      <c r="AF248" s="583"/>
      <c r="AG248" s="583"/>
      <c r="AH248" s="583"/>
      <c r="AI248" s="568">
        <f t="shared" si="346"/>
        <v>78.432999999999993</v>
      </c>
      <c r="AJ248" s="568">
        <f t="shared" si="347"/>
        <v>97.837999999999994</v>
      </c>
      <c r="AK248" s="568">
        <f t="shared" si="348"/>
        <v>109.30599999999998</v>
      </c>
      <c r="AL248" s="568">
        <f t="shared" si="344"/>
        <v>100.786</v>
      </c>
      <c r="AM248" s="568">
        <f t="shared" si="345"/>
        <v>85.038999999999987</v>
      </c>
      <c r="AN248" s="583"/>
      <c r="AO248" s="571"/>
    </row>
    <row r="249" spans="1:41" x14ac:dyDescent="0.25">
      <c r="A249" s="132" t="s">
        <v>488</v>
      </c>
      <c r="C249" s="568"/>
      <c r="D249" s="568"/>
      <c r="E249" s="568"/>
      <c r="F249" s="588">
        <f>+JPM!L110</f>
        <v>540.83900000000006</v>
      </c>
      <c r="G249" s="568">
        <f>+JPM!N110</f>
        <v>805.96600000000001</v>
      </c>
      <c r="H249" s="568">
        <f>+JPM!O110</f>
        <v>780.16899999999998</v>
      </c>
      <c r="I249" s="568">
        <f>+JPM!P110</f>
        <v>779.38199999999995</v>
      </c>
      <c r="J249" s="588">
        <f>+JPM!Q110</f>
        <v>778.60500000000002</v>
      </c>
      <c r="K249" s="583">
        <f>+JPM!T110</f>
        <v>741.90800000000002</v>
      </c>
      <c r="L249" s="583">
        <f>+JPM!U110</f>
        <v>553.96799999999996</v>
      </c>
      <c r="M249" s="583">
        <f>+JPM!V110</f>
        <v>554.40499999999997</v>
      </c>
      <c r="N249" s="588">
        <f>+JPM!W110</f>
        <v>554.84500000000003</v>
      </c>
      <c r="O249" s="568">
        <f>+JPM!Z110</f>
        <v>555.29</v>
      </c>
      <c r="P249" s="568">
        <f>+JPM!AA110</f>
        <v>555.73900000000003</v>
      </c>
      <c r="Q249" s="568">
        <v>556.19200000000001</v>
      </c>
      <c r="R249" s="588">
        <v>556.649</v>
      </c>
      <c r="S249" s="568">
        <v>557.11099999999999</v>
      </c>
      <c r="T249" s="568">
        <v>557.57600000000002</v>
      </c>
      <c r="U249" s="568">
        <v>558.01199999999994</v>
      </c>
      <c r="V249" s="588">
        <v>558.45600000000002</v>
      </c>
      <c r="W249" s="568">
        <v>558.90899999999999</v>
      </c>
      <c r="X249" s="583">
        <v>559.37199999999996</v>
      </c>
      <c r="Y249" s="583">
        <v>559.84400000000005</v>
      </c>
      <c r="Z249" s="583"/>
      <c r="AA249" s="583"/>
      <c r="AB249" s="583"/>
      <c r="AC249" s="583"/>
      <c r="AD249" s="583"/>
      <c r="AE249" s="583"/>
      <c r="AF249" s="583"/>
      <c r="AG249" s="583"/>
      <c r="AH249" s="583"/>
      <c r="AI249" s="568">
        <f t="shared" si="346"/>
        <v>540.83900000000006</v>
      </c>
      <c r="AJ249" s="568">
        <f t="shared" si="347"/>
        <v>778.60500000000002</v>
      </c>
      <c r="AK249" s="568">
        <f t="shared" si="348"/>
        <v>554.84500000000003</v>
      </c>
      <c r="AL249" s="568">
        <f t="shared" si="344"/>
        <v>556.649</v>
      </c>
      <c r="AM249" s="568">
        <f t="shared" si="345"/>
        <v>558.45600000000002</v>
      </c>
      <c r="AN249" s="583"/>
      <c r="AO249" s="571"/>
    </row>
    <row r="250" spans="1:41" x14ac:dyDescent="0.25">
      <c r="A250" s="132" t="s">
        <v>489</v>
      </c>
      <c r="C250" s="568"/>
      <c r="D250" s="568"/>
      <c r="E250" s="568"/>
      <c r="F250" s="588">
        <f>+JPM!L111</f>
        <v>12.82</v>
      </c>
      <c r="G250" s="568">
        <f>+JPM!N111</f>
        <v>116.616</v>
      </c>
      <c r="H250" s="568">
        <f>+JPM!O111</f>
        <v>107.827</v>
      </c>
      <c r="I250" s="568">
        <f>+JPM!P111</f>
        <v>99.513000000000005</v>
      </c>
      <c r="J250" s="588">
        <f>+JPM!Q111</f>
        <v>86.77</v>
      </c>
      <c r="K250" s="583">
        <f>+JPM!T111</f>
        <v>80.968999999999994</v>
      </c>
      <c r="L250" s="583">
        <f>+JPM!U111</f>
        <v>81.744</v>
      </c>
      <c r="M250" s="583">
        <f>+JPM!V111</f>
        <v>82.162999999999997</v>
      </c>
      <c r="N250" s="588">
        <f>+JPM!W111</f>
        <v>84.653000000000006</v>
      </c>
      <c r="O250" s="568">
        <f>+JPM!Z111</f>
        <v>86.49</v>
      </c>
      <c r="P250" s="568">
        <f>+JPM!AA111</f>
        <v>87.757000000000005</v>
      </c>
      <c r="Q250" s="568">
        <v>90.841999999999999</v>
      </c>
      <c r="R250" s="588">
        <v>90.555999999999997</v>
      </c>
      <c r="S250" s="568">
        <v>88.421999999999997</v>
      </c>
      <c r="T250" s="568">
        <v>87.581999999999994</v>
      </c>
      <c r="U250" s="568">
        <v>82.215000000000003</v>
      </c>
      <c r="V250" s="588">
        <v>71.274000000000001</v>
      </c>
      <c r="W250" s="568">
        <v>63.603999999999999</v>
      </c>
      <c r="X250" s="583">
        <v>56.508000000000003</v>
      </c>
      <c r="Y250" s="583">
        <v>48.180999999999997</v>
      </c>
      <c r="Z250" s="583"/>
      <c r="AA250" s="583"/>
      <c r="AB250" s="583"/>
      <c r="AC250" s="583"/>
      <c r="AD250" s="583"/>
      <c r="AE250" s="583"/>
      <c r="AF250" s="583"/>
      <c r="AG250" s="583"/>
      <c r="AH250" s="583"/>
      <c r="AI250" s="568">
        <f t="shared" si="346"/>
        <v>12.82</v>
      </c>
      <c r="AJ250" s="568">
        <f t="shared" si="347"/>
        <v>86.77</v>
      </c>
      <c r="AK250" s="568">
        <f t="shared" si="348"/>
        <v>84.653000000000006</v>
      </c>
      <c r="AL250" s="568">
        <f t="shared" si="344"/>
        <v>90.555999999999997</v>
      </c>
      <c r="AM250" s="568">
        <f t="shared" si="345"/>
        <v>71.274000000000001</v>
      </c>
      <c r="AN250" s="583"/>
      <c r="AO250" s="571"/>
    </row>
    <row r="251" spans="1:41" s="413" customFormat="1" ht="14" x14ac:dyDescent="0.4">
      <c r="A251" s="132" t="s">
        <v>490</v>
      </c>
      <c r="C251" s="612"/>
      <c r="D251" s="612"/>
      <c r="E251" s="612"/>
      <c r="F251" s="617">
        <f>+JPM!L112</f>
        <v>6.8579999999999997</v>
      </c>
      <c r="G251" s="612">
        <f>+JPM!N112</f>
        <v>5.9779999999999998</v>
      </c>
      <c r="H251" s="612">
        <f>+JPM!O112</f>
        <v>5.7880000000000003</v>
      </c>
      <c r="I251" s="612">
        <f>+JPM!P112</f>
        <v>6.1740000000000004</v>
      </c>
      <c r="J251" s="617">
        <f>+JPM!Q112</f>
        <v>6.2080000000000002</v>
      </c>
      <c r="K251" s="612">
        <f>+JPM!T112</f>
        <v>5.8250000000000002</v>
      </c>
      <c r="L251" s="612">
        <f>+JPM!U112</f>
        <v>7.306</v>
      </c>
      <c r="M251" s="612">
        <f>+JPM!V112</f>
        <v>6.6070000000000002</v>
      </c>
      <c r="N251" s="617">
        <f>+JPM!W112</f>
        <v>5.5389999999999997</v>
      </c>
      <c r="O251" s="612">
        <f>+JPM!Z112</f>
        <v>14.989000000000001</v>
      </c>
      <c r="P251" s="612">
        <f>+JPM!AA112</f>
        <v>14.617999999999999</v>
      </c>
      <c r="Q251" s="612">
        <f>Q252-SUM(Q248:Q250)</f>
        <v>13.263000000000034</v>
      </c>
      <c r="R251" s="617">
        <f>7.879+3.337</f>
        <v>11.215999999999999</v>
      </c>
      <c r="S251" s="612">
        <f>6.673+3.17</f>
        <v>9.843</v>
      </c>
      <c r="T251" s="612">
        <f>5.73+3.012</f>
        <v>8.7420000000000009</v>
      </c>
      <c r="U251" s="612">
        <f>3.847+2.591</f>
        <v>6.4380000000000006</v>
      </c>
      <c r="V251" s="617">
        <v>5.931</v>
      </c>
      <c r="W251" s="612">
        <f>+W252-W250-W249-W248</f>
        <v>7.8579999999997909</v>
      </c>
      <c r="X251" s="612">
        <f>+X252-X250-X249-X248</f>
        <v>7.6790000000000163</v>
      </c>
      <c r="Y251" s="612">
        <f>+Y252-Y250-Y249-Y248</f>
        <v>7.04299999999985</v>
      </c>
      <c r="Z251" s="612"/>
      <c r="AA251" s="612"/>
      <c r="AB251" s="612"/>
      <c r="AC251" s="612"/>
      <c r="AD251" s="612"/>
      <c r="AE251" s="612"/>
      <c r="AF251" s="612"/>
      <c r="AG251" s="612"/>
      <c r="AH251" s="612"/>
      <c r="AI251" s="612">
        <f t="shared" si="346"/>
        <v>6.8579999999999997</v>
      </c>
      <c r="AJ251" s="612">
        <f t="shared" si="347"/>
        <v>6.2080000000000002</v>
      </c>
      <c r="AK251" s="612">
        <f t="shared" si="348"/>
        <v>5.5389999999999997</v>
      </c>
      <c r="AL251" s="612">
        <f t="shared" si="344"/>
        <v>11.215999999999999</v>
      </c>
      <c r="AM251" s="612">
        <f t="shared" si="345"/>
        <v>5.931</v>
      </c>
      <c r="AN251" s="719"/>
      <c r="AO251" s="614"/>
    </row>
    <row r="252" spans="1:41" x14ac:dyDescent="0.25">
      <c r="A252" s="425" t="s">
        <v>491</v>
      </c>
      <c r="C252" s="611"/>
      <c r="D252" s="611"/>
      <c r="E252" s="611"/>
      <c r="F252" s="616">
        <f t="shared" ref="F252:O252" si="357">SUM(F248:F251)</f>
        <v>638.95000000000005</v>
      </c>
      <c r="G252" s="611">
        <f t="shared" si="357"/>
        <v>1011.982</v>
      </c>
      <c r="H252" s="611">
        <f t="shared" si="357"/>
        <v>967.73699999999997</v>
      </c>
      <c r="I252" s="611">
        <f t="shared" si="357"/>
        <v>972.63199999999995</v>
      </c>
      <c r="J252" s="616">
        <f t="shared" si="357"/>
        <v>969.42099999999994</v>
      </c>
      <c r="K252" s="611">
        <f t="shared" si="357"/>
        <v>924.846</v>
      </c>
      <c r="L252" s="611">
        <f t="shared" si="357"/>
        <v>742.38400000000001</v>
      </c>
      <c r="M252" s="611">
        <f t="shared" si="357"/>
        <v>742.47399999999993</v>
      </c>
      <c r="N252" s="616">
        <f t="shared" si="357"/>
        <v>754.34300000000007</v>
      </c>
      <c r="O252" s="611">
        <f t="shared" si="357"/>
        <v>757.19100000000003</v>
      </c>
      <c r="P252" s="611">
        <f>SUM(P248:P251)</f>
        <v>759.55200000000002</v>
      </c>
      <c r="Q252" s="611">
        <v>761.93299999999999</v>
      </c>
      <c r="R252" s="616">
        <f>SUM(R248:R251)</f>
        <v>759.20699999999999</v>
      </c>
      <c r="S252" s="611">
        <f>SUM(S248:S251)</f>
        <v>740.33600000000001</v>
      </c>
      <c r="T252" s="611">
        <f>SUM(T248:T251)</f>
        <v>744.005</v>
      </c>
      <c r="U252" s="611">
        <f>SUM(U248:U251)</f>
        <v>741.447</v>
      </c>
      <c r="V252" s="616">
        <f>SUM(V248:V251)</f>
        <v>720.7</v>
      </c>
      <c r="W252" s="611">
        <f>+W254-W253</f>
        <v>723.56899999999985</v>
      </c>
      <c r="X252" s="611">
        <v>722.63900000000001</v>
      </c>
      <c r="Y252" s="611">
        <v>736.42</v>
      </c>
      <c r="Z252" s="611"/>
      <c r="AA252" s="611"/>
      <c r="AB252" s="611"/>
      <c r="AC252" s="611"/>
      <c r="AD252" s="611"/>
      <c r="AE252" s="611"/>
      <c r="AF252" s="611"/>
      <c r="AG252" s="611"/>
      <c r="AH252" s="611"/>
      <c r="AI252" s="611">
        <f t="shared" si="346"/>
        <v>638.95000000000005</v>
      </c>
      <c r="AJ252" s="611">
        <f t="shared" si="347"/>
        <v>969.42099999999994</v>
      </c>
      <c r="AK252" s="611">
        <f t="shared" si="348"/>
        <v>754.34300000000007</v>
      </c>
      <c r="AL252" s="611">
        <f t="shared" si="344"/>
        <v>759.20699999999999</v>
      </c>
      <c r="AM252" s="611">
        <f t="shared" si="345"/>
        <v>720.7</v>
      </c>
      <c r="AN252" s="583"/>
      <c r="AO252" s="571"/>
    </row>
    <row r="253" spans="1:41" s="413" customFormat="1" ht="14" x14ac:dyDescent="0.4">
      <c r="A253" s="132" t="s">
        <v>492</v>
      </c>
      <c r="C253" s="612"/>
      <c r="D253" s="612"/>
      <c r="E253" s="612"/>
      <c r="F253" s="617">
        <f t="shared" ref="F253:O253" si="358">+F254-F252</f>
        <v>-94.216999999999985</v>
      </c>
      <c r="G253" s="612">
        <f t="shared" si="358"/>
        <v>808.95699999999988</v>
      </c>
      <c r="H253" s="612">
        <f t="shared" si="358"/>
        <v>793.59699999999987</v>
      </c>
      <c r="I253" s="612">
        <f t="shared" si="358"/>
        <v>797.68399999999986</v>
      </c>
      <c r="J253" s="617">
        <f t="shared" si="358"/>
        <v>794.26999999999987</v>
      </c>
      <c r="K253" s="612">
        <f t="shared" si="358"/>
        <v>778.20299999999997</v>
      </c>
      <c r="L253" s="612">
        <f t="shared" si="358"/>
        <v>1099.7950000000001</v>
      </c>
      <c r="M253" s="612">
        <f t="shared" si="358"/>
        <v>1114.2190000000001</v>
      </c>
      <c r="N253" s="617">
        <f t="shared" si="358"/>
        <v>1132.2380000000001</v>
      </c>
      <c r="O253" s="612">
        <f t="shared" si="358"/>
        <v>1146.1400000000001</v>
      </c>
      <c r="P253" s="612">
        <f>+P254-P252</f>
        <v>1151.625</v>
      </c>
      <c r="Q253" s="612">
        <f>+Q254-Q252</f>
        <v>1159.9829999999999</v>
      </c>
      <c r="R253" s="617">
        <v>1126.6179999999999</v>
      </c>
      <c r="S253" s="612">
        <v>1107.327</v>
      </c>
      <c r="T253" s="612">
        <v>1094.1079999999999</v>
      </c>
      <c r="U253" s="612">
        <v>888</v>
      </c>
      <c r="V253" s="617">
        <v>906.73299999999995</v>
      </c>
      <c r="W253" s="612">
        <v>907.74400000000003</v>
      </c>
      <c r="X253" s="612">
        <f>+X254-X252</f>
        <v>913.31100000000026</v>
      </c>
      <c r="Y253" s="612">
        <f t="shared" ref="Y253" si="359">+Y254-Y252</f>
        <v>918.81599999999992</v>
      </c>
      <c r="Z253" s="612"/>
      <c r="AA253" s="612"/>
      <c r="AB253" s="612"/>
      <c r="AC253" s="612"/>
      <c r="AD253" s="612"/>
      <c r="AE253" s="612"/>
      <c r="AF253" s="612"/>
      <c r="AG253" s="612"/>
      <c r="AH253" s="612"/>
      <c r="AI253" s="612">
        <f t="shared" si="346"/>
        <v>-94.216999999999985</v>
      </c>
      <c r="AJ253" s="612">
        <f t="shared" si="347"/>
        <v>794.26999999999987</v>
      </c>
      <c r="AK253" s="612">
        <f t="shared" si="348"/>
        <v>1132.2380000000001</v>
      </c>
      <c r="AL253" s="612">
        <f t="shared" si="344"/>
        <v>1126.6179999999999</v>
      </c>
      <c r="AM253" s="612">
        <f t="shared" si="345"/>
        <v>906.73299999999995</v>
      </c>
      <c r="AN253" s="719"/>
      <c r="AO253" s="614"/>
    </row>
    <row r="254" spans="1:41" s="163" customFormat="1" ht="13" x14ac:dyDescent="0.3">
      <c r="A254" s="426" t="s">
        <v>493</v>
      </c>
      <c r="C254" s="615"/>
      <c r="D254" s="615"/>
      <c r="E254" s="615"/>
      <c r="F254" s="618">
        <f>+JPM!L116</f>
        <v>544.73300000000006</v>
      </c>
      <c r="G254" s="615">
        <f>+JPM!N116</f>
        <v>1820.9389999999999</v>
      </c>
      <c r="H254" s="615">
        <f>+JPM!O116</f>
        <v>1761.3339999999998</v>
      </c>
      <c r="I254" s="615">
        <f>+JPM!P116</f>
        <v>1770.3159999999998</v>
      </c>
      <c r="J254" s="618">
        <f>+JPM!Q116</f>
        <v>1763.6909999999998</v>
      </c>
      <c r="K254" s="615">
        <f>+JPM!T116</f>
        <v>1703.049</v>
      </c>
      <c r="L254" s="615">
        <f>+JPM!U116</f>
        <v>1842.1790000000001</v>
      </c>
      <c r="M254" s="615">
        <f>+JPM!V116</f>
        <v>1856.693</v>
      </c>
      <c r="N254" s="618">
        <f>+JPM!W116</f>
        <v>1886.5810000000001</v>
      </c>
      <c r="O254" s="615">
        <f>+JPM!Z116</f>
        <v>1903.3310000000001</v>
      </c>
      <c r="P254" s="615">
        <f>+JPM!AA116</f>
        <v>1911.1770000000001</v>
      </c>
      <c r="Q254" s="615">
        <v>1921.9159999999999</v>
      </c>
      <c r="R254" s="618">
        <f>+R253+R252</f>
        <v>1885.8249999999998</v>
      </c>
      <c r="S254" s="615">
        <f>+S253+S252</f>
        <v>1847.663</v>
      </c>
      <c r="T254" s="615">
        <f>+T253+T252</f>
        <v>1838.1129999999998</v>
      </c>
      <c r="U254" s="615">
        <f>+U253+U252</f>
        <v>1629.4470000000001</v>
      </c>
      <c r="V254" s="618">
        <f t="shared" ref="V254" si="360">+V253+V252</f>
        <v>1627.433</v>
      </c>
      <c r="W254" s="615">
        <f>+W238</f>
        <v>1631.3129999999999</v>
      </c>
      <c r="X254" s="615">
        <f>+X238</f>
        <v>1635.9500000000003</v>
      </c>
      <c r="Y254" s="615">
        <f t="shared" ref="Y254" si="361">+Y238</f>
        <v>1655.2359999999999</v>
      </c>
      <c r="Z254" s="615"/>
      <c r="AA254" s="615"/>
      <c r="AB254" s="615"/>
      <c r="AC254" s="615"/>
      <c r="AD254" s="615"/>
      <c r="AE254" s="615"/>
      <c r="AF254" s="615"/>
      <c r="AG254" s="615"/>
      <c r="AH254" s="615"/>
      <c r="AI254" s="615">
        <f t="shared" si="346"/>
        <v>544.73300000000006</v>
      </c>
      <c r="AJ254" s="615">
        <f t="shared" si="347"/>
        <v>1763.6909999999998</v>
      </c>
      <c r="AK254" s="615">
        <f t="shared" si="348"/>
        <v>1886.5810000000001</v>
      </c>
      <c r="AL254" s="615">
        <f t="shared" si="344"/>
        <v>1885.8249999999998</v>
      </c>
      <c r="AM254" s="615">
        <f t="shared" si="345"/>
        <v>1627.433</v>
      </c>
      <c r="AN254" s="594"/>
      <c r="AO254" s="573"/>
    </row>
    <row r="255" spans="1:41" x14ac:dyDescent="0.25">
      <c r="C255" s="568"/>
      <c r="D255" s="568"/>
      <c r="E255" s="568"/>
      <c r="F255" s="588"/>
      <c r="G255" s="568"/>
      <c r="H255" s="568"/>
      <c r="I255" s="568"/>
      <c r="J255" s="588"/>
      <c r="K255" s="583"/>
      <c r="L255" s="583"/>
      <c r="M255" s="583"/>
      <c r="N255" s="588"/>
      <c r="O255" s="568"/>
      <c r="P255" s="568"/>
      <c r="Q255" s="568"/>
      <c r="R255" s="588"/>
      <c r="S255" s="568"/>
      <c r="T255" s="568"/>
      <c r="U255" s="568"/>
      <c r="V255" s="588"/>
      <c r="W255" s="568"/>
      <c r="X255" s="583"/>
      <c r="Y255" s="583"/>
      <c r="Z255" s="583"/>
      <c r="AA255" s="583"/>
      <c r="AB255" s="583"/>
      <c r="AC255" s="583"/>
      <c r="AD255" s="583"/>
      <c r="AE255" s="583"/>
      <c r="AF255" s="583"/>
      <c r="AG255" s="583"/>
      <c r="AH255" s="583"/>
      <c r="AI255" s="568"/>
      <c r="AJ255" s="568"/>
      <c r="AK255" s="568"/>
      <c r="AL255" s="568"/>
      <c r="AM255" s="568"/>
      <c r="AN255" s="583"/>
      <c r="AO255" s="571"/>
    </row>
    <row r="256" spans="1:41" x14ac:dyDescent="0.25">
      <c r="A256" s="132" t="s">
        <v>52</v>
      </c>
      <c r="C256" s="568"/>
      <c r="D256" s="568"/>
      <c r="E256" s="568"/>
      <c r="F256" s="588">
        <f t="shared" ref="F256:U256" si="362">+F244+F249-F225-F227</f>
        <v>458.89300000000003</v>
      </c>
      <c r="G256" s="568">
        <f t="shared" si="362"/>
        <v>682.27800000000002</v>
      </c>
      <c r="H256" s="568">
        <f t="shared" si="362"/>
        <v>669.26</v>
      </c>
      <c r="I256" s="568">
        <f t="shared" si="362"/>
        <v>661.70499999999993</v>
      </c>
      <c r="J256" s="588">
        <f t="shared" si="362"/>
        <v>631.22</v>
      </c>
      <c r="K256" s="583">
        <f t="shared" si="362"/>
        <v>635.44100000000003</v>
      </c>
      <c r="L256" s="583">
        <f t="shared" si="362"/>
        <v>295.49399999999997</v>
      </c>
      <c r="M256" s="583">
        <f t="shared" si="362"/>
        <v>277.90899999999993</v>
      </c>
      <c r="N256" s="588">
        <f t="shared" si="362"/>
        <v>261.26200000000006</v>
      </c>
      <c r="O256" s="568">
        <f t="shared" si="362"/>
        <v>246.69199999999998</v>
      </c>
      <c r="P256" s="568">
        <f t="shared" si="362"/>
        <v>202.58400000000006</v>
      </c>
      <c r="Q256" s="568">
        <f t="shared" si="362"/>
        <v>165.93</v>
      </c>
      <c r="R256" s="588">
        <f t="shared" si="362"/>
        <v>163.03800000000004</v>
      </c>
      <c r="S256" s="568">
        <f t="shared" si="362"/>
        <v>155.00099999999998</v>
      </c>
      <c r="T256" s="568">
        <f t="shared" si="362"/>
        <v>156.37300000000002</v>
      </c>
      <c r="U256" s="568">
        <f t="shared" si="362"/>
        <v>390.97099999999995</v>
      </c>
      <c r="V256" s="588">
        <f t="shared" ref="V256:Y256" si="363">+V244+V249-V225-V227</f>
        <v>344.68200000000002</v>
      </c>
      <c r="W256" s="568">
        <f t="shared" si="363"/>
        <v>313.47299999999996</v>
      </c>
      <c r="X256" s="568">
        <f t="shared" si="363"/>
        <v>289.80899999999997</v>
      </c>
      <c r="Y256" s="568">
        <f t="shared" si="363"/>
        <v>252.45200000000006</v>
      </c>
      <c r="Z256" s="583"/>
      <c r="AA256" s="583"/>
      <c r="AB256" s="583"/>
      <c r="AC256" s="583"/>
      <c r="AD256" s="583"/>
      <c r="AE256" s="583"/>
      <c r="AF256" s="583"/>
      <c r="AG256" s="583"/>
      <c r="AH256" s="583"/>
      <c r="AI256" s="568">
        <f>+AI244+AI249-AI225-AI227</f>
        <v>458.89300000000003</v>
      </c>
      <c r="AJ256" s="568">
        <f>+AJ244+AJ249-AJ225-AJ227</f>
        <v>631.22</v>
      </c>
      <c r="AK256" s="568">
        <f>+AK244+AK249-AK225-AK227</f>
        <v>261.26200000000006</v>
      </c>
      <c r="AL256" s="568">
        <f>+AL244+AL249-AL225-AL227</f>
        <v>163.03800000000004</v>
      </c>
      <c r="AM256" s="568">
        <f>+AM244+AM249-AM225-AM227</f>
        <v>344.68200000000002</v>
      </c>
      <c r="AN256" s="583"/>
      <c r="AO256" s="571"/>
    </row>
    <row r="257" spans="1:41" x14ac:dyDescent="0.25">
      <c r="C257" s="568"/>
      <c r="D257" s="568"/>
      <c r="E257" s="568"/>
      <c r="F257" s="588"/>
      <c r="G257" s="568"/>
      <c r="H257" s="568"/>
      <c r="I257" s="568"/>
      <c r="J257" s="588"/>
      <c r="K257" s="583"/>
      <c r="L257" s="583"/>
      <c r="M257" s="583"/>
      <c r="N257" s="588"/>
      <c r="O257" s="568"/>
      <c r="P257" s="568"/>
      <c r="Q257" s="568"/>
      <c r="R257" s="588"/>
      <c r="S257" s="568"/>
      <c r="T257" s="568"/>
      <c r="U257" s="568"/>
      <c r="V257" s="588"/>
      <c r="W257" s="568"/>
      <c r="X257" s="583"/>
      <c r="Y257" s="583"/>
      <c r="Z257" s="583"/>
      <c r="AA257" s="583"/>
      <c r="AB257" s="583"/>
      <c r="AC257" s="583"/>
      <c r="AD257" s="583"/>
      <c r="AE257" s="583"/>
      <c r="AF257" s="583"/>
      <c r="AG257" s="583"/>
      <c r="AH257" s="583"/>
      <c r="AI257" s="568"/>
      <c r="AJ257" s="568"/>
      <c r="AK257" s="568"/>
      <c r="AL257" s="568"/>
      <c r="AM257" s="568"/>
      <c r="AN257" s="583"/>
      <c r="AO257" s="571"/>
    </row>
    <row r="258" spans="1:41" ht="13" x14ac:dyDescent="0.3">
      <c r="A258" s="374" t="s">
        <v>494</v>
      </c>
      <c r="C258" s="568"/>
      <c r="D258" s="568"/>
      <c r="E258" s="568"/>
      <c r="F258" s="588"/>
      <c r="G258" s="568"/>
      <c r="H258" s="568"/>
      <c r="I258" s="568"/>
      <c r="J258" s="588"/>
      <c r="K258" s="583"/>
      <c r="L258" s="583"/>
      <c r="M258" s="583"/>
      <c r="N258" s="588"/>
      <c r="O258" s="568"/>
      <c r="P258" s="568"/>
      <c r="Q258" s="568"/>
      <c r="R258" s="588"/>
      <c r="S258" s="568"/>
      <c r="T258" s="568"/>
      <c r="U258" s="568"/>
      <c r="V258" s="588"/>
      <c r="W258" s="568"/>
      <c r="X258" s="583"/>
      <c r="Y258" s="583"/>
      <c r="Z258" s="583"/>
      <c r="AA258" s="583"/>
      <c r="AB258" s="583"/>
      <c r="AC258" s="583"/>
      <c r="AD258" s="583"/>
      <c r="AE258" s="583"/>
      <c r="AF258" s="583"/>
      <c r="AG258" s="583"/>
      <c r="AH258" s="583"/>
      <c r="AI258" s="568"/>
      <c r="AJ258" s="568"/>
      <c r="AK258" s="568"/>
      <c r="AL258" s="568"/>
      <c r="AM258" s="568"/>
      <c r="AN258" s="583"/>
      <c r="AO258" s="571"/>
    </row>
    <row r="259" spans="1:41" x14ac:dyDescent="0.25">
      <c r="A259" s="132" t="s">
        <v>495</v>
      </c>
      <c r="C259" s="568"/>
      <c r="D259" s="568"/>
      <c r="E259" s="568"/>
      <c r="F259" s="588"/>
      <c r="G259" s="568"/>
      <c r="H259" s="568"/>
      <c r="I259" s="568"/>
      <c r="J259" s="588"/>
      <c r="K259" s="583"/>
      <c r="L259" s="583"/>
      <c r="M259" s="583"/>
      <c r="N259" s="588"/>
      <c r="O259" s="568"/>
      <c r="P259" s="568"/>
      <c r="Q259" s="568"/>
      <c r="R259" s="588"/>
      <c r="S259" s="568"/>
      <c r="T259" s="568"/>
      <c r="U259" s="568"/>
      <c r="V259" s="588"/>
      <c r="W259" s="568"/>
      <c r="X259" s="583"/>
      <c r="Y259" s="583"/>
      <c r="Z259" s="583"/>
      <c r="AA259" s="583"/>
      <c r="AB259" s="583"/>
      <c r="AC259" s="583"/>
      <c r="AD259" s="583"/>
      <c r="AE259" s="583"/>
      <c r="AF259" s="583"/>
      <c r="AG259" s="583"/>
      <c r="AH259" s="583"/>
      <c r="AI259" s="568"/>
      <c r="AJ259" s="568">
        <v>197.6</v>
      </c>
      <c r="AK259" s="568">
        <v>120.1</v>
      </c>
      <c r="AL259" s="568">
        <v>10.97</v>
      </c>
      <c r="AM259" s="568">
        <v>0</v>
      </c>
      <c r="AN259" s="583"/>
      <c r="AO259" s="571"/>
    </row>
    <row r="260" spans="1:41" x14ac:dyDescent="0.25">
      <c r="A260" s="132" t="s">
        <v>496</v>
      </c>
      <c r="C260" s="568"/>
      <c r="D260" s="568"/>
      <c r="E260" s="568"/>
      <c r="F260" s="588"/>
      <c r="G260" s="568"/>
      <c r="H260" s="568"/>
      <c r="I260" s="568"/>
      <c r="J260" s="588"/>
      <c r="K260" s="583"/>
      <c r="L260" s="583"/>
      <c r="M260" s="583"/>
      <c r="N260" s="588"/>
      <c r="O260" s="568"/>
      <c r="P260" s="568"/>
      <c r="Q260" s="568"/>
      <c r="R260" s="588"/>
      <c r="S260" s="568"/>
      <c r="T260" s="568"/>
      <c r="U260" s="568"/>
      <c r="V260" s="588"/>
      <c r="W260" s="568"/>
      <c r="X260" s="583"/>
      <c r="Y260" s="583"/>
      <c r="Z260" s="583"/>
      <c r="AA260" s="583"/>
      <c r="AB260" s="583"/>
      <c r="AC260" s="583"/>
      <c r="AD260" s="583"/>
      <c r="AE260" s="583"/>
      <c r="AF260" s="583"/>
      <c r="AG260" s="583"/>
      <c r="AH260" s="583"/>
      <c r="AI260" s="568"/>
      <c r="AJ260" s="568">
        <v>166.2</v>
      </c>
      <c r="AK260" s="568">
        <v>147.5</v>
      </c>
      <c r="AL260" s="568">
        <v>125.989</v>
      </c>
      <c r="AM260" s="568">
        <v>97.656000000000006</v>
      </c>
      <c r="AN260" s="583"/>
      <c r="AO260" s="571"/>
    </row>
    <row r="261" spans="1:41" s="565" customFormat="1" x14ac:dyDescent="0.25">
      <c r="A261" s="132" t="s">
        <v>497</v>
      </c>
      <c r="C261" s="589"/>
      <c r="D261" s="589"/>
      <c r="E261" s="589"/>
      <c r="F261" s="590"/>
      <c r="G261" s="589"/>
      <c r="H261" s="589"/>
      <c r="I261" s="589"/>
      <c r="J261" s="590"/>
      <c r="K261" s="591"/>
      <c r="L261" s="591"/>
      <c r="M261" s="591"/>
      <c r="N261" s="590"/>
      <c r="O261" s="589"/>
      <c r="P261" s="589"/>
      <c r="Q261" s="589"/>
      <c r="R261" s="590"/>
      <c r="S261" s="589"/>
      <c r="T261" s="589"/>
      <c r="U261" s="589"/>
      <c r="V261" s="590"/>
      <c r="W261" s="589"/>
      <c r="X261" s="589"/>
      <c r="Y261" s="589"/>
      <c r="Z261" s="591"/>
      <c r="AA261" s="591"/>
      <c r="AB261" s="591"/>
      <c r="AC261" s="591"/>
      <c r="AD261" s="591"/>
      <c r="AE261" s="591"/>
      <c r="AF261" s="591"/>
      <c r="AG261" s="591"/>
      <c r="AH261" s="591"/>
      <c r="AI261" s="589"/>
      <c r="AJ261" s="589">
        <v>36</v>
      </c>
      <c r="AK261" s="589">
        <v>25.1</v>
      </c>
      <c r="AL261" s="589">
        <v>24.207000000000001</v>
      </c>
      <c r="AM261" s="589">
        <v>24.98</v>
      </c>
      <c r="AN261" s="591"/>
      <c r="AO261" s="572"/>
    </row>
    <row r="262" spans="1:41" s="163" customFormat="1" ht="13" x14ac:dyDescent="0.3">
      <c r="A262" s="426" t="s">
        <v>498</v>
      </c>
      <c r="C262" s="592"/>
      <c r="D262" s="592"/>
      <c r="E262" s="592"/>
      <c r="F262" s="593"/>
      <c r="G262" s="592"/>
      <c r="H262" s="592"/>
      <c r="I262" s="592"/>
      <c r="J262" s="593"/>
      <c r="K262" s="594"/>
      <c r="L262" s="594"/>
      <c r="M262" s="594"/>
      <c r="N262" s="593"/>
      <c r="O262" s="592"/>
      <c r="P262" s="592"/>
      <c r="Q262" s="592"/>
      <c r="R262" s="593"/>
      <c r="S262" s="592"/>
      <c r="T262" s="592"/>
      <c r="U262" s="592"/>
      <c r="V262" s="593"/>
      <c r="W262" s="592"/>
      <c r="X262" s="592"/>
      <c r="Y262" s="592"/>
      <c r="Z262" s="594"/>
      <c r="AA262" s="594"/>
      <c r="AB262" s="594"/>
      <c r="AC262" s="594"/>
      <c r="AD262" s="594"/>
      <c r="AE262" s="594"/>
      <c r="AF262" s="594"/>
      <c r="AG262" s="594"/>
      <c r="AH262" s="594"/>
      <c r="AI262" s="592"/>
      <c r="AJ262" s="592">
        <f>SUM(AJ259:AJ261)</f>
        <v>399.79999999999995</v>
      </c>
      <c r="AK262" s="592">
        <f>SUM(AK259:AK261)</f>
        <v>292.70000000000005</v>
      </c>
      <c r="AL262" s="592">
        <f>SUM(AL259:AL261)</f>
        <v>161.166</v>
      </c>
      <c r="AM262" s="592">
        <f t="shared" ref="AM262" si="364">SUM(AM259:AM261)</f>
        <v>122.63600000000001</v>
      </c>
      <c r="AN262" s="594"/>
      <c r="AO262" s="573"/>
    </row>
    <row r="263" spans="1:41" x14ac:dyDescent="0.25">
      <c r="C263" s="568"/>
      <c r="D263" s="568"/>
      <c r="E263" s="568"/>
      <c r="F263" s="588"/>
      <c r="G263" s="568"/>
      <c r="H263" s="568"/>
      <c r="I263" s="568"/>
      <c r="J263" s="588"/>
      <c r="K263" s="583"/>
      <c r="L263" s="583"/>
      <c r="M263" s="583"/>
      <c r="N263" s="588"/>
      <c r="O263" s="568"/>
      <c r="P263" s="568"/>
      <c r="Q263" s="568"/>
      <c r="R263" s="588"/>
      <c r="S263" s="568"/>
      <c r="T263" s="568"/>
      <c r="U263" s="568"/>
      <c r="V263" s="588"/>
      <c r="W263" s="568"/>
      <c r="X263" s="568"/>
      <c r="Y263" s="568"/>
      <c r="Z263" s="583"/>
      <c r="AA263" s="583"/>
      <c r="AB263" s="583"/>
      <c r="AC263" s="583"/>
      <c r="AD263" s="583"/>
      <c r="AE263" s="583"/>
      <c r="AF263" s="583"/>
      <c r="AG263" s="583"/>
      <c r="AH263" s="583"/>
      <c r="AI263" s="568"/>
      <c r="AJ263" s="568"/>
      <c r="AK263" s="568"/>
      <c r="AL263" s="568"/>
      <c r="AM263" s="568"/>
      <c r="AN263" s="583"/>
      <c r="AO263" s="571"/>
    </row>
    <row r="264" spans="1:41" ht="13" x14ac:dyDescent="0.3">
      <c r="A264" s="569" t="s">
        <v>499</v>
      </c>
      <c r="B264" s="570"/>
      <c r="C264" s="568"/>
      <c r="D264" s="568"/>
      <c r="E264" s="568"/>
      <c r="F264" s="588"/>
      <c r="G264" s="568"/>
      <c r="H264" s="568"/>
      <c r="I264" s="568"/>
      <c r="J264" s="588"/>
      <c r="K264" s="583"/>
      <c r="L264" s="583"/>
      <c r="M264" s="583"/>
      <c r="N264" s="588"/>
      <c r="O264" s="568"/>
      <c r="P264" s="568"/>
      <c r="Q264" s="568"/>
      <c r="R264" s="588"/>
      <c r="S264" s="568"/>
      <c r="T264" s="568"/>
      <c r="U264" s="568"/>
      <c r="V264" s="588"/>
      <c r="W264" s="568"/>
      <c r="X264" s="568"/>
      <c r="Y264" s="568"/>
      <c r="Z264" s="583"/>
      <c r="AA264" s="583"/>
      <c r="AB264" s="583"/>
      <c r="AC264" s="583"/>
      <c r="AD264" s="583"/>
      <c r="AE264" s="583"/>
      <c r="AF264" s="583"/>
      <c r="AG264" s="583"/>
      <c r="AH264" s="583"/>
      <c r="AI264" s="568"/>
      <c r="AJ264" s="568"/>
      <c r="AK264" s="568"/>
      <c r="AL264" s="568"/>
      <c r="AM264" s="568"/>
      <c r="AN264" s="583"/>
      <c r="AO264" s="571"/>
    </row>
    <row r="265" spans="1:41" x14ac:dyDescent="0.25">
      <c r="C265" s="568"/>
      <c r="D265" s="568"/>
      <c r="E265" s="568"/>
      <c r="F265" s="588"/>
      <c r="G265" s="568"/>
      <c r="H265" s="568"/>
      <c r="I265" s="568"/>
      <c r="J265" s="588"/>
      <c r="K265" s="583"/>
      <c r="L265" s="583"/>
      <c r="M265" s="583"/>
      <c r="N265" s="588"/>
      <c r="O265" s="568"/>
      <c r="P265" s="568"/>
      <c r="Q265" s="568"/>
      <c r="R265" s="588"/>
      <c r="S265" s="568"/>
      <c r="T265" s="568"/>
      <c r="U265" s="568"/>
      <c r="V265" s="588"/>
      <c r="W265" s="568"/>
      <c r="X265" s="568"/>
      <c r="Y265" s="568"/>
      <c r="Z265" s="583"/>
      <c r="AA265" s="583"/>
      <c r="AB265" s="583"/>
      <c r="AC265" s="583"/>
      <c r="AD265" s="583"/>
      <c r="AE265" s="583"/>
      <c r="AF265" s="583"/>
      <c r="AG265" s="583"/>
      <c r="AH265" s="583"/>
      <c r="AI265" s="568"/>
      <c r="AJ265" s="568"/>
      <c r="AK265" s="568"/>
      <c r="AL265" s="568"/>
      <c r="AM265" s="568"/>
      <c r="AN265" s="583"/>
      <c r="AO265" s="571"/>
    </row>
    <row r="266" spans="1:41" ht="13" x14ac:dyDescent="0.3">
      <c r="A266" s="974" t="s">
        <v>157</v>
      </c>
      <c r="C266" s="568"/>
      <c r="D266" s="568"/>
      <c r="E266" s="568"/>
      <c r="F266" s="588"/>
      <c r="G266" s="568"/>
      <c r="H266" s="568"/>
      <c r="I266" s="568"/>
      <c r="J266" s="588"/>
      <c r="K266" s="583"/>
      <c r="L266" s="583"/>
      <c r="M266" s="583"/>
      <c r="N266" s="588"/>
      <c r="O266" s="568"/>
      <c r="P266" s="568"/>
      <c r="Q266" s="568"/>
      <c r="R266" s="588"/>
      <c r="S266" s="568"/>
      <c r="T266" s="568"/>
      <c r="U266" s="568"/>
      <c r="V266" s="588"/>
      <c r="W266" s="568"/>
      <c r="X266" s="568"/>
      <c r="Y266" s="568"/>
      <c r="Z266" s="583"/>
      <c r="AA266" s="583"/>
      <c r="AB266" s="583"/>
      <c r="AC266" s="583"/>
      <c r="AD266" s="583"/>
      <c r="AE266" s="583"/>
      <c r="AF266" s="583"/>
      <c r="AG266" s="583"/>
      <c r="AH266" s="583"/>
      <c r="AI266" s="568"/>
      <c r="AJ266" s="568"/>
      <c r="AK266" s="568"/>
      <c r="AL266" s="568"/>
      <c r="AM266" s="568"/>
      <c r="AN266" s="583"/>
      <c r="AO266" s="571"/>
    </row>
    <row r="267" spans="1:41" x14ac:dyDescent="0.25">
      <c r="A267" s="649" t="s">
        <v>500</v>
      </c>
      <c r="C267" s="568"/>
      <c r="D267" s="568"/>
      <c r="E267" s="568"/>
      <c r="F267" s="588">
        <f t="shared" ref="F267:R267" si="365">+F228</f>
        <v>92.51</v>
      </c>
      <c r="G267" s="568">
        <f t="shared" si="365"/>
        <v>86.91</v>
      </c>
      <c r="H267" s="568">
        <f t="shared" si="365"/>
        <v>75.42</v>
      </c>
      <c r="I267" s="568">
        <f t="shared" si="365"/>
        <v>103.312</v>
      </c>
      <c r="J267" s="588">
        <f t="shared" si="365"/>
        <v>111.363</v>
      </c>
      <c r="K267" s="583">
        <f t="shared" si="365"/>
        <v>104.694</v>
      </c>
      <c r="L267" s="583">
        <f t="shared" si="365"/>
        <v>128.90600000000001</v>
      </c>
      <c r="M267" s="583">
        <f t="shared" si="365"/>
        <v>147.13800000000001</v>
      </c>
      <c r="N267" s="588">
        <f t="shared" si="365"/>
        <v>155.77199999999999</v>
      </c>
      <c r="O267" s="568">
        <f t="shared" si="365"/>
        <v>148.16300000000001</v>
      </c>
      <c r="P267" s="568">
        <f t="shared" si="365"/>
        <v>144.376</v>
      </c>
      <c r="Q267" s="568">
        <f t="shared" si="365"/>
        <v>151.197</v>
      </c>
      <c r="R267" s="588">
        <f t="shared" si="365"/>
        <v>143.81100000000001</v>
      </c>
      <c r="S267" s="568">
        <f>+S228</f>
        <v>127.962</v>
      </c>
      <c r="T267" s="568">
        <f t="shared" ref="T267:V267" si="366">+T228</f>
        <v>139.96799999999999</v>
      </c>
      <c r="U267" s="568">
        <f t="shared" si="366"/>
        <v>156.91200000000001</v>
      </c>
      <c r="V267" s="588">
        <f t="shared" si="366"/>
        <v>142.69</v>
      </c>
      <c r="W267" s="568">
        <f t="shared" ref="W267:X267" si="367">+W228</f>
        <v>129.011</v>
      </c>
      <c r="X267" s="568">
        <f t="shared" si="367"/>
        <v>130.768</v>
      </c>
      <c r="Y267" s="568">
        <f t="shared" ref="Y267" si="368">+Y228</f>
        <v>143.02000000000001</v>
      </c>
      <c r="Z267" s="583"/>
      <c r="AA267" s="583"/>
      <c r="AB267" s="583"/>
      <c r="AC267" s="583"/>
      <c r="AD267" s="583"/>
      <c r="AE267" s="583"/>
      <c r="AF267" s="583"/>
      <c r="AG267" s="583"/>
      <c r="AH267" s="583"/>
      <c r="AI267" s="568">
        <f t="shared" ref="AI267:AK267" si="369">+AI228</f>
        <v>92.51</v>
      </c>
      <c r="AJ267" s="568">
        <f t="shared" si="369"/>
        <v>111.363</v>
      </c>
      <c r="AK267" s="568">
        <f t="shared" si="369"/>
        <v>155.77199999999999</v>
      </c>
      <c r="AL267" s="568">
        <f t="shared" ref="AL267:AM267" si="370">+AL228</f>
        <v>143.81100000000001</v>
      </c>
      <c r="AM267" s="568">
        <f t="shared" si="370"/>
        <v>142.69</v>
      </c>
      <c r="AN267" s="583"/>
      <c r="AO267" s="571"/>
    </row>
    <row r="268" spans="1:41" x14ac:dyDescent="0.25">
      <c r="A268" s="649" t="s">
        <v>501</v>
      </c>
      <c r="C268" s="568"/>
      <c r="D268" s="568"/>
      <c r="E268" s="568"/>
      <c r="F268" s="588">
        <v>0</v>
      </c>
      <c r="G268" s="568">
        <v>0</v>
      </c>
      <c r="H268" s="568">
        <v>0</v>
      </c>
      <c r="I268" s="568">
        <v>0</v>
      </c>
      <c r="J268" s="588">
        <v>0</v>
      </c>
      <c r="K268" s="583">
        <v>0</v>
      </c>
      <c r="L268" s="583">
        <v>0</v>
      </c>
      <c r="M268" s="583">
        <v>0</v>
      </c>
      <c r="N268" s="588">
        <v>0</v>
      </c>
      <c r="O268" s="568">
        <v>0</v>
      </c>
      <c r="P268" s="568">
        <v>0</v>
      </c>
      <c r="Q268" s="568">
        <v>0</v>
      </c>
      <c r="R268" s="588">
        <v>0</v>
      </c>
      <c r="S268" s="568">
        <v>0</v>
      </c>
      <c r="T268" s="568">
        <v>0</v>
      </c>
      <c r="U268" s="568">
        <v>0</v>
      </c>
      <c r="V268" s="588">
        <v>0</v>
      </c>
      <c r="W268" s="568">
        <v>0</v>
      </c>
      <c r="X268" s="568">
        <v>0</v>
      </c>
      <c r="Y268" s="568">
        <v>0</v>
      </c>
      <c r="Z268" s="583"/>
      <c r="AA268" s="583"/>
      <c r="AB268" s="583"/>
      <c r="AC268" s="583"/>
      <c r="AD268" s="583"/>
      <c r="AE268" s="583"/>
      <c r="AF268" s="583"/>
      <c r="AG268" s="583"/>
      <c r="AH268" s="583"/>
      <c r="AI268" s="568">
        <v>0</v>
      </c>
      <c r="AJ268" s="568">
        <v>0</v>
      </c>
      <c r="AK268" s="568">
        <v>0</v>
      </c>
      <c r="AL268" s="568">
        <v>0</v>
      </c>
      <c r="AM268" s="568">
        <v>0</v>
      </c>
      <c r="AN268" s="583"/>
      <c r="AO268" s="571"/>
    </row>
    <row r="269" spans="1:41" s="413" customFormat="1" ht="14" x14ac:dyDescent="0.4">
      <c r="A269" s="649" t="s">
        <v>502</v>
      </c>
      <c r="C269" s="613"/>
      <c r="D269" s="613"/>
      <c r="E269" s="613"/>
      <c r="F269" s="718">
        <f t="shared" ref="F269:R269" si="371">+F229</f>
        <v>7.64</v>
      </c>
      <c r="G269" s="613">
        <f t="shared" si="371"/>
        <v>9.2210000000000001</v>
      </c>
      <c r="H269" s="613">
        <f t="shared" si="371"/>
        <v>7.7450000000000001</v>
      </c>
      <c r="I269" s="613">
        <f t="shared" si="371"/>
        <v>12.098000000000001</v>
      </c>
      <c r="J269" s="718">
        <f t="shared" si="371"/>
        <v>8.6989999999999998</v>
      </c>
      <c r="K269" s="719">
        <f t="shared" si="371"/>
        <v>13.865</v>
      </c>
      <c r="L269" s="719">
        <f t="shared" si="371"/>
        <v>2.2719999999999998</v>
      </c>
      <c r="M269" s="719">
        <f t="shared" si="371"/>
        <v>17.294</v>
      </c>
      <c r="N269" s="718">
        <f t="shared" si="371"/>
        <v>14.365</v>
      </c>
      <c r="O269" s="613">
        <f t="shared" si="371"/>
        <v>19.088999999999999</v>
      </c>
      <c r="P269" s="613">
        <f t="shared" si="371"/>
        <v>23.367999999999999</v>
      </c>
      <c r="Q269" s="613">
        <f t="shared" si="371"/>
        <v>27.318000000000001</v>
      </c>
      <c r="R269" s="718">
        <f t="shared" si="371"/>
        <v>25.407</v>
      </c>
      <c r="S269" s="613">
        <f>+S229</f>
        <v>22.78</v>
      </c>
      <c r="T269" s="613">
        <f t="shared" ref="T269:U269" si="372">+T229</f>
        <v>21.471</v>
      </c>
      <c r="U269" s="613">
        <f t="shared" si="372"/>
        <v>19.335000000000001</v>
      </c>
      <c r="V269" s="718">
        <f t="shared" ref="V269:W269" si="373">+V229</f>
        <v>13.426</v>
      </c>
      <c r="W269" s="613">
        <f t="shared" si="373"/>
        <v>21.795000000000002</v>
      </c>
      <c r="X269" s="613">
        <f t="shared" ref="X269:Y269" si="374">+X229</f>
        <v>19.707000000000001</v>
      </c>
      <c r="Y269" s="613">
        <f t="shared" si="374"/>
        <v>13.667</v>
      </c>
      <c r="Z269" s="719"/>
      <c r="AA269" s="719"/>
      <c r="AB269" s="719"/>
      <c r="AC269" s="719"/>
      <c r="AD269" s="719"/>
      <c r="AE269" s="719"/>
      <c r="AF269" s="719"/>
      <c r="AG269" s="719"/>
      <c r="AH269" s="719"/>
      <c r="AI269" s="613">
        <f t="shared" ref="AI269:AK269" si="375">+AI229</f>
        <v>7.64</v>
      </c>
      <c r="AJ269" s="613">
        <f t="shared" si="375"/>
        <v>8.6989999999999998</v>
      </c>
      <c r="AK269" s="613">
        <f t="shared" si="375"/>
        <v>14.365</v>
      </c>
      <c r="AL269" s="613">
        <f t="shared" ref="AL269:AM269" si="376">+AL229</f>
        <v>25.407</v>
      </c>
      <c r="AM269" s="613">
        <f t="shared" si="376"/>
        <v>13.426</v>
      </c>
      <c r="AN269" s="719"/>
      <c r="AO269" s="614"/>
    </row>
    <row r="270" spans="1:41" s="163" customFormat="1" ht="13" x14ac:dyDescent="0.3">
      <c r="A270" s="729" t="s">
        <v>503</v>
      </c>
      <c r="C270" s="592"/>
      <c r="D270" s="592"/>
      <c r="E270" s="592"/>
      <c r="F270" s="593">
        <f t="shared" ref="F270:R270" si="377">+SUM(F267:F269)</f>
        <v>100.15</v>
      </c>
      <c r="G270" s="592">
        <f t="shared" si="377"/>
        <v>96.131</v>
      </c>
      <c r="H270" s="592">
        <f t="shared" si="377"/>
        <v>83.165000000000006</v>
      </c>
      <c r="I270" s="592">
        <f t="shared" si="377"/>
        <v>115.41</v>
      </c>
      <c r="J270" s="593">
        <f t="shared" si="377"/>
        <v>120.062</v>
      </c>
      <c r="K270" s="594">
        <f t="shared" si="377"/>
        <v>118.559</v>
      </c>
      <c r="L270" s="594">
        <f t="shared" si="377"/>
        <v>131.178</v>
      </c>
      <c r="M270" s="594">
        <f t="shared" si="377"/>
        <v>164.43200000000002</v>
      </c>
      <c r="N270" s="593">
        <f t="shared" si="377"/>
        <v>170.137</v>
      </c>
      <c r="O270" s="592">
        <f t="shared" si="377"/>
        <v>167.25200000000001</v>
      </c>
      <c r="P270" s="592">
        <f t="shared" si="377"/>
        <v>167.744</v>
      </c>
      <c r="Q270" s="592">
        <f t="shared" si="377"/>
        <v>178.51500000000001</v>
      </c>
      <c r="R270" s="593">
        <f t="shared" si="377"/>
        <v>169.21800000000002</v>
      </c>
      <c r="S270" s="592">
        <f>+SUM(S267:S269)</f>
        <v>150.74200000000002</v>
      </c>
      <c r="T270" s="592">
        <f t="shared" ref="T270:U270" si="378">+SUM(T267:T269)</f>
        <v>161.43899999999999</v>
      </c>
      <c r="U270" s="592">
        <f t="shared" si="378"/>
        <v>176.24700000000001</v>
      </c>
      <c r="V270" s="593">
        <f t="shared" ref="V270:W270" si="379">+SUM(V267:V269)</f>
        <v>156.11599999999999</v>
      </c>
      <c r="W270" s="592">
        <f t="shared" si="379"/>
        <v>150.80599999999998</v>
      </c>
      <c r="X270" s="592">
        <f t="shared" ref="X270:Y270" si="380">+SUM(X267:X269)</f>
        <v>150.47499999999999</v>
      </c>
      <c r="Y270" s="592">
        <f t="shared" si="380"/>
        <v>156.68700000000001</v>
      </c>
      <c r="Z270" s="594"/>
      <c r="AA270" s="594"/>
      <c r="AB270" s="594"/>
      <c r="AC270" s="594"/>
      <c r="AD270" s="594"/>
      <c r="AE270" s="594"/>
      <c r="AF270" s="594"/>
      <c r="AG270" s="594"/>
      <c r="AH270" s="594"/>
      <c r="AI270" s="592">
        <f t="shared" ref="AI270" si="381">+SUM(AI267:AI269)</f>
        <v>100.15</v>
      </c>
      <c r="AJ270" s="592">
        <f t="shared" ref="AJ270" si="382">+SUM(AJ267:AJ269)</f>
        <v>120.062</v>
      </c>
      <c r="AK270" s="592">
        <f t="shared" ref="AK270" si="383">+SUM(AK267:AK269)</f>
        <v>170.137</v>
      </c>
      <c r="AL270" s="592">
        <f t="shared" ref="AL270:AM270" si="384">+SUM(AL267:AL269)</f>
        <v>169.21800000000002</v>
      </c>
      <c r="AM270" s="592">
        <f t="shared" si="384"/>
        <v>156.11599999999999</v>
      </c>
      <c r="AN270" s="594"/>
      <c r="AO270" s="573"/>
    </row>
    <row r="271" spans="1:41" x14ac:dyDescent="0.25">
      <c r="C271" s="568"/>
      <c r="D271" s="568"/>
      <c r="E271" s="568"/>
      <c r="F271" s="588"/>
      <c r="G271" s="568"/>
      <c r="H271" s="568"/>
      <c r="I271" s="568"/>
      <c r="J271" s="588"/>
      <c r="K271" s="583"/>
      <c r="L271" s="583"/>
      <c r="M271" s="583"/>
      <c r="N271" s="588"/>
      <c r="O271" s="568"/>
      <c r="P271" s="568"/>
      <c r="Q271" s="568"/>
      <c r="R271" s="588"/>
      <c r="S271" s="568"/>
      <c r="T271" s="568"/>
      <c r="U271" s="568"/>
      <c r="V271" s="588"/>
      <c r="W271" s="568"/>
      <c r="X271" s="568"/>
      <c r="Y271" s="568"/>
      <c r="Z271" s="583"/>
      <c r="AA271" s="583"/>
      <c r="AB271" s="583"/>
      <c r="AC271" s="583"/>
      <c r="AD271" s="583"/>
      <c r="AE271" s="583"/>
      <c r="AF271" s="583"/>
      <c r="AG271" s="583"/>
      <c r="AH271" s="583"/>
      <c r="AI271" s="568"/>
      <c r="AJ271" s="568"/>
      <c r="AK271" s="568"/>
      <c r="AL271" s="568"/>
      <c r="AM271" s="568"/>
      <c r="AN271" s="583"/>
      <c r="AO271" s="571"/>
    </row>
    <row r="272" spans="1:41" ht="13" x14ac:dyDescent="0.3">
      <c r="A272" s="974" t="s">
        <v>163</v>
      </c>
      <c r="C272" s="568"/>
      <c r="D272" s="568"/>
      <c r="E272" s="568"/>
      <c r="F272" s="588"/>
      <c r="G272" s="568"/>
      <c r="H272" s="568"/>
      <c r="I272" s="568"/>
      <c r="J272" s="588"/>
      <c r="K272" s="583"/>
      <c r="L272" s="583"/>
      <c r="M272" s="583"/>
      <c r="N272" s="588"/>
      <c r="O272" s="568"/>
      <c r="P272" s="568"/>
      <c r="Q272" s="568"/>
      <c r="R272" s="588"/>
      <c r="S272" s="568"/>
      <c r="T272" s="568"/>
      <c r="U272" s="568"/>
      <c r="V272" s="588"/>
      <c r="W272" s="568"/>
      <c r="X272" s="568"/>
      <c r="Y272" s="568"/>
      <c r="Z272" s="583"/>
      <c r="AA272" s="583"/>
      <c r="AB272" s="583"/>
      <c r="AC272" s="583"/>
      <c r="AD272" s="583"/>
      <c r="AE272" s="583"/>
      <c r="AF272" s="583"/>
      <c r="AG272" s="583"/>
      <c r="AH272" s="583"/>
      <c r="AI272" s="568"/>
      <c r="AJ272" s="568"/>
      <c r="AK272" s="568"/>
      <c r="AL272" s="568"/>
      <c r="AM272" s="568"/>
      <c r="AN272" s="583"/>
      <c r="AO272" s="571"/>
    </row>
    <row r="273" spans="1:41" s="413" customFormat="1" ht="14" x14ac:dyDescent="0.4">
      <c r="A273" s="649" t="s">
        <v>504</v>
      </c>
      <c r="C273" s="613"/>
      <c r="D273" s="613"/>
      <c r="E273" s="613"/>
      <c r="F273" s="718">
        <f t="shared" ref="F273:R273" si="385">+F241+F242+F243</f>
        <v>75.86399999999999</v>
      </c>
      <c r="G273" s="613">
        <f t="shared" si="385"/>
        <v>74.444000000000003</v>
      </c>
      <c r="H273" s="613">
        <f t="shared" si="385"/>
        <v>64.649000000000001</v>
      </c>
      <c r="I273" s="613">
        <f t="shared" si="385"/>
        <v>77.680000000000007</v>
      </c>
      <c r="J273" s="718">
        <f t="shared" si="385"/>
        <v>88.256</v>
      </c>
      <c r="K273" s="719">
        <f t="shared" si="385"/>
        <v>85.234999999999999</v>
      </c>
      <c r="L273" s="719">
        <f t="shared" si="385"/>
        <v>96.903999999999996</v>
      </c>
      <c r="M273" s="719">
        <f t="shared" si="385"/>
        <v>96.217000000000013</v>
      </c>
      <c r="N273" s="718">
        <f t="shared" si="385"/>
        <v>105.85999999999999</v>
      </c>
      <c r="O273" s="613">
        <f t="shared" si="385"/>
        <v>90.144000000000005</v>
      </c>
      <c r="P273" s="613">
        <f t="shared" si="385"/>
        <v>92.062999999999988</v>
      </c>
      <c r="Q273" s="613">
        <f t="shared" si="385"/>
        <v>93.628</v>
      </c>
      <c r="R273" s="718">
        <f t="shared" si="385"/>
        <v>94.049000000000007</v>
      </c>
      <c r="S273" s="613">
        <f>+S241+S242+S243</f>
        <v>77.256</v>
      </c>
      <c r="T273" s="613">
        <f t="shared" ref="T273:U273" si="386">+T241+T242+T243</f>
        <v>82.822000000000003</v>
      </c>
      <c r="U273" s="613">
        <f t="shared" si="386"/>
        <v>88.41</v>
      </c>
      <c r="V273" s="718">
        <f t="shared" ref="V273:W273" si="387">+V241+V242+V243</f>
        <v>79.564999999999998</v>
      </c>
      <c r="W273" s="613">
        <f t="shared" si="387"/>
        <v>84.800000000000011</v>
      </c>
      <c r="X273" s="613">
        <f t="shared" ref="X273:Y273" si="388">+X241+X242+X243</f>
        <v>93.531000000000006</v>
      </c>
      <c r="Y273" s="613">
        <f t="shared" si="388"/>
        <v>112.75700000000001</v>
      </c>
      <c r="Z273" s="719"/>
      <c r="AA273" s="719"/>
      <c r="AB273" s="719"/>
      <c r="AC273" s="719"/>
      <c r="AD273" s="719"/>
      <c r="AE273" s="719"/>
      <c r="AF273" s="719"/>
      <c r="AG273" s="719"/>
      <c r="AH273" s="719"/>
      <c r="AI273" s="613">
        <f t="shared" ref="AI273:AK273" si="389">+AI241+AI242+AI243</f>
        <v>75.86399999999999</v>
      </c>
      <c r="AJ273" s="613">
        <f t="shared" si="389"/>
        <v>88.256</v>
      </c>
      <c r="AK273" s="613">
        <f t="shared" si="389"/>
        <v>105.85999999999999</v>
      </c>
      <c r="AL273" s="613">
        <f t="shared" ref="AL273:AM273" si="390">+AL241+AL242+AL243</f>
        <v>94.049000000000007</v>
      </c>
      <c r="AM273" s="613">
        <f t="shared" si="390"/>
        <v>79.564999999999998</v>
      </c>
      <c r="AN273" s="719"/>
      <c r="AO273" s="614"/>
    </row>
    <row r="274" spans="1:41" s="163" customFormat="1" ht="13" x14ac:dyDescent="0.3">
      <c r="A274" s="729" t="s">
        <v>505</v>
      </c>
      <c r="C274" s="592"/>
      <c r="D274" s="592"/>
      <c r="E274" s="592"/>
      <c r="F274" s="593">
        <f t="shared" ref="F274:R274" si="391">+F273</f>
        <v>75.86399999999999</v>
      </c>
      <c r="G274" s="592">
        <f t="shared" si="391"/>
        <v>74.444000000000003</v>
      </c>
      <c r="H274" s="592">
        <f t="shared" si="391"/>
        <v>64.649000000000001</v>
      </c>
      <c r="I274" s="592">
        <f t="shared" si="391"/>
        <v>77.680000000000007</v>
      </c>
      <c r="J274" s="593">
        <f t="shared" si="391"/>
        <v>88.256</v>
      </c>
      <c r="K274" s="594">
        <f t="shared" si="391"/>
        <v>85.234999999999999</v>
      </c>
      <c r="L274" s="594">
        <f t="shared" si="391"/>
        <v>96.903999999999996</v>
      </c>
      <c r="M274" s="594">
        <f t="shared" si="391"/>
        <v>96.217000000000013</v>
      </c>
      <c r="N274" s="593">
        <f t="shared" si="391"/>
        <v>105.85999999999999</v>
      </c>
      <c r="O274" s="592">
        <f t="shared" si="391"/>
        <v>90.144000000000005</v>
      </c>
      <c r="P274" s="592">
        <f t="shared" si="391"/>
        <v>92.062999999999988</v>
      </c>
      <c r="Q274" s="592">
        <f t="shared" si="391"/>
        <v>93.628</v>
      </c>
      <c r="R274" s="593">
        <f t="shared" si="391"/>
        <v>94.049000000000007</v>
      </c>
      <c r="S274" s="592">
        <f>+S273</f>
        <v>77.256</v>
      </c>
      <c r="T274" s="592">
        <f t="shared" ref="T274:U274" si="392">+T273</f>
        <v>82.822000000000003</v>
      </c>
      <c r="U274" s="592">
        <f t="shared" si="392"/>
        <v>88.41</v>
      </c>
      <c r="V274" s="593">
        <f t="shared" ref="V274:W274" si="393">+V273</f>
        <v>79.564999999999998</v>
      </c>
      <c r="W274" s="592">
        <f t="shared" si="393"/>
        <v>84.800000000000011</v>
      </c>
      <c r="X274" s="592">
        <f t="shared" ref="X274:Y274" si="394">+X273</f>
        <v>93.531000000000006</v>
      </c>
      <c r="Y274" s="592">
        <f t="shared" si="394"/>
        <v>112.75700000000001</v>
      </c>
      <c r="Z274" s="594"/>
      <c r="AA274" s="594"/>
      <c r="AB274" s="594"/>
      <c r="AC274" s="594"/>
      <c r="AD274" s="594"/>
      <c r="AE274" s="594"/>
      <c r="AF274" s="594"/>
      <c r="AG274" s="594"/>
      <c r="AH274" s="594"/>
      <c r="AI274" s="592">
        <f t="shared" ref="AI274" si="395">+AI273</f>
        <v>75.86399999999999</v>
      </c>
      <c r="AJ274" s="592">
        <f t="shared" ref="AJ274" si="396">+AJ273</f>
        <v>88.256</v>
      </c>
      <c r="AK274" s="592">
        <f t="shared" ref="AK274" si="397">+AK273</f>
        <v>105.85999999999999</v>
      </c>
      <c r="AL274" s="592">
        <f t="shared" ref="AL274:AM274" si="398">+AL273</f>
        <v>94.049000000000007</v>
      </c>
      <c r="AM274" s="592">
        <f t="shared" si="398"/>
        <v>79.564999999999998</v>
      </c>
      <c r="AN274" s="594"/>
      <c r="AO274" s="573"/>
    </row>
    <row r="275" spans="1:41" x14ac:dyDescent="0.25">
      <c r="C275" s="568"/>
      <c r="D275" s="568"/>
      <c r="E275" s="568"/>
      <c r="F275" s="588"/>
      <c r="G275" s="568"/>
      <c r="H275" s="568"/>
      <c r="I275" s="568"/>
      <c r="J275" s="588"/>
      <c r="K275" s="583"/>
      <c r="L275" s="583"/>
      <c r="M275" s="583"/>
      <c r="N275" s="588"/>
      <c r="O275" s="568"/>
      <c r="P275" s="568"/>
      <c r="Q275" s="568"/>
      <c r="R275" s="588"/>
      <c r="S275" s="568"/>
      <c r="T275" s="568"/>
      <c r="U275" s="568"/>
      <c r="V275" s="588"/>
      <c r="W275" s="568"/>
      <c r="X275" s="568"/>
      <c r="Y275" s="568"/>
      <c r="Z275" s="583"/>
      <c r="AA275" s="583"/>
      <c r="AB275" s="583"/>
      <c r="AC275" s="583"/>
      <c r="AD275" s="583"/>
      <c r="AE275" s="583"/>
      <c r="AF275" s="583"/>
      <c r="AG275" s="583"/>
      <c r="AH275" s="583"/>
      <c r="AI275" s="568"/>
      <c r="AJ275" s="568"/>
      <c r="AK275" s="568"/>
      <c r="AL275" s="568"/>
      <c r="AM275" s="568"/>
      <c r="AN275" s="583"/>
      <c r="AO275" s="571"/>
    </row>
    <row r="276" spans="1:41" s="163" customFormat="1" ht="13" x14ac:dyDescent="0.3">
      <c r="A276" s="730" t="s">
        <v>506</v>
      </c>
      <c r="C276" s="592"/>
      <c r="D276" s="592"/>
      <c r="E276" s="592"/>
      <c r="F276" s="593">
        <f t="shared" ref="F276:R276" si="399">+F270-F274</f>
        <v>24.286000000000016</v>
      </c>
      <c r="G276" s="592">
        <f t="shared" si="399"/>
        <v>21.686999999999998</v>
      </c>
      <c r="H276" s="592">
        <f t="shared" si="399"/>
        <v>18.516000000000005</v>
      </c>
      <c r="I276" s="592">
        <f t="shared" si="399"/>
        <v>37.72999999999999</v>
      </c>
      <c r="J276" s="593">
        <f t="shared" si="399"/>
        <v>31.805999999999997</v>
      </c>
      <c r="K276" s="594">
        <f t="shared" si="399"/>
        <v>33.323999999999998</v>
      </c>
      <c r="L276" s="594">
        <f t="shared" si="399"/>
        <v>34.274000000000001</v>
      </c>
      <c r="M276" s="594">
        <f t="shared" si="399"/>
        <v>68.215000000000003</v>
      </c>
      <c r="N276" s="593">
        <f t="shared" si="399"/>
        <v>64.277000000000015</v>
      </c>
      <c r="O276" s="592">
        <f t="shared" si="399"/>
        <v>77.108000000000004</v>
      </c>
      <c r="P276" s="592">
        <f t="shared" si="399"/>
        <v>75.681000000000012</v>
      </c>
      <c r="Q276" s="592">
        <f t="shared" si="399"/>
        <v>84.887000000000015</v>
      </c>
      <c r="R276" s="593">
        <f t="shared" si="399"/>
        <v>75.169000000000011</v>
      </c>
      <c r="S276" s="592">
        <f>+S270-S274</f>
        <v>73.486000000000018</v>
      </c>
      <c r="T276" s="592">
        <f t="shared" ref="T276:U276" si="400">+T270-T274</f>
        <v>78.61699999999999</v>
      </c>
      <c r="U276" s="592">
        <f t="shared" si="400"/>
        <v>87.837000000000018</v>
      </c>
      <c r="V276" s="593">
        <f t="shared" ref="V276:W276" si="401">+V270-V274</f>
        <v>76.550999999999988</v>
      </c>
      <c r="W276" s="592">
        <f t="shared" si="401"/>
        <v>66.005999999999972</v>
      </c>
      <c r="X276" s="592">
        <f t="shared" ref="X276:Y276" si="402">+X270-X274</f>
        <v>56.943999999999988</v>
      </c>
      <c r="Y276" s="592">
        <f t="shared" si="402"/>
        <v>43.930000000000007</v>
      </c>
      <c r="Z276" s="594"/>
      <c r="AA276" s="594"/>
      <c r="AB276" s="594"/>
      <c r="AC276" s="594"/>
      <c r="AD276" s="594"/>
      <c r="AE276" s="594"/>
      <c r="AF276" s="594"/>
      <c r="AG276" s="594"/>
      <c r="AH276" s="594"/>
      <c r="AI276" s="592">
        <f t="shared" ref="AI276:AK276" si="403">+AI270-AI274</f>
        <v>24.286000000000016</v>
      </c>
      <c r="AJ276" s="592">
        <f t="shared" si="403"/>
        <v>31.805999999999997</v>
      </c>
      <c r="AK276" s="592">
        <f t="shared" si="403"/>
        <v>64.277000000000015</v>
      </c>
      <c r="AL276" s="592">
        <f t="shared" ref="AL276:AM276" si="404">+AL270-AL274</f>
        <v>75.169000000000011</v>
      </c>
      <c r="AM276" s="592">
        <f t="shared" si="404"/>
        <v>76.550999999999988</v>
      </c>
      <c r="AN276" s="594"/>
      <c r="AO276" s="573"/>
    </row>
    <row r="277" spans="1:41" ht="13" x14ac:dyDescent="0.3">
      <c r="A277" s="153" t="s">
        <v>41</v>
      </c>
      <c r="C277" s="568"/>
      <c r="D277" s="568"/>
      <c r="E277" s="568"/>
      <c r="F277" s="596">
        <f t="shared" ref="F277:R277" si="405">+F276/F281</f>
        <v>0.19169626647722801</v>
      </c>
      <c r="G277" s="568">
        <f t="shared" si="405"/>
        <v>0.19566217667066643</v>
      </c>
      <c r="H277" s="568">
        <f t="shared" si="405"/>
        <v>0.17635461411713169</v>
      </c>
      <c r="I277" s="568">
        <f t="shared" si="405"/>
        <v>0.27584845516091766</v>
      </c>
      <c r="J277" s="596">
        <f t="shared" si="405"/>
        <v>0.20317610384300896</v>
      </c>
      <c r="K277" s="595">
        <f t="shared" si="405"/>
        <v>0.25232073900204438</v>
      </c>
      <c r="L277" s="595">
        <f t="shared" si="405"/>
        <v>0.19604635466120601</v>
      </c>
      <c r="M277" s="595">
        <f t="shared" si="405"/>
        <v>0.35368932995276542</v>
      </c>
      <c r="N277" s="596">
        <f t="shared" si="405"/>
        <v>0.30243445692883902</v>
      </c>
      <c r="O277" s="595">
        <f t="shared" si="405"/>
        <v>0.40608591696904905</v>
      </c>
      <c r="P277" s="595">
        <f t="shared" si="405"/>
        <v>0.37547442213523452</v>
      </c>
      <c r="Q277" s="595">
        <f t="shared" si="405"/>
        <v>0.4121008223859875</v>
      </c>
      <c r="R277" s="596">
        <f t="shared" si="405"/>
        <v>0.35357840024459658</v>
      </c>
      <c r="S277" s="595">
        <f>+S276/S281</f>
        <v>0.41867593436645406</v>
      </c>
      <c r="T277" s="595">
        <f t="shared" ref="T277:U277" si="406">+T276/T281</f>
        <v>0.4242344116774141</v>
      </c>
      <c r="U277" s="595">
        <f t="shared" si="406"/>
        <v>0.4383871354135474</v>
      </c>
      <c r="V277" s="596">
        <f t="shared" ref="V277:W277" si="407">+V276/V281</f>
        <v>0.37791392265084262</v>
      </c>
      <c r="W277" s="595">
        <f t="shared" si="407"/>
        <v>0.38960900977475549</v>
      </c>
      <c r="X277" s="595">
        <f t="shared" ref="X277:Y277" si="408">+X276/X281</f>
        <v>0.30855929080781147</v>
      </c>
      <c r="Y277" s="595">
        <f t="shared" si="408"/>
        <v>0.22062183920168346</v>
      </c>
      <c r="Z277" s="583"/>
      <c r="AA277" s="583"/>
      <c r="AB277" s="583"/>
      <c r="AC277" s="583"/>
      <c r="AD277" s="583"/>
      <c r="AE277" s="583"/>
      <c r="AF277" s="583"/>
      <c r="AG277" s="583"/>
      <c r="AH277" s="583"/>
      <c r="AI277" s="595">
        <f t="shared" ref="AI277" si="409">+AI276/AI281</f>
        <v>5.0410260561640823E-2</v>
      </c>
      <c r="AJ277" s="595">
        <f t="shared" ref="AJ277" si="410">+AJ276/AJ281</f>
        <v>6.2468329817697586E-2</v>
      </c>
      <c r="AK277" s="595">
        <f t="shared" ref="AK277" si="411">+AK276/AK281</f>
        <v>9.0239296920517506E-2</v>
      </c>
      <c r="AL277" s="595">
        <f t="shared" ref="AL277:AM277" si="412">+AL276/AL281</f>
        <v>9.2798599545938831E-2</v>
      </c>
      <c r="AM277" s="595">
        <f t="shared" si="412"/>
        <v>0.10022899833848545</v>
      </c>
      <c r="AN277" s="583"/>
      <c r="AO277" s="571"/>
    </row>
    <row r="278" spans="1:41" s="199" customFormat="1" ht="13" x14ac:dyDescent="0.3">
      <c r="A278" s="975" t="s">
        <v>507</v>
      </c>
      <c r="C278" s="597"/>
      <c r="D278" s="597"/>
      <c r="E278" s="597"/>
      <c r="F278" s="598">
        <f t="shared" ref="F278:R278" si="413">+F276-E276</f>
        <v>24.286000000000016</v>
      </c>
      <c r="G278" s="597">
        <f t="shared" si="413"/>
        <v>-2.599000000000018</v>
      </c>
      <c r="H278" s="597">
        <f t="shared" si="413"/>
        <v>-3.1709999999999923</v>
      </c>
      <c r="I278" s="597">
        <f t="shared" si="413"/>
        <v>19.213999999999984</v>
      </c>
      <c r="J278" s="598">
        <f t="shared" si="413"/>
        <v>-5.9239999999999924</v>
      </c>
      <c r="K278" s="599">
        <f t="shared" si="413"/>
        <v>1.5180000000000007</v>
      </c>
      <c r="L278" s="599">
        <f t="shared" si="413"/>
        <v>0.95000000000000284</v>
      </c>
      <c r="M278" s="599">
        <f t="shared" si="413"/>
        <v>33.941000000000003</v>
      </c>
      <c r="N278" s="598">
        <f t="shared" si="413"/>
        <v>-3.9379999999999882</v>
      </c>
      <c r="O278" s="597">
        <f t="shared" si="413"/>
        <v>12.830999999999989</v>
      </c>
      <c r="P278" s="597">
        <f t="shared" si="413"/>
        <v>-1.4269999999999925</v>
      </c>
      <c r="Q278" s="597">
        <f t="shared" si="413"/>
        <v>9.2060000000000031</v>
      </c>
      <c r="R278" s="598">
        <f t="shared" si="413"/>
        <v>-9.7180000000000035</v>
      </c>
      <c r="S278" s="597">
        <f>+S276-R276</f>
        <v>-1.6829999999999927</v>
      </c>
      <c r="T278" s="597">
        <f t="shared" ref="T278" si="414">+T276-S276</f>
        <v>5.1309999999999718</v>
      </c>
      <c r="U278" s="597">
        <f t="shared" ref="U278" si="415">+U276-T276</f>
        <v>9.2200000000000273</v>
      </c>
      <c r="V278" s="598">
        <f t="shared" ref="V278" si="416">+V276-U276</f>
        <v>-11.28600000000003</v>
      </c>
      <c r="W278" s="597">
        <f t="shared" ref="W278" si="417">+W276-V276</f>
        <v>-10.545000000000016</v>
      </c>
      <c r="X278" s="597">
        <f t="shared" ref="X278" si="418">+X276-W276</f>
        <v>-9.0619999999999834</v>
      </c>
      <c r="Y278" s="597">
        <f t="shared" ref="Y278" si="419">+Y276-X276</f>
        <v>-13.013999999999982</v>
      </c>
      <c r="Z278" s="599"/>
      <c r="AA278" s="599"/>
      <c r="AB278" s="599"/>
      <c r="AC278" s="599"/>
      <c r="AD278" s="599"/>
      <c r="AE278" s="599"/>
      <c r="AF278" s="599"/>
      <c r="AG278" s="599"/>
      <c r="AH278" s="599"/>
      <c r="AI278" s="597"/>
      <c r="AJ278" s="597">
        <f t="shared" ref="AJ278:AK278" si="420">+AJ276-AI276</f>
        <v>7.5199999999999818</v>
      </c>
      <c r="AK278" s="597">
        <f t="shared" si="420"/>
        <v>32.471000000000018</v>
      </c>
      <c r="AL278" s="597">
        <f t="shared" ref="AL278" si="421">+AL276-AK276</f>
        <v>10.891999999999996</v>
      </c>
      <c r="AM278" s="597">
        <f t="shared" ref="AM278" si="422">+AM276-AL276</f>
        <v>1.3819999999999766</v>
      </c>
      <c r="AN278" s="599"/>
      <c r="AO278" s="575"/>
    </row>
    <row r="279" spans="1:41" x14ac:dyDescent="0.25">
      <c r="C279" s="568"/>
      <c r="D279" s="568"/>
      <c r="E279" s="568"/>
      <c r="F279" s="588"/>
      <c r="G279" s="568"/>
      <c r="H279" s="568"/>
      <c r="I279" s="568"/>
      <c r="J279" s="588"/>
      <c r="K279" s="583"/>
      <c r="L279" s="583"/>
      <c r="M279" s="583"/>
      <c r="N279" s="588"/>
      <c r="O279" s="568"/>
      <c r="P279" s="568"/>
      <c r="Q279" s="568"/>
      <c r="R279" s="588"/>
      <c r="S279" s="568"/>
      <c r="T279" s="568"/>
      <c r="U279" s="568"/>
      <c r="V279" s="588"/>
      <c r="W279" s="568"/>
      <c r="X279" s="568"/>
      <c r="Y279" s="568"/>
      <c r="Z279" s="583"/>
      <c r="AA279" s="583"/>
      <c r="AB279" s="583"/>
      <c r="AC279" s="583"/>
      <c r="AD279" s="583"/>
      <c r="AE279" s="583"/>
      <c r="AF279" s="583"/>
      <c r="AG279" s="583"/>
      <c r="AH279" s="583"/>
      <c r="AI279" s="568"/>
      <c r="AJ279" s="568"/>
      <c r="AK279" s="568"/>
      <c r="AL279" s="568"/>
      <c r="AM279" s="568"/>
      <c r="AN279" s="583"/>
      <c r="AO279" s="571"/>
    </row>
    <row r="280" spans="1:41" ht="13" x14ac:dyDescent="0.3">
      <c r="A280" s="976" t="s">
        <v>508</v>
      </c>
      <c r="C280" s="568"/>
      <c r="D280" s="568"/>
      <c r="E280" s="568"/>
      <c r="F280" s="588"/>
      <c r="G280" s="568"/>
      <c r="H280" s="568"/>
      <c r="I280" s="568"/>
      <c r="J280" s="588"/>
      <c r="K280" s="583"/>
      <c r="L280" s="583"/>
      <c r="M280" s="583"/>
      <c r="N280" s="588"/>
      <c r="O280" s="568"/>
      <c r="P280" s="568"/>
      <c r="Q280" s="568"/>
      <c r="R280" s="588"/>
      <c r="S280" s="568"/>
      <c r="T280" s="568"/>
      <c r="U280" s="568"/>
      <c r="V280" s="588"/>
      <c r="W280" s="568"/>
      <c r="X280" s="568"/>
      <c r="Y280" s="568"/>
      <c r="Z280" s="583"/>
      <c r="AA280" s="583"/>
      <c r="AB280" s="583"/>
      <c r="AC280" s="583"/>
      <c r="AD280" s="583"/>
      <c r="AE280" s="583"/>
      <c r="AF280" s="583"/>
      <c r="AG280" s="583"/>
      <c r="AH280" s="583"/>
      <c r="AI280" s="568"/>
      <c r="AJ280" s="568"/>
      <c r="AK280" s="568"/>
      <c r="AL280" s="568"/>
      <c r="AM280" s="568"/>
      <c r="AN280" s="583"/>
      <c r="AO280" s="571"/>
    </row>
    <row r="281" spans="1:41" s="199" customFormat="1" ht="13" x14ac:dyDescent="0.3">
      <c r="A281" s="975" t="s">
        <v>28</v>
      </c>
      <c r="C281" s="597"/>
      <c r="D281" s="597"/>
      <c r="E281" s="597"/>
      <c r="F281" s="598">
        <f t="shared" ref="F281:Y281" si="423">+F9</f>
        <v>126.69</v>
      </c>
      <c r="G281" s="597">
        <f t="shared" si="423"/>
        <v>110.839</v>
      </c>
      <c r="H281" s="597">
        <f t="shared" si="423"/>
        <v>104.99299999999999</v>
      </c>
      <c r="I281" s="597">
        <f t="shared" si="423"/>
        <v>136.77799999999999</v>
      </c>
      <c r="J281" s="598">
        <f t="shared" si="423"/>
        <v>156.54400000000001</v>
      </c>
      <c r="K281" s="599">
        <f t="shared" si="423"/>
        <v>132.07</v>
      </c>
      <c r="L281" s="599">
        <f t="shared" si="423"/>
        <v>174.82599999999999</v>
      </c>
      <c r="M281" s="599">
        <f t="shared" si="423"/>
        <v>192.86699999999999</v>
      </c>
      <c r="N281" s="598">
        <f t="shared" si="423"/>
        <v>212.53200000000001</v>
      </c>
      <c r="O281" s="597">
        <f t="shared" si="423"/>
        <v>189.881</v>
      </c>
      <c r="P281" s="597">
        <f t="shared" si="423"/>
        <v>201.56100000000001</v>
      </c>
      <c r="Q281" s="597">
        <f t="shared" si="423"/>
        <v>205.98599999999999</v>
      </c>
      <c r="R281" s="598">
        <f t="shared" si="423"/>
        <v>212.595</v>
      </c>
      <c r="S281" s="597">
        <f t="shared" si="423"/>
        <v>175.52</v>
      </c>
      <c r="T281" s="597">
        <f t="shared" si="423"/>
        <v>185.315</v>
      </c>
      <c r="U281" s="597">
        <f t="shared" si="423"/>
        <v>200.364</v>
      </c>
      <c r="V281" s="598">
        <f t="shared" si="423"/>
        <v>202.56200000000001</v>
      </c>
      <c r="W281" s="597">
        <f t="shared" si="423"/>
        <v>169.416</v>
      </c>
      <c r="X281" s="597">
        <f t="shared" si="423"/>
        <v>184.548</v>
      </c>
      <c r="Y281" s="597">
        <f t="shared" si="423"/>
        <v>199.119</v>
      </c>
      <c r="Z281" s="599"/>
      <c r="AA281" s="599"/>
      <c r="AB281" s="599"/>
      <c r="AC281" s="599"/>
      <c r="AD281" s="599"/>
      <c r="AE281" s="599"/>
      <c r="AF281" s="599"/>
      <c r="AG281" s="599"/>
      <c r="AH281" s="599"/>
      <c r="AI281" s="597">
        <f>+AI9</f>
        <v>481.767</v>
      </c>
      <c r="AJ281" s="597">
        <f>+AJ9</f>
        <v>509.154</v>
      </c>
      <c r="AK281" s="597">
        <f>+AK9</f>
        <v>712.29499999999996</v>
      </c>
      <c r="AL281" s="597">
        <f>+AL9</f>
        <v>810.02300000000002</v>
      </c>
      <c r="AM281" s="597">
        <f>+AM9</f>
        <v>763.76100000000008</v>
      </c>
      <c r="AN281" s="599"/>
      <c r="AO281" s="575"/>
    </row>
    <row r="282" spans="1:41" s="199" customFormat="1" ht="13" x14ac:dyDescent="0.3">
      <c r="A282" s="975" t="s">
        <v>356</v>
      </c>
      <c r="C282" s="597"/>
      <c r="D282" s="597"/>
      <c r="E282" s="597"/>
      <c r="F282" s="598"/>
      <c r="G282" s="597">
        <f t="shared" ref="G282:Y282" si="424">+G12</f>
        <v>57.081000000000017</v>
      </c>
      <c r="H282" s="597">
        <f t="shared" si="424"/>
        <v>52.404000000000003</v>
      </c>
      <c r="I282" s="597">
        <f t="shared" si="424"/>
        <v>67.483000000000004</v>
      </c>
      <c r="J282" s="598">
        <f t="shared" si="424"/>
        <v>83.584000000000003</v>
      </c>
      <c r="K282" s="599">
        <f t="shared" si="424"/>
        <v>65.944999999999993</v>
      </c>
      <c r="L282" s="599">
        <f t="shared" si="424"/>
        <v>84.867999999999995</v>
      </c>
      <c r="M282" s="599">
        <f t="shared" si="424"/>
        <v>94.150999999999996</v>
      </c>
      <c r="N282" s="598">
        <f t="shared" si="424"/>
        <v>107.206</v>
      </c>
      <c r="O282" s="597">
        <f t="shared" si="424"/>
        <v>96.430999999999997</v>
      </c>
      <c r="P282" s="597">
        <f t="shared" si="424"/>
        <v>100.292</v>
      </c>
      <c r="Q282" s="597">
        <f t="shared" si="424"/>
        <v>104.3</v>
      </c>
      <c r="R282" s="598">
        <f t="shared" si="424"/>
        <v>107.905</v>
      </c>
      <c r="S282" s="597">
        <f t="shared" si="424"/>
        <v>91.061000000000007</v>
      </c>
      <c r="T282" s="597">
        <f t="shared" si="424"/>
        <v>92.997</v>
      </c>
      <c r="U282" s="597">
        <f t="shared" si="424"/>
        <v>101.41</v>
      </c>
      <c r="V282" s="598">
        <f t="shared" si="424"/>
        <v>101.309</v>
      </c>
      <c r="W282" s="597">
        <f t="shared" si="424"/>
        <v>87.191999999999993</v>
      </c>
      <c r="X282" s="597">
        <f t="shared" si="424"/>
        <v>92.347999999999999</v>
      </c>
      <c r="Y282" s="597">
        <f t="shared" si="424"/>
        <v>100.879</v>
      </c>
      <c r="Z282" s="599"/>
      <c r="AA282" s="599"/>
      <c r="AB282" s="599"/>
      <c r="AC282" s="599"/>
      <c r="AD282" s="599"/>
      <c r="AE282" s="599"/>
      <c r="AF282" s="599"/>
      <c r="AG282" s="599"/>
      <c r="AH282" s="599"/>
      <c r="AI282" s="597">
        <f>+AI12</f>
        <v>245.32400000000001</v>
      </c>
      <c r="AJ282" s="597">
        <f>+AJ12</f>
        <v>260.55200000000002</v>
      </c>
      <c r="AK282" s="597">
        <f>+AK12</f>
        <v>352.17</v>
      </c>
      <c r="AL282" s="597">
        <f>+AL12</f>
        <v>408.928</v>
      </c>
      <c r="AM282" s="597">
        <f>+AM12</f>
        <v>386.77699999999993</v>
      </c>
      <c r="AN282" s="599"/>
      <c r="AO282" s="575"/>
    </row>
    <row r="283" spans="1:41" s="199" customFormat="1" ht="13" x14ac:dyDescent="0.3">
      <c r="A283" s="975" t="s">
        <v>509</v>
      </c>
      <c r="C283" s="597"/>
      <c r="D283" s="597"/>
      <c r="E283" s="597"/>
      <c r="F283" s="598"/>
      <c r="G283" s="597">
        <f t="shared" ref="G283:Y283" si="425">+G9-G78</f>
        <v>87.884999999999991</v>
      </c>
      <c r="H283" s="597">
        <f t="shared" si="425"/>
        <v>73.85799999999999</v>
      </c>
      <c r="I283" s="597">
        <f t="shared" si="425"/>
        <v>94.020999999999987</v>
      </c>
      <c r="J283" s="598">
        <f t="shared" si="425"/>
        <v>112.44400000000002</v>
      </c>
      <c r="K283" s="599">
        <f t="shared" si="425"/>
        <v>96.041999999999987</v>
      </c>
      <c r="L283" s="599">
        <f t="shared" si="425"/>
        <v>121.16799999999999</v>
      </c>
      <c r="M283" s="599">
        <f t="shared" si="425"/>
        <v>130.26599999999999</v>
      </c>
      <c r="N283" s="598">
        <f t="shared" si="425"/>
        <v>148.05500000000001</v>
      </c>
      <c r="O283" s="597">
        <f t="shared" si="425"/>
        <v>138.14000000000001</v>
      </c>
      <c r="P283" s="597">
        <f t="shared" si="425"/>
        <v>142.67000000000002</v>
      </c>
      <c r="Q283" s="597">
        <f t="shared" si="425"/>
        <v>143.82</v>
      </c>
      <c r="R283" s="598">
        <f t="shared" si="425"/>
        <v>144.339</v>
      </c>
      <c r="S283" s="597">
        <f t="shared" si="425"/>
        <v>129.01800000000003</v>
      </c>
      <c r="T283" s="597">
        <f t="shared" si="425"/>
        <v>132.94499999999999</v>
      </c>
      <c r="U283" s="597">
        <f t="shared" si="425"/>
        <v>140.363</v>
      </c>
      <c r="V283" s="598">
        <f t="shared" si="425"/>
        <v>139.14400000000001</v>
      </c>
      <c r="W283" s="597">
        <f t="shared" si="425"/>
        <v>127.60899999999999</v>
      </c>
      <c r="X283" s="597">
        <f t="shared" si="425"/>
        <v>133.83500000000001</v>
      </c>
      <c r="Y283" s="597">
        <f t="shared" si="425"/>
        <v>144.577</v>
      </c>
      <c r="Z283" s="599"/>
      <c r="AA283" s="599"/>
      <c r="AB283" s="599"/>
      <c r="AC283" s="599"/>
      <c r="AD283" s="599"/>
      <c r="AE283" s="599"/>
      <c r="AF283" s="599"/>
      <c r="AG283" s="599"/>
      <c r="AH283" s="599"/>
      <c r="AI283" s="597">
        <f>+AI9-AI78</f>
        <v>359.21</v>
      </c>
      <c r="AJ283" s="597">
        <f>+AJ9-AJ78</f>
        <v>368.20799999999997</v>
      </c>
      <c r="AK283" s="597">
        <f>+AK9-AK78</f>
        <v>495.53099999999995</v>
      </c>
      <c r="AL283" s="597">
        <f>+AL9-AL78</f>
        <v>568.96900000000005</v>
      </c>
      <c r="AM283" s="597">
        <f>+AM9-AM78</f>
        <v>541.47</v>
      </c>
      <c r="AN283" s="599"/>
      <c r="AO283" s="575"/>
    </row>
    <row r="284" spans="1:41" ht="13" x14ac:dyDescent="0.3">
      <c r="A284" s="975"/>
      <c r="C284" s="568"/>
      <c r="D284" s="568"/>
      <c r="E284" s="568"/>
      <c r="F284" s="588"/>
      <c r="G284" s="568"/>
      <c r="H284" s="568"/>
      <c r="I284" s="568"/>
      <c r="J284" s="588"/>
      <c r="K284" s="583"/>
      <c r="L284" s="583"/>
      <c r="M284" s="583"/>
      <c r="N284" s="588"/>
      <c r="O284" s="568"/>
      <c r="P284" s="568"/>
      <c r="Q284" s="568"/>
      <c r="R284" s="588"/>
      <c r="S284" s="568"/>
      <c r="T284" s="568"/>
      <c r="U284" s="568"/>
      <c r="V284" s="588"/>
      <c r="W284" s="568"/>
      <c r="X284" s="568"/>
      <c r="Y284" s="568"/>
      <c r="Z284" s="583"/>
      <c r="AA284" s="583"/>
      <c r="AB284" s="583"/>
      <c r="AC284" s="583"/>
      <c r="AD284" s="583"/>
      <c r="AE284" s="583"/>
      <c r="AF284" s="583"/>
      <c r="AG284" s="583"/>
      <c r="AH284" s="583"/>
      <c r="AI284" s="568"/>
      <c r="AJ284" s="568"/>
      <c r="AK284" s="568"/>
      <c r="AL284" s="568"/>
      <c r="AM284" s="568"/>
      <c r="AN284" s="583"/>
      <c r="AO284" s="571"/>
    </row>
    <row r="285" spans="1:41" s="199" customFormat="1" ht="13" x14ac:dyDescent="0.3">
      <c r="A285" s="975" t="s">
        <v>510</v>
      </c>
      <c r="C285" s="597"/>
      <c r="D285" s="597"/>
      <c r="E285" s="597"/>
      <c r="F285" s="598"/>
      <c r="G285" s="597">
        <f t="shared" ref="G285" si="426">AVERAGE(G267,F267)/F281*366/4</f>
        <v>64.791735732891325</v>
      </c>
      <c r="H285" s="597">
        <f t="shared" ref="H285" si="427">AVERAGE(H267,G267)/G281*366/4</f>
        <v>67.003468995570145</v>
      </c>
      <c r="I285" s="597">
        <f t="shared" ref="I285" si="428">AVERAGE(I267,H267)/H281*366/4</f>
        <v>77.881277799472343</v>
      </c>
      <c r="J285" s="598">
        <f t="shared" ref="J285" si="429">AVERAGE(J267,I267)/I281*366/4</f>
        <v>71.805270218894862</v>
      </c>
      <c r="K285" s="599">
        <f t="shared" ref="K285" si="430">AVERAGE(K267,J267)/J281*366/4</f>
        <v>63.14268033268602</v>
      </c>
      <c r="L285" s="599">
        <f t="shared" ref="L285" si="431">AVERAGE(L267,K267)/K281*366/4</f>
        <v>80.920723858559867</v>
      </c>
      <c r="M285" s="599">
        <f t="shared" ref="M285" si="432">AVERAGE(M267,L267)/L281*366/4</f>
        <v>72.237613398464759</v>
      </c>
      <c r="N285" s="598">
        <f t="shared" ref="N285" si="433">AVERAGE(N267,M267)/M281*366/4</f>
        <v>71.853310830779748</v>
      </c>
      <c r="O285" s="597">
        <f t="shared" ref="O285" si="434">AVERAGE(O267,N267)/N281*366/4</f>
        <v>65.425565326633162</v>
      </c>
      <c r="P285" s="597">
        <f t="shared" ref="P285" si="435">AVERAGE(P267,O267)/O281*366/4</f>
        <v>70.484457370669006</v>
      </c>
      <c r="Q285" s="597">
        <f t="shared" ref="Q285" si="436">AVERAGE(Q267,P267)/P281*366/4</f>
        <v>67.088696474020267</v>
      </c>
      <c r="R285" s="598">
        <f t="shared" ref="R285" si="437">AVERAGE(R267,Q267)/Q281*366/4</f>
        <v>65.522006349946125</v>
      </c>
      <c r="S285" s="978">
        <f t="shared" ref="S285" si="438">AVERAGE(S267,R267)/R281*366/4</f>
        <v>58.484982008043467</v>
      </c>
      <c r="T285" s="978">
        <f t="shared" ref="T285" si="439">AVERAGE(T267,S267)/S281*366/4</f>
        <v>69.837041362807653</v>
      </c>
      <c r="U285" s="978">
        <f t="shared" ref="U285" si="440">AVERAGE(U267,T267)/T281*366/4</f>
        <v>73.292825729163852</v>
      </c>
      <c r="V285" s="1408">
        <f t="shared" ref="V285" si="441">AVERAGE(V267,U267)/U281*366/4</f>
        <v>68.409452296819779</v>
      </c>
      <c r="W285" s="978">
        <f t="shared" ref="W285" si="442">AVERAGE(W267,V267)/V281*366/4</f>
        <v>61.36551154708188</v>
      </c>
      <c r="X285" s="978">
        <f t="shared" ref="X285" si="443">AVERAGE(X267,W267)/W281*366/4</f>
        <v>70.152106353591165</v>
      </c>
      <c r="Y285" s="978">
        <f t="shared" ref="Y285" si="444">AVERAGE(Y267,X267)/X281*366/4</f>
        <v>67.872862344755845</v>
      </c>
      <c r="Z285" s="599"/>
      <c r="AA285" s="599"/>
      <c r="AB285" s="599"/>
      <c r="AC285" s="599"/>
      <c r="AD285" s="599"/>
      <c r="AE285" s="599"/>
      <c r="AF285" s="599"/>
      <c r="AG285" s="599"/>
      <c r="AH285" s="599"/>
      <c r="AI285" s="597"/>
      <c r="AJ285" s="597">
        <f t="shared" ref="AJ285" si="445">AVERAGE(AJ267,AI267)/AI281*366/4</f>
        <v>19.360374932280543</v>
      </c>
      <c r="AK285" s="597">
        <f t="shared" ref="AK285" si="446">AVERAGE(AK267,AJ267)/AJ281*366/4</f>
        <v>24.003398284212636</v>
      </c>
      <c r="AL285" s="597">
        <f t="shared" ref="AL285" si="447">AVERAGE(AL267,AK267)/AK281*366/4</f>
        <v>19.241918376515347</v>
      </c>
      <c r="AM285" s="597">
        <f t="shared" ref="AM285" si="448">AVERAGE(AM267,AL267)/AL281*366/4</f>
        <v>16.18154145005759</v>
      </c>
      <c r="AN285" s="599"/>
      <c r="AO285" s="575"/>
    </row>
    <row r="286" spans="1:41" s="199" customFormat="1" ht="13" x14ac:dyDescent="0.3">
      <c r="A286" s="975" t="s">
        <v>511</v>
      </c>
      <c r="C286" s="597"/>
      <c r="D286" s="597"/>
      <c r="E286" s="597"/>
      <c r="F286" s="598"/>
      <c r="G286" s="597">
        <f t="shared" ref="G286:R286" si="449">AVERAGE(G273,F273)/(G282/(366/4))</f>
        <v>120.47075208913644</v>
      </c>
      <c r="H286" s="597">
        <f t="shared" si="449"/>
        <v>121.43166075108772</v>
      </c>
      <c r="I286" s="597">
        <f t="shared" si="449"/>
        <v>96.491734955470278</v>
      </c>
      <c r="J286" s="598">
        <f t="shared" si="449"/>
        <v>90.825660413476257</v>
      </c>
      <c r="K286" s="599">
        <f t="shared" si="449"/>
        <v>120.36110774129956</v>
      </c>
      <c r="L286" s="599">
        <f t="shared" si="449"/>
        <v>98.186115497007123</v>
      </c>
      <c r="M286" s="599">
        <f t="shared" si="449"/>
        <v>93.841655956920278</v>
      </c>
      <c r="N286" s="598">
        <f t="shared" si="449"/>
        <v>86.236057216946818</v>
      </c>
      <c r="O286" s="597">
        <f t="shared" si="449"/>
        <v>92.990666901722463</v>
      </c>
      <c r="P286" s="597">
        <f t="shared" si="449"/>
        <v>83.117000857496109</v>
      </c>
      <c r="Q286" s="597">
        <f t="shared" si="449"/>
        <v>81.451229626078614</v>
      </c>
      <c r="R286" s="598">
        <f t="shared" si="449"/>
        <v>79.572056438533906</v>
      </c>
      <c r="S286" s="978">
        <f>AVERAGE(S273,R273)/(S282/(366/4))</f>
        <v>86.065425923282191</v>
      </c>
      <c r="T286" s="978">
        <f t="shared" ref="T286" si="450">AVERAGE(T273,S273)/(T282/(366/4))</f>
        <v>78.75058872866866</v>
      </c>
      <c r="U286" s="978">
        <f t="shared" ref="U286" si="451">AVERAGE(U273,T273)/(U282/(366/4))</f>
        <v>77.249423133813238</v>
      </c>
      <c r="V286" s="1408">
        <f t="shared" ref="V286" si="452">AVERAGE(V273,U273)/(V282/(366/4))</f>
        <v>75.85561253195668</v>
      </c>
      <c r="W286" s="978">
        <f t="shared" ref="W286" si="453">AVERAGE(W273,V273)/(W282/(366/4))</f>
        <v>86.242989609138462</v>
      </c>
      <c r="X286" s="978">
        <f t="shared" ref="X286" si="454">AVERAGE(X273,W273)/(X282/(366/4))</f>
        <v>88.34672380560491</v>
      </c>
      <c r="Y286" s="978">
        <f t="shared" ref="Y286" si="455">AVERAGE(Y273,X273)/(Y282/(366/4))</f>
        <v>93.554416677405598</v>
      </c>
      <c r="Z286" s="599"/>
      <c r="AA286" s="599"/>
      <c r="AB286" s="599"/>
      <c r="AC286" s="599"/>
      <c r="AD286" s="599"/>
      <c r="AE286" s="599"/>
      <c r="AF286" s="599"/>
      <c r="AG286" s="599"/>
      <c r="AH286" s="599"/>
      <c r="AI286" s="597"/>
      <c r="AJ286" s="597">
        <f t="shared" ref="AJ286:AK286" si="456">AVERAGE(AJ273,AI273)/(AJ282/(366/4))</f>
        <v>28.817625656298933</v>
      </c>
      <c r="AK286" s="597">
        <f t="shared" si="456"/>
        <v>25.217386489479509</v>
      </c>
      <c r="AL286" s="597">
        <f t="shared" ref="AL286" si="457">AVERAGE(AL273,AK273)/(AL282/(366/4))</f>
        <v>22.365396231121373</v>
      </c>
      <c r="AM286" s="597">
        <f t="shared" ref="AM286" si="458">AVERAGE(AM273,AL273)/(AM282/(366/4))</f>
        <v>20.535969046763384</v>
      </c>
      <c r="AN286" s="599"/>
      <c r="AO286" s="575"/>
    </row>
    <row r="287" spans="1:41" x14ac:dyDescent="0.25">
      <c r="C287" s="568"/>
      <c r="D287" s="568"/>
      <c r="E287" s="568"/>
      <c r="F287" s="588"/>
      <c r="G287" s="568"/>
      <c r="H287" s="568"/>
      <c r="I287" s="568"/>
      <c r="J287" s="588"/>
      <c r="K287" s="583"/>
      <c r="L287" s="583"/>
      <c r="M287" s="583"/>
      <c r="N287" s="588"/>
      <c r="O287" s="568"/>
      <c r="P287" s="568"/>
      <c r="Q287" s="568"/>
      <c r="R287" s="588"/>
      <c r="S287" s="568"/>
      <c r="T287" s="568"/>
      <c r="U287" s="568"/>
      <c r="V287" s="588"/>
      <c r="W287" s="568"/>
      <c r="X287" s="568"/>
      <c r="Y287" s="568"/>
      <c r="Z287" s="583"/>
      <c r="AA287" s="583"/>
      <c r="AB287" s="583"/>
      <c r="AC287" s="583"/>
      <c r="AD287" s="583"/>
      <c r="AE287" s="583"/>
      <c r="AF287" s="583"/>
      <c r="AG287" s="583"/>
      <c r="AH287" s="583"/>
      <c r="AI287" s="568"/>
      <c r="AJ287" s="568"/>
      <c r="AK287" s="568"/>
      <c r="AL287" s="568"/>
      <c r="AM287" s="568"/>
      <c r="AN287" s="583"/>
      <c r="AO287" s="571"/>
    </row>
    <row r="288" spans="1:41" ht="13" x14ac:dyDescent="0.3">
      <c r="A288" s="974" t="s">
        <v>159</v>
      </c>
      <c r="C288" s="568"/>
      <c r="D288" s="568"/>
      <c r="E288" s="568"/>
      <c r="F288" s="588"/>
      <c r="G288" s="568"/>
      <c r="H288" s="568"/>
      <c r="I288" s="568"/>
      <c r="J288" s="588"/>
      <c r="K288" s="583"/>
      <c r="L288" s="583"/>
      <c r="M288" s="583"/>
      <c r="N288" s="588"/>
      <c r="O288" s="568"/>
      <c r="P288" s="568"/>
      <c r="Q288" s="568"/>
      <c r="R288" s="588"/>
      <c r="S288" s="568"/>
      <c r="T288" s="568"/>
      <c r="U288" s="568"/>
      <c r="V288" s="588"/>
      <c r="W288" s="568"/>
      <c r="X288" s="568"/>
      <c r="Y288" s="568"/>
      <c r="Z288" s="583"/>
      <c r="AA288" s="583"/>
      <c r="AB288" s="583"/>
      <c r="AC288" s="583"/>
      <c r="AD288" s="583"/>
      <c r="AE288" s="583"/>
      <c r="AF288" s="583"/>
      <c r="AG288" s="583"/>
      <c r="AH288" s="583"/>
      <c r="AI288" s="568"/>
      <c r="AJ288" s="568"/>
      <c r="AK288" s="568"/>
      <c r="AL288" s="568"/>
      <c r="AM288" s="568"/>
      <c r="AN288" s="583"/>
      <c r="AO288" s="571"/>
    </row>
    <row r="289" spans="1:41" x14ac:dyDescent="0.25">
      <c r="A289" s="649" t="s">
        <v>512</v>
      </c>
      <c r="C289" s="568"/>
      <c r="D289" s="568"/>
      <c r="E289" s="568"/>
      <c r="F289" s="588"/>
      <c r="G289" s="568">
        <f t="shared" ref="G289:R289" si="459">+G232</f>
        <v>228.126</v>
      </c>
      <c r="H289" s="568">
        <f t="shared" si="459"/>
        <v>215.886</v>
      </c>
      <c r="I289" s="568">
        <f t="shared" si="459"/>
        <v>203.393</v>
      </c>
      <c r="J289" s="588">
        <f t="shared" si="459"/>
        <v>190.28200000000001</v>
      </c>
      <c r="K289" s="583">
        <f t="shared" si="459"/>
        <v>180.602</v>
      </c>
      <c r="L289" s="583">
        <f t="shared" si="459"/>
        <v>172.239</v>
      </c>
      <c r="M289" s="583">
        <f t="shared" si="459"/>
        <v>161.33000000000001</v>
      </c>
      <c r="N289" s="588">
        <f t="shared" si="459"/>
        <v>154.309</v>
      </c>
      <c r="O289" s="568">
        <f t="shared" si="459"/>
        <v>146.392</v>
      </c>
      <c r="P289" s="568">
        <f t="shared" si="459"/>
        <v>136.536</v>
      </c>
      <c r="Q289" s="568">
        <f t="shared" si="459"/>
        <v>125.623</v>
      </c>
      <c r="R289" s="588">
        <f t="shared" si="459"/>
        <v>113.529</v>
      </c>
      <c r="S289" s="568">
        <f>+S232</f>
        <v>103.301</v>
      </c>
      <c r="T289" s="568">
        <f t="shared" ref="T289:U290" si="460">+T232</f>
        <v>93.265000000000001</v>
      </c>
      <c r="U289" s="568">
        <f t="shared" si="460"/>
        <v>89.673000000000002</v>
      </c>
      <c r="V289" s="588">
        <f t="shared" ref="V289:W289" si="461">+V232</f>
        <v>79.441000000000003</v>
      </c>
      <c r="W289" s="568">
        <f t="shared" si="461"/>
        <v>71.352000000000004</v>
      </c>
      <c r="X289" s="568">
        <f t="shared" ref="X289:Y289" si="462">+X232</f>
        <v>63.463000000000001</v>
      </c>
      <c r="Y289" s="568">
        <f t="shared" si="462"/>
        <v>55.402999999999999</v>
      </c>
      <c r="Z289" s="583"/>
      <c r="AA289" s="583"/>
      <c r="AB289" s="583"/>
      <c r="AC289" s="583"/>
      <c r="AD289" s="583"/>
      <c r="AE289" s="583"/>
      <c r="AF289" s="583"/>
      <c r="AG289" s="583"/>
      <c r="AH289" s="583"/>
      <c r="AI289" s="568">
        <f t="shared" ref="AI289:AK290" si="463">+AI232</f>
        <v>29.094000000000001</v>
      </c>
      <c r="AJ289" s="568">
        <f t="shared" si="463"/>
        <v>190.28200000000001</v>
      </c>
      <c r="AK289" s="568">
        <f t="shared" si="463"/>
        <v>154.309</v>
      </c>
      <c r="AL289" s="568">
        <f t="shared" ref="AL289:AM289" si="464">+AL232</f>
        <v>113.529</v>
      </c>
      <c r="AM289" s="568">
        <f t="shared" si="464"/>
        <v>79.441000000000003</v>
      </c>
      <c r="AN289" s="583"/>
      <c r="AO289" s="571"/>
    </row>
    <row r="290" spans="1:41" x14ac:dyDescent="0.25">
      <c r="A290" s="649" t="s">
        <v>158</v>
      </c>
      <c r="C290" s="568"/>
      <c r="D290" s="568"/>
      <c r="E290" s="568"/>
      <c r="F290" s="588"/>
      <c r="G290" s="568">
        <f t="shared" ref="G290:R290" si="465">+G233</f>
        <v>762.76</v>
      </c>
      <c r="H290" s="568">
        <f t="shared" si="465"/>
        <v>763.99</v>
      </c>
      <c r="I290" s="568">
        <f t="shared" si="465"/>
        <v>767.90200000000004</v>
      </c>
      <c r="J290" s="588">
        <f t="shared" si="465"/>
        <v>770.08900000000006</v>
      </c>
      <c r="K290" s="583">
        <f t="shared" si="465"/>
        <v>775.09299999999996</v>
      </c>
      <c r="L290" s="583">
        <f t="shared" si="465"/>
        <v>774.56200000000001</v>
      </c>
      <c r="M290" s="583">
        <f t="shared" si="465"/>
        <v>772.66899999999998</v>
      </c>
      <c r="N290" s="588">
        <f t="shared" si="465"/>
        <v>793.89200000000005</v>
      </c>
      <c r="O290" s="568">
        <f t="shared" si="465"/>
        <v>802.67499999999995</v>
      </c>
      <c r="P290" s="568">
        <f t="shared" si="465"/>
        <v>796.55600000000004</v>
      </c>
      <c r="Q290" s="568">
        <f t="shared" si="465"/>
        <v>791.57399999999996</v>
      </c>
      <c r="R290" s="588">
        <f t="shared" si="465"/>
        <v>793.08</v>
      </c>
      <c r="S290" s="568">
        <f>+S233</f>
        <v>793.29300000000001</v>
      </c>
      <c r="T290" s="568">
        <f t="shared" si="460"/>
        <v>793.58199999999999</v>
      </c>
      <c r="U290" s="568">
        <f t="shared" si="460"/>
        <v>820.97</v>
      </c>
      <c r="V290" s="588">
        <f t="shared" ref="V290:W290" si="466">+V233</f>
        <v>820.654</v>
      </c>
      <c r="W290" s="568">
        <f t="shared" si="466"/>
        <v>819.63300000000004</v>
      </c>
      <c r="X290" s="568">
        <f t="shared" ref="X290:Y290" si="467">+X233</f>
        <v>819.13599999999997</v>
      </c>
      <c r="Y290" s="568">
        <f t="shared" si="467"/>
        <v>822.27700000000004</v>
      </c>
      <c r="Z290" s="583"/>
      <c r="AA290" s="583"/>
      <c r="AB290" s="583"/>
      <c r="AC290" s="583"/>
      <c r="AD290" s="583"/>
      <c r="AE290" s="583"/>
      <c r="AF290" s="583"/>
      <c r="AG290" s="583"/>
      <c r="AH290" s="583"/>
      <c r="AI290" s="568">
        <f t="shared" si="463"/>
        <v>261.58999999999997</v>
      </c>
      <c r="AJ290" s="568">
        <f t="shared" si="463"/>
        <v>770.08900000000006</v>
      </c>
      <c r="AK290" s="568">
        <f t="shared" si="463"/>
        <v>793.89200000000005</v>
      </c>
      <c r="AL290" s="568">
        <f t="shared" ref="AL290:AM290" si="468">+AL233</f>
        <v>793.08</v>
      </c>
      <c r="AM290" s="568">
        <f t="shared" si="468"/>
        <v>820.654</v>
      </c>
      <c r="AN290" s="583"/>
      <c r="AO290" s="571"/>
    </row>
    <row r="291" spans="1:41" s="413" customFormat="1" ht="14" x14ac:dyDescent="0.4">
      <c r="A291" s="649" t="s">
        <v>513</v>
      </c>
      <c r="C291" s="613"/>
      <c r="D291" s="613"/>
      <c r="E291" s="613"/>
      <c r="F291" s="718"/>
      <c r="G291" s="613">
        <f t="shared" ref="G291:R291" si="469">+G234+G235</f>
        <v>578.625</v>
      </c>
      <c r="H291" s="613">
        <f t="shared" si="469"/>
        <v>559.36500000000001</v>
      </c>
      <c r="I291" s="613">
        <f t="shared" si="469"/>
        <v>541.94999999999993</v>
      </c>
      <c r="J291" s="718">
        <f t="shared" si="469"/>
        <v>523.36300000000006</v>
      </c>
      <c r="K291" s="719">
        <f t="shared" si="469"/>
        <v>508.99400000000003</v>
      </c>
      <c r="L291" s="719">
        <f t="shared" si="469"/>
        <v>490.24300000000005</v>
      </c>
      <c r="M291" s="719">
        <f t="shared" si="469"/>
        <v>470.90700000000004</v>
      </c>
      <c r="N291" s="718">
        <f t="shared" si="469"/>
        <v>464.351</v>
      </c>
      <c r="O291" s="613">
        <f t="shared" si="469"/>
        <v>453.06900000000002</v>
      </c>
      <c r="P291" s="613">
        <f t="shared" si="469"/>
        <v>432.93200000000002</v>
      </c>
      <c r="Q291" s="613">
        <f t="shared" si="469"/>
        <v>413.48399999999998</v>
      </c>
      <c r="R291" s="718">
        <f t="shared" si="469"/>
        <v>397.17600000000004</v>
      </c>
      <c r="S291" s="613">
        <f>+S234+S235</f>
        <v>381.95499999999998</v>
      </c>
      <c r="T291" s="613">
        <f t="shared" ref="T291:U291" si="470">+T234+T235</f>
        <v>366.565</v>
      </c>
      <c r="U291" s="613">
        <f t="shared" si="470"/>
        <v>357.24900000000002</v>
      </c>
      <c r="V291" s="718">
        <f t="shared" ref="V291:W291" si="471">+V234+V235</f>
        <v>341.75700000000001</v>
      </c>
      <c r="W291" s="613">
        <f t="shared" si="471"/>
        <v>327.24599999999998</v>
      </c>
      <c r="X291" s="613">
        <f t="shared" ref="X291:Y291" si="472">+X234+X235</f>
        <v>312.96799999999996</v>
      </c>
      <c r="Y291" s="613">
        <f t="shared" si="472"/>
        <v>299.81099999999998</v>
      </c>
      <c r="Z291" s="719"/>
      <c r="AA291" s="719"/>
      <c r="AB291" s="719"/>
      <c r="AC291" s="719"/>
      <c r="AD291" s="719"/>
      <c r="AE291" s="719"/>
      <c r="AF291" s="719"/>
      <c r="AG291" s="719"/>
      <c r="AH291" s="719"/>
      <c r="AI291" s="613">
        <f t="shared" ref="AI291:AK291" si="473">+AI234+AI235</f>
        <v>65.793000000000006</v>
      </c>
      <c r="AJ291" s="613">
        <f t="shared" si="473"/>
        <v>523.36300000000006</v>
      </c>
      <c r="AK291" s="613">
        <f t="shared" si="473"/>
        <v>464.351</v>
      </c>
      <c r="AL291" s="613">
        <f t="shared" ref="AL291:AM291" si="474">+AL234+AL235</f>
        <v>397.17600000000004</v>
      </c>
      <c r="AM291" s="613">
        <f t="shared" si="474"/>
        <v>341.75700000000001</v>
      </c>
      <c r="AN291" s="719"/>
      <c r="AO291" s="614"/>
    </row>
    <row r="292" spans="1:41" s="163" customFormat="1" ht="13" x14ac:dyDescent="0.3">
      <c r="A292" s="729" t="s">
        <v>514</v>
      </c>
      <c r="C292" s="592"/>
      <c r="D292" s="592"/>
      <c r="E292" s="592"/>
      <c r="F292" s="593"/>
      <c r="G292" s="592">
        <f t="shared" ref="G292:R292" si="475">+SUM(G289:G291)</f>
        <v>1569.511</v>
      </c>
      <c r="H292" s="592">
        <f t="shared" si="475"/>
        <v>1539.241</v>
      </c>
      <c r="I292" s="592">
        <f t="shared" si="475"/>
        <v>1513.2449999999999</v>
      </c>
      <c r="J292" s="593">
        <f t="shared" si="475"/>
        <v>1483.7340000000002</v>
      </c>
      <c r="K292" s="594">
        <f t="shared" si="475"/>
        <v>1464.6889999999999</v>
      </c>
      <c r="L292" s="594">
        <f t="shared" si="475"/>
        <v>1437.0440000000001</v>
      </c>
      <c r="M292" s="594">
        <f t="shared" si="475"/>
        <v>1404.9059999999999</v>
      </c>
      <c r="N292" s="593">
        <f t="shared" si="475"/>
        <v>1412.5520000000001</v>
      </c>
      <c r="O292" s="592">
        <f t="shared" si="475"/>
        <v>1402.136</v>
      </c>
      <c r="P292" s="592">
        <f t="shared" si="475"/>
        <v>1366.0240000000001</v>
      </c>
      <c r="Q292" s="592">
        <f t="shared" si="475"/>
        <v>1330.681</v>
      </c>
      <c r="R292" s="593">
        <f t="shared" si="475"/>
        <v>1303.7850000000001</v>
      </c>
      <c r="S292" s="592">
        <f>+SUM(S289:S291)</f>
        <v>1278.549</v>
      </c>
      <c r="T292" s="592">
        <f t="shared" ref="T292:U292" si="476">+SUM(T289:T291)</f>
        <v>1253.412</v>
      </c>
      <c r="U292" s="592">
        <f t="shared" si="476"/>
        <v>1267.8920000000001</v>
      </c>
      <c r="V292" s="593">
        <f t="shared" ref="V292:W292" si="477">+SUM(V289:V291)</f>
        <v>1241.8520000000001</v>
      </c>
      <c r="W292" s="592">
        <f t="shared" si="477"/>
        <v>1218.231</v>
      </c>
      <c r="X292" s="592">
        <f t="shared" ref="X292:Y292" si="478">+SUM(X289:X291)</f>
        <v>1195.567</v>
      </c>
      <c r="Y292" s="592">
        <f t="shared" si="478"/>
        <v>1177.491</v>
      </c>
      <c r="Z292" s="594"/>
      <c r="AA292" s="594"/>
      <c r="AB292" s="594"/>
      <c r="AC292" s="594"/>
      <c r="AD292" s="594"/>
      <c r="AE292" s="594"/>
      <c r="AF292" s="594"/>
      <c r="AG292" s="594"/>
      <c r="AH292" s="594"/>
      <c r="AI292" s="592">
        <f t="shared" ref="AI292" si="479">+SUM(AI289:AI291)</f>
        <v>356.47699999999998</v>
      </c>
      <c r="AJ292" s="592">
        <f t="shared" ref="AJ292" si="480">+SUM(AJ289:AJ291)</f>
        <v>1483.7340000000002</v>
      </c>
      <c r="AK292" s="592">
        <f t="shared" ref="AK292" si="481">+SUM(AK289:AK291)</f>
        <v>1412.5520000000001</v>
      </c>
      <c r="AL292" s="592">
        <f t="shared" ref="AL292:AM292" si="482">+SUM(AL289:AL291)</f>
        <v>1303.7850000000001</v>
      </c>
      <c r="AM292" s="592">
        <f t="shared" si="482"/>
        <v>1241.8520000000001</v>
      </c>
      <c r="AN292" s="594"/>
      <c r="AO292" s="573"/>
    </row>
    <row r="293" spans="1:41" x14ac:dyDescent="0.25">
      <c r="C293" s="568"/>
      <c r="D293" s="568"/>
      <c r="E293" s="568"/>
      <c r="F293" s="588"/>
      <c r="G293" s="568"/>
      <c r="H293" s="568"/>
      <c r="I293" s="568"/>
      <c r="J293" s="588"/>
      <c r="K293" s="583"/>
      <c r="L293" s="583"/>
      <c r="M293" s="583"/>
      <c r="N293" s="588"/>
      <c r="O293" s="568"/>
      <c r="P293" s="568"/>
      <c r="Q293" s="568"/>
      <c r="R293" s="588"/>
      <c r="S293" s="568"/>
      <c r="T293" s="568"/>
      <c r="U293" s="568"/>
      <c r="V293" s="588"/>
      <c r="W293" s="568"/>
      <c r="X293" s="568"/>
      <c r="Y293" s="568"/>
      <c r="Z293" s="583"/>
      <c r="AA293" s="583"/>
      <c r="AB293" s="583"/>
      <c r="AC293" s="583"/>
      <c r="AD293" s="583"/>
      <c r="AE293" s="583"/>
      <c r="AF293" s="583"/>
      <c r="AG293" s="583"/>
      <c r="AH293" s="583"/>
      <c r="AI293" s="568"/>
      <c r="AJ293" s="568"/>
      <c r="AK293" s="568"/>
      <c r="AL293" s="568"/>
      <c r="AM293" s="568"/>
      <c r="AN293" s="583"/>
      <c r="AO293" s="571"/>
    </row>
    <row r="294" spans="1:41" s="163" customFormat="1" ht="13" x14ac:dyDescent="0.3">
      <c r="A294" s="977" t="s">
        <v>515</v>
      </c>
      <c r="C294" s="592"/>
      <c r="D294" s="592"/>
      <c r="E294" s="592"/>
      <c r="F294" s="593"/>
      <c r="G294" s="592">
        <f t="shared" ref="G294:R294" si="483">+G292+G276</f>
        <v>1591.1979999999999</v>
      </c>
      <c r="H294" s="592">
        <f t="shared" si="483"/>
        <v>1557.7570000000001</v>
      </c>
      <c r="I294" s="592">
        <f t="shared" si="483"/>
        <v>1550.9749999999999</v>
      </c>
      <c r="J294" s="593">
        <f t="shared" si="483"/>
        <v>1515.5400000000002</v>
      </c>
      <c r="K294" s="594">
        <f t="shared" si="483"/>
        <v>1498.0129999999999</v>
      </c>
      <c r="L294" s="594">
        <f t="shared" si="483"/>
        <v>1471.3180000000002</v>
      </c>
      <c r="M294" s="594">
        <f t="shared" si="483"/>
        <v>1473.1209999999999</v>
      </c>
      <c r="N294" s="593">
        <f t="shared" si="483"/>
        <v>1476.8290000000002</v>
      </c>
      <c r="O294" s="592">
        <f t="shared" si="483"/>
        <v>1479.2439999999999</v>
      </c>
      <c r="P294" s="592">
        <f t="shared" si="483"/>
        <v>1441.7050000000002</v>
      </c>
      <c r="Q294" s="592">
        <f t="shared" si="483"/>
        <v>1415.568</v>
      </c>
      <c r="R294" s="593">
        <f t="shared" si="483"/>
        <v>1378.9540000000002</v>
      </c>
      <c r="S294" s="592">
        <f>+S292+S276</f>
        <v>1352.0350000000001</v>
      </c>
      <c r="T294" s="592">
        <f t="shared" ref="T294:U294" si="484">+T292+T276</f>
        <v>1332.029</v>
      </c>
      <c r="U294" s="592">
        <f t="shared" si="484"/>
        <v>1355.729</v>
      </c>
      <c r="V294" s="593">
        <f t="shared" ref="V294:W294" si="485">+V292+V276</f>
        <v>1318.403</v>
      </c>
      <c r="W294" s="592">
        <f t="shared" si="485"/>
        <v>1284.2370000000001</v>
      </c>
      <c r="X294" s="592">
        <f t="shared" ref="X294:Y294" si="486">+X292+X276</f>
        <v>1252.511</v>
      </c>
      <c r="Y294" s="592">
        <f t="shared" si="486"/>
        <v>1221.421</v>
      </c>
      <c r="Z294" s="594"/>
      <c r="AA294" s="594"/>
      <c r="AB294" s="594"/>
      <c r="AC294" s="594"/>
      <c r="AD294" s="594"/>
      <c r="AE294" s="594"/>
      <c r="AF294" s="594"/>
      <c r="AG294" s="594"/>
      <c r="AH294" s="594"/>
      <c r="AI294" s="592">
        <f t="shared" ref="AI294:AK294" si="487">+AI292+AI276</f>
        <v>380.76299999999998</v>
      </c>
      <c r="AJ294" s="592">
        <f t="shared" si="487"/>
        <v>1515.5400000000002</v>
      </c>
      <c r="AK294" s="592">
        <f t="shared" si="487"/>
        <v>1476.8290000000002</v>
      </c>
      <c r="AL294" s="592">
        <f t="shared" ref="AL294:AM294" si="488">+AL292+AL276</f>
        <v>1378.9540000000002</v>
      </c>
      <c r="AM294" s="592">
        <f t="shared" si="488"/>
        <v>1318.403</v>
      </c>
      <c r="AN294" s="594"/>
      <c r="AO294" s="573"/>
    </row>
    <row r="295" spans="1:41" s="163" customFormat="1" ht="13" x14ac:dyDescent="0.3">
      <c r="A295" s="426" t="s">
        <v>516</v>
      </c>
      <c r="C295" s="592"/>
      <c r="D295" s="592"/>
      <c r="E295" s="592"/>
      <c r="F295" s="979"/>
      <c r="G295" s="980">
        <f>'FA - Historical Financials'!G104/G294*4</f>
        <v>5.0279097887252253E-2</v>
      </c>
      <c r="H295" s="980">
        <f>'FA - Historical Financials'!H104/H294*4</f>
        <v>7.3690569196607686E-2</v>
      </c>
      <c r="I295" s="980">
        <f>'FA - Historical Financials'!I104/I294*4</f>
        <v>0.10373861603185094</v>
      </c>
      <c r="J295" s="979">
        <f>'FA - Historical Financials'!J104/J294*4</f>
        <v>0.10855008775749897</v>
      </c>
      <c r="K295" s="980">
        <f>'FA - Historical Financials'!K104/K294*4</f>
        <v>8.7521269842117555E-2</v>
      </c>
      <c r="L295" s="980">
        <f>'FA - Historical Financials'!L104/L294*4</f>
        <v>0.13464390430892573</v>
      </c>
      <c r="M295" s="980">
        <f>'FA - Historical Financials'!M104/M294*4</f>
        <v>0.1589496042755483</v>
      </c>
      <c r="N295" s="979">
        <f>'FA - Historical Financials'!N104/N294*4</f>
        <v>0.16243722191262494</v>
      </c>
      <c r="O295" s="980">
        <f>'FA - Historical Financials'!O104/O294*4</f>
        <v>0.12661062001941531</v>
      </c>
      <c r="P295" s="980">
        <f>'FA - Historical Financials'!P104/P294*4</f>
        <v>0.14847142792734991</v>
      </c>
      <c r="Q295" s="980">
        <f>'FA - Historical Financials'!Q104/Q294*4</f>
        <v>0.15922654369129566</v>
      </c>
      <c r="R295" s="979">
        <f>'FA - Historical Financials'!R104/R294*4</f>
        <v>0.18004371429358773</v>
      </c>
      <c r="S295" s="980">
        <f>'FA - Historical Financials'!S104/S294*4</f>
        <v>0.11869811062583437</v>
      </c>
      <c r="T295" s="980">
        <f>'FA - Historical Financials'!T104/T294*4</f>
        <v>0.1374864961648733</v>
      </c>
      <c r="U295" s="980">
        <f>'FA - Historical Financials'!U104/U294*4</f>
        <v>0.15708744151670431</v>
      </c>
      <c r="V295" s="979">
        <f>'FA - Historical Financials'!V104/V294*4</f>
        <v>0.17090373732462683</v>
      </c>
      <c r="W295" s="980">
        <f>'FA - Historical Financials'!W104/W294*4</f>
        <v>0.10779941708578712</v>
      </c>
      <c r="X295" s="980">
        <f>'FA - Historical Financials'!X104/X294*4</f>
        <v>0.13844509150019441</v>
      </c>
      <c r="Y295" s="980">
        <f>'FA - Historical Financials'!Y104/Y294*4</f>
        <v>0.16873461320871347</v>
      </c>
      <c r="Z295" s="594"/>
      <c r="AA295" s="594"/>
      <c r="AB295" s="594"/>
      <c r="AC295" s="594"/>
      <c r="AD295" s="594"/>
      <c r="AE295" s="594"/>
      <c r="AF295" s="594"/>
      <c r="AG295" s="594"/>
      <c r="AH295" s="594"/>
      <c r="AI295" s="980">
        <f>'FA - Historical Financials'!AG104/AI294</f>
        <v>0.28279533463072831</v>
      </c>
      <c r="AJ295" s="980">
        <f>'FA - Historical Financials'!AH104/AJ294</f>
        <v>8.5811657890916757E-2</v>
      </c>
      <c r="AK295" s="980">
        <f>'FA - Historical Financials'!AI104/AK294</f>
        <v>0.13597647391810425</v>
      </c>
      <c r="AL295" s="980">
        <f>'FA - Historical Financials'!AJ104/AL294</f>
        <v>0.15863618365804807</v>
      </c>
      <c r="AM295" s="980">
        <f>'FA - Historical Financials'!AK104/AM294</f>
        <v>0.14826801820080809</v>
      </c>
      <c r="AN295" s="594"/>
      <c r="AO295" s="573"/>
    </row>
    <row r="296" spans="1:41" x14ac:dyDescent="0.25">
      <c r="C296" s="568"/>
      <c r="D296" s="568"/>
      <c r="E296" s="568"/>
      <c r="F296" s="588"/>
      <c r="G296" s="568"/>
      <c r="H296" s="568"/>
      <c r="I296" s="568"/>
      <c r="J296" s="588"/>
      <c r="K296" s="583"/>
      <c r="L296" s="583"/>
      <c r="M296" s="583"/>
      <c r="N296" s="588"/>
      <c r="O296" s="568"/>
      <c r="P296" s="568"/>
      <c r="Q296" s="568"/>
      <c r="R296" s="588"/>
      <c r="S296" s="568"/>
      <c r="T296" s="568"/>
      <c r="U296" s="568"/>
      <c r="V296" s="588"/>
      <c r="W296" s="568"/>
      <c r="X296" s="568"/>
      <c r="Y296" s="568"/>
      <c r="Z296" s="583"/>
      <c r="AA296" s="583"/>
      <c r="AB296" s="583"/>
      <c r="AC296" s="583"/>
      <c r="AD296" s="583"/>
      <c r="AE296" s="583"/>
      <c r="AF296" s="583"/>
      <c r="AG296" s="583"/>
      <c r="AH296" s="583"/>
      <c r="AI296" s="568"/>
      <c r="AJ296" s="568"/>
      <c r="AK296" s="568"/>
      <c r="AL296" s="568"/>
      <c r="AM296" s="568"/>
      <c r="AN296" s="583"/>
      <c r="AO296" s="571"/>
    </row>
    <row r="297" spans="1:41" x14ac:dyDescent="0.25">
      <c r="C297" s="568"/>
      <c r="D297" s="568"/>
      <c r="E297" s="568"/>
      <c r="F297" s="588"/>
      <c r="G297" s="568"/>
      <c r="H297" s="568"/>
      <c r="I297" s="568"/>
      <c r="J297" s="588"/>
      <c r="K297" s="583"/>
      <c r="L297" s="583"/>
      <c r="M297" s="583"/>
      <c r="N297" s="588"/>
      <c r="O297" s="568"/>
      <c r="P297" s="568"/>
      <c r="Q297" s="568"/>
      <c r="R297" s="588"/>
      <c r="S297" s="568"/>
      <c r="T297" s="568"/>
      <c r="U297" s="568"/>
      <c r="V297" s="588"/>
      <c r="W297" s="568"/>
      <c r="X297" s="568"/>
      <c r="Y297" s="568"/>
      <c r="Z297" s="583"/>
      <c r="AA297" s="583"/>
      <c r="AB297" s="583"/>
      <c r="AC297" s="583"/>
      <c r="AD297" s="583"/>
      <c r="AE297" s="583"/>
      <c r="AF297" s="583"/>
      <c r="AG297" s="583"/>
      <c r="AH297" s="583"/>
      <c r="AI297" s="568"/>
      <c r="AJ297" s="568"/>
      <c r="AK297" s="568"/>
      <c r="AL297" s="568"/>
      <c r="AM297" s="568"/>
      <c r="AN297" s="583"/>
      <c r="AO297" s="571"/>
    </row>
    <row r="298" spans="1:41" ht="13" x14ac:dyDescent="0.3">
      <c r="A298" s="569" t="s">
        <v>517</v>
      </c>
      <c r="B298" s="570"/>
      <c r="C298" s="568"/>
      <c r="D298" s="568"/>
      <c r="E298" s="568"/>
      <c r="F298" s="588"/>
      <c r="G298" s="568"/>
      <c r="H298" s="568"/>
      <c r="I298" s="568"/>
      <c r="J298" s="588"/>
      <c r="K298" s="583"/>
      <c r="L298" s="583"/>
      <c r="M298" s="583"/>
      <c r="N298" s="588"/>
      <c r="O298" s="568"/>
      <c r="P298" s="568"/>
      <c r="Q298" s="568"/>
      <c r="R298" s="588"/>
      <c r="S298" s="568"/>
      <c r="T298" s="568"/>
      <c r="U298" s="568"/>
      <c r="V298" s="588"/>
      <c r="W298" s="568"/>
      <c r="X298" s="568"/>
      <c r="Y298" s="568"/>
      <c r="Z298" s="583"/>
      <c r="AA298" s="583"/>
      <c r="AB298" s="583"/>
      <c r="AC298" s="583"/>
      <c r="AD298" s="583"/>
      <c r="AE298" s="583"/>
      <c r="AF298" s="583"/>
      <c r="AG298" s="583"/>
      <c r="AH298" s="583"/>
      <c r="AI298" s="568"/>
      <c r="AJ298" s="568"/>
      <c r="AK298" s="568"/>
      <c r="AL298" s="568"/>
      <c r="AM298" s="568"/>
      <c r="AN298" s="583"/>
      <c r="AO298" s="571"/>
    </row>
    <row r="299" spans="1:41" x14ac:dyDescent="0.25">
      <c r="C299" s="568"/>
      <c r="D299" s="568"/>
      <c r="E299" s="568"/>
      <c r="F299" s="588"/>
      <c r="G299" s="568"/>
      <c r="H299" s="568"/>
      <c r="I299" s="568"/>
      <c r="J299" s="588"/>
      <c r="K299" s="583"/>
      <c r="L299" s="583"/>
      <c r="M299" s="583"/>
      <c r="N299" s="588"/>
      <c r="O299" s="568"/>
      <c r="P299" s="568"/>
      <c r="Q299" s="568"/>
      <c r="R299" s="588"/>
      <c r="S299" s="568"/>
      <c r="T299" s="568"/>
      <c r="U299" s="568"/>
      <c r="V299" s="588"/>
      <c r="W299" s="568"/>
      <c r="X299" s="568"/>
      <c r="Y299" s="568"/>
      <c r="Z299" s="583"/>
      <c r="AA299" s="583"/>
      <c r="AB299" s="583"/>
      <c r="AC299" s="583"/>
      <c r="AD299" s="583"/>
      <c r="AE299" s="583"/>
      <c r="AF299" s="583"/>
      <c r="AG299" s="583"/>
      <c r="AH299" s="583"/>
      <c r="AI299" s="568"/>
      <c r="AJ299" s="568"/>
      <c r="AK299" s="568"/>
      <c r="AL299" s="568"/>
      <c r="AM299" s="568"/>
      <c r="AN299" s="583"/>
      <c r="AO299" s="571"/>
    </row>
    <row r="300" spans="1:41" ht="13" x14ac:dyDescent="0.3">
      <c r="A300" s="163" t="s">
        <v>518</v>
      </c>
      <c r="C300" s="568"/>
      <c r="D300" s="568"/>
      <c r="E300" s="568"/>
      <c r="F300" s="588"/>
      <c r="G300" s="568"/>
      <c r="H300" s="568"/>
      <c r="I300" s="568"/>
      <c r="J300" s="588"/>
      <c r="K300" s="583"/>
      <c r="L300" s="583"/>
      <c r="M300" s="583"/>
      <c r="N300" s="588"/>
      <c r="O300" s="568"/>
      <c r="P300" s="568"/>
      <c r="Q300" s="568"/>
      <c r="R300" s="588"/>
      <c r="S300" s="568"/>
      <c r="T300" s="568"/>
      <c r="U300" s="568"/>
      <c r="V300" s="588"/>
      <c r="W300" s="568"/>
      <c r="X300" s="583"/>
      <c r="Y300" s="583"/>
      <c r="Z300" s="583"/>
      <c r="AA300" s="583"/>
      <c r="AB300" s="583"/>
      <c r="AC300" s="583"/>
      <c r="AD300" s="583"/>
      <c r="AE300" s="583"/>
      <c r="AF300" s="583"/>
      <c r="AG300" s="583"/>
      <c r="AH300" s="583"/>
      <c r="AI300" s="568"/>
      <c r="AJ300" s="568"/>
      <c r="AK300" s="568"/>
      <c r="AL300" s="568"/>
      <c r="AM300" s="568"/>
      <c r="AN300" s="583"/>
      <c r="AO300" s="571"/>
    </row>
    <row r="301" spans="1:41" x14ac:dyDescent="0.25">
      <c r="A301" s="132" t="s">
        <v>352</v>
      </c>
      <c r="C301" s="611"/>
      <c r="D301" s="611"/>
      <c r="E301" s="611"/>
      <c r="F301" s="616"/>
      <c r="G301" s="611">
        <f>-21.814-36.53</f>
        <v>-58.344000000000001</v>
      </c>
      <c r="H301" s="611">
        <f>+JPM!O120</f>
        <v>-16.366</v>
      </c>
      <c r="I301" s="611">
        <f>+JPM!P120</f>
        <v>-3.452</v>
      </c>
      <c r="J301" s="616">
        <f>+JPM!Q120</f>
        <v>-5.86</v>
      </c>
      <c r="K301" s="611">
        <f>+JPM!T120</f>
        <v>-19.388999999999999</v>
      </c>
      <c r="L301" s="611">
        <f>+JPM!U120</f>
        <v>3.7699999999999996</v>
      </c>
      <c r="M301" s="611">
        <f>+JPM!V120</f>
        <v>16.285</v>
      </c>
      <c r="N301" s="616">
        <f>+JPM!W120</f>
        <v>15.384999999999998</v>
      </c>
      <c r="O301" s="611">
        <f>+JPM!Z120</f>
        <v>13.013</v>
      </c>
      <c r="P301" s="611">
        <f>+JPM!AA120</f>
        <v>14.235999999999999</v>
      </c>
      <c r="Q301" s="611">
        <f>44.458-P301-O301</f>
        <v>17.209000000000003</v>
      </c>
      <c r="R301" s="616">
        <f t="shared" ref="R301:R318" si="489">+AL301-SUM(O301:Q301)</f>
        <v>20.146000000000001</v>
      </c>
      <c r="S301" s="611">
        <v>1.925</v>
      </c>
      <c r="T301" s="611">
        <f>11.707-S301</f>
        <v>9.782</v>
      </c>
      <c r="U301" s="611">
        <f>22.48-T301-S301</f>
        <v>10.773</v>
      </c>
      <c r="V301" s="616">
        <f t="shared" ref="V301:V319" si="490">+AM301-SUM(S301:U301)</f>
        <v>14.812999999999999</v>
      </c>
      <c r="W301" s="611">
        <v>-2.9079999999999999</v>
      </c>
      <c r="X301" s="611">
        <f>-1.047-W301</f>
        <v>1.861</v>
      </c>
      <c r="Y301" s="611">
        <f>-9.907-X301-W301</f>
        <v>-8.8600000000000012</v>
      </c>
      <c r="Z301" s="611"/>
      <c r="AA301" s="611"/>
      <c r="AB301" s="611"/>
      <c r="AC301" s="611"/>
      <c r="AD301" s="611"/>
      <c r="AE301" s="611"/>
      <c r="AF301" s="611"/>
      <c r="AG301" s="611"/>
      <c r="AH301" s="611"/>
      <c r="AI301" s="611">
        <f>+JPM!L120</f>
        <v>34.25</v>
      </c>
      <c r="AJ301" s="611">
        <f t="shared" ref="AJ301:AJ319" si="491">SUM(G301:J301)</f>
        <v>-84.022000000000006</v>
      </c>
      <c r="AK301" s="611">
        <f t="shared" ref="AK301:AK319" si="492">SUM(K301:N301)</f>
        <v>16.050999999999998</v>
      </c>
      <c r="AL301" s="611">
        <v>64.603999999999999</v>
      </c>
      <c r="AM301" s="611">
        <v>37.292999999999999</v>
      </c>
      <c r="AN301" s="583"/>
      <c r="AO301" s="571"/>
    </row>
    <row r="302" spans="1:41" x14ac:dyDescent="0.25">
      <c r="A302" s="132" t="s">
        <v>343</v>
      </c>
      <c r="C302" s="611"/>
      <c r="D302" s="611"/>
      <c r="E302" s="611"/>
      <c r="F302" s="616"/>
      <c r="G302" s="611">
        <f>+JPM!N121</f>
        <v>26.591999999999999</v>
      </c>
      <c r="H302" s="611">
        <f>+JPM!O121</f>
        <v>36.572000000000003</v>
      </c>
      <c r="I302" s="611">
        <f>+JPM!P121</f>
        <v>36.756</v>
      </c>
      <c r="J302" s="616">
        <f>+JPM!Q121</f>
        <v>37.241999999999997</v>
      </c>
      <c r="K302" s="611">
        <f>+JPM!T121</f>
        <v>34.762999999999998</v>
      </c>
      <c r="L302" s="611">
        <f>+JPM!U121</f>
        <v>35.917999999999999</v>
      </c>
      <c r="M302" s="611">
        <f>+JPM!V121</f>
        <v>35.811999999999991</v>
      </c>
      <c r="N302" s="616">
        <f>+JPM!W121</f>
        <v>36.322000000000003</v>
      </c>
      <c r="O302" s="611">
        <f>+JPM!Z121</f>
        <v>34.033999999999999</v>
      </c>
      <c r="P302" s="611">
        <f>+JPM!AA121</f>
        <v>34.407000000000004</v>
      </c>
      <c r="Q302" s="611">
        <f>103.185-P302-O302</f>
        <v>34.743999999999993</v>
      </c>
      <c r="R302" s="616">
        <f t="shared" si="489"/>
        <v>35.061000000000007</v>
      </c>
      <c r="S302" s="611">
        <v>31.866</v>
      </c>
      <c r="T302" s="611">
        <f>63.922-S302</f>
        <v>32.055999999999997</v>
      </c>
      <c r="U302" s="611">
        <f>96.341-T302-S302</f>
        <v>32.418999999999997</v>
      </c>
      <c r="V302" s="616">
        <f t="shared" si="490"/>
        <v>33.132000000000019</v>
      </c>
      <c r="W302" s="611">
        <v>29.821999999999999</v>
      </c>
      <c r="X302" s="611">
        <f>59.8-W302</f>
        <v>29.977999999999998</v>
      </c>
      <c r="Y302" s="611">
        <f>89.968-X302-W302</f>
        <v>30.16800000000001</v>
      </c>
      <c r="Z302" s="611"/>
      <c r="AA302" s="611"/>
      <c r="AB302" s="611"/>
      <c r="AC302" s="611"/>
      <c r="AD302" s="611"/>
      <c r="AE302" s="611"/>
      <c r="AF302" s="611"/>
      <c r="AG302" s="611"/>
      <c r="AH302" s="611"/>
      <c r="AI302" s="611">
        <f>+JPM!L121</f>
        <v>25.952999999999999</v>
      </c>
      <c r="AJ302" s="611">
        <f t="shared" si="491"/>
        <v>137.16200000000001</v>
      </c>
      <c r="AK302" s="611">
        <f t="shared" si="492"/>
        <v>142.815</v>
      </c>
      <c r="AL302" s="611">
        <v>138.24600000000001</v>
      </c>
      <c r="AM302" s="611">
        <v>129.47300000000001</v>
      </c>
      <c r="AN302" s="583"/>
      <c r="AO302" s="571"/>
    </row>
    <row r="303" spans="1:41" x14ac:dyDescent="0.25">
      <c r="A303" s="132" t="s">
        <v>348</v>
      </c>
      <c r="C303" s="611"/>
      <c r="D303" s="611"/>
      <c r="E303" s="611"/>
      <c r="F303" s="616"/>
      <c r="G303" s="611">
        <f>+JPM!N122</f>
        <v>10.532999999999999</v>
      </c>
      <c r="H303" s="611">
        <f>+JPM!O122</f>
        <v>0</v>
      </c>
      <c r="I303" s="611">
        <f>+JPM!P122</f>
        <v>0</v>
      </c>
      <c r="J303" s="616">
        <f>+JPM!Q122</f>
        <v>0</v>
      </c>
      <c r="K303" s="611">
        <f>+JPM!T122</f>
        <v>13.938000000000001</v>
      </c>
      <c r="L303" s="611">
        <f>+JPM!U122</f>
        <v>0</v>
      </c>
      <c r="M303" s="611">
        <f>+JPM!V122</f>
        <v>0</v>
      </c>
      <c r="N303" s="616">
        <f>+JPM!W122</f>
        <v>0</v>
      </c>
      <c r="O303" s="611">
        <f>+JPM!Z122</f>
        <v>0</v>
      </c>
      <c r="P303" s="611">
        <f>+JPM!AA122</f>
        <v>0</v>
      </c>
      <c r="Q303" s="611">
        <v>0</v>
      </c>
      <c r="R303" s="616">
        <f t="shared" si="489"/>
        <v>0</v>
      </c>
      <c r="S303" s="611">
        <v>0</v>
      </c>
      <c r="T303" s="611">
        <v>0</v>
      </c>
      <c r="U303" s="611">
        <v>0</v>
      </c>
      <c r="V303" s="616">
        <f t="shared" si="490"/>
        <v>0</v>
      </c>
      <c r="W303" s="611">
        <v>0</v>
      </c>
      <c r="X303" s="611">
        <v>0</v>
      </c>
      <c r="Y303" s="611">
        <v>0</v>
      </c>
      <c r="Z303" s="611"/>
      <c r="AA303" s="611"/>
      <c r="AB303" s="611"/>
      <c r="AC303" s="611"/>
      <c r="AD303" s="611"/>
      <c r="AE303" s="611"/>
      <c r="AF303" s="611"/>
      <c r="AG303" s="611"/>
      <c r="AH303" s="611"/>
      <c r="AI303" s="611">
        <f>+JPM!L122</f>
        <v>0</v>
      </c>
      <c r="AJ303" s="611">
        <f t="shared" si="491"/>
        <v>10.532999999999999</v>
      </c>
      <c r="AK303" s="611">
        <f t="shared" si="492"/>
        <v>13.938000000000001</v>
      </c>
      <c r="AL303" s="611">
        <v>0</v>
      </c>
      <c r="AM303" s="611">
        <v>0</v>
      </c>
      <c r="AN303" s="583"/>
      <c r="AO303" s="571"/>
    </row>
    <row r="304" spans="1:41" x14ac:dyDescent="0.25">
      <c r="A304" s="132" t="s">
        <v>519</v>
      </c>
      <c r="C304" s="611"/>
      <c r="D304" s="611"/>
      <c r="E304" s="611"/>
      <c r="F304" s="616"/>
      <c r="G304" s="611">
        <f>+JPM!N123</f>
        <v>1.147</v>
      </c>
      <c r="H304" s="611">
        <f>+JPM!O123</f>
        <v>0.878</v>
      </c>
      <c r="I304" s="611">
        <f>+JPM!P123</f>
        <v>0.88800000000000001</v>
      </c>
      <c r="J304" s="616">
        <f>+JPM!Q123</f>
        <v>0.89800000000000002</v>
      </c>
      <c r="K304" s="611">
        <f>+JPM!T123</f>
        <v>0.70399999999999996</v>
      </c>
      <c r="L304" s="611">
        <f>+JPM!U123</f>
        <v>4.3550000000000004</v>
      </c>
      <c r="M304" s="611">
        <f>+JPM!V123</f>
        <v>0.43700000000000006</v>
      </c>
      <c r="N304" s="616">
        <f>+JPM!W123</f>
        <v>0.4399999999999995</v>
      </c>
      <c r="O304" s="611">
        <f>+JPM!Z123</f>
        <v>0.44500000000000001</v>
      </c>
      <c r="P304" s="611">
        <f>+JPM!AA123</f>
        <v>0.44900000000000001</v>
      </c>
      <c r="Q304" s="611">
        <f>1.347-P304-O304</f>
        <v>0.4529999999999999</v>
      </c>
      <c r="R304" s="616">
        <f t="shared" si="489"/>
        <v>0.45700000000000007</v>
      </c>
      <c r="S304" s="611">
        <v>0.46100000000000002</v>
      </c>
      <c r="T304" s="611">
        <f>0.927-S304</f>
        <v>0.46600000000000003</v>
      </c>
      <c r="U304" s="611">
        <f>1.362-T304-S304</f>
        <v>0.43500000000000011</v>
      </c>
      <c r="V304" s="616">
        <f t="shared" si="490"/>
        <v>0.44499999999999984</v>
      </c>
      <c r="W304" s="611">
        <v>0.45300000000000001</v>
      </c>
      <c r="X304" s="611">
        <f>0.916-W304</f>
        <v>0.46300000000000002</v>
      </c>
      <c r="Y304" s="611">
        <f>1.388-X304-W304</f>
        <v>0.47199999999999981</v>
      </c>
      <c r="Z304" s="611"/>
      <c r="AA304" s="611"/>
      <c r="AB304" s="611"/>
      <c r="AC304" s="611"/>
      <c r="AD304" s="611"/>
      <c r="AE304" s="611"/>
      <c r="AF304" s="611"/>
      <c r="AG304" s="611"/>
      <c r="AH304" s="611"/>
      <c r="AI304" s="611">
        <f>+JPM!L123</f>
        <v>3.1739999999999999</v>
      </c>
      <c r="AJ304" s="611">
        <f t="shared" si="491"/>
        <v>3.8109999999999999</v>
      </c>
      <c r="AK304" s="611">
        <f t="shared" si="492"/>
        <v>5.9359999999999999</v>
      </c>
      <c r="AL304" s="611">
        <v>1.804</v>
      </c>
      <c r="AM304" s="611">
        <v>1.8069999999999999</v>
      </c>
      <c r="AN304" s="583"/>
      <c r="AO304" s="571"/>
    </row>
    <row r="305" spans="1:41" x14ac:dyDescent="0.25">
      <c r="A305" s="132" t="s">
        <v>520</v>
      </c>
      <c r="C305" s="611"/>
      <c r="D305" s="611"/>
      <c r="E305" s="611"/>
      <c r="F305" s="616"/>
      <c r="G305" s="611">
        <f>+JPM!N124</f>
        <v>0.35</v>
      </c>
      <c r="H305" s="611">
        <f>+JPM!O124</f>
        <v>-0.192</v>
      </c>
      <c r="I305" s="611">
        <f>+JPM!P124</f>
        <v>0.11</v>
      </c>
      <c r="J305" s="616">
        <f>+JPM!Q124</f>
        <v>0.184</v>
      </c>
      <c r="K305" s="611">
        <f>+JPM!T124</f>
        <v>-0.17299999999999999</v>
      </c>
      <c r="L305" s="611">
        <f>+JPM!U124</f>
        <v>-0.19400000000000001</v>
      </c>
      <c r="M305" s="611">
        <f>+JPM!V124</f>
        <v>0.20399999999999999</v>
      </c>
      <c r="N305" s="616">
        <f>+JPM!W124</f>
        <v>0.14600000000000002</v>
      </c>
      <c r="O305" s="611">
        <f>+JPM!Z124</f>
        <v>-0.184</v>
      </c>
      <c r="P305" s="611">
        <f>+JPM!AA124</f>
        <v>6.4000000000000001E-2</v>
      </c>
      <c r="Q305" s="611">
        <f>-0.006-P305-O305</f>
        <v>0.11399999999999999</v>
      </c>
      <c r="R305" s="616">
        <f t="shared" si="489"/>
        <v>0.21299999999999999</v>
      </c>
      <c r="S305" s="611">
        <v>-0.04</v>
      </c>
      <c r="T305" s="611">
        <f>0.138-S305</f>
        <v>0.17800000000000002</v>
      </c>
      <c r="U305" s="611">
        <f>0.134-T305-S305</f>
        <v>-4.0000000000000105E-3</v>
      </c>
      <c r="V305" s="616">
        <f t="shared" si="490"/>
        <v>-0.19</v>
      </c>
      <c r="W305" s="611">
        <v>-0.112</v>
      </c>
      <c r="X305" s="611">
        <f>-0.156-W305</f>
        <v>-4.3999999999999997E-2</v>
      </c>
      <c r="Y305" s="611">
        <f>0.092-X305-W305</f>
        <v>0.248</v>
      </c>
      <c r="Z305" s="611"/>
      <c r="AA305" s="611"/>
      <c r="AB305" s="611"/>
      <c r="AC305" s="611"/>
      <c r="AD305" s="611"/>
      <c r="AE305" s="611"/>
      <c r="AF305" s="611"/>
      <c r="AG305" s="611"/>
      <c r="AH305" s="611"/>
      <c r="AI305" s="611">
        <f>+JPM!L124</f>
        <v>8.7999999999999995E-2</v>
      </c>
      <c r="AJ305" s="611">
        <f t="shared" si="491"/>
        <v>0.45199999999999996</v>
      </c>
      <c r="AK305" s="611">
        <f t="shared" si="492"/>
        <v>-1.6999999999999987E-2</v>
      </c>
      <c r="AL305" s="611">
        <v>0.20699999999999999</v>
      </c>
      <c r="AM305" s="611">
        <v>-5.6000000000000001E-2</v>
      </c>
      <c r="AN305" s="583"/>
      <c r="AO305" s="571"/>
    </row>
    <row r="306" spans="1:41" x14ac:dyDescent="0.25">
      <c r="A306" s="132" t="s">
        <v>521</v>
      </c>
      <c r="C306" s="611"/>
      <c r="D306" s="611"/>
      <c r="E306" s="611"/>
      <c r="F306" s="616"/>
      <c r="G306" s="611">
        <f>+JPM!N125</f>
        <v>-6.05</v>
      </c>
      <c r="H306" s="611">
        <f>+JPM!O125</f>
        <v>-4.1779999999999999</v>
      </c>
      <c r="I306" s="611">
        <f>+JPM!P125</f>
        <v>-3.1509999999999998</v>
      </c>
      <c r="J306" s="616">
        <f>+JPM!Q125</f>
        <v>-4.3650000000000002</v>
      </c>
      <c r="K306" s="611">
        <f>+JPM!T125</f>
        <v>-6.3040000000000003</v>
      </c>
      <c r="L306" s="611">
        <f>+JPM!U125</f>
        <v>0.32900000000000063</v>
      </c>
      <c r="M306" s="611">
        <f>+JPM!V125</f>
        <v>1.5099999999999998</v>
      </c>
      <c r="N306" s="616">
        <f>+JPM!W125</f>
        <v>1.5409999999999999</v>
      </c>
      <c r="O306" s="611">
        <f>+JPM!Z125</f>
        <v>1.698</v>
      </c>
      <c r="P306" s="611">
        <f>+JPM!AA125</f>
        <v>2.0750000000000002</v>
      </c>
      <c r="Q306" s="611">
        <f>5.536-P306-O306</f>
        <v>1.7629999999999995</v>
      </c>
      <c r="R306" s="616">
        <f t="shared" si="489"/>
        <v>-0.93899999999999917</v>
      </c>
      <c r="S306" s="611">
        <v>-2.1440000000000001</v>
      </c>
      <c r="T306" s="611">
        <f>-3.057-S306</f>
        <v>-0.91299999999999981</v>
      </c>
      <c r="U306" s="611">
        <f>-8.723-T306-S306</f>
        <v>-5.6660000000000004</v>
      </c>
      <c r="V306" s="616">
        <f t="shared" si="490"/>
        <v>-10.773999999999999</v>
      </c>
      <c r="W306" s="611">
        <v>-7.8079999999999998</v>
      </c>
      <c r="X306" s="611">
        <f>-14.601-W306</f>
        <v>-6.793000000000001</v>
      </c>
      <c r="Y306" s="611">
        <f>-23.115-X306-W306</f>
        <v>-8.5139999999999958</v>
      </c>
      <c r="Z306" s="611"/>
      <c r="AA306" s="611"/>
      <c r="AB306" s="611"/>
      <c r="AC306" s="611"/>
      <c r="AD306" s="611"/>
      <c r="AE306" s="611"/>
      <c r="AF306" s="611"/>
      <c r="AG306" s="611"/>
      <c r="AH306" s="611"/>
      <c r="AI306" s="611">
        <f>+JPM!L125</f>
        <v>2.085</v>
      </c>
      <c r="AJ306" s="611">
        <f t="shared" si="491"/>
        <v>-17.744</v>
      </c>
      <c r="AK306" s="611">
        <f t="shared" si="492"/>
        <v>-2.9239999999999999</v>
      </c>
      <c r="AL306" s="611">
        <v>4.5970000000000004</v>
      </c>
      <c r="AM306" s="611">
        <v>-19.497</v>
      </c>
      <c r="AN306" s="583"/>
      <c r="AO306" s="571"/>
    </row>
    <row r="307" spans="1:41" x14ac:dyDescent="0.25">
      <c r="A307" s="132" t="s">
        <v>361</v>
      </c>
      <c r="C307" s="611"/>
      <c r="D307" s="611"/>
      <c r="E307" s="611"/>
      <c r="F307" s="616"/>
      <c r="G307" s="611">
        <f>+JPM!N126</f>
        <v>4.2569999999999997</v>
      </c>
      <c r="H307" s="611">
        <f>+JPM!O126</f>
        <v>0.52</v>
      </c>
      <c r="I307" s="611">
        <f>+JPM!P126</f>
        <v>0.53</v>
      </c>
      <c r="J307" s="616">
        <f>+JPM!Q126</f>
        <v>0.54500000000000004</v>
      </c>
      <c r="K307" s="611">
        <f>+JPM!T126</f>
        <v>0.56200000000000006</v>
      </c>
      <c r="L307" s="611">
        <f>+JPM!U126</f>
        <v>2.6639999999999997</v>
      </c>
      <c r="M307" s="611">
        <f>+JPM!V126</f>
        <v>1.3430000000000002</v>
      </c>
      <c r="N307" s="616">
        <f>+JPM!W126</f>
        <v>4.9609999999999994</v>
      </c>
      <c r="O307" s="611">
        <f>+JPM!Z126</f>
        <v>1.859</v>
      </c>
      <c r="P307" s="611">
        <f>+JPM!AA126</f>
        <v>1.9430000000000001</v>
      </c>
      <c r="Q307" s="611">
        <f>5.824-P307-O307</f>
        <v>2.0219999999999998</v>
      </c>
      <c r="R307" s="616">
        <f t="shared" si="489"/>
        <v>2.032</v>
      </c>
      <c r="S307" s="611">
        <v>2.0579999999999998</v>
      </c>
      <c r="T307" s="611">
        <f>5.659-S307</f>
        <v>3.601</v>
      </c>
      <c r="U307" s="611">
        <f>10.449-T307-S307</f>
        <v>4.79</v>
      </c>
      <c r="V307" s="616">
        <f t="shared" si="490"/>
        <v>4.8160000000000007</v>
      </c>
      <c r="W307" s="611">
        <v>4.7510000000000003</v>
      </c>
      <c r="X307" s="611">
        <f>9.799-W307</f>
        <v>5.0479999999999992</v>
      </c>
      <c r="Y307" s="611">
        <f>19.303-X307-W307</f>
        <v>9.5040000000000013</v>
      </c>
      <c r="Z307" s="611"/>
      <c r="AA307" s="611"/>
      <c r="AB307" s="611"/>
      <c r="AC307" s="611"/>
      <c r="AD307" s="611"/>
      <c r="AE307" s="611"/>
      <c r="AF307" s="611"/>
      <c r="AG307" s="611"/>
      <c r="AH307" s="611"/>
      <c r="AI307" s="611">
        <f>+JPM!L126</f>
        <v>1.216</v>
      </c>
      <c r="AJ307" s="611">
        <f t="shared" si="491"/>
        <v>5.8519999999999994</v>
      </c>
      <c r="AK307" s="611">
        <f t="shared" si="492"/>
        <v>9.5299999999999994</v>
      </c>
      <c r="AL307" s="611">
        <v>7.8559999999999999</v>
      </c>
      <c r="AM307" s="611">
        <v>15.265000000000001</v>
      </c>
      <c r="AN307" s="583"/>
      <c r="AO307" s="571"/>
    </row>
    <row r="308" spans="1:41" x14ac:dyDescent="0.25">
      <c r="A308" s="132" t="s">
        <v>522</v>
      </c>
      <c r="C308" s="611"/>
      <c r="D308" s="611"/>
      <c r="E308" s="611"/>
      <c r="F308" s="616"/>
      <c r="G308" s="611">
        <f>+JPM!N127</f>
        <v>-0.45600000000000002</v>
      </c>
      <c r="H308" s="611">
        <f>+JPM!O127</f>
        <v>8.8999999999999996E-2</v>
      </c>
      <c r="I308" s="611">
        <f>+JPM!P127</f>
        <v>0.247</v>
      </c>
      <c r="J308" s="616">
        <f>+JPM!Q127</f>
        <v>7.0000000000000001E-3</v>
      </c>
      <c r="K308" s="611">
        <f>+JPM!T127</f>
        <v>-9.6000000000000002E-2</v>
      </c>
      <c r="L308" s="611">
        <f>+JPM!U127</f>
        <v>-0.223</v>
      </c>
      <c r="M308" s="611">
        <f>+JPM!V127</f>
        <v>3.7999999999999978E-2</v>
      </c>
      <c r="N308" s="616">
        <f>+JPM!W127</f>
        <v>-0.29399999999999993</v>
      </c>
      <c r="O308" s="611">
        <f>+JPM!Z127</f>
        <v>-0.41099999999999998</v>
      </c>
      <c r="P308" s="611">
        <f>+JPM!AA127</f>
        <v>0.44799999999999995</v>
      </c>
      <c r="Q308" s="611">
        <f>0.115-P308-O308</f>
        <v>7.8000000000000014E-2</v>
      </c>
      <c r="R308" s="616">
        <f t="shared" si="489"/>
        <v>-2.3999999999999994E-2</v>
      </c>
      <c r="S308" s="611">
        <v>-0.01</v>
      </c>
      <c r="T308" s="611">
        <f>0.004-S308</f>
        <v>1.4E-2</v>
      </c>
      <c r="U308" s="611">
        <f>0.026-T308-S308</f>
        <v>2.1999999999999999E-2</v>
      </c>
      <c r="V308" s="616">
        <f t="shared" si="490"/>
        <v>-1.7999999999999999E-2</v>
      </c>
      <c r="W308" s="611">
        <v>-0.112</v>
      </c>
      <c r="X308" s="611">
        <f>0-W308</f>
        <v>0.112</v>
      </c>
      <c r="Y308" s="611">
        <f>0-X308-W308</f>
        <v>0</v>
      </c>
      <c r="Z308" s="611"/>
      <c r="AA308" s="611"/>
      <c r="AB308" s="611"/>
      <c r="AC308" s="611"/>
      <c r="AD308" s="611"/>
      <c r="AE308" s="611"/>
      <c r="AF308" s="611"/>
      <c r="AG308" s="611"/>
      <c r="AH308" s="611"/>
      <c r="AI308" s="611">
        <f>+JPM!L127</f>
        <v>-0.11</v>
      </c>
      <c r="AJ308" s="611">
        <f t="shared" si="491"/>
        <v>-0.11299999999999999</v>
      </c>
      <c r="AK308" s="611">
        <f t="shared" si="492"/>
        <v>-0.57499999999999996</v>
      </c>
      <c r="AL308" s="611">
        <v>9.0999999999999998E-2</v>
      </c>
      <c r="AM308" s="611">
        <v>8.0000000000000002E-3</v>
      </c>
      <c r="AN308" s="583"/>
      <c r="AO308" s="571"/>
    </row>
    <row r="309" spans="1:41" x14ac:dyDescent="0.25">
      <c r="A309" s="132" t="s">
        <v>523</v>
      </c>
      <c r="C309" s="611"/>
      <c r="D309" s="611"/>
      <c r="E309" s="611"/>
      <c r="F309" s="616"/>
      <c r="G309" s="611">
        <f>+JPM!N128</f>
        <v>8.9999999999999993E-3</v>
      </c>
      <c r="H309" s="611">
        <f>+JPM!O128</f>
        <v>6.2E-2</v>
      </c>
      <c r="I309" s="611">
        <f>+JPM!P128</f>
        <v>-2.1999999999999999E-2</v>
      </c>
      <c r="J309" s="616">
        <f>+JPM!Q128</f>
        <v>-2.1999999999999999E-2</v>
      </c>
      <c r="K309" s="611">
        <f>+JPM!T128</f>
        <v>1E-3</v>
      </c>
      <c r="L309" s="611">
        <f>+JPM!U128</f>
        <v>0.08</v>
      </c>
      <c r="M309" s="611">
        <f>+JPM!V128</f>
        <v>-1E-3</v>
      </c>
      <c r="N309" s="616">
        <f>+JPM!W128</f>
        <v>-4.0000000000000036E-3</v>
      </c>
      <c r="O309" s="611">
        <f>+JPM!Z128</f>
        <v>0.16300000000000001</v>
      </c>
      <c r="P309" s="611">
        <f>+JPM!AA128</f>
        <v>-1.0000000000000009E-3</v>
      </c>
      <c r="Q309" s="611">
        <f>0.197-P309-O309</f>
        <v>3.5000000000000003E-2</v>
      </c>
      <c r="R309" s="616">
        <f t="shared" si="489"/>
        <v>1.0659999999999998</v>
      </c>
      <c r="S309" s="611">
        <v>1.222</v>
      </c>
      <c r="T309" s="611">
        <f>2.125-S309</f>
        <v>0.90300000000000002</v>
      </c>
      <c r="U309" s="611">
        <f>1.724-T309-S309</f>
        <v>-0.40100000000000002</v>
      </c>
      <c r="V309" s="616">
        <f t="shared" si="490"/>
        <v>-0.11599999999999988</v>
      </c>
      <c r="W309" s="611">
        <v>0</v>
      </c>
      <c r="X309" s="611">
        <f>-0.026-W309</f>
        <v>-2.5999999999999999E-2</v>
      </c>
      <c r="Y309" s="611">
        <f>-0.272-X309-W309</f>
        <v>-0.24600000000000002</v>
      </c>
      <c r="Z309" s="611"/>
      <c r="AA309" s="611"/>
      <c r="AB309" s="611"/>
      <c r="AC309" s="611"/>
      <c r="AD309" s="611"/>
      <c r="AE309" s="611"/>
      <c r="AF309" s="611"/>
      <c r="AG309" s="611"/>
      <c r="AH309" s="611"/>
      <c r="AI309" s="611">
        <f>+JPM!L128</f>
        <v>-2.3E-2</v>
      </c>
      <c r="AJ309" s="611">
        <f t="shared" si="491"/>
        <v>2.6999999999999996E-2</v>
      </c>
      <c r="AK309" s="611">
        <f t="shared" si="492"/>
        <v>7.5999999999999998E-2</v>
      </c>
      <c r="AL309" s="611">
        <v>1.2629999999999999</v>
      </c>
      <c r="AM309" s="611">
        <v>1.6080000000000001</v>
      </c>
      <c r="AN309" s="583"/>
      <c r="AO309" s="571"/>
    </row>
    <row r="310" spans="1:41" x14ac:dyDescent="0.25">
      <c r="A310" s="132" t="s">
        <v>524</v>
      </c>
      <c r="C310" s="611"/>
      <c r="D310" s="611"/>
      <c r="E310" s="611"/>
      <c r="F310" s="616"/>
      <c r="G310" s="611">
        <f>+JPM!N129</f>
        <v>3.9769999999999999</v>
      </c>
      <c r="H310" s="611">
        <f>+JPM!O129</f>
        <v>1.179</v>
      </c>
      <c r="I310" s="611">
        <f>+JPM!P129</f>
        <v>-0.74399999999999999</v>
      </c>
      <c r="J310" s="616">
        <f>+JPM!Q129</f>
        <v>-0.79600000000000004</v>
      </c>
      <c r="K310" s="611">
        <f>+JPM!T129</f>
        <v>-1.032</v>
      </c>
      <c r="L310" s="611">
        <f>+JPM!U129</f>
        <v>7.900000000000007E-2</v>
      </c>
      <c r="M310" s="611">
        <f>+JPM!V129</f>
        <v>0.10799999999999998</v>
      </c>
      <c r="N310" s="616">
        <f>+JPM!W129</f>
        <v>-1.4389999999999998</v>
      </c>
      <c r="O310" s="611">
        <f>+JPM!Z129</f>
        <v>-5.26</v>
      </c>
      <c r="P310" s="611">
        <f>+JPM!AA129</f>
        <v>-2.1180000000000003</v>
      </c>
      <c r="Q310" s="611">
        <f>-11.376-P310-O310</f>
        <v>-3.9979999999999993</v>
      </c>
      <c r="R310" s="616">
        <f t="shared" si="489"/>
        <v>-1.0530000000000008</v>
      </c>
      <c r="S310" s="611">
        <v>1.879</v>
      </c>
      <c r="T310" s="611">
        <f>-1.235-S310</f>
        <v>-3.1139999999999999</v>
      </c>
      <c r="U310" s="611">
        <f>-2.201-T310-S310</f>
        <v>-0.96600000000000019</v>
      </c>
      <c r="V310" s="616">
        <f t="shared" si="490"/>
        <v>2.3170000000000002</v>
      </c>
      <c r="W310" s="611">
        <v>-7.0449999999999999</v>
      </c>
      <c r="X310" s="611">
        <f>-9.177-W310</f>
        <v>-2.1319999999999997</v>
      </c>
      <c r="Y310" s="611">
        <f>-1.006-X310-W310</f>
        <v>8.1709999999999994</v>
      </c>
      <c r="Z310" s="611"/>
      <c r="AA310" s="611"/>
      <c r="AB310" s="611"/>
      <c r="AC310" s="611"/>
      <c r="AD310" s="611"/>
      <c r="AE310" s="611"/>
      <c r="AF310" s="611"/>
      <c r="AG310" s="611"/>
      <c r="AH310" s="611"/>
      <c r="AI310" s="611">
        <f>+JPM!L129</f>
        <v>0</v>
      </c>
      <c r="AJ310" s="611">
        <f t="shared" si="491"/>
        <v>3.6159999999999997</v>
      </c>
      <c r="AK310" s="611">
        <f t="shared" si="492"/>
        <v>-2.2839999999999998</v>
      </c>
      <c r="AL310" s="611">
        <v>-12.429</v>
      </c>
      <c r="AM310" s="611">
        <v>0.11600000000000001</v>
      </c>
      <c r="AN310" s="583"/>
      <c r="AO310" s="571"/>
    </row>
    <row r="311" spans="1:41" x14ac:dyDescent="0.25">
      <c r="A311" s="132" t="s">
        <v>525</v>
      </c>
      <c r="C311" s="611"/>
      <c r="D311" s="611"/>
      <c r="E311" s="611"/>
      <c r="F311" s="616"/>
      <c r="G311" s="611">
        <f>+JPM!N131</f>
        <v>4.6020000000000003</v>
      </c>
      <c r="H311" s="611">
        <f>+JPM!O131</f>
        <v>11.84</v>
      </c>
      <c r="I311" s="611">
        <f>+JPM!P131</f>
        <v>-27.721</v>
      </c>
      <c r="J311" s="616">
        <f>+JPM!Q131</f>
        <v>-7.8780000000000001</v>
      </c>
      <c r="K311" s="611">
        <f>+JPM!T131</f>
        <v>6.9630000000000001</v>
      </c>
      <c r="L311" s="611">
        <f>+JPM!U131</f>
        <v>-23.858000000000001</v>
      </c>
      <c r="M311" s="611">
        <f>+JPM!V131</f>
        <v>-18.919999999999998</v>
      </c>
      <c r="N311" s="616">
        <f>+JPM!W131</f>
        <v>-5.027000000000001</v>
      </c>
      <c r="O311" s="611">
        <f>+JPM!Z131</f>
        <v>8.8620000000000001</v>
      </c>
      <c r="P311" s="611">
        <f>+JPM!AA131</f>
        <v>2.3369999999999997</v>
      </c>
      <c r="Q311" s="611">
        <f>3.063-P311-O311</f>
        <v>-8.1359999999999992</v>
      </c>
      <c r="R311" s="616">
        <f t="shared" si="489"/>
        <v>6.0859999999999985</v>
      </c>
      <c r="S311" s="611">
        <v>15.98</v>
      </c>
      <c r="T311" s="611">
        <f>4.034-S311</f>
        <v>-11.946000000000002</v>
      </c>
      <c r="U311" s="611">
        <f>-12.162-T311-S311</f>
        <v>-16.195999999999998</v>
      </c>
      <c r="V311" s="616">
        <f t="shared" si="490"/>
        <v>14.500999999999999</v>
      </c>
      <c r="W311" s="611">
        <v>13.736000000000001</v>
      </c>
      <c r="X311" s="611">
        <f>11.919-W311</f>
        <v>-1.8170000000000002</v>
      </c>
      <c r="Y311" s="611">
        <f>-0.151-X311-W311</f>
        <v>-12.07</v>
      </c>
      <c r="Z311" s="611"/>
      <c r="AA311" s="611"/>
      <c r="AB311" s="611"/>
      <c r="AC311" s="611"/>
      <c r="AD311" s="611"/>
      <c r="AE311" s="611"/>
      <c r="AF311" s="611"/>
      <c r="AG311" s="611"/>
      <c r="AH311" s="611"/>
      <c r="AI311" s="611">
        <f>+JPM!L131</f>
        <v>-10.964</v>
      </c>
      <c r="AJ311" s="611">
        <f t="shared" si="491"/>
        <v>-19.157</v>
      </c>
      <c r="AK311" s="611">
        <f t="shared" si="492"/>
        <v>-40.841999999999999</v>
      </c>
      <c r="AL311" s="611">
        <v>9.1489999999999991</v>
      </c>
      <c r="AM311" s="611">
        <v>2.339</v>
      </c>
      <c r="AN311" s="583"/>
      <c r="AO311" s="571"/>
    </row>
    <row r="312" spans="1:41" x14ac:dyDescent="0.25">
      <c r="A312" s="132" t="s">
        <v>526</v>
      </c>
      <c r="C312" s="611"/>
      <c r="D312" s="611"/>
      <c r="E312" s="611"/>
      <c r="F312" s="616"/>
      <c r="G312" s="611">
        <f>+JPM!N132</f>
        <v>-1.621</v>
      </c>
      <c r="H312" s="611">
        <f>+JPM!O132</f>
        <v>1.4850000000000001</v>
      </c>
      <c r="I312" s="611">
        <f>+JPM!P132</f>
        <v>-4.3250000000000002</v>
      </c>
      <c r="J312" s="616">
        <f>+JPM!Q132</f>
        <v>3.4180000000000001</v>
      </c>
      <c r="K312" s="611">
        <f>+JPM!T132</f>
        <v>-5.1760000000000002</v>
      </c>
      <c r="L312" s="611">
        <f>+JPM!U132</f>
        <v>2.5220000000000002</v>
      </c>
      <c r="M312" s="611">
        <f>+JPM!V132</f>
        <v>-5.9649999999999999</v>
      </c>
      <c r="N312" s="616">
        <f>+JPM!W132</f>
        <v>3.1890000000000001</v>
      </c>
      <c r="O312" s="611">
        <f>+JPM!Z132</f>
        <v>1.151</v>
      </c>
      <c r="P312" s="611">
        <f>+JPM!AA132</f>
        <v>-1.113</v>
      </c>
      <c r="Q312" s="611">
        <f>0.7-P312-O312</f>
        <v>0.66199999999999992</v>
      </c>
      <c r="R312" s="616">
        <f t="shared" si="489"/>
        <v>4.1920000000000002</v>
      </c>
      <c r="S312" s="611">
        <v>2.9329999999999998</v>
      </c>
      <c r="T312" s="611">
        <f>5.335-S312</f>
        <v>2.4020000000000001</v>
      </c>
      <c r="U312" s="611">
        <f>8.661-T312-S312</f>
        <v>3.3259999999999996</v>
      </c>
      <c r="V312" s="616">
        <f t="shared" si="490"/>
        <v>4.7789999999999999</v>
      </c>
      <c r="W312" s="611">
        <v>-3.3450000000000002</v>
      </c>
      <c r="X312" s="611">
        <f>2.245-W312</f>
        <v>5.59</v>
      </c>
      <c r="Y312" s="611">
        <f>1.84-X312-V312</f>
        <v>-8.5289999999999999</v>
      </c>
      <c r="Z312" s="611"/>
      <c r="AA312" s="611"/>
      <c r="AB312" s="611"/>
      <c r="AC312" s="611"/>
      <c r="AD312" s="611"/>
      <c r="AE312" s="611"/>
      <c r="AF312" s="611"/>
      <c r="AG312" s="611"/>
      <c r="AH312" s="611"/>
      <c r="AI312" s="611">
        <f>+JPM!L132</f>
        <v>9.9009999999999998</v>
      </c>
      <c r="AJ312" s="611">
        <f t="shared" si="491"/>
        <v>-1.0430000000000001</v>
      </c>
      <c r="AK312" s="611">
        <f t="shared" si="492"/>
        <v>-5.43</v>
      </c>
      <c r="AL312" s="611">
        <v>4.8920000000000003</v>
      </c>
      <c r="AM312" s="611">
        <v>13.44</v>
      </c>
      <c r="AN312" s="583"/>
      <c r="AO312" s="571"/>
    </row>
    <row r="313" spans="1:41" x14ac:dyDescent="0.25">
      <c r="A313" s="132" t="s">
        <v>477</v>
      </c>
      <c r="C313" s="611"/>
      <c r="D313" s="611"/>
      <c r="E313" s="611"/>
      <c r="F313" s="616"/>
      <c r="G313" s="611">
        <f>+JPM!N133</f>
        <v>-0.35499999999999998</v>
      </c>
      <c r="H313" s="611">
        <f>+JPM!O133</f>
        <v>6.0000000000000001E-3</v>
      </c>
      <c r="I313" s="611">
        <f>+JPM!P133</f>
        <v>-3.7999999999999999E-2</v>
      </c>
      <c r="J313" s="616">
        <f>+JPM!Q133</f>
        <v>0.38</v>
      </c>
      <c r="K313" s="611">
        <f>+JPM!T133</f>
        <v>-0.98499999999999999</v>
      </c>
      <c r="L313" s="611">
        <f>+JPM!U133</f>
        <v>-4.7000000000000042E-2</v>
      </c>
      <c r="M313" s="611">
        <f>+JPM!V133</f>
        <v>-4.4450000000000003</v>
      </c>
      <c r="N313" s="616">
        <f>+JPM!W133</f>
        <v>0.40500000000000025</v>
      </c>
      <c r="O313" s="611">
        <f>+JPM!Z133</f>
        <v>0</v>
      </c>
      <c r="P313" s="611">
        <f>+JPM!AA133</f>
        <v>0</v>
      </c>
      <c r="Q313" s="611">
        <v>0</v>
      </c>
      <c r="R313" s="616">
        <f t="shared" si="489"/>
        <v>0</v>
      </c>
      <c r="S313" s="611">
        <v>0</v>
      </c>
      <c r="T313" s="611">
        <v>0</v>
      </c>
      <c r="U313" s="611">
        <v>0</v>
      </c>
      <c r="V313" s="616">
        <f t="shared" si="490"/>
        <v>0</v>
      </c>
      <c r="W313" s="611">
        <v>0</v>
      </c>
      <c r="X313" s="611">
        <v>0</v>
      </c>
      <c r="Y313" s="611">
        <v>0</v>
      </c>
      <c r="Z313" s="611"/>
      <c r="AA313" s="611"/>
      <c r="AB313" s="611"/>
      <c r="AC313" s="611"/>
      <c r="AD313" s="611"/>
      <c r="AE313" s="611"/>
      <c r="AF313" s="611"/>
      <c r="AG313" s="611"/>
      <c r="AH313" s="611"/>
      <c r="AI313" s="611">
        <f>+JPM!L133</f>
        <v>0.42399999999999999</v>
      </c>
      <c r="AJ313" s="611">
        <f t="shared" si="491"/>
        <v>-6.9999999999999507E-3</v>
      </c>
      <c r="AK313" s="611">
        <f t="shared" si="492"/>
        <v>-5.0720000000000001</v>
      </c>
      <c r="AL313" s="611">
        <v>0</v>
      </c>
      <c r="AM313" s="611">
        <v>0</v>
      </c>
      <c r="AN313" s="583"/>
      <c r="AO313" s="571"/>
    </row>
    <row r="314" spans="1:41" x14ac:dyDescent="0.25">
      <c r="A314" s="132" t="s">
        <v>480</v>
      </c>
      <c r="C314" s="611"/>
      <c r="D314" s="611"/>
      <c r="E314" s="611"/>
      <c r="F314" s="616"/>
      <c r="G314" s="611">
        <f>+JPM!N135</f>
        <v>-3.4369999999999998</v>
      </c>
      <c r="H314" s="611">
        <f>+JPM!O135</f>
        <v>-1.7829999999999999</v>
      </c>
      <c r="I314" s="611">
        <f>+JPM!P135</f>
        <v>8.0250000000000004</v>
      </c>
      <c r="J314" s="616">
        <f>+JPM!Q135</f>
        <v>4.8540000000000001</v>
      </c>
      <c r="K314" s="611">
        <f>+JPM!T135</f>
        <v>-8.0869999999999997</v>
      </c>
      <c r="L314" s="611">
        <f>+JPM!U135</f>
        <v>10.866999999999999</v>
      </c>
      <c r="M314" s="611">
        <f>+JPM!V135</f>
        <v>-1.2329999999999988</v>
      </c>
      <c r="N314" s="616">
        <f>+JPM!W135</f>
        <v>6.9939999999999998</v>
      </c>
      <c r="O314" s="611">
        <f>+JPM!Z135</f>
        <v>-1.329</v>
      </c>
      <c r="P314" s="611">
        <f>+JPM!AA135</f>
        <v>-1.4190000000000003</v>
      </c>
      <c r="Q314" s="611">
        <f>0.165-P314-O314</f>
        <v>2.9130000000000003</v>
      </c>
      <c r="R314" s="616">
        <f t="shared" si="489"/>
        <v>-11.530000000000001</v>
      </c>
      <c r="S314" s="611">
        <v>-7.6180000000000003</v>
      </c>
      <c r="T314" s="611">
        <f>-3.035-S314</f>
        <v>4.5830000000000002</v>
      </c>
      <c r="U314" s="611">
        <f>0.531-T314-S314</f>
        <v>3.5659999999999998</v>
      </c>
      <c r="V314" s="616">
        <f t="shared" si="490"/>
        <v>-9.8320000000000007</v>
      </c>
      <c r="W314" s="611">
        <v>0.46800000000000003</v>
      </c>
      <c r="X314" s="611">
        <f>7.565-W314</f>
        <v>7.0970000000000004</v>
      </c>
      <c r="Y314" s="611">
        <f>23.115-X314-W314</f>
        <v>15.549999999999997</v>
      </c>
      <c r="Z314" s="611"/>
      <c r="AA314" s="611"/>
      <c r="AB314" s="611"/>
      <c r="AC314" s="611"/>
      <c r="AD314" s="611"/>
      <c r="AE314" s="611"/>
      <c r="AF314" s="611"/>
      <c r="AG314" s="611"/>
      <c r="AH314" s="611"/>
      <c r="AI314" s="611">
        <f>+JPM!L135</f>
        <v>12.76</v>
      </c>
      <c r="AJ314" s="611">
        <f t="shared" si="491"/>
        <v>7.6590000000000007</v>
      </c>
      <c r="AK314" s="611">
        <f t="shared" si="492"/>
        <v>8.5410000000000004</v>
      </c>
      <c r="AL314" s="611">
        <v>-11.365</v>
      </c>
      <c r="AM314" s="611">
        <v>-9.3010000000000002</v>
      </c>
      <c r="AN314" s="583"/>
      <c r="AO314" s="571"/>
    </row>
    <row r="315" spans="1:41" x14ac:dyDescent="0.25">
      <c r="A315" s="132" t="s">
        <v>527</v>
      </c>
      <c r="C315" s="611"/>
      <c r="D315" s="611"/>
      <c r="E315" s="611"/>
      <c r="F315" s="616"/>
      <c r="G315" s="611">
        <f>+JPM!N134</f>
        <v>4.3499999999999996</v>
      </c>
      <c r="H315" s="611">
        <f>+JPM!O134</f>
        <v>-11.585000000000001</v>
      </c>
      <c r="I315" s="611">
        <f>+JPM!P134</f>
        <v>5.4809999999999999</v>
      </c>
      <c r="J315" s="616">
        <f>+JPM!Q134</f>
        <v>6.7359999999999998</v>
      </c>
      <c r="K315" s="611">
        <f>+JPM!T134</f>
        <v>5.5789999999999997</v>
      </c>
      <c r="L315" s="611">
        <f>+JPM!U134</f>
        <v>-2.9889999999999999</v>
      </c>
      <c r="M315" s="611">
        <f>+JPM!V134</f>
        <v>3.3080000000000007</v>
      </c>
      <c r="N315" s="616">
        <f>+JPM!W134</f>
        <v>1.6179999999999994</v>
      </c>
      <c r="O315" s="611">
        <f>+JPM!Z134</f>
        <v>-13.215</v>
      </c>
      <c r="P315" s="611">
        <f>+JPM!AA134</f>
        <v>4.4350000000000005</v>
      </c>
      <c r="Q315" s="611">
        <f>-9.337-P315-O315</f>
        <v>-0.55700000000000038</v>
      </c>
      <c r="R315" s="616">
        <f t="shared" si="489"/>
        <v>12.32</v>
      </c>
      <c r="S315" s="611">
        <v>-11.827999999999999</v>
      </c>
      <c r="T315" s="611">
        <f>-8.847-S315</f>
        <v>2.9809999999999999</v>
      </c>
      <c r="U315" s="611">
        <f>-8.389-T315-S315</f>
        <v>0.45800000000000018</v>
      </c>
      <c r="V315" s="616">
        <f t="shared" si="490"/>
        <v>-0.11400000000000077</v>
      </c>
      <c r="W315" s="611">
        <v>6.6079999999999997</v>
      </c>
      <c r="X315" s="611">
        <f>7.203-W315</f>
        <v>0.59500000000000064</v>
      </c>
      <c r="Y315" s="611">
        <f>9.917-X315-W315</f>
        <v>2.7139999999999995</v>
      </c>
      <c r="Z315" s="611"/>
      <c r="AA315" s="611"/>
      <c r="AB315" s="611"/>
      <c r="AC315" s="611"/>
      <c r="AD315" s="611"/>
      <c r="AE315" s="611"/>
      <c r="AF315" s="611"/>
      <c r="AG315" s="611"/>
      <c r="AH315" s="611"/>
      <c r="AI315" s="611">
        <f>+JPM!L134</f>
        <v>-7.335</v>
      </c>
      <c r="AJ315" s="611">
        <f t="shared" si="491"/>
        <v>4.9819999999999984</v>
      </c>
      <c r="AK315" s="611">
        <f t="shared" si="492"/>
        <v>7.516</v>
      </c>
      <c r="AL315" s="611">
        <v>2.9830000000000001</v>
      </c>
      <c r="AM315" s="611">
        <v>-8.5030000000000001</v>
      </c>
      <c r="AN315" s="583"/>
      <c r="AO315" s="571"/>
    </row>
    <row r="316" spans="1:41" x14ac:dyDescent="0.25">
      <c r="A316" s="132" t="s">
        <v>528</v>
      </c>
      <c r="C316" s="611"/>
      <c r="D316" s="611"/>
      <c r="E316" s="611"/>
      <c r="F316" s="616"/>
      <c r="G316" s="611">
        <f>+JPM!N136</f>
        <v>0.307</v>
      </c>
      <c r="H316" s="611">
        <f>+JPM!O136</f>
        <v>-0.312</v>
      </c>
      <c r="I316" s="611">
        <f>+JPM!P136</f>
        <v>-6.4000000000000001E-2</v>
      </c>
      <c r="J316" s="616">
        <f>+JPM!Q136</f>
        <v>-0.191</v>
      </c>
      <c r="K316" s="611">
        <f>+JPM!T136</f>
        <v>3.1E-2</v>
      </c>
      <c r="L316" s="611">
        <f>+JPM!U136</f>
        <v>7.4999999999999997E-2</v>
      </c>
      <c r="M316" s="611">
        <f>+JPM!V136</f>
        <v>-3.3000000000000002E-2</v>
      </c>
      <c r="N316" s="616">
        <f>+JPM!W136</f>
        <v>0.12300000000000001</v>
      </c>
      <c r="O316" s="611">
        <f>+JPM!Z136</f>
        <v>-0.254</v>
      </c>
      <c r="P316" s="611">
        <f>+JPM!AA136</f>
        <v>-1.8000000000000016E-2</v>
      </c>
      <c r="Q316" s="611">
        <f>-0.116-P316-O316</f>
        <v>0.15600000000000003</v>
      </c>
      <c r="R316" s="616">
        <f t="shared" si="489"/>
        <v>0.20699999999999999</v>
      </c>
      <c r="S316" s="611">
        <v>0.20899999999999999</v>
      </c>
      <c r="T316" s="611">
        <f>0.248-S316</f>
        <v>3.9000000000000007E-2</v>
      </c>
      <c r="U316" s="611">
        <f>0.087-T316-S316</f>
        <v>-0.161</v>
      </c>
      <c r="V316" s="616">
        <f t="shared" si="490"/>
        <v>0.70100000000000007</v>
      </c>
      <c r="W316" s="611">
        <v>0.185</v>
      </c>
      <c r="X316" s="611">
        <f>0.373-W316</f>
        <v>0.188</v>
      </c>
      <c r="Y316" s="611">
        <f>0.591-X316-W316</f>
        <v>0.21799999999999997</v>
      </c>
      <c r="Z316" s="611"/>
      <c r="AA316" s="611"/>
      <c r="AB316" s="611"/>
      <c r="AC316" s="611"/>
      <c r="AD316" s="611"/>
      <c r="AE316" s="611"/>
      <c r="AF316" s="611"/>
      <c r="AG316" s="611"/>
      <c r="AH316" s="611"/>
      <c r="AI316" s="611">
        <f>+JPM!L136</f>
        <v>-1.2999999999999999E-2</v>
      </c>
      <c r="AJ316" s="611">
        <f t="shared" si="491"/>
        <v>-0.26</v>
      </c>
      <c r="AK316" s="611">
        <f t="shared" si="492"/>
        <v>0.19600000000000001</v>
      </c>
      <c r="AL316" s="611">
        <v>9.0999999999999998E-2</v>
      </c>
      <c r="AM316" s="611">
        <v>0.78800000000000003</v>
      </c>
      <c r="AN316" s="583"/>
      <c r="AO316" s="571"/>
    </row>
    <row r="317" spans="1:41" x14ac:dyDescent="0.25">
      <c r="A317" s="132" t="s">
        <v>529</v>
      </c>
      <c r="C317" s="611"/>
      <c r="D317" s="611"/>
      <c r="E317" s="611"/>
      <c r="F317" s="616"/>
      <c r="G317" s="611">
        <f>+JPM!N137</f>
        <v>-2.44</v>
      </c>
      <c r="H317" s="611">
        <f>+JPM!O137</f>
        <v>2.8180000000000001</v>
      </c>
      <c r="I317" s="611">
        <f>+JPM!P137</f>
        <v>1.546</v>
      </c>
      <c r="J317" s="616">
        <f>+JPM!Q137</f>
        <v>-0.33100000000000002</v>
      </c>
      <c r="K317" s="611">
        <f>+JPM!T137</f>
        <v>0.36299999999999999</v>
      </c>
      <c r="L317" s="611">
        <f>+JPM!U137</f>
        <v>0.18200000000000005</v>
      </c>
      <c r="M317" s="611">
        <f>+JPM!V137</f>
        <v>-3.6000000000000032E-2</v>
      </c>
      <c r="N317" s="616">
        <f>+JPM!W137</f>
        <v>-0.59599999999999997</v>
      </c>
      <c r="O317" s="611">
        <f>+JPM!Z137</f>
        <v>-0.43100000000000005</v>
      </c>
      <c r="P317" s="611">
        <f>+JPM!AA137</f>
        <v>0.39200000000000013</v>
      </c>
      <c r="Q317" s="611">
        <f>-0.773-P317-O317</f>
        <v>-0.73399999999999999</v>
      </c>
      <c r="R317" s="616">
        <f t="shared" si="489"/>
        <v>5.4969999999999999</v>
      </c>
      <c r="S317" s="611">
        <v>-0.11</v>
      </c>
      <c r="T317" s="611">
        <f>-0.46-S317</f>
        <v>-0.35000000000000003</v>
      </c>
      <c r="U317" s="611">
        <f>-1.134-T317-S317</f>
        <v>-0.67399999999999982</v>
      </c>
      <c r="V317" s="616">
        <f t="shared" si="490"/>
        <v>1.4809999999999999</v>
      </c>
      <c r="W317" s="611">
        <f>+W319-W318-SUM(W301:W316)</f>
        <v>-0.22700000000000387</v>
      </c>
      <c r="X317" s="611">
        <f>+X319-X318-SUM(X301:X316)</f>
        <v>-3.588000000000001</v>
      </c>
      <c r="Y317" s="611">
        <f>-0.722-X317-W317</f>
        <v>3.0930000000000049</v>
      </c>
      <c r="Z317" s="611"/>
      <c r="AA317" s="611"/>
      <c r="AB317" s="611"/>
      <c r="AC317" s="611"/>
      <c r="AD317" s="611"/>
      <c r="AE317" s="611"/>
      <c r="AF317" s="611"/>
      <c r="AG317" s="611"/>
      <c r="AH317" s="611"/>
      <c r="AI317" s="611">
        <f>+JPM!L137</f>
        <v>0.83599999999999997</v>
      </c>
      <c r="AJ317" s="611">
        <f t="shared" si="491"/>
        <v>1.5930000000000002</v>
      </c>
      <c r="AK317" s="611">
        <f t="shared" si="492"/>
        <v>-8.6999999999999966E-2</v>
      </c>
      <c r="AL317" s="611">
        <v>4.7240000000000002</v>
      </c>
      <c r="AM317" s="611">
        <v>0.34699999999999998</v>
      </c>
      <c r="AN317" s="583"/>
      <c r="AO317" s="571"/>
    </row>
    <row r="318" spans="1:41" s="413" customFormat="1" ht="14" x14ac:dyDescent="0.4">
      <c r="A318" s="132" t="s">
        <v>530</v>
      </c>
      <c r="C318" s="612"/>
      <c r="D318" s="612"/>
      <c r="E318" s="612"/>
      <c r="F318" s="617"/>
      <c r="G318" s="612">
        <f>+JPM!N138</f>
        <v>-0.93899999999999995</v>
      </c>
      <c r="H318" s="612">
        <f>+JPM!O138</f>
        <v>0.67800000000000005</v>
      </c>
      <c r="I318" s="612">
        <f>+JPM!P138</f>
        <v>0.151</v>
      </c>
      <c r="J318" s="617">
        <f>+JPM!Q138</f>
        <v>0.40400000000000003</v>
      </c>
      <c r="K318" s="612">
        <f>+JPM!T138</f>
        <v>2.0510000000000002</v>
      </c>
      <c r="L318" s="612">
        <f>+JPM!U138</f>
        <v>-1.145</v>
      </c>
      <c r="M318" s="612">
        <f>+JPM!V138</f>
        <v>-0.65000000000000013</v>
      </c>
      <c r="N318" s="617">
        <f>+JPM!W138</f>
        <v>1.0529999999999999</v>
      </c>
      <c r="O318" s="612">
        <f>+JPM!Z138</f>
        <v>1.4419999999999999</v>
      </c>
      <c r="P318" s="612">
        <f>+JPM!AA138</f>
        <v>-1.288</v>
      </c>
      <c r="Q318" s="612">
        <f>Q319-SUM(Q311:Q317,Q302:Q310,Q301)</f>
        <v>-0.29399999999998272</v>
      </c>
      <c r="R318" s="617">
        <f t="shared" si="489"/>
        <v>-2.9050000000000171</v>
      </c>
      <c r="S318" s="612">
        <f>S319-SUM(S311:S317,S302:S310,S301)</f>
        <v>1.8160000000000096</v>
      </c>
      <c r="T318" s="612">
        <f>T319-SUM(T311:T317,T302:T310,T301)</f>
        <v>-7.5590000000000046</v>
      </c>
      <c r="U318" s="612">
        <f>U319-SUM(U311:U317,U302:U310,U301)</f>
        <v>2.637000000000004</v>
      </c>
      <c r="V318" s="617">
        <f t="shared" si="490"/>
        <v>2.1769999999999907</v>
      </c>
      <c r="W318" s="612">
        <v>3.863</v>
      </c>
      <c r="X318" s="612">
        <f>-0.626-W318</f>
        <v>-4.4889999999999999</v>
      </c>
      <c r="Y318" s="612">
        <f>Y319-SUM(Y311:Y317,Y302:Y310,Y301)</f>
        <v>11.57099999999997</v>
      </c>
      <c r="Z318" s="612"/>
      <c r="AA318" s="612"/>
      <c r="AB318" s="612"/>
      <c r="AC318" s="612"/>
      <c r="AD318" s="612"/>
      <c r="AE318" s="612"/>
      <c r="AF318" s="612"/>
      <c r="AG318" s="612"/>
      <c r="AH318" s="612"/>
      <c r="AI318" s="612">
        <f>+JPM!L138</f>
        <v>-0.65900000000000003</v>
      </c>
      <c r="AJ318" s="612">
        <f t="shared" si="491"/>
        <v>0.29400000000000015</v>
      </c>
      <c r="AK318" s="612">
        <f t="shared" si="492"/>
        <v>1.3089999999999999</v>
      </c>
      <c r="AL318" s="612">
        <v>-3.0449999999999999</v>
      </c>
      <c r="AM318" s="612">
        <v>-0.92900000000000005</v>
      </c>
      <c r="AN318" s="719"/>
      <c r="AO318" s="614"/>
    </row>
    <row r="319" spans="1:41" s="163" customFormat="1" ht="13" x14ac:dyDescent="0.3">
      <c r="A319" s="426" t="s">
        <v>531</v>
      </c>
      <c r="C319" s="615">
        <f>+Daloopa!C228/1000</f>
        <v>16.776</v>
      </c>
      <c r="D319" s="615">
        <f>+Daloopa!D228/1000</f>
        <v>17.143999999999998</v>
      </c>
      <c r="E319" s="615">
        <f>+Daloopa!E228/1000</f>
        <v>13.055</v>
      </c>
      <c r="F319" s="618">
        <f>+Daloopa!F228/1000</f>
        <v>24.608000000000001</v>
      </c>
      <c r="G319" s="615">
        <f t="shared" ref="G319:P319" si="493">SUM(G311:G318,G302:G310,G301)</f>
        <v>-17.518000000000008</v>
      </c>
      <c r="H319" s="615">
        <f t="shared" si="493"/>
        <v>21.711000000000006</v>
      </c>
      <c r="I319" s="615">
        <f t="shared" si="493"/>
        <v>14.217000000000008</v>
      </c>
      <c r="J319" s="618">
        <f t="shared" si="493"/>
        <v>35.225000000000001</v>
      </c>
      <c r="K319" s="615">
        <f t="shared" si="493"/>
        <v>23.71299999999999</v>
      </c>
      <c r="L319" s="615">
        <f t="shared" si="493"/>
        <v>32.385000000000005</v>
      </c>
      <c r="M319" s="615">
        <f t="shared" si="493"/>
        <v>27.761999999999993</v>
      </c>
      <c r="N319" s="618">
        <f t="shared" si="493"/>
        <v>64.817000000000007</v>
      </c>
      <c r="O319" s="615">
        <f t="shared" si="493"/>
        <v>41.582999999999991</v>
      </c>
      <c r="P319" s="615">
        <f t="shared" si="493"/>
        <v>54.829000000000001</v>
      </c>
      <c r="Q319" s="615">
        <f>142.842-P319-O319</f>
        <v>46.430000000000014</v>
      </c>
      <c r="R319" s="618">
        <f>SUM(R311:R318,R302:R310,R301)</f>
        <v>70.825999999999993</v>
      </c>
      <c r="S319" s="615">
        <v>38.598999999999997</v>
      </c>
      <c r="T319" s="615">
        <f>71.722-S319</f>
        <v>33.122999999999998</v>
      </c>
      <c r="U319" s="615">
        <f>106.08-T319-S319</f>
        <v>34.357999999999997</v>
      </c>
      <c r="V319" s="618">
        <f t="shared" si="490"/>
        <v>58.118000000000023</v>
      </c>
      <c r="W319" s="615">
        <v>38.329000000000001</v>
      </c>
      <c r="X319" s="615">
        <f>70.372-W319</f>
        <v>32.042999999999999</v>
      </c>
      <c r="Y319" s="615">
        <f>113.862-X319-W319</f>
        <v>43.489999999999988</v>
      </c>
      <c r="Z319" s="615"/>
      <c r="AA319" s="615"/>
      <c r="AB319" s="615"/>
      <c r="AC319" s="615"/>
      <c r="AD319" s="615"/>
      <c r="AE319" s="615"/>
      <c r="AF319" s="615"/>
      <c r="AG319" s="615"/>
      <c r="AH319" s="615"/>
      <c r="AI319" s="615">
        <f>SUM(AI311:AI318,AI302:AI310,AI301)</f>
        <v>71.582999999999998</v>
      </c>
      <c r="AJ319" s="615">
        <f t="shared" si="491"/>
        <v>53.635000000000005</v>
      </c>
      <c r="AK319" s="615">
        <f t="shared" si="492"/>
        <v>148.67699999999999</v>
      </c>
      <c r="AL319" s="615">
        <f>+SUM(AL311:AL318,AL302:AL310,AL301)</f>
        <v>213.66800000000001</v>
      </c>
      <c r="AM319" s="615">
        <f>+SUM(AM311:AM318,AM302:AM310,AM301)</f>
        <v>164.19800000000001</v>
      </c>
      <c r="AN319" s="594"/>
      <c r="AO319" s="573"/>
    </row>
    <row r="320" spans="1:41" x14ac:dyDescent="0.25">
      <c r="C320" s="568"/>
      <c r="D320" s="568"/>
      <c r="E320" s="568"/>
      <c r="F320" s="588"/>
      <c r="G320" s="568"/>
      <c r="H320" s="568"/>
      <c r="I320" s="568"/>
      <c r="J320" s="588"/>
      <c r="K320" s="583"/>
      <c r="L320" s="583"/>
      <c r="M320" s="583"/>
      <c r="N320" s="588"/>
      <c r="O320" s="568"/>
      <c r="P320" s="568"/>
      <c r="Q320" s="568"/>
      <c r="R320" s="588"/>
      <c r="S320" s="568"/>
      <c r="T320" s="568"/>
      <c r="U320" s="568"/>
      <c r="V320" s="588"/>
      <c r="W320" s="568"/>
      <c r="X320" s="583"/>
      <c r="Y320" s="583"/>
      <c r="Z320" s="583"/>
      <c r="AA320" s="583"/>
      <c r="AB320" s="583"/>
      <c r="AC320" s="583"/>
      <c r="AD320" s="583"/>
      <c r="AE320" s="583"/>
      <c r="AF320" s="583"/>
      <c r="AG320" s="583"/>
      <c r="AH320" s="583"/>
      <c r="AI320" s="568"/>
      <c r="AJ320" s="568"/>
      <c r="AK320" s="568"/>
      <c r="AL320" s="568"/>
      <c r="AM320" s="568"/>
      <c r="AN320" s="583"/>
      <c r="AO320" s="571"/>
    </row>
    <row r="321" spans="1:44" ht="13" x14ac:dyDescent="0.3">
      <c r="A321" s="163" t="s">
        <v>532</v>
      </c>
      <c r="C321" s="568"/>
      <c r="D321" s="568"/>
      <c r="E321" s="568"/>
      <c r="F321" s="588"/>
      <c r="G321" s="568"/>
      <c r="H321" s="568"/>
      <c r="I321" s="568"/>
      <c r="J321" s="588"/>
      <c r="K321" s="583"/>
      <c r="L321" s="583"/>
      <c r="M321" s="583"/>
      <c r="N321" s="588"/>
      <c r="O321" s="568"/>
      <c r="P321" s="568"/>
      <c r="Q321" s="568"/>
      <c r="R321" s="588"/>
      <c r="S321" s="568"/>
      <c r="T321" s="568"/>
      <c r="U321" s="568"/>
      <c r="V321" s="588"/>
      <c r="W321" s="568"/>
      <c r="X321" s="583"/>
      <c r="Y321" s="583"/>
      <c r="Z321" s="583"/>
      <c r="AA321" s="583"/>
      <c r="AB321" s="583"/>
      <c r="AC321" s="583"/>
      <c r="AD321" s="583"/>
      <c r="AE321" s="583"/>
      <c r="AF321" s="583"/>
      <c r="AG321" s="583"/>
      <c r="AH321" s="583"/>
      <c r="AI321" s="568"/>
      <c r="AJ321" s="568"/>
      <c r="AK321" s="568"/>
      <c r="AL321" s="568"/>
      <c r="AM321" s="568"/>
      <c r="AN321" s="583"/>
      <c r="AO321" s="571"/>
    </row>
    <row r="322" spans="1:44" x14ac:dyDescent="0.25">
      <c r="A322" s="132" t="s">
        <v>533</v>
      </c>
      <c r="C322" s="611"/>
      <c r="D322" s="611"/>
      <c r="E322" s="611"/>
      <c r="F322" s="616"/>
      <c r="G322" s="611">
        <f>+JPM!N141</f>
        <v>0.54300000000000004</v>
      </c>
      <c r="H322" s="611">
        <f>+JPM!O141</f>
        <v>0</v>
      </c>
      <c r="I322" s="611">
        <f>+JPM!P141</f>
        <v>2E-3</v>
      </c>
      <c r="J322" s="616">
        <f>+JPM!Q141</f>
        <v>-0.45100000000000001</v>
      </c>
      <c r="K322" s="611">
        <f>+JPM!T141</f>
        <v>0.44</v>
      </c>
      <c r="L322" s="611">
        <f>+JPM!U141</f>
        <v>-0.53200000000000003</v>
      </c>
      <c r="M322" s="611">
        <f>+JPM!V141</f>
        <v>0.39699999999999996</v>
      </c>
      <c r="N322" s="616">
        <f>+JPM!W141</f>
        <v>0</v>
      </c>
      <c r="O322" s="611">
        <f>+JPM!Z141</f>
        <v>0</v>
      </c>
      <c r="P322" s="611">
        <f>+JPM!AA141</f>
        <v>0</v>
      </c>
      <c r="Q322" s="611">
        <v>0.82599999999999996</v>
      </c>
      <c r="R322" s="616">
        <f>+AL322-SUM(O322:Q322)</f>
        <v>-1.9319999999999999</v>
      </c>
      <c r="S322" s="611">
        <v>0</v>
      </c>
      <c r="T322" s="611">
        <v>0</v>
      </c>
      <c r="U322" s="611">
        <v>0</v>
      </c>
      <c r="V322" s="616">
        <f t="shared" ref="V322:V328" si="494">+AM322-SUM(S322:U322)</f>
        <v>0</v>
      </c>
      <c r="W322" s="611">
        <v>0</v>
      </c>
      <c r="X322" s="611">
        <v>0</v>
      </c>
      <c r="Y322" s="611">
        <v>0</v>
      </c>
      <c r="Z322" s="611"/>
      <c r="AA322" s="611"/>
      <c r="AB322" s="611"/>
      <c r="AC322" s="611"/>
      <c r="AD322" s="611"/>
      <c r="AE322" s="611"/>
      <c r="AF322" s="611"/>
      <c r="AG322" s="611"/>
      <c r="AH322" s="611"/>
      <c r="AI322" s="611">
        <f>+JPM!L141</f>
        <v>-1.1200000000000001</v>
      </c>
      <c r="AJ322" s="611">
        <f>SUM(G322:J322)</f>
        <v>9.4000000000000028E-2</v>
      </c>
      <c r="AK322" s="611">
        <f>SUM(K322:N322)</f>
        <v>0.30499999999999994</v>
      </c>
      <c r="AL322" s="611">
        <v>-1.1060000000000001</v>
      </c>
      <c r="AM322" s="611">
        <v>0</v>
      </c>
      <c r="AN322" s="583"/>
      <c r="AO322" s="571"/>
    </row>
    <row r="323" spans="1:44" x14ac:dyDescent="0.25">
      <c r="A323" s="132" t="s">
        <v>534</v>
      </c>
      <c r="C323" s="611"/>
      <c r="D323" s="611"/>
      <c r="E323" s="611"/>
      <c r="F323" s="616"/>
      <c r="G323" s="611">
        <f>+JPM!N144</f>
        <v>0</v>
      </c>
      <c r="H323" s="611">
        <f>+JPM!O144</f>
        <v>0</v>
      </c>
      <c r="I323" s="611">
        <f>+JPM!P144</f>
        <v>0</v>
      </c>
      <c r="J323" s="616">
        <f>+JPM!Q144</f>
        <v>0</v>
      </c>
      <c r="K323" s="611">
        <f>+JPM!T144</f>
        <v>-7.5880000000000001</v>
      </c>
      <c r="L323" s="611">
        <f>+JPM!U144</f>
        <v>0</v>
      </c>
      <c r="M323" s="611">
        <f>+JPM!V144</f>
        <v>0</v>
      </c>
      <c r="N323" s="616">
        <f>+JPM!W144</f>
        <v>-41.345999999999997</v>
      </c>
      <c r="O323" s="611">
        <f>+JPM!Z144</f>
        <v>-18.920000000000002</v>
      </c>
      <c r="P323" s="611">
        <f>+JPM!AA144</f>
        <v>-0.12399999999999878</v>
      </c>
      <c r="Q323" s="611">
        <v>0</v>
      </c>
      <c r="R323" s="616">
        <f>+AL323-SUM(O323:Q323)</f>
        <v>-7.9999999999991189E-3</v>
      </c>
      <c r="S323" s="611">
        <v>0</v>
      </c>
      <c r="T323" s="611">
        <v>0</v>
      </c>
      <c r="U323" s="611">
        <v>-41.122</v>
      </c>
      <c r="V323" s="616">
        <f t="shared" si="494"/>
        <v>0</v>
      </c>
      <c r="W323" s="611">
        <v>0</v>
      </c>
      <c r="X323" s="611">
        <v>0</v>
      </c>
      <c r="Y323" s="611">
        <v>2.5000000000000001E-2</v>
      </c>
      <c r="Z323" s="611"/>
      <c r="AA323" s="611"/>
      <c r="AB323" s="611"/>
      <c r="AC323" s="611"/>
      <c r="AD323" s="611"/>
      <c r="AE323" s="611"/>
      <c r="AF323" s="611"/>
      <c r="AG323" s="611"/>
      <c r="AH323" s="611"/>
      <c r="AI323" s="611">
        <f>+JPM!L144</f>
        <v>0</v>
      </c>
      <c r="AJ323" s="611">
        <f>SUM(G323:J323)</f>
        <v>0</v>
      </c>
      <c r="AK323" s="611">
        <f>SUM(K323:N323)</f>
        <v>-48.933999999999997</v>
      </c>
      <c r="AL323" s="611">
        <v>-19.052</v>
      </c>
      <c r="AM323" s="611">
        <v>-41.122</v>
      </c>
      <c r="AN323" s="583"/>
      <c r="AO323" s="571"/>
    </row>
    <row r="324" spans="1:44" x14ac:dyDescent="0.25">
      <c r="A324" s="132" t="s">
        <v>535</v>
      </c>
      <c r="C324" s="611"/>
      <c r="D324" s="611"/>
      <c r="E324" s="611"/>
      <c r="F324" s="616"/>
      <c r="G324" s="611">
        <v>0</v>
      </c>
      <c r="H324" s="611">
        <v>0</v>
      </c>
      <c r="I324" s="611">
        <v>0</v>
      </c>
      <c r="J324" s="616">
        <v>0</v>
      </c>
      <c r="K324" s="611">
        <v>0</v>
      </c>
      <c r="L324" s="611">
        <v>0</v>
      </c>
      <c r="M324" s="611">
        <v>0</v>
      </c>
      <c r="N324" s="616">
        <v>0</v>
      </c>
      <c r="O324" s="611">
        <v>0</v>
      </c>
      <c r="P324" s="611">
        <f>+Daloopa!P233/1000</f>
        <v>8.2000000000000003E-2</v>
      </c>
      <c r="Q324" s="611">
        <f>0.046-P324-O324</f>
        <v>-3.6000000000000004E-2</v>
      </c>
      <c r="R324" s="616">
        <f>+AL324-SUM(O324:Q324)</f>
        <v>4.3999999999999997E-2</v>
      </c>
      <c r="S324" s="611">
        <v>0</v>
      </c>
      <c r="T324" s="611">
        <v>0</v>
      </c>
      <c r="U324" s="611">
        <v>0</v>
      </c>
      <c r="V324" s="616">
        <f t="shared" si="494"/>
        <v>0</v>
      </c>
      <c r="W324" s="611">
        <v>0</v>
      </c>
      <c r="X324" s="611">
        <v>0</v>
      </c>
      <c r="Y324" s="611">
        <v>0</v>
      </c>
      <c r="Z324" s="611"/>
      <c r="AA324" s="611"/>
      <c r="AB324" s="611"/>
      <c r="AC324" s="611"/>
      <c r="AD324" s="611"/>
      <c r="AE324" s="611"/>
      <c r="AF324" s="611"/>
      <c r="AG324" s="611"/>
      <c r="AH324" s="611"/>
      <c r="AI324" s="611">
        <f>+Daloopa!F233/1000</f>
        <v>3.4000000000000002E-2</v>
      </c>
      <c r="AJ324" s="611">
        <f>SUM(G324:J324)</f>
        <v>0</v>
      </c>
      <c r="AK324" s="611">
        <f>SUM(K324:N324)</f>
        <v>0</v>
      </c>
      <c r="AL324" s="611">
        <v>0.09</v>
      </c>
      <c r="AM324" s="611">
        <v>0</v>
      </c>
      <c r="AN324" s="583"/>
      <c r="AO324" s="571"/>
    </row>
    <row r="325" spans="1:44" x14ac:dyDescent="0.25">
      <c r="A325" s="132" t="s">
        <v>363</v>
      </c>
      <c r="C325" s="611"/>
      <c r="D325" s="611"/>
      <c r="E325" s="611"/>
      <c r="F325" s="616"/>
      <c r="G325" s="611">
        <v>0</v>
      </c>
      <c r="H325" s="611">
        <v>0</v>
      </c>
      <c r="I325" s="611">
        <v>0</v>
      </c>
      <c r="J325" s="616">
        <v>0</v>
      </c>
      <c r="K325" s="611">
        <v>0</v>
      </c>
      <c r="L325" s="611">
        <v>0</v>
      </c>
      <c r="M325" s="611">
        <v>0</v>
      </c>
      <c r="N325" s="616">
        <v>0</v>
      </c>
      <c r="O325" s="611">
        <v>0</v>
      </c>
      <c r="P325" s="611">
        <v>0</v>
      </c>
      <c r="Q325" s="611">
        <v>0</v>
      </c>
      <c r="R325" s="616">
        <v>0</v>
      </c>
      <c r="S325" s="611">
        <v>1.4999999999999999E-2</v>
      </c>
      <c r="T325" s="611">
        <f>-0.196-S325</f>
        <v>-0.21100000000000002</v>
      </c>
      <c r="U325" s="611">
        <f>-0.231-T325-S325</f>
        <v>-3.4999999999999989E-2</v>
      </c>
      <c r="V325" s="616">
        <f t="shared" si="494"/>
        <v>2.2050000000000001</v>
      </c>
      <c r="W325" s="611">
        <v>-0.57499999999999996</v>
      </c>
      <c r="X325" s="611">
        <f>0.052-W325</f>
        <v>0.627</v>
      </c>
      <c r="Y325" s="611">
        <f>0.029-X325-W325</f>
        <v>-2.300000000000002E-2</v>
      </c>
      <c r="Z325" s="611"/>
      <c r="AA325" s="611"/>
      <c r="AB325" s="611"/>
      <c r="AC325" s="611"/>
      <c r="AD325" s="611"/>
      <c r="AE325" s="611"/>
      <c r="AF325" s="611"/>
      <c r="AG325" s="611"/>
      <c r="AH325" s="611"/>
      <c r="AI325" s="611">
        <v>0</v>
      </c>
      <c r="AJ325" s="611">
        <v>0</v>
      </c>
      <c r="AK325" s="611">
        <v>0</v>
      </c>
      <c r="AL325" s="611">
        <v>0</v>
      </c>
      <c r="AM325" s="611">
        <v>1.974</v>
      </c>
      <c r="AN325" s="583"/>
      <c r="AO325" s="571"/>
    </row>
    <row r="326" spans="1:44" x14ac:dyDescent="0.25">
      <c r="A326" s="132" t="s">
        <v>536</v>
      </c>
      <c r="C326" s="611"/>
      <c r="D326" s="611"/>
      <c r="E326" s="611"/>
      <c r="F326" s="616"/>
      <c r="G326" s="611">
        <f>+JPM!N142</f>
        <v>-1.7769999999999999</v>
      </c>
      <c r="H326" s="611">
        <f>+JPM!O142</f>
        <v>-1.8979999999999999</v>
      </c>
      <c r="I326" s="611">
        <f>+JPM!P142</f>
        <v>-1.359</v>
      </c>
      <c r="J326" s="616">
        <f>+JPM!Q142</f>
        <v>-1.2210000000000001</v>
      </c>
      <c r="K326" s="611">
        <f>+JPM!T142</f>
        <v>-3.536</v>
      </c>
      <c r="L326" s="611">
        <f>+JPM!U142</f>
        <v>-0.30500000000000016</v>
      </c>
      <c r="M326" s="611">
        <f>+JPM!V142</f>
        <v>-1.9020000000000006</v>
      </c>
      <c r="N326" s="616">
        <f>+JPM!W142</f>
        <v>-1.5699999999999994</v>
      </c>
      <c r="O326" s="611">
        <f>+JPM!Z142</f>
        <v>-2.9089999999999998</v>
      </c>
      <c r="P326" s="611">
        <f>+JPM!AA142</f>
        <v>-2.2560000000000002</v>
      </c>
      <c r="Q326" s="611">
        <f>-6.032-P326-O326</f>
        <v>-0.86699999999999999</v>
      </c>
      <c r="R326" s="616">
        <f>+AL326-SUM(O326:Q326)</f>
        <v>-0.61800000000000033</v>
      </c>
      <c r="S326" s="611">
        <v>-4.2000000000000003E-2</v>
      </c>
      <c r="T326" s="611">
        <f>-0.688-S326</f>
        <v>-0.64599999999999991</v>
      </c>
      <c r="U326" s="611">
        <f>-1.798-T326-S326</f>
        <v>-1.1100000000000001</v>
      </c>
      <c r="V326" s="616">
        <f t="shared" si="494"/>
        <v>-0.28699999999999992</v>
      </c>
      <c r="W326" s="611">
        <v>-0.32100000000000001</v>
      </c>
      <c r="X326" s="611">
        <f>-0.97-W326</f>
        <v>-0.64900000000000002</v>
      </c>
      <c r="Y326" s="611">
        <f>-1.386-X326-W326</f>
        <v>-0.41599999999999987</v>
      </c>
      <c r="Z326" s="611"/>
      <c r="AA326" s="611"/>
      <c r="AB326" s="611"/>
      <c r="AC326" s="611"/>
      <c r="AD326" s="611"/>
      <c r="AE326" s="611"/>
      <c r="AF326" s="611"/>
      <c r="AG326" s="611"/>
      <c r="AH326" s="611"/>
      <c r="AI326" s="611">
        <f>+JPM!L142</f>
        <v>-6.5439999999999996</v>
      </c>
      <c r="AJ326" s="611">
        <f>SUM(G326:J326)</f>
        <v>-6.2549999999999999</v>
      </c>
      <c r="AK326" s="611">
        <f>SUM(K326:N326)</f>
        <v>-7.3129999999999997</v>
      </c>
      <c r="AL326" s="611">
        <v>-6.65</v>
      </c>
      <c r="AM326" s="611">
        <v>-2.085</v>
      </c>
      <c r="AN326" s="583"/>
      <c r="AO326" s="571"/>
    </row>
    <row r="327" spans="1:44" s="565" customFormat="1" ht="14" x14ac:dyDescent="0.4">
      <c r="A327" s="132" t="s">
        <v>537</v>
      </c>
      <c r="C327" s="612"/>
      <c r="D327" s="612"/>
      <c r="E327" s="612"/>
      <c r="F327" s="617"/>
      <c r="G327" s="612">
        <f>+JPM!N143</f>
        <v>-2.67</v>
      </c>
      <c r="H327" s="612">
        <f>+JPM!O143</f>
        <v>-2.7240000000000002</v>
      </c>
      <c r="I327" s="612">
        <f>+JPM!P143</f>
        <v>-2.9580000000000002</v>
      </c>
      <c r="J327" s="617">
        <f>+JPM!Q143</f>
        <v>-3.0990000000000002</v>
      </c>
      <c r="K327" s="612">
        <f>+JPM!T143</f>
        <v>-1.4430000000000001</v>
      </c>
      <c r="L327" s="612">
        <f>+JPM!U143</f>
        <v>-6.0389999999999997</v>
      </c>
      <c r="M327" s="612">
        <f>+JPM!V143</f>
        <v>-4.484</v>
      </c>
      <c r="N327" s="617">
        <f>+JPM!W143</f>
        <v>-4.5190000000000001</v>
      </c>
      <c r="O327" s="612">
        <f>+JPM!Z143</f>
        <v>-4.6429999999999998</v>
      </c>
      <c r="P327" s="612">
        <f>+JPM!AA143</f>
        <v>-5.5930000000000009</v>
      </c>
      <c r="Q327" s="612">
        <f>-16.32-P327-O327</f>
        <v>-6.0840000000000005</v>
      </c>
      <c r="R327" s="617">
        <f>+AL327-SUM(O327:Q327)</f>
        <v>-6.0429999999999993</v>
      </c>
      <c r="S327" s="612">
        <v>-6.056</v>
      </c>
      <c r="T327" s="612">
        <f>-12.434-S327</f>
        <v>-6.3779999999999992</v>
      </c>
      <c r="U327" s="612">
        <f>-18.781-T327-S327</f>
        <v>-6.3469999999999986</v>
      </c>
      <c r="V327" s="617">
        <f t="shared" si="494"/>
        <v>-6.833000000000002</v>
      </c>
      <c r="W327" s="612">
        <v>-6.1349999999999998</v>
      </c>
      <c r="X327" s="612">
        <f>-12.894-W327</f>
        <v>-6.7590000000000003</v>
      </c>
      <c r="Y327" s="612">
        <f>-20.384-X327-W327</f>
        <v>-7.49</v>
      </c>
      <c r="Z327" s="612"/>
      <c r="AA327" s="612"/>
      <c r="AB327" s="612"/>
      <c r="AC327" s="612"/>
      <c r="AD327" s="612"/>
      <c r="AE327" s="612"/>
      <c r="AF327" s="612"/>
      <c r="AG327" s="612"/>
      <c r="AH327" s="612"/>
      <c r="AI327" s="612">
        <f>+JPM!L143</f>
        <v>-10.125</v>
      </c>
      <c r="AJ327" s="612">
        <f>SUM(G327:J327)</f>
        <v>-11.451000000000001</v>
      </c>
      <c r="AK327" s="612">
        <f>SUM(K327:N327)</f>
        <v>-16.484999999999999</v>
      </c>
      <c r="AL327" s="612">
        <v>-22.363</v>
      </c>
      <c r="AM327" s="612">
        <v>-25.614000000000001</v>
      </c>
      <c r="AN327" s="719"/>
      <c r="AO327" s="614"/>
      <c r="AP327" s="413"/>
      <c r="AQ327" s="413"/>
      <c r="AR327" s="413"/>
    </row>
    <row r="328" spans="1:44" s="163" customFormat="1" ht="13" x14ac:dyDescent="0.3">
      <c r="A328" s="426" t="s">
        <v>538</v>
      </c>
      <c r="C328" s="615"/>
      <c r="D328" s="615"/>
      <c r="E328" s="615"/>
      <c r="F328" s="618"/>
      <c r="G328" s="615">
        <f t="shared" ref="G328:O328" si="495">SUM(G322:G327)</f>
        <v>-3.9039999999999999</v>
      </c>
      <c r="H328" s="615">
        <f t="shared" si="495"/>
        <v>-4.6219999999999999</v>
      </c>
      <c r="I328" s="615">
        <f t="shared" si="495"/>
        <v>-4.3150000000000004</v>
      </c>
      <c r="J328" s="618">
        <f t="shared" si="495"/>
        <v>-4.7710000000000008</v>
      </c>
      <c r="K328" s="615">
        <f t="shared" si="495"/>
        <v>-12.126999999999999</v>
      </c>
      <c r="L328" s="615">
        <f t="shared" si="495"/>
        <v>-6.8759999999999994</v>
      </c>
      <c r="M328" s="615">
        <f t="shared" si="495"/>
        <v>-5.9890000000000008</v>
      </c>
      <c r="N328" s="618">
        <f t="shared" si="495"/>
        <v>-47.434999999999995</v>
      </c>
      <c r="O328" s="615">
        <f t="shared" si="495"/>
        <v>-26.472000000000001</v>
      </c>
      <c r="P328" s="615">
        <f t="shared" ref="P328:Y328" si="496">SUM(P322:P327)</f>
        <v>-7.891</v>
      </c>
      <c r="Q328" s="615">
        <f t="shared" si="496"/>
        <v>-6.1610000000000005</v>
      </c>
      <c r="R328" s="618">
        <f t="shared" si="496"/>
        <v>-8.5569999999999986</v>
      </c>
      <c r="S328" s="615">
        <f t="shared" si="496"/>
        <v>-6.0830000000000002</v>
      </c>
      <c r="T328" s="615">
        <f t="shared" si="496"/>
        <v>-7.2349999999999994</v>
      </c>
      <c r="U328" s="615">
        <f t="shared" si="496"/>
        <v>-48.613999999999997</v>
      </c>
      <c r="V328" s="618">
        <f t="shared" si="494"/>
        <v>-4.9150000000000134</v>
      </c>
      <c r="W328" s="615">
        <f t="shared" si="496"/>
        <v>-7.0309999999999997</v>
      </c>
      <c r="X328" s="615">
        <f t="shared" si="496"/>
        <v>-6.7810000000000006</v>
      </c>
      <c r="Y328" s="615">
        <f t="shared" si="496"/>
        <v>-7.9039999999999999</v>
      </c>
      <c r="Z328" s="615"/>
      <c r="AA328" s="615"/>
      <c r="AB328" s="615"/>
      <c r="AC328" s="615"/>
      <c r="AD328" s="615"/>
      <c r="AE328" s="615"/>
      <c r="AF328" s="615"/>
      <c r="AG328" s="615"/>
      <c r="AH328" s="615"/>
      <c r="AI328" s="615">
        <f>SUM(AI322:AI327)</f>
        <v>-17.754999999999999</v>
      </c>
      <c r="AJ328" s="615">
        <f>SUM(G328:J328)</f>
        <v>-17.612000000000002</v>
      </c>
      <c r="AK328" s="615">
        <f>SUM(K328:N328)</f>
        <v>-72.426999999999992</v>
      </c>
      <c r="AL328" s="615">
        <f>+SUM(AL322:AL327)</f>
        <v>-49.081000000000003</v>
      </c>
      <c r="AM328" s="615">
        <f>+SUM(AM322:AM327)</f>
        <v>-66.847000000000008</v>
      </c>
      <c r="AN328" s="594"/>
      <c r="AO328" s="573"/>
    </row>
    <row r="329" spans="1:44" x14ac:dyDescent="0.25">
      <c r="C329" s="568"/>
      <c r="D329" s="568"/>
      <c r="E329" s="568"/>
      <c r="F329" s="588"/>
      <c r="G329" s="568"/>
      <c r="H329" s="568"/>
      <c r="I329" s="568"/>
      <c r="J329" s="588"/>
      <c r="K329" s="583"/>
      <c r="L329" s="583"/>
      <c r="M329" s="583"/>
      <c r="N329" s="588"/>
      <c r="O329" s="568"/>
      <c r="P329" s="568"/>
      <c r="Q329" s="568"/>
      <c r="R329" s="588"/>
      <c r="S329" s="568"/>
      <c r="T329" s="568"/>
      <c r="U329" s="568"/>
      <c r="V329" s="588"/>
      <c r="W329" s="568"/>
      <c r="X329" s="583"/>
      <c r="Y329" s="583"/>
      <c r="Z329" s="583"/>
      <c r="AA329" s="583"/>
      <c r="AB329" s="583"/>
      <c r="AC329" s="583"/>
      <c r="AD329" s="583"/>
      <c r="AE329" s="583"/>
      <c r="AF329" s="583"/>
      <c r="AG329" s="583"/>
      <c r="AH329" s="583"/>
      <c r="AI329" s="568"/>
      <c r="AJ329" s="568"/>
      <c r="AK329" s="568"/>
      <c r="AL329" s="568"/>
      <c r="AM329" s="568"/>
      <c r="AN329" s="583"/>
      <c r="AO329" s="571"/>
    </row>
    <row r="330" spans="1:44" ht="13" x14ac:dyDescent="0.3">
      <c r="A330" s="163" t="s">
        <v>539</v>
      </c>
      <c r="C330" s="568"/>
      <c r="D330" s="568"/>
      <c r="E330" s="568"/>
      <c r="F330" s="588"/>
      <c r="G330" s="568"/>
      <c r="H330" s="568"/>
      <c r="I330" s="568"/>
      <c r="J330" s="588"/>
      <c r="K330" s="583"/>
      <c r="L330" s="583"/>
      <c r="M330" s="583"/>
      <c r="N330" s="588"/>
      <c r="O330" s="568"/>
      <c r="P330" s="568"/>
      <c r="Q330" s="568"/>
      <c r="R330" s="588"/>
      <c r="S330" s="568"/>
      <c r="T330" s="568"/>
      <c r="U330" s="568"/>
      <c r="V330" s="588"/>
      <c r="W330" s="568"/>
      <c r="X330" s="583"/>
      <c r="Y330" s="583"/>
      <c r="Z330" s="583"/>
      <c r="AA330" s="583"/>
      <c r="AB330" s="583"/>
      <c r="AC330" s="583"/>
      <c r="AD330" s="583"/>
      <c r="AE330" s="583"/>
      <c r="AF330" s="583"/>
      <c r="AG330" s="583"/>
      <c r="AH330" s="583"/>
      <c r="AI330" s="568"/>
      <c r="AJ330" s="568"/>
      <c r="AK330" s="568"/>
      <c r="AL330" s="568"/>
      <c r="AM330" s="568"/>
      <c r="AN330" s="583"/>
      <c r="AO330" s="571"/>
    </row>
    <row r="331" spans="1:44" x14ac:dyDescent="0.25">
      <c r="A331" s="132" t="s">
        <v>540</v>
      </c>
      <c r="C331" s="611"/>
      <c r="D331" s="611"/>
      <c r="E331" s="611"/>
      <c r="F331" s="616"/>
      <c r="G331" s="611">
        <v>0</v>
      </c>
      <c r="H331" s="611">
        <v>0</v>
      </c>
      <c r="I331" s="611">
        <v>0</v>
      </c>
      <c r="J331" s="616">
        <f t="shared" ref="J331:J341" si="497">+AJ331-SUM(G331:I331)</f>
        <v>0</v>
      </c>
      <c r="K331" s="611">
        <f>+Daloopa!K239/1000</f>
        <v>0</v>
      </c>
      <c r="L331" s="611">
        <f>+Daloopa!L239/1000</f>
        <v>320.55900000000003</v>
      </c>
      <c r="M331" s="611">
        <f>+Daloopa!M239/1000</f>
        <v>0</v>
      </c>
      <c r="N331" s="616">
        <f>+Daloopa!N239/1000</f>
        <v>0</v>
      </c>
      <c r="O331" s="611">
        <f>+Daloopa!O239/1000</f>
        <v>0</v>
      </c>
      <c r="P331" s="611">
        <f>+Daloopa!P239/1000</f>
        <v>0</v>
      </c>
      <c r="Q331" s="611">
        <v>0</v>
      </c>
      <c r="R331" s="616">
        <f t="shared" ref="R331:R341" si="498">+AL331-SUM(O331:Q331)</f>
        <v>0</v>
      </c>
      <c r="S331" s="611">
        <v>0</v>
      </c>
      <c r="T331" s="611">
        <v>0</v>
      </c>
      <c r="U331" s="611">
        <v>0</v>
      </c>
      <c r="V331" s="616">
        <f t="shared" ref="V331:V349" si="499">+AM331-SUM(S331:U331)</f>
        <v>0</v>
      </c>
      <c r="W331" s="611">
        <v>0</v>
      </c>
      <c r="X331" s="611">
        <v>0</v>
      </c>
      <c r="Y331" s="611">
        <v>0</v>
      </c>
      <c r="Z331" s="611"/>
      <c r="AA331" s="611"/>
      <c r="AB331" s="611"/>
      <c r="AC331" s="611"/>
      <c r="AD331" s="611"/>
      <c r="AE331" s="611"/>
      <c r="AF331" s="611"/>
      <c r="AG331" s="611"/>
      <c r="AH331" s="611"/>
      <c r="AI331" s="611">
        <v>0</v>
      </c>
      <c r="AJ331" s="611">
        <v>0</v>
      </c>
      <c r="AK331" s="611">
        <f t="shared" ref="AK331:AK341" si="500">SUM(K331:N331)</f>
        <v>320.55900000000003</v>
      </c>
      <c r="AL331" s="611">
        <v>0</v>
      </c>
      <c r="AM331" s="611">
        <v>0</v>
      </c>
      <c r="AN331" s="583"/>
      <c r="AO331" s="571"/>
    </row>
    <row r="332" spans="1:44" x14ac:dyDescent="0.25">
      <c r="A332" s="132" t="s">
        <v>541</v>
      </c>
      <c r="C332" s="611"/>
      <c r="D332" s="611"/>
      <c r="E332" s="611"/>
      <c r="F332" s="616"/>
      <c r="G332" s="611">
        <v>0</v>
      </c>
      <c r="H332" s="611">
        <v>0</v>
      </c>
      <c r="I332" s="611">
        <v>0</v>
      </c>
      <c r="J332" s="616">
        <f t="shared" si="497"/>
        <v>0</v>
      </c>
      <c r="K332" s="611">
        <f>+Daloopa!K240/1000</f>
        <v>0</v>
      </c>
      <c r="L332" s="611">
        <f>+Daloopa!L240/1000</f>
        <v>-1.028</v>
      </c>
      <c r="M332" s="611">
        <f>+Daloopa!M240/1000</f>
        <v>-2.82</v>
      </c>
      <c r="N332" s="616">
        <f>+Daloopa!N240/1000</f>
        <v>-0.186</v>
      </c>
      <c r="O332" s="611">
        <f>+Daloopa!O240/1000</f>
        <v>0</v>
      </c>
      <c r="P332" s="611">
        <f>+Daloopa!P240/1000</f>
        <v>0</v>
      </c>
      <c r="Q332" s="611">
        <v>0</v>
      </c>
      <c r="R332" s="616">
        <f t="shared" si="498"/>
        <v>0</v>
      </c>
      <c r="S332" s="611">
        <v>0</v>
      </c>
      <c r="T332" s="611">
        <v>0</v>
      </c>
      <c r="U332" s="611">
        <v>0</v>
      </c>
      <c r="V332" s="616">
        <f t="shared" si="499"/>
        <v>0</v>
      </c>
      <c r="W332" s="611">
        <v>0</v>
      </c>
      <c r="X332" s="611">
        <v>0</v>
      </c>
      <c r="Y332" s="611">
        <v>0</v>
      </c>
      <c r="Z332" s="611"/>
      <c r="AA332" s="611"/>
      <c r="AB332" s="611"/>
      <c r="AC332" s="611"/>
      <c r="AD332" s="611"/>
      <c r="AE332" s="611"/>
      <c r="AF332" s="611"/>
      <c r="AG332" s="611"/>
      <c r="AH332" s="611"/>
      <c r="AI332" s="611">
        <v>0</v>
      </c>
      <c r="AJ332" s="611">
        <v>0</v>
      </c>
      <c r="AK332" s="611">
        <f t="shared" si="500"/>
        <v>-4.0339999999999998</v>
      </c>
      <c r="AL332" s="611">
        <v>0</v>
      </c>
      <c r="AM332" s="611">
        <v>0</v>
      </c>
      <c r="AN332" s="583"/>
      <c r="AO332" s="571"/>
    </row>
    <row r="333" spans="1:44" x14ac:dyDescent="0.25">
      <c r="A333" s="132" t="s">
        <v>542</v>
      </c>
      <c r="C333" s="611"/>
      <c r="D333" s="611"/>
      <c r="E333" s="611"/>
      <c r="F333" s="616"/>
      <c r="G333" s="611">
        <v>0</v>
      </c>
      <c r="H333" s="611">
        <v>0</v>
      </c>
      <c r="I333" s="611">
        <v>0</v>
      </c>
      <c r="J333" s="616">
        <f t="shared" si="497"/>
        <v>0</v>
      </c>
      <c r="K333" s="611">
        <f>+Daloopa!K241/1000</f>
        <v>0</v>
      </c>
      <c r="L333" s="611">
        <f>+Daloopa!L241/1000</f>
        <v>-0.313</v>
      </c>
      <c r="M333" s="611">
        <f>+Daloopa!M241/1000</f>
        <v>0</v>
      </c>
      <c r="N333" s="616">
        <f>+Daloopa!N241/1000</f>
        <v>0</v>
      </c>
      <c r="O333" s="611">
        <f>+Daloopa!O241/1000</f>
        <v>0</v>
      </c>
      <c r="P333" s="611">
        <f>+Daloopa!P241/1000</f>
        <v>0</v>
      </c>
      <c r="Q333" s="611">
        <v>0</v>
      </c>
      <c r="R333" s="616">
        <f t="shared" si="498"/>
        <v>0</v>
      </c>
      <c r="S333" s="611">
        <v>0</v>
      </c>
      <c r="T333" s="611">
        <v>0</v>
      </c>
      <c r="U333" s="611">
        <v>0</v>
      </c>
      <c r="V333" s="616">
        <f t="shared" si="499"/>
        <v>0</v>
      </c>
      <c r="W333" s="611">
        <v>0</v>
      </c>
      <c r="X333" s="611">
        <v>0</v>
      </c>
      <c r="Y333" s="611">
        <v>0</v>
      </c>
      <c r="Z333" s="611"/>
      <c r="AA333" s="611"/>
      <c r="AB333" s="611"/>
      <c r="AC333" s="611"/>
      <c r="AD333" s="611"/>
      <c r="AE333" s="611"/>
      <c r="AF333" s="611"/>
      <c r="AG333" s="611"/>
      <c r="AH333" s="611"/>
      <c r="AI333" s="611">
        <v>0</v>
      </c>
      <c r="AJ333" s="611">
        <v>0</v>
      </c>
      <c r="AK333" s="611">
        <f t="shared" si="500"/>
        <v>-0.313</v>
      </c>
      <c r="AL333" s="611">
        <v>0</v>
      </c>
      <c r="AM333" s="611">
        <v>0</v>
      </c>
      <c r="AN333" s="583"/>
      <c r="AO333" s="571"/>
    </row>
    <row r="334" spans="1:44" x14ac:dyDescent="0.25">
      <c r="A334" s="132" t="s">
        <v>543</v>
      </c>
      <c r="C334" s="611"/>
      <c r="D334" s="611"/>
      <c r="E334" s="611"/>
      <c r="F334" s="616"/>
      <c r="G334" s="611">
        <f>41.143+59.423</f>
        <v>100.566</v>
      </c>
      <c r="H334" s="611">
        <v>0</v>
      </c>
      <c r="I334" s="611">
        <v>0</v>
      </c>
      <c r="J334" s="616">
        <f t="shared" si="497"/>
        <v>0</v>
      </c>
      <c r="K334" s="611">
        <f>+Daloopa!K242/1000</f>
        <v>0</v>
      </c>
      <c r="L334" s="611">
        <f>+Daloopa!L242/1000</f>
        <v>0.24099999999999999</v>
      </c>
      <c r="M334" s="611">
        <f>+Daloopa!M242/1000</f>
        <v>0</v>
      </c>
      <c r="N334" s="616">
        <f>+Daloopa!N242/1000</f>
        <v>0</v>
      </c>
      <c r="O334" s="611">
        <f>+Daloopa!O242/1000</f>
        <v>0</v>
      </c>
      <c r="P334" s="611">
        <f>+Daloopa!P242/1000</f>
        <v>0</v>
      </c>
      <c r="Q334" s="611">
        <v>0</v>
      </c>
      <c r="R334" s="616">
        <f t="shared" si="498"/>
        <v>0</v>
      </c>
      <c r="S334" s="611">
        <v>0</v>
      </c>
      <c r="T334" s="611">
        <v>0</v>
      </c>
      <c r="U334" s="611">
        <v>0</v>
      </c>
      <c r="V334" s="616">
        <f t="shared" si="499"/>
        <v>0</v>
      </c>
      <c r="W334" s="611">
        <v>0</v>
      </c>
      <c r="X334" s="611">
        <v>0</v>
      </c>
      <c r="Y334" s="611">
        <v>0</v>
      </c>
      <c r="Z334" s="611"/>
      <c r="AA334" s="611"/>
      <c r="AB334" s="611"/>
      <c r="AC334" s="611"/>
      <c r="AD334" s="611"/>
      <c r="AE334" s="611"/>
      <c r="AF334" s="611"/>
      <c r="AG334" s="611"/>
      <c r="AH334" s="611"/>
      <c r="AI334" s="611">
        <v>0</v>
      </c>
      <c r="AJ334" s="611">
        <f>+G334</f>
        <v>100.566</v>
      </c>
      <c r="AK334" s="611">
        <f t="shared" si="500"/>
        <v>0.24099999999999999</v>
      </c>
      <c r="AL334" s="611">
        <v>0</v>
      </c>
      <c r="AM334" s="611">
        <v>0</v>
      </c>
      <c r="AN334" s="583"/>
      <c r="AO334" s="571"/>
    </row>
    <row r="335" spans="1:44" x14ac:dyDescent="0.25">
      <c r="A335" s="132" t="s">
        <v>544</v>
      </c>
      <c r="C335" s="611"/>
      <c r="D335" s="611"/>
      <c r="E335" s="611"/>
      <c r="F335" s="616"/>
      <c r="G335" s="611">
        <v>0</v>
      </c>
      <c r="H335" s="611">
        <v>0</v>
      </c>
      <c r="I335" s="611">
        <v>0</v>
      </c>
      <c r="J335" s="616">
        <f t="shared" si="497"/>
        <v>0</v>
      </c>
      <c r="K335" s="611">
        <f>+Daloopa!K243/1000</f>
        <v>261.41300000000001</v>
      </c>
      <c r="L335" s="611">
        <f>+Daloopa!L243/1000</f>
        <v>0</v>
      </c>
      <c r="M335" s="611">
        <f>+Daloopa!M243/1000</f>
        <v>0</v>
      </c>
      <c r="N335" s="616">
        <f>+Daloopa!N243/1000</f>
        <v>0</v>
      </c>
      <c r="O335" s="611">
        <f>+Daloopa!O243/1000</f>
        <v>0</v>
      </c>
      <c r="P335" s="611">
        <f>+Daloopa!P243/1000</f>
        <v>0</v>
      </c>
      <c r="Q335" s="611">
        <v>0</v>
      </c>
      <c r="R335" s="616">
        <f t="shared" si="498"/>
        <v>0</v>
      </c>
      <c r="S335" s="611">
        <v>0</v>
      </c>
      <c r="T335" s="611">
        <v>0</v>
      </c>
      <c r="U335" s="611">
        <v>0</v>
      </c>
      <c r="V335" s="616">
        <f t="shared" si="499"/>
        <v>0</v>
      </c>
      <c r="W335" s="611">
        <v>0</v>
      </c>
      <c r="X335" s="611">
        <v>0</v>
      </c>
      <c r="Y335" s="611">
        <v>0</v>
      </c>
      <c r="Z335" s="611"/>
      <c r="AA335" s="611"/>
      <c r="AB335" s="611"/>
      <c r="AC335" s="611"/>
      <c r="AD335" s="611"/>
      <c r="AE335" s="611"/>
      <c r="AF335" s="611"/>
      <c r="AG335" s="611"/>
      <c r="AH335" s="611"/>
      <c r="AI335" s="611">
        <v>0</v>
      </c>
      <c r="AJ335" s="611">
        <v>0</v>
      </c>
      <c r="AK335" s="611">
        <f t="shared" si="500"/>
        <v>261.41300000000001</v>
      </c>
      <c r="AL335" s="611">
        <v>0</v>
      </c>
      <c r="AM335" s="611">
        <v>0</v>
      </c>
      <c r="AN335" s="583"/>
      <c r="AO335" s="571"/>
    </row>
    <row r="336" spans="1:44" x14ac:dyDescent="0.25">
      <c r="A336" s="132" t="s">
        <v>545</v>
      </c>
      <c r="C336" s="611"/>
      <c r="D336" s="611"/>
      <c r="E336" s="611"/>
      <c r="F336" s="616"/>
      <c r="G336" s="611">
        <v>-34</v>
      </c>
      <c r="H336" s="611">
        <v>0</v>
      </c>
      <c r="I336" s="611">
        <v>-1.675</v>
      </c>
      <c r="J336" s="616">
        <f t="shared" si="497"/>
        <v>-1.6750000000000043</v>
      </c>
      <c r="K336" s="611">
        <f>+Daloopa!K244/1000</f>
        <v>-163.875</v>
      </c>
      <c r="L336" s="611">
        <f>+Daloopa!L244/1000</f>
        <v>-200</v>
      </c>
      <c r="M336" s="611">
        <f>+Daloopa!M244/1000</f>
        <v>0</v>
      </c>
      <c r="N336" s="616">
        <f>+Daloopa!N244/1000</f>
        <v>0</v>
      </c>
      <c r="O336" s="611">
        <f>+Daloopa!O244/1000</f>
        <v>0</v>
      </c>
      <c r="P336" s="611">
        <f>+Daloopa!P244/1000</f>
        <v>0</v>
      </c>
      <c r="Q336" s="611">
        <v>0</v>
      </c>
      <c r="R336" s="616">
        <f t="shared" si="498"/>
        <v>0</v>
      </c>
      <c r="S336" s="611">
        <v>0</v>
      </c>
      <c r="T336" s="611">
        <v>0</v>
      </c>
      <c r="U336" s="611">
        <v>0</v>
      </c>
      <c r="V336" s="616">
        <f t="shared" si="499"/>
        <v>0</v>
      </c>
      <c r="W336" s="611">
        <v>0</v>
      </c>
      <c r="X336" s="611">
        <v>0</v>
      </c>
      <c r="Y336" s="611">
        <v>0</v>
      </c>
      <c r="Z336" s="611"/>
      <c r="AA336" s="611"/>
      <c r="AB336" s="611"/>
      <c r="AC336" s="611"/>
      <c r="AD336" s="611"/>
      <c r="AE336" s="611"/>
      <c r="AF336" s="611"/>
      <c r="AG336" s="611"/>
      <c r="AH336" s="611"/>
      <c r="AI336" s="611">
        <v>0</v>
      </c>
      <c r="AJ336" s="611">
        <f>-3.35-34</f>
        <v>-37.35</v>
      </c>
      <c r="AK336" s="611">
        <f t="shared" si="500"/>
        <v>-363.875</v>
      </c>
      <c r="AL336" s="611">
        <v>0</v>
      </c>
      <c r="AM336" s="611">
        <v>0</v>
      </c>
      <c r="AN336" s="583"/>
      <c r="AO336" s="571"/>
    </row>
    <row r="337" spans="1:44" x14ac:dyDescent="0.25">
      <c r="A337" s="132" t="s">
        <v>546</v>
      </c>
      <c r="C337" s="611"/>
      <c r="D337" s="611"/>
      <c r="E337" s="611"/>
      <c r="F337" s="616"/>
      <c r="G337" s="611">
        <v>0</v>
      </c>
      <c r="H337" s="611">
        <v>0</v>
      </c>
      <c r="I337" s="611">
        <v>0</v>
      </c>
      <c r="J337" s="616">
        <f t="shared" si="497"/>
        <v>0</v>
      </c>
      <c r="K337" s="611">
        <f>+Daloopa!K245/1000</f>
        <v>-146.584</v>
      </c>
      <c r="L337" s="611">
        <f>+Daloopa!L245/1000</f>
        <v>0</v>
      </c>
      <c r="M337" s="611">
        <f>+Daloopa!M245/1000</f>
        <v>0</v>
      </c>
      <c r="N337" s="616">
        <f>+Daloopa!N245/1000</f>
        <v>0</v>
      </c>
      <c r="O337" s="611">
        <f>+Daloopa!O245/1000</f>
        <v>0</v>
      </c>
      <c r="P337" s="611">
        <f>+Daloopa!P245/1000</f>
        <v>0</v>
      </c>
      <c r="Q337" s="611">
        <v>0</v>
      </c>
      <c r="R337" s="616">
        <f t="shared" si="498"/>
        <v>0</v>
      </c>
      <c r="S337" s="611">
        <v>0</v>
      </c>
      <c r="T337" s="611">
        <v>0</v>
      </c>
      <c r="U337" s="611">
        <v>0</v>
      </c>
      <c r="V337" s="616">
        <f t="shared" si="499"/>
        <v>0</v>
      </c>
      <c r="W337" s="611">
        <v>0</v>
      </c>
      <c r="X337" s="611">
        <v>0</v>
      </c>
      <c r="Y337" s="611">
        <v>0</v>
      </c>
      <c r="Z337" s="611"/>
      <c r="AA337" s="611"/>
      <c r="AB337" s="611"/>
      <c r="AC337" s="611"/>
      <c r="AD337" s="611"/>
      <c r="AE337" s="611"/>
      <c r="AF337" s="611"/>
      <c r="AG337" s="611"/>
      <c r="AH337" s="611"/>
      <c r="AI337" s="611">
        <v>0</v>
      </c>
      <c r="AJ337" s="611">
        <v>0</v>
      </c>
      <c r="AK337" s="611">
        <f t="shared" si="500"/>
        <v>-146.584</v>
      </c>
      <c r="AL337" s="611">
        <v>0</v>
      </c>
      <c r="AM337" s="611">
        <v>0</v>
      </c>
      <c r="AN337" s="583"/>
      <c r="AO337" s="571"/>
    </row>
    <row r="338" spans="1:44" x14ac:dyDescent="0.25">
      <c r="A338" s="132" t="s">
        <v>547</v>
      </c>
      <c r="C338" s="611"/>
      <c r="D338" s="611"/>
      <c r="E338" s="611"/>
      <c r="F338" s="616"/>
      <c r="G338" s="611">
        <f>-17.991-0.782</f>
        <v>-18.773</v>
      </c>
      <c r="H338" s="611">
        <f>-4.087-17.991-G338</f>
        <v>-3.3049999999999997</v>
      </c>
      <c r="I338" s="611">
        <v>0</v>
      </c>
      <c r="J338" s="616">
        <f t="shared" si="497"/>
        <v>-1.7469999999999999</v>
      </c>
      <c r="K338" s="611">
        <f>+Daloopa!K246/1000</f>
        <v>0</v>
      </c>
      <c r="L338" s="611">
        <f>+Daloopa!L246/1000</f>
        <v>0</v>
      </c>
      <c r="M338" s="611">
        <f>+Daloopa!M246/1000</f>
        <v>0</v>
      </c>
      <c r="N338" s="616">
        <f>+Daloopa!N246/1000</f>
        <v>0</v>
      </c>
      <c r="O338" s="611">
        <f>+Daloopa!O246/1000</f>
        <v>0</v>
      </c>
      <c r="P338" s="611">
        <f>+Daloopa!P246/1000</f>
        <v>0</v>
      </c>
      <c r="Q338" s="611">
        <v>0</v>
      </c>
      <c r="R338" s="616">
        <f t="shared" si="498"/>
        <v>0</v>
      </c>
      <c r="S338" s="611">
        <v>0</v>
      </c>
      <c r="T338" s="611">
        <v>0</v>
      </c>
      <c r="U338" s="611">
        <v>0</v>
      </c>
      <c r="V338" s="616">
        <f t="shared" si="499"/>
        <v>0</v>
      </c>
      <c r="W338" s="611">
        <v>0</v>
      </c>
      <c r="X338" s="611">
        <v>0</v>
      </c>
      <c r="Y338" s="611">
        <v>0</v>
      </c>
      <c r="Z338" s="611"/>
      <c r="AA338" s="611"/>
      <c r="AB338" s="611"/>
      <c r="AC338" s="611"/>
      <c r="AD338" s="611"/>
      <c r="AE338" s="611"/>
      <c r="AF338" s="611"/>
      <c r="AG338" s="611"/>
      <c r="AH338" s="611"/>
      <c r="AI338" s="611">
        <v>0</v>
      </c>
      <c r="AJ338" s="611">
        <f>-17.991-5.834</f>
        <v>-23.824999999999999</v>
      </c>
      <c r="AK338" s="611">
        <f t="shared" si="500"/>
        <v>0</v>
      </c>
      <c r="AL338" s="611">
        <v>0</v>
      </c>
      <c r="AM338" s="611">
        <v>0</v>
      </c>
      <c r="AN338" s="583"/>
      <c r="AO338" s="571"/>
    </row>
    <row r="339" spans="1:44" x14ac:dyDescent="0.25">
      <c r="A339" s="132" t="s">
        <v>548</v>
      </c>
      <c r="C339" s="611"/>
      <c r="D339" s="611"/>
      <c r="E339" s="611"/>
      <c r="F339" s="616"/>
      <c r="G339" s="611">
        <v>25</v>
      </c>
      <c r="H339" s="611">
        <v>0</v>
      </c>
      <c r="I339" s="611">
        <v>0</v>
      </c>
      <c r="J339" s="616">
        <f t="shared" si="497"/>
        <v>0</v>
      </c>
      <c r="K339" s="611">
        <f>+Daloopa!K247/1000</f>
        <v>0</v>
      </c>
      <c r="L339" s="611">
        <f>+Daloopa!L247/1000</f>
        <v>0</v>
      </c>
      <c r="M339" s="611">
        <f>+Daloopa!M247/1000</f>
        <v>0</v>
      </c>
      <c r="N339" s="616">
        <f>+Daloopa!N247/1000</f>
        <v>0</v>
      </c>
      <c r="O339" s="611">
        <f>+Daloopa!O247/1000</f>
        <v>0</v>
      </c>
      <c r="P339" s="611">
        <f>+Daloopa!P247/1000</f>
        <v>0</v>
      </c>
      <c r="Q339" s="611">
        <v>0</v>
      </c>
      <c r="R339" s="616">
        <f t="shared" si="498"/>
        <v>0</v>
      </c>
      <c r="S339" s="611">
        <v>0</v>
      </c>
      <c r="T339" s="611">
        <v>0</v>
      </c>
      <c r="U339" s="611">
        <v>0</v>
      </c>
      <c r="V339" s="616">
        <f t="shared" si="499"/>
        <v>0</v>
      </c>
      <c r="W339" s="611">
        <v>0</v>
      </c>
      <c r="X339" s="611">
        <v>0</v>
      </c>
      <c r="Y339" s="611">
        <v>0</v>
      </c>
      <c r="Z339" s="611"/>
      <c r="AA339" s="611"/>
      <c r="AB339" s="611"/>
      <c r="AC339" s="611"/>
      <c r="AD339" s="611"/>
      <c r="AE339" s="611"/>
      <c r="AF339" s="611"/>
      <c r="AG339" s="611"/>
      <c r="AH339" s="611"/>
      <c r="AI339" s="611">
        <v>0</v>
      </c>
      <c r="AJ339" s="611">
        <v>25</v>
      </c>
      <c r="AK339" s="611">
        <f t="shared" si="500"/>
        <v>0</v>
      </c>
      <c r="AL339" s="611">
        <v>0</v>
      </c>
      <c r="AM339" s="611">
        <v>0</v>
      </c>
      <c r="AN339" s="583"/>
      <c r="AO339" s="571"/>
    </row>
    <row r="340" spans="1:44" x14ac:dyDescent="0.25">
      <c r="A340" s="132" t="s">
        <v>549</v>
      </c>
      <c r="C340" s="611"/>
      <c r="D340" s="611"/>
      <c r="E340" s="611"/>
      <c r="F340" s="616"/>
      <c r="G340" s="611">
        <v>0</v>
      </c>
      <c r="H340" s="611">
        <v>-25</v>
      </c>
      <c r="I340" s="611">
        <v>0</v>
      </c>
      <c r="J340" s="616">
        <f t="shared" si="497"/>
        <v>0</v>
      </c>
      <c r="K340" s="611">
        <f>+Daloopa!K248/1000</f>
        <v>0</v>
      </c>
      <c r="L340" s="611">
        <f>+Daloopa!L248/1000</f>
        <v>0</v>
      </c>
      <c r="M340" s="611">
        <f>+Daloopa!M248/1000</f>
        <v>0</v>
      </c>
      <c r="N340" s="616">
        <f>+Daloopa!N248/1000</f>
        <v>0</v>
      </c>
      <c r="O340" s="611">
        <f>+Daloopa!O248/1000</f>
        <v>0</v>
      </c>
      <c r="P340" s="611">
        <f>+Daloopa!P248/1000</f>
        <v>0</v>
      </c>
      <c r="Q340" s="611">
        <v>0</v>
      </c>
      <c r="R340" s="616">
        <f t="shared" si="498"/>
        <v>0</v>
      </c>
      <c r="S340" s="611">
        <v>0</v>
      </c>
      <c r="T340" s="611">
        <v>0</v>
      </c>
      <c r="U340" s="611">
        <v>0</v>
      </c>
      <c r="V340" s="616">
        <f t="shared" si="499"/>
        <v>0</v>
      </c>
      <c r="W340" s="611">
        <v>0</v>
      </c>
      <c r="X340" s="611">
        <v>0</v>
      </c>
      <c r="Y340" s="611">
        <v>0</v>
      </c>
      <c r="Z340" s="611"/>
      <c r="AA340" s="611"/>
      <c r="AB340" s="611"/>
      <c r="AC340" s="611"/>
      <c r="AD340" s="611"/>
      <c r="AE340" s="611"/>
      <c r="AF340" s="611"/>
      <c r="AG340" s="611"/>
      <c r="AH340" s="611"/>
      <c r="AI340" s="611">
        <v>0</v>
      </c>
      <c r="AJ340" s="611">
        <v>-25</v>
      </c>
      <c r="AK340" s="611">
        <f t="shared" si="500"/>
        <v>0</v>
      </c>
      <c r="AL340" s="611">
        <v>0</v>
      </c>
      <c r="AM340" s="611">
        <v>0</v>
      </c>
      <c r="AN340" s="583"/>
      <c r="AO340" s="571"/>
    </row>
    <row r="341" spans="1:44" x14ac:dyDescent="0.25">
      <c r="A341" s="132" t="s">
        <v>550</v>
      </c>
      <c r="C341" s="611"/>
      <c r="D341" s="611"/>
      <c r="E341" s="611"/>
      <c r="F341" s="616"/>
      <c r="G341" s="611">
        <v>-1.397</v>
      </c>
      <c r="H341" s="611">
        <v>0</v>
      </c>
      <c r="I341" s="611">
        <v>0</v>
      </c>
      <c r="J341" s="616">
        <f t="shared" si="497"/>
        <v>0</v>
      </c>
      <c r="K341" s="611">
        <f>+Daloopa!K249/1000</f>
        <v>-1.2569999999999999</v>
      </c>
      <c r="L341" s="611">
        <f>+Daloopa!L249/1000</f>
        <v>0</v>
      </c>
      <c r="M341" s="611">
        <f>+Daloopa!M249/1000</f>
        <v>0</v>
      </c>
      <c r="N341" s="616">
        <f>+Daloopa!N249/1000</f>
        <v>0</v>
      </c>
      <c r="O341" s="611">
        <f>+Daloopa!O249/1000</f>
        <v>0</v>
      </c>
      <c r="P341" s="611">
        <f>+Daloopa!P249/1000</f>
        <v>0</v>
      </c>
      <c r="Q341" s="611">
        <v>0</v>
      </c>
      <c r="R341" s="616">
        <f t="shared" si="498"/>
        <v>0</v>
      </c>
      <c r="S341" s="611">
        <v>0</v>
      </c>
      <c r="T341" s="611">
        <v>0</v>
      </c>
      <c r="U341" s="611">
        <v>0</v>
      </c>
      <c r="V341" s="616">
        <f t="shared" si="499"/>
        <v>0</v>
      </c>
      <c r="W341" s="611">
        <v>0</v>
      </c>
      <c r="X341" s="611">
        <v>0</v>
      </c>
      <c r="Y341" s="611">
        <v>0</v>
      </c>
      <c r="Z341" s="611"/>
      <c r="AA341" s="611"/>
      <c r="AB341" s="611"/>
      <c r="AC341" s="611"/>
      <c r="AD341" s="611"/>
      <c r="AE341" s="611"/>
      <c r="AF341" s="611"/>
      <c r="AG341" s="611"/>
      <c r="AH341" s="611"/>
      <c r="AI341" s="611">
        <v>0</v>
      </c>
      <c r="AJ341" s="611">
        <f>+G341</f>
        <v>-1.397</v>
      </c>
      <c r="AK341" s="611">
        <f t="shared" si="500"/>
        <v>-1.2569999999999999</v>
      </c>
      <c r="AL341" s="611">
        <v>0</v>
      </c>
      <c r="AM341" s="611">
        <v>0</v>
      </c>
      <c r="AN341" s="583"/>
      <c r="AO341" s="571"/>
    </row>
    <row r="342" spans="1:44" x14ac:dyDescent="0.25">
      <c r="A342" s="132" t="s">
        <v>551</v>
      </c>
      <c r="C342" s="611"/>
      <c r="D342" s="611"/>
      <c r="E342" s="611"/>
      <c r="F342" s="616"/>
      <c r="G342" s="611">
        <v>0</v>
      </c>
      <c r="H342" s="611">
        <v>0</v>
      </c>
      <c r="I342" s="611">
        <v>0</v>
      </c>
      <c r="J342" s="616">
        <v>0</v>
      </c>
      <c r="K342" s="611">
        <v>0</v>
      </c>
      <c r="L342" s="611">
        <v>0</v>
      </c>
      <c r="M342" s="611">
        <v>0</v>
      </c>
      <c r="N342" s="616">
        <v>0</v>
      </c>
      <c r="O342" s="611">
        <v>0</v>
      </c>
      <c r="P342" s="611">
        <v>0</v>
      </c>
      <c r="Q342" s="611">
        <v>0</v>
      </c>
      <c r="R342" s="616">
        <v>0</v>
      </c>
      <c r="S342" s="611">
        <v>0</v>
      </c>
      <c r="T342" s="611">
        <v>0</v>
      </c>
      <c r="U342" s="611">
        <v>-217.68299999999999</v>
      </c>
      <c r="V342" s="616">
        <f t="shared" si="499"/>
        <v>-5.6000000000011596E-2</v>
      </c>
      <c r="W342" s="611">
        <v>-1.2E-2</v>
      </c>
      <c r="X342" s="611">
        <f>-0.204-W342</f>
        <v>-0.19199999999999998</v>
      </c>
      <c r="Y342" s="611">
        <f>-0.211-X342-W342</f>
        <v>-7.0000000000000166E-3</v>
      </c>
      <c r="Z342" s="611"/>
      <c r="AA342" s="611">
        <v>0</v>
      </c>
      <c r="AB342" s="611">
        <v>0</v>
      </c>
      <c r="AC342" s="611">
        <v>0</v>
      </c>
      <c r="AD342" s="611">
        <v>0</v>
      </c>
      <c r="AE342" s="611">
        <v>0</v>
      </c>
      <c r="AF342" s="611">
        <v>0</v>
      </c>
      <c r="AG342" s="611">
        <v>0</v>
      </c>
      <c r="AH342" s="611">
        <v>0</v>
      </c>
      <c r="AI342" s="611">
        <v>0</v>
      </c>
      <c r="AJ342" s="611">
        <v>0</v>
      </c>
      <c r="AK342" s="611">
        <v>0</v>
      </c>
      <c r="AL342" s="611">
        <v>0</v>
      </c>
      <c r="AM342" s="611">
        <v>-217.739</v>
      </c>
      <c r="AN342" s="583"/>
      <c r="AO342" s="571"/>
    </row>
    <row r="343" spans="1:44" x14ac:dyDescent="0.25">
      <c r="A343" s="132" t="s">
        <v>552</v>
      </c>
      <c r="C343" s="611"/>
      <c r="D343" s="611"/>
      <c r="E343" s="611"/>
      <c r="F343" s="616"/>
      <c r="G343" s="611">
        <f>-0.274-0.487</f>
        <v>-0.76100000000000001</v>
      </c>
      <c r="H343" s="611">
        <f>-0.977-0.274-G343</f>
        <v>-0.48999999999999988</v>
      </c>
      <c r="I343" s="611">
        <f>-1.908-0.274-H343-G343</f>
        <v>-0.93100000000000016</v>
      </c>
      <c r="J343" s="616">
        <f>+AJ343-SUM(G343:I343)</f>
        <v>-0.53000000000000025</v>
      </c>
      <c r="K343" s="611">
        <f>+Daloopa!K250/1000</f>
        <v>-0.45900000000000002</v>
      </c>
      <c r="L343" s="611">
        <f>+Daloopa!L250/1000</f>
        <v>-0.46600000000000003</v>
      </c>
      <c r="M343" s="611">
        <f>+Daloopa!M250/1000</f>
        <v>-0.36099999999999999</v>
      </c>
      <c r="N343" s="616">
        <f>+Daloopa!N250/1000</f>
        <v>-0.36599999999999999</v>
      </c>
      <c r="O343" s="611">
        <f>+Daloopa!O250/1000</f>
        <v>-0.23799999999999999</v>
      </c>
      <c r="P343" s="611">
        <f>+Daloopa!P250/1000</f>
        <v>-0.221</v>
      </c>
      <c r="Q343" s="611">
        <f>-0.673-P343-O343</f>
        <v>-0.21400000000000008</v>
      </c>
      <c r="R343" s="616">
        <f t="shared" ref="R343:R348" si="501">+AL343-SUM(O343:Q343)</f>
        <v>-0.21099999999999997</v>
      </c>
      <c r="S343" s="611">
        <v>-3.6999999999999998E-2</v>
      </c>
      <c r="T343" s="611">
        <f>-0.074-S343</f>
        <v>-3.6999999999999998E-2</v>
      </c>
      <c r="U343" s="611">
        <f>-0.097-T343-S343</f>
        <v>-2.3000000000000007E-2</v>
      </c>
      <c r="V343" s="616">
        <f t="shared" si="499"/>
        <v>-6.9999999999999923E-3</v>
      </c>
      <c r="W343" s="611">
        <v>0</v>
      </c>
      <c r="X343" s="611">
        <v>0</v>
      </c>
      <c r="Y343" s="611">
        <v>0</v>
      </c>
      <c r="Z343" s="611"/>
      <c r="AA343" s="611"/>
      <c r="AB343" s="611"/>
      <c r="AC343" s="611"/>
      <c r="AD343" s="611"/>
      <c r="AE343" s="611"/>
      <c r="AF343" s="611"/>
      <c r="AG343" s="611"/>
      <c r="AH343" s="611"/>
      <c r="AI343" s="611">
        <f>+JPM!L149</f>
        <v>-3.1760000000000002</v>
      </c>
      <c r="AJ343" s="611">
        <f>-2.438-0.274</f>
        <v>-2.7120000000000002</v>
      </c>
      <c r="AK343" s="611">
        <f>SUM(K343:N343)</f>
        <v>-1.6520000000000001</v>
      </c>
      <c r="AL343" s="611">
        <v>-0.88400000000000001</v>
      </c>
      <c r="AM343" s="611">
        <v>-0.104</v>
      </c>
      <c r="AN343" s="583"/>
      <c r="AO343" s="571"/>
    </row>
    <row r="344" spans="1:44" x14ac:dyDescent="0.25">
      <c r="A344" s="132" t="s">
        <v>553</v>
      </c>
      <c r="C344" s="611"/>
      <c r="D344" s="611"/>
      <c r="E344" s="611"/>
      <c r="F344" s="616"/>
      <c r="G344" s="611">
        <v>0</v>
      </c>
      <c r="H344" s="611">
        <v>0</v>
      </c>
      <c r="I344" s="611">
        <v>0</v>
      </c>
      <c r="J344" s="616">
        <f>+AJ344-SUM(G344:I344)</f>
        <v>0</v>
      </c>
      <c r="K344" s="611">
        <f>+Daloopa!K251/1000</f>
        <v>0</v>
      </c>
      <c r="L344" s="611">
        <f>+Daloopa!L251/1000</f>
        <v>-0.36199999999999999</v>
      </c>
      <c r="M344" s="611">
        <f>+Daloopa!M251/1000</f>
        <v>-0.17100000000000001</v>
      </c>
      <c r="N344" s="616">
        <f>+Daloopa!N251/1000</f>
        <v>-0.17199999999999999</v>
      </c>
      <c r="O344" s="611">
        <f>+Daloopa!O251/1000</f>
        <v>-0.34899999999999998</v>
      </c>
      <c r="P344" s="611">
        <f>+Daloopa!P251/1000</f>
        <v>-0.17699999999999999</v>
      </c>
      <c r="Q344" s="611">
        <f>-0.704-P344-O344</f>
        <v>-0.17799999999999994</v>
      </c>
      <c r="R344" s="616">
        <f t="shared" si="501"/>
        <v>-0.18000000000000005</v>
      </c>
      <c r="S344" s="611">
        <v>-0.23400000000000001</v>
      </c>
      <c r="T344" s="611">
        <f>-0.469-S344</f>
        <v>-0.23499999999999996</v>
      </c>
      <c r="U344" s="611">
        <f>-0.703-T344-S344</f>
        <v>-0.23399999999999996</v>
      </c>
      <c r="V344" s="616">
        <f t="shared" si="499"/>
        <v>-0.23499999999999999</v>
      </c>
      <c r="W344" s="611">
        <v>-0.23400000000000001</v>
      </c>
      <c r="X344" s="611">
        <f>-0.469-W344</f>
        <v>-0.23499999999999996</v>
      </c>
      <c r="Y344" s="611">
        <f>-0.703-X344-W344</f>
        <v>-0.23399999999999996</v>
      </c>
      <c r="Z344" s="611"/>
      <c r="AA344" s="611"/>
      <c r="AB344" s="611"/>
      <c r="AC344" s="611"/>
      <c r="AD344" s="611"/>
      <c r="AE344" s="611"/>
      <c r="AF344" s="611"/>
      <c r="AG344" s="611"/>
      <c r="AH344" s="611"/>
      <c r="AI344" s="611">
        <v>0</v>
      </c>
      <c r="AJ344" s="611">
        <v>0</v>
      </c>
      <c r="AK344" s="611">
        <f>SUM(K344:N344)</f>
        <v>-0.70500000000000007</v>
      </c>
      <c r="AL344" s="611">
        <v>-0.88400000000000001</v>
      </c>
      <c r="AM344" s="611">
        <v>-0.93799999999999994</v>
      </c>
      <c r="AN344" s="583"/>
      <c r="AO344" s="571"/>
    </row>
    <row r="345" spans="1:44" x14ac:dyDescent="0.25">
      <c r="A345" s="132" t="s">
        <v>554</v>
      </c>
      <c r="C345" s="611">
        <v>0</v>
      </c>
      <c r="D345" s="611">
        <v>0</v>
      </c>
      <c r="E345" s="611">
        <v>0</v>
      </c>
      <c r="F345" s="616">
        <v>0</v>
      </c>
      <c r="G345" s="611">
        <v>0</v>
      </c>
      <c r="H345" s="611">
        <v>0</v>
      </c>
      <c r="I345" s="611">
        <v>0</v>
      </c>
      <c r="J345" s="616">
        <v>0</v>
      </c>
      <c r="K345" s="611">
        <v>0</v>
      </c>
      <c r="L345" s="611">
        <v>0</v>
      </c>
      <c r="M345" s="611">
        <v>0</v>
      </c>
      <c r="N345" s="616">
        <v>0</v>
      </c>
      <c r="O345" s="611">
        <v>0</v>
      </c>
      <c r="P345" s="611">
        <v>0</v>
      </c>
      <c r="Q345" s="611">
        <v>-2.2480000000000002</v>
      </c>
      <c r="R345" s="616">
        <f t="shared" si="501"/>
        <v>-58.282000000000004</v>
      </c>
      <c r="S345" s="611">
        <v>-25.265999999999998</v>
      </c>
      <c r="T345" s="611">
        <f>-52.334-S345</f>
        <v>-27.068000000000005</v>
      </c>
      <c r="U345" s="611">
        <f>-55.917-T345-S345</f>
        <v>-3.5829999999999984</v>
      </c>
      <c r="V345" s="616">
        <f t="shared" si="499"/>
        <v>-3.0730000000000004</v>
      </c>
      <c r="W345" s="611">
        <v>0</v>
      </c>
      <c r="X345" s="611">
        <v>0</v>
      </c>
      <c r="Y345" s="611">
        <v>0</v>
      </c>
      <c r="Z345" s="611"/>
      <c r="AA345" s="611"/>
      <c r="AB345" s="611"/>
      <c r="AC345" s="611"/>
      <c r="AD345" s="611"/>
      <c r="AE345" s="611"/>
      <c r="AF345" s="611"/>
      <c r="AG345" s="611"/>
      <c r="AH345" s="611"/>
      <c r="AI345" s="611">
        <v>0</v>
      </c>
      <c r="AJ345" s="611">
        <v>0</v>
      </c>
      <c r="AK345" s="611">
        <v>0</v>
      </c>
      <c r="AL345" s="611">
        <v>-60.53</v>
      </c>
      <c r="AM345" s="611">
        <v>-58.99</v>
      </c>
      <c r="AN345" s="583"/>
      <c r="AO345" s="571"/>
    </row>
    <row r="346" spans="1:44" x14ac:dyDescent="0.25">
      <c r="A346" s="132" t="s">
        <v>555</v>
      </c>
      <c r="C346" s="611"/>
      <c r="D346" s="611"/>
      <c r="E346" s="611"/>
      <c r="F346" s="616"/>
      <c r="G346" s="611">
        <v>0</v>
      </c>
      <c r="H346" s="611">
        <v>0</v>
      </c>
      <c r="I346" s="611">
        <v>0</v>
      </c>
      <c r="J346" s="616">
        <f>+AJ346-SUM(G346:I346)</f>
        <v>0</v>
      </c>
      <c r="K346" s="611">
        <f>+Daloopa!K252/1000</f>
        <v>0</v>
      </c>
      <c r="L346" s="611">
        <f>+Daloopa!L252/1000</f>
        <v>0</v>
      </c>
      <c r="M346" s="611">
        <f>+Daloopa!M252/1000</f>
        <v>0.187</v>
      </c>
      <c r="N346" s="616">
        <f>+Daloopa!N252/1000</f>
        <v>0.2</v>
      </c>
      <c r="O346" s="611">
        <f>+Daloopa!O252/1000</f>
        <v>0.54700000000000004</v>
      </c>
      <c r="P346" s="611">
        <f>+Daloopa!P252/1000</f>
        <v>0.72299999999999998</v>
      </c>
      <c r="Q346" s="611">
        <f>3.09-P346-O346</f>
        <v>1.8199999999999998</v>
      </c>
      <c r="R346" s="616">
        <f t="shared" si="501"/>
        <v>0.43199999999999994</v>
      </c>
      <c r="S346" s="611">
        <v>1.399</v>
      </c>
      <c r="T346" s="611">
        <f>2.104-S346</f>
        <v>0.70500000000000007</v>
      </c>
      <c r="U346" s="611">
        <f>4.089-T346-S346</f>
        <v>1.9850000000000003</v>
      </c>
      <c r="V346" s="616">
        <f t="shared" si="499"/>
        <v>0.47599999999999998</v>
      </c>
      <c r="W346" s="611">
        <v>0.97599999999999998</v>
      </c>
      <c r="X346" s="611">
        <f>1.197-W346</f>
        <v>0.22100000000000009</v>
      </c>
      <c r="Y346" s="611">
        <f>5.862-X346-W346</f>
        <v>4.665</v>
      </c>
      <c r="Z346" s="611"/>
      <c r="AA346" s="611"/>
      <c r="AB346" s="611"/>
      <c r="AC346" s="611"/>
      <c r="AD346" s="611"/>
      <c r="AE346" s="611"/>
      <c r="AF346" s="611"/>
      <c r="AG346" s="611"/>
      <c r="AH346" s="611"/>
      <c r="AI346" s="611">
        <v>0</v>
      </c>
      <c r="AJ346" s="611">
        <v>0</v>
      </c>
      <c r="AK346" s="611">
        <f>SUM(K346:N346)</f>
        <v>0.38700000000000001</v>
      </c>
      <c r="AL346" s="611">
        <v>3.5219999999999998</v>
      </c>
      <c r="AM346" s="611">
        <v>4.5650000000000004</v>
      </c>
      <c r="AN346" s="583"/>
      <c r="AO346" s="571"/>
    </row>
    <row r="347" spans="1:44" x14ac:dyDescent="0.25">
      <c r="A347" s="132" t="s">
        <v>556</v>
      </c>
      <c r="C347" s="611"/>
      <c r="D347" s="611"/>
      <c r="E347" s="611"/>
      <c r="F347" s="616"/>
      <c r="G347" s="611">
        <v>0</v>
      </c>
      <c r="H347" s="611">
        <v>0</v>
      </c>
      <c r="I347" s="611">
        <v>0</v>
      </c>
      <c r="J347" s="616">
        <f>+AJ347-SUM(G347:I347)</f>
        <v>0</v>
      </c>
      <c r="K347" s="611">
        <f>+Daloopa!K253/1000</f>
        <v>0</v>
      </c>
      <c r="L347" s="611">
        <f>+Daloopa!L253/1000</f>
        <v>0</v>
      </c>
      <c r="M347" s="611">
        <f>+Daloopa!M253/1000</f>
        <v>-0.33200000000000002</v>
      </c>
      <c r="N347" s="616">
        <f>+Daloopa!N253/1000</f>
        <v>0</v>
      </c>
      <c r="O347" s="611">
        <f>+Daloopa!O253/1000</f>
        <v>0</v>
      </c>
      <c r="P347" s="611">
        <f>+Daloopa!P253/1000</f>
        <v>0</v>
      </c>
      <c r="Q347" s="611">
        <v>0</v>
      </c>
      <c r="R347" s="616">
        <f t="shared" si="501"/>
        <v>-0.378</v>
      </c>
      <c r="S347" s="611">
        <v>-2.5000000000000001E-2</v>
      </c>
      <c r="T347" s="611">
        <f>-0.211-S347</f>
        <v>-0.186</v>
      </c>
      <c r="U347" s="611">
        <f>-0.254-T347-S347</f>
        <v>-4.3000000000000003E-2</v>
      </c>
      <c r="V347" s="616">
        <f t="shared" si="499"/>
        <v>-9.5999999999999974E-2</v>
      </c>
      <c r="W347" s="611">
        <v>-4.1000000000000002E-2</v>
      </c>
      <c r="X347" s="611">
        <f>-0.311-W347</f>
        <v>-0.27</v>
      </c>
      <c r="Y347" s="611">
        <f>-3.79-X347-W347</f>
        <v>-3.4790000000000001</v>
      </c>
      <c r="Z347" s="611"/>
      <c r="AA347" s="611"/>
      <c r="AB347" s="611"/>
      <c r="AC347" s="611"/>
      <c r="AD347" s="611"/>
      <c r="AE347" s="611"/>
      <c r="AF347" s="611"/>
      <c r="AG347" s="611"/>
      <c r="AH347" s="611"/>
      <c r="AI347" s="611">
        <v>0</v>
      </c>
      <c r="AJ347" s="611">
        <v>0</v>
      </c>
      <c r="AK347" s="611">
        <f>SUM(K347:N347)</f>
        <v>-0.33200000000000002</v>
      </c>
      <c r="AL347" s="611">
        <v>-0.378</v>
      </c>
      <c r="AM347" s="611">
        <v>-0.35</v>
      </c>
      <c r="AN347" s="583"/>
      <c r="AO347" s="571"/>
    </row>
    <row r="348" spans="1:44" s="565" customFormat="1" ht="14" x14ac:dyDescent="0.4">
      <c r="A348" s="132" t="s">
        <v>557</v>
      </c>
      <c r="C348" s="612"/>
      <c r="D348" s="612"/>
      <c r="E348" s="612"/>
      <c r="F348" s="617"/>
      <c r="G348" s="612">
        <v>0</v>
      </c>
      <c r="H348" s="612">
        <v>0</v>
      </c>
      <c r="I348" s="612">
        <v>0</v>
      </c>
      <c r="J348" s="617">
        <f>+AJ348-SUM(G348:I348)</f>
        <v>0</v>
      </c>
      <c r="K348" s="653">
        <f>+Daloopa!K254/1000</f>
        <v>0</v>
      </c>
      <c r="L348" s="653">
        <f>+Daloopa!L254/1000</f>
        <v>0</v>
      </c>
      <c r="M348" s="653">
        <f>+Daloopa!M254/1000</f>
        <v>0</v>
      </c>
      <c r="N348" s="617">
        <f>+Daloopa!N254/1000</f>
        <v>0</v>
      </c>
      <c r="O348" s="612">
        <f>+Daloopa!O254/1000</f>
        <v>0</v>
      </c>
      <c r="P348" s="612">
        <f>+Daloopa!P254/1000</f>
        <v>-9.8000000000000004E-2</v>
      </c>
      <c r="Q348" s="612">
        <f>-0.292-P348-O348</f>
        <v>-0.19399999999999998</v>
      </c>
      <c r="R348" s="617">
        <f t="shared" si="501"/>
        <v>0.29199999999999998</v>
      </c>
      <c r="S348" s="612">
        <v>0</v>
      </c>
      <c r="T348" s="612">
        <v>0</v>
      </c>
      <c r="U348" s="612">
        <v>0</v>
      </c>
      <c r="V348" s="617">
        <f t="shared" si="499"/>
        <v>0</v>
      </c>
      <c r="W348" s="612">
        <v>0</v>
      </c>
      <c r="X348" s="612">
        <v>0</v>
      </c>
      <c r="Y348" s="612">
        <v>0</v>
      </c>
      <c r="Z348" s="612"/>
      <c r="AA348" s="612"/>
      <c r="AB348" s="612"/>
      <c r="AC348" s="612"/>
      <c r="AD348" s="612"/>
      <c r="AE348" s="612"/>
      <c r="AF348" s="612"/>
      <c r="AG348" s="612"/>
      <c r="AH348" s="612"/>
      <c r="AI348" s="612">
        <v>0</v>
      </c>
      <c r="AJ348" s="612">
        <v>0</v>
      </c>
      <c r="AK348" s="612">
        <f>SUM(K348:N348)</f>
        <v>0</v>
      </c>
      <c r="AL348" s="612">
        <v>0</v>
      </c>
      <c r="AM348" s="612">
        <v>0</v>
      </c>
      <c r="AN348" s="719"/>
      <c r="AO348" s="614"/>
      <c r="AP348" s="413"/>
      <c r="AQ348" s="413"/>
      <c r="AR348" s="413"/>
    </row>
    <row r="349" spans="1:44" s="163" customFormat="1" ht="13" x14ac:dyDescent="0.3">
      <c r="A349" s="426" t="s">
        <v>558</v>
      </c>
      <c r="C349" s="615"/>
      <c r="D349" s="615"/>
      <c r="E349" s="615"/>
      <c r="F349" s="618"/>
      <c r="G349" s="615">
        <f>+JPM!N156</f>
        <v>70.635000000000005</v>
      </c>
      <c r="H349" s="615">
        <f>+JPM!O156</f>
        <v>-28.794999999999998</v>
      </c>
      <c r="I349" s="615">
        <f>+JPM!P156</f>
        <v>-2.6059999999999999</v>
      </c>
      <c r="J349" s="618">
        <f>+JPM!Q156</f>
        <v>-3.952</v>
      </c>
      <c r="K349" s="615">
        <f t="shared" ref="K349:O349" si="502">SUM(K331:K348)</f>
        <v>-50.761999999999993</v>
      </c>
      <c r="L349" s="615">
        <f t="shared" si="502"/>
        <v>118.63100000000001</v>
      </c>
      <c r="M349" s="615">
        <f t="shared" si="502"/>
        <v>-3.4969999999999999</v>
      </c>
      <c r="N349" s="618">
        <f t="shared" si="502"/>
        <v>-0.52400000000000002</v>
      </c>
      <c r="O349" s="615">
        <f t="shared" si="502"/>
        <v>-3.9999999999999925E-2</v>
      </c>
      <c r="P349" s="615">
        <f t="shared" ref="P349:Y349" si="503">SUM(P331:P348)</f>
        <v>0.22699999999999995</v>
      </c>
      <c r="Q349" s="615">
        <f t="shared" si="503"/>
        <v>-1.0140000000000002</v>
      </c>
      <c r="R349" s="618">
        <f t="shared" si="503"/>
        <v>-58.326999999999998</v>
      </c>
      <c r="S349" s="615">
        <f t="shared" si="503"/>
        <v>-24.162999999999997</v>
      </c>
      <c r="T349" s="615">
        <f t="shared" si="503"/>
        <v>-26.821000000000005</v>
      </c>
      <c r="U349" s="615">
        <f t="shared" si="503"/>
        <v>-219.58099999999999</v>
      </c>
      <c r="V349" s="618">
        <f t="shared" si="499"/>
        <v>-2.9910000000000423</v>
      </c>
      <c r="W349" s="615">
        <f t="shared" si="503"/>
        <v>0.68899999999999995</v>
      </c>
      <c r="X349" s="615">
        <f t="shared" si="503"/>
        <v>-0.47599999999999987</v>
      </c>
      <c r="Y349" s="615">
        <f t="shared" si="503"/>
        <v>0.94500000000000028</v>
      </c>
      <c r="Z349" s="615"/>
      <c r="AA349" s="615"/>
      <c r="AB349" s="615"/>
      <c r="AC349" s="615"/>
      <c r="AD349" s="615"/>
      <c r="AE349" s="615"/>
      <c r="AF349" s="615"/>
      <c r="AG349" s="615"/>
      <c r="AH349" s="615"/>
      <c r="AI349" s="615">
        <f>+JPM!L156</f>
        <v>-3.1760000000000002</v>
      </c>
      <c r="AJ349" s="615">
        <f>SUM(G349:J349)</f>
        <v>35.282000000000004</v>
      </c>
      <c r="AK349" s="615">
        <f>SUM(K349:N349)</f>
        <v>63.848000000000027</v>
      </c>
      <c r="AL349" s="615">
        <f>+SUM(AL331:AL348)</f>
        <v>-59.154000000000003</v>
      </c>
      <c r="AM349" s="615">
        <f>+SUM(AM331:AM348)</f>
        <v>-273.55600000000004</v>
      </c>
      <c r="AN349" s="594"/>
      <c r="AO349" s="573"/>
    </row>
    <row r="350" spans="1:44" x14ac:dyDescent="0.25">
      <c r="C350" s="568"/>
      <c r="D350" s="568"/>
      <c r="E350" s="568"/>
      <c r="F350" s="588"/>
      <c r="G350" s="568"/>
      <c r="H350" s="568"/>
      <c r="I350" s="568"/>
      <c r="J350" s="588"/>
      <c r="K350" s="583"/>
      <c r="L350" s="583"/>
      <c r="M350" s="583"/>
      <c r="N350" s="588"/>
      <c r="O350" s="568"/>
      <c r="P350" s="568"/>
      <c r="Q350" s="568"/>
      <c r="R350" s="588"/>
      <c r="S350" s="568"/>
      <c r="T350" s="568"/>
      <c r="U350" s="568"/>
      <c r="V350" s="588"/>
      <c r="W350" s="568"/>
      <c r="X350" s="583"/>
      <c r="Y350" s="583"/>
      <c r="Z350" s="583"/>
      <c r="AA350" s="583"/>
      <c r="AB350" s="583"/>
      <c r="AC350" s="583"/>
      <c r="AD350" s="583"/>
      <c r="AE350" s="583"/>
      <c r="AF350" s="583"/>
      <c r="AG350" s="583"/>
      <c r="AH350" s="583"/>
      <c r="AI350" s="568"/>
      <c r="AJ350" s="568"/>
      <c r="AK350" s="568"/>
      <c r="AL350" s="568"/>
      <c r="AM350" s="568"/>
      <c r="AN350" s="583"/>
      <c r="AO350" s="571"/>
    </row>
    <row r="351" spans="1:44" s="565" customFormat="1" ht="14" x14ac:dyDescent="0.4">
      <c r="A351" s="132" t="s">
        <v>559</v>
      </c>
      <c r="C351" s="612"/>
      <c r="D351" s="612"/>
      <c r="E351" s="612"/>
      <c r="F351" s="617"/>
      <c r="G351" s="612">
        <f>+JPM!N158</f>
        <v>-0.182</v>
      </c>
      <c r="H351" s="612">
        <f>+JPM!O158</f>
        <v>-1.0609999999999999</v>
      </c>
      <c r="I351" s="612">
        <f>+JPM!P158</f>
        <v>-0.52400000000000002</v>
      </c>
      <c r="J351" s="617">
        <f>+JPM!Q158</f>
        <v>2.6859999999999999</v>
      </c>
      <c r="K351" s="612">
        <f>+JPM!T158</f>
        <v>-0.31</v>
      </c>
      <c r="L351" s="612">
        <f>+JPM!U158</f>
        <v>-0.34600000000000003</v>
      </c>
      <c r="M351" s="612">
        <f>+JPM!V158</f>
        <v>0.13400000000000001</v>
      </c>
      <c r="N351" s="617">
        <f>+JPM!W158</f>
        <v>0.24099999999999999</v>
      </c>
      <c r="O351" s="612">
        <f>+JPM!Z158</f>
        <v>5.8000000000000003E-2</v>
      </c>
      <c r="P351" s="612">
        <f>+JPM!AA158</f>
        <v>-2.6039999999999996</v>
      </c>
      <c r="Q351" s="612">
        <f>-3.879-P351-O351</f>
        <v>-1.3330000000000004</v>
      </c>
      <c r="R351" s="617">
        <f>+AL351-SUM(O351:Q351)</f>
        <v>-2.1349999999999998</v>
      </c>
      <c r="S351" s="612">
        <v>0.14699999999999999</v>
      </c>
      <c r="T351" s="612">
        <f>-0.03-S351</f>
        <v>-0.17699999999999999</v>
      </c>
      <c r="U351" s="612">
        <f>-0.372-T351-S351</f>
        <v>-0.34199999999999997</v>
      </c>
      <c r="V351" s="617">
        <f>+AM351-SUM(S351:U351)</f>
        <v>7.1000000000000008E-2</v>
      </c>
      <c r="W351" s="612">
        <v>-0.32800000000000001</v>
      </c>
      <c r="X351" s="612">
        <f>-1.036-W351</f>
        <v>-0.70799999999999996</v>
      </c>
      <c r="Y351" s="612">
        <f>0.267-X351-W351</f>
        <v>1.3029999999999999</v>
      </c>
      <c r="Z351" s="612"/>
      <c r="AA351" s="612"/>
      <c r="AB351" s="612"/>
      <c r="AC351" s="612"/>
      <c r="AD351" s="612"/>
      <c r="AE351" s="612"/>
      <c r="AF351" s="612"/>
      <c r="AG351" s="612"/>
      <c r="AH351" s="612"/>
      <c r="AI351" s="612">
        <f>+JPM!L158</f>
        <v>-0.13</v>
      </c>
      <c r="AJ351" s="612">
        <f>SUM(G351:J351)</f>
        <v>0.91900000000000004</v>
      </c>
      <c r="AK351" s="612">
        <f>SUM(K351:N351)</f>
        <v>-0.28100000000000003</v>
      </c>
      <c r="AL351" s="612">
        <v>-6.0140000000000002</v>
      </c>
      <c r="AM351" s="612">
        <v>-0.30099999999999999</v>
      </c>
      <c r="AN351" s="719"/>
      <c r="AO351" s="614"/>
      <c r="AP351" s="413"/>
      <c r="AQ351" s="413"/>
      <c r="AR351" s="413"/>
    </row>
    <row r="352" spans="1:44" x14ac:dyDescent="0.25">
      <c r="A352" s="425" t="s">
        <v>560</v>
      </c>
      <c r="C352" s="611"/>
      <c r="D352" s="611"/>
      <c r="E352" s="611"/>
      <c r="F352" s="616"/>
      <c r="G352" s="611">
        <f>+G351+G349+G328+G319</f>
        <v>49.030999999999999</v>
      </c>
      <c r="H352" s="611">
        <f>+H351+H349+H328+H319</f>
        <v>-12.766999999999989</v>
      </c>
      <c r="I352" s="611">
        <f t="shared" ref="I352:AI352" si="504">+I351+I349+I328+I319</f>
        <v>6.7720000000000073</v>
      </c>
      <c r="J352" s="616">
        <f t="shared" si="504"/>
        <v>29.188000000000002</v>
      </c>
      <c r="K352" s="611">
        <f t="shared" si="504"/>
        <v>-39.486000000000004</v>
      </c>
      <c r="L352" s="611">
        <f t="shared" si="504"/>
        <v>143.79400000000001</v>
      </c>
      <c r="M352" s="611">
        <f t="shared" si="504"/>
        <v>18.409999999999993</v>
      </c>
      <c r="N352" s="616">
        <f t="shared" si="504"/>
        <v>17.099000000000011</v>
      </c>
      <c r="O352" s="611">
        <f t="shared" si="504"/>
        <v>15.128999999999991</v>
      </c>
      <c r="P352" s="611">
        <f t="shared" si="504"/>
        <v>44.561</v>
      </c>
      <c r="Q352" s="611">
        <f t="shared" ref="Q352" si="505">+Q351+Q349+Q328+Q319</f>
        <v>37.922000000000011</v>
      </c>
      <c r="R352" s="616">
        <f>+R351+R349+R328+R319</f>
        <v>1.8070000000000022</v>
      </c>
      <c r="S352" s="611">
        <f>+S351+S349+S328+S319</f>
        <v>8.5</v>
      </c>
      <c r="T352" s="611">
        <f>+T351+T349+T328+T319</f>
        <v>-1.1100000000000065</v>
      </c>
      <c r="U352" s="611">
        <f t="shared" ref="U352:W352" si="506">+U351+U349+U328+U319</f>
        <v>-234.17899999999997</v>
      </c>
      <c r="V352" s="616">
        <f>+AM352-SUM(S352:U352)</f>
        <v>50.28299999999993</v>
      </c>
      <c r="W352" s="611">
        <f t="shared" si="506"/>
        <v>31.658999999999999</v>
      </c>
      <c r="X352" s="611">
        <f t="shared" ref="X352:Y352" si="507">+X351+X349+X328+X319</f>
        <v>24.077999999999999</v>
      </c>
      <c r="Y352" s="611">
        <f t="shared" si="507"/>
        <v>37.833999999999989</v>
      </c>
      <c r="Z352" s="611"/>
      <c r="AA352" s="611"/>
      <c r="AB352" s="611"/>
      <c r="AC352" s="611"/>
      <c r="AD352" s="611"/>
      <c r="AE352" s="611"/>
      <c r="AF352" s="611"/>
      <c r="AG352" s="611"/>
      <c r="AH352" s="611"/>
      <c r="AI352" s="611">
        <f t="shared" si="504"/>
        <v>50.521999999999998</v>
      </c>
      <c r="AJ352" s="611">
        <f t="shared" ref="AJ352" si="508">+AJ351+AJ349+AJ328+AJ319</f>
        <v>72.224000000000004</v>
      </c>
      <c r="AK352" s="611">
        <f t="shared" ref="AK352:AM352" si="509">+AK351+AK349+AK328+AK319</f>
        <v>139.81700000000004</v>
      </c>
      <c r="AL352" s="611">
        <f t="shared" si="509"/>
        <v>99.418999999999997</v>
      </c>
      <c r="AM352" s="611">
        <f t="shared" si="509"/>
        <v>-176.50600000000006</v>
      </c>
      <c r="AN352" s="583"/>
      <c r="AO352" s="571"/>
    </row>
    <row r="353" spans="1:44" s="565" customFormat="1" ht="14" x14ac:dyDescent="0.4">
      <c r="A353" s="132" t="s">
        <v>561</v>
      </c>
      <c r="C353" s="612"/>
      <c r="D353" s="612"/>
      <c r="E353" s="612"/>
      <c r="F353" s="617"/>
      <c r="G353" s="612">
        <f>+Daloopa!G311/1000</f>
        <v>80.745999999999995</v>
      </c>
      <c r="H353" s="612">
        <f>+G354</f>
        <v>129.77699999999999</v>
      </c>
      <c r="I353" s="612">
        <f t="shared" ref="I353:P353" si="510">+H354</f>
        <v>117.00999999999999</v>
      </c>
      <c r="J353" s="617">
        <f t="shared" si="510"/>
        <v>123.782</v>
      </c>
      <c r="K353" s="612">
        <f t="shared" si="510"/>
        <v>152.97</v>
      </c>
      <c r="L353" s="612">
        <f t="shared" si="510"/>
        <v>113.48399999999999</v>
      </c>
      <c r="M353" s="612">
        <f t="shared" si="510"/>
        <v>257.27800000000002</v>
      </c>
      <c r="N353" s="617">
        <f t="shared" si="510"/>
        <v>275.68799999999999</v>
      </c>
      <c r="O353" s="612">
        <f t="shared" si="510"/>
        <v>292.78699999999998</v>
      </c>
      <c r="P353" s="612">
        <f t="shared" si="510"/>
        <v>307.91599999999994</v>
      </c>
      <c r="Q353" s="612">
        <f t="shared" ref="Q353" si="511">+P354</f>
        <v>352.47699999999992</v>
      </c>
      <c r="R353" s="617">
        <f t="shared" ref="R353" si="512">+Q354</f>
        <v>390.39899999999994</v>
      </c>
      <c r="S353" s="612">
        <v>391.79599999999999</v>
      </c>
      <c r="T353" s="612">
        <f>+S354</f>
        <v>400.29599999999999</v>
      </c>
      <c r="U353" s="612">
        <f t="shared" ref="U353" si="513">+T354</f>
        <v>399.18599999999998</v>
      </c>
      <c r="V353" s="617">
        <f>+U354</f>
        <v>165.00700000000001</v>
      </c>
      <c r="W353" s="1414">
        <v>213.91200000000001</v>
      </c>
      <c r="X353" s="612">
        <f t="shared" ref="X353" si="514">+W354</f>
        <v>245.571</v>
      </c>
      <c r="Y353" s="612">
        <f t="shared" ref="Y353" si="515">+X354</f>
        <v>269.649</v>
      </c>
      <c r="Z353" s="612"/>
      <c r="AA353" s="612"/>
      <c r="AB353" s="612"/>
      <c r="AC353" s="612"/>
      <c r="AD353" s="612"/>
      <c r="AE353" s="612"/>
      <c r="AF353" s="612"/>
      <c r="AG353" s="612"/>
      <c r="AH353" s="612"/>
      <c r="AI353" s="612">
        <f>+AI354-AI352</f>
        <v>30.223999999999997</v>
      </c>
      <c r="AJ353" s="612">
        <f>+AI354</f>
        <v>80.745999999999995</v>
      </c>
      <c r="AK353" s="612">
        <f>+AJ354</f>
        <v>152.97</v>
      </c>
      <c r="AL353" s="612">
        <f t="shared" ref="AL353" si="516">+AK354</f>
        <v>292.78700000000003</v>
      </c>
      <c r="AM353" s="612">
        <f t="shared" ref="AM353" si="517">+AL354</f>
        <v>392.20600000000002</v>
      </c>
      <c r="AN353" s="719"/>
      <c r="AO353" s="614"/>
      <c r="AP353" s="413"/>
      <c r="AQ353" s="413"/>
      <c r="AR353" s="413"/>
    </row>
    <row r="354" spans="1:44" x14ac:dyDescent="0.25">
      <c r="A354" s="425" t="s">
        <v>562</v>
      </c>
      <c r="C354" s="611"/>
      <c r="D354" s="611"/>
      <c r="E354" s="611"/>
      <c r="F354" s="616"/>
      <c r="G354" s="611">
        <f t="shared" ref="G354:P354" si="518">+G353+G352</f>
        <v>129.77699999999999</v>
      </c>
      <c r="H354" s="611">
        <f t="shared" si="518"/>
        <v>117.00999999999999</v>
      </c>
      <c r="I354" s="611">
        <f t="shared" si="518"/>
        <v>123.782</v>
      </c>
      <c r="J354" s="616">
        <f t="shared" si="518"/>
        <v>152.97</v>
      </c>
      <c r="K354" s="611">
        <f t="shared" si="518"/>
        <v>113.48399999999999</v>
      </c>
      <c r="L354" s="611">
        <f t="shared" si="518"/>
        <v>257.27800000000002</v>
      </c>
      <c r="M354" s="611">
        <f t="shared" si="518"/>
        <v>275.68799999999999</v>
      </c>
      <c r="N354" s="616">
        <f t="shared" si="518"/>
        <v>292.78699999999998</v>
      </c>
      <c r="O354" s="611">
        <f t="shared" si="518"/>
        <v>307.91599999999994</v>
      </c>
      <c r="P354" s="611">
        <f t="shared" si="518"/>
        <v>352.47699999999992</v>
      </c>
      <c r="Q354" s="611">
        <f t="shared" ref="Q354:R354" si="519">+Q353+Q352</f>
        <v>390.39899999999994</v>
      </c>
      <c r="R354" s="616">
        <f t="shared" si="519"/>
        <v>392.20599999999996</v>
      </c>
      <c r="S354" s="611">
        <f t="shared" ref="S354:T354" si="520">+S353+S352</f>
        <v>400.29599999999999</v>
      </c>
      <c r="T354" s="611">
        <f t="shared" si="520"/>
        <v>399.18599999999998</v>
      </c>
      <c r="U354" s="611">
        <f t="shared" ref="U354:W354" si="521">+U353+U352</f>
        <v>165.00700000000001</v>
      </c>
      <c r="V354" s="616">
        <f>+AM354</f>
        <v>215.69999999999996</v>
      </c>
      <c r="W354" s="611">
        <f t="shared" si="521"/>
        <v>245.571</v>
      </c>
      <c r="X354" s="611">
        <f t="shared" ref="X354:Y354" si="522">+X353+X352</f>
        <v>269.649</v>
      </c>
      <c r="Y354" s="611">
        <f t="shared" si="522"/>
        <v>307.483</v>
      </c>
      <c r="Z354" s="611"/>
      <c r="AA354" s="611"/>
      <c r="AB354" s="611"/>
      <c r="AC354" s="611"/>
      <c r="AD354" s="611"/>
      <c r="AE354" s="611"/>
      <c r="AF354" s="611"/>
      <c r="AG354" s="611"/>
      <c r="AH354" s="611"/>
      <c r="AI354" s="611">
        <f>+G353</f>
        <v>80.745999999999995</v>
      </c>
      <c r="AJ354" s="611">
        <f>+AJ353+AJ352</f>
        <v>152.97</v>
      </c>
      <c r="AK354" s="611">
        <f>+AK353+AK352</f>
        <v>292.78700000000003</v>
      </c>
      <c r="AL354" s="611">
        <f t="shared" ref="AL354:AM354" si="523">+AL353+AL352</f>
        <v>392.20600000000002</v>
      </c>
      <c r="AM354" s="611">
        <f t="shared" si="523"/>
        <v>215.69999999999996</v>
      </c>
      <c r="AN354" s="583"/>
      <c r="AO354" s="571"/>
    </row>
    <row r="355" spans="1:44" x14ac:dyDescent="0.25">
      <c r="C355" s="568"/>
      <c r="D355" s="568"/>
      <c r="E355" s="568"/>
      <c r="F355" s="588"/>
      <c r="G355" s="568"/>
      <c r="H355" s="568"/>
      <c r="I355" s="568"/>
      <c r="J355" s="588"/>
      <c r="K355" s="583"/>
      <c r="L355" s="583"/>
      <c r="M355" s="583"/>
      <c r="N355" s="588"/>
      <c r="O355" s="568"/>
      <c r="P355" s="568"/>
      <c r="Q355" s="568"/>
      <c r="R355" s="588"/>
      <c r="S355" s="568"/>
      <c r="T355" s="568"/>
      <c r="U355" s="568"/>
      <c r="V355" s="588"/>
      <c r="W355" s="568"/>
      <c r="X355" s="583"/>
      <c r="Y355" s="583"/>
      <c r="Z355" s="583"/>
      <c r="AA355" s="583"/>
      <c r="AB355" s="583"/>
      <c r="AC355" s="583"/>
      <c r="AD355" s="583"/>
      <c r="AE355" s="583"/>
      <c r="AF355" s="583"/>
      <c r="AG355" s="583"/>
      <c r="AH355" s="583"/>
      <c r="AI355" s="568"/>
      <c r="AJ355" s="568"/>
      <c r="AK355" s="568"/>
      <c r="AL355" s="568"/>
      <c r="AM355" s="568"/>
      <c r="AN355" s="583"/>
      <c r="AO355" s="571"/>
    </row>
    <row r="356" spans="1:44" x14ac:dyDescent="0.25">
      <c r="A356" s="565" t="s">
        <v>563</v>
      </c>
      <c r="C356" s="568"/>
      <c r="D356" s="568"/>
      <c r="E356" s="568"/>
      <c r="F356" s="588"/>
      <c r="G356" s="568"/>
      <c r="H356" s="568"/>
      <c r="I356" s="568"/>
      <c r="J356" s="588"/>
      <c r="K356" s="583"/>
      <c r="L356" s="583"/>
      <c r="M356" s="583"/>
      <c r="N356" s="588"/>
      <c r="O356" s="568"/>
      <c r="P356" s="568"/>
      <c r="Q356" s="568"/>
      <c r="R356" s="588"/>
      <c r="S356" s="568"/>
      <c r="T356" s="568"/>
      <c r="U356" s="568"/>
      <c r="V356" s="588"/>
      <c r="W356" s="568"/>
      <c r="X356" s="583"/>
      <c r="Y356" s="583"/>
      <c r="Z356" s="583"/>
      <c r="AA356" s="583"/>
      <c r="AB356" s="583"/>
      <c r="AC356" s="583"/>
      <c r="AD356" s="583"/>
      <c r="AE356" s="583"/>
      <c r="AF356" s="583"/>
      <c r="AG356" s="583"/>
      <c r="AH356" s="583"/>
      <c r="AI356" s="568"/>
      <c r="AJ356" s="568"/>
      <c r="AK356" s="568"/>
      <c r="AL356" s="568"/>
      <c r="AM356" s="568"/>
      <c r="AN356" s="583"/>
      <c r="AO356" s="571"/>
    </row>
    <row r="357" spans="1:44" x14ac:dyDescent="0.25">
      <c r="A357" s="132" t="s">
        <v>564</v>
      </c>
      <c r="C357" s="611"/>
      <c r="D357" s="611"/>
      <c r="E357" s="611"/>
      <c r="F357" s="616"/>
      <c r="G357" s="611">
        <f>8.234+0.224</f>
        <v>8.4580000000000002</v>
      </c>
      <c r="H357" s="611">
        <f>19.994+0.224-G357</f>
        <v>11.76</v>
      </c>
      <c r="I357" s="611">
        <f>31.658+0.224-H357-G357</f>
        <v>11.664</v>
      </c>
      <c r="J357" s="616">
        <f>+AJ357-SUM(G357:I357)</f>
        <v>9.4870000000000019</v>
      </c>
      <c r="K357" s="611">
        <f>+Daloopa!K265/1000</f>
        <v>7.1529999999999996</v>
      </c>
      <c r="L357" s="611">
        <f>+Daloopa!L265/1000</f>
        <v>6.5679999999999996</v>
      </c>
      <c r="M357" s="611">
        <f>+Daloopa!M265/1000</f>
        <v>4.641</v>
      </c>
      <c r="N357" s="616">
        <f>+Daloopa!N265/1000</f>
        <v>4.6669999999999998</v>
      </c>
      <c r="O357" s="611">
        <f>+Daloopa!O265/1000</f>
        <v>4.774</v>
      </c>
      <c r="P357" s="611">
        <f>+Daloopa!P265/1000</f>
        <v>5.4169999999999998</v>
      </c>
      <c r="Q357" s="611">
        <f>17.64-P357-O357</f>
        <v>7.4490000000000007</v>
      </c>
      <c r="R357" s="616">
        <f>+AL357-SUM(O357:Q357)</f>
        <v>9.402000000000001</v>
      </c>
      <c r="S357" s="611">
        <v>10.625</v>
      </c>
      <c r="T357" s="611">
        <f>21.933-S357</f>
        <v>11.308</v>
      </c>
      <c r="U357" s="611">
        <f>33.787-T357-S357</f>
        <v>11.853999999999999</v>
      </c>
      <c r="V357" s="616">
        <f>+AM357-SUM(S357:U357)</f>
        <v>11.910000000000004</v>
      </c>
      <c r="W357" s="611">
        <v>11.954000000000001</v>
      </c>
      <c r="X357" s="611">
        <f>23.887-W357</f>
        <v>11.933</v>
      </c>
      <c r="Y357" s="611">
        <f>36.174-X357-W357</f>
        <v>12.286999999999999</v>
      </c>
      <c r="Z357" s="611"/>
      <c r="AA357" s="611"/>
      <c r="AB357" s="611"/>
      <c r="AC357" s="611"/>
      <c r="AD357" s="611"/>
      <c r="AE357" s="611"/>
      <c r="AF357" s="611"/>
      <c r="AG357" s="611"/>
      <c r="AH357" s="611"/>
      <c r="AI357" s="611">
        <v>55.783999999999999</v>
      </c>
      <c r="AJ357" s="611">
        <f>41.145+0.224</f>
        <v>41.369</v>
      </c>
      <c r="AK357" s="611">
        <f>SUM(K357:N357)</f>
        <v>23.029000000000003</v>
      </c>
      <c r="AL357" s="611">
        <v>27.042000000000002</v>
      </c>
      <c r="AM357" s="611">
        <v>45.697000000000003</v>
      </c>
      <c r="AN357" s="583"/>
      <c r="AO357" s="571"/>
    </row>
    <row r="358" spans="1:44" x14ac:dyDescent="0.25">
      <c r="A358" s="132" t="s">
        <v>565</v>
      </c>
      <c r="C358" s="611"/>
      <c r="D358" s="611"/>
      <c r="E358" s="611"/>
      <c r="F358" s="616"/>
      <c r="G358" s="611">
        <f>0.968+0.279</f>
        <v>1.2469999999999999</v>
      </c>
      <c r="H358" s="611">
        <f>1.915+0.279-G358</f>
        <v>0.94700000000000006</v>
      </c>
      <c r="I358" s="611">
        <f>2.994+0.279-H358-G358</f>
        <v>1.0790000000000002</v>
      </c>
      <c r="J358" s="616">
        <f>+AJ358-SUM(G358:I358)</f>
        <v>1.7919999999999994</v>
      </c>
      <c r="K358" s="611">
        <f>+Daloopa!K264/1000</f>
        <v>0.29799999999999999</v>
      </c>
      <c r="L358" s="611">
        <f>+Daloopa!L264/1000</f>
        <v>3.4380000000000002</v>
      </c>
      <c r="M358" s="611">
        <f>+Daloopa!M264/1000</f>
        <v>2.3330000000000002</v>
      </c>
      <c r="N358" s="616">
        <f>+Daloopa!N264/1000</f>
        <v>4.2919999999999998</v>
      </c>
      <c r="O358" s="611">
        <f>+Daloopa!O264/1000</f>
        <v>1.7130000000000001</v>
      </c>
      <c r="P358" s="611">
        <f>+Daloopa!P264/1000</f>
        <v>4.468</v>
      </c>
      <c r="Q358" s="611">
        <f>11.321-P358-O358</f>
        <v>5.14</v>
      </c>
      <c r="R358" s="616">
        <f>+AL358-SUM(O358:Q358)</f>
        <v>6.1540000000000017</v>
      </c>
      <c r="S358" s="611">
        <v>2.0489999999999999</v>
      </c>
      <c r="T358" s="611">
        <f>13.797-S358</f>
        <v>11.748000000000001</v>
      </c>
      <c r="U358" s="611">
        <f>21.006-T358-S358</f>
        <v>7.2089999999999996</v>
      </c>
      <c r="V358" s="616">
        <f>+AM358-SUM(S358:U358)</f>
        <v>10.617000000000001</v>
      </c>
      <c r="W358" s="611">
        <v>2.5099999999999998</v>
      </c>
      <c r="X358" s="611">
        <f>17.158-W358</f>
        <v>14.648000000000001</v>
      </c>
      <c r="Y358" s="611">
        <f>19.168-X358-W358</f>
        <v>2.009999999999998</v>
      </c>
      <c r="Z358" s="611"/>
      <c r="AA358" s="611"/>
      <c r="AB358" s="611"/>
      <c r="AC358" s="611"/>
      <c r="AD358" s="611"/>
      <c r="AE358" s="611"/>
      <c r="AF358" s="611"/>
      <c r="AG358" s="611"/>
      <c r="AH358" s="611"/>
      <c r="AI358" s="611">
        <v>5.2489999999999997</v>
      </c>
      <c r="AJ358" s="611">
        <f>4.786+0.279</f>
        <v>5.0649999999999995</v>
      </c>
      <c r="AK358" s="611">
        <f>SUM(K358:N358)</f>
        <v>10.361000000000001</v>
      </c>
      <c r="AL358" s="611">
        <v>17.475000000000001</v>
      </c>
      <c r="AM358" s="611">
        <v>31.623000000000001</v>
      </c>
      <c r="AN358" s="583"/>
      <c r="AO358" s="571"/>
    </row>
    <row r="359" spans="1:44" x14ac:dyDescent="0.25">
      <c r="C359" s="566"/>
      <c r="D359" s="566"/>
      <c r="E359" s="566"/>
      <c r="F359" s="581"/>
      <c r="G359" s="566"/>
      <c r="H359" s="566"/>
      <c r="I359" s="566"/>
      <c r="J359" s="581"/>
      <c r="K359" s="566"/>
      <c r="L359" s="566"/>
      <c r="M359" s="566"/>
      <c r="N359" s="581"/>
      <c r="O359" s="566"/>
      <c r="P359" s="566"/>
      <c r="Q359" s="566"/>
      <c r="R359" s="581"/>
      <c r="S359" s="566"/>
      <c r="T359" s="566"/>
      <c r="U359" s="566"/>
      <c r="V359" s="581"/>
      <c r="W359" s="566"/>
      <c r="X359" s="566"/>
      <c r="Y359" s="566"/>
      <c r="Z359" s="566"/>
      <c r="AA359" s="566"/>
      <c r="AB359" s="566"/>
      <c r="AC359" s="566"/>
      <c r="AD359" s="566"/>
      <c r="AE359" s="566"/>
      <c r="AF359" s="566"/>
      <c r="AG359" s="566"/>
      <c r="AH359" s="566"/>
      <c r="AI359" s="566"/>
      <c r="AJ359" s="566"/>
      <c r="AK359" s="566"/>
      <c r="AL359" s="566"/>
      <c r="AM359" s="566"/>
      <c r="AN359" s="566"/>
    </row>
    <row r="360" spans="1:44" s="199" customFormat="1" ht="13" x14ac:dyDescent="0.3">
      <c r="A360" s="574" t="s">
        <v>231</v>
      </c>
      <c r="C360" s="970"/>
      <c r="D360" s="970"/>
      <c r="E360" s="970"/>
      <c r="F360" s="971"/>
      <c r="G360" s="970"/>
      <c r="H360" s="970"/>
      <c r="I360" s="970"/>
      <c r="J360" s="971"/>
      <c r="K360" s="970"/>
      <c r="L360" s="970"/>
      <c r="M360" s="970"/>
      <c r="N360" s="971"/>
      <c r="O360" s="970"/>
      <c r="P360" s="970"/>
      <c r="Q360" s="970"/>
      <c r="R360" s="971"/>
      <c r="S360" s="970"/>
      <c r="T360" s="970"/>
      <c r="U360" s="970"/>
      <c r="V360" s="971"/>
      <c r="W360" s="970"/>
      <c r="X360" s="970"/>
      <c r="Y360" s="970"/>
      <c r="Z360" s="970"/>
      <c r="AA360" s="970"/>
      <c r="AB360" s="970"/>
      <c r="AC360" s="970"/>
      <c r="AD360" s="970"/>
      <c r="AE360" s="970"/>
      <c r="AF360" s="970"/>
      <c r="AG360" s="970"/>
      <c r="AH360" s="970"/>
      <c r="AI360" s="970"/>
      <c r="AJ360" s="970"/>
      <c r="AK360" s="970"/>
      <c r="AL360" s="970"/>
      <c r="AM360" s="970"/>
      <c r="AN360" s="970"/>
    </row>
    <row r="361" spans="1:44" s="578" customFormat="1" ht="13" x14ac:dyDescent="0.3">
      <c r="A361" s="153" t="str">
        <f>+'FA - Detailed Disclosure'!A27</f>
        <v>Provision for income taxes</v>
      </c>
      <c r="C361" s="972"/>
      <c r="D361" s="972"/>
      <c r="E361" s="972"/>
      <c r="F361" s="973"/>
      <c r="G361" s="972">
        <f>+'FA - Detailed Disclosure'!G27</f>
        <v>-5.7910000000000013</v>
      </c>
      <c r="H361" s="972">
        <f>+'FA - Detailed Disclosure'!H27</f>
        <v>-3.4990000000000001</v>
      </c>
      <c r="I361" s="972">
        <f>+'FA - Detailed Disclosure'!I27</f>
        <v>-2.8889999999999998</v>
      </c>
      <c r="J361" s="973">
        <f>+'FA - Detailed Disclosure'!J27</f>
        <v>-4.7E-2</v>
      </c>
      <c r="K361" s="972">
        <f>+'FA - Detailed Disclosure'!K27</f>
        <v>-4.4349999999999996</v>
      </c>
      <c r="L361" s="972">
        <f>+'FA - Detailed Disclosure'!L27</f>
        <v>3.0630000000000002</v>
      </c>
      <c r="M361" s="972">
        <f>+'FA - Detailed Disclosure'!M27</f>
        <v>3.3969999999999998</v>
      </c>
      <c r="N361" s="973">
        <f>+'FA - Detailed Disclosure'!N27</f>
        <v>6.8369999999999997</v>
      </c>
      <c r="O361" s="972">
        <f>+'FA - Detailed Disclosure'!O27</f>
        <v>4.9349999999999996</v>
      </c>
      <c r="P361" s="972">
        <f>+'FA - Detailed Disclosure'!P27</f>
        <v>5.4320000000000004</v>
      </c>
      <c r="Q361" s="972">
        <f>+'FA - Detailed Disclosure'!Q27</f>
        <v>6.7089999999999996</v>
      </c>
      <c r="R361" s="973">
        <f>+'FA - Detailed Disclosure'!R27</f>
        <v>3.399</v>
      </c>
      <c r="S361" s="972">
        <f>+'FA - Detailed Disclosure'!S27</f>
        <v>0.68100000000000005</v>
      </c>
      <c r="T361" s="972">
        <f>+'FA - Detailed Disclosure'!T27</f>
        <v>3.968</v>
      </c>
      <c r="U361" s="972">
        <f>+'FA - Detailed Disclosure'!U27</f>
        <v>4.8810000000000002</v>
      </c>
      <c r="V361" s="973">
        <f>+AM361-SUM(S361:U361)</f>
        <v>1.6530000000000005</v>
      </c>
      <c r="W361" s="972">
        <f>+'FA - Detailed Disclosure'!W27</f>
        <v>-1.3879999999999999</v>
      </c>
      <c r="X361" s="972">
        <f>+'FA - Detailed Disclosure'!X27</f>
        <v>0.68899999999999995</v>
      </c>
      <c r="Y361" s="972">
        <f>+'FA - Detailed Disclosure'!Y27</f>
        <v>0.78200000000000003</v>
      </c>
      <c r="Z361" s="972"/>
      <c r="AA361" s="972">
        <f>+'FA - Detailed Disclosure'!AA27</f>
        <v>0</v>
      </c>
      <c r="AB361" s="972">
        <f>+'FA - Detailed Disclosure'!AB27</f>
        <v>0</v>
      </c>
      <c r="AC361" s="972">
        <f>+'FA - Detailed Disclosure'!AC27</f>
        <v>0</v>
      </c>
      <c r="AD361" s="972">
        <f>+'FA - Detailed Disclosure'!AD27</f>
        <v>0</v>
      </c>
      <c r="AE361" s="972">
        <f>+'FA - Detailed Disclosure'!AE27</f>
        <v>0</v>
      </c>
      <c r="AF361" s="972">
        <f>+'FA - Detailed Disclosure'!AF27</f>
        <v>0</v>
      </c>
      <c r="AG361" s="972">
        <f>+'FA - Detailed Disclosure'!AG27</f>
        <v>0</v>
      </c>
      <c r="AH361" s="972">
        <f>+'FA - Detailed Disclosure'!AH27</f>
        <v>0</v>
      </c>
      <c r="AI361" s="972">
        <f>+'FA - Detailed Disclosure'!AI27</f>
        <v>6.8979999999999997</v>
      </c>
      <c r="AJ361" s="972">
        <f>+'FA - Detailed Disclosure'!AJ27</f>
        <v>-12.226000000000001</v>
      </c>
      <c r="AK361" s="972">
        <f>+'FA - Detailed Disclosure'!AK27</f>
        <v>8.8620000000000001</v>
      </c>
      <c r="AL361" s="972">
        <f>+'FA - Detailed Disclosure'!AL27</f>
        <v>20.475000000000001</v>
      </c>
      <c r="AM361" s="972">
        <f>+'FA - Detailed Disclosure'!AM27</f>
        <v>11.183000000000002</v>
      </c>
      <c r="AN361" s="602"/>
      <c r="AO361" s="579"/>
    </row>
    <row r="362" spans="1:44" s="199" customFormat="1" ht="13" x14ac:dyDescent="0.3">
      <c r="A362" s="687" t="s">
        <v>566</v>
      </c>
      <c r="C362" s="970"/>
      <c r="D362" s="970"/>
      <c r="E362" s="970"/>
      <c r="F362" s="971"/>
      <c r="G362" s="970">
        <f t="shared" ref="G362:S362" si="524">+G358-G361</f>
        <v>7.0380000000000011</v>
      </c>
      <c r="H362" s="970">
        <f t="shared" si="524"/>
        <v>4.4459999999999997</v>
      </c>
      <c r="I362" s="970">
        <f t="shared" si="524"/>
        <v>3.968</v>
      </c>
      <c r="J362" s="971">
        <f t="shared" si="524"/>
        <v>1.8389999999999993</v>
      </c>
      <c r="K362" s="597">
        <f t="shared" si="524"/>
        <v>4.7329999999999997</v>
      </c>
      <c r="L362" s="597">
        <f t="shared" si="524"/>
        <v>0.375</v>
      </c>
      <c r="M362" s="597">
        <f t="shared" si="524"/>
        <v>-1.0639999999999996</v>
      </c>
      <c r="N362" s="598">
        <f t="shared" si="524"/>
        <v>-2.5449999999999999</v>
      </c>
      <c r="O362" s="597">
        <f t="shared" si="524"/>
        <v>-3.2219999999999995</v>
      </c>
      <c r="P362" s="597">
        <f t="shared" si="524"/>
        <v>-0.96400000000000041</v>
      </c>
      <c r="Q362" s="597">
        <f t="shared" si="524"/>
        <v>-1.569</v>
      </c>
      <c r="R362" s="598">
        <f t="shared" si="524"/>
        <v>2.7550000000000017</v>
      </c>
      <c r="S362" s="597">
        <f t="shared" si="524"/>
        <v>1.3679999999999999</v>
      </c>
      <c r="T362" s="597">
        <f t="shared" ref="T362:U362" si="525">+T358-T361</f>
        <v>7.7800000000000011</v>
      </c>
      <c r="U362" s="597">
        <f t="shared" si="525"/>
        <v>2.3279999999999994</v>
      </c>
      <c r="V362" s="598">
        <f>+AM362-SUM(S362:U362)</f>
        <v>8.9639999999999969</v>
      </c>
      <c r="W362" s="597">
        <f t="shared" ref="W362:X362" si="526">+W358-W361</f>
        <v>3.8979999999999997</v>
      </c>
      <c r="X362" s="597">
        <f t="shared" si="526"/>
        <v>13.959000000000001</v>
      </c>
      <c r="Y362" s="597">
        <f t="shared" ref="Y362" si="527">+Y358-Y361</f>
        <v>1.227999999999998</v>
      </c>
      <c r="Z362" s="597"/>
      <c r="AA362" s="597">
        <f t="shared" ref="AA362:AL362" si="528">+AA358-AA361</f>
        <v>0</v>
      </c>
      <c r="AB362" s="597">
        <f t="shared" si="528"/>
        <v>0</v>
      </c>
      <c r="AC362" s="597">
        <f t="shared" si="528"/>
        <v>0</v>
      </c>
      <c r="AD362" s="597">
        <f t="shared" si="528"/>
        <v>0</v>
      </c>
      <c r="AE362" s="597">
        <f t="shared" si="528"/>
        <v>0</v>
      </c>
      <c r="AF362" s="597">
        <f t="shared" si="528"/>
        <v>0</v>
      </c>
      <c r="AG362" s="597">
        <f t="shared" si="528"/>
        <v>0</v>
      </c>
      <c r="AH362" s="597">
        <f t="shared" si="528"/>
        <v>0</v>
      </c>
      <c r="AI362" s="597">
        <f t="shared" si="528"/>
        <v>-1.649</v>
      </c>
      <c r="AJ362" s="597">
        <f t="shared" si="528"/>
        <v>17.291</v>
      </c>
      <c r="AK362" s="597">
        <f t="shared" si="528"/>
        <v>1.4990000000000006</v>
      </c>
      <c r="AL362" s="597">
        <f t="shared" si="528"/>
        <v>-3</v>
      </c>
      <c r="AM362" s="597">
        <f t="shared" ref="AM362" si="529">+AM358-AM361</f>
        <v>20.439999999999998</v>
      </c>
      <c r="AN362" s="970"/>
    </row>
    <row r="363" spans="1:44" x14ac:dyDescent="0.25">
      <c r="C363" s="566"/>
      <c r="D363" s="566"/>
      <c r="E363" s="566"/>
      <c r="F363" s="581"/>
      <c r="G363" s="566"/>
      <c r="H363" s="566"/>
      <c r="I363" s="566"/>
      <c r="J363" s="581"/>
      <c r="K363" s="566"/>
      <c r="L363" s="566"/>
      <c r="M363" s="566"/>
      <c r="N363" s="581"/>
      <c r="O363" s="566"/>
      <c r="P363" s="566"/>
      <c r="Q363" s="566"/>
      <c r="R363" s="581"/>
      <c r="S363" s="566"/>
      <c r="T363" s="566"/>
      <c r="U363" s="566"/>
      <c r="V363" s="581"/>
      <c r="W363" s="566"/>
      <c r="X363" s="566"/>
      <c r="Y363" s="566"/>
      <c r="Z363" s="566"/>
      <c r="AA363" s="566"/>
      <c r="AB363" s="566"/>
      <c r="AC363" s="566"/>
      <c r="AD363" s="566"/>
      <c r="AE363" s="566"/>
      <c r="AF363" s="566"/>
      <c r="AG363" s="566"/>
      <c r="AH363" s="566"/>
      <c r="AI363" s="566"/>
      <c r="AJ363" s="566"/>
      <c r="AK363" s="566"/>
      <c r="AL363" s="566"/>
      <c r="AM363" s="566"/>
      <c r="AN363" s="566"/>
    </row>
    <row r="364" spans="1:44" x14ac:dyDescent="0.25">
      <c r="C364" s="566"/>
      <c r="D364" s="566"/>
      <c r="E364" s="566"/>
      <c r="F364" s="581"/>
      <c r="G364" s="566"/>
      <c r="H364" s="566"/>
      <c r="I364" s="566"/>
      <c r="J364" s="581"/>
      <c r="K364" s="566"/>
      <c r="L364" s="566"/>
      <c r="M364" s="566"/>
      <c r="N364" s="581"/>
      <c r="O364" s="566"/>
      <c r="P364" s="566"/>
      <c r="Q364" s="566"/>
      <c r="R364" s="581"/>
      <c r="S364" s="566"/>
      <c r="T364" s="566"/>
      <c r="U364" s="566"/>
      <c r="V364" s="581"/>
      <c r="W364" s="566"/>
      <c r="X364" s="566"/>
      <c r="Y364" s="566"/>
      <c r="Z364" s="566"/>
      <c r="AA364" s="566"/>
      <c r="AB364" s="566"/>
      <c r="AC364" s="566"/>
      <c r="AD364" s="566"/>
      <c r="AE364" s="566"/>
      <c r="AF364" s="566"/>
      <c r="AG364" s="566"/>
      <c r="AH364" s="566"/>
      <c r="AI364" s="566"/>
      <c r="AJ364" s="566"/>
      <c r="AK364" s="566"/>
      <c r="AL364" s="566"/>
      <c r="AM364" s="566"/>
      <c r="AN364" s="566"/>
    </row>
    <row r="365" spans="1:44" x14ac:dyDescent="0.25">
      <c r="C365" s="566"/>
      <c r="D365" s="566"/>
      <c r="E365" s="566"/>
      <c r="F365" s="581"/>
      <c r="G365" s="566"/>
      <c r="H365" s="566"/>
      <c r="I365" s="566"/>
      <c r="J365" s="581"/>
      <c r="K365" s="566"/>
      <c r="L365" s="566"/>
      <c r="M365" s="566"/>
      <c r="N365" s="581"/>
      <c r="O365" s="566"/>
      <c r="P365" s="566"/>
      <c r="Q365" s="566"/>
      <c r="R365" s="581"/>
      <c r="S365" s="566"/>
      <c r="T365" s="566"/>
      <c r="U365" s="566"/>
      <c r="V365" s="581"/>
      <c r="W365" s="566"/>
      <c r="X365" s="566"/>
      <c r="Y365" s="566"/>
      <c r="Z365" s="566"/>
      <c r="AA365" s="566"/>
      <c r="AB365" s="566"/>
      <c r="AC365" s="566"/>
      <c r="AD365" s="566"/>
      <c r="AE365" s="566"/>
      <c r="AF365" s="566"/>
      <c r="AG365" s="566"/>
      <c r="AH365" s="566"/>
      <c r="AI365" s="566"/>
      <c r="AJ365" s="566"/>
      <c r="AK365" s="566"/>
      <c r="AL365" s="566"/>
      <c r="AM365" s="566"/>
      <c r="AN365" s="566"/>
    </row>
    <row r="366" spans="1:44" x14ac:dyDescent="0.25">
      <c r="C366" s="566"/>
      <c r="D366" s="566"/>
      <c r="E366" s="566"/>
      <c r="F366" s="581"/>
      <c r="G366" s="566"/>
      <c r="H366" s="566"/>
      <c r="I366" s="566"/>
      <c r="J366" s="581"/>
      <c r="K366" s="566"/>
      <c r="L366" s="566"/>
      <c r="M366" s="566"/>
      <c r="N366" s="581"/>
      <c r="O366" s="566"/>
      <c r="P366" s="566"/>
      <c r="Q366" s="566"/>
      <c r="R366" s="581"/>
      <c r="S366" s="566"/>
      <c r="T366" s="566"/>
      <c r="U366" s="566"/>
      <c r="V366" s="581"/>
      <c r="W366" s="566"/>
      <c r="X366" s="566"/>
      <c r="Y366" s="566"/>
      <c r="Z366" s="566"/>
      <c r="AA366" s="566"/>
      <c r="AB366" s="566"/>
      <c r="AC366" s="566"/>
      <c r="AD366" s="566"/>
      <c r="AE366" s="566"/>
      <c r="AF366" s="566"/>
      <c r="AG366" s="566"/>
      <c r="AH366" s="566"/>
      <c r="AI366" s="566"/>
      <c r="AJ366" s="566"/>
      <c r="AK366" s="566"/>
      <c r="AL366" s="566"/>
      <c r="AM366" s="566"/>
      <c r="AN366" s="566"/>
    </row>
    <row r="367" spans="1:44" x14ac:dyDescent="0.25">
      <c r="C367" s="566"/>
      <c r="D367" s="566"/>
      <c r="E367" s="566"/>
      <c r="F367" s="581"/>
      <c r="G367" s="566"/>
      <c r="H367" s="566"/>
      <c r="I367" s="566"/>
      <c r="J367" s="581"/>
      <c r="K367" s="566"/>
      <c r="L367" s="566"/>
      <c r="M367" s="566"/>
      <c r="N367" s="581"/>
      <c r="O367" s="566"/>
      <c r="P367" s="566"/>
      <c r="Q367" s="566"/>
      <c r="R367" s="581"/>
      <c r="S367" s="566"/>
      <c r="T367" s="566"/>
      <c r="U367" s="566"/>
      <c r="V367" s="581"/>
      <c r="W367" s="566"/>
      <c r="X367" s="566"/>
      <c r="Y367" s="566"/>
      <c r="Z367" s="566"/>
      <c r="AA367" s="566"/>
      <c r="AB367" s="566"/>
      <c r="AC367" s="566"/>
      <c r="AD367" s="566"/>
      <c r="AE367" s="566"/>
      <c r="AF367" s="566"/>
      <c r="AG367" s="566"/>
      <c r="AH367" s="566"/>
      <c r="AI367" s="566"/>
      <c r="AJ367" s="566"/>
      <c r="AK367" s="566"/>
      <c r="AL367" s="566"/>
      <c r="AM367" s="566"/>
      <c r="AN367" s="566"/>
    </row>
    <row r="368" spans="1:44" x14ac:dyDescent="0.25">
      <c r="C368" s="566"/>
      <c r="D368" s="566"/>
      <c r="E368" s="566"/>
      <c r="F368" s="581"/>
      <c r="G368" s="566"/>
      <c r="H368" s="566"/>
      <c r="I368" s="566"/>
      <c r="J368" s="581"/>
      <c r="K368" s="566"/>
      <c r="L368" s="566"/>
      <c r="M368" s="566"/>
      <c r="N368" s="581"/>
      <c r="O368" s="566"/>
      <c r="P368" s="566"/>
      <c r="Q368" s="566"/>
      <c r="R368" s="581"/>
      <c r="S368" s="566"/>
      <c r="T368" s="566"/>
      <c r="U368" s="566"/>
      <c r="V368" s="581"/>
      <c r="W368" s="566"/>
      <c r="X368" s="566"/>
      <c r="Y368" s="566"/>
      <c r="Z368" s="566"/>
      <c r="AA368" s="566"/>
      <c r="AB368" s="566"/>
      <c r="AC368" s="566"/>
      <c r="AD368" s="566"/>
      <c r="AE368" s="566"/>
      <c r="AF368" s="566"/>
      <c r="AG368" s="566"/>
      <c r="AH368" s="566"/>
      <c r="AI368" s="566"/>
      <c r="AJ368" s="566"/>
      <c r="AK368" s="566"/>
      <c r="AL368" s="566"/>
      <c r="AM368" s="566"/>
      <c r="AN368" s="566"/>
    </row>
    <row r="369" spans="6:22" x14ac:dyDescent="0.25">
      <c r="F369" s="407"/>
      <c r="J369" s="407"/>
      <c r="N369" s="407"/>
      <c r="R369" s="407"/>
      <c r="V369" s="407"/>
    </row>
    <row r="370" spans="6:22" x14ac:dyDescent="0.25">
      <c r="F370" s="407"/>
      <c r="J370" s="407"/>
      <c r="N370" s="407"/>
      <c r="R370" s="407"/>
      <c r="V370" s="407"/>
    </row>
    <row r="371" spans="6:22" x14ac:dyDescent="0.25">
      <c r="F371" s="407"/>
      <c r="J371" s="407"/>
      <c r="N371" s="407"/>
      <c r="R371" s="407"/>
      <c r="V371" s="407"/>
    </row>
    <row r="372" spans="6:22" x14ac:dyDescent="0.25">
      <c r="F372" s="407"/>
      <c r="J372" s="407"/>
      <c r="N372" s="407"/>
      <c r="R372" s="407"/>
      <c r="V372" s="407"/>
    </row>
    <row r="373" spans="6:22" x14ac:dyDescent="0.25">
      <c r="F373" s="407"/>
      <c r="J373" s="407"/>
      <c r="N373" s="407"/>
      <c r="R373" s="407"/>
      <c r="V373" s="407"/>
    </row>
    <row r="374" spans="6:22" x14ac:dyDescent="0.25">
      <c r="F374" s="407"/>
      <c r="J374" s="407"/>
      <c r="N374" s="407"/>
      <c r="R374" s="407"/>
      <c r="V374" s="407"/>
    </row>
    <row r="375" spans="6:22" x14ac:dyDescent="0.25">
      <c r="R375" s="407"/>
      <c r="V375" s="407"/>
    </row>
    <row r="376" spans="6:22" x14ac:dyDescent="0.25">
      <c r="R376" s="407"/>
      <c r="V376" s="407"/>
    </row>
    <row r="377" spans="6:22" x14ac:dyDescent="0.25">
      <c r="R377" s="407"/>
    </row>
    <row r="378" spans="6:22" x14ac:dyDescent="0.25">
      <c r="R378" s="407"/>
    </row>
    <row r="379" spans="6:22" x14ac:dyDescent="0.25">
      <c r="R379" s="407"/>
    </row>
    <row r="380" spans="6:22" x14ac:dyDescent="0.25">
      <c r="R380" s="407"/>
    </row>
    <row r="381" spans="6:22" x14ac:dyDescent="0.25">
      <c r="R381" s="407"/>
    </row>
    <row r="382" spans="6:22" x14ac:dyDescent="0.25">
      <c r="R382" s="407"/>
    </row>
    <row r="383" spans="6:22" x14ac:dyDescent="0.25">
      <c r="R383" s="407"/>
    </row>
    <row r="384" spans="6:22" x14ac:dyDescent="0.25">
      <c r="R384" s="407"/>
    </row>
    <row r="385" spans="18:18" x14ac:dyDescent="0.25">
      <c r="R385" s="407"/>
    </row>
    <row r="386" spans="18:18" x14ac:dyDescent="0.25">
      <c r="R386" s="407"/>
    </row>
    <row r="387" spans="18:18" x14ac:dyDescent="0.25">
      <c r="R387" s="407"/>
    </row>
    <row r="388" spans="18:18" x14ac:dyDescent="0.25">
      <c r="R388" s="407"/>
    </row>
    <row r="389" spans="18:18" x14ac:dyDescent="0.25">
      <c r="R389" s="407"/>
    </row>
    <row r="390" spans="18:18" x14ac:dyDescent="0.25">
      <c r="R390" s="407"/>
    </row>
    <row r="391" spans="18:18" x14ac:dyDescent="0.25">
      <c r="R391" s="407"/>
    </row>
    <row r="392" spans="18:18" x14ac:dyDescent="0.25">
      <c r="R392" s="407"/>
    </row>
    <row r="393" spans="18:18" x14ac:dyDescent="0.25">
      <c r="R393" s="407"/>
    </row>
    <row r="394" spans="18:18" x14ac:dyDescent="0.25">
      <c r="R394" s="407"/>
    </row>
    <row r="395" spans="18:18" x14ac:dyDescent="0.25">
      <c r="R395" s="407"/>
    </row>
    <row r="396" spans="18:18" x14ac:dyDescent="0.25">
      <c r="R396" s="407"/>
    </row>
    <row r="397" spans="18:18" x14ac:dyDescent="0.25">
      <c r="R397" s="407"/>
    </row>
    <row r="398" spans="18:18" x14ac:dyDescent="0.25">
      <c r="R398" s="407"/>
    </row>
    <row r="399" spans="18:18" x14ac:dyDescent="0.25">
      <c r="R399" s="407"/>
    </row>
    <row r="400" spans="18:18" x14ac:dyDescent="0.25">
      <c r="R400" s="407"/>
    </row>
    <row r="401" spans="18:18" x14ac:dyDescent="0.25">
      <c r="R401" s="407"/>
    </row>
    <row r="402" spans="18:18" x14ac:dyDescent="0.25">
      <c r="R402" s="407"/>
    </row>
    <row r="403" spans="18:18" x14ac:dyDescent="0.25">
      <c r="R403" s="407"/>
    </row>
  </sheetData>
  <hyperlinks>
    <hyperlink ref="A67" r:id="rId1" xr:uid="{C8B54892-6024-406A-B6F9-F95D25406863}"/>
    <hyperlink ref="A68" r:id="rId2" xr:uid="{381B1CA1-17D3-4966-8512-763925F7162D}"/>
    <hyperlink ref="A69" r:id="rId3" xr:uid="{384D45EF-3F46-451D-A35D-3CD9269FA66A}"/>
    <hyperlink ref="A70" r:id="rId4" xr:uid="{A441847F-2F02-4668-B3F3-BD21AAEA1ED5}"/>
    <hyperlink ref="A71" r:id="rId5" xr:uid="{59EF458E-CC10-4785-9D24-94B9C467E6E9}"/>
    <hyperlink ref="A72" r:id="rId6" xr:uid="{67079403-3646-455F-B7B9-A816955BFD5D}"/>
    <hyperlink ref="A73" r:id="rId7" xr:uid="{07312410-2025-4115-9D5E-A275E4C831F1}"/>
    <hyperlink ref="A74" r:id="rId8" xr:uid="{E9DAF089-FABE-4DD4-AD0F-78B5183E460A}"/>
    <hyperlink ref="A75" r:id="rId9" xr:uid="{2720CCF4-156B-403B-BE3A-43D0CC47B14B}"/>
    <hyperlink ref="A76" r:id="rId10" xr:uid="{7FA28A90-FB5B-4AF6-A15F-9C6FD0D25429}"/>
    <hyperlink ref="A225" r:id="rId11" xr:uid="{B0042460-3349-4C3A-A5A9-BD58D2670B65}"/>
    <hyperlink ref="A226" r:id="rId12" xr:uid="{E7831CDC-3A76-4C54-8A39-3E82C764E9F7}"/>
    <hyperlink ref="A227" r:id="rId13" xr:uid="{DDFEE96E-9B47-4B99-8C24-60CCCE4D673B}"/>
    <hyperlink ref="A228" r:id="rId14" xr:uid="{43342031-B9CB-4EF5-A52D-D695D8DEBB8D}"/>
    <hyperlink ref="A229" r:id="rId15" xr:uid="{CF0D9D0D-0CD0-4AFC-840B-6480B9C85EF9}"/>
    <hyperlink ref="A230" r:id="rId16" xr:uid="{68545568-3AF5-417D-BF3D-14F345E61C14}"/>
    <hyperlink ref="A231" r:id="rId17" xr:uid="{17BC67A6-BFA5-446C-8B91-E03AA9F9F686}"/>
    <hyperlink ref="A232" r:id="rId18" xr:uid="{A689B28B-DCF7-48A7-AF0E-139CE3A2946A}"/>
    <hyperlink ref="A233" r:id="rId19" xr:uid="{3C07AC52-2F06-43C5-AC7F-122A1FF02DA6}"/>
    <hyperlink ref="A234" r:id="rId20" xr:uid="{47F7305B-6C09-4CC5-A7FE-F9406E456BCB}"/>
    <hyperlink ref="A235" r:id="rId21" xr:uid="{AFA7854B-53BC-432D-8D1C-6FEF6BC20F79}"/>
    <hyperlink ref="A236" r:id="rId22" xr:uid="{28BDFE4E-CD3B-47D4-8363-8A541F6E23BA}"/>
    <hyperlink ref="A237" r:id="rId23" xr:uid="{D50CD7BC-C94A-47F8-AC19-26ED420A1198}"/>
    <hyperlink ref="A238" r:id="rId24" xr:uid="{CEE567FE-FB33-44DE-AFEC-A34C35AB9128}"/>
    <hyperlink ref="A241" r:id="rId25" xr:uid="{AAD7CE8D-B99F-4A0D-A8EF-5DC635403F31}"/>
    <hyperlink ref="A242" r:id="rId26" xr:uid="{B20F87FC-A686-4F1B-BBC0-6C60CF3A9998}"/>
    <hyperlink ref="A243" r:id="rId27" xr:uid="{5383EB2D-564A-43CF-8C2E-BBA4BFD03AD5}"/>
    <hyperlink ref="A244" r:id="rId28" xr:uid="{2398EE06-6B05-48FF-AB33-DF8507996A4D}"/>
    <hyperlink ref="A245" r:id="rId29" display="Income tax payable" xr:uid="{9C0D844C-7DFE-4326-B0B8-AB8E39D14D24}"/>
    <hyperlink ref="A247" r:id="rId30" xr:uid="{5ADDA470-F14E-46D5-85B8-1E5AA6E508BE}"/>
    <hyperlink ref="A248" r:id="rId31" xr:uid="{E60A7989-AE3F-487E-968B-24C08E137D2D}"/>
    <hyperlink ref="A249" r:id="rId32" xr:uid="{E076578B-F91A-4D7B-89FF-4F3419D509AC}"/>
    <hyperlink ref="A250" r:id="rId33" xr:uid="{27FDCA4F-7D0F-4D84-860E-2BF2F56B689D}"/>
    <hyperlink ref="A251" r:id="rId34" display="Operating lease liability, less current portion" xr:uid="{3B9BE484-097F-4B74-92FB-00F8B48B2527}"/>
    <hyperlink ref="A252" r:id="rId35" xr:uid="{0CABFAB5-F980-47E9-8FF8-EB1511AABBB4}"/>
    <hyperlink ref="A253" r:id="rId36" xr:uid="{729E22FB-1031-4CB3-BD40-711D83D07153}"/>
    <hyperlink ref="A254" r:id="rId37" xr:uid="{5CE37709-30FF-46C0-8A4C-A6250D8DE00D}"/>
    <hyperlink ref="A308" r:id="rId38" xr:uid="{7CD14F60-8852-4750-869A-E8DBF6D91A6D}"/>
    <hyperlink ref="A309" r:id="rId39" xr:uid="{8A2C62D9-FC90-43C4-9424-836AAD7F196E}"/>
    <hyperlink ref="A310" r:id="rId40" xr:uid="{7150BC5A-24CA-4E55-B5D7-AC94D85DCD0F}"/>
    <hyperlink ref="A311" r:id="rId41" xr:uid="{787AD42C-74B8-4167-8BC9-EED32FDE79CC}"/>
    <hyperlink ref="A312" r:id="rId42" xr:uid="{826577D4-9C81-48F9-A175-42712F7A2896}"/>
    <hyperlink ref="A313" r:id="rId43" xr:uid="{44537773-7FA3-4540-A7FD-2285D3CDB62A}"/>
    <hyperlink ref="A314" r:id="rId44" xr:uid="{81DAB7AD-4DDC-4BE4-ABFC-F552B5AEF400}"/>
    <hyperlink ref="A315" r:id="rId45" xr:uid="{EF1F1E30-14A5-4CC4-9618-305CB89C5A71}"/>
    <hyperlink ref="A316" r:id="rId46" xr:uid="{2B3F51A7-3566-4D9B-8C40-0745F26C29F2}"/>
    <hyperlink ref="A317" r:id="rId47" display="Operating lease liabilities" xr:uid="{71771E92-C5DC-43A8-8D80-54FDB0CD5455}"/>
    <hyperlink ref="A318" r:id="rId48" xr:uid="{02F4B10D-9FAB-4961-966E-91664F33416B}"/>
    <hyperlink ref="A319" r:id="rId49" xr:uid="{CE28E1C4-E4C3-4CB7-865E-9AE5D868FE74}"/>
    <hyperlink ref="A322" r:id="rId50" xr:uid="{D83C39CB-497F-4B5A-9B80-24F867B9BC32}"/>
    <hyperlink ref="A323" r:id="rId51" xr:uid="{E1884E0A-F565-42D2-ADAE-2E701976DADC}"/>
    <hyperlink ref="A324" r:id="rId52" xr:uid="{A82DBCBE-6B37-4459-AFA0-A5FAB3AB2091}"/>
    <hyperlink ref="A326" r:id="rId53" xr:uid="{C36B1E43-BDD7-4D37-9ABA-45A0F913EA86}"/>
    <hyperlink ref="A327" r:id="rId54" xr:uid="{D91387CB-EC22-4E76-9869-16960E3AEC34}"/>
    <hyperlink ref="A328" r:id="rId55" xr:uid="{83F2224B-2B7C-4000-A95C-EBF1CE1604A8}"/>
    <hyperlink ref="A331" r:id="rId56" xr:uid="{A6248346-90C6-4150-8185-9F791B5F79AE}"/>
    <hyperlink ref="A332" r:id="rId57" xr:uid="{79A26D2A-6F5C-4F08-A63B-C6E9234E5B9F}"/>
    <hyperlink ref="A333" r:id="rId58" xr:uid="{3258E7AE-E938-4BB6-A0F9-83B26E562B10}"/>
    <hyperlink ref="A334" r:id="rId59" xr:uid="{5D13A94C-1872-419D-BF7A-D868780F91ED}"/>
    <hyperlink ref="A335" r:id="rId60" xr:uid="{0D7ED267-CDD5-4D96-8928-0E25CA21E0C6}"/>
    <hyperlink ref="A336" r:id="rId61" xr:uid="{6239428B-92E3-4193-92AB-AB74FDFDE6DD}"/>
    <hyperlink ref="A337" r:id="rId62" xr:uid="{88A42B70-5479-4973-A692-911F4DCB1054}"/>
    <hyperlink ref="A338" r:id="rId63" xr:uid="{FBE5DECC-2226-407D-80F3-7B7C370687BD}"/>
    <hyperlink ref="A339" r:id="rId64" xr:uid="{7333560D-E887-4980-B093-B399200E6488}"/>
    <hyperlink ref="A340" r:id="rId65" xr:uid="{673CACA4-F9C1-40F3-8F02-018A9389CD98}"/>
    <hyperlink ref="A341" r:id="rId66" xr:uid="{839606DD-69CF-4CB5-8052-6D4E296B1A20}"/>
    <hyperlink ref="A343" r:id="rId67" xr:uid="{E1B3C7A9-A8B3-4BAC-9744-B2DFD6669AAB}"/>
    <hyperlink ref="A344" r:id="rId68" xr:uid="{A8A1972C-DCFD-4425-9034-3EFDE437A592}"/>
    <hyperlink ref="A346" r:id="rId69" xr:uid="{F6F3D511-5F28-4801-BCC0-D9F105465178}"/>
    <hyperlink ref="A347" r:id="rId70" xr:uid="{FEC40137-8DC8-41B8-B2A3-A54A6ABE541A}"/>
    <hyperlink ref="A348" r:id="rId71" xr:uid="{61FA3FBE-65D2-412E-A7A4-7D60DFC3EB36}"/>
    <hyperlink ref="A349" r:id="rId72" xr:uid="{3FD8FF5E-8C3D-4127-A7AA-732F34964D12}"/>
    <hyperlink ref="A351" r:id="rId73" xr:uid="{FE88DA3C-446D-4C5D-BE09-9C80E2FBE5B4}"/>
    <hyperlink ref="A352" r:id="rId74" xr:uid="{7CB852FB-54CD-4487-9C47-9F5A07680F68}"/>
    <hyperlink ref="A353" r:id="rId75" xr:uid="{A8AE4B30-EF08-4E20-8076-D7BB2FB00CAC}"/>
    <hyperlink ref="A354" r:id="rId76" xr:uid="{81AC0573-956C-4F3B-A58C-74F94032C598}"/>
    <hyperlink ref="A358" r:id="rId77" xr:uid="{4B636307-2974-4CF0-8D01-2A6243120E12}"/>
    <hyperlink ref="A357" r:id="rId78" xr:uid="{A22B6BDB-4F2F-4129-9E4D-3C6AE22CA43E}"/>
    <hyperlink ref="A307" r:id="rId79" xr:uid="{FDD63240-226B-4C57-9839-3545CA87D64E}"/>
    <hyperlink ref="A306" r:id="rId80" xr:uid="{E48D8805-BC08-411F-A691-41A7B8C36C0D}"/>
    <hyperlink ref="A305" r:id="rId81" xr:uid="{E56A1CF8-BE1B-4C98-B6A7-1BD2A747C9FD}"/>
    <hyperlink ref="A304" r:id="rId82" xr:uid="{E888E5BE-94A1-47D6-94B7-9E8F259915C2}"/>
    <hyperlink ref="A303" r:id="rId83" xr:uid="{0378C990-6AE7-462E-9979-3C784967BD67}"/>
    <hyperlink ref="A301" r:id="rId84" xr:uid="{5A4CD2A3-83C7-48F9-931A-99FCEB80B303}"/>
    <hyperlink ref="A302" r:id="rId85" xr:uid="{F18F1A81-4CE5-4031-A82E-E82E84ECBD0C}"/>
  </hyperlinks>
  <pageMargins left="0.3" right="0.3" top="0.3" bottom="0.3" header="0.3" footer="0.3"/>
  <pageSetup scale="45" fitToHeight="0" orientation="landscape" r:id="rId86"/>
  <headerFooter>
    <oddFooter>Page &amp;P</oddFooter>
  </headerFooter>
  <rowBreaks count="4" manualBreakCount="4">
    <brk id="93" max="35" man="1"/>
    <brk id="180" max="35" man="1"/>
    <brk id="221" max="35" man="1"/>
    <brk id="297" max="35" man="1"/>
  </rowBreaks>
  <legacyDrawing r:id="rId8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3B2EC-EDF8-41DD-99D5-D8CE2EFE7700}">
  <sheetPr>
    <pageSetUpPr fitToPage="1"/>
  </sheetPr>
  <dimension ref="A1"/>
  <sheetViews>
    <sheetView view="pageBreakPreview" zoomScale="60" zoomScaleNormal="100" workbookViewId="0">
      <selection activeCell="C6" sqref="C6"/>
    </sheetView>
  </sheetViews>
  <sheetFormatPr defaultRowHeight="14.5" x14ac:dyDescent="0.35"/>
  <sheetData>
    <row r="1" spans="1:1" ht="61.5" x14ac:dyDescent="1.35">
      <c r="A1" s="2329" t="s">
        <v>567</v>
      </c>
    </row>
  </sheetData>
  <printOptions horizontalCentered="1"/>
  <pageMargins left="0.7" right="0.7" top="0.75" bottom="0.75" header="0.3" footer="0.3"/>
  <pageSetup fitToHeight="0"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D243-CF3F-4EA2-8D01-8DD1279B38E5}">
  <sheetPr>
    <pageSetUpPr fitToPage="1"/>
  </sheetPr>
  <dimension ref="A1:BH1129"/>
  <sheetViews>
    <sheetView view="pageBreakPreview" zoomScale="70" zoomScaleNormal="70" zoomScaleSheetLayoutView="70" workbookViewId="0">
      <pane xSplit="1" ySplit="5" topLeftCell="V6" activePane="bottomRight" state="frozen"/>
      <selection pane="topRight" activeCell="C6" sqref="C6"/>
      <selection pane="bottomLeft" activeCell="C6" sqref="C6"/>
      <selection pane="bottomRight" activeCell="AM1" sqref="AM1"/>
    </sheetView>
  </sheetViews>
  <sheetFormatPr defaultColWidth="9.1796875" defaultRowHeight="11.5" outlineLevelRow="1" outlineLevelCol="1" x14ac:dyDescent="0.25"/>
  <cols>
    <col min="1" max="1" width="25.54296875" style="460" customWidth="1"/>
    <col min="2" max="2" width="4.7265625" style="460" customWidth="1"/>
    <col min="3" max="6" width="9.1796875" style="460" hidden="1" customWidth="1" outlineLevel="1"/>
    <col min="7" max="7" width="11.81640625" style="460" customWidth="1" collapsed="1"/>
    <col min="8" max="20" width="11.81640625" style="460" customWidth="1"/>
    <col min="21" max="30" width="12.26953125" style="460" customWidth="1"/>
    <col min="31" max="31" width="9.54296875" style="460" customWidth="1"/>
    <col min="32" max="32" width="9.1796875" style="460" hidden="1" customWidth="1" outlineLevel="1"/>
    <col min="33" max="33" width="11.81640625" style="460" customWidth="1" collapsed="1"/>
    <col min="34" max="39" width="11.81640625" style="460" customWidth="1"/>
    <col min="40" max="40" width="11.1796875" style="460" bestFit="1" customWidth="1"/>
    <col min="41" max="41" width="9.26953125" style="460" bestFit="1" customWidth="1"/>
    <col min="42" max="42" width="11" style="460" bestFit="1" customWidth="1"/>
    <col min="43" max="43" width="10.54296875" style="460" bestFit="1" customWidth="1"/>
    <col min="44" max="44" width="9.26953125" style="460" bestFit="1" customWidth="1"/>
    <col min="45" max="16384" width="9.1796875" style="460"/>
  </cols>
  <sheetData>
    <row r="1" spans="1:41" ht="12" x14ac:dyDescent="0.3">
      <c r="A1" s="460" t="s">
        <v>568</v>
      </c>
      <c r="AI1" s="731"/>
      <c r="AJ1" s="731"/>
      <c r="AK1" s="731"/>
      <c r="AL1" s="731"/>
      <c r="AM1" s="731">
        <f>+'PF FA STER Simple'!U1</f>
        <v>45657</v>
      </c>
    </row>
    <row r="2" spans="1:41" x14ac:dyDescent="0.25">
      <c r="A2" s="470" t="s">
        <v>212</v>
      </c>
      <c r="B2" s="470"/>
      <c r="AI2" s="2192"/>
      <c r="AJ2" s="2192"/>
      <c r="AK2" s="2192"/>
      <c r="AL2" s="2192"/>
      <c r="AM2" s="2192"/>
    </row>
    <row r="3" spans="1:41" s="541" customFormat="1" ht="12" x14ac:dyDescent="0.3">
      <c r="A3" s="733" t="str">
        <f>+'FA Base'!B3</f>
        <v>(USD in mm)</v>
      </c>
      <c r="B3" s="733"/>
    </row>
    <row r="4" spans="1:41" x14ac:dyDescent="0.25">
      <c r="C4" s="734"/>
      <c r="D4" s="735"/>
      <c r="E4" s="735"/>
      <c r="F4" s="735"/>
      <c r="G4" s="734" t="s">
        <v>7</v>
      </c>
      <c r="H4" s="734"/>
      <c r="I4" s="734"/>
      <c r="J4" s="734"/>
      <c r="K4" s="734"/>
      <c r="L4" s="734"/>
      <c r="M4" s="734"/>
      <c r="N4" s="734"/>
      <c r="O4" s="734"/>
      <c r="P4" s="734"/>
      <c r="Q4" s="734"/>
      <c r="R4" s="734"/>
      <c r="S4" s="734"/>
      <c r="T4" s="734"/>
      <c r="U4" s="734"/>
      <c r="V4" s="734"/>
      <c r="W4" s="734"/>
      <c r="X4" s="1070"/>
      <c r="Y4" s="734"/>
      <c r="Z4" s="734"/>
      <c r="AA4" s="734"/>
      <c r="AB4" s="1070"/>
      <c r="AC4" s="734"/>
      <c r="AD4" s="734"/>
      <c r="AE4" s="736"/>
      <c r="AF4" s="734"/>
      <c r="AG4" s="734" t="s">
        <v>7</v>
      </c>
      <c r="AH4" s="735"/>
      <c r="AI4" s="735"/>
      <c r="AJ4" s="734"/>
      <c r="AK4" s="734"/>
      <c r="AL4" s="734"/>
      <c r="AM4" s="734"/>
    </row>
    <row r="5" spans="1:41" ht="14.5" x14ac:dyDescent="0.55000000000000004">
      <c r="C5" s="737" t="s">
        <v>86</v>
      </c>
      <c r="D5" s="737" t="s">
        <v>87</v>
      </c>
      <c r="E5" s="737" t="s">
        <v>88</v>
      </c>
      <c r="F5" s="738" t="s">
        <v>89</v>
      </c>
      <c r="G5" s="737" t="s">
        <v>90</v>
      </c>
      <c r="H5" s="737" t="s">
        <v>91</v>
      </c>
      <c r="I5" s="737" t="s">
        <v>92</v>
      </c>
      <c r="J5" s="738" t="s">
        <v>93</v>
      </c>
      <c r="K5" s="737" t="s">
        <v>94</v>
      </c>
      <c r="L5" s="737" t="s">
        <v>95</v>
      </c>
      <c r="M5" s="737" t="s">
        <v>96</v>
      </c>
      <c r="N5" s="738" t="s">
        <v>97</v>
      </c>
      <c r="O5" s="737" t="s">
        <v>98</v>
      </c>
      <c r="P5" s="737" t="s">
        <v>99</v>
      </c>
      <c r="Q5" s="737" t="s">
        <v>100</v>
      </c>
      <c r="R5" s="737" t="s">
        <v>101</v>
      </c>
      <c r="S5" s="983" t="s">
        <v>102</v>
      </c>
      <c r="T5" s="737" t="s">
        <v>103</v>
      </c>
      <c r="U5" s="737" t="s">
        <v>104</v>
      </c>
      <c r="V5" s="737" t="s">
        <v>105</v>
      </c>
      <c r="W5" s="983" t="s">
        <v>106</v>
      </c>
      <c r="X5" s="741" t="s">
        <v>107</v>
      </c>
      <c r="Y5" s="739" t="s">
        <v>108</v>
      </c>
      <c r="Z5" s="737" t="s">
        <v>109</v>
      </c>
      <c r="AA5" s="737" t="s">
        <v>110</v>
      </c>
      <c r="AB5" s="737" t="s">
        <v>111</v>
      </c>
      <c r="AC5" s="737" t="s">
        <v>112</v>
      </c>
      <c r="AD5" s="737" t="s">
        <v>113</v>
      </c>
      <c r="AE5" s="736"/>
      <c r="AF5" s="737" t="s">
        <v>114</v>
      </c>
      <c r="AG5" s="737" t="s">
        <v>115</v>
      </c>
      <c r="AH5" s="737" t="s">
        <v>116</v>
      </c>
      <c r="AI5" s="737" t="s">
        <v>117</v>
      </c>
      <c r="AJ5" s="737" t="s">
        <v>118</v>
      </c>
      <c r="AK5" s="739" t="s">
        <v>119</v>
      </c>
      <c r="AL5" s="737" t="s">
        <v>13</v>
      </c>
      <c r="AM5" s="737" t="s">
        <v>14</v>
      </c>
    </row>
    <row r="6" spans="1:41" ht="14.5" x14ac:dyDescent="0.55000000000000004">
      <c r="A6" s="740" t="s">
        <v>120</v>
      </c>
      <c r="B6" s="470"/>
      <c r="C6" s="741"/>
      <c r="D6" s="741"/>
      <c r="E6" s="741"/>
      <c r="F6" s="742"/>
      <c r="G6" s="741"/>
      <c r="H6" s="741"/>
      <c r="I6" s="741"/>
      <c r="J6" s="742"/>
      <c r="K6" s="741"/>
      <c r="L6" s="741"/>
      <c r="M6" s="741"/>
      <c r="N6" s="742"/>
      <c r="O6" s="741"/>
      <c r="P6" s="741"/>
      <c r="Q6" s="741"/>
      <c r="R6" s="741"/>
      <c r="S6" s="984"/>
      <c r="T6" s="741"/>
      <c r="U6" s="741"/>
      <c r="V6" s="741"/>
      <c r="W6" s="984"/>
      <c r="X6" s="741"/>
      <c r="Y6" s="743"/>
      <c r="Z6" s="742"/>
      <c r="AA6" s="741"/>
      <c r="AB6" s="741"/>
      <c r="AC6" s="741"/>
      <c r="AD6" s="741"/>
      <c r="AE6" s="736"/>
      <c r="AF6" s="741"/>
      <c r="AG6" s="741"/>
      <c r="AH6" s="741"/>
      <c r="AI6" s="741"/>
      <c r="AJ6" s="741"/>
      <c r="AK6" s="743"/>
      <c r="AL6" s="741"/>
      <c r="AM6" s="741"/>
    </row>
    <row r="7" spans="1:41" ht="11.25" customHeight="1" x14ac:dyDescent="0.3">
      <c r="C7" s="744"/>
      <c r="D7" s="744"/>
      <c r="E7" s="744"/>
      <c r="F7" s="745"/>
      <c r="G7" s="744"/>
      <c r="H7" s="744"/>
      <c r="I7" s="744"/>
      <c r="J7" s="745"/>
      <c r="K7" s="744"/>
      <c r="L7" s="744"/>
      <c r="M7" s="744"/>
      <c r="N7" s="745"/>
      <c r="O7" s="744"/>
      <c r="P7" s="744"/>
      <c r="Q7" s="744"/>
      <c r="R7" s="744"/>
      <c r="S7" s="985"/>
      <c r="T7" s="744"/>
      <c r="U7" s="744"/>
      <c r="V7" s="1396"/>
      <c r="W7" s="985"/>
      <c r="X7" s="744"/>
      <c r="Y7" s="792"/>
      <c r="Z7" s="2264" t="s">
        <v>569</v>
      </c>
      <c r="AA7" s="744"/>
      <c r="AB7" s="744"/>
      <c r="AC7" s="744"/>
      <c r="AD7" s="744"/>
      <c r="AE7" s="736"/>
      <c r="AF7" s="744"/>
      <c r="AG7" s="744"/>
      <c r="AH7" s="744"/>
      <c r="AI7" s="744"/>
      <c r="AJ7" s="747"/>
      <c r="AK7" s="1178"/>
      <c r="AL7" s="749"/>
      <c r="AM7" s="749"/>
    </row>
    <row r="8" spans="1:41" ht="11.25" customHeight="1" x14ac:dyDescent="0.3">
      <c r="A8" s="748" t="s">
        <v>28</v>
      </c>
      <c r="C8" s="744"/>
      <c r="D8" s="744"/>
      <c r="E8" s="744"/>
      <c r="F8" s="745"/>
      <c r="G8" s="744"/>
      <c r="H8" s="744"/>
      <c r="I8" s="744"/>
      <c r="J8" s="745"/>
      <c r="K8" s="744"/>
      <c r="L8" s="744"/>
      <c r="M8" s="744"/>
      <c r="N8" s="745"/>
      <c r="O8" s="744"/>
      <c r="P8" s="744"/>
      <c r="Q8" s="744"/>
      <c r="R8" s="744"/>
      <c r="S8" s="985"/>
      <c r="T8" s="744"/>
      <c r="U8" s="744"/>
      <c r="V8" s="1396"/>
      <c r="W8" s="985"/>
      <c r="X8" s="744"/>
      <c r="Y8" s="792"/>
      <c r="Z8" s="2264" t="s">
        <v>570</v>
      </c>
      <c r="AA8" s="744"/>
      <c r="AB8" s="744"/>
      <c r="AC8" s="744"/>
      <c r="AD8" s="744"/>
      <c r="AE8" s="736"/>
      <c r="AF8" s="744"/>
      <c r="AG8" s="744"/>
      <c r="AH8" s="744"/>
      <c r="AI8" s="744"/>
      <c r="AJ8" s="747"/>
      <c r="AK8" s="1178"/>
      <c r="AL8" s="1264"/>
      <c r="AM8" s="1264"/>
    </row>
    <row r="9" spans="1:41" x14ac:dyDescent="0.25">
      <c r="A9" s="512" t="s">
        <v>571</v>
      </c>
      <c r="B9" s="470"/>
      <c r="C9" s="750"/>
      <c r="D9" s="750"/>
      <c r="E9" s="750"/>
      <c r="F9" s="751"/>
      <c r="G9" s="736"/>
      <c r="H9" s="736"/>
      <c r="I9" s="736">
        <f>+'STER - Detailed Disclosure (mm)'!I41</f>
        <v>98.605999999999995</v>
      </c>
      <c r="J9" s="752">
        <f>+'STER - Detailed Disclosure (mm)'!J41</f>
        <v>103.94400000000002</v>
      </c>
      <c r="K9" s="736">
        <f>+'STER - Detailed Disclosure (mm)'!K41</f>
        <v>109.19</v>
      </c>
      <c r="L9" s="736">
        <f>+'STER - Detailed Disclosure (mm)'!L41</f>
        <v>130.29400000000001</v>
      </c>
      <c r="M9" s="736">
        <f>+'STER - Detailed Disclosure (mm)'!M41</f>
        <v>139.56399999999999</v>
      </c>
      <c r="N9" s="752">
        <f>+'STER - Detailed Disclosure (mm)'!N41</f>
        <v>143.62400000000002</v>
      </c>
      <c r="O9" s="736">
        <f>+'STER - Detailed Disclosure (mm)'!O41</f>
        <v>159.316</v>
      </c>
      <c r="P9" s="736">
        <f>+'STER - Detailed Disclosure (mm)'!P41</f>
        <v>174.11500000000001</v>
      </c>
      <c r="Q9" s="736">
        <f>+'STER - Detailed Disclosure (mm)'!Q41</f>
        <v>168.61500000000001</v>
      </c>
      <c r="R9" s="736">
        <f>+'STER - Detailed Disclosure (mm)'!R41</f>
        <v>141.77999999999997</v>
      </c>
      <c r="S9" s="986">
        <f>+'STER - Detailed Disclosure (mm)'!S41</f>
        <v>149.74199999999999</v>
      </c>
      <c r="T9" s="736">
        <f>+'STER - Detailed Disclosure (mm)'!T41</f>
        <v>162.19800000000001</v>
      </c>
      <c r="U9" s="736">
        <f>+'STER - Detailed Disclosure (mm)'!U41</f>
        <v>153.577</v>
      </c>
      <c r="V9" s="736">
        <f>+'STER - Detailed Disclosure (mm)'!V41</f>
        <v>144.17699999999996</v>
      </c>
      <c r="W9" s="986">
        <f>+'STER - Detailed Disclosure (mm)'!W41</f>
        <v>159.827</v>
      </c>
      <c r="X9" s="736">
        <f>+'STER - Detailed Disclosure (mm)'!X41</f>
        <v>173.976</v>
      </c>
      <c r="Y9" s="1007">
        <f>+'STER - Detailed Disclosure (mm)'!Y41</f>
        <v>169.05078</v>
      </c>
      <c r="Z9" s="752">
        <f>+V9*(1+Z25)+Z136+Z134</f>
        <v>152.39357499999997</v>
      </c>
      <c r="AA9" s="736">
        <f>+W9*(1+AA25)+AA136+AA134</f>
        <v>164.62181000000001</v>
      </c>
      <c r="AB9" s="736">
        <f>+X9*(1+AB25)+AB136+AB134</f>
        <v>181.80491999999998</v>
      </c>
      <c r="AC9" s="736">
        <f>+Y9*(1+AC25)+AC136+AC134</f>
        <v>179.19382680000001</v>
      </c>
      <c r="AD9" s="736">
        <f>+Z9*(1+AD25)+AD136+AD134</f>
        <v>164.58506099999997</v>
      </c>
      <c r="AE9" s="750"/>
      <c r="AF9" s="750"/>
      <c r="AG9" s="736">
        <f>+'STER - Detailed Disclosure (mm)'!AQ41</f>
        <v>424.77300000000002</v>
      </c>
      <c r="AH9" s="736">
        <f>+'STER - Detailed Disclosure (mm)'!AR41</f>
        <v>377.351</v>
      </c>
      <c r="AI9" s="736">
        <f>+'STER - Detailed Disclosure (mm)'!AS41</f>
        <v>522.67200000000003</v>
      </c>
      <c r="AJ9" s="736">
        <f>+SUM(O9:R9)</f>
        <v>643.82600000000002</v>
      </c>
      <c r="AK9" s="754">
        <f>SUM(S9:V9)</f>
        <v>609.69399999999996</v>
      </c>
      <c r="AL9" s="736">
        <f>+SUM(W9:Z9)</f>
        <v>655.24735499999997</v>
      </c>
      <c r="AM9" s="736">
        <f>+SUM(AA9:AD9)</f>
        <v>690.20561780000003</v>
      </c>
    </row>
    <row r="10" spans="1:41" s="802" customFormat="1" ht="14.5" x14ac:dyDescent="0.55000000000000004">
      <c r="A10" s="512" t="s">
        <v>214</v>
      </c>
      <c r="B10" s="2240"/>
      <c r="C10" s="755"/>
      <c r="D10" s="755"/>
      <c r="E10" s="755"/>
      <c r="F10" s="756"/>
      <c r="G10" s="757"/>
      <c r="H10" s="757"/>
      <c r="I10" s="757">
        <f>+'STER - Detailed Disclosure (mm)'!I42</f>
        <v>18.995999999999999</v>
      </c>
      <c r="J10" s="758">
        <f>+'STER - Detailed Disclosure (mm)'!J42</f>
        <v>24.558999999999997</v>
      </c>
      <c r="K10" s="757">
        <f>+'STER - Detailed Disclosure (mm)'!K42</f>
        <v>30.18</v>
      </c>
      <c r="L10" s="757">
        <f>+'STER - Detailed Disclosure (mm)'!L42</f>
        <v>29.033999999999999</v>
      </c>
      <c r="M10" s="757">
        <f>+'STER - Detailed Disclosure (mm)'!M42</f>
        <v>29.992999999999999</v>
      </c>
      <c r="N10" s="758">
        <f>+'STER - Detailed Disclosure (mm)'!N42</f>
        <v>30.00500000000001</v>
      </c>
      <c r="O10" s="757">
        <f>+'STER - Detailed Disclosure (mm)'!O42</f>
        <v>32.655999999999999</v>
      </c>
      <c r="P10" s="757">
        <f>+'STER - Detailed Disclosure (mm)'!P42</f>
        <v>31.475999999999999</v>
      </c>
      <c r="Q10" s="757">
        <f>+'STER - Detailed Disclosure (mm)'!Q42</f>
        <v>30.684000000000001</v>
      </c>
      <c r="R10" s="757">
        <f>+'STER - Detailed Disclosure (mm)'!R42</f>
        <v>28.14</v>
      </c>
      <c r="S10" s="987">
        <f>+'STER - Detailed Disclosure (mm)'!S42</f>
        <v>29.532</v>
      </c>
      <c r="T10" s="757">
        <f>+'STER - Detailed Disclosure (mm)'!T42</f>
        <v>28.186</v>
      </c>
      <c r="U10" s="757">
        <f>+'STER - Detailed Disclosure (mm)'!U42</f>
        <v>26.989000000000001</v>
      </c>
      <c r="V10" s="757">
        <f>+'STER - Detailed Disclosure (mm)'!V42</f>
        <v>25.23899999999999</v>
      </c>
      <c r="W10" s="987">
        <f>+'STER - Detailed Disclosure (mm)'!W42</f>
        <v>26.172000000000001</v>
      </c>
      <c r="X10" s="757">
        <f>+'STER - Detailed Disclosure (mm)'!X42</f>
        <v>26.552</v>
      </c>
      <c r="Y10" s="1106">
        <f>+'STER - Detailed Disclosure (mm)'!Y42</f>
        <v>26.44922</v>
      </c>
      <c r="Z10" s="758">
        <f>+V10*(1+Z26)+Z144+Z142</f>
        <v>24.947306518317355</v>
      </c>
      <c r="AA10" s="757">
        <f>+W10*(1+AA26)+AA144+AA142</f>
        <v>27.497721138034642</v>
      </c>
      <c r="AB10" s="757">
        <f>+X10*(1+AB26)+AB144+AB142</f>
        <v>28.161031770923358</v>
      </c>
      <c r="AC10" s="757">
        <f>+Y10*(1+AC26)+AC144+AC142</f>
        <v>28.936754065666015</v>
      </c>
      <c r="AD10" s="757">
        <f>+Z10*(1+AD26)+AD144+AD142</f>
        <v>27.430518125097993</v>
      </c>
      <c r="AE10" s="755"/>
      <c r="AF10" s="755"/>
      <c r="AG10" s="757">
        <f>+'STER - Detailed Disclosure (mm)'!AQ42</f>
        <v>72.343000000000004</v>
      </c>
      <c r="AH10" s="757">
        <f>+'STER - Detailed Disclosure (mm)'!AR42</f>
        <v>76.701999999999998</v>
      </c>
      <c r="AI10" s="757">
        <f>+'STER - Detailed Disclosure (mm)'!AS42</f>
        <v>119.212</v>
      </c>
      <c r="AJ10" s="757">
        <f>+SUM(O10:R10)</f>
        <v>122.956</v>
      </c>
      <c r="AK10" s="760">
        <f>SUM(S10:V10)</f>
        <v>109.946</v>
      </c>
      <c r="AL10" s="757">
        <f>+SUM(W10:Z10)</f>
        <v>104.12052651831735</v>
      </c>
      <c r="AM10" s="757">
        <f t="shared" ref="AM10:AM12" si="0">+SUM(AA10:AD10)</f>
        <v>112.02602509972201</v>
      </c>
    </row>
    <row r="11" spans="1:41" ht="13" hidden="1" outlineLevel="1" x14ac:dyDescent="0.4">
      <c r="A11" s="512" t="s">
        <v>215</v>
      </c>
      <c r="B11" s="470"/>
      <c r="C11" s="755"/>
      <c r="D11" s="755"/>
      <c r="E11" s="755"/>
      <c r="F11" s="756"/>
      <c r="G11" s="757"/>
      <c r="H11" s="757"/>
      <c r="I11" s="757">
        <v>0</v>
      </c>
      <c r="J11" s="758">
        <v>0</v>
      </c>
      <c r="K11" s="757">
        <v>0</v>
      </c>
      <c r="L11" s="757">
        <v>0</v>
      </c>
      <c r="M11" s="757">
        <v>0</v>
      </c>
      <c r="N11" s="758">
        <v>0</v>
      </c>
      <c r="O11" s="757">
        <v>0</v>
      </c>
      <c r="P11" s="757">
        <v>0</v>
      </c>
      <c r="Q11" s="757">
        <v>0</v>
      </c>
      <c r="R11" s="757">
        <v>0</v>
      </c>
      <c r="S11" s="987">
        <v>0</v>
      </c>
      <c r="T11" s="757">
        <v>0</v>
      </c>
      <c r="U11" s="757">
        <v>0</v>
      </c>
      <c r="V11" s="757">
        <v>0</v>
      </c>
      <c r="W11" s="987">
        <v>0</v>
      </c>
      <c r="X11" s="757">
        <v>0</v>
      </c>
      <c r="Y11" s="1106">
        <v>0</v>
      </c>
      <c r="Z11" s="1491">
        <v>0</v>
      </c>
      <c r="AA11" s="759">
        <v>0</v>
      </c>
      <c r="AB11" s="759">
        <v>0</v>
      </c>
      <c r="AC11" s="759">
        <v>0</v>
      </c>
      <c r="AD11" s="759">
        <v>0</v>
      </c>
      <c r="AE11" s="755"/>
      <c r="AF11" s="755"/>
      <c r="AG11" s="757">
        <v>0</v>
      </c>
      <c r="AH11" s="757">
        <v>0</v>
      </c>
      <c r="AI11" s="757">
        <v>0</v>
      </c>
      <c r="AJ11" s="757">
        <f>+SUM(O11:R11)</f>
        <v>0</v>
      </c>
      <c r="AK11" s="760">
        <f>SUM(S11:V11)</f>
        <v>0</v>
      </c>
      <c r="AL11" s="757">
        <f>+SUM(W11:Z11)</f>
        <v>0</v>
      </c>
      <c r="AM11" s="757">
        <f t="shared" si="0"/>
        <v>0</v>
      </c>
    </row>
    <row r="12" spans="1:41" s="761" customFormat="1" collapsed="1" x14ac:dyDescent="0.25">
      <c r="A12" s="505" t="s">
        <v>216</v>
      </c>
      <c r="C12" s="762"/>
      <c r="D12" s="762"/>
      <c r="E12" s="762">
        <f>+'STER - Detailed Disclosure (mm)'!E38</f>
        <v>132.76499999999999</v>
      </c>
      <c r="F12" s="763">
        <f>+'STER - Detailed Disclosure (mm)'!F38</f>
        <v>121.429</v>
      </c>
      <c r="G12" s="762">
        <f>+'STER - Detailed Disclosure (mm)'!G38</f>
        <v>119.376</v>
      </c>
      <c r="H12" s="762">
        <f>+'STER - Detailed Disclosure (mm)'!H38</f>
        <v>88.570999999999998</v>
      </c>
      <c r="I12" s="762">
        <f t="shared" ref="I12:W12" si="1">+SUM(I9:I11)</f>
        <v>117.60199999999999</v>
      </c>
      <c r="J12" s="763">
        <f t="shared" si="1"/>
        <v>128.50300000000001</v>
      </c>
      <c r="K12" s="762">
        <f t="shared" si="1"/>
        <v>139.37</v>
      </c>
      <c r="L12" s="762">
        <f t="shared" si="1"/>
        <v>159.328</v>
      </c>
      <c r="M12" s="762">
        <f t="shared" si="1"/>
        <v>169.55699999999999</v>
      </c>
      <c r="N12" s="763">
        <f t="shared" si="1"/>
        <v>173.62900000000002</v>
      </c>
      <c r="O12" s="762">
        <f t="shared" si="1"/>
        <v>191.97200000000001</v>
      </c>
      <c r="P12" s="762">
        <f t="shared" si="1"/>
        <v>205.59100000000001</v>
      </c>
      <c r="Q12" s="762">
        <f t="shared" si="1"/>
        <v>199.29900000000001</v>
      </c>
      <c r="R12" s="762">
        <f t="shared" si="1"/>
        <v>169.91999999999996</v>
      </c>
      <c r="S12" s="988">
        <f t="shared" si="1"/>
        <v>179.274</v>
      </c>
      <c r="T12" s="762">
        <f t="shared" si="1"/>
        <v>190.38400000000001</v>
      </c>
      <c r="U12" s="762">
        <f t="shared" si="1"/>
        <v>180.566</v>
      </c>
      <c r="V12" s="762">
        <f t="shared" si="1"/>
        <v>169.41599999999994</v>
      </c>
      <c r="W12" s="988">
        <f t="shared" si="1"/>
        <v>185.999</v>
      </c>
      <c r="X12" s="762">
        <f t="shared" ref="X12:AD12" si="2">+SUM(X9:X11)</f>
        <v>200.52799999999999</v>
      </c>
      <c r="Y12" s="764">
        <f t="shared" ref="Y12" si="3">+SUM(Y9:Y11)</f>
        <v>195.5</v>
      </c>
      <c r="Z12" s="763">
        <f t="shared" si="2"/>
        <v>177.34088151831733</v>
      </c>
      <c r="AA12" s="762">
        <f t="shared" si="2"/>
        <v>192.11953113803466</v>
      </c>
      <c r="AB12" s="762">
        <f t="shared" si="2"/>
        <v>209.96595177092334</v>
      </c>
      <c r="AC12" s="762">
        <f t="shared" ref="AC12" si="4">+SUM(AC9:AC11)</f>
        <v>208.13058086566602</v>
      </c>
      <c r="AD12" s="762">
        <f t="shared" si="2"/>
        <v>192.01557912509796</v>
      </c>
      <c r="AE12" s="762"/>
      <c r="AF12" s="762"/>
      <c r="AG12" s="762">
        <f>+SUM(AG9:AG11)</f>
        <v>497.11600000000004</v>
      </c>
      <c r="AH12" s="762">
        <f t="shared" ref="AH12" si="5">+SUM(AH9:AH11)</f>
        <v>454.053</v>
      </c>
      <c r="AI12" s="762">
        <f t="shared" ref="AI12" si="6">+SUM(AI9:AI11)</f>
        <v>641.88400000000001</v>
      </c>
      <c r="AJ12" s="762">
        <f>+SUM(AJ9:AJ11)</f>
        <v>766.78200000000004</v>
      </c>
      <c r="AK12" s="764">
        <f>+SUM(S12:V12)</f>
        <v>719.64</v>
      </c>
      <c r="AL12" s="762">
        <f>+SUM(W12:Z12)</f>
        <v>759.3678815183174</v>
      </c>
      <c r="AM12" s="762">
        <f t="shared" si="0"/>
        <v>802.23164289972192</v>
      </c>
      <c r="AO12" s="765"/>
    </row>
    <row r="13" spans="1:41" s="470" customFormat="1" hidden="1" outlineLevel="1" x14ac:dyDescent="0.25">
      <c r="A13" s="766" t="s">
        <v>29</v>
      </c>
      <c r="C13" s="767"/>
      <c r="D13" s="767"/>
      <c r="E13" s="767"/>
      <c r="F13" s="768"/>
      <c r="G13" s="769"/>
      <c r="H13" s="769"/>
      <c r="I13" s="769">
        <f t="shared" ref="I13:X13" si="7">+I12/E12-1</f>
        <v>-0.11420931721462735</v>
      </c>
      <c r="J13" s="770">
        <f t="shared" si="7"/>
        <v>5.8256264977888383E-2</v>
      </c>
      <c r="K13" s="769">
        <f t="shared" si="7"/>
        <v>0.16748760219809666</v>
      </c>
      <c r="L13" s="769">
        <f t="shared" si="7"/>
        <v>0.79887322035429209</v>
      </c>
      <c r="M13" s="769">
        <f t="shared" si="7"/>
        <v>0.44178670430774991</v>
      </c>
      <c r="N13" s="770">
        <f t="shared" si="7"/>
        <v>0.35116689882726471</v>
      </c>
      <c r="O13" s="769">
        <f t="shared" si="7"/>
        <v>0.37742699289660608</v>
      </c>
      <c r="P13" s="769">
        <f t="shared" si="7"/>
        <v>0.29036327575818444</v>
      </c>
      <c r="Q13" s="769">
        <f t="shared" si="7"/>
        <v>0.17541003910189512</v>
      </c>
      <c r="R13" s="769">
        <f t="shared" si="7"/>
        <v>-2.1361638896728374E-2</v>
      </c>
      <c r="S13" s="989">
        <f t="shared" si="7"/>
        <v>-6.6145062821661549E-2</v>
      </c>
      <c r="T13" s="769">
        <f t="shared" si="7"/>
        <v>-7.3967245647912572E-2</v>
      </c>
      <c r="U13" s="769">
        <f t="shared" si="7"/>
        <v>-9.3994450549174879E-2</v>
      </c>
      <c r="V13" s="769">
        <f t="shared" si="7"/>
        <v>-2.9661016949154018E-3</v>
      </c>
      <c r="W13" s="989">
        <f t="shared" si="7"/>
        <v>3.7512411169494664E-2</v>
      </c>
      <c r="X13" s="769">
        <f t="shared" si="7"/>
        <v>5.328178838557851E-2</v>
      </c>
      <c r="Y13" s="772">
        <f t="shared" ref="Y13" si="8">+Y12/U12-1</f>
        <v>8.2706600356656335E-2</v>
      </c>
      <c r="Z13" s="770">
        <f t="shared" ref="Z13" si="9">+Z12/V12-1</f>
        <v>4.6777645076718777E-2</v>
      </c>
      <c r="AA13" s="769">
        <f t="shared" ref="AA13" si="10">+AA12/W12-1</f>
        <v>3.290625830265026E-2</v>
      </c>
      <c r="AB13" s="769">
        <f t="shared" ref="AB13" si="11">+AB12/X12-1</f>
        <v>4.7065505918990613E-2</v>
      </c>
      <c r="AC13" s="769">
        <f t="shared" ref="AC13" si="12">+AC12/Y12-1</f>
        <v>6.4606551742537155E-2</v>
      </c>
      <c r="AD13" s="769">
        <f t="shared" ref="AD13" si="13">+AD12/Z12-1</f>
        <v>8.2748531986206908E-2</v>
      </c>
      <c r="AE13" s="767"/>
      <c r="AF13" s="771"/>
      <c r="AG13" s="769"/>
      <c r="AH13" s="769">
        <f t="shared" ref="AH13:AK13" si="14">+AH12/AG12-1</f>
        <v>-8.6625656788355321E-2</v>
      </c>
      <c r="AI13" s="769">
        <f t="shared" si="14"/>
        <v>0.41367637698682747</v>
      </c>
      <c r="AJ13" s="769">
        <f t="shared" si="14"/>
        <v>0.19458032915604684</v>
      </c>
      <c r="AK13" s="772">
        <f t="shared" si="14"/>
        <v>-6.1480316439353144E-2</v>
      </c>
      <c r="AL13" s="769">
        <f t="shared" ref="AL13" si="15">+AL12/AK12-1</f>
        <v>5.5205215827799137E-2</v>
      </c>
      <c r="AM13" s="769">
        <f t="shared" ref="AM13" si="16">+AM12/AL12-1</f>
        <v>5.6446634661055928E-2</v>
      </c>
    </row>
    <row r="14" spans="1:41" s="470" customFormat="1" hidden="1" outlineLevel="1" x14ac:dyDescent="0.25">
      <c r="A14" s="766" t="s">
        <v>217</v>
      </c>
      <c r="C14" s="767"/>
      <c r="D14" s="767"/>
      <c r="E14" s="767"/>
      <c r="F14" s="768"/>
      <c r="G14" s="775"/>
      <c r="H14" s="773"/>
      <c r="I14" s="773"/>
      <c r="J14" s="774"/>
      <c r="K14" s="775"/>
      <c r="L14" s="773"/>
      <c r="M14" s="773"/>
      <c r="N14" s="774"/>
      <c r="O14" s="773">
        <f t="shared" ref="O14:W14" si="17">+O13-O154/K12</f>
        <v>0.29742699289660607</v>
      </c>
      <c r="P14" s="773">
        <f t="shared" si="17"/>
        <v>0.21336327575818442</v>
      </c>
      <c r="Q14" s="773">
        <f t="shared" si="17"/>
        <v>0.10841003910189512</v>
      </c>
      <c r="R14" s="769">
        <f t="shared" si="17"/>
        <v>-6.1356599415996471E-2</v>
      </c>
      <c r="S14" s="989">
        <f t="shared" si="17"/>
        <v>-8.1145062821661548E-2</v>
      </c>
      <c r="T14" s="769">
        <f t="shared" si="17"/>
        <v>-0.10596724564791257</v>
      </c>
      <c r="U14" s="769">
        <f t="shared" si="17"/>
        <v>-0.11799445054917487</v>
      </c>
      <c r="V14" s="769">
        <f t="shared" si="17"/>
        <v>-2.2942078625235549E-2</v>
      </c>
      <c r="W14" s="989">
        <f t="shared" si="17"/>
        <v>-4.948758883050533E-2</v>
      </c>
      <c r="X14" s="769">
        <f>+'STER - Detailed Disclosure (mm)'!X49-'STER - Detailed Disclosure (mm)'!X46</f>
        <v>-8.7182116144212674E-3</v>
      </c>
      <c r="Y14" s="764"/>
      <c r="Z14" s="763"/>
      <c r="AA14" s="762"/>
      <c r="AB14" s="762"/>
      <c r="AC14" s="762"/>
      <c r="AD14" s="762"/>
      <c r="AE14" s="767"/>
      <c r="AF14" s="771"/>
      <c r="AG14" s="769"/>
      <c r="AH14" s="777"/>
      <c r="AI14" s="777">
        <f>+'STER - Detailed Disclosure (mm)'!AS49-'STER - Detailed Disclosure (mm)'!AS46</f>
        <v>0.40667637698682746</v>
      </c>
      <c r="AJ14" s="777">
        <f>+AJ13-AJ154/AI12</f>
        <v>0.12958032915604684</v>
      </c>
      <c r="AK14" s="776">
        <f>+AK13-AK154/AJ12</f>
        <v>-8.4480316439353137E-2</v>
      </c>
      <c r="AL14" s="777"/>
      <c r="AM14" s="777"/>
    </row>
    <row r="15" spans="1:41" s="470" customFormat="1" hidden="1" outlineLevel="1" x14ac:dyDescent="0.25">
      <c r="A15" s="766" t="s">
        <v>218</v>
      </c>
      <c r="C15" s="767"/>
      <c r="D15" s="767"/>
      <c r="E15" s="767"/>
      <c r="F15" s="768"/>
      <c r="G15" s="769"/>
      <c r="H15" s="769"/>
      <c r="I15" s="769"/>
      <c r="J15" s="770"/>
      <c r="K15" s="769"/>
      <c r="L15" s="769"/>
      <c r="M15" s="769"/>
      <c r="N15" s="770"/>
      <c r="O15" s="769">
        <f>+'STER - Detailed Disclosure (mm)'!O49-'STER - Detailed Disclosure (mm)'!O47</f>
        <v>0.38442699289660609</v>
      </c>
      <c r="P15" s="769">
        <f>+'STER - Detailed Disclosure (mm)'!P49-'STER - Detailed Disclosure (mm)'!P47</f>
        <v>0.30536327575818445</v>
      </c>
      <c r="Q15" s="769">
        <f>+'STER - Detailed Disclosure (mm)'!Q49-'STER - Detailed Disclosure (mm)'!Q47</f>
        <v>0.19141003910189514</v>
      </c>
      <c r="R15" s="769">
        <f>+'STER - Detailed Disclosure (mm)'!R49-'STER - Detailed Disclosure (mm)'!R47</f>
        <v>-3.0050394807318928E-3</v>
      </c>
      <c r="S15" s="989">
        <f>+'STER - Detailed Disclosure (mm)'!S49-'STER - Detailed Disclosure (mm)'!S47</f>
        <v>-5.6145062821661547E-2</v>
      </c>
      <c r="T15" s="769">
        <f>+'STER - Detailed Disclosure (mm)'!T49-'STER - Detailed Disclosure (mm)'!T47</f>
        <v>-6.8967245647912678E-2</v>
      </c>
      <c r="U15" s="769">
        <f>+'STER - Detailed Disclosure (mm)'!U49-'STER - Detailed Disclosure (mm)'!U47</f>
        <v>-9.499445054917488E-2</v>
      </c>
      <c r="V15" s="769">
        <f>+'STER - Detailed Disclosure (mm)'!V49-'STER - Detailed Disclosure (mm)'!V47</f>
        <v>-8.0240230696798573E-3</v>
      </c>
      <c r="W15" s="989">
        <f>+'STER - Detailed Disclosure (mm)'!W49-'STER - Detailed Disclosure (mm)'!W47</f>
        <v>3.7999999999999992E-2</v>
      </c>
      <c r="X15" s="769">
        <f>+'STER - Detailed Disclosure (mm)'!X49-'STER - Detailed Disclosure (mm)'!X47</f>
        <v>5.2999999999999999E-2</v>
      </c>
      <c r="Y15" s="764"/>
      <c r="Z15" s="763"/>
      <c r="AA15" s="762"/>
      <c r="AB15" s="762"/>
      <c r="AC15" s="762"/>
      <c r="AD15" s="762"/>
      <c r="AE15" s="767"/>
      <c r="AF15" s="771"/>
      <c r="AG15" s="769"/>
      <c r="AH15" s="769"/>
      <c r="AI15" s="777">
        <f>+'STER - Detailed Disclosure (mm)'!AS49-'STER - Detailed Disclosure (mm)'!AS47</f>
        <v>0.39667637698682745</v>
      </c>
      <c r="AJ15" s="777">
        <f>+'STER - Detailed Disclosure (mm)'!AT49-'STER - Detailed Disclosure (mm)'!AT47</f>
        <v>0.20858032915604685</v>
      </c>
      <c r="AK15" s="776">
        <f>+'STER - Detailed Disclosure (mm)'!AU49-'STER - Detailed Disclosure (mm)'!AU47</f>
        <v>-5.9480316439353142E-2</v>
      </c>
      <c r="AL15" s="777"/>
      <c r="AM15" s="777"/>
    </row>
    <row r="16" spans="1:41" s="470" customFormat="1" hidden="1" outlineLevel="1" x14ac:dyDescent="0.25">
      <c r="A16" s="766" t="s">
        <v>219</v>
      </c>
      <c r="C16" s="767"/>
      <c r="D16" s="769"/>
      <c r="E16" s="769"/>
      <c r="F16" s="770">
        <f t="shared" ref="F16:X16" si="18">+F12/E12-1</f>
        <v>-8.5383949082965982E-2</v>
      </c>
      <c r="G16" s="769">
        <f t="shared" si="18"/>
        <v>-1.6906999151767632E-2</v>
      </c>
      <c r="H16" s="769">
        <f t="shared" si="18"/>
        <v>-0.25805019434392173</v>
      </c>
      <c r="I16" s="769">
        <f t="shared" si="18"/>
        <v>0.32777094082713298</v>
      </c>
      <c r="J16" s="770">
        <f t="shared" si="18"/>
        <v>9.2694001802690718E-2</v>
      </c>
      <c r="K16" s="769">
        <f t="shared" si="18"/>
        <v>8.4566119078931967E-2</v>
      </c>
      <c r="L16" s="769">
        <f t="shared" si="18"/>
        <v>0.14320154983138411</v>
      </c>
      <c r="M16" s="769">
        <f t="shared" si="18"/>
        <v>6.4200893753765698E-2</v>
      </c>
      <c r="N16" s="770">
        <f t="shared" si="18"/>
        <v>2.4015522803541245E-2</v>
      </c>
      <c r="O16" s="769">
        <f t="shared" si="18"/>
        <v>0.10564479436038909</v>
      </c>
      <c r="P16" s="769">
        <f t="shared" si="18"/>
        <v>7.0942637467964031E-2</v>
      </c>
      <c r="Q16" s="769">
        <f t="shared" si="18"/>
        <v>-3.0604452529536808E-2</v>
      </c>
      <c r="R16" s="769">
        <f t="shared" si="18"/>
        <v>-0.14741167793114895</v>
      </c>
      <c r="S16" s="989">
        <f t="shared" si="18"/>
        <v>5.5049435028248883E-2</v>
      </c>
      <c r="T16" s="769">
        <f t="shared" si="18"/>
        <v>6.1972176668116941E-2</v>
      </c>
      <c r="U16" s="769">
        <f t="shared" si="18"/>
        <v>-5.1569459618455382E-2</v>
      </c>
      <c r="V16" s="769">
        <f t="shared" si="18"/>
        <v>-6.1750274137988725E-2</v>
      </c>
      <c r="W16" s="989">
        <f t="shared" si="18"/>
        <v>9.7883316805969178E-2</v>
      </c>
      <c r="X16" s="769">
        <f t="shared" si="18"/>
        <v>7.81133231899096E-2</v>
      </c>
      <c r="Y16" s="772">
        <f t="shared" ref="Y16" si="19">+Y12/X12-1</f>
        <v>-2.5073805154392392E-2</v>
      </c>
      <c r="Z16" s="770">
        <f t="shared" ref="Z16" si="20">+Z12/Y12-1</f>
        <v>-9.2885516530346157E-2</v>
      </c>
      <c r="AA16" s="769">
        <f t="shared" ref="AA16" si="21">+AA12/Z12-1</f>
        <v>8.333470259755571E-2</v>
      </c>
      <c r="AB16" s="769">
        <f t="shared" ref="AB16" si="22">+AB12/AA12-1</f>
        <v>9.2892276632021931E-2</v>
      </c>
      <c r="AC16" s="769">
        <f t="shared" ref="AC16" si="23">+AC12/AB12-1</f>
        <v>-8.7412787157974403E-3</v>
      </c>
      <c r="AD16" s="769">
        <f t="shared" ref="AD16" si="24">+AD12/AC12-1</f>
        <v>-7.7427361580128307E-2</v>
      </c>
      <c r="AE16" s="767"/>
      <c r="AF16" s="769"/>
      <c r="AG16" s="769"/>
      <c r="AH16" s="769"/>
      <c r="AI16" s="769">
        <f>+AI12/AH12-1</f>
        <v>0.41367637698682747</v>
      </c>
      <c r="AJ16" s="769">
        <f>+AJ12/AI12-1</f>
        <v>0.19458032915604684</v>
      </c>
      <c r="AK16" s="776">
        <f>+AK12/AJ12-1</f>
        <v>-6.1480316439353144E-2</v>
      </c>
      <c r="AL16" s="777">
        <f t="shared" ref="AL16:AM16" si="25">+AL12/AK12-1</f>
        <v>5.5205215827799137E-2</v>
      </c>
      <c r="AM16" s="777">
        <f t="shared" si="25"/>
        <v>5.6446634661055928E-2</v>
      </c>
    </row>
    <row r="17" spans="1:39" ht="12" collapsed="1" x14ac:dyDescent="0.3">
      <c r="A17" s="778"/>
      <c r="B17" s="470"/>
      <c r="C17" s="744"/>
      <c r="D17" s="689"/>
      <c r="E17" s="689"/>
      <c r="F17" s="779"/>
      <c r="G17" s="689"/>
      <c r="H17" s="689"/>
      <c r="I17" s="689"/>
      <c r="J17" s="779"/>
      <c r="K17" s="689"/>
      <c r="L17" s="689"/>
      <c r="M17" s="689"/>
      <c r="N17" s="779"/>
      <c r="O17" s="689"/>
      <c r="P17" s="780"/>
      <c r="Q17" s="780"/>
      <c r="R17" s="780"/>
      <c r="S17" s="990"/>
      <c r="T17" s="780"/>
      <c r="U17" s="780"/>
      <c r="V17" s="780"/>
      <c r="W17" s="990"/>
      <c r="X17" s="780"/>
      <c r="Y17" s="764"/>
      <c r="Z17" s="763"/>
      <c r="AA17" s="762"/>
      <c r="AB17" s="762"/>
      <c r="AC17" s="762"/>
      <c r="AD17" s="762"/>
      <c r="AE17" s="744"/>
      <c r="AF17" s="689"/>
      <c r="AG17" s="689"/>
      <c r="AH17" s="689"/>
      <c r="AI17" s="689"/>
      <c r="AJ17" s="689"/>
      <c r="AK17" s="781"/>
      <c r="AL17" s="689"/>
      <c r="AM17" s="689"/>
    </row>
    <row r="18" spans="1:39" ht="12" x14ac:dyDescent="0.3">
      <c r="A18" s="782" t="s">
        <v>29</v>
      </c>
      <c r="B18" s="470"/>
      <c r="C18" s="736"/>
      <c r="D18" s="736"/>
      <c r="E18" s="736"/>
      <c r="F18" s="752"/>
      <c r="G18" s="689"/>
      <c r="H18" s="689"/>
      <c r="I18" s="689"/>
      <c r="J18" s="779"/>
      <c r="K18" s="689"/>
      <c r="L18" s="689"/>
      <c r="M18" s="689"/>
      <c r="N18" s="779"/>
      <c r="O18" s="689"/>
      <c r="P18" s="689"/>
      <c r="Q18" s="689"/>
      <c r="R18" s="689"/>
      <c r="S18" s="991"/>
      <c r="T18" s="689"/>
      <c r="U18" s="736"/>
      <c r="V18" s="736"/>
      <c r="W18" s="986"/>
      <c r="X18" s="736"/>
      <c r="Y18" s="754"/>
      <c r="Z18" s="752"/>
      <c r="AA18" s="736"/>
      <c r="AB18" s="736"/>
      <c r="AC18" s="736"/>
      <c r="AD18" s="736"/>
      <c r="AE18" s="736"/>
      <c r="AF18" s="689"/>
      <c r="AG18" s="689"/>
      <c r="AH18" s="689"/>
      <c r="AI18" s="689"/>
      <c r="AJ18" s="689"/>
      <c r="AK18" s="781"/>
      <c r="AL18" s="689"/>
      <c r="AM18" s="689"/>
    </row>
    <row r="19" spans="1:39" ht="12" x14ac:dyDescent="0.3">
      <c r="A19" s="778" t="str">
        <f>+A9</f>
        <v>United States</v>
      </c>
      <c r="B19" s="470"/>
      <c r="C19" s="736"/>
      <c r="D19" s="736"/>
      <c r="E19" s="736"/>
      <c r="F19" s="752"/>
      <c r="G19" s="689"/>
      <c r="H19" s="689"/>
      <c r="I19" s="689"/>
      <c r="J19" s="779"/>
      <c r="K19" s="689"/>
      <c r="L19" s="689"/>
      <c r="M19" s="689">
        <f t="shared" ref="M19:AD20" si="26">+M9/I9-1</f>
        <v>0.41537026144453693</v>
      </c>
      <c r="N19" s="779">
        <f t="shared" si="26"/>
        <v>0.38174401600862007</v>
      </c>
      <c r="O19" s="689">
        <f t="shared" si="26"/>
        <v>0.45907134352962742</v>
      </c>
      <c r="P19" s="689">
        <f t="shared" si="26"/>
        <v>0.33632400571016308</v>
      </c>
      <c r="Q19" s="689">
        <f t="shared" si="26"/>
        <v>0.20815539824023399</v>
      </c>
      <c r="R19" s="689">
        <f t="shared" si="26"/>
        <v>-1.2839079819529142E-2</v>
      </c>
      <c r="S19" s="991">
        <f t="shared" si="26"/>
        <v>-6.0094403575284394E-2</v>
      </c>
      <c r="T19" s="689">
        <f t="shared" si="26"/>
        <v>-6.8443270252419364E-2</v>
      </c>
      <c r="U19" s="689">
        <f t="shared" si="26"/>
        <v>-8.9185422412003779E-2</v>
      </c>
      <c r="V19" s="689">
        <f t="shared" si="26"/>
        <v>1.6906474820143735E-2</v>
      </c>
      <c r="W19" s="991">
        <f t="shared" si="26"/>
        <v>6.7349173912462756E-2</v>
      </c>
      <c r="X19" s="689">
        <f t="shared" si="26"/>
        <v>7.2614952095586771E-2</v>
      </c>
      <c r="Y19" s="2275">
        <f t="shared" ref="Y19:Y20" si="27">+Y9/U9-1</f>
        <v>0.10075584234618473</v>
      </c>
      <c r="Z19" s="1492">
        <f t="shared" si="26"/>
        <v>5.6989499018567535E-2</v>
      </c>
      <c r="AA19" s="1118">
        <f t="shared" si="26"/>
        <v>3.0000000000000027E-2</v>
      </c>
      <c r="AB19" s="1118">
        <f t="shared" si="26"/>
        <v>4.4999999999999929E-2</v>
      </c>
      <c r="AC19" s="1118">
        <f t="shared" ref="AC19:AC20" si="28">+AC9/Y9-1</f>
        <v>6.0000000000000053E-2</v>
      </c>
      <c r="AD19" s="1118">
        <f t="shared" si="26"/>
        <v>8.0000000000000071E-2</v>
      </c>
      <c r="AE19" s="736"/>
      <c r="AF19" s="689"/>
      <c r="AG19" s="689"/>
      <c r="AH19" s="689">
        <f t="shared" ref="AH19:AM20" si="29">+AH9/AG9-1</f>
        <v>-0.11164080579509528</v>
      </c>
      <c r="AI19" s="689">
        <f t="shared" si="29"/>
        <v>0.385108294399644</v>
      </c>
      <c r="AJ19" s="689">
        <f t="shared" si="29"/>
        <v>0.23179737961857527</v>
      </c>
      <c r="AK19" s="781">
        <f t="shared" si="29"/>
        <v>-5.3014323745856906E-2</v>
      </c>
      <c r="AL19" s="689">
        <f t="shared" si="29"/>
        <v>7.4715111186923311E-2</v>
      </c>
      <c r="AM19" s="689">
        <f t="shared" si="29"/>
        <v>5.3351245958100924E-2</v>
      </c>
    </row>
    <row r="20" spans="1:39" s="789" customFormat="1" ht="13.5" x14ac:dyDescent="0.45">
      <c r="A20" s="778" t="s">
        <v>214</v>
      </c>
      <c r="B20" s="783"/>
      <c r="C20" s="784"/>
      <c r="D20" s="784"/>
      <c r="E20" s="784"/>
      <c r="F20" s="785"/>
      <c r="G20" s="786"/>
      <c r="H20" s="786"/>
      <c r="I20" s="786"/>
      <c r="J20" s="787"/>
      <c r="K20" s="786"/>
      <c r="L20" s="786"/>
      <c r="M20" s="786">
        <f t="shared" si="26"/>
        <v>0.57891134975784375</v>
      </c>
      <c r="N20" s="787">
        <f t="shared" si="26"/>
        <v>0.2217516999877851</v>
      </c>
      <c r="O20" s="786">
        <f t="shared" si="26"/>
        <v>8.2041086812458586E-2</v>
      </c>
      <c r="P20" s="786">
        <f t="shared" si="26"/>
        <v>8.4108286836123147E-2</v>
      </c>
      <c r="Q20" s="786">
        <f t="shared" si="26"/>
        <v>2.3038709032107585E-2</v>
      </c>
      <c r="R20" s="786">
        <f t="shared" si="26"/>
        <v>-6.215630728211996E-2</v>
      </c>
      <c r="S20" s="992">
        <f t="shared" si="26"/>
        <v>-9.5663890249877426E-2</v>
      </c>
      <c r="T20" s="786">
        <f t="shared" si="26"/>
        <v>-0.10452408184013218</v>
      </c>
      <c r="U20" s="786">
        <f t="shared" si="26"/>
        <v>-0.12042106635380001</v>
      </c>
      <c r="V20" s="786">
        <f t="shared" si="26"/>
        <v>-0.10309168443496841</v>
      </c>
      <c r="W20" s="992">
        <f t="shared" si="26"/>
        <v>-0.11377488825680615</v>
      </c>
      <c r="X20" s="786">
        <f t="shared" si="26"/>
        <v>-5.7972042858156492E-2</v>
      </c>
      <c r="Y20" s="2276">
        <f t="shared" si="27"/>
        <v>-2.0000000000000018E-2</v>
      </c>
      <c r="Z20" s="1493">
        <f t="shared" si="26"/>
        <v>-1.1557251938770774E-2</v>
      </c>
      <c r="AA20" s="1119">
        <f t="shared" si="26"/>
        <v>5.0654177672116774E-2</v>
      </c>
      <c r="AB20" s="1119">
        <f t="shared" si="26"/>
        <v>6.0599268263157535E-2</v>
      </c>
      <c r="AC20" s="1119">
        <f t="shared" si="28"/>
        <v>9.4049430027275394E-2</v>
      </c>
      <c r="AD20" s="1119">
        <f t="shared" si="26"/>
        <v>9.9538264980925328E-2</v>
      </c>
      <c r="AE20" s="784"/>
      <c r="AF20" s="786"/>
      <c r="AG20" s="786"/>
      <c r="AH20" s="786">
        <f t="shared" si="29"/>
        <v>6.0254620350275623E-2</v>
      </c>
      <c r="AI20" s="786">
        <f t="shared" si="29"/>
        <v>0.55422283643190529</v>
      </c>
      <c r="AJ20" s="786">
        <f t="shared" si="29"/>
        <v>3.1406234271717626E-2</v>
      </c>
      <c r="AK20" s="788">
        <f t="shared" si="29"/>
        <v>-0.10581020852988066</v>
      </c>
      <c r="AL20" s="786">
        <f t="shared" si="29"/>
        <v>-5.2984860583219495E-2</v>
      </c>
      <c r="AM20" s="786">
        <f t="shared" si="29"/>
        <v>7.5926417640751032E-2</v>
      </c>
    </row>
    <row r="21" spans="1:39" s="470" customFormat="1" x14ac:dyDescent="0.25">
      <c r="A21" s="766" t="s">
        <v>216</v>
      </c>
      <c r="C21" s="767"/>
      <c r="D21" s="767"/>
      <c r="E21" s="767"/>
      <c r="F21" s="768"/>
      <c r="G21" s="769"/>
      <c r="H21" s="769"/>
      <c r="I21" s="769">
        <f t="shared" ref="I21:AD21" si="30">+I12/E12-1</f>
        <v>-0.11420931721462735</v>
      </c>
      <c r="J21" s="770">
        <f t="shared" si="30"/>
        <v>5.8256264977888383E-2</v>
      </c>
      <c r="K21" s="769">
        <f t="shared" si="30"/>
        <v>0.16748760219809666</v>
      </c>
      <c r="L21" s="769">
        <f t="shared" si="30"/>
        <v>0.79887322035429209</v>
      </c>
      <c r="M21" s="769">
        <f t="shared" si="30"/>
        <v>0.44178670430774991</v>
      </c>
      <c r="N21" s="770">
        <f t="shared" si="30"/>
        <v>0.35116689882726471</v>
      </c>
      <c r="O21" s="769">
        <f t="shared" si="30"/>
        <v>0.37742699289660608</v>
      </c>
      <c r="P21" s="769">
        <f t="shared" si="30"/>
        <v>0.29036327575818444</v>
      </c>
      <c r="Q21" s="769">
        <f t="shared" si="30"/>
        <v>0.17541003910189512</v>
      </c>
      <c r="R21" s="769">
        <f t="shared" si="30"/>
        <v>-2.1361638896728374E-2</v>
      </c>
      <c r="S21" s="989">
        <f t="shared" si="30"/>
        <v>-6.6145062821661549E-2</v>
      </c>
      <c r="T21" s="769">
        <f t="shared" si="30"/>
        <v>-7.3967245647912572E-2</v>
      </c>
      <c r="U21" s="769">
        <f t="shared" si="30"/>
        <v>-9.3994450549174879E-2</v>
      </c>
      <c r="V21" s="769">
        <f t="shared" si="30"/>
        <v>-2.9661016949154018E-3</v>
      </c>
      <c r="W21" s="989">
        <f t="shared" si="30"/>
        <v>3.7512411169494664E-2</v>
      </c>
      <c r="X21" s="769">
        <f t="shared" si="30"/>
        <v>5.328178838557851E-2</v>
      </c>
      <c r="Y21" s="772">
        <f t="shared" ref="Y21" si="31">+Y12/U12-1</f>
        <v>8.2706600356656335E-2</v>
      </c>
      <c r="Z21" s="770">
        <f t="shared" si="30"/>
        <v>4.6777645076718777E-2</v>
      </c>
      <c r="AA21" s="769">
        <f t="shared" si="30"/>
        <v>3.290625830265026E-2</v>
      </c>
      <c r="AB21" s="769">
        <f t="shared" si="30"/>
        <v>4.7065505918990613E-2</v>
      </c>
      <c r="AC21" s="769">
        <f t="shared" ref="AC21" si="32">+AC12/Y12-1</f>
        <v>6.4606551742537155E-2</v>
      </c>
      <c r="AD21" s="769">
        <f t="shared" si="30"/>
        <v>8.2748531986206908E-2</v>
      </c>
      <c r="AE21" s="767"/>
      <c r="AF21" s="769"/>
      <c r="AG21" s="769"/>
      <c r="AH21" s="769">
        <f t="shared" ref="AH21:AM21" si="33">+AH12/AG12-1</f>
        <v>-8.6625656788355321E-2</v>
      </c>
      <c r="AI21" s="769">
        <f t="shared" si="33"/>
        <v>0.41367637698682747</v>
      </c>
      <c r="AJ21" s="769">
        <f t="shared" si="33"/>
        <v>0.19458032915604684</v>
      </c>
      <c r="AK21" s="772">
        <f t="shared" si="33"/>
        <v>-6.1480316439353144E-2</v>
      </c>
      <c r="AL21" s="769">
        <f t="shared" si="33"/>
        <v>5.5205215827799137E-2</v>
      </c>
      <c r="AM21" s="769">
        <f t="shared" si="33"/>
        <v>5.6446634661055928E-2</v>
      </c>
    </row>
    <row r="22" spans="1:39" s="470" customFormat="1" x14ac:dyDescent="0.25">
      <c r="A22" s="766" t="s">
        <v>123</v>
      </c>
      <c r="C22" s="767"/>
      <c r="D22" s="767"/>
      <c r="E22" s="767"/>
      <c r="F22" s="768">
        <f t="shared" ref="F22:H22" si="34">+F12/E12-1</f>
        <v>-8.5383949082965982E-2</v>
      </c>
      <c r="G22" s="769">
        <f t="shared" si="34"/>
        <v>-1.6906999151767632E-2</v>
      </c>
      <c r="H22" s="769">
        <f t="shared" si="34"/>
        <v>-0.25805019434392173</v>
      </c>
      <c r="I22" s="769">
        <f t="shared" ref="I22:AC22" si="35">+I12/H12-1</f>
        <v>0.32777094082713298</v>
      </c>
      <c r="J22" s="770">
        <f t="shared" si="35"/>
        <v>9.2694001802690718E-2</v>
      </c>
      <c r="K22" s="769">
        <f t="shared" si="35"/>
        <v>8.4566119078931967E-2</v>
      </c>
      <c r="L22" s="769">
        <f t="shared" si="35"/>
        <v>0.14320154983138411</v>
      </c>
      <c r="M22" s="769">
        <f t="shared" si="35"/>
        <v>6.4200893753765698E-2</v>
      </c>
      <c r="N22" s="770">
        <f t="shared" si="35"/>
        <v>2.4015522803541245E-2</v>
      </c>
      <c r="O22" s="769">
        <f t="shared" si="35"/>
        <v>0.10564479436038909</v>
      </c>
      <c r="P22" s="769">
        <f t="shared" si="35"/>
        <v>7.0942637467964031E-2</v>
      </c>
      <c r="Q22" s="769">
        <f t="shared" si="35"/>
        <v>-3.0604452529536808E-2</v>
      </c>
      <c r="R22" s="769">
        <f t="shared" si="35"/>
        <v>-0.14741167793114895</v>
      </c>
      <c r="S22" s="989">
        <f t="shared" si="35"/>
        <v>5.5049435028248883E-2</v>
      </c>
      <c r="T22" s="769">
        <f t="shared" si="35"/>
        <v>6.1972176668116941E-2</v>
      </c>
      <c r="U22" s="769">
        <f t="shared" si="35"/>
        <v>-5.1569459618455382E-2</v>
      </c>
      <c r="V22" s="769">
        <f t="shared" si="35"/>
        <v>-6.1750274137988725E-2</v>
      </c>
      <c r="W22" s="989">
        <f t="shared" si="35"/>
        <v>9.7883316805969178E-2</v>
      </c>
      <c r="X22" s="769">
        <f t="shared" si="35"/>
        <v>7.81133231899096E-2</v>
      </c>
      <c r="Y22" s="772">
        <f t="shared" si="35"/>
        <v>-2.5073805154392392E-2</v>
      </c>
      <c r="Z22" s="770">
        <f t="shared" si="35"/>
        <v>-9.2885516530346157E-2</v>
      </c>
      <c r="AA22" s="769">
        <f t="shared" si="35"/>
        <v>8.333470259755571E-2</v>
      </c>
      <c r="AB22" s="769">
        <f t="shared" si="35"/>
        <v>9.2892276632021931E-2</v>
      </c>
      <c r="AC22" s="769">
        <f t="shared" si="35"/>
        <v>-8.7412787157974403E-3</v>
      </c>
      <c r="AD22" s="769">
        <f>+AD12/AC12-1</f>
        <v>-7.7427361580128307E-2</v>
      </c>
      <c r="AE22" s="767"/>
      <c r="AF22" s="769"/>
      <c r="AG22" s="769"/>
      <c r="AH22" s="769"/>
      <c r="AI22" s="769"/>
      <c r="AJ22" s="769"/>
      <c r="AK22" s="772"/>
      <c r="AL22" s="769"/>
      <c r="AM22" s="769"/>
    </row>
    <row r="23" spans="1:39" s="470" customFormat="1" x14ac:dyDescent="0.25">
      <c r="A23" s="766"/>
      <c r="C23" s="767"/>
      <c r="D23" s="767"/>
      <c r="E23" s="767"/>
      <c r="F23" s="768"/>
      <c r="G23" s="769"/>
      <c r="H23" s="769"/>
      <c r="I23" s="769"/>
      <c r="J23" s="770"/>
      <c r="K23" s="769"/>
      <c r="L23" s="769"/>
      <c r="M23" s="769"/>
      <c r="N23" s="770"/>
      <c r="O23" s="769"/>
      <c r="P23" s="769"/>
      <c r="Q23" s="769"/>
      <c r="R23" s="769"/>
      <c r="S23" s="989"/>
      <c r="T23" s="769"/>
      <c r="U23" s="769"/>
      <c r="V23" s="769"/>
      <c r="W23" s="989"/>
      <c r="X23" s="769"/>
      <c r="Y23" s="772"/>
      <c r="Z23" s="770"/>
      <c r="AA23" s="769"/>
      <c r="AB23" s="769"/>
      <c r="AC23" s="769"/>
      <c r="AD23" s="769"/>
      <c r="AE23" s="767"/>
      <c r="AF23" s="769"/>
      <c r="AG23" s="769"/>
      <c r="AH23" s="769"/>
      <c r="AI23" s="769"/>
      <c r="AJ23" s="769"/>
      <c r="AK23" s="812"/>
      <c r="AL23" s="767"/>
      <c r="AM23" s="767"/>
    </row>
    <row r="24" spans="1:39" ht="12" x14ac:dyDescent="0.3">
      <c r="A24" s="782" t="s">
        <v>220</v>
      </c>
      <c r="B24" s="470"/>
      <c r="C24" s="736"/>
      <c r="D24" s="736"/>
      <c r="E24" s="736"/>
      <c r="F24" s="752"/>
      <c r="G24" s="690"/>
      <c r="H24" s="689"/>
      <c r="I24" s="689"/>
      <c r="J24" s="779"/>
      <c r="K24" s="690"/>
      <c r="L24" s="689"/>
      <c r="M24" s="689"/>
      <c r="N24" s="779"/>
      <c r="O24" s="689"/>
      <c r="P24" s="689"/>
      <c r="Q24" s="689"/>
      <c r="R24" s="689"/>
      <c r="S24" s="991"/>
      <c r="T24" s="689"/>
      <c r="U24" s="736"/>
      <c r="V24" s="736"/>
      <c r="W24" s="986"/>
      <c r="X24" s="736"/>
      <c r="Y24" s="754"/>
      <c r="Z24" s="752"/>
      <c r="AA24" s="736"/>
      <c r="AB24" s="736"/>
      <c r="AC24" s="736"/>
      <c r="AD24" s="736"/>
      <c r="AE24" s="736"/>
      <c r="AF24" s="736"/>
      <c r="AG24" s="736"/>
      <c r="AH24" s="736"/>
      <c r="AI24" s="736"/>
      <c r="AJ24" s="689"/>
      <c r="AK24" s="781"/>
      <c r="AL24" s="689"/>
      <c r="AM24" s="689"/>
    </row>
    <row r="25" spans="1:39" ht="12" x14ac:dyDescent="0.3">
      <c r="A25" s="778" t="str">
        <f>+A19</f>
        <v>United States</v>
      </c>
      <c r="B25" s="470"/>
      <c r="C25" s="736"/>
      <c r="D25" s="736"/>
      <c r="E25" s="736"/>
      <c r="F25" s="752"/>
      <c r="G25" s="689"/>
      <c r="H25" s="689"/>
      <c r="I25" s="689"/>
      <c r="J25" s="779"/>
      <c r="K25" s="689"/>
      <c r="L25" s="689"/>
      <c r="M25" s="689"/>
      <c r="N25" s="779"/>
      <c r="O25" s="689"/>
      <c r="P25" s="689"/>
      <c r="Q25" s="689">
        <f t="shared" ref="Q25:R25" si="36">+Q138</f>
        <v>0.12675676392192847</v>
      </c>
      <c r="R25" s="689">
        <f t="shared" si="36"/>
        <v>-6.1189529605080284E-2</v>
      </c>
      <c r="S25" s="991">
        <f>+S138</f>
        <v>-7.1892214215772521E-2</v>
      </c>
      <c r="T25" s="689">
        <f t="shared" ref="T25:U25" si="37">+T138</f>
        <v>-0.10048480601901044</v>
      </c>
      <c r="U25" s="689">
        <f t="shared" si="37"/>
        <v>-0.11162219256886996</v>
      </c>
      <c r="V25" s="689">
        <f>+V138</f>
        <v>1.8916631400633932E-5</v>
      </c>
      <c r="W25" s="991">
        <f t="shared" ref="W25:X25" si="38">+W138</f>
        <v>-3.6808897971177035E-2</v>
      </c>
      <c r="X25" s="689">
        <f t="shared" si="38"/>
        <v>-1.5911416910208143E-4</v>
      </c>
      <c r="Y25" s="943">
        <f t="shared" ref="Y25" si="39">+Y138</f>
        <v>2.3784681299934274E-2</v>
      </c>
      <c r="Z25" s="942">
        <v>-2.5000000000000001E-2</v>
      </c>
      <c r="AA25" s="941">
        <v>0.03</v>
      </c>
      <c r="AB25" s="941">
        <v>4.4999999999999998E-2</v>
      </c>
      <c r="AC25" s="941">
        <v>0.06</v>
      </c>
      <c r="AD25" s="941">
        <v>0.08</v>
      </c>
      <c r="AE25" s="736"/>
      <c r="AF25" s="689"/>
      <c r="AG25" s="689"/>
      <c r="AH25" s="689"/>
      <c r="AI25" s="690"/>
      <c r="AJ25" s="689"/>
      <c r="AK25" s="781">
        <f>+SUMPRODUCT(S25:V25,O9:R9)/AJ9</f>
        <v>-7.4193937492428155E-2</v>
      </c>
      <c r="AL25" s="689">
        <f>+SUMPRODUCT(W25:Z25,S9:V9)/AK9</f>
        <v>-9.0033541415857846E-3</v>
      </c>
      <c r="AM25" s="689">
        <f>+SUMPRODUCT(AA25:AD25,W9:Z9)/AL9</f>
        <v>5.3351245958100819E-2</v>
      </c>
    </row>
    <row r="26" spans="1:39" s="789" customFormat="1" ht="13.5" x14ac:dyDescent="0.45">
      <c r="A26" s="778" t="s">
        <v>214</v>
      </c>
      <c r="B26" s="783"/>
      <c r="C26" s="784"/>
      <c r="D26" s="784"/>
      <c r="E26" s="784"/>
      <c r="F26" s="785"/>
      <c r="G26" s="786"/>
      <c r="H26" s="786"/>
      <c r="I26" s="786"/>
      <c r="J26" s="787"/>
      <c r="K26" s="786"/>
      <c r="L26" s="786"/>
      <c r="M26" s="786"/>
      <c r="N26" s="787"/>
      <c r="O26" s="786"/>
      <c r="P26" s="786"/>
      <c r="Q26" s="786">
        <f t="shared" ref="Q26:R26" si="40">+Q146</f>
        <v>0.11349021438335627</v>
      </c>
      <c r="R26" s="786">
        <f t="shared" si="40"/>
        <v>4.4067255457423959E-2</v>
      </c>
      <c r="S26" s="992">
        <f>+S146</f>
        <v>-6.7499999999999893E-2</v>
      </c>
      <c r="T26" s="786">
        <f t="shared" ref="T26:U26" si="41">+T146</f>
        <v>-0.10363594484686744</v>
      </c>
      <c r="U26" s="786">
        <f t="shared" si="41"/>
        <v>-0.1595065506452874</v>
      </c>
      <c r="V26" s="786">
        <f>+V146</f>
        <v>-0.16916993603411401</v>
      </c>
      <c r="W26" s="992">
        <f t="shared" ref="W26:X26" si="42">+W146</f>
        <v>-0.1108149803602867</v>
      </c>
      <c r="X26" s="786">
        <f t="shared" si="42"/>
        <v>-5.9875399134322715E-2</v>
      </c>
      <c r="Y26" s="2277">
        <f t="shared" ref="Y26" si="43">+Y146</f>
        <v>-8.8843602949350009E-3</v>
      </c>
      <c r="Z26" s="1494">
        <v>0</v>
      </c>
      <c r="AA26" s="1117">
        <v>0.03</v>
      </c>
      <c r="AB26" s="1117">
        <v>4.4999999999999998E-2</v>
      </c>
      <c r="AC26" s="1117">
        <v>0.06</v>
      </c>
      <c r="AD26" s="1117">
        <v>0.08</v>
      </c>
      <c r="AE26" s="784"/>
      <c r="AF26" s="786"/>
      <c r="AG26" s="786"/>
      <c r="AH26" s="786"/>
      <c r="AI26" s="790"/>
      <c r="AJ26" s="786"/>
      <c r="AK26" s="788">
        <f>+SUMPRODUCT(S26:V26,O10:R10)/AJ10</f>
        <v>-0.12297948859754679</v>
      </c>
      <c r="AL26" s="786">
        <f>+SUMPRODUCT(W26:Z26,S10:V10)/AK10</f>
        <v>-4.7296090808215015E-2</v>
      </c>
      <c r="AM26" s="786">
        <f>+SUMPRODUCT(AA26:AD26,W10:Z10)/AL10</f>
        <v>5.3425946904780267E-2</v>
      </c>
    </row>
    <row r="27" spans="1:39" s="470" customFormat="1" x14ac:dyDescent="0.25">
      <c r="A27" s="766" t="s">
        <v>216</v>
      </c>
      <c r="C27" s="767"/>
      <c r="D27" s="767"/>
      <c r="E27" s="767"/>
      <c r="F27" s="768"/>
      <c r="G27" s="769"/>
      <c r="H27" s="769"/>
      <c r="I27" s="773">
        <f t="shared" ref="I27:K27" si="44">+I21+I254</f>
        <v>-0.10824500666890642</v>
      </c>
      <c r="J27" s="774">
        <f t="shared" si="44"/>
        <v>6.148001935335598E-2</v>
      </c>
      <c r="K27" s="769">
        <f t="shared" si="44"/>
        <v>0.17315797737430796</v>
      </c>
      <c r="L27" s="769">
        <f>+L21+L254</f>
        <v>0.79969343728904074</v>
      </c>
      <c r="M27" s="773">
        <v>0.43200000000000011</v>
      </c>
      <c r="N27" s="774">
        <v>0.32300000000000001</v>
      </c>
      <c r="O27" s="773">
        <f>+'STER - Detailed Disclosure (mm)'!O48</f>
        <v>0.30442699289660607</v>
      </c>
      <c r="P27" s="773">
        <f>+'STER - Detailed Disclosure (mm)'!P48</f>
        <v>0.22836327575818444</v>
      </c>
      <c r="Q27" s="773">
        <f>+'STER - Detailed Disclosure (mm)'!Q48</f>
        <v>0.12441003910189512</v>
      </c>
      <c r="R27" s="769">
        <f>+'STER - Detailed Disclosure (mm)'!R48</f>
        <v>-4.2999999999999997E-2</v>
      </c>
      <c r="S27" s="989">
        <f>+'STER - Detailed Disclosure (mm)'!S48</f>
        <v>-7.1145062821661553E-2</v>
      </c>
      <c r="T27" s="769">
        <f>+'STER - Detailed Disclosure (mm)'!T48</f>
        <v>-0.10096724564791268</v>
      </c>
      <c r="U27" s="769">
        <f>+'STER - Detailed Disclosure (mm)'!U48</f>
        <v>-0.11899445054917487</v>
      </c>
      <c r="V27" s="769">
        <f>+'STER - Detailed Disclosure (mm)'!V48</f>
        <v>-2.8000000000000001E-2</v>
      </c>
      <c r="W27" s="989">
        <f>+'STER - Detailed Disclosure (mm)'!W48</f>
        <v>-4.9000000000000002E-2</v>
      </c>
      <c r="X27" s="769">
        <f>+'STER - Detailed Disclosure (mm)'!X48</f>
        <v>-9.0000000000000011E-3</v>
      </c>
      <c r="Y27" s="2278">
        <f>+'STER - Detailed Disclosure (mm)'!Y48</f>
        <v>1.4999999999999999E-2</v>
      </c>
      <c r="Z27" s="1495">
        <f t="shared" ref="Z27:AD27" si="45">+SUMPRODUCT(Z25:Z26,V9:V10)/SUM(V9:V10)</f>
        <v>-2.127558790196912E-2</v>
      </c>
      <c r="AA27" s="1120">
        <f t="shared" si="45"/>
        <v>3.0000000000000002E-2</v>
      </c>
      <c r="AB27" s="1120">
        <f t="shared" si="45"/>
        <v>4.4999999999999998E-2</v>
      </c>
      <c r="AC27" s="1120">
        <f t="shared" ref="AC27" si="46">+SUMPRODUCT(AC25:AC26,Y9:Y10)/SUM(Y9:Y10)</f>
        <v>6.0000000000000005E-2</v>
      </c>
      <c r="AD27" s="1120">
        <f t="shared" si="45"/>
        <v>0.08</v>
      </c>
      <c r="AE27" s="767"/>
      <c r="AF27" s="771"/>
      <c r="AG27" s="769"/>
      <c r="AH27" s="769"/>
      <c r="AI27" s="769">
        <f>+'STER - Detailed Disclosure (mm)'!AS48</f>
        <v>0.38967637698682744</v>
      </c>
      <c r="AJ27" s="777">
        <f>+'STER - Detailed Disclosure (mm)'!AT48</f>
        <v>0.14358032915604685</v>
      </c>
      <c r="AK27" s="776">
        <f>+'STER - Detailed Disclosure (mm)'!AU48</f>
        <v>-8.2480316439353135E-2</v>
      </c>
      <c r="AL27" s="777">
        <f>+SUMPRODUCT(W27:Z27,S12:V12)/AK12</f>
        <v>-1.5832662164415541E-2</v>
      </c>
      <c r="AM27" s="777">
        <f>+SUMPRODUCT(AA27:AD27,W12:Z12)/AL12</f>
        <v>5.3361488558675549E-2</v>
      </c>
    </row>
    <row r="28" spans="1:39" s="470" customFormat="1" x14ac:dyDescent="0.25">
      <c r="A28" s="766" t="s">
        <v>123</v>
      </c>
      <c r="C28" s="767"/>
      <c r="D28" s="767"/>
      <c r="E28" s="767"/>
      <c r="F28" s="768"/>
      <c r="G28" s="769"/>
      <c r="H28" s="769"/>
      <c r="I28" s="773">
        <f t="shared" ref="I28:J28" si="47">+I22+I254-I155/H12</f>
        <v>0.33373525137285392</v>
      </c>
      <c r="J28" s="774">
        <f t="shared" si="47"/>
        <v>9.5917756178158314E-2</v>
      </c>
      <c r="K28" s="769">
        <f t="shared" ref="K28" si="48">+K22+K254-K155/J12</f>
        <v>9.0236494255143282E-2</v>
      </c>
      <c r="L28" s="769">
        <f t="shared" ref="L28" si="49">+L22+L254-L155/K12</f>
        <v>0.14402176676613271</v>
      </c>
      <c r="M28" s="773">
        <f t="shared" ref="M28:AC28" si="50">+M22+M254-M155/L12</f>
        <v>6.2033231900941066E-2</v>
      </c>
      <c r="N28" s="774">
        <f t="shared" si="50"/>
        <v>3.2292738979812913E-3</v>
      </c>
      <c r="O28" s="773">
        <f t="shared" si="50"/>
        <v>5.7269697326086534E-2</v>
      </c>
      <c r="P28" s="773">
        <f t="shared" si="50"/>
        <v>6.3653707038954038E-2</v>
      </c>
      <c r="Q28" s="773">
        <f t="shared" si="50"/>
        <v>-3.8142851913165909E-2</v>
      </c>
      <c r="R28" s="769">
        <f t="shared" si="50"/>
        <v>-0.14807773960984646</v>
      </c>
      <c r="S28" s="989">
        <f t="shared" si="50"/>
        <v>4.2538498903244105E-2</v>
      </c>
      <c r="T28" s="769">
        <f t="shared" si="50"/>
        <v>4.406622247160058E-2</v>
      </c>
      <c r="U28" s="769">
        <f t="shared" si="50"/>
        <v>-5.0866708501199488E-2</v>
      </c>
      <c r="V28" s="769">
        <f t="shared" si="50"/>
        <v>-6.3690148458722756E-2</v>
      </c>
      <c r="W28" s="989">
        <f t="shared" si="50"/>
        <v>2.978653536909559E-2</v>
      </c>
      <c r="X28" s="769">
        <f t="shared" si="50"/>
        <v>7.7429944658908567E-2</v>
      </c>
      <c r="Y28" s="2278">
        <f t="shared" si="50"/>
        <v>-2.2467505886566576E-2</v>
      </c>
      <c r="Z28" s="1495">
        <f t="shared" si="50"/>
        <v>-9.4977957632413332E-2</v>
      </c>
      <c r="AA28" s="1120">
        <f t="shared" si="50"/>
        <v>8.0538226056185741E-2</v>
      </c>
      <c r="AB28" s="1120">
        <f t="shared" si="50"/>
        <v>9.2892276632021931E-2</v>
      </c>
      <c r="AC28" s="1120">
        <f t="shared" si="50"/>
        <v>-8.7412787157974403E-3</v>
      </c>
      <c r="AD28" s="1120">
        <f>+AD22+AD254-AD155/AC12</f>
        <v>-7.7427361580128307E-2</v>
      </c>
      <c r="AE28" s="767"/>
      <c r="AF28" s="771"/>
      <c r="AG28" s="769"/>
      <c r="AH28" s="769"/>
      <c r="AI28" s="769"/>
      <c r="AJ28" s="777"/>
      <c r="AK28" s="776"/>
      <c r="AL28" s="777"/>
      <c r="AM28" s="777"/>
    </row>
    <row r="29" spans="1:39" s="470" customFormat="1" ht="12" x14ac:dyDescent="0.3">
      <c r="A29" s="766"/>
      <c r="C29" s="767"/>
      <c r="D29" s="767"/>
      <c r="E29" s="767"/>
      <c r="F29" s="768"/>
      <c r="G29" s="769"/>
      <c r="H29" s="769"/>
      <c r="I29" s="773"/>
      <c r="J29" s="774"/>
      <c r="K29" s="769"/>
      <c r="L29" s="769"/>
      <c r="M29" s="773"/>
      <c r="N29" s="774"/>
      <c r="O29" s="773"/>
      <c r="P29" s="773"/>
      <c r="Q29" s="773"/>
      <c r="R29" s="767"/>
      <c r="S29" s="993"/>
      <c r="T29" s="767"/>
      <c r="U29" s="767"/>
      <c r="V29" s="767"/>
      <c r="W29" s="993"/>
      <c r="X29" s="767"/>
      <c r="Y29" s="812"/>
      <c r="Z29" s="768"/>
      <c r="AA29" s="767"/>
      <c r="AB29" s="767"/>
      <c r="AC29" s="767"/>
      <c r="AD29" s="767"/>
      <c r="AE29" s="767"/>
      <c r="AF29" s="769"/>
      <c r="AG29" s="769"/>
      <c r="AH29" s="769"/>
      <c r="AI29" s="769"/>
      <c r="AJ29" s="689"/>
      <c r="AK29" s="781"/>
      <c r="AL29" s="767"/>
      <c r="AM29" s="767"/>
    </row>
    <row r="30" spans="1:39" ht="12" x14ac:dyDescent="0.3">
      <c r="A30" s="782" t="s">
        <v>222</v>
      </c>
      <c r="B30" s="470"/>
      <c r="C30" s="736"/>
      <c r="D30" s="736"/>
      <c r="E30" s="736"/>
      <c r="F30" s="752"/>
      <c r="G30" s="736"/>
      <c r="H30" s="736"/>
      <c r="I30" s="736"/>
      <c r="J30" s="752"/>
      <c r="K30" s="736"/>
      <c r="L30" s="736"/>
      <c r="M30" s="736"/>
      <c r="N30" s="752"/>
      <c r="O30" s="736"/>
      <c r="P30" s="736"/>
      <c r="Q30" s="769"/>
      <c r="R30" s="736"/>
      <c r="S30" s="986"/>
      <c r="T30" s="736"/>
      <c r="U30" s="736"/>
      <c r="V30" s="736"/>
      <c r="W30" s="986"/>
      <c r="X30" s="736"/>
      <c r="Y30" s="754"/>
      <c r="Z30" s="752"/>
      <c r="AA30" s="736"/>
      <c r="AB30" s="736"/>
      <c r="AC30" s="736"/>
      <c r="AD30" s="736"/>
      <c r="AE30" s="736"/>
      <c r="AF30" s="736"/>
      <c r="AG30" s="736"/>
      <c r="AH30" s="736"/>
      <c r="AI30" s="736"/>
      <c r="AJ30" s="689"/>
      <c r="AK30" s="781"/>
      <c r="AL30" s="689"/>
      <c r="AM30" s="689"/>
    </row>
    <row r="31" spans="1:39" ht="12" x14ac:dyDescent="0.3">
      <c r="A31" s="778" t="str">
        <f>+'FA - Detailed Disclosure'!A131</f>
        <v>Change in Existing Customers</v>
      </c>
      <c r="B31" s="470"/>
      <c r="C31" s="736"/>
      <c r="D31" s="736"/>
      <c r="E31" s="736"/>
      <c r="F31" s="752"/>
      <c r="G31" s="689"/>
      <c r="H31" s="689"/>
      <c r="I31" s="689"/>
      <c r="J31" s="779"/>
      <c r="K31" s="689"/>
      <c r="L31" s="689"/>
      <c r="M31" s="689">
        <f t="shared" ref="M31:Y31" si="51">+M34-M33-M32</f>
        <v>0.28936661195246433</v>
      </c>
      <c r="N31" s="791" t="s">
        <v>126</v>
      </c>
      <c r="O31" s="689">
        <f t="shared" si="51"/>
        <v>0.20042699289660609</v>
      </c>
      <c r="P31" s="689">
        <f t="shared" si="51"/>
        <v>0.11336327575818442</v>
      </c>
      <c r="Q31" s="689">
        <f t="shared" si="51"/>
        <v>1.841003910189512E-2</v>
      </c>
      <c r="R31" s="689">
        <f t="shared" si="51"/>
        <v>-0.13656143270997387</v>
      </c>
      <c r="S31" s="991">
        <f t="shared" si="51"/>
        <v>-0.13114506282166155</v>
      </c>
      <c r="T31" s="689">
        <f t="shared" si="51"/>
        <v>-0.15596724564791259</v>
      </c>
      <c r="U31" s="689">
        <f t="shared" si="51"/>
        <v>-0.16799445054917489</v>
      </c>
      <c r="V31" s="689">
        <f t="shared" si="51"/>
        <v>-7.2942078625235551E-2</v>
      </c>
      <c r="W31" s="991">
        <f t="shared" si="51"/>
        <v>-0.10948758883050533</v>
      </c>
      <c r="X31" s="689">
        <f t="shared" si="51"/>
        <v>-7.8718211614421496E-2</v>
      </c>
      <c r="Y31" s="781">
        <f t="shared" si="51"/>
        <v>-5.2643465547223697E-2</v>
      </c>
      <c r="Z31" s="752"/>
      <c r="AA31" s="736"/>
      <c r="AB31" s="736"/>
      <c r="AC31" s="736"/>
      <c r="AD31" s="736"/>
      <c r="AE31" s="736"/>
      <c r="AF31" s="689"/>
      <c r="AG31" s="689"/>
      <c r="AH31" s="689"/>
      <c r="AI31" s="689">
        <f t="shared" ref="AI31:AJ31" si="52">+AI34-AI33-AI32</f>
        <v>0.28367637698682746</v>
      </c>
      <c r="AJ31" s="689">
        <f t="shared" si="52"/>
        <v>3.958032915604684E-2</v>
      </c>
      <c r="AK31" s="781">
        <f>+AK34-AK33-AK32</f>
        <v>-0.13448031643935315</v>
      </c>
      <c r="AL31" s="689"/>
      <c r="AM31" s="689"/>
    </row>
    <row r="32" spans="1:39" ht="12" x14ac:dyDescent="0.3">
      <c r="A32" s="778" t="str">
        <f>+'FA - Detailed Disclosure'!A132</f>
        <v>New Customer Contribution</v>
      </c>
      <c r="B32" s="470"/>
      <c r="C32" s="736"/>
      <c r="D32" s="736"/>
      <c r="E32" s="736"/>
      <c r="F32" s="752"/>
      <c r="G32" s="689"/>
      <c r="H32" s="689"/>
      <c r="I32" s="689"/>
      <c r="J32" s="779"/>
      <c r="K32" s="689"/>
      <c r="L32" s="689"/>
      <c r="M32" s="689">
        <f>13.5/H12</f>
        <v>0.15242009235528559</v>
      </c>
      <c r="N32" s="791" t="s">
        <v>126</v>
      </c>
      <c r="O32" s="689">
        <v>9.6999999999999989E-2</v>
      </c>
      <c r="P32" s="689">
        <v>0.1</v>
      </c>
      <c r="Q32" s="689">
        <v>0.09</v>
      </c>
      <c r="R32" s="689">
        <f>+(AJ32*AI12-SUMPRODUCT(O32:Q32,K12:M12))/N12</f>
        <v>7.5204833293977397E-2</v>
      </c>
      <c r="S32" s="991">
        <v>0.05</v>
      </c>
      <c r="T32" s="689">
        <v>0.05</v>
      </c>
      <c r="U32" s="689">
        <v>0.05</v>
      </c>
      <c r="V32" s="689">
        <f>+(AK32*AJ12-SUMPRODUCT(S32:U32,O12:Q12))/R12</f>
        <v>0.05</v>
      </c>
      <c r="W32" s="991">
        <v>0.06</v>
      </c>
      <c r="X32" s="689">
        <v>7.0000000000000007E-2</v>
      </c>
      <c r="Y32" s="781">
        <v>7.0000000000000007E-2</v>
      </c>
      <c r="Z32" s="752"/>
      <c r="AA32" s="736"/>
      <c r="AB32" s="736"/>
      <c r="AC32" s="736"/>
      <c r="AD32" s="736"/>
      <c r="AE32" s="736"/>
      <c r="AF32" s="689"/>
      <c r="AG32" s="689"/>
      <c r="AH32" s="689"/>
      <c r="AI32" s="689">
        <v>0.123</v>
      </c>
      <c r="AJ32" s="689">
        <v>0.09</v>
      </c>
      <c r="AK32" s="781">
        <v>0.05</v>
      </c>
      <c r="AL32" s="689"/>
      <c r="AM32" s="689"/>
    </row>
    <row r="33" spans="1:39" ht="12" x14ac:dyDescent="0.3">
      <c r="A33" s="778" t="str">
        <f>+'FA - Detailed Disclosure'!A133</f>
        <v>Acquisition Contribution</v>
      </c>
      <c r="B33" s="470"/>
      <c r="C33" s="736"/>
      <c r="D33" s="736"/>
      <c r="E33" s="736"/>
      <c r="F33" s="752"/>
      <c r="G33" s="786"/>
      <c r="H33" s="786"/>
      <c r="I33" s="786"/>
      <c r="J33" s="787"/>
      <c r="K33" s="786"/>
      <c r="L33" s="786"/>
      <c r="M33" s="786">
        <f>+'STER - Detailed Disclosure (mm)'!M46</f>
        <v>0</v>
      </c>
      <c r="N33" s="787">
        <f>+'STER - Detailed Disclosure (mm)'!N46</f>
        <v>2.3E-2</v>
      </c>
      <c r="O33" s="786">
        <f>+'STER - Detailed Disclosure (mm)'!O46</f>
        <v>0.08</v>
      </c>
      <c r="P33" s="786">
        <f>+'STER - Detailed Disclosure (mm)'!P46</f>
        <v>7.6999999999999999E-2</v>
      </c>
      <c r="Q33" s="786">
        <f>+'STER - Detailed Disclosure (mm)'!Q46</f>
        <v>6.7000000000000004E-2</v>
      </c>
      <c r="R33" s="786">
        <f>+'STER - Detailed Disclosure (mm)'!R46</f>
        <v>3.9994960519268104E-2</v>
      </c>
      <c r="S33" s="992">
        <f>+'STER - Detailed Disclosure (mm)'!S46</f>
        <v>1.4999999999999999E-2</v>
      </c>
      <c r="T33" s="786">
        <f>+'STER - Detailed Disclosure (mm)'!T46</f>
        <v>3.2000000000000001E-2</v>
      </c>
      <c r="U33" s="786">
        <f>+'STER - Detailed Disclosure (mm)'!U46</f>
        <v>2.4E-2</v>
      </c>
      <c r="V33" s="786">
        <f>+'STER - Detailed Disclosure (mm)'!V46</f>
        <v>1.9975976930320143E-2</v>
      </c>
      <c r="W33" s="992">
        <f>+'STER - Detailed Disclosure (mm)'!W46</f>
        <v>8.6999999999999994E-2</v>
      </c>
      <c r="X33" s="786">
        <f>+'STER - Detailed Disclosure (mm)'!X46</f>
        <v>6.2E-2</v>
      </c>
      <c r="Y33" s="788">
        <f>+'STER - Detailed Disclosure (mm)'!Y46</f>
        <v>6.5350065903880025E-2</v>
      </c>
      <c r="Z33" s="752"/>
      <c r="AA33" s="736"/>
      <c r="AB33" s="736"/>
      <c r="AC33" s="736"/>
      <c r="AD33" s="736"/>
      <c r="AE33" s="736"/>
      <c r="AF33" s="786"/>
      <c r="AG33" s="786"/>
      <c r="AH33" s="786"/>
      <c r="AI33" s="786">
        <f>+'STER - Detailed Disclosure (mm)'!AS46</f>
        <v>6.9999999999999993E-3</v>
      </c>
      <c r="AJ33" s="786">
        <f>+'STER - Detailed Disclosure (mm)'!AT46</f>
        <v>6.5000000000000002E-2</v>
      </c>
      <c r="AK33" s="788">
        <f>+'STER - Detailed Disclosure (mm)'!AU46</f>
        <v>2.3E-2</v>
      </c>
      <c r="AL33" s="689"/>
      <c r="AM33" s="689"/>
    </row>
    <row r="34" spans="1:39" s="470" customFormat="1" x14ac:dyDescent="0.25">
      <c r="A34" s="766" t="s">
        <v>216</v>
      </c>
      <c r="C34" s="767"/>
      <c r="D34" s="767"/>
      <c r="E34" s="767"/>
      <c r="F34" s="768"/>
      <c r="G34" s="769"/>
      <c r="H34" s="769"/>
      <c r="I34" s="769">
        <f t="shared" ref="I34:K34" si="53">+I13</f>
        <v>-0.11420931721462735</v>
      </c>
      <c r="J34" s="770">
        <f t="shared" si="53"/>
        <v>5.8256264977888383E-2</v>
      </c>
      <c r="K34" s="769">
        <f t="shared" si="53"/>
        <v>0.16748760219809666</v>
      </c>
      <c r="L34" s="769">
        <f>+L13</f>
        <v>0.79887322035429209</v>
      </c>
      <c r="M34" s="769">
        <f t="shared" ref="M34:AD34" si="54">+M13</f>
        <v>0.44178670430774991</v>
      </c>
      <c r="N34" s="770">
        <f t="shared" si="54"/>
        <v>0.35116689882726471</v>
      </c>
      <c r="O34" s="769">
        <f t="shared" si="54"/>
        <v>0.37742699289660608</v>
      </c>
      <c r="P34" s="769">
        <f t="shared" si="54"/>
        <v>0.29036327575818444</v>
      </c>
      <c r="Q34" s="769">
        <f t="shared" si="54"/>
        <v>0.17541003910189512</v>
      </c>
      <c r="R34" s="769">
        <f t="shared" si="54"/>
        <v>-2.1361638896728374E-2</v>
      </c>
      <c r="S34" s="989">
        <f t="shared" si="54"/>
        <v>-6.6145062821661549E-2</v>
      </c>
      <c r="T34" s="769">
        <f t="shared" si="54"/>
        <v>-7.3967245647912572E-2</v>
      </c>
      <c r="U34" s="769">
        <f t="shared" si="54"/>
        <v>-9.3994450549174879E-2</v>
      </c>
      <c r="V34" s="769">
        <f t="shared" si="54"/>
        <v>-2.9661016949154018E-3</v>
      </c>
      <c r="W34" s="989">
        <f t="shared" si="54"/>
        <v>3.7512411169494664E-2</v>
      </c>
      <c r="X34" s="769">
        <f t="shared" si="54"/>
        <v>5.328178838557851E-2</v>
      </c>
      <c r="Y34" s="2278">
        <f t="shared" si="54"/>
        <v>8.2706600356656335E-2</v>
      </c>
      <c r="Z34" s="1495">
        <f t="shared" si="54"/>
        <v>4.6777645076718777E-2</v>
      </c>
      <c r="AA34" s="1120">
        <f t="shared" si="54"/>
        <v>3.290625830265026E-2</v>
      </c>
      <c r="AB34" s="1120">
        <f t="shared" si="54"/>
        <v>4.7065505918990613E-2</v>
      </c>
      <c r="AC34" s="1120">
        <f t="shared" si="54"/>
        <v>6.4606551742537155E-2</v>
      </c>
      <c r="AD34" s="1120">
        <f t="shared" si="54"/>
        <v>8.2748531986206908E-2</v>
      </c>
      <c r="AE34" s="767"/>
      <c r="AF34" s="769"/>
      <c r="AG34" s="769"/>
      <c r="AH34" s="769">
        <f>+AH21</f>
        <v>-8.6625656788355321E-2</v>
      </c>
      <c r="AI34" s="769">
        <f t="shared" ref="AI34:AM34" si="55">+AI21</f>
        <v>0.41367637698682747</v>
      </c>
      <c r="AJ34" s="769">
        <f t="shared" si="55"/>
        <v>0.19458032915604684</v>
      </c>
      <c r="AK34" s="772">
        <f t="shared" si="55"/>
        <v>-6.1480316439353144E-2</v>
      </c>
      <c r="AL34" s="769">
        <f t="shared" si="55"/>
        <v>5.5205215827799137E-2</v>
      </c>
      <c r="AM34" s="769">
        <f t="shared" si="55"/>
        <v>5.6446634661055928E-2</v>
      </c>
    </row>
    <row r="35" spans="1:39" x14ac:dyDescent="0.25">
      <c r="A35" s="766"/>
      <c r="B35" s="470"/>
      <c r="C35" s="744"/>
      <c r="D35" s="744"/>
      <c r="E35" s="744"/>
      <c r="F35" s="745"/>
      <c r="G35" s="744"/>
      <c r="H35" s="744"/>
      <c r="I35" s="744"/>
      <c r="J35" s="745"/>
      <c r="K35" s="744"/>
      <c r="L35" s="744"/>
      <c r="M35" s="744"/>
      <c r="N35" s="745"/>
      <c r="O35" s="744"/>
      <c r="P35" s="744"/>
      <c r="Q35" s="744"/>
      <c r="R35" s="744"/>
      <c r="S35" s="985"/>
      <c r="T35" s="744"/>
      <c r="U35" s="744"/>
      <c r="V35" s="744"/>
      <c r="W35" s="985"/>
      <c r="X35" s="744"/>
      <c r="Y35" s="792"/>
      <c r="Z35" s="745"/>
      <c r="AA35" s="744"/>
      <c r="AB35" s="744"/>
      <c r="AC35" s="744"/>
      <c r="AD35" s="744"/>
      <c r="AE35" s="744"/>
      <c r="AF35" s="744"/>
      <c r="AG35" s="744"/>
      <c r="AH35" s="744"/>
      <c r="AI35" s="744"/>
      <c r="AJ35" s="744"/>
      <c r="AK35" s="776"/>
      <c r="AL35" s="744"/>
      <c r="AM35" s="744"/>
    </row>
    <row r="36" spans="1:39" s="794" customFormat="1" x14ac:dyDescent="0.25">
      <c r="A36" s="793" t="s">
        <v>223</v>
      </c>
      <c r="C36" s="736"/>
      <c r="D36" s="736"/>
      <c r="E36" s="736">
        <f>+'STER - Detailed Disclosure (mm)'!E8-'STER - Detailed Disclosure (mm)'!E11+'STER - Detailed Disclosure (mm)'!E91</f>
        <v>132.76499999999999</v>
      </c>
      <c r="F36" s="752">
        <f>+'STER - Detailed Disclosure (mm)'!F8-'STER - Detailed Disclosure (mm)'!F11+'STER - Detailed Disclosure (mm)'!F91</f>
        <v>121.429</v>
      </c>
      <c r="G36" s="736"/>
      <c r="H36" s="736"/>
      <c r="I36" s="736">
        <f>+'STER - Detailed Disclosure (mm)'!I8-'STER - Detailed Disclosure (mm)'!I11+'STER - Detailed Disclosure (mm)'!I91</f>
        <v>62.49</v>
      </c>
      <c r="J36" s="836" t="s">
        <v>126</v>
      </c>
      <c r="K36" s="736">
        <f>+'STER - Detailed Disclosure (mm)'!K8-'STER - Detailed Disclosure (mm)'!K11+'STER - Detailed Disclosure (mm)'!K91</f>
        <v>71.791000000000011</v>
      </c>
      <c r="L36" s="736">
        <f>+'STER - Detailed Disclosure (mm)'!L8-'STER - Detailed Disclosure (mm)'!L11+'STER - Detailed Disclosure (mm)'!L91</f>
        <v>83.747000000000043</v>
      </c>
      <c r="M36" s="736">
        <f>+'STER - Detailed Disclosure (mm)'!M8-'STER - Detailed Disclosure (mm)'!M11+'STER - Detailed Disclosure (mm)'!M91</f>
        <v>86.918999999999983</v>
      </c>
      <c r="N36" s="752">
        <f>+'STER - Detailed Disclosure (mm)'!N8-'STER - Detailed Disclosure (mm)'!N11+'STER - Detailed Disclosure (mm)'!N91</f>
        <v>86.271999999999991</v>
      </c>
      <c r="O36" s="736">
        <f>+'STER - Detailed Disclosure (mm)'!O8-'STER - Detailed Disclosure (mm)'!O11+'STER - Detailed Disclosure (mm)'!O91</f>
        <v>91.429000000000002</v>
      </c>
      <c r="P36" s="736">
        <f>+'STER - Detailed Disclosure (mm)'!P8-'STER - Detailed Disclosure (mm)'!P11+'STER - Detailed Disclosure (mm)'!P91</f>
        <v>98.426000000000016</v>
      </c>
      <c r="Q36" s="736">
        <f>+'STER - Detailed Disclosure (mm)'!Q8-'STER - Detailed Disclosure (mm)'!Q11+'STER - Detailed Disclosure (mm)'!Q91</f>
        <v>93.26100000000001</v>
      </c>
      <c r="R36" s="736">
        <f>+'STER - Detailed Disclosure (mm)'!R8-'STER - Detailed Disclosure (mm)'!R11+'STER - Detailed Disclosure (mm)'!R91</f>
        <v>77.515999999999991</v>
      </c>
      <c r="S36" s="986">
        <f>+'STER - Detailed Disclosure (mm)'!S8-'STER - Detailed Disclosure (mm)'!S11+'STER - Detailed Disclosure (mm)'!S91</f>
        <v>84.947999999999993</v>
      </c>
      <c r="T36" s="736">
        <f>+'STER - Detailed Disclosure (mm)'!T8-'STER - Detailed Disclosure (mm)'!T11+'STER - Detailed Disclosure (mm)'!T91</f>
        <v>88.721999999999994</v>
      </c>
      <c r="U36" s="736">
        <f>+'STER - Detailed Disclosure (mm)'!U8-'STER - Detailed Disclosure (mm)'!U11+'STER - Detailed Disclosure (mm)'!U91</f>
        <v>85.08</v>
      </c>
      <c r="V36" s="736">
        <f>+'STER - Detailed Disclosure (mm)'!V8-'STER - Detailed Disclosure (mm)'!V11+'STER - Detailed Disclosure (mm)'!V91</f>
        <v>77.827999999999932</v>
      </c>
      <c r="W36" s="986">
        <f>+'STER - Detailed Disclosure (mm)'!W8-'STER - Detailed Disclosure (mm)'!W11+'STER - Detailed Disclosure (mm)'!W91</f>
        <v>82.316999999999993</v>
      </c>
      <c r="X36" s="736">
        <f>+'STER - Detailed Disclosure (mm)'!X8-'STER - Detailed Disclosure (mm)'!X11+'STER - Detailed Disclosure (mm)'!X91</f>
        <v>90.037999999999997</v>
      </c>
      <c r="Y36" s="1007">
        <f t="shared" ref="Y36:AD36" si="56">Y38*Y12</f>
        <v>88.790944169002657</v>
      </c>
      <c r="Z36" s="752">
        <f t="shared" si="56"/>
        <v>78.45178963540036</v>
      </c>
      <c r="AA36" s="736">
        <f t="shared" si="56"/>
        <v>85.141016183382078</v>
      </c>
      <c r="AB36" s="736">
        <f t="shared" si="56"/>
        <v>94.401663592996627</v>
      </c>
      <c r="AC36" s="736">
        <f t="shared" si="56"/>
        <v>94.652299246245462</v>
      </c>
      <c r="AD36" s="736">
        <f t="shared" si="56"/>
        <v>85.058769406895536</v>
      </c>
      <c r="AE36" s="736"/>
      <c r="AF36" s="736"/>
      <c r="AG36" s="736">
        <f>+'STER - Detailed Disclosure (mm)'!AQ8-'STER - Detailed Disclosure (mm)'!AQ11+'STER - Detailed Disclosure (mm)'!AQ91</f>
        <v>275.76900000000001</v>
      </c>
      <c r="AH36" s="736">
        <f>SUM(G36:J36)</f>
        <v>62.49</v>
      </c>
      <c r="AI36" s="736">
        <f>+SUM(K36:N36)</f>
        <v>328.72900000000004</v>
      </c>
      <c r="AJ36" s="736">
        <f>SUM(O36:R36)</f>
        <v>360.63200000000006</v>
      </c>
      <c r="AK36" s="754">
        <f>SUM(S36:V36)</f>
        <v>336.57799999999992</v>
      </c>
      <c r="AL36" s="736">
        <f>+SUM(W36:Z36)</f>
        <v>339.59773380440299</v>
      </c>
      <c r="AM36" s="736">
        <f>+SUM(AA36:AD36)</f>
        <v>359.25374842951965</v>
      </c>
    </row>
    <row r="37" spans="1:39" ht="12" x14ac:dyDescent="0.3">
      <c r="A37" s="778" t="s">
        <v>29</v>
      </c>
      <c r="B37" s="470"/>
      <c r="C37" s="744"/>
      <c r="D37" s="744"/>
      <c r="E37" s="744"/>
      <c r="F37" s="745"/>
      <c r="G37" s="689"/>
      <c r="H37" s="689"/>
      <c r="I37" s="689">
        <f t="shared" ref="I37" si="57">+I36/E36-1</f>
        <v>-0.52931872104846911</v>
      </c>
      <c r="J37" s="2297" t="s">
        <v>126</v>
      </c>
      <c r="K37" s="690" t="s">
        <v>126</v>
      </c>
      <c r="L37" s="690" t="s">
        <v>126</v>
      </c>
      <c r="M37" s="689">
        <f t="shared" ref="M37:AD37" si="58">+M36/I36-1</f>
        <v>0.39092654824771933</v>
      </c>
      <c r="N37" s="2297" t="s">
        <v>126</v>
      </c>
      <c r="O37" s="689">
        <f t="shared" si="58"/>
        <v>0.27354403755345369</v>
      </c>
      <c r="P37" s="689">
        <f t="shared" si="58"/>
        <v>0.17527792040311851</v>
      </c>
      <c r="Q37" s="689">
        <f t="shared" si="58"/>
        <v>7.296448417492174E-2</v>
      </c>
      <c r="R37" s="689">
        <f t="shared" si="58"/>
        <v>-0.10149295252225521</v>
      </c>
      <c r="S37" s="991">
        <f t="shared" si="58"/>
        <v>-7.0885605223725556E-2</v>
      </c>
      <c r="T37" s="799">
        <f t="shared" si="58"/>
        <v>-9.8591835490622559E-2</v>
      </c>
      <c r="U37" s="799">
        <f t="shared" si="58"/>
        <v>-8.7721555634188042E-2</v>
      </c>
      <c r="V37" s="799">
        <f t="shared" si="58"/>
        <v>4.0249754889305489E-3</v>
      </c>
      <c r="W37" s="994">
        <f t="shared" si="58"/>
        <v>-3.0971888684842463E-2</v>
      </c>
      <c r="X37" s="799">
        <f t="shared" si="58"/>
        <v>1.4832848673384413E-2</v>
      </c>
      <c r="Y37" s="2279">
        <f t="shared" si="58"/>
        <v>4.361711529152168E-2</v>
      </c>
      <c r="Z37" s="779">
        <f t="shared" si="58"/>
        <v>8.0149770699546874E-3</v>
      </c>
      <c r="AA37" s="689">
        <f t="shared" si="58"/>
        <v>3.4306597463246824E-2</v>
      </c>
      <c r="AB37" s="689">
        <f t="shared" si="58"/>
        <v>4.8464688164959524E-2</v>
      </c>
      <c r="AC37" s="689">
        <f t="shared" si="58"/>
        <v>6.6012982879047222E-2</v>
      </c>
      <c r="AD37" s="689">
        <f t="shared" si="58"/>
        <v>8.4217068880145129E-2</v>
      </c>
      <c r="AE37" s="744"/>
      <c r="AF37" s="689"/>
      <c r="AG37" s="689"/>
      <c r="AH37" s="689">
        <f t="shared" ref="AH37:AM37" si="59">+AH36/AG36-1</f>
        <v>-0.77339729991405848</v>
      </c>
      <c r="AI37" s="689">
        <f t="shared" si="59"/>
        <v>4.2605056809089463</v>
      </c>
      <c r="AJ37" s="689">
        <f t="shared" si="59"/>
        <v>9.7049545370198498E-2</v>
      </c>
      <c r="AK37" s="781">
        <f t="shared" si="59"/>
        <v>-6.6699571862730234E-2</v>
      </c>
      <c r="AL37" s="689">
        <f t="shared" si="59"/>
        <v>8.9718692380460485E-3</v>
      </c>
      <c r="AM37" s="689">
        <f t="shared" si="59"/>
        <v>5.7880287965754951E-2</v>
      </c>
    </row>
    <row r="38" spans="1:39" ht="12" x14ac:dyDescent="0.3">
      <c r="A38" s="778" t="s">
        <v>33</v>
      </c>
      <c r="B38" s="470"/>
      <c r="C38" s="744"/>
      <c r="D38" s="744"/>
      <c r="E38" s="690">
        <f t="shared" ref="E38:F38" si="60">+E36/E$12</f>
        <v>1</v>
      </c>
      <c r="F38" s="791">
        <f t="shared" si="60"/>
        <v>1</v>
      </c>
      <c r="G38" s="689"/>
      <c r="H38" s="689"/>
      <c r="I38" s="689">
        <f t="shared" ref="I38:X38" si="61">+I36/I$12</f>
        <v>0.53136851414091602</v>
      </c>
      <c r="J38" s="2297" t="s">
        <v>126</v>
      </c>
      <c r="K38" s="689">
        <f t="shared" si="61"/>
        <v>0.51511085599483397</v>
      </c>
      <c r="L38" s="689">
        <f t="shared" si="61"/>
        <v>0.52562638079935753</v>
      </c>
      <c r="M38" s="689">
        <f t="shared" si="61"/>
        <v>0.51262407332047621</v>
      </c>
      <c r="N38" s="779">
        <f t="shared" si="61"/>
        <v>0.49687552194621853</v>
      </c>
      <c r="O38" s="689">
        <f t="shared" si="61"/>
        <v>0.47626216323213799</v>
      </c>
      <c r="P38" s="689">
        <f t="shared" si="61"/>
        <v>0.47874663774192455</v>
      </c>
      <c r="Q38" s="689">
        <f t="shared" si="61"/>
        <v>0.46794514774283869</v>
      </c>
      <c r="R38" s="689">
        <f t="shared" si="61"/>
        <v>0.45619114877589462</v>
      </c>
      <c r="S38" s="991">
        <f t="shared" si="61"/>
        <v>0.47384450617490542</v>
      </c>
      <c r="T38" s="799">
        <f t="shared" si="61"/>
        <v>0.46601605176905614</v>
      </c>
      <c r="U38" s="799">
        <f t="shared" si="61"/>
        <v>0.47118505144933154</v>
      </c>
      <c r="V38" s="799">
        <f t="shared" si="61"/>
        <v>0.45938990414128511</v>
      </c>
      <c r="W38" s="994">
        <f t="shared" si="61"/>
        <v>0.44256689552094364</v>
      </c>
      <c r="X38" s="799">
        <f t="shared" si="61"/>
        <v>0.44900462778265382</v>
      </c>
      <c r="Y38" s="2279">
        <f>+X38+U38-T38</f>
        <v>0.45417362746292922</v>
      </c>
      <c r="Z38" s="1496">
        <f t="shared" ref="Z38" si="62">+Y38+V38-U38</f>
        <v>0.44237848015488279</v>
      </c>
      <c r="AA38" s="795">
        <f>+W38+0.06%</f>
        <v>0.44316689552094363</v>
      </c>
      <c r="AB38" s="795">
        <f t="shared" ref="AB38:AD38" si="63">+X38+0.06%</f>
        <v>0.44960462778265381</v>
      </c>
      <c r="AC38" s="795">
        <f t="shared" si="63"/>
        <v>0.45477362746292921</v>
      </c>
      <c r="AD38" s="795">
        <f t="shared" si="63"/>
        <v>0.44297848015488278</v>
      </c>
      <c r="AE38" s="780"/>
      <c r="AF38" s="689"/>
      <c r="AG38" s="689">
        <f t="shared" ref="AG38:AM38" si="64">+AG36/AG$12</f>
        <v>0.55473772721055037</v>
      </c>
      <c r="AH38" s="689">
        <f t="shared" si="64"/>
        <v>0.13762710520577995</v>
      </c>
      <c r="AI38" s="689">
        <f t="shared" si="64"/>
        <v>0.51213147546908788</v>
      </c>
      <c r="AJ38" s="689">
        <f t="shared" si="64"/>
        <v>0.47031881290901462</v>
      </c>
      <c r="AK38" s="781">
        <f t="shared" si="64"/>
        <v>0.46770329609249056</v>
      </c>
      <c r="AL38" s="689">
        <f t="shared" si="64"/>
        <v>0.44721108446856433</v>
      </c>
      <c r="AM38" s="689">
        <f t="shared" si="64"/>
        <v>0.44781797328633416</v>
      </c>
    </row>
    <row r="39" spans="1:39" x14ac:dyDescent="0.25">
      <c r="A39" s="513"/>
      <c r="B39" s="470"/>
      <c r="C39" s="744"/>
      <c r="D39" s="744"/>
      <c r="E39" s="744"/>
      <c r="F39" s="745"/>
      <c r="G39" s="750"/>
      <c r="H39" s="750"/>
      <c r="I39" s="750"/>
      <c r="J39" s="751"/>
      <c r="K39" s="750"/>
      <c r="L39" s="750"/>
      <c r="M39" s="750"/>
      <c r="N39" s="751"/>
      <c r="O39" s="750"/>
      <c r="P39" s="744"/>
      <c r="Q39" s="744"/>
      <c r="R39" s="744"/>
      <c r="S39" s="985"/>
      <c r="T39" s="744"/>
      <c r="U39" s="744"/>
      <c r="V39" s="744"/>
      <c r="W39" s="985"/>
      <c r="X39" s="744"/>
      <c r="Y39" s="1007"/>
      <c r="Z39" s="745"/>
      <c r="AA39" s="744"/>
      <c r="AB39" s="744"/>
      <c r="AC39" s="744"/>
      <c r="AD39" s="744"/>
      <c r="AE39" s="744"/>
      <c r="AF39" s="744"/>
      <c r="AG39" s="744"/>
      <c r="AH39" s="744"/>
      <c r="AI39" s="744"/>
      <c r="AJ39" s="744"/>
      <c r="AK39" s="792"/>
      <c r="AL39" s="744"/>
      <c r="AM39" s="744"/>
    </row>
    <row r="40" spans="1:39" x14ac:dyDescent="0.25">
      <c r="A40" s="796" t="s">
        <v>224</v>
      </c>
      <c r="C40" s="744"/>
      <c r="D40" s="744"/>
      <c r="E40" s="744"/>
      <c r="F40" s="745"/>
      <c r="G40" s="750"/>
      <c r="H40" s="750"/>
      <c r="I40" s="750"/>
      <c r="J40" s="751"/>
      <c r="K40" s="750"/>
      <c r="L40" s="750"/>
      <c r="M40" s="750"/>
      <c r="N40" s="751"/>
      <c r="O40" s="750"/>
      <c r="P40" s="744"/>
      <c r="Q40" s="744"/>
      <c r="R40" s="744"/>
      <c r="S40" s="985"/>
      <c r="T40" s="744"/>
      <c r="U40" s="744"/>
      <c r="V40" s="744"/>
      <c r="W40" s="985"/>
      <c r="X40" s="744"/>
      <c r="Y40" s="1007"/>
      <c r="Z40" s="745"/>
      <c r="AA40" s="744"/>
      <c r="AB40" s="744"/>
      <c r="AC40" s="744"/>
      <c r="AD40" s="744"/>
      <c r="AE40" s="744"/>
      <c r="AF40" s="744"/>
      <c r="AG40" s="744"/>
      <c r="AH40" s="744"/>
      <c r="AI40" s="744"/>
      <c r="AJ40" s="744"/>
      <c r="AK40" s="792"/>
      <c r="AL40" s="744"/>
      <c r="AM40" s="744"/>
    </row>
    <row r="41" spans="1:39" s="794" customFormat="1" x14ac:dyDescent="0.25">
      <c r="A41" s="793" t="s">
        <v>225</v>
      </c>
      <c r="C41" s="736"/>
      <c r="D41" s="736"/>
      <c r="E41" s="736"/>
      <c r="F41" s="752"/>
      <c r="G41" s="736"/>
      <c r="H41" s="736"/>
      <c r="I41" s="736"/>
      <c r="J41" s="752"/>
      <c r="K41" s="736"/>
      <c r="L41" s="736"/>
      <c r="M41" s="736"/>
      <c r="N41" s="752"/>
      <c r="O41" s="736">
        <f t="shared" ref="E41:W43" si="65">+O179</f>
        <v>12.020999999999999</v>
      </c>
      <c r="P41" s="736">
        <f t="shared" si="65"/>
        <v>12.04</v>
      </c>
      <c r="Q41" s="736">
        <f t="shared" si="65"/>
        <v>12.940999999999999</v>
      </c>
      <c r="R41" s="736">
        <f t="shared" si="65"/>
        <v>11.220999999999998</v>
      </c>
      <c r="S41" s="986">
        <f t="shared" si="65"/>
        <v>11.34</v>
      </c>
      <c r="T41" s="736">
        <f t="shared" si="65"/>
        <v>10.823</v>
      </c>
      <c r="U41" s="736">
        <f t="shared" si="65"/>
        <v>10.553000000000001</v>
      </c>
      <c r="V41" s="736">
        <f t="shared" si="65"/>
        <v>8.8769999999999953</v>
      </c>
      <c r="W41" s="986">
        <f t="shared" si="65"/>
        <v>12.395</v>
      </c>
      <c r="X41" s="736">
        <f>+X179</f>
        <v>11.867000000000001</v>
      </c>
      <c r="Y41" s="1007">
        <f t="shared" ref="Y41:AD42" si="66">+Y179</f>
        <v>11.597000000000001</v>
      </c>
      <c r="Z41" s="752">
        <f t="shared" si="66"/>
        <v>9.9209999999999958</v>
      </c>
      <c r="AA41" s="736">
        <f t="shared" si="66"/>
        <v>12.704874999999998</v>
      </c>
      <c r="AB41" s="736">
        <f t="shared" si="66"/>
        <v>12.163675</v>
      </c>
      <c r="AC41" s="736">
        <f t="shared" si="66"/>
        <v>11.886925</v>
      </c>
      <c r="AD41" s="736">
        <f t="shared" si="66"/>
        <v>10.169024999999994</v>
      </c>
      <c r="AE41" s="736"/>
      <c r="AF41" s="736"/>
      <c r="AG41" s="736"/>
      <c r="AH41" s="736"/>
      <c r="AI41" s="736"/>
      <c r="AJ41" s="736">
        <f>SUM(O41:R41)</f>
        <v>48.222999999999992</v>
      </c>
      <c r="AK41" s="754">
        <f>SUM(S41:V41)</f>
        <v>41.592999999999996</v>
      </c>
      <c r="AL41" s="736">
        <f>+SUM(W41:Z41)</f>
        <v>45.78</v>
      </c>
      <c r="AM41" s="736">
        <f t="shared" ref="AM41:AM43" si="67">+SUM(AA41:AD41)</f>
        <v>46.924499999999995</v>
      </c>
    </row>
    <row r="42" spans="1:39" s="794" customFormat="1" ht="13" x14ac:dyDescent="0.4">
      <c r="A42" s="793" t="s">
        <v>226</v>
      </c>
      <c r="C42" s="736"/>
      <c r="D42" s="736"/>
      <c r="E42" s="736"/>
      <c r="F42" s="752"/>
      <c r="G42" s="757"/>
      <c r="H42" s="757"/>
      <c r="I42" s="757"/>
      <c r="J42" s="758"/>
      <c r="K42" s="757"/>
      <c r="L42" s="757"/>
      <c r="M42" s="757"/>
      <c r="N42" s="758"/>
      <c r="O42" s="757">
        <f t="shared" si="65"/>
        <v>32.172999999999995</v>
      </c>
      <c r="P42" s="757">
        <f t="shared" si="65"/>
        <v>30.118000000000002</v>
      </c>
      <c r="Q42" s="757">
        <f t="shared" si="65"/>
        <v>26.950000000000003</v>
      </c>
      <c r="R42" s="757">
        <f t="shared" si="65"/>
        <v>26.587999999999997</v>
      </c>
      <c r="S42" s="987">
        <f t="shared" si="65"/>
        <v>28.921999999999997</v>
      </c>
      <c r="T42" s="757">
        <f t="shared" si="65"/>
        <v>28.787999999999997</v>
      </c>
      <c r="U42" s="2193">
        <f t="shared" si="65"/>
        <v>27.306999999999999</v>
      </c>
      <c r="V42" s="2193">
        <f t="shared" si="65"/>
        <v>27.586000000000002</v>
      </c>
      <c r="W42" s="987">
        <f t="shared" si="65"/>
        <v>31.33</v>
      </c>
      <c r="X42" s="757">
        <f t="shared" ref="X42" si="68">+X180</f>
        <v>32.823999999999998</v>
      </c>
      <c r="Y42" s="1106">
        <f>+Y43-Y41</f>
        <v>31.904944169002661</v>
      </c>
      <c r="Z42" s="758">
        <f t="shared" si="66"/>
        <v>32.183944169002658</v>
      </c>
      <c r="AA42" s="757">
        <f t="shared" si="66"/>
        <v>32.113249999999994</v>
      </c>
      <c r="AB42" s="757">
        <f t="shared" si="66"/>
        <v>33.644599999999997</v>
      </c>
      <c r="AC42" s="757">
        <f t="shared" si="66"/>
        <v>32.702567773227727</v>
      </c>
      <c r="AD42" s="757">
        <f t="shared" si="66"/>
        <v>32.988542773227721</v>
      </c>
      <c r="AE42" s="736"/>
      <c r="AF42" s="757"/>
      <c r="AG42" s="757"/>
      <c r="AH42" s="757"/>
      <c r="AI42" s="757"/>
      <c r="AJ42" s="757">
        <f>SUM(O42:R42)</f>
        <v>115.82899999999999</v>
      </c>
      <c r="AK42" s="760">
        <f>SUM(S42:V42)</f>
        <v>112.60299999999999</v>
      </c>
      <c r="AL42" s="757">
        <f>+SUM(W42:Z42)</f>
        <v>128.24288833800532</v>
      </c>
      <c r="AM42" s="757">
        <f t="shared" si="67"/>
        <v>131.44896054645545</v>
      </c>
    </row>
    <row r="43" spans="1:39" x14ac:dyDescent="0.25">
      <c r="A43" s="474" t="s">
        <v>227</v>
      </c>
      <c r="C43" s="744"/>
      <c r="D43" s="744"/>
      <c r="E43" s="744">
        <f t="shared" si="65"/>
        <v>-4.5489999999999995</v>
      </c>
      <c r="F43" s="745">
        <f t="shared" si="65"/>
        <v>-16.965</v>
      </c>
      <c r="G43" s="736"/>
      <c r="H43" s="736"/>
      <c r="I43" s="736">
        <f t="shared" si="65"/>
        <v>31.983999999999995</v>
      </c>
      <c r="J43" s="752"/>
      <c r="K43" s="736">
        <f t="shared" si="65"/>
        <v>35.753999999999998</v>
      </c>
      <c r="L43" s="736">
        <f t="shared" si="65"/>
        <v>37.210999999999984</v>
      </c>
      <c r="M43" s="736">
        <f t="shared" si="65"/>
        <v>36.216000000000001</v>
      </c>
      <c r="N43" s="752">
        <f t="shared" si="65"/>
        <v>43.018999999999998</v>
      </c>
      <c r="O43" s="736">
        <f t="shared" ref="O43:W43" si="69">+SUM(O41:O42)</f>
        <v>44.193999999999996</v>
      </c>
      <c r="P43" s="736">
        <f t="shared" si="69"/>
        <v>42.158000000000001</v>
      </c>
      <c r="Q43" s="736">
        <f t="shared" si="69"/>
        <v>39.891000000000005</v>
      </c>
      <c r="R43" s="736">
        <f t="shared" si="69"/>
        <v>37.808999999999997</v>
      </c>
      <c r="S43" s="986">
        <f t="shared" si="69"/>
        <v>40.262</v>
      </c>
      <c r="T43" s="736">
        <f t="shared" si="69"/>
        <v>39.610999999999997</v>
      </c>
      <c r="U43" s="736">
        <f t="shared" si="69"/>
        <v>37.86</v>
      </c>
      <c r="V43" s="736">
        <f t="shared" si="69"/>
        <v>36.462999999999994</v>
      </c>
      <c r="W43" s="986">
        <f t="shared" si="69"/>
        <v>43.724999999999994</v>
      </c>
      <c r="X43" s="736">
        <f t="shared" ref="X43:AD43" si="70">+SUM(X41:X42)</f>
        <v>44.691000000000003</v>
      </c>
      <c r="Y43" s="1007">
        <f>+Y36-Y64</f>
        <v>43.501944169002662</v>
      </c>
      <c r="Z43" s="752">
        <f t="shared" si="70"/>
        <v>42.10494416900265</v>
      </c>
      <c r="AA43" s="736">
        <f t="shared" si="70"/>
        <v>44.818124999999995</v>
      </c>
      <c r="AB43" s="736">
        <f t="shared" si="70"/>
        <v>45.808274999999995</v>
      </c>
      <c r="AC43" s="736">
        <f t="shared" si="70"/>
        <v>44.589492773227725</v>
      </c>
      <c r="AD43" s="736">
        <f t="shared" si="70"/>
        <v>43.157567773227711</v>
      </c>
      <c r="AE43" s="744"/>
      <c r="AF43" s="736"/>
      <c r="AG43" s="744">
        <f t="shared" ref="AG43:AH43" si="71">+AG181</f>
        <v>164.86700000000002</v>
      </c>
      <c r="AH43" s="744">
        <f t="shared" si="71"/>
        <v>139.47399999999999</v>
      </c>
      <c r="AI43" s="736">
        <f>+SUM(K43:N43)</f>
        <v>152.19999999999999</v>
      </c>
      <c r="AJ43" s="736">
        <f>SUM(O43:R43)</f>
        <v>164.05200000000002</v>
      </c>
      <c r="AK43" s="754">
        <f>SUM(S43:V43)</f>
        <v>154.19599999999997</v>
      </c>
      <c r="AL43" s="736">
        <f>+SUM(W43:Z43)</f>
        <v>174.02288833800532</v>
      </c>
      <c r="AM43" s="736">
        <f t="shared" si="67"/>
        <v>178.37346054645542</v>
      </c>
    </row>
    <row r="44" spans="1:39" s="794" customFormat="1" ht="13" x14ac:dyDescent="0.4">
      <c r="A44" s="793"/>
      <c r="C44" s="736"/>
      <c r="D44" s="736"/>
      <c r="E44" s="736"/>
      <c r="F44" s="752"/>
      <c r="G44" s="757"/>
      <c r="H44" s="757"/>
      <c r="I44" s="757"/>
      <c r="J44" s="758"/>
      <c r="K44" s="757"/>
      <c r="L44" s="757"/>
      <c r="M44" s="757"/>
      <c r="N44" s="758"/>
      <c r="O44" s="2194"/>
      <c r="P44" s="2194"/>
      <c r="Q44" s="2194"/>
      <c r="R44" s="2194"/>
      <c r="S44" s="2195"/>
      <c r="T44" s="2194"/>
      <c r="U44" s="2194"/>
      <c r="V44" s="2196"/>
      <c r="W44" s="987"/>
      <c r="X44" s="757"/>
      <c r="Y44" s="1106"/>
      <c r="Z44" s="758"/>
      <c r="AA44" s="757"/>
      <c r="AB44" s="757"/>
      <c r="AC44" s="757"/>
      <c r="AD44" s="757"/>
      <c r="AE44" s="736"/>
      <c r="AF44" s="757"/>
      <c r="AG44" s="757"/>
      <c r="AH44" s="757"/>
      <c r="AI44" s="757"/>
      <c r="AJ44" s="757"/>
      <c r="AK44" s="760"/>
      <c r="AL44" s="757"/>
      <c r="AM44" s="757"/>
    </row>
    <row r="45" spans="1:39" ht="12" outlineLevel="1" x14ac:dyDescent="0.3">
      <c r="A45" s="782" t="s">
        <v>29</v>
      </c>
      <c r="C45" s="744"/>
      <c r="D45" s="744"/>
      <c r="E45" s="744"/>
      <c r="F45" s="745"/>
      <c r="G45" s="750"/>
      <c r="H45" s="750"/>
      <c r="I45" s="750"/>
      <c r="J45" s="751"/>
      <c r="K45" s="750"/>
      <c r="L45" s="750"/>
      <c r="M45" s="750"/>
      <c r="N45" s="751"/>
      <c r="O45" s="750"/>
      <c r="P45" s="744"/>
      <c r="Q45" s="744"/>
      <c r="R45" s="744"/>
      <c r="S45" s="985"/>
      <c r="T45" s="744"/>
      <c r="U45" s="736"/>
      <c r="V45" s="736"/>
      <c r="W45" s="985"/>
      <c r="X45" s="744"/>
      <c r="Y45" s="1007"/>
      <c r="Z45" s="745"/>
      <c r="AA45" s="744"/>
      <c r="AB45" s="744"/>
      <c r="AC45" s="744"/>
      <c r="AD45" s="744"/>
      <c r="AE45" s="744"/>
      <c r="AF45" s="750"/>
      <c r="AG45" s="750"/>
      <c r="AH45" s="750"/>
      <c r="AI45" s="750"/>
      <c r="AJ45" s="744"/>
      <c r="AK45" s="792"/>
      <c r="AL45" s="744"/>
      <c r="AM45" s="744"/>
    </row>
    <row r="46" spans="1:39" ht="12" outlineLevel="1" x14ac:dyDescent="0.3">
      <c r="A46" s="778" t="str">
        <f>+A41</f>
        <v xml:space="preserve">Product and Technology </v>
      </c>
      <c r="C46" s="744"/>
      <c r="D46" s="744"/>
      <c r="E46" s="744"/>
      <c r="F46" s="745"/>
      <c r="G46" s="689"/>
      <c r="H46" s="689"/>
      <c r="I46" s="689"/>
      <c r="J46" s="779"/>
      <c r="K46" s="689"/>
      <c r="L46" s="689"/>
      <c r="M46" s="689"/>
      <c r="N46" s="779"/>
      <c r="O46" s="689"/>
      <c r="P46" s="689"/>
      <c r="Q46" s="689"/>
      <c r="R46" s="689"/>
      <c r="S46" s="991">
        <f t="shared" ref="M46:AD48" si="72">+S41/O41-1</f>
        <v>-5.6650860993261776E-2</v>
      </c>
      <c r="T46" s="799">
        <f t="shared" si="72"/>
        <v>-0.10107973421926897</v>
      </c>
      <c r="U46" s="799">
        <f t="shared" si="72"/>
        <v>-0.18452978904257777</v>
      </c>
      <c r="V46" s="799">
        <f t="shared" si="72"/>
        <v>-0.2088940379645311</v>
      </c>
      <c r="W46" s="994">
        <f t="shared" si="72"/>
        <v>9.3033509700176431E-2</v>
      </c>
      <c r="X46" s="799">
        <f t="shared" si="72"/>
        <v>9.6461239951954214E-2</v>
      </c>
      <c r="Y46" s="2279">
        <f t="shared" si="72"/>
        <v>9.8929214441391133E-2</v>
      </c>
      <c r="Z46" s="913">
        <f t="shared" si="72"/>
        <v>0.11760729976343365</v>
      </c>
      <c r="AA46" s="799">
        <f t="shared" si="72"/>
        <v>2.4999999999999911E-2</v>
      </c>
      <c r="AB46" s="799">
        <f t="shared" si="72"/>
        <v>2.4999999999999911E-2</v>
      </c>
      <c r="AC46" s="799">
        <f t="shared" si="72"/>
        <v>2.4999999999999911E-2</v>
      </c>
      <c r="AD46" s="799">
        <f t="shared" si="72"/>
        <v>2.4999999999999911E-2</v>
      </c>
      <c r="AE46" s="736"/>
      <c r="AF46" s="689"/>
      <c r="AG46" s="689"/>
      <c r="AH46" s="689"/>
      <c r="AI46" s="689"/>
      <c r="AJ46" s="689"/>
      <c r="AK46" s="781">
        <f t="shared" ref="AH46:AM48" si="73">+AK41/AJ41-1</f>
        <v>-0.13748626174232204</v>
      </c>
      <c r="AL46" s="689">
        <f t="shared" si="73"/>
        <v>0.10066597744812844</v>
      </c>
      <c r="AM46" s="689">
        <f t="shared" si="73"/>
        <v>2.4999999999999911E-2</v>
      </c>
    </row>
    <row r="47" spans="1:39" ht="12" outlineLevel="1" x14ac:dyDescent="0.3">
      <c r="A47" s="778" t="str">
        <f>+A42</f>
        <v>SG&amp;A</v>
      </c>
      <c r="C47" s="744"/>
      <c r="D47" s="744"/>
      <c r="E47" s="744"/>
      <c r="F47" s="745"/>
      <c r="G47" s="786"/>
      <c r="H47" s="786"/>
      <c r="I47" s="786"/>
      <c r="J47" s="787"/>
      <c r="K47" s="786"/>
      <c r="L47" s="786"/>
      <c r="M47" s="786"/>
      <c r="N47" s="787"/>
      <c r="O47" s="786"/>
      <c r="P47" s="786"/>
      <c r="Q47" s="786"/>
      <c r="R47" s="786"/>
      <c r="S47" s="992">
        <f t="shared" si="72"/>
        <v>-0.10104746215770988</v>
      </c>
      <c r="T47" s="800">
        <f t="shared" si="72"/>
        <v>-4.4159638754233566E-2</v>
      </c>
      <c r="U47" s="800">
        <f t="shared" si="72"/>
        <v>1.3246753246753062E-2</v>
      </c>
      <c r="V47" s="800">
        <f t="shared" si="72"/>
        <v>3.7535730404693934E-2</v>
      </c>
      <c r="W47" s="995">
        <f t="shared" si="72"/>
        <v>8.3258419196459599E-2</v>
      </c>
      <c r="X47" s="800">
        <f t="shared" si="72"/>
        <v>0.14019730443240253</v>
      </c>
      <c r="Y47" s="2280">
        <f t="shared" si="72"/>
        <v>0.16837968905418621</v>
      </c>
      <c r="Z47" s="1097">
        <f t="shared" si="72"/>
        <v>0.16667672620179275</v>
      </c>
      <c r="AA47" s="800">
        <f t="shared" si="72"/>
        <v>2.4999999999999911E-2</v>
      </c>
      <c r="AB47" s="800">
        <f t="shared" si="72"/>
        <v>2.4999999999999911E-2</v>
      </c>
      <c r="AC47" s="800">
        <f t="shared" si="72"/>
        <v>2.4999999999999911E-2</v>
      </c>
      <c r="AD47" s="800">
        <f t="shared" si="72"/>
        <v>2.4999999999999911E-2</v>
      </c>
      <c r="AE47" s="736"/>
      <c r="AF47" s="786"/>
      <c r="AG47" s="786"/>
      <c r="AH47" s="786"/>
      <c r="AI47" s="786"/>
      <c r="AJ47" s="786"/>
      <c r="AK47" s="788">
        <f t="shared" si="73"/>
        <v>-2.7851401635169082E-2</v>
      </c>
      <c r="AL47" s="786">
        <f t="shared" si="73"/>
        <v>0.13889406443882768</v>
      </c>
      <c r="AM47" s="786">
        <f t="shared" si="73"/>
        <v>2.5000000000000133E-2</v>
      </c>
    </row>
    <row r="48" spans="1:39" ht="12" outlineLevel="1" x14ac:dyDescent="0.3">
      <c r="A48" s="798" t="str">
        <f>+A43</f>
        <v>Total Adj. Opex ex-D&amp;A</v>
      </c>
      <c r="C48" s="744"/>
      <c r="D48" s="744"/>
      <c r="E48" s="744"/>
      <c r="F48" s="745"/>
      <c r="G48" s="689"/>
      <c r="H48" s="689"/>
      <c r="I48" s="689"/>
      <c r="J48" s="779"/>
      <c r="K48" s="689"/>
      <c r="L48" s="689"/>
      <c r="M48" s="689">
        <f t="shared" si="72"/>
        <v>0.13231615807903974</v>
      </c>
      <c r="N48" s="779"/>
      <c r="O48" s="689">
        <f t="shared" si="72"/>
        <v>0.2360575040554902</v>
      </c>
      <c r="P48" s="689">
        <f t="shared" si="72"/>
        <v>0.13294455940447758</v>
      </c>
      <c r="Q48" s="689">
        <f t="shared" si="72"/>
        <v>0.10147448641484447</v>
      </c>
      <c r="R48" s="689">
        <f t="shared" si="72"/>
        <v>-0.12110927729607845</v>
      </c>
      <c r="S48" s="991">
        <f t="shared" si="72"/>
        <v>-8.8971353577408596E-2</v>
      </c>
      <c r="T48" s="799">
        <f t="shared" si="72"/>
        <v>-6.0415579486692961E-2</v>
      </c>
      <c r="U48" s="799">
        <f t="shared" si="72"/>
        <v>-5.0913739941340297E-2</v>
      </c>
      <c r="V48" s="799">
        <f t="shared" si="72"/>
        <v>-3.559998942050846E-2</v>
      </c>
      <c r="W48" s="994">
        <f t="shared" si="72"/>
        <v>8.6011623863692765E-2</v>
      </c>
      <c r="X48" s="799">
        <f t="shared" si="72"/>
        <v>0.12824720405947865</v>
      </c>
      <c r="Y48" s="2279">
        <f t="shared" si="72"/>
        <v>0.14902124059700639</v>
      </c>
      <c r="Z48" s="913">
        <f t="shared" si="72"/>
        <v>0.15473066311062333</v>
      </c>
      <c r="AA48" s="799">
        <f t="shared" si="72"/>
        <v>2.4999999999999911E-2</v>
      </c>
      <c r="AB48" s="799">
        <f t="shared" si="72"/>
        <v>2.4999999999999911E-2</v>
      </c>
      <c r="AC48" s="799">
        <f t="shared" si="72"/>
        <v>2.4999999999999911E-2</v>
      </c>
      <c r="AD48" s="799">
        <f t="shared" si="72"/>
        <v>2.4999999999999911E-2</v>
      </c>
      <c r="AE48" s="736"/>
      <c r="AF48" s="689"/>
      <c r="AG48" s="689"/>
      <c r="AH48" s="689">
        <f t="shared" si="73"/>
        <v>-0.15402112005434698</v>
      </c>
      <c r="AI48" s="689">
        <f t="shared" si="73"/>
        <v>9.1242812280424967E-2</v>
      </c>
      <c r="AJ48" s="689">
        <f t="shared" si="73"/>
        <v>7.7871222076215663E-2</v>
      </c>
      <c r="AK48" s="781">
        <f t="shared" si="73"/>
        <v>-6.0078511691415204E-2</v>
      </c>
      <c r="AL48" s="689">
        <f t="shared" si="73"/>
        <v>0.12858237786975901</v>
      </c>
      <c r="AM48" s="689">
        <f t="shared" si="73"/>
        <v>2.4999999999999911E-2</v>
      </c>
    </row>
    <row r="49" spans="1:43" ht="12" outlineLevel="1" x14ac:dyDescent="0.3">
      <c r="A49" s="798"/>
      <c r="C49" s="744"/>
      <c r="D49" s="744"/>
      <c r="E49" s="744"/>
      <c r="F49" s="745"/>
      <c r="G49" s="689"/>
      <c r="H49" s="689"/>
      <c r="I49" s="689"/>
      <c r="J49" s="779"/>
      <c r="K49" s="689"/>
      <c r="L49" s="689"/>
      <c r="M49" s="689"/>
      <c r="N49" s="779"/>
      <c r="O49" s="689"/>
      <c r="P49" s="689"/>
      <c r="Q49" s="689"/>
      <c r="R49" s="689"/>
      <c r="S49" s="991"/>
      <c r="T49" s="799"/>
      <c r="U49" s="799"/>
      <c r="V49" s="799"/>
      <c r="W49" s="994"/>
      <c r="X49" s="799"/>
      <c r="Y49" s="2279"/>
      <c r="Z49" s="913"/>
      <c r="AA49" s="799"/>
      <c r="AB49" s="799"/>
      <c r="AC49" s="799"/>
      <c r="AD49" s="799"/>
      <c r="AE49" s="736"/>
      <c r="AF49" s="689"/>
      <c r="AG49" s="689"/>
      <c r="AH49" s="689"/>
      <c r="AI49" s="689"/>
      <c r="AJ49" s="689"/>
      <c r="AK49" s="781"/>
      <c r="AL49" s="689"/>
      <c r="AM49" s="689"/>
    </row>
    <row r="50" spans="1:43" ht="12" outlineLevel="1" x14ac:dyDescent="0.3">
      <c r="A50" s="782" t="s">
        <v>228</v>
      </c>
      <c r="C50" s="744"/>
      <c r="D50" s="744"/>
      <c r="E50" s="744"/>
      <c r="F50" s="745"/>
      <c r="G50" s="750"/>
      <c r="H50" s="750"/>
      <c r="I50" s="750"/>
      <c r="J50" s="751"/>
      <c r="K50" s="750"/>
      <c r="L50" s="750"/>
      <c r="M50" s="750"/>
      <c r="N50" s="751"/>
      <c r="O50" s="750"/>
      <c r="P50" s="744"/>
      <c r="Q50" s="744"/>
      <c r="R50" s="744"/>
      <c r="S50" s="985"/>
      <c r="T50" s="736"/>
      <c r="U50" s="736"/>
      <c r="V50" s="736"/>
      <c r="W50" s="986"/>
      <c r="X50" s="736"/>
      <c r="Y50" s="1007"/>
      <c r="Z50" s="752"/>
      <c r="AA50" s="736"/>
      <c r="AB50" s="736"/>
      <c r="AC50" s="736"/>
      <c r="AD50" s="736"/>
      <c r="AE50" s="736"/>
      <c r="AF50" s="750"/>
      <c r="AG50" s="750"/>
      <c r="AH50" s="750"/>
      <c r="AI50" s="750"/>
      <c r="AJ50" s="744"/>
      <c r="AK50" s="792"/>
      <c r="AL50" s="744"/>
      <c r="AM50" s="744"/>
    </row>
    <row r="51" spans="1:43" ht="12" outlineLevel="1" x14ac:dyDescent="0.3">
      <c r="A51" s="778" t="str">
        <f>+A46</f>
        <v xml:space="preserve">Product and Technology </v>
      </c>
      <c r="C51" s="744"/>
      <c r="D51" s="744"/>
      <c r="E51" s="744"/>
      <c r="F51" s="745"/>
      <c r="G51" s="689"/>
      <c r="H51" s="689"/>
      <c r="I51" s="689"/>
      <c r="J51" s="779"/>
      <c r="K51" s="689"/>
      <c r="L51" s="689"/>
      <c r="M51" s="689"/>
      <c r="N51" s="779"/>
      <c r="O51" s="689"/>
      <c r="P51" s="689">
        <f t="shared" ref="L51:AD53" si="74">+P41/O41-1</f>
        <v>1.5805673404873932E-3</v>
      </c>
      <c r="Q51" s="689">
        <f t="shared" si="74"/>
        <v>7.4833887043189273E-2</v>
      </c>
      <c r="R51" s="689">
        <f t="shared" si="74"/>
        <v>-0.13291090333050004</v>
      </c>
      <c r="S51" s="991">
        <f t="shared" si="74"/>
        <v>1.0605115408609089E-2</v>
      </c>
      <c r="T51" s="799">
        <f t="shared" si="74"/>
        <v>-4.5590828924162219E-2</v>
      </c>
      <c r="U51" s="799">
        <f t="shared" si="74"/>
        <v>-2.4946872401367393E-2</v>
      </c>
      <c r="V51" s="799">
        <f t="shared" si="74"/>
        <v>-0.15881739789633331</v>
      </c>
      <c r="W51" s="994">
        <f t="shared" si="74"/>
        <v>0.39630505801509597</v>
      </c>
      <c r="X51" s="799">
        <f t="shared" si="74"/>
        <v>-4.2597821702299199E-2</v>
      </c>
      <c r="Y51" s="2279">
        <f t="shared" si="74"/>
        <v>-2.2752169882868434E-2</v>
      </c>
      <c r="Z51" s="913">
        <f t="shared" si="74"/>
        <v>-0.14452013451754808</v>
      </c>
      <c r="AA51" s="799">
        <f t="shared" si="74"/>
        <v>0.2806042737627259</v>
      </c>
      <c r="AB51" s="799">
        <f t="shared" si="74"/>
        <v>-4.2597821702299199E-2</v>
      </c>
      <c r="AC51" s="799">
        <f t="shared" si="74"/>
        <v>-2.2752169882868434E-2</v>
      </c>
      <c r="AD51" s="799">
        <f t="shared" si="74"/>
        <v>-0.14452013451754808</v>
      </c>
      <c r="AE51" s="736"/>
      <c r="AF51" s="689"/>
      <c r="AG51" s="689"/>
      <c r="AH51" s="689"/>
      <c r="AI51" s="689"/>
      <c r="AJ51" s="689"/>
      <c r="AK51" s="781">
        <f t="shared" ref="AH51:AM53" si="75">+AK41/AJ41-1</f>
        <v>-0.13748626174232204</v>
      </c>
      <c r="AL51" s="689">
        <f t="shared" si="75"/>
        <v>0.10066597744812844</v>
      </c>
      <c r="AM51" s="689">
        <f t="shared" si="75"/>
        <v>2.4999999999999911E-2</v>
      </c>
    </row>
    <row r="52" spans="1:43" ht="12" outlineLevel="1" x14ac:dyDescent="0.3">
      <c r="A52" s="778" t="str">
        <f>+A47</f>
        <v>SG&amp;A</v>
      </c>
      <c r="C52" s="744"/>
      <c r="D52" s="744"/>
      <c r="E52" s="744"/>
      <c r="F52" s="745"/>
      <c r="G52" s="786"/>
      <c r="H52" s="786"/>
      <c r="I52" s="786"/>
      <c r="J52" s="787"/>
      <c r="K52" s="786"/>
      <c r="L52" s="786"/>
      <c r="M52" s="786"/>
      <c r="N52" s="787"/>
      <c r="O52" s="786"/>
      <c r="P52" s="786">
        <f t="shared" si="74"/>
        <v>-6.3873434246106808E-2</v>
      </c>
      <c r="Q52" s="786">
        <f t="shared" si="74"/>
        <v>-0.10518626734842951</v>
      </c>
      <c r="R52" s="786">
        <f t="shared" si="74"/>
        <v>-1.3432282003710827E-2</v>
      </c>
      <c r="S52" s="992">
        <f t="shared" si="74"/>
        <v>8.7783962689935269E-2</v>
      </c>
      <c r="T52" s="800">
        <f t="shared" si="74"/>
        <v>-4.6331512343544823E-3</v>
      </c>
      <c r="U52" s="800">
        <f t="shared" si="74"/>
        <v>-5.1445046547172413E-2</v>
      </c>
      <c r="V52" s="800">
        <f t="shared" si="74"/>
        <v>1.0217160435053385E-2</v>
      </c>
      <c r="W52" s="995">
        <f t="shared" si="74"/>
        <v>0.13572101790763424</v>
      </c>
      <c r="X52" s="800">
        <f t="shared" si="74"/>
        <v>4.7685924034471805E-2</v>
      </c>
      <c r="Y52" s="2280">
        <f t="shared" si="74"/>
        <v>-2.7999507403038582E-2</v>
      </c>
      <c r="Z52" s="1097">
        <f t="shared" si="74"/>
        <v>8.7447261628830208E-3</v>
      </c>
      <c r="AA52" s="800">
        <f t="shared" si="74"/>
        <v>-2.1965663571698046E-3</v>
      </c>
      <c r="AB52" s="800">
        <f t="shared" si="74"/>
        <v>4.7685924034471805E-2</v>
      </c>
      <c r="AC52" s="800">
        <f t="shared" si="74"/>
        <v>-2.7999507403038471E-2</v>
      </c>
      <c r="AD52" s="800">
        <f t="shared" si="74"/>
        <v>8.7447261628827988E-3</v>
      </c>
      <c r="AE52" s="736"/>
      <c r="AF52" s="786"/>
      <c r="AG52" s="786"/>
      <c r="AH52" s="786"/>
      <c r="AI52" s="786"/>
      <c r="AJ52" s="786"/>
      <c r="AK52" s="788">
        <f t="shared" si="75"/>
        <v>-2.7851401635169082E-2</v>
      </c>
      <c r="AL52" s="786">
        <f t="shared" si="75"/>
        <v>0.13889406443882768</v>
      </c>
      <c r="AM52" s="786">
        <f t="shared" si="75"/>
        <v>2.5000000000000133E-2</v>
      </c>
    </row>
    <row r="53" spans="1:43" ht="12" outlineLevel="1" x14ac:dyDescent="0.3">
      <c r="A53" s="798" t="str">
        <f>+A48</f>
        <v>Total Adj. Opex ex-D&amp;A</v>
      </c>
      <c r="C53" s="744"/>
      <c r="D53" s="744"/>
      <c r="E53" s="690"/>
      <c r="F53" s="791"/>
      <c r="G53" s="689"/>
      <c r="H53" s="689"/>
      <c r="I53" s="689"/>
      <c r="J53" s="779"/>
      <c r="K53" s="689"/>
      <c r="L53" s="689">
        <f t="shared" si="74"/>
        <v>4.0750685238015061E-2</v>
      </c>
      <c r="M53" s="689">
        <f t="shared" si="74"/>
        <v>-2.6739405014645778E-2</v>
      </c>
      <c r="N53" s="779">
        <f t="shared" si="74"/>
        <v>0.18784515131433621</v>
      </c>
      <c r="O53" s="689">
        <f t="shared" si="74"/>
        <v>2.7313512633952319E-2</v>
      </c>
      <c r="P53" s="689">
        <f t="shared" si="74"/>
        <v>-4.6069602208444471E-2</v>
      </c>
      <c r="Q53" s="689">
        <f t="shared" si="74"/>
        <v>-5.3773898192513769E-2</v>
      </c>
      <c r="R53" s="689">
        <f t="shared" si="74"/>
        <v>-5.2192223809882088E-2</v>
      </c>
      <c r="S53" s="991">
        <f t="shared" si="74"/>
        <v>6.48787325768998E-2</v>
      </c>
      <c r="T53" s="799">
        <f t="shared" si="74"/>
        <v>-1.616909244448872E-2</v>
      </c>
      <c r="U53" s="799">
        <f t="shared" si="74"/>
        <v>-4.4204892580343769E-2</v>
      </c>
      <c r="V53" s="799">
        <f t="shared" si="74"/>
        <v>-3.689910195456958E-2</v>
      </c>
      <c r="W53" s="994">
        <f t="shared" si="74"/>
        <v>0.1991607931327648</v>
      </c>
      <c r="X53" s="799">
        <f t="shared" si="74"/>
        <v>2.2092624356775392E-2</v>
      </c>
      <c r="Y53" s="2279">
        <f t="shared" si="74"/>
        <v>-2.660615853297843E-2</v>
      </c>
      <c r="Z53" s="913">
        <f t="shared" si="74"/>
        <v>-3.211350726240525E-2</v>
      </c>
      <c r="AA53" s="799">
        <f t="shared" si="74"/>
        <v>6.4438532921622382E-2</v>
      </c>
      <c r="AB53" s="799">
        <f t="shared" si="74"/>
        <v>2.2092624356775392E-2</v>
      </c>
      <c r="AC53" s="799">
        <f t="shared" si="74"/>
        <v>-2.6606158532978319E-2</v>
      </c>
      <c r="AD53" s="799">
        <f t="shared" si="74"/>
        <v>-3.211350726240525E-2</v>
      </c>
      <c r="AE53" s="736"/>
      <c r="AF53" s="689"/>
      <c r="AG53" s="689"/>
      <c r="AH53" s="689">
        <f t="shared" si="75"/>
        <v>-0.15402112005434698</v>
      </c>
      <c r="AI53" s="689">
        <f t="shared" si="75"/>
        <v>9.1242812280424967E-2</v>
      </c>
      <c r="AJ53" s="689">
        <f t="shared" si="75"/>
        <v>7.7871222076215663E-2</v>
      </c>
      <c r="AK53" s="781">
        <f t="shared" si="75"/>
        <v>-6.0078511691415204E-2</v>
      </c>
      <c r="AL53" s="689">
        <f t="shared" si="75"/>
        <v>0.12858237786975901</v>
      </c>
      <c r="AM53" s="689">
        <f t="shared" si="75"/>
        <v>2.4999999999999911E-2</v>
      </c>
    </row>
    <row r="54" spans="1:43" ht="12" outlineLevel="1" x14ac:dyDescent="0.3">
      <c r="A54" s="798"/>
      <c r="C54" s="744"/>
      <c r="D54" s="744"/>
      <c r="E54" s="744"/>
      <c r="F54" s="745"/>
      <c r="G54" s="689"/>
      <c r="H54" s="689"/>
      <c r="I54" s="689"/>
      <c r="J54" s="779"/>
      <c r="K54" s="689"/>
      <c r="L54" s="689"/>
      <c r="M54" s="689"/>
      <c r="N54" s="779"/>
      <c r="O54" s="689"/>
      <c r="P54" s="689"/>
      <c r="Q54" s="689"/>
      <c r="R54" s="689"/>
      <c r="S54" s="991"/>
      <c r="T54" s="689"/>
      <c r="U54" s="799"/>
      <c r="V54" s="799"/>
      <c r="W54" s="991"/>
      <c r="X54" s="689"/>
      <c r="Y54" s="2279"/>
      <c r="Z54" s="779"/>
      <c r="AA54" s="689"/>
      <c r="AB54" s="689"/>
      <c r="AC54" s="689"/>
      <c r="AD54" s="689"/>
      <c r="AE54" s="744"/>
      <c r="AF54" s="689"/>
      <c r="AG54" s="689"/>
      <c r="AJ54" s="689"/>
      <c r="AK54" s="781"/>
      <c r="AL54" s="689"/>
      <c r="AM54" s="689"/>
    </row>
    <row r="55" spans="1:43" ht="12" x14ac:dyDescent="0.3">
      <c r="A55" s="782" t="s">
        <v>229</v>
      </c>
      <c r="C55" s="744"/>
      <c r="D55" s="744"/>
      <c r="E55" s="744"/>
      <c r="F55" s="745"/>
      <c r="G55" s="750"/>
      <c r="H55" s="750"/>
      <c r="I55" s="750"/>
      <c r="J55" s="751"/>
      <c r="K55" s="750"/>
      <c r="L55" s="750"/>
      <c r="M55" s="750"/>
      <c r="N55" s="751"/>
      <c r="O55" s="750"/>
      <c r="P55" s="744"/>
      <c r="Q55" s="744"/>
      <c r="R55" s="744"/>
      <c r="S55" s="985"/>
      <c r="T55" s="744"/>
      <c r="U55" s="736"/>
      <c r="V55" s="736"/>
      <c r="W55" s="985"/>
      <c r="X55" s="744"/>
      <c r="Y55" s="1007"/>
      <c r="Z55" s="745"/>
      <c r="AA55" s="744"/>
      <c r="AB55" s="744"/>
      <c r="AC55" s="744"/>
      <c r="AD55" s="744"/>
      <c r="AE55" s="744"/>
      <c r="AF55" s="750"/>
      <c r="AG55" s="750"/>
      <c r="AH55" s="750"/>
      <c r="AI55" s="750"/>
      <c r="AJ55" s="744"/>
      <c r="AK55" s="792"/>
      <c r="AL55" s="744"/>
      <c r="AM55" s="744"/>
      <c r="AP55" s="460" t="e">
        <f>+AP48/AO48-1</f>
        <v>#DIV/0!</v>
      </c>
      <c r="AQ55" s="460" t="e">
        <f>+AQ48/AP48-1</f>
        <v>#DIV/0!</v>
      </c>
    </row>
    <row r="56" spans="1:43" ht="12" x14ac:dyDescent="0.3">
      <c r="A56" s="778" t="s">
        <v>230</v>
      </c>
      <c r="C56" s="744"/>
      <c r="D56" s="744"/>
      <c r="E56" s="744"/>
      <c r="F56" s="745"/>
      <c r="G56" s="689"/>
      <c r="H56" s="689"/>
      <c r="I56" s="689"/>
      <c r="J56" s="779"/>
      <c r="K56" s="689"/>
      <c r="L56" s="689"/>
      <c r="M56" s="689"/>
      <c r="N56" s="779"/>
      <c r="O56" s="689">
        <f t="shared" ref="E56:AD58" si="76">+O41/O$12</f>
        <v>6.2618506865584553E-2</v>
      </c>
      <c r="P56" s="689">
        <f t="shared" si="76"/>
        <v>5.8562874834015101E-2</v>
      </c>
      <c r="Q56" s="689">
        <f t="shared" si="76"/>
        <v>6.4932588723475779E-2</v>
      </c>
      <c r="R56" s="689">
        <f t="shared" si="76"/>
        <v>6.603695856873823E-2</v>
      </c>
      <c r="S56" s="994">
        <f t="shared" si="76"/>
        <v>6.3255129020382203E-2</v>
      </c>
      <c r="T56" s="799">
        <f t="shared" si="76"/>
        <v>5.684826456004706E-2</v>
      </c>
      <c r="U56" s="799">
        <f t="shared" si="76"/>
        <v>5.8444003854546261E-2</v>
      </c>
      <c r="V56" s="799">
        <f t="shared" si="76"/>
        <v>5.2397648392123519E-2</v>
      </c>
      <c r="W56" s="994">
        <f t="shared" si="76"/>
        <v>6.6640143226576493E-2</v>
      </c>
      <c r="X56" s="799">
        <f t="shared" si="76"/>
        <v>5.9178768052341825E-2</v>
      </c>
      <c r="Y56" s="2279">
        <f t="shared" si="76"/>
        <v>5.9319693094629165E-2</v>
      </c>
      <c r="Z56" s="913">
        <f t="shared" si="76"/>
        <v>5.5943107506067444E-2</v>
      </c>
      <c r="AA56" s="799">
        <f t="shared" si="76"/>
        <v>6.6130054163372684E-2</v>
      </c>
      <c r="AB56" s="799">
        <f t="shared" si="76"/>
        <v>5.7931654620225231E-2</v>
      </c>
      <c r="AC56" s="799">
        <f t="shared" si="76"/>
        <v>5.7112822875712788E-2</v>
      </c>
      <c r="AD56" s="799">
        <f t="shared" si="76"/>
        <v>5.2959374683732741E-2</v>
      </c>
      <c r="AE56" s="744"/>
      <c r="AF56" s="689"/>
      <c r="AG56" s="689"/>
      <c r="AH56" s="689"/>
      <c r="AI56" s="689"/>
      <c r="AJ56" s="689">
        <f t="shared" ref="AG56:AM58" si="77">+AJ41/AJ$12</f>
        <v>6.2890104358213919E-2</v>
      </c>
      <c r="AK56" s="781">
        <f t="shared" si="77"/>
        <v>5.7796954032571839E-2</v>
      </c>
      <c r="AL56" s="689">
        <f t="shared" si="77"/>
        <v>6.0286984891256161E-2</v>
      </c>
      <c r="AM56" s="689">
        <f t="shared" si="77"/>
        <v>5.8492457154130865E-2</v>
      </c>
      <c r="AQ56" s="460" t="e">
        <f>+AQ48/AO48-1</f>
        <v>#DIV/0!</v>
      </c>
    </row>
    <row r="57" spans="1:43" ht="12" x14ac:dyDescent="0.3">
      <c r="A57" s="778" t="s">
        <v>226</v>
      </c>
      <c r="C57" s="744"/>
      <c r="D57" s="744"/>
      <c r="E57" s="744"/>
      <c r="F57" s="745"/>
      <c r="G57" s="786"/>
      <c r="H57" s="786"/>
      <c r="I57" s="786"/>
      <c r="J57" s="787"/>
      <c r="K57" s="786"/>
      <c r="L57" s="786"/>
      <c r="M57" s="786"/>
      <c r="N57" s="787"/>
      <c r="O57" s="786">
        <f t="shared" si="76"/>
        <v>0.16759214885504131</v>
      </c>
      <c r="P57" s="786">
        <f t="shared" si="76"/>
        <v>0.14649473955571984</v>
      </c>
      <c r="Q57" s="786">
        <f t="shared" si="76"/>
        <v>0.13522395997972897</v>
      </c>
      <c r="R57" s="786">
        <f t="shared" si="76"/>
        <v>0.15647363465160077</v>
      </c>
      <c r="S57" s="995">
        <f t="shared" si="76"/>
        <v>0.16132846927050212</v>
      </c>
      <c r="T57" s="800">
        <f t="shared" si="76"/>
        <v>0.15121018572989323</v>
      </c>
      <c r="U57" s="800">
        <f t="shared" si="76"/>
        <v>0.15123002115569928</v>
      </c>
      <c r="V57" s="800">
        <f t="shared" si="76"/>
        <v>0.16282995702885211</v>
      </c>
      <c r="W57" s="995">
        <f t="shared" si="76"/>
        <v>0.16844176581594525</v>
      </c>
      <c r="X57" s="800">
        <f t="shared" si="76"/>
        <v>0.1636878640389372</v>
      </c>
      <c r="Y57" s="2280">
        <f t="shared" si="76"/>
        <v>0.16319664536574252</v>
      </c>
      <c r="Z57" s="1097">
        <f t="shared" si="76"/>
        <v>0.18148068225136468</v>
      </c>
      <c r="AA57" s="800">
        <f t="shared" si="76"/>
        <v>0.16715244832097348</v>
      </c>
      <c r="AB57" s="800">
        <f t="shared" si="76"/>
        <v>0.16023836110678966</v>
      </c>
      <c r="AC57" s="800">
        <f t="shared" si="76"/>
        <v>0.15712524145759718</v>
      </c>
      <c r="AD57" s="800">
        <f t="shared" si="76"/>
        <v>0.17180138676005929</v>
      </c>
      <c r="AE57" s="744"/>
      <c r="AF57" s="786"/>
      <c r="AG57" s="786"/>
      <c r="AH57" s="786"/>
      <c r="AI57" s="786"/>
      <c r="AJ57" s="786">
        <f t="shared" si="77"/>
        <v>0.15105857988320015</v>
      </c>
      <c r="AK57" s="788">
        <f t="shared" si="77"/>
        <v>0.15647129120115613</v>
      </c>
      <c r="AL57" s="786">
        <f t="shared" si="77"/>
        <v>0.16888110685112226</v>
      </c>
      <c r="AM57" s="786">
        <f t="shared" si="77"/>
        <v>0.1638541208264038</v>
      </c>
    </row>
    <row r="58" spans="1:43" ht="12" x14ac:dyDescent="0.3">
      <c r="A58" s="798" t="str">
        <f>+A53</f>
        <v>Total Adj. Opex ex-D&amp;A</v>
      </c>
      <c r="C58" s="744"/>
      <c r="D58" s="744"/>
      <c r="E58" s="690">
        <f t="shared" si="76"/>
        <v>-3.4263548374948216E-2</v>
      </c>
      <c r="F58" s="791">
        <f t="shared" si="76"/>
        <v>-0.13971127160727667</v>
      </c>
      <c r="G58" s="689"/>
      <c r="H58" s="689"/>
      <c r="I58" s="689">
        <f t="shared" si="76"/>
        <v>0.27196816380673794</v>
      </c>
      <c r="J58" s="779"/>
      <c r="K58" s="689">
        <f t="shared" si="76"/>
        <v>0.25654014493793498</v>
      </c>
      <c r="L58" s="689">
        <f t="shared" si="76"/>
        <v>0.23354965856597701</v>
      </c>
      <c r="M58" s="689">
        <f t="shared" si="76"/>
        <v>0.21359188945310428</v>
      </c>
      <c r="N58" s="779">
        <f t="shared" si="76"/>
        <v>0.24776391040667167</v>
      </c>
      <c r="O58" s="689">
        <f t="shared" si="76"/>
        <v>0.23021065572062588</v>
      </c>
      <c r="P58" s="689">
        <f t="shared" si="76"/>
        <v>0.20505761438973497</v>
      </c>
      <c r="Q58" s="689">
        <f t="shared" si="76"/>
        <v>0.20015654870320476</v>
      </c>
      <c r="R58" s="689">
        <f t="shared" si="76"/>
        <v>0.22251059322033903</v>
      </c>
      <c r="S58" s="991">
        <f t="shared" si="76"/>
        <v>0.22458359829088434</v>
      </c>
      <c r="T58" s="689">
        <f t="shared" si="76"/>
        <v>0.2080584502899403</v>
      </c>
      <c r="U58" s="799">
        <f t="shared" si="76"/>
        <v>0.20967402501024557</v>
      </c>
      <c r="V58" s="799">
        <f t="shared" si="76"/>
        <v>0.21522760542097563</v>
      </c>
      <c r="W58" s="991">
        <f t="shared" si="76"/>
        <v>0.23508190904252171</v>
      </c>
      <c r="X58" s="689">
        <f t="shared" si="76"/>
        <v>0.22286663209127905</v>
      </c>
      <c r="Y58" s="2279">
        <f t="shared" si="76"/>
        <v>0.22251633846037167</v>
      </c>
      <c r="Z58" s="779">
        <f t="shared" si="76"/>
        <v>0.23742378975743209</v>
      </c>
      <c r="AA58" s="689">
        <f t="shared" si="76"/>
        <v>0.23328250248434618</v>
      </c>
      <c r="AB58" s="689">
        <f t="shared" si="76"/>
        <v>0.21817001572701489</v>
      </c>
      <c r="AC58" s="689">
        <f t="shared" si="76"/>
        <v>0.21423806433330994</v>
      </c>
      <c r="AD58" s="689">
        <f t="shared" si="76"/>
        <v>0.22476076144379201</v>
      </c>
      <c r="AE58" s="744"/>
      <c r="AF58" s="689"/>
      <c r="AG58" s="689">
        <f t="shared" si="77"/>
        <v>0.33164693954730889</v>
      </c>
      <c r="AH58" s="689">
        <f t="shared" si="77"/>
        <v>0.30717559403858136</v>
      </c>
      <c r="AI58" s="689">
        <f t="shared" si="77"/>
        <v>0.23711449420767614</v>
      </c>
      <c r="AJ58" s="689">
        <f t="shared" si="77"/>
        <v>0.21394868424141414</v>
      </c>
      <c r="AK58" s="781">
        <f t="shared" si="77"/>
        <v>0.21426824523372795</v>
      </c>
      <c r="AL58" s="689">
        <f t="shared" si="77"/>
        <v>0.22916809174237843</v>
      </c>
      <c r="AM58" s="689">
        <f t="shared" si="77"/>
        <v>0.22234657798053462</v>
      </c>
      <c r="AO58" s="460">
        <v>35.299999999999997</v>
      </c>
      <c r="AP58" s="460">
        <v>23.4</v>
      </c>
      <c r="AQ58" s="460">
        <v>18.8</v>
      </c>
    </row>
    <row r="59" spans="1:43" ht="12" x14ac:dyDescent="0.3">
      <c r="A59" s="798"/>
      <c r="C59" s="744"/>
      <c r="D59" s="744"/>
      <c r="E59" s="744"/>
      <c r="F59" s="745"/>
      <c r="G59" s="689"/>
      <c r="H59" s="689"/>
      <c r="I59" s="689"/>
      <c r="J59" s="779"/>
      <c r="K59" s="689"/>
      <c r="L59" s="689"/>
      <c r="M59" s="689"/>
      <c r="N59" s="779"/>
      <c r="O59" s="689"/>
      <c r="P59" s="689"/>
      <c r="Q59" s="689"/>
      <c r="R59" s="689"/>
      <c r="S59" s="991"/>
      <c r="T59" s="689"/>
      <c r="U59" s="689"/>
      <c r="V59" s="689"/>
      <c r="W59" s="991"/>
      <c r="X59" s="689"/>
      <c r="Y59" s="781"/>
      <c r="Z59" s="779"/>
      <c r="AA59" s="689"/>
      <c r="AB59" s="689"/>
      <c r="AC59" s="689"/>
      <c r="AD59" s="689"/>
      <c r="AE59" s="744"/>
      <c r="AF59" s="689"/>
      <c r="AG59" s="689"/>
      <c r="AH59" s="689"/>
      <c r="AI59" s="689"/>
      <c r="AJ59" s="689"/>
      <c r="AK59" s="1178"/>
      <c r="AL59" s="749"/>
      <c r="AM59" s="749"/>
    </row>
    <row r="60" spans="1:43" x14ac:dyDescent="0.25">
      <c r="A60" s="1395" t="s">
        <v>231</v>
      </c>
      <c r="C60" s="744"/>
      <c r="D60" s="744"/>
      <c r="E60" s="744"/>
      <c r="F60" s="745"/>
      <c r="G60" s="736"/>
      <c r="H60" s="736"/>
      <c r="I60" s="736"/>
      <c r="J60" s="752"/>
      <c r="K60" s="736"/>
      <c r="L60" s="736"/>
      <c r="M60" s="736"/>
      <c r="N60" s="752"/>
      <c r="O60" s="736"/>
      <c r="P60" s="736"/>
      <c r="Q60" s="736"/>
      <c r="R60" s="736"/>
      <c r="S60" s="986"/>
      <c r="T60" s="736"/>
      <c r="U60" s="2197"/>
      <c r="V60" s="2198"/>
      <c r="W60" s="986"/>
      <c r="X60" s="736"/>
      <c r="Y60" s="754"/>
      <c r="Z60" s="752"/>
      <c r="AA60" s="736"/>
      <c r="AB60" s="736"/>
      <c r="AC60" s="736"/>
      <c r="AD60" s="736"/>
      <c r="AE60" s="744"/>
      <c r="AF60" s="736"/>
      <c r="AG60" s="736"/>
      <c r="AH60" s="736"/>
      <c r="AI60" s="736"/>
      <c r="AJ60" s="736"/>
      <c r="AK60" s="754"/>
      <c r="AL60" s="736"/>
      <c r="AM60" s="736"/>
    </row>
    <row r="61" spans="1:43" s="794" customFormat="1" x14ac:dyDescent="0.25">
      <c r="A61" s="821" t="s">
        <v>232</v>
      </c>
      <c r="C61" s="736"/>
      <c r="D61" s="736"/>
      <c r="E61" s="736">
        <f t="shared" ref="E61:W61" si="78">+E167+E168+E169</f>
        <v>4.0129999999999999</v>
      </c>
      <c r="F61" s="752">
        <f t="shared" si="78"/>
        <v>5.242</v>
      </c>
      <c r="G61" s="736">
        <f t="shared" si="78"/>
        <v>4.0730000000000004</v>
      </c>
      <c r="H61" s="736">
        <f t="shared" si="78"/>
        <v>8.4879999999999995</v>
      </c>
      <c r="I61" s="736">
        <f t="shared" si="78"/>
        <v>3.5590000000000002</v>
      </c>
      <c r="J61" s="752">
        <f t="shared" si="78"/>
        <v>6.0459999999999994</v>
      </c>
      <c r="K61" s="736">
        <f t="shared" si="78"/>
        <v>3.3070000000000004</v>
      </c>
      <c r="L61" s="736">
        <f t="shared" si="78"/>
        <v>10.635999999999999</v>
      </c>
      <c r="M61" s="736">
        <f t="shared" si="78"/>
        <v>35.269000000000005</v>
      </c>
      <c r="N61" s="752">
        <f t="shared" si="78"/>
        <v>8.5629999999999988</v>
      </c>
      <c r="O61" s="736">
        <f t="shared" si="78"/>
        <v>5.9960000000000004</v>
      </c>
      <c r="P61" s="736">
        <f t="shared" si="78"/>
        <v>6.6549999999999994</v>
      </c>
      <c r="Q61" s="736">
        <f t="shared" si="78"/>
        <v>10.113</v>
      </c>
      <c r="R61" s="736">
        <f t="shared" si="78"/>
        <v>13.539</v>
      </c>
      <c r="S61" s="986">
        <f t="shared" si="78"/>
        <v>11.526000000000002</v>
      </c>
      <c r="T61" s="736">
        <f t="shared" si="78"/>
        <v>7.7630000000000008</v>
      </c>
      <c r="U61" s="736">
        <f t="shared" si="78"/>
        <v>6.4640000000000004</v>
      </c>
      <c r="V61" s="736">
        <f t="shared" si="78"/>
        <v>5.0310000000000006</v>
      </c>
      <c r="W61" s="986">
        <f t="shared" si="78"/>
        <v>20.396000000000001</v>
      </c>
      <c r="X61" s="736">
        <f>+X167+X168+X169</f>
        <v>6.109</v>
      </c>
      <c r="Y61" s="754">
        <f>+Y167+Y168+Y169</f>
        <v>11.944000000000001</v>
      </c>
      <c r="Z61" s="752"/>
      <c r="AA61" s="736"/>
      <c r="AB61" s="736"/>
      <c r="AC61" s="736"/>
      <c r="AD61" s="736"/>
      <c r="AE61" s="736"/>
      <c r="AF61" s="736"/>
      <c r="AG61" s="736">
        <f t="shared" ref="AG61:AK61" si="79">+AG167+AG168+AG169</f>
        <v>13.686</v>
      </c>
      <c r="AH61" s="736">
        <f t="shared" si="79"/>
        <v>20.990000000000002</v>
      </c>
      <c r="AI61" s="736">
        <f t="shared" si="79"/>
        <v>57.774999999999999</v>
      </c>
      <c r="AJ61" s="736">
        <f t="shared" si="79"/>
        <v>36.302999999999997</v>
      </c>
      <c r="AK61" s="754">
        <f t="shared" si="79"/>
        <v>30.784000000000002</v>
      </c>
      <c r="AL61" s="736"/>
      <c r="AM61" s="736"/>
    </row>
    <row r="62" spans="1:43" ht="12" x14ac:dyDescent="0.3">
      <c r="A62" s="474"/>
      <c r="C62" s="744"/>
      <c r="D62" s="744"/>
      <c r="E62" s="744"/>
      <c r="F62" s="745"/>
      <c r="G62" s="736"/>
      <c r="H62" s="736"/>
      <c r="I62" s="736"/>
      <c r="J62" s="752"/>
      <c r="K62" s="736"/>
      <c r="L62" s="736"/>
      <c r="M62" s="736"/>
      <c r="N62" s="752"/>
      <c r="O62" s="736"/>
      <c r="P62" s="736"/>
      <c r="Q62" s="736"/>
      <c r="R62" s="736"/>
      <c r="S62" s="986"/>
      <c r="T62" s="736"/>
      <c r="U62" s="2197"/>
      <c r="V62" s="2198"/>
      <c r="W62" s="986"/>
      <c r="X62" s="736"/>
      <c r="Y62" s="754"/>
      <c r="Z62" s="2264"/>
      <c r="AA62" s="736"/>
      <c r="AB62" s="736"/>
      <c r="AC62" s="736"/>
      <c r="AD62" s="736"/>
      <c r="AE62" s="744"/>
      <c r="AF62" s="736"/>
      <c r="AG62" s="736"/>
      <c r="AH62" s="736"/>
      <c r="AI62" s="736"/>
      <c r="AJ62" s="736"/>
      <c r="AK62" s="754"/>
      <c r="AL62" s="736"/>
      <c r="AM62" s="736"/>
    </row>
    <row r="63" spans="1:43" ht="12" x14ac:dyDescent="0.3">
      <c r="A63" s="474"/>
      <c r="C63" s="744"/>
      <c r="D63" s="744"/>
      <c r="E63" s="744"/>
      <c r="F63" s="745"/>
      <c r="G63" s="736"/>
      <c r="H63" s="736"/>
      <c r="I63" s="736"/>
      <c r="J63" s="752"/>
      <c r="K63" s="736"/>
      <c r="L63" s="736"/>
      <c r="M63" s="736"/>
      <c r="N63" s="752"/>
      <c r="O63" s="736"/>
      <c r="P63" s="736"/>
      <c r="Q63" s="736"/>
      <c r="R63" s="736"/>
      <c r="S63" s="986"/>
      <c r="T63" s="736"/>
      <c r="U63" s="2197"/>
      <c r="V63" s="2198"/>
      <c r="W63" s="986"/>
      <c r="X63" s="736"/>
      <c r="Y63" s="754"/>
      <c r="Z63" s="2264" t="s">
        <v>572</v>
      </c>
      <c r="AA63" s="736"/>
      <c r="AB63" s="736"/>
      <c r="AC63" s="736"/>
      <c r="AD63" s="736"/>
      <c r="AE63" s="744"/>
      <c r="AF63" s="736"/>
      <c r="AG63" s="736"/>
      <c r="AH63" s="736"/>
      <c r="AI63" s="736"/>
      <c r="AJ63" s="736"/>
      <c r="AK63" s="754"/>
      <c r="AL63" s="736"/>
      <c r="AM63" s="736"/>
    </row>
    <row r="64" spans="1:43" x14ac:dyDescent="0.25">
      <c r="A64" s="512" t="s">
        <v>233</v>
      </c>
      <c r="C64" s="736"/>
      <c r="D64" s="736"/>
      <c r="E64" s="736">
        <f>+'STER - Detailed Disclosure (mm)'!E70</f>
        <v>35.884</v>
      </c>
      <c r="F64" s="752">
        <f>+'STER - Detailed Disclosure (mm)'!F70</f>
        <v>23.738</v>
      </c>
      <c r="G64" s="736">
        <f>+'STER - Detailed Disclosure (mm)'!G70</f>
        <v>27.856999999999999</v>
      </c>
      <c r="H64" s="736">
        <f>+'STER - Detailed Disclosure (mm)'!H70</f>
        <v>14.718999999999996</v>
      </c>
      <c r="I64" s="736">
        <f>+'STER - Detailed Disclosure (mm)'!I70</f>
        <v>30.655999999999999</v>
      </c>
      <c r="J64" s="752">
        <f>+'STER - Detailed Disclosure (mm)'!J70</f>
        <v>28.013999999999999</v>
      </c>
      <c r="K64" s="736">
        <f>+'STER - Detailed Disclosure (mm)'!K70</f>
        <v>36.804000000000009</v>
      </c>
      <c r="L64" s="736">
        <f>+'STER - Detailed Disclosure (mm)'!L70</f>
        <v>47.034000000000056</v>
      </c>
      <c r="M64" s="736">
        <f>+'STER - Detailed Disclosure (mm)'!M70</f>
        <v>51.298999999999971</v>
      </c>
      <c r="N64" s="752">
        <f>+'STER - Detailed Disclosure (mm)'!N70</f>
        <v>44.048999999999992</v>
      </c>
      <c r="O64" s="736">
        <f>+'STER - Detailed Disclosure (mm)'!O70</f>
        <v>47.63600000000001</v>
      </c>
      <c r="P64" s="736">
        <f>+'STER - Detailed Disclosure (mm)'!P70</f>
        <v>56.472000000000008</v>
      </c>
      <c r="Q64" s="736">
        <f>+'STER - Detailed Disclosure (mm)'!Q70</f>
        <v>53.098000000000013</v>
      </c>
      <c r="R64" s="736">
        <f>+'STER - Detailed Disclosure (mm)'!R70</f>
        <v>41.296999999999983</v>
      </c>
      <c r="S64" s="986">
        <f>+'STER - Detailed Disclosure (mm)'!S70</f>
        <v>45.554999999999993</v>
      </c>
      <c r="T64" s="736">
        <f>+'STER - Detailed Disclosure (mm)'!T70</f>
        <v>49.996999999999993</v>
      </c>
      <c r="U64" s="736">
        <f>+'STER - Detailed Disclosure (mm)'!U70</f>
        <v>47.555999999999997</v>
      </c>
      <c r="V64" s="736">
        <f>+'STER - Detailed Disclosure (mm)'!V70</f>
        <v>41.915999999999926</v>
      </c>
      <c r="W64" s="986">
        <f>+'STER - Detailed Disclosure (mm)'!W70</f>
        <v>38.51</v>
      </c>
      <c r="X64" s="736">
        <f>+'STER - Detailed Disclosure (mm)'!X70</f>
        <v>46.283999999999999</v>
      </c>
      <c r="Y64" s="754">
        <f>+'STER - Detailed Disclosure (mm)'!Y70</f>
        <v>45.288999999999994</v>
      </c>
      <c r="Z64" s="752">
        <f>+Z36-Z43</f>
        <v>36.34684546639771</v>
      </c>
      <c r="AA64" s="736">
        <f>+AA36-AA43</f>
        <v>40.322891183382083</v>
      </c>
      <c r="AB64" s="736">
        <f>+AB36-AB43</f>
        <v>48.593388592996632</v>
      </c>
      <c r="AC64" s="736">
        <f>+AC36-AC43</f>
        <v>50.062806473017737</v>
      </c>
      <c r="AD64" s="736">
        <f>+AD36-AD43</f>
        <v>41.901201633667824</v>
      </c>
      <c r="AE64" s="744"/>
      <c r="AF64" s="736"/>
      <c r="AG64" s="736">
        <f>+'STER - Detailed Disclosure (mm)'!AQ70</f>
        <v>118.98399999999998</v>
      </c>
      <c r="AH64" s="736">
        <f>SUM(G64:J64)</f>
        <v>101.246</v>
      </c>
      <c r="AI64" s="736">
        <f>+SUM(K64:N64)</f>
        <v>179.18600000000004</v>
      </c>
      <c r="AJ64" s="736">
        <f>SUM(O64:R64)</f>
        <v>198.50299999999999</v>
      </c>
      <c r="AK64" s="754">
        <f t="shared" ref="AK64" si="80">SUM(S64:V64)</f>
        <v>185.02399999999994</v>
      </c>
      <c r="AL64" s="736">
        <f>+SUM(W64:Z64)</f>
        <v>166.42984546639769</v>
      </c>
      <c r="AM64" s="736">
        <f>+SUM(AA64:AD64)</f>
        <v>180.88028788306428</v>
      </c>
      <c r="AO64" s="844"/>
      <c r="AQ64" s="460">
        <f>+AQ58/AO58-1</f>
        <v>-0.46742209631728038</v>
      </c>
    </row>
    <row r="65" spans="1:41" ht="12" x14ac:dyDescent="0.3">
      <c r="A65" s="778" t="s">
        <v>29</v>
      </c>
      <c r="C65" s="736"/>
      <c r="D65" s="736"/>
      <c r="E65" s="736"/>
      <c r="F65" s="752"/>
      <c r="G65" s="690"/>
      <c r="H65" s="690"/>
      <c r="I65" s="690">
        <f t="shared" ref="I65:AD65" si="81">IF(OR(I64&lt;0, E64&lt;0), "NM", I64/E64-1)</f>
        <v>-0.14569167316910048</v>
      </c>
      <c r="J65" s="791">
        <f t="shared" si="81"/>
        <v>0.18013311989215608</v>
      </c>
      <c r="K65" s="690">
        <f t="shared" si="81"/>
        <v>0.32117600603080043</v>
      </c>
      <c r="L65" s="690">
        <f t="shared" si="81"/>
        <v>2.1954616482098017</v>
      </c>
      <c r="M65" s="690">
        <f t="shared" si="81"/>
        <v>0.67337552192066719</v>
      </c>
      <c r="N65" s="791">
        <f t="shared" si="81"/>
        <v>0.57239237524095077</v>
      </c>
      <c r="O65" s="690">
        <f t="shared" si="81"/>
        <v>0.29431583523530036</v>
      </c>
      <c r="P65" s="690">
        <f t="shared" si="81"/>
        <v>0.20066334991708001</v>
      </c>
      <c r="Q65" s="690">
        <f t="shared" si="81"/>
        <v>3.5068909725336717E-2</v>
      </c>
      <c r="R65" s="690">
        <f t="shared" si="81"/>
        <v>-6.2475879134600287E-2</v>
      </c>
      <c r="S65" s="996">
        <f t="shared" si="81"/>
        <v>-4.3685447980519321E-2</v>
      </c>
      <c r="T65" s="690">
        <f t="shared" si="81"/>
        <v>-0.11465859186853689</v>
      </c>
      <c r="U65" s="806">
        <f t="shared" si="81"/>
        <v>-0.10437304606576547</v>
      </c>
      <c r="V65" s="806">
        <f t="shared" si="81"/>
        <v>1.4988982250525362E-2</v>
      </c>
      <c r="W65" s="997">
        <f t="shared" si="81"/>
        <v>-0.15464822741740747</v>
      </c>
      <c r="X65" s="806">
        <f t="shared" si="81"/>
        <v>-7.4264455867351975E-2</v>
      </c>
      <c r="Y65" s="805">
        <f t="shared" si="81"/>
        <v>-4.7670115232568033E-2</v>
      </c>
      <c r="Z65" s="791">
        <f t="shared" si="81"/>
        <v>-0.13286464676024012</v>
      </c>
      <c r="AA65" s="690">
        <f t="shared" si="81"/>
        <v>4.7075855190394256E-2</v>
      </c>
      <c r="AB65" s="690">
        <f t="shared" si="81"/>
        <v>4.9896045998544469E-2</v>
      </c>
      <c r="AC65" s="690">
        <f t="shared" si="81"/>
        <v>0.10540763702041867</v>
      </c>
      <c r="AD65" s="690">
        <f t="shared" si="81"/>
        <v>0.15281535704123383</v>
      </c>
      <c r="AE65" s="744"/>
      <c r="AF65" s="690"/>
      <c r="AG65" s="690"/>
      <c r="AH65" s="690">
        <f t="shared" ref="AH65:AM65" si="82">IF(OR(AH64&lt;0, AG64&lt;0), "NM", AH64/AG64-1)</f>
        <v>-0.1490788677469238</v>
      </c>
      <c r="AI65" s="690">
        <f t="shared" si="82"/>
        <v>0.76980818995318367</v>
      </c>
      <c r="AJ65" s="690">
        <f t="shared" si="82"/>
        <v>0.10780418113022194</v>
      </c>
      <c r="AK65" s="805">
        <f t="shared" si="82"/>
        <v>-6.7903255870188528E-2</v>
      </c>
      <c r="AL65" s="690">
        <f t="shared" si="82"/>
        <v>-0.10049590611813741</v>
      </c>
      <c r="AM65" s="690">
        <f t="shared" si="82"/>
        <v>8.6826027964943098E-2</v>
      </c>
      <c r="AO65" s="844"/>
    </row>
    <row r="66" spans="1:41" ht="12" x14ac:dyDescent="0.3">
      <c r="A66" s="778" t="s">
        <v>33</v>
      </c>
      <c r="C66" s="690"/>
      <c r="D66" s="690"/>
      <c r="E66" s="690">
        <f t="shared" ref="E66:AD66" si="83">+E64/E$12</f>
        <v>0.27028207735472454</v>
      </c>
      <c r="F66" s="791">
        <f t="shared" si="83"/>
        <v>0.19548872180451127</v>
      </c>
      <c r="G66" s="690">
        <f t="shared" si="83"/>
        <v>0.23335511325559574</v>
      </c>
      <c r="H66" s="690">
        <f t="shared" si="83"/>
        <v>0.16618306217610726</v>
      </c>
      <c r="I66" s="690">
        <f t="shared" si="83"/>
        <v>0.26067583884627815</v>
      </c>
      <c r="J66" s="791">
        <f t="shared" si="83"/>
        <v>0.2180026925441429</v>
      </c>
      <c r="K66" s="690">
        <f t="shared" si="83"/>
        <v>0.26407404749946189</v>
      </c>
      <c r="L66" s="690">
        <f t="shared" si="83"/>
        <v>0.29520234986945204</v>
      </c>
      <c r="M66" s="690">
        <f t="shared" si="83"/>
        <v>0.30254722600659351</v>
      </c>
      <c r="N66" s="791">
        <f t="shared" si="83"/>
        <v>0.25369609915394309</v>
      </c>
      <c r="O66" s="690">
        <f t="shared" si="83"/>
        <v>0.2481403538015961</v>
      </c>
      <c r="P66" s="690">
        <f t="shared" si="83"/>
        <v>0.27468128468658648</v>
      </c>
      <c r="Q66" s="690">
        <f t="shared" si="83"/>
        <v>0.26642381547323374</v>
      </c>
      <c r="R66" s="690">
        <f t="shared" si="83"/>
        <v>0.24303790018832389</v>
      </c>
      <c r="S66" s="996">
        <f t="shared" si="83"/>
        <v>0.25410823655410147</v>
      </c>
      <c r="T66" s="690">
        <f t="shared" si="83"/>
        <v>0.26261135389528528</v>
      </c>
      <c r="U66" s="806">
        <f t="shared" si="83"/>
        <v>0.26337184187499307</v>
      </c>
      <c r="V66" s="806">
        <f t="shared" si="83"/>
        <v>0.24741464796713381</v>
      </c>
      <c r="W66" s="997">
        <f t="shared" si="83"/>
        <v>0.2070441238931392</v>
      </c>
      <c r="X66" s="806">
        <f t="shared" si="83"/>
        <v>0.23081065985797494</v>
      </c>
      <c r="Y66" s="808">
        <f t="shared" si="83"/>
        <v>0.23165728900255753</v>
      </c>
      <c r="Z66" s="807">
        <f t="shared" si="83"/>
        <v>0.20495469039745068</v>
      </c>
      <c r="AA66" s="806">
        <f t="shared" si="83"/>
        <v>0.20988439303659742</v>
      </c>
      <c r="AB66" s="806">
        <f t="shared" si="83"/>
        <v>0.23143461205563889</v>
      </c>
      <c r="AC66" s="806">
        <f t="shared" si="83"/>
        <v>0.24053556312961927</v>
      </c>
      <c r="AD66" s="806">
        <f t="shared" si="83"/>
        <v>0.2182177187110908</v>
      </c>
      <c r="AE66" s="744"/>
      <c r="AF66" s="690"/>
      <c r="AG66" s="690">
        <f t="shared" ref="AG66:AM66" si="84">+AG64/AG$12</f>
        <v>0.23934856250854925</v>
      </c>
      <c r="AH66" s="690">
        <f t="shared" si="84"/>
        <v>0.22298277954335727</v>
      </c>
      <c r="AI66" s="690">
        <f t="shared" si="84"/>
        <v>0.27915635846975473</v>
      </c>
      <c r="AJ66" s="690">
        <f t="shared" si="84"/>
        <v>0.25887801226424195</v>
      </c>
      <c r="AK66" s="805">
        <f t="shared" si="84"/>
        <v>0.25710633094324931</v>
      </c>
      <c r="AL66" s="690">
        <f t="shared" si="84"/>
        <v>0.21916892920678932</v>
      </c>
      <c r="AM66" s="690">
        <f t="shared" si="84"/>
        <v>0.22547139530579963</v>
      </c>
    </row>
    <row r="67" spans="1:41" ht="12" outlineLevel="1" x14ac:dyDescent="0.3">
      <c r="A67" s="778" t="s">
        <v>236</v>
      </c>
      <c r="C67" s="806"/>
      <c r="D67" s="806"/>
      <c r="E67" s="806"/>
      <c r="F67" s="807"/>
      <c r="G67" s="806">
        <f t="shared" ref="G67:X67" si="85">IF(OR(G64&lt;0,C64&lt;0),"NM",(G64-C64)/(G$12-C$12))</f>
        <v>0.23335511325559574</v>
      </c>
      <c r="H67" s="806">
        <f t="shared" si="85"/>
        <v>0.16618306217610726</v>
      </c>
      <c r="I67" s="806">
        <f t="shared" si="85"/>
        <v>0.34478665171799794</v>
      </c>
      <c r="J67" s="807">
        <f t="shared" si="85"/>
        <v>0.60446706248232862</v>
      </c>
      <c r="K67" s="806">
        <f t="shared" si="85"/>
        <v>0.44748424527358255</v>
      </c>
      <c r="L67" s="806">
        <f t="shared" si="85"/>
        <v>0.45670393035318146</v>
      </c>
      <c r="M67" s="806">
        <f t="shared" si="85"/>
        <v>0.39732460783370172</v>
      </c>
      <c r="N67" s="807">
        <f t="shared" si="85"/>
        <v>0.35533838585294492</v>
      </c>
      <c r="O67" s="806">
        <f t="shared" si="85"/>
        <v>0.20592372913577431</v>
      </c>
      <c r="P67" s="806">
        <f t="shared" si="85"/>
        <v>0.20400752220997237</v>
      </c>
      <c r="Q67" s="806">
        <f t="shared" si="85"/>
        <v>6.0486853607694201E-2</v>
      </c>
      <c r="R67" s="806">
        <f t="shared" si="85"/>
        <v>0.74197897007278646</v>
      </c>
      <c r="S67" s="997">
        <f t="shared" si="85"/>
        <v>0.16388407623247883</v>
      </c>
      <c r="T67" s="806">
        <f t="shared" si="85"/>
        <v>0.42579075425790874</v>
      </c>
      <c r="U67" s="806">
        <f t="shared" si="85"/>
        <v>0.29584156301713632</v>
      </c>
      <c r="V67" s="806">
        <f t="shared" si="85"/>
        <v>-1.2281746031744434</v>
      </c>
      <c r="W67" s="806">
        <f t="shared" si="85"/>
        <v>-1.0475836431226766</v>
      </c>
      <c r="X67" s="806">
        <f t="shared" si="85"/>
        <v>-0.3660291798107258</v>
      </c>
      <c r="Y67" s="808">
        <f t="shared" ref="Y67:AD67" si="86">IF(OR(Y64&lt;0,U64&lt;0),"NM",(Y64-U64)/(Y$12-U$12))</f>
        <v>-0.151801258872372</v>
      </c>
      <c r="Z67" s="807">
        <f t="shared" si="86"/>
        <v>-0.70274293952910183</v>
      </c>
      <c r="AA67" s="806">
        <f t="shared" si="86"/>
        <v>0.29619834332943434</v>
      </c>
      <c r="AB67" s="806">
        <f t="shared" si="86"/>
        <v>0.24469171373723789</v>
      </c>
      <c r="AC67" s="806">
        <f t="shared" si="86"/>
        <v>0.37795620991545087</v>
      </c>
      <c r="AD67" s="806">
        <f t="shared" si="86"/>
        <v>0.37849884993225724</v>
      </c>
      <c r="AE67" s="744"/>
      <c r="AF67" s="806"/>
      <c r="AG67" s="806"/>
      <c r="AH67" s="806">
        <f>IF(OR(AH64&lt;0,AG64&lt;0),"NM",(AH64-AG64)/(AH$12-AG$12))</f>
        <v>0.41190813459350178</v>
      </c>
      <c r="AI67" s="806">
        <f>IF(OR(AI64&lt;0,AH64&lt;0),"NM",(AI64-AH64)/(AI$12-AH$12))</f>
        <v>0.41494747938306259</v>
      </c>
      <c r="AJ67" s="806">
        <f>IF(OR(AJ64&lt;0,AI64&lt;0),"NM",(AJ64-AI64)/(AJ$12-AI$12))</f>
        <v>0.15466220435875633</v>
      </c>
      <c r="AK67" s="808">
        <f>IF(OR(AK64&lt;0,AJ64&lt;0),"NM",(AK64-AJ64)/(AK$12-AJ$12))</f>
        <v>0.28592338042509918</v>
      </c>
      <c r="AL67" s="806">
        <f t="shared" ref="AL67:AM67" si="87">IF(OR(AL64&lt;0,AK64&lt;0),"NM",(AL64-AK64)/(AL$12-AK$12))</f>
        <v>-0.46803790745874541</v>
      </c>
      <c r="AM67" s="806">
        <f t="shared" si="87"/>
        <v>0.33712492676705669</v>
      </c>
    </row>
    <row r="68" spans="1:41" ht="12" x14ac:dyDescent="0.3">
      <c r="A68" s="798"/>
      <c r="B68" s="470"/>
      <c r="C68" s="744"/>
      <c r="D68" s="744"/>
      <c r="E68" s="744"/>
      <c r="F68" s="745"/>
      <c r="G68" s="806"/>
      <c r="H68" s="806"/>
      <c r="I68" s="806"/>
      <c r="J68" s="807"/>
      <c r="K68" s="806"/>
      <c r="L68" s="806"/>
      <c r="M68" s="806"/>
      <c r="N68" s="807"/>
      <c r="O68" s="806"/>
      <c r="P68" s="806"/>
      <c r="Q68" s="806"/>
      <c r="R68" s="806"/>
      <c r="S68" s="997"/>
      <c r="T68" s="806"/>
      <c r="U68" s="806"/>
      <c r="V68" s="806"/>
      <c r="W68" s="997"/>
      <c r="X68" s="806"/>
      <c r="Y68" s="808"/>
      <c r="Z68" s="807"/>
      <c r="AA68" s="806"/>
      <c r="AB68" s="806"/>
      <c r="AC68" s="806"/>
      <c r="AD68" s="806"/>
      <c r="AE68" s="744"/>
      <c r="AF68" s="806"/>
      <c r="AG68" s="806"/>
      <c r="AH68" s="750"/>
      <c r="AI68" s="806"/>
      <c r="AJ68" s="806"/>
      <c r="AK68" s="808"/>
      <c r="AL68" s="806"/>
      <c r="AM68" s="806"/>
    </row>
    <row r="69" spans="1:41" s="809" customFormat="1" ht="13" x14ac:dyDescent="0.4">
      <c r="A69" s="793" t="s">
        <v>37</v>
      </c>
      <c r="C69" s="757"/>
      <c r="D69" s="757"/>
      <c r="E69" s="757">
        <f>+'STER - Detailed Disclosure (mm)'!E62</f>
        <v>0.249</v>
      </c>
      <c r="F69" s="758">
        <f>+'STER - Detailed Disclosure (mm)'!F62</f>
        <v>0.504</v>
      </c>
      <c r="G69" s="757">
        <f>+'STER - Detailed Disclosure (mm)'!G62</f>
        <v>0.54500000000000004</v>
      </c>
      <c r="H69" s="757">
        <f>+'STER - Detailed Disclosure (mm)'!H62</f>
        <v>0.64100000000000001</v>
      </c>
      <c r="I69" s="757">
        <f>+'STER - Detailed Disclosure (mm)'!I62</f>
        <v>0.56999999999999995</v>
      </c>
      <c r="J69" s="758">
        <f>+'STER - Detailed Disclosure (mm)'!J62</f>
        <v>1.708</v>
      </c>
      <c r="K69" s="757">
        <f>+'STER - Detailed Disclosure (mm)'!K62</f>
        <v>0.89800000000000002</v>
      </c>
      <c r="L69" s="757">
        <f>+'STER - Detailed Disclosure (mm)'!L62</f>
        <v>0.75600000000000001</v>
      </c>
      <c r="M69" s="757">
        <f>+'STER - Detailed Disclosure (mm)'!M62</f>
        <v>25.582000000000001</v>
      </c>
      <c r="N69" s="758">
        <f>+'STER - Detailed Disclosure (mm)'!N62</f>
        <v>5.3440000000000003</v>
      </c>
      <c r="O69" s="757">
        <f>+'STER - Detailed Disclosure (mm)'!O62</f>
        <v>5.1079999999999997</v>
      </c>
      <c r="P69" s="757">
        <f>+'STER - Detailed Disclosure (mm)'!P62</f>
        <v>6.0229999999999997</v>
      </c>
      <c r="Q69" s="757">
        <f>+'STER - Detailed Disclosure (mm)'!Q62</f>
        <v>6.2930000000000001</v>
      </c>
      <c r="R69" s="757">
        <f>+'STER - Detailed Disclosure (mm)'!R62</f>
        <v>6.3810000000000002</v>
      </c>
      <c r="S69" s="987">
        <f>+'STER - Detailed Disclosure (mm)'!S62</f>
        <v>8.0429999999999993</v>
      </c>
      <c r="T69" s="757">
        <f>+'STER - Detailed Disclosure (mm)'!T62</f>
        <v>9.3580000000000005</v>
      </c>
      <c r="U69" s="757">
        <f>+'STER - Detailed Disclosure (mm)'!U62</f>
        <v>9.7829999999999995</v>
      </c>
      <c r="V69" s="757">
        <f>+'STER - Detailed Disclosure (mm)'!V62</f>
        <v>7.4660000000000011</v>
      </c>
      <c r="W69" s="987">
        <f>+'STER - Detailed Disclosure (mm)'!W62</f>
        <v>9.3420000000000005</v>
      </c>
      <c r="X69" s="757">
        <f>+'STER - Detailed Disclosure (mm)'!X62</f>
        <v>11.702999999999999</v>
      </c>
      <c r="Y69" s="760">
        <f>+'STER - Detailed Disclosure (mm)'!Y62</f>
        <v>11.535</v>
      </c>
      <c r="Z69" s="1498">
        <v>5</v>
      </c>
      <c r="AA69" s="810">
        <v>5</v>
      </c>
      <c r="AB69" s="810">
        <v>5</v>
      </c>
      <c r="AC69" s="810">
        <v>5</v>
      </c>
      <c r="AD69" s="810">
        <v>5</v>
      </c>
      <c r="AE69" s="757"/>
      <c r="AF69" s="757"/>
      <c r="AG69" s="757">
        <f>+'FA - Detailed Disclosure'!AI72</f>
        <v>1.216</v>
      </c>
      <c r="AH69" s="757">
        <f>SUM(G69:J69)</f>
        <v>3.4639999999999995</v>
      </c>
      <c r="AI69" s="757">
        <f>+SUM(K69:N69)</f>
        <v>32.58</v>
      </c>
      <c r="AJ69" s="757">
        <f>SUM(O69:R69)</f>
        <v>23.805</v>
      </c>
      <c r="AK69" s="760">
        <f>SUM(S69:V69)</f>
        <v>34.65</v>
      </c>
      <c r="AL69" s="757">
        <f>+SUM(W69:Z69)</f>
        <v>37.58</v>
      </c>
      <c r="AM69" s="757">
        <f t="shared" ref="AM69:AM70" si="88">+SUM(AA69:AD69)</f>
        <v>20</v>
      </c>
    </row>
    <row r="70" spans="1:41" x14ac:dyDescent="0.25">
      <c r="A70" s="474" t="s">
        <v>188</v>
      </c>
      <c r="C70" s="736"/>
      <c r="D70" s="736"/>
      <c r="E70" s="736">
        <f t="shared" ref="E70:AD70" si="89">+E64-E69</f>
        <v>35.634999999999998</v>
      </c>
      <c r="F70" s="752">
        <f t="shared" si="89"/>
        <v>23.233999999999998</v>
      </c>
      <c r="G70" s="736">
        <f t="shared" si="89"/>
        <v>27.311999999999998</v>
      </c>
      <c r="H70" s="736">
        <f t="shared" si="89"/>
        <v>14.077999999999996</v>
      </c>
      <c r="I70" s="736">
        <f t="shared" si="89"/>
        <v>30.085999999999999</v>
      </c>
      <c r="J70" s="752">
        <f t="shared" si="89"/>
        <v>26.306000000000001</v>
      </c>
      <c r="K70" s="736">
        <f t="shared" si="89"/>
        <v>35.906000000000006</v>
      </c>
      <c r="L70" s="736">
        <f t="shared" si="89"/>
        <v>46.278000000000056</v>
      </c>
      <c r="M70" s="736">
        <f t="shared" si="89"/>
        <v>25.71699999999997</v>
      </c>
      <c r="N70" s="752">
        <f t="shared" si="89"/>
        <v>38.704999999999991</v>
      </c>
      <c r="O70" s="736">
        <f t="shared" si="89"/>
        <v>42.528000000000013</v>
      </c>
      <c r="P70" s="736">
        <f t="shared" si="89"/>
        <v>50.449000000000012</v>
      </c>
      <c r="Q70" s="736">
        <f t="shared" si="89"/>
        <v>46.805000000000014</v>
      </c>
      <c r="R70" s="736">
        <f t="shared" si="89"/>
        <v>34.915999999999983</v>
      </c>
      <c r="S70" s="986">
        <f t="shared" si="89"/>
        <v>37.511999999999993</v>
      </c>
      <c r="T70" s="736">
        <f t="shared" si="89"/>
        <v>40.638999999999996</v>
      </c>
      <c r="U70" s="736">
        <f t="shared" si="89"/>
        <v>37.772999999999996</v>
      </c>
      <c r="V70" s="736">
        <f t="shared" si="89"/>
        <v>34.449999999999925</v>
      </c>
      <c r="W70" s="986">
        <f t="shared" si="89"/>
        <v>29.167999999999999</v>
      </c>
      <c r="X70" s="736">
        <f t="shared" si="89"/>
        <v>34.581000000000003</v>
      </c>
      <c r="Y70" s="754">
        <f t="shared" si="89"/>
        <v>33.753999999999991</v>
      </c>
      <c r="Z70" s="752">
        <f t="shared" si="89"/>
        <v>31.34684546639771</v>
      </c>
      <c r="AA70" s="736">
        <f t="shared" si="89"/>
        <v>35.322891183382083</v>
      </c>
      <c r="AB70" s="736">
        <f t="shared" si="89"/>
        <v>43.593388592996632</v>
      </c>
      <c r="AC70" s="736">
        <f t="shared" si="89"/>
        <v>45.062806473017737</v>
      </c>
      <c r="AD70" s="736">
        <f t="shared" si="89"/>
        <v>36.901201633667824</v>
      </c>
      <c r="AE70" s="744"/>
      <c r="AF70" s="736"/>
      <c r="AG70" s="736">
        <f t="shared" ref="AG70:AL70" si="90">+AG64-AG69</f>
        <v>117.76799999999999</v>
      </c>
      <c r="AH70" s="736">
        <f t="shared" si="90"/>
        <v>97.781999999999996</v>
      </c>
      <c r="AI70" s="736">
        <f t="shared" si="90"/>
        <v>146.60600000000005</v>
      </c>
      <c r="AJ70" s="736">
        <f t="shared" si="90"/>
        <v>174.69799999999998</v>
      </c>
      <c r="AK70" s="754">
        <f t="shared" si="90"/>
        <v>150.37399999999994</v>
      </c>
      <c r="AL70" s="736">
        <f t="shared" si="90"/>
        <v>128.84984546639771</v>
      </c>
      <c r="AM70" s="736">
        <f t="shared" si="88"/>
        <v>160.88028788306428</v>
      </c>
    </row>
    <row r="71" spans="1:41" ht="12" x14ac:dyDescent="0.3">
      <c r="A71" s="798" t="s">
        <v>29</v>
      </c>
      <c r="C71" s="690"/>
      <c r="D71" s="690"/>
      <c r="E71" s="690"/>
      <c r="F71" s="791"/>
      <c r="G71" s="690"/>
      <c r="H71" s="690"/>
      <c r="I71" s="690">
        <f t="shared" ref="I71:AD71" si="91">IF(OR(I70&lt;0, E70&lt;0), "NM", I70/E70-1)</f>
        <v>-0.15571769327907958</v>
      </c>
      <c r="J71" s="791">
        <f t="shared" si="91"/>
        <v>0.13222002238099351</v>
      </c>
      <c r="K71" s="690">
        <f t="shared" si="91"/>
        <v>0.31466022261277127</v>
      </c>
      <c r="L71" s="690">
        <f t="shared" si="91"/>
        <v>2.2872567126012266</v>
      </c>
      <c r="M71" s="690">
        <f t="shared" si="91"/>
        <v>-0.14521704447251305</v>
      </c>
      <c r="N71" s="791">
        <f t="shared" si="91"/>
        <v>0.47133733748954576</v>
      </c>
      <c r="O71" s="690">
        <f t="shared" si="91"/>
        <v>0.18442600122542219</v>
      </c>
      <c r="P71" s="690">
        <f t="shared" si="91"/>
        <v>9.0129219067374367E-2</v>
      </c>
      <c r="Q71" s="690">
        <f t="shared" si="91"/>
        <v>0.8200023330870656</v>
      </c>
      <c r="R71" s="806">
        <f t="shared" si="91"/>
        <v>-9.7894328898075478E-2</v>
      </c>
      <c r="S71" s="997">
        <f t="shared" si="91"/>
        <v>-0.11794582392776565</v>
      </c>
      <c r="T71" s="806">
        <f t="shared" si="91"/>
        <v>-0.19445380483260355</v>
      </c>
      <c r="U71" s="806">
        <f t="shared" si="91"/>
        <v>-0.19297083644909763</v>
      </c>
      <c r="V71" s="690">
        <f t="shared" si="91"/>
        <v>-1.3346316874786823E-2</v>
      </c>
      <c r="W71" s="996">
        <f t="shared" si="91"/>
        <v>-0.22243548731072715</v>
      </c>
      <c r="X71" s="690">
        <f t="shared" si="91"/>
        <v>-0.14906862865720105</v>
      </c>
      <c r="Y71" s="805">
        <f t="shared" si="91"/>
        <v>-0.10639875043020164</v>
      </c>
      <c r="Z71" s="791">
        <f t="shared" si="91"/>
        <v>-9.0077054676407031E-2</v>
      </c>
      <c r="AA71" s="690">
        <f t="shared" si="91"/>
        <v>0.21101519416422398</v>
      </c>
      <c r="AB71" s="690">
        <f t="shared" si="91"/>
        <v>0.26061677201343603</v>
      </c>
      <c r="AC71" s="690">
        <f t="shared" si="91"/>
        <v>0.33503603937363713</v>
      </c>
      <c r="AD71" s="690">
        <f t="shared" si="91"/>
        <v>0.17719027495841999</v>
      </c>
      <c r="AE71" s="744"/>
      <c r="AF71" s="690"/>
      <c r="AG71" s="690"/>
      <c r="AH71" s="690">
        <f t="shared" ref="AH71:AM71" si="92">IF(OR(AH70&lt;0, AG70&lt;0), "NM", AH70/AG70-1)</f>
        <v>-0.16970654167515786</v>
      </c>
      <c r="AI71" s="690">
        <f t="shared" si="92"/>
        <v>0.49931480231535508</v>
      </c>
      <c r="AJ71" s="690">
        <f t="shared" si="92"/>
        <v>0.19161562282580458</v>
      </c>
      <c r="AK71" s="805">
        <f t="shared" si="92"/>
        <v>-0.1392345647918124</v>
      </c>
      <c r="AL71" s="690">
        <f t="shared" si="92"/>
        <v>-0.14313747412187106</v>
      </c>
      <c r="AM71" s="690">
        <f t="shared" si="92"/>
        <v>0.24858735608666049</v>
      </c>
    </row>
    <row r="72" spans="1:41" ht="12" x14ac:dyDescent="0.3">
      <c r="A72" s="798" t="s">
        <v>33</v>
      </c>
      <c r="C72" s="690"/>
      <c r="D72" s="690"/>
      <c r="E72" s="690">
        <f t="shared" ref="E72:AD72" si="93">+E70/E$12</f>
        <v>0.26840658306029452</v>
      </c>
      <c r="F72" s="791">
        <f t="shared" si="93"/>
        <v>0.19133814821830039</v>
      </c>
      <c r="G72" s="690">
        <f t="shared" si="93"/>
        <v>0.22878970647366301</v>
      </c>
      <c r="H72" s="690">
        <f t="shared" si="93"/>
        <v>0.15894593038353408</v>
      </c>
      <c r="I72" s="690">
        <f t="shared" si="93"/>
        <v>0.25582898250029762</v>
      </c>
      <c r="J72" s="791">
        <f t="shared" si="93"/>
        <v>0.20471117405819317</v>
      </c>
      <c r="K72" s="690">
        <f t="shared" si="93"/>
        <v>0.25763076702303223</v>
      </c>
      <c r="L72" s="690">
        <f t="shared" si="93"/>
        <v>0.29045742116890977</v>
      </c>
      <c r="M72" s="690">
        <f t="shared" si="93"/>
        <v>0.15167170921872863</v>
      </c>
      <c r="N72" s="791">
        <f t="shared" si="93"/>
        <v>0.22291783054674039</v>
      </c>
      <c r="O72" s="690">
        <f t="shared" si="93"/>
        <v>0.22153230679474095</v>
      </c>
      <c r="P72" s="690">
        <f t="shared" si="93"/>
        <v>0.24538525519113197</v>
      </c>
      <c r="Q72" s="690">
        <f t="shared" si="93"/>
        <v>0.23484814274030483</v>
      </c>
      <c r="R72" s="806">
        <f t="shared" si="93"/>
        <v>0.20548493408662896</v>
      </c>
      <c r="S72" s="997">
        <f t="shared" si="93"/>
        <v>0.20924395060075635</v>
      </c>
      <c r="T72" s="806">
        <f t="shared" si="93"/>
        <v>0.21345806370283213</v>
      </c>
      <c r="U72" s="806">
        <f t="shared" si="93"/>
        <v>0.20919220672773389</v>
      </c>
      <c r="V72" s="690">
        <f t="shared" si="93"/>
        <v>0.20334561080417396</v>
      </c>
      <c r="W72" s="996">
        <f t="shared" si="93"/>
        <v>0.15681804740885705</v>
      </c>
      <c r="X72" s="690">
        <f t="shared" si="93"/>
        <v>0.17244973270565708</v>
      </c>
      <c r="Y72" s="805">
        <f t="shared" si="93"/>
        <v>0.17265473145780047</v>
      </c>
      <c r="Z72" s="791">
        <f t="shared" si="93"/>
        <v>0.17676040176421437</v>
      </c>
      <c r="AA72" s="690">
        <f t="shared" si="93"/>
        <v>0.18385892873121359</v>
      </c>
      <c r="AB72" s="690">
        <f t="shared" si="93"/>
        <v>0.2076212272766863</v>
      </c>
      <c r="AC72" s="690">
        <f t="shared" si="93"/>
        <v>0.21651218329180891</v>
      </c>
      <c r="AD72" s="690">
        <f t="shared" si="93"/>
        <v>0.192178164927059</v>
      </c>
      <c r="AE72" s="744"/>
      <c r="AF72" s="690"/>
      <c r="AG72" s="690">
        <f>+AG70/AG$12</f>
        <v>0.2369024533509281</v>
      </c>
      <c r="AH72" s="690">
        <f>+AH70/AH$12</f>
        <v>0.21535371421397942</v>
      </c>
      <c r="AI72" s="690">
        <f>+AI70/AI$12</f>
        <v>0.22839952390151499</v>
      </c>
      <c r="AJ72" s="690">
        <f>+AJ70/AJ$12</f>
        <v>0.22783268256166678</v>
      </c>
      <c r="AK72" s="805">
        <f t="shared" ref="AK72:AM72" si="94">+AK70/AK$12</f>
        <v>0.20895725640598067</v>
      </c>
      <c r="AL72" s="690">
        <f t="shared" si="94"/>
        <v>0.16968039945114483</v>
      </c>
      <c r="AM72" s="690">
        <f t="shared" si="94"/>
        <v>0.2005409401473511</v>
      </c>
    </row>
    <row r="73" spans="1:41" ht="12" hidden="1" outlineLevel="1" x14ac:dyDescent="0.3">
      <c r="A73" s="798" t="s">
        <v>236</v>
      </c>
      <c r="C73" s="806"/>
      <c r="D73" s="806"/>
      <c r="E73" s="806"/>
      <c r="F73" s="807"/>
      <c r="G73" s="806">
        <f t="shared" ref="G73:V73" si="95">IF(OR(G70&lt;0,C70&lt;0),"NM",(G70-C70)/(G$12-C$12))</f>
        <v>0.22878970647366301</v>
      </c>
      <c r="H73" s="806">
        <f t="shared" si="95"/>
        <v>0.15894593038353408</v>
      </c>
      <c r="I73" s="806">
        <f t="shared" si="95"/>
        <v>0.3659566048934908</v>
      </c>
      <c r="J73" s="807">
        <f t="shared" si="95"/>
        <v>0.434266327396098</v>
      </c>
      <c r="K73" s="806">
        <f t="shared" si="95"/>
        <v>0.4298289486846058</v>
      </c>
      <c r="L73" s="806">
        <f t="shared" si="95"/>
        <v>0.45507864946224486</v>
      </c>
      <c r="M73" s="806">
        <f t="shared" si="95"/>
        <v>-8.4092002694640136E-2</v>
      </c>
      <c r="N73" s="807">
        <f t="shared" si="95"/>
        <v>0.27476399414971386</v>
      </c>
      <c r="O73" s="806">
        <f t="shared" si="95"/>
        <v>0.12588874947720632</v>
      </c>
      <c r="P73" s="806">
        <f t="shared" si="95"/>
        <v>9.0158441951450535E-2</v>
      </c>
      <c r="Q73" s="806">
        <f t="shared" si="95"/>
        <v>0.70903099993275609</v>
      </c>
      <c r="R73" s="806">
        <f t="shared" si="95"/>
        <v>1.021569156106753</v>
      </c>
      <c r="S73" s="997">
        <f t="shared" si="95"/>
        <v>0.39502283824224416</v>
      </c>
      <c r="T73" s="806">
        <f t="shared" si="95"/>
        <v>0.64509765239692385</v>
      </c>
      <c r="U73" s="806">
        <f t="shared" si="95"/>
        <v>0.48214381038808607</v>
      </c>
      <c r="V73" s="806">
        <f t="shared" si="95"/>
        <v>0.92460317460325447</v>
      </c>
      <c r="W73" s="997">
        <f t="shared" ref="W73" si="96">IF(OR(W70&lt;0,S70&lt;0),"NM",(W70-S70)/(W$12-S$12))</f>
        <v>-1.2407434944237921</v>
      </c>
      <c r="X73" s="806">
        <f t="shared" ref="X73" si="97">IF(OR(X70&lt;0,T70&lt;0),"NM",(X70-T70)/(X$12-T$12))</f>
        <v>-0.59720031545741392</v>
      </c>
      <c r="Y73" s="808">
        <f t="shared" ref="Y73" si="98">IF(OR(Y70&lt;0,U70&lt;0),"NM",(Y70-U70)/(Y$12-U$12))</f>
        <v>-0.26911745011383459</v>
      </c>
      <c r="Z73" s="807">
        <f t="shared" ref="Z73" si="99">IF(OR(Z70&lt;0,V70&lt;0),"NM",(Z70-V70)/(Z$12-V$12))</f>
        <v>-0.39157109496585579</v>
      </c>
      <c r="AA73" s="806">
        <f t="shared" ref="AA73" si="100">IF(OR(AA70&lt;0,W70&lt;0),"NM",(AA70-W70)/(AA$12-W$12))</f>
        <v>1.0056138992797368</v>
      </c>
      <c r="AB73" s="806">
        <f t="shared" ref="AB73" si="101">IF(OR(AB70&lt;0,X70&lt;0),"NM",(AB70-X70)/(AB$12-X$12))</f>
        <v>0.95490937141278853</v>
      </c>
      <c r="AC73" s="806">
        <f t="shared" ref="AC73" si="102">IF(OR(AC70&lt;0,Y70&lt;0),"NM",(AC70-Y70)/(AC$12-Y$12))</f>
        <v>0.89535125844914387</v>
      </c>
      <c r="AD73" s="806">
        <f t="shared" ref="AD73" si="103">IF(OR(AD70&lt;0,Z70&lt;0),"NM",(AD70-Z70)/(AD$12-Z$12))</f>
        <v>0.37849884993225724</v>
      </c>
      <c r="AE73" s="744"/>
      <c r="AF73" s="806"/>
      <c r="AG73" s="806"/>
      <c r="AH73" s="806">
        <f>IF(OR(AH70&lt;0,AG70&lt;0),"NM",(AH70-AG70)/(AH$12-AG$12))</f>
        <v>0.46411072150105587</v>
      </c>
      <c r="AI73" s="806">
        <f>IF(OR(AI70&lt;0,AH70&lt;0),"NM",(AI70-AH70)/(AI$12-AH$12))</f>
        <v>0.25993579334614653</v>
      </c>
      <c r="AJ73" s="806">
        <f>IF(OR(AJ70&lt;0,AI70&lt;0),"NM",(AJ70-AI70)/(AJ$12-AI$12))</f>
        <v>0.22491953434002082</v>
      </c>
      <c r="AK73" s="808">
        <f t="shared" ref="AK73" si="104">IF(OR(AK70&lt;0,AJ70&lt;0),"NM",(AK70-AJ70)/(AK$12-AJ$12))</f>
        <v>0.51597301769123105</v>
      </c>
      <c r="AL73" s="806">
        <f t="shared" ref="AL73" si="105">IF(OR(AL70&lt;0,AK70&lt;0),"NM",(AL70-AK70)/(AL$12-AK$12))</f>
        <v>-0.54178963767997645</v>
      </c>
      <c r="AM73" s="806">
        <f t="shared" ref="AM73" si="106">IF(OR(AM70&lt;0,AL70&lt;0),"NM",(AM70-AL70)/(AM$12-AL$12))</f>
        <v>0.74726158844665147</v>
      </c>
    </row>
    <row r="74" spans="1:41" ht="13" collapsed="1" x14ac:dyDescent="0.4">
      <c r="A74" s="512"/>
      <c r="B74" s="470"/>
      <c r="C74" s="755"/>
      <c r="D74" s="755"/>
      <c r="E74" s="755"/>
      <c r="F74" s="756"/>
      <c r="G74" s="755"/>
      <c r="H74" s="755"/>
      <c r="I74" s="755"/>
      <c r="J74" s="758"/>
      <c r="K74" s="755"/>
      <c r="L74" s="755"/>
      <c r="M74" s="755"/>
      <c r="N74" s="758"/>
      <c r="O74" s="755"/>
      <c r="P74" s="755"/>
      <c r="Q74" s="755"/>
      <c r="R74" s="757"/>
      <c r="S74" s="987"/>
      <c r="T74" s="757"/>
      <c r="U74" s="806"/>
      <c r="V74" s="803"/>
      <c r="W74" s="996"/>
      <c r="X74" s="690"/>
      <c r="Y74" s="804"/>
      <c r="Z74" s="823"/>
      <c r="AA74" s="803"/>
      <c r="AB74" s="803"/>
      <c r="AC74" s="803"/>
      <c r="AD74" s="803"/>
      <c r="AE74" s="803"/>
      <c r="AF74" s="755"/>
      <c r="AG74" s="755"/>
      <c r="AH74" s="755"/>
      <c r="AI74" s="755"/>
      <c r="AJ74" s="747"/>
      <c r="AK74" s="746"/>
      <c r="AL74" s="747"/>
      <c r="AM74" s="747"/>
    </row>
    <row r="75" spans="1:41" x14ac:dyDescent="0.25">
      <c r="A75" s="512" t="s">
        <v>40</v>
      </c>
      <c r="C75" s="744"/>
      <c r="D75" s="744"/>
      <c r="E75" s="744"/>
      <c r="F75" s="745"/>
      <c r="G75" s="744"/>
      <c r="H75" s="744"/>
      <c r="I75" s="744">
        <f>+'STER - Detailed Disclosure (mm)'!I187*-1+'STER - Detailed Disclosure (mm)'!I188*-1</f>
        <v>3.5389999999999997</v>
      </c>
      <c r="J75" s="745">
        <f>+'STER - Detailed Disclosure (mm)'!J187*-1+'STER - Detailed Disclosure (mm)'!J188*-1</f>
        <v>3.4170000000000007</v>
      </c>
      <c r="K75" s="744">
        <f>+'STER - Detailed Disclosure (mm)'!K187*-1+'STER - Detailed Disclosure (mm)'!K188*-1</f>
        <v>4.1849999999999996</v>
      </c>
      <c r="L75" s="744">
        <f>+'STER - Detailed Disclosure (mm)'!L187*-1+'STER - Detailed Disclosure (mm)'!L188*-1</f>
        <v>5.1099999999999994</v>
      </c>
      <c r="M75" s="744">
        <f>+'STER - Detailed Disclosure (mm)'!M187*-1+'STER - Detailed Disclosure (mm)'!M188*-1</f>
        <v>5.3109999999999999</v>
      </c>
      <c r="N75" s="745">
        <f>+'STER - Detailed Disclosure (mm)'!N187*-1+'STER - Detailed Disclosure (mm)'!N188*-1</f>
        <v>4.4879999999999995</v>
      </c>
      <c r="O75" s="744">
        <f>+'STER - Detailed Disclosure (mm)'!O187*-1+'STER - Detailed Disclosure (mm)'!O188*-1</f>
        <v>5.2370000000000001</v>
      </c>
      <c r="P75" s="744">
        <f>+'STER - Detailed Disclosure (mm)'!P187*-1+'STER - Detailed Disclosure (mm)'!P188*-1</f>
        <v>5.6449999999999996</v>
      </c>
      <c r="Q75" s="744">
        <f>+'STER - Detailed Disclosure (mm)'!Q187*-1+'STER - Detailed Disclosure (mm)'!Q188*-1</f>
        <v>4.8149999999999995</v>
      </c>
      <c r="R75" s="736">
        <f>+'STER - Detailed Disclosure (mm)'!R187*-1+'STER - Detailed Disclosure (mm)'!R188*-1</f>
        <v>4.49</v>
      </c>
      <c r="S75" s="986">
        <f>+'STER - Detailed Disclosure (mm)'!S187*-1+'STER - Detailed Disclosure (mm)'!S188*-1</f>
        <v>4.26</v>
      </c>
      <c r="T75" s="736">
        <f>+'STER - Detailed Disclosure (mm)'!T187*-1+'STER - Detailed Disclosure (mm)'!T188*-1</f>
        <v>4.9220000000000006</v>
      </c>
      <c r="U75" s="736">
        <f>+'STER - Detailed Disclosure (mm)'!U187*-1+'STER - Detailed Disclosure (mm)'!U188*-1</f>
        <v>5.5590000000000002</v>
      </c>
      <c r="V75" s="744">
        <f>+'STER - Detailed Disclosure (mm)'!V187*-1+'STER - Detailed Disclosure (mm)'!V188*-1</f>
        <v>5.6209999999999987</v>
      </c>
      <c r="W75" s="985">
        <f>+'STER - Detailed Disclosure (mm)'!W187*-1+'STER - Detailed Disclosure (mm)'!W188*-1</f>
        <v>5.62</v>
      </c>
      <c r="X75" s="744">
        <f>+'STER - Detailed Disclosure (mm)'!X187*-1+'STER - Detailed Disclosure (mm)'!X188*-1</f>
        <v>5.7280000000000006</v>
      </c>
      <c r="Y75" s="1007">
        <v>5.2</v>
      </c>
      <c r="Z75" s="745">
        <f t="shared" ref="Z75:AD75" si="107">+Z76*Z12</f>
        <v>5.1412226536206411</v>
      </c>
      <c r="AA75" s="744">
        <f t="shared" si="107"/>
        <v>5.8049331716608954</v>
      </c>
      <c r="AB75" s="744">
        <f t="shared" si="107"/>
        <v>5.9975912179039792</v>
      </c>
      <c r="AC75" s="744">
        <f t="shared" si="107"/>
        <v>5.5359540690611935</v>
      </c>
      <c r="AD75" s="744">
        <f t="shared" si="107"/>
        <v>5.566651280821981</v>
      </c>
      <c r="AE75" s="744"/>
      <c r="AF75" s="744"/>
      <c r="AG75" s="744">
        <f>+'STER - Detailed Disclosure (mm)'!AQ187*-1+'STER - Detailed Disclosure (mm)'!AQ188*-1</f>
        <v>31.882999999999999</v>
      </c>
      <c r="AH75" s="744">
        <f>+'STER - Detailed Disclosure (mm)'!AR187*-1+'STER - Detailed Disclosure (mm)'!AR188*-1</f>
        <v>16.502000000000002</v>
      </c>
      <c r="AI75" s="744">
        <f>+'STER - Detailed Disclosure (mm)'!AS187*-1+'STER - Detailed Disclosure (mm)'!AS188*-1</f>
        <v>19.094000000000001</v>
      </c>
      <c r="AJ75" s="744">
        <f>+SUM(O75:R75)</f>
        <v>20.186999999999998</v>
      </c>
      <c r="AK75" s="792">
        <f>SUM(S75:V75)</f>
        <v>20.361999999999998</v>
      </c>
      <c r="AL75" s="744">
        <f>+SUM(W75:Z75)</f>
        <v>21.689222653620643</v>
      </c>
      <c r="AM75" s="744">
        <f>+SUM(AA75:AD75)</f>
        <v>22.90512973944805</v>
      </c>
    </row>
    <row r="76" spans="1:41" ht="12" x14ac:dyDescent="0.3">
      <c r="A76" s="778" t="s">
        <v>33</v>
      </c>
      <c r="C76" s="744"/>
      <c r="D76" s="744"/>
      <c r="E76" s="744"/>
      <c r="F76" s="745"/>
      <c r="G76" s="689"/>
      <c r="H76" s="689"/>
      <c r="I76" s="689">
        <f t="shared" ref="I76:Y76" si="108">+I75/I$12</f>
        <v>3.0093025628815835E-2</v>
      </c>
      <c r="J76" s="779">
        <f t="shared" si="108"/>
        <v>2.6590818891387751E-2</v>
      </c>
      <c r="K76" s="689">
        <f t="shared" si="108"/>
        <v>3.0027983066657098E-2</v>
      </c>
      <c r="L76" s="689">
        <f t="shared" si="108"/>
        <v>3.2072203253665388E-2</v>
      </c>
      <c r="M76" s="689">
        <f t="shared" si="108"/>
        <v>3.132280000235909E-2</v>
      </c>
      <c r="N76" s="779">
        <f t="shared" si="108"/>
        <v>2.5848216599761557E-2</v>
      </c>
      <c r="O76" s="689">
        <f t="shared" si="108"/>
        <v>2.7280020002917092E-2</v>
      </c>
      <c r="P76" s="689">
        <f t="shared" si="108"/>
        <v>2.7457427611130833E-2</v>
      </c>
      <c r="Q76" s="689">
        <f t="shared" si="108"/>
        <v>2.4159679677268824E-2</v>
      </c>
      <c r="R76" s="799">
        <f t="shared" si="108"/>
        <v>2.6424199623352174E-2</v>
      </c>
      <c r="S76" s="994">
        <f t="shared" si="108"/>
        <v>2.3762508785434584E-2</v>
      </c>
      <c r="T76" s="799">
        <f t="shared" si="108"/>
        <v>2.5853012858223383E-2</v>
      </c>
      <c r="U76" s="799">
        <f t="shared" si="108"/>
        <v>3.0786526810141445E-2</v>
      </c>
      <c r="V76" s="799">
        <f t="shared" si="108"/>
        <v>3.3178684421778348E-2</v>
      </c>
      <c r="W76" s="994">
        <f t="shared" si="108"/>
        <v>3.0215216210839845E-2</v>
      </c>
      <c r="X76" s="799">
        <f t="shared" si="108"/>
        <v>2.8564589483762871E-2</v>
      </c>
      <c r="Y76" s="1456">
        <f t="shared" si="108"/>
        <v>2.6598465473145781E-2</v>
      </c>
      <c r="Z76" s="1496">
        <f>+Y76+V76-U76</f>
        <v>2.8990623084782684E-2</v>
      </c>
      <c r="AA76" s="795">
        <f>+W76</f>
        <v>3.0215216210839845E-2</v>
      </c>
      <c r="AB76" s="795">
        <f t="shared" ref="AB76:AD76" si="109">+X76</f>
        <v>2.8564589483762871E-2</v>
      </c>
      <c r="AC76" s="795">
        <f t="shared" si="109"/>
        <v>2.6598465473145781E-2</v>
      </c>
      <c r="AD76" s="795">
        <f t="shared" si="109"/>
        <v>2.8990623084782684E-2</v>
      </c>
      <c r="AE76" s="744"/>
      <c r="AF76" s="689"/>
      <c r="AG76" s="689">
        <f t="shared" ref="AG76:AM76" si="110">+AG75/AG$12</f>
        <v>6.4135936079305428E-2</v>
      </c>
      <c r="AH76" s="689">
        <f t="shared" si="110"/>
        <v>3.6343774845667802E-2</v>
      </c>
      <c r="AI76" s="689">
        <f t="shared" si="110"/>
        <v>2.9746807834437377E-2</v>
      </c>
      <c r="AJ76" s="689">
        <f t="shared" si="110"/>
        <v>2.6326909082372823E-2</v>
      </c>
      <c r="AK76" s="781">
        <f t="shared" si="110"/>
        <v>2.829470290700906E-2</v>
      </c>
      <c r="AL76" s="689">
        <f t="shared" si="110"/>
        <v>2.8562207042855364E-2</v>
      </c>
      <c r="AM76" s="689">
        <f t="shared" si="110"/>
        <v>2.8551765493387758E-2</v>
      </c>
    </row>
    <row r="77" spans="1:41" ht="12" x14ac:dyDescent="0.3">
      <c r="A77" s="505"/>
      <c r="B77" s="470"/>
      <c r="C77" s="744"/>
      <c r="D77" s="744"/>
      <c r="E77" s="744"/>
      <c r="F77" s="745"/>
      <c r="G77" s="744"/>
      <c r="H77" s="744"/>
      <c r="I77" s="744"/>
      <c r="J77" s="745"/>
      <c r="K77" s="744"/>
      <c r="L77" s="744"/>
      <c r="M77" s="744"/>
      <c r="N77" s="745"/>
      <c r="O77" s="744"/>
      <c r="P77" s="744"/>
      <c r="Q77" s="744"/>
      <c r="R77" s="736"/>
      <c r="S77" s="986"/>
      <c r="T77" s="736"/>
      <c r="U77" s="806"/>
      <c r="V77" s="744"/>
      <c r="W77" s="985"/>
      <c r="X77" s="744"/>
      <c r="Y77" s="792"/>
      <c r="Z77" s="745"/>
      <c r="AA77" s="744"/>
      <c r="AB77" s="744"/>
      <c r="AC77" s="744"/>
      <c r="AD77" s="744"/>
      <c r="AE77" s="744"/>
      <c r="AF77" s="744"/>
      <c r="AG77" s="744"/>
      <c r="AH77" s="744"/>
      <c r="AI77" s="744"/>
      <c r="AJ77" s="744"/>
      <c r="AK77" s="792"/>
      <c r="AL77" s="744"/>
      <c r="AM77" s="744"/>
    </row>
    <row r="78" spans="1:41" s="813" customFormat="1" x14ac:dyDescent="0.25">
      <c r="A78" s="513" t="s">
        <v>42</v>
      </c>
      <c r="B78" s="811"/>
      <c r="C78" s="767"/>
      <c r="D78" s="767"/>
      <c r="E78" s="767"/>
      <c r="F78" s="768"/>
      <c r="G78" s="767"/>
      <c r="H78" s="767"/>
      <c r="I78" s="767">
        <f t="shared" ref="I78:AD78" si="111">+I70-I75</f>
        <v>26.546999999999997</v>
      </c>
      <c r="J78" s="768">
        <f t="shared" si="111"/>
        <v>22.888999999999999</v>
      </c>
      <c r="K78" s="767">
        <f t="shared" si="111"/>
        <v>31.721000000000007</v>
      </c>
      <c r="L78" s="767">
        <f t="shared" si="111"/>
        <v>41.168000000000056</v>
      </c>
      <c r="M78" s="767">
        <f t="shared" si="111"/>
        <v>20.40599999999997</v>
      </c>
      <c r="N78" s="768">
        <f t="shared" si="111"/>
        <v>34.216999999999992</v>
      </c>
      <c r="O78" s="767">
        <f t="shared" si="111"/>
        <v>37.291000000000011</v>
      </c>
      <c r="P78" s="767">
        <f t="shared" si="111"/>
        <v>44.804000000000016</v>
      </c>
      <c r="Q78" s="767">
        <f t="shared" si="111"/>
        <v>41.990000000000016</v>
      </c>
      <c r="R78" s="762">
        <f t="shared" si="111"/>
        <v>30.425999999999981</v>
      </c>
      <c r="S78" s="988">
        <f t="shared" si="111"/>
        <v>33.251999999999995</v>
      </c>
      <c r="T78" s="762">
        <f t="shared" si="111"/>
        <v>35.716999999999999</v>
      </c>
      <c r="U78" s="762">
        <f t="shared" si="111"/>
        <v>32.213999999999999</v>
      </c>
      <c r="V78" s="767">
        <f t="shared" si="111"/>
        <v>28.828999999999926</v>
      </c>
      <c r="W78" s="993">
        <f t="shared" si="111"/>
        <v>23.547999999999998</v>
      </c>
      <c r="X78" s="767">
        <f t="shared" si="111"/>
        <v>28.853000000000002</v>
      </c>
      <c r="Y78" s="812">
        <f t="shared" si="111"/>
        <v>28.553999999999991</v>
      </c>
      <c r="Z78" s="768">
        <f t="shared" si="111"/>
        <v>26.205622812777069</v>
      </c>
      <c r="AA78" s="767">
        <f t="shared" si="111"/>
        <v>29.517958011721188</v>
      </c>
      <c r="AB78" s="767">
        <f t="shared" si="111"/>
        <v>37.595797375092651</v>
      </c>
      <c r="AC78" s="767">
        <f t="shared" si="111"/>
        <v>39.526852403956546</v>
      </c>
      <c r="AD78" s="767">
        <f t="shared" si="111"/>
        <v>31.334550352845845</v>
      </c>
      <c r="AE78" s="777"/>
      <c r="AF78" s="767"/>
      <c r="AG78" s="767">
        <f>+AG70-AG75</f>
        <v>85.884999999999991</v>
      </c>
      <c r="AH78" s="767">
        <f>+AH70-AH75</f>
        <v>81.28</v>
      </c>
      <c r="AI78" s="767">
        <f>+AI70-AI75</f>
        <v>127.51200000000006</v>
      </c>
      <c r="AJ78" s="767">
        <f>+AJ70-AJ75</f>
        <v>154.51099999999997</v>
      </c>
      <c r="AK78" s="812">
        <f>+AK70-AK75</f>
        <v>130.01199999999994</v>
      </c>
      <c r="AL78" s="767">
        <f t="shared" ref="AL78" si="112">+AL70-AL75</f>
        <v>107.16062281277706</v>
      </c>
      <c r="AM78" s="767">
        <f>+SUM(AA78:AD78)</f>
        <v>137.97515814361623</v>
      </c>
    </row>
    <row r="79" spans="1:41" s="813" customFormat="1" x14ac:dyDescent="0.25">
      <c r="A79" s="814" t="s">
        <v>29</v>
      </c>
      <c r="B79" s="811"/>
      <c r="C79" s="769"/>
      <c r="D79" s="769"/>
      <c r="E79" s="769"/>
      <c r="F79" s="770"/>
      <c r="G79" s="777"/>
      <c r="H79" s="777"/>
      <c r="I79" s="777"/>
      <c r="J79" s="815"/>
      <c r="K79" s="777"/>
      <c r="L79" s="777"/>
      <c r="M79" s="777">
        <f t="shared" ref="M79:AD79" si="113">IF(OR(M78&lt;0, I78&lt;0), "NM", M78/I78-1)</f>
        <v>-0.23132557351113225</v>
      </c>
      <c r="N79" s="815">
        <f t="shared" si="113"/>
        <v>0.49491021888243236</v>
      </c>
      <c r="O79" s="777">
        <f t="shared" si="113"/>
        <v>0.17559345543961413</v>
      </c>
      <c r="P79" s="777">
        <f t="shared" si="113"/>
        <v>8.8321026039641426E-2</v>
      </c>
      <c r="Q79" s="777">
        <f t="shared" si="113"/>
        <v>1.0577281191806369</v>
      </c>
      <c r="R79" s="775">
        <f t="shared" si="113"/>
        <v>-0.11079288073180038</v>
      </c>
      <c r="S79" s="998">
        <f t="shared" si="113"/>
        <v>-0.10831031616207698</v>
      </c>
      <c r="T79" s="775">
        <f t="shared" si="113"/>
        <v>-0.20281671279350089</v>
      </c>
      <c r="U79" s="775">
        <f t="shared" si="113"/>
        <v>-0.23281733746130062</v>
      </c>
      <c r="V79" s="777">
        <f t="shared" si="113"/>
        <v>-5.2488003681064099E-2</v>
      </c>
      <c r="W79" s="1416">
        <f t="shared" si="113"/>
        <v>-0.29183207025141344</v>
      </c>
      <c r="X79" s="777">
        <f t="shared" si="113"/>
        <v>-0.19217739451801652</v>
      </c>
      <c r="Y79" s="776">
        <f t="shared" si="113"/>
        <v>-0.11361519836096134</v>
      </c>
      <c r="Z79" s="815">
        <f t="shared" si="113"/>
        <v>-9.0997855882023804E-2</v>
      </c>
      <c r="AA79" s="777">
        <f t="shared" si="113"/>
        <v>0.25352293238156909</v>
      </c>
      <c r="AB79" s="777">
        <f t="shared" si="113"/>
        <v>0.30301172755320582</v>
      </c>
      <c r="AC79" s="777">
        <f t="shared" si="113"/>
        <v>0.38428424752947254</v>
      </c>
      <c r="AD79" s="777">
        <f t="shared" si="113"/>
        <v>0.19571858973594281</v>
      </c>
      <c r="AE79" s="769"/>
      <c r="AF79" s="777"/>
      <c r="AG79" s="777"/>
      <c r="AH79" s="777">
        <f t="shared" ref="AH79:AM79" si="114">IF(OR(AH78&lt;0, AG78&lt;0), "NM", AH78/AG78-1)</f>
        <v>-5.3618210397624599E-2</v>
      </c>
      <c r="AI79" s="777">
        <f t="shared" si="114"/>
        <v>0.56879921259842581</v>
      </c>
      <c r="AJ79" s="777">
        <f t="shared" si="114"/>
        <v>0.21173693456302067</v>
      </c>
      <c r="AK79" s="776">
        <f t="shared" si="114"/>
        <v>-0.15855829034826019</v>
      </c>
      <c r="AL79" s="777">
        <f t="shared" si="114"/>
        <v>-0.17576360018477444</v>
      </c>
      <c r="AM79" s="777">
        <f t="shared" si="114"/>
        <v>0.28755464947862408</v>
      </c>
    </row>
    <row r="80" spans="1:41" s="813" customFormat="1" x14ac:dyDescent="0.25">
      <c r="A80" s="814" t="s">
        <v>33</v>
      </c>
      <c r="B80" s="811"/>
      <c r="C80" s="769"/>
      <c r="D80" s="769"/>
      <c r="E80" s="769"/>
      <c r="F80" s="770"/>
      <c r="G80" s="769"/>
      <c r="H80" s="769"/>
      <c r="I80" s="769">
        <f t="shared" ref="I80:AD80" si="115">+I78/I$12</f>
        <v>0.22573595687148176</v>
      </c>
      <c r="J80" s="770">
        <f t="shared" si="115"/>
        <v>0.17812035516680541</v>
      </c>
      <c r="K80" s="769">
        <f t="shared" si="115"/>
        <v>0.22760278395637515</v>
      </c>
      <c r="L80" s="769">
        <f t="shared" si="115"/>
        <v>0.25838521791524438</v>
      </c>
      <c r="M80" s="769">
        <f t="shared" si="115"/>
        <v>0.12034890921636955</v>
      </c>
      <c r="N80" s="770">
        <f t="shared" si="115"/>
        <v>0.19706961394697883</v>
      </c>
      <c r="O80" s="769">
        <f t="shared" si="115"/>
        <v>0.19425228679182385</v>
      </c>
      <c r="P80" s="769">
        <f t="shared" si="115"/>
        <v>0.21792782758000115</v>
      </c>
      <c r="Q80" s="769">
        <f t="shared" si="115"/>
        <v>0.21068846306303601</v>
      </c>
      <c r="R80" s="773">
        <f t="shared" si="115"/>
        <v>0.17906073446327678</v>
      </c>
      <c r="S80" s="999">
        <f t="shared" si="115"/>
        <v>0.18548144181532178</v>
      </c>
      <c r="T80" s="773">
        <f t="shared" si="115"/>
        <v>0.18760505084460877</v>
      </c>
      <c r="U80" s="773">
        <f t="shared" si="115"/>
        <v>0.17840567991759246</v>
      </c>
      <c r="V80" s="769">
        <f t="shared" si="115"/>
        <v>0.17016692638239561</v>
      </c>
      <c r="W80" s="989">
        <f t="shared" si="115"/>
        <v>0.12660283119801718</v>
      </c>
      <c r="X80" s="769">
        <f t="shared" si="115"/>
        <v>0.14388514322189422</v>
      </c>
      <c r="Y80" s="772">
        <f t="shared" si="115"/>
        <v>0.14605626598465468</v>
      </c>
      <c r="Z80" s="770">
        <f t="shared" si="115"/>
        <v>0.1477697786794317</v>
      </c>
      <c r="AA80" s="769">
        <f t="shared" si="115"/>
        <v>0.15364371252037373</v>
      </c>
      <c r="AB80" s="769">
        <f t="shared" si="115"/>
        <v>0.17905663779292344</v>
      </c>
      <c r="AC80" s="769">
        <f t="shared" si="115"/>
        <v>0.18991371781866315</v>
      </c>
      <c r="AD80" s="769">
        <f t="shared" si="115"/>
        <v>0.16318754184227632</v>
      </c>
      <c r="AE80" s="769"/>
      <c r="AF80" s="769"/>
      <c r="AG80" s="769">
        <f t="shared" ref="AG80:AM80" si="116">+AG78/AG$12</f>
        <v>0.17276651727162268</v>
      </c>
      <c r="AH80" s="769">
        <f t="shared" si="116"/>
        <v>0.17900993936831164</v>
      </c>
      <c r="AI80" s="769">
        <f t="shared" si="116"/>
        <v>0.19865271606707763</v>
      </c>
      <c r="AJ80" s="769">
        <f t="shared" si="116"/>
        <v>0.20150577347929394</v>
      </c>
      <c r="AK80" s="772">
        <f t="shared" si="116"/>
        <v>0.18066255349897165</v>
      </c>
      <c r="AL80" s="769">
        <f t="shared" si="116"/>
        <v>0.14111819240828946</v>
      </c>
      <c r="AM80" s="769">
        <f t="shared" si="116"/>
        <v>0.17198917465396335</v>
      </c>
    </row>
    <row r="81" spans="1:39" s="817" customFormat="1" ht="12" x14ac:dyDescent="0.3">
      <c r="A81" s="798"/>
      <c r="B81" s="816"/>
      <c r="C81" s="767"/>
      <c r="D81" s="689"/>
      <c r="E81" s="750"/>
      <c r="F81" s="745"/>
      <c r="G81" s="689"/>
      <c r="H81" s="689"/>
      <c r="I81" s="736"/>
      <c r="J81" s="779"/>
      <c r="K81" s="689"/>
      <c r="L81" s="689"/>
      <c r="M81" s="736"/>
      <c r="N81" s="779"/>
      <c r="O81" s="767"/>
      <c r="P81" s="689"/>
      <c r="Q81" s="689"/>
      <c r="R81" s="799"/>
      <c r="S81" s="994"/>
      <c r="T81" s="799"/>
      <c r="U81" s="799"/>
      <c r="V81" s="799"/>
      <c r="W81" s="991"/>
      <c r="X81" s="689"/>
      <c r="Y81" s="781"/>
      <c r="Z81" s="779"/>
      <c r="AA81" s="689"/>
      <c r="AB81" s="689"/>
      <c r="AC81" s="689"/>
      <c r="AD81" s="689"/>
      <c r="AE81" s="689"/>
      <c r="AF81" s="689"/>
      <c r="AG81" s="689"/>
      <c r="AH81" s="689"/>
      <c r="AI81" s="689"/>
      <c r="AJ81" s="689"/>
      <c r="AK81" s="781"/>
      <c r="AL81" s="689"/>
      <c r="AM81" s="689"/>
    </row>
    <row r="82" spans="1:39" s="820" customFormat="1" ht="13.5" x14ac:dyDescent="0.45">
      <c r="A82" s="794" t="s">
        <v>43</v>
      </c>
      <c r="B82" s="818"/>
      <c r="C82" s="757"/>
      <c r="D82" s="757"/>
      <c r="E82" s="757">
        <f>+'STER - Detailed Disclosure (mm)'!E61-'STER - Detailed Disclosure (mm)'!E77</f>
        <v>7.1050000000000004</v>
      </c>
      <c r="F82" s="758">
        <f>+'STER - Detailed Disclosure (mm)'!F61-'STER - Detailed Disclosure (mm)'!F77</f>
        <v>7.4930000000000021</v>
      </c>
      <c r="G82" s="757">
        <f>+'STER - Detailed Disclosure (mm)'!G61-'STER - Detailed Disclosure (mm)'!G77</f>
        <v>7.8459999999999983</v>
      </c>
      <c r="H82" s="757">
        <f>+'STER - Detailed Disclosure (mm)'!H61-'STER - Detailed Disclosure (mm)'!H77</f>
        <v>7.5609999999999999</v>
      </c>
      <c r="I82" s="757">
        <f>+'STER - Detailed Disclosure (mm)'!I61-'STER - Detailed Disclosure (mm)'!I77</f>
        <v>7.7439999999999998</v>
      </c>
      <c r="J82" s="758">
        <f>+'STER - Detailed Disclosure (mm)'!J61-'STER - Detailed Disclosure (mm)'!J77</f>
        <v>7.702</v>
      </c>
      <c r="K82" s="757">
        <f>+'STER - Detailed Disclosure (mm)'!K61-'STER - Detailed Disclosure (mm)'!K77</f>
        <v>7.2859999999999996</v>
      </c>
      <c r="L82" s="757">
        <f>+'STER - Detailed Disclosure (mm)'!L61-'STER - Detailed Disclosure (mm)'!L77</f>
        <v>7.2929999999999993</v>
      </c>
      <c r="M82" s="757">
        <f>+'STER - Detailed Disclosure (mm)'!M61-'STER - Detailed Disclosure (mm)'!M77</f>
        <v>7.3840000000000003</v>
      </c>
      <c r="N82" s="758">
        <f>+'STER - Detailed Disclosure (mm)'!N61-'STER - Detailed Disclosure (mm)'!N77</f>
        <v>7.3259999999999987</v>
      </c>
      <c r="O82" s="757">
        <f>+'STER - Detailed Disclosure (mm)'!O61-'STER - Detailed Disclosure (mm)'!O77</f>
        <v>6.3919999999999995</v>
      </c>
      <c r="P82" s="757">
        <f>+'STER - Detailed Disclosure (mm)'!P61-'STER - Detailed Disclosure (mm)'!P77</f>
        <v>6.5090000000000003</v>
      </c>
      <c r="Q82" s="757">
        <f>+'STER - Detailed Disclosure (mm)'!Q61-'STER - Detailed Disclosure (mm)'!Q77</f>
        <v>5.6669999999999998</v>
      </c>
      <c r="R82" s="757">
        <f>+'STER - Detailed Disclosure (mm)'!R61-'STER - Detailed Disclosure (mm)'!R77</f>
        <v>5.7890000000000015</v>
      </c>
      <c r="S82" s="987">
        <f>+'STER - Detailed Disclosure (mm)'!S61-'STER - Detailed Disclosure (mm)'!S77</f>
        <v>5.0609999999999999</v>
      </c>
      <c r="T82" s="757">
        <f>+'STER - Detailed Disclosure (mm)'!T61-'STER - Detailed Disclosure (mm)'!T77</f>
        <v>5.495000000000001</v>
      </c>
      <c r="U82" s="757">
        <f>+'STER - Detailed Disclosure (mm)'!U61-'STER - Detailed Disclosure (mm)'!U77</f>
        <v>5.2539999999999996</v>
      </c>
      <c r="V82" s="757">
        <f>+'STER - Detailed Disclosure (mm)'!V61-'STER - Detailed Disclosure (mm)'!V77</f>
        <v>5.2849999999999966</v>
      </c>
      <c r="W82" s="987">
        <f>+'STER - Detailed Disclosure (mm)'!W61-'STER - Detailed Disclosure (mm)'!W77</f>
        <v>5.1389999999999993</v>
      </c>
      <c r="X82" s="757">
        <f>+'STER - Detailed Disclosure (mm)'!X61-'STER - Detailed Disclosure (mm)'!X77</f>
        <v>5.1330000000000009</v>
      </c>
      <c r="Y82" s="760">
        <f>+'STER - Detailed Disclosure (mm)'!Y61-'STER - Detailed Disclosure (mm)'!Y77</f>
        <v>5.1790000000000003</v>
      </c>
      <c r="Z82" s="1491">
        <f t="shared" ref="Z82:AD82" si="117">Y82+Y82-X82</f>
        <v>5.2249999999999996</v>
      </c>
      <c r="AA82" s="759">
        <f t="shared" si="117"/>
        <v>5.270999999999999</v>
      </c>
      <c r="AB82" s="759">
        <f t="shared" si="117"/>
        <v>5.3169999999999984</v>
      </c>
      <c r="AC82" s="759">
        <f t="shared" si="117"/>
        <v>5.3629999999999978</v>
      </c>
      <c r="AD82" s="759">
        <f t="shared" si="117"/>
        <v>5.4089999999999971</v>
      </c>
      <c r="AE82" s="819"/>
      <c r="AF82" s="757"/>
      <c r="AG82" s="757">
        <f>+'STER - Detailed Disclosure (mm)'!AQ61-'STER - Detailed Disclosure (mm)'!AQ77</f>
        <v>28.27300000000001</v>
      </c>
      <c r="AH82" s="757">
        <f>+'STER - Detailed Disclosure (mm)'!AR61-'STER - Detailed Disclosure (mm)'!AR77</f>
        <v>30.853000000000002</v>
      </c>
      <c r="AI82" s="757">
        <f>+'STER - Detailed Disclosure (mm)'!AS61-'STER - Detailed Disclosure (mm)'!AS77</f>
        <v>29.286999999999992</v>
      </c>
      <c r="AJ82" s="757">
        <f>SUM(O82:R82)</f>
        <v>24.356999999999999</v>
      </c>
      <c r="AK82" s="760">
        <f>SUM(S82:V82)</f>
        <v>21.094999999999999</v>
      </c>
      <c r="AL82" s="757">
        <f>+SUM(W82:Z82)</f>
        <v>20.676000000000002</v>
      </c>
      <c r="AM82" s="757">
        <f t="shared" ref="AM82:AM85" si="118">+SUM(AA82:AD82)</f>
        <v>21.359999999999992</v>
      </c>
    </row>
    <row r="83" spans="1:39" s="820" customFormat="1" ht="12" x14ac:dyDescent="0.3">
      <c r="A83" s="821" t="s">
        <v>237</v>
      </c>
      <c r="B83" s="818"/>
      <c r="C83" s="736"/>
      <c r="D83" s="736"/>
      <c r="E83" s="736">
        <f t="shared" ref="E83:AD83" si="119">+E70-E82</f>
        <v>28.529999999999998</v>
      </c>
      <c r="F83" s="752">
        <f t="shared" si="119"/>
        <v>15.740999999999996</v>
      </c>
      <c r="G83" s="736">
        <f t="shared" si="119"/>
        <v>19.466000000000001</v>
      </c>
      <c r="H83" s="736">
        <f t="shared" si="119"/>
        <v>6.5169999999999959</v>
      </c>
      <c r="I83" s="736">
        <f t="shared" si="119"/>
        <v>22.341999999999999</v>
      </c>
      <c r="J83" s="752">
        <f t="shared" si="119"/>
        <v>18.603999999999999</v>
      </c>
      <c r="K83" s="736">
        <f t="shared" si="119"/>
        <v>28.620000000000005</v>
      </c>
      <c r="L83" s="736">
        <f t="shared" si="119"/>
        <v>38.985000000000056</v>
      </c>
      <c r="M83" s="736">
        <f t="shared" si="119"/>
        <v>18.33299999999997</v>
      </c>
      <c r="N83" s="752">
        <f t="shared" si="119"/>
        <v>31.378999999999991</v>
      </c>
      <c r="O83" s="736">
        <f t="shared" si="119"/>
        <v>36.13600000000001</v>
      </c>
      <c r="P83" s="736">
        <f t="shared" si="119"/>
        <v>43.940000000000012</v>
      </c>
      <c r="Q83" s="736">
        <f t="shared" si="119"/>
        <v>41.138000000000012</v>
      </c>
      <c r="R83" s="736">
        <f t="shared" si="119"/>
        <v>29.126999999999981</v>
      </c>
      <c r="S83" s="986">
        <f t="shared" si="119"/>
        <v>32.450999999999993</v>
      </c>
      <c r="T83" s="736">
        <f t="shared" si="119"/>
        <v>35.143999999999991</v>
      </c>
      <c r="U83" s="736">
        <f t="shared" si="119"/>
        <v>32.518999999999998</v>
      </c>
      <c r="V83" s="736">
        <f t="shared" si="119"/>
        <v>29.164999999999928</v>
      </c>
      <c r="W83" s="986">
        <f t="shared" si="119"/>
        <v>24.029</v>
      </c>
      <c r="X83" s="736">
        <f t="shared" si="119"/>
        <v>29.448</v>
      </c>
      <c r="Y83" s="754">
        <f t="shared" si="119"/>
        <v>28.574999999999989</v>
      </c>
      <c r="Z83" s="752">
        <f t="shared" si="119"/>
        <v>26.121845466397708</v>
      </c>
      <c r="AA83" s="736">
        <f t="shared" si="119"/>
        <v>30.051891183382082</v>
      </c>
      <c r="AB83" s="736">
        <f t="shared" si="119"/>
        <v>38.276388592996632</v>
      </c>
      <c r="AC83" s="736">
        <f t="shared" si="119"/>
        <v>39.699806473017738</v>
      </c>
      <c r="AD83" s="736">
        <f t="shared" si="119"/>
        <v>31.492201633667825</v>
      </c>
      <c r="AE83" s="799"/>
      <c r="AF83" s="736"/>
      <c r="AG83" s="736">
        <f t="shared" ref="AG83:AL83" si="120">+AG70-AG82</f>
        <v>89.494999999999976</v>
      </c>
      <c r="AH83" s="736">
        <f t="shared" si="120"/>
        <v>66.929000000000002</v>
      </c>
      <c r="AI83" s="736">
        <f t="shared" si="120"/>
        <v>117.31900000000006</v>
      </c>
      <c r="AJ83" s="736">
        <f t="shared" si="120"/>
        <v>150.34099999999998</v>
      </c>
      <c r="AK83" s="754">
        <f t="shared" si="120"/>
        <v>129.27899999999994</v>
      </c>
      <c r="AL83" s="736">
        <f t="shared" si="120"/>
        <v>108.17384546639771</v>
      </c>
      <c r="AM83" s="736">
        <f t="shared" si="118"/>
        <v>139.52028788306427</v>
      </c>
    </row>
    <row r="84" spans="1:39" s="820" customFormat="1" ht="13.5" x14ac:dyDescent="0.45">
      <c r="A84" s="794" t="s">
        <v>44</v>
      </c>
      <c r="B84" s="818"/>
      <c r="C84" s="757"/>
      <c r="D84" s="757"/>
      <c r="E84" s="757">
        <f>+'STER - Detailed Disclosure (mm)'!E21</f>
        <v>9.7840000000000007</v>
      </c>
      <c r="F84" s="758">
        <f>+'STER - Detailed Disclosure (mm)'!F21</f>
        <v>9.1989999999999998</v>
      </c>
      <c r="G84" s="757">
        <f>+'STER - Detailed Disclosure (mm)'!G21</f>
        <v>9.0559999999999992</v>
      </c>
      <c r="H84" s="757">
        <f>+'STER - Detailed Disclosure (mm)'!H21</f>
        <v>8.2370000000000001</v>
      </c>
      <c r="I84" s="757">
        <f>+'STER - Detailed Disclosure (mm)'!I21</f>
        <v>7.8170000000000002</v>
      </c>
      <c r="J84" s="758">
        <f>+'STER - Detailed Disclosure (mm)'!J21</f>
        <v>7.8369999999999997</v>
      </c>
      <c r="K84" s="757">
        <f>+'STER - Detailed Disclosure (mm)'!K21</f>
        <v>7.57</v>
      </c>
      <c r="L84" s="757">
        <f>+'STER - Detailed Disclosure (mm)'!L21</f>
        <v>7.6029999999999998</v>
      </c>
      <c r="M84" s="757">
        <f>+'STER - Detailed Disclosure (mm)'!M21</f>
        <v>7.6680000000000001</v>
      </c>
      <c r="N84" s="758">
        <f>+'STER - Detailed Disclosure (mm)'!N21</f>
        <v>8.016</v>
      </c>
      <c r="O84" s="757">
        <f>+'STER - Detailed Disclosure (mm)'!O21</f>
        <v>6.3360000000000003</v>
      </c>
      <c r="P84" s="757">
        <f>+'STER - Detailed Disclosure (mm)'!P21</f>
        <v>6.6189999999999998</v>
      </c>
      <c r="Q84" s="757">
        <f>+'STER - Detailed Disclosure (mm)'!Q21</f>
        <v>7.7640000000000002</v>
      </c>
      <c r="R84" s="757">
        <f>+'STER - Detailed Disclosure (mm)'!R21</f>
        <v>8.8279999999999994</v>
      </c>
      <c r="S84" s="1000">
        <f>+'STER - Detailed Disclosure (mm)'!S21</f>
        <v>8.6080000000000005</v>
      </c>
      <c r="T84" s="1025">
        <f>+'STER - Detailed Disclosure (mm)'!T21</f>
        <v>8.99</v>
      </c>
      <c r="U84" s="1025">
        <f>+'STER - Detailed Disclosure (mm)'!U21</f>
        <v>9.3049999999999997</v>
      </c>
      <c r="V84" s="1025">
        <f>+'STER - Detailed Disclosure (mm)'!V21</f>
        <v>9.3299999999999983</v>
      </c>
      <c r="W84" s="1000">
        <f>+'STER - Detailed Disclosure (mm)'!W21</f>
        <v>10.311999999999999</v>
      </c>
      <c r="X84" s="1025">
        <f>+'STER - Detailed Disclosure (mm)'!X21</f>
        <v>10.143000000000001</v>
      </c>
      <c r="Y84" s="1459">
        <f>+'STER - Detailed Disclosure (mm)'!Y60</f>
        <v>9.7449999999999992</v>
      </c>
      <c r="Z84" s="1499">
        <f t="shared" ref="Z84:AD84" si="121">+Y84</f>
        <v>9.7449999999999992</v>
      </c>
      <c r="AA84" s="822">
        <f t="shared" si="121"/>
        <v>9.7449999999999992</v>
      </c>
      <c r="AB84" s="822">
        <f t="shared" si="121"/>
        <v>9.7449999999999992</v>
      </c>
      <c r="AC84" s="822">
        <f t="shared" si="121"/>
        <v>9.7449999999999992</v>
      </c>
      <c r="AD84" s="822">
        <f t="shared" si="121"/>
        <v>9.7449999999999992</v>
      </c>
      <c r="AE84" s="819"/>
      <c r="AF84" s="757"/>
      <c r="AG84" s="757">
        <f>+'STER - Detailed Disclosure (mm)'!AQ21</f>
        <v>39.316000000000003</v>
      </c>
      <c r="AH84" s="757">
        <f>+'STER - Detailed Disclosure (mm)'!AR21</f>
        <v>32.947000000000003</v>
      </c>
      <c r="AI84" s="757">
        <f>+'STER - Detailed Disclosure (mm)'!AS21</f>
        <v>30.856999999999999</v>
      </c>
      <c r="AJ84" s="757">
        <f>+SUM(O84:R84)</f>
        <v>29.547000000000001</v>
      </c>
      <c r="AK84" s="760">
        <f>SUM(S84:V84)</f>
        <v>36.232999999999997</v>
      </c>
      <c r="AL84" s="757">
        <f>+SUM(W84:Z84)</f>
        <v>39.944999999999993</v>
      </c>
      <c r="AM84" s="757">
        <f t="shared" si="118"/>
        <v>38.979999999999997</v>
      </c>
    </row>
    <row r="85" spans="1:39" s="817" customFormat="1" ht="12" x14ac:dyDescent="0.3">
      <c r="A85" s="474" t="s">
        <v>142</v>
      </c>
      <c r="B85" s="816"/>
      <c r="C85" s="736"/>
      <c r="D85" s="736"/>
      <c r="E85" s="736">
        <f t="shared" ref="E85:W85" si="122">+E83-E84</f>
        <v>18.745999999999995</v>
      </c>
      <c r="F85" s="752">
        <f t="shared" si="122"/>
        <v>6.5419999999999963</v>
      </c>
      <c r="G85" s="736">
        <f t="shared" si="122"/>
        <v>10.410000000000002</v>
      </c>
      <c r="H85" s="736">
        <f t="shared" si="122"/>
        <v>-1.7200000000000042</v>
      </c>
      <c r="I85" s="736">
        <f t="shared" si="122"/>
        <v>14.524999999999999</v>
      </c>
      <c r="J85" s="752">
        <f t="shared" si="122"/>
        <v>10.766999999999999</v>
      </c>
      <c r="K85" s="736">
        <f t="shared" si="122"/>
        <v>21.050000000000004</v>
      </c>
      <c r="L85" s="736">
        <f t="shared" si="122"/>
        <v>31.382000000000055</v>
      </c>
      <c r="M85" s="736">
        <f t="shared" si="122"/>
        <v>10.664999999999971</v>
      </c>
      <c r="N85" s="752">
        <f t="shared" si="122"/>
        <v>23.362999999999992</v>
      </c>
      <c r="O85" s="736">
        <f t="shared" si="122"/>
        <v>29.800000000000011</v>
      </c>
      <c r="P85" s="736">
        <f t="shared" si="122"/>
        <v>37.321000000000012</v>
      </c>
      <c r="Q85" s="736">
        <f t="shared" si="122"/>
        <v>33.374000000000009</v>
      </c>
      <c r="R85" s="736">
        <f t="shared" si="122"/>
        <v>20.298999999999982</v>
      </c>
      <c r="S85" s="986">
        <f t="shared" si="122"/>
        <v>23.842999999999993</v>
      </c>
      <c r="T85" s="736">
        <f t="shared" si="122"/>
        <v>26.153999999999989</v>
      </c>
      <c r="U85" s="736">
        <f t="shared" si="122"/>
        <v>23.213999999999999</v>
      </c>
      <c r="V85" s="736">
        <f t="shared" si="122"/>
        <v>19.83499999999993</v>
      </c>
      <c r="W85" s="986">
        <f t="shared" si="122"/>
        <v>13.717000000000001</v>
      </c>
      <c r="X85" s="736">
        <f t="shared" ref="X85:AD85" si="123">+X83-X84</f>
        <v>19.305</v>
      </c>
      <c r="Y85" s="754">
        <f t="shared" si="123"/>
        <v>18.829999999999991</v>
      </c>
      <c r="Z85" s="752">
        <f t="shared" si="123"/>
        <v>16.376845466397711</v>
      </c>
      <c r="AA85" s="736">
        <f t="shared" si="123"/>
        <v>20.306891183382085</v>
      </c>
      <c r="AB85" s="736">
        <f t="shared" si="123"/>
        <v>28.531388592996635</v>
      </c>
      <c r="AC85" s="736">
        <f t="shared" si="123"/>
        <v>29.95480647301774</v>
      </c>
      <c r="AD85" s="736">
        <f t="shared" si="123"/>
        <v>21.747201633667828</v>
      </c>
      <c r="AE85" s="689"/>
      <c r="AF85" s="736"/>
      <c r="AG85" s="736">
        <f t="shared" ref="AG85:AL85" si="124">+AG83-AG84</f>
        <v>50.178999999999974</v>
      </c>
      <c r="AH85" s="736">
        <f t="shared" ref="AH85:AI85" si="125">+AH83-AH84</f>
        <v>33.981999999999999</v>
      </c>
      <c r="AI85" s="736">
        <f t="shared" si="125"/>
        <v>86.46200000000006</v>
      </c>
      <c r="AJ85" s="736">
        <f t="shared" si="124"/>
        <v>120.79399999999998</v>
      </c>
      <c r="AK85" s="754">
        <f t="shared" si="124"/>
        <v>93.045999999999935</v>
      </c>
      <c r="AL85" s="736">
        <f t="shared" si="124"/>
        <v>68.228845466397715</v>
      </c>
      <c r="AM85" s="736">
        <f t="shared" si="118"/>
        <v>100.54028788306428</v>
      </c>
    </row>
    <row r="86" spans="1:39" s="817" customFormat="1" ht="13" x14ac:dyDescent="0.4">
      <c r="A86" s="460" t="s">
        <v>143</v>
      </c>
      <c r="B86" s="816"/>
      <c r="C86" s="803"/>
      <c r="D86" s="803"/>
      <c r="E86" s="803">
        <f t="shared" ref="E86:F86" si="126">MAX(E85*25%,0)</f>
        <v>4.6864999999999988</v>
      </c>
      <c r="F86" s="823">
        <f t="shared" si="126"/>
        <v>1.6354999999999991</v>
      </c>
      <c r="G86" s="803">
        <f>MAX(G85*25%,0)</f>
        <v>2.6025000000000005</v>
      </c>
      <c r="H86" s="803">
        <f t="shared" ref="H86:AD86" si="127">MAX(H85*25%,0)</f>
        <v>0</v>
      </c>
      <c r="I86" s="803">
        <f t="shared" si="127"/>
        <v>3.6312499999999996</v>
      </c>
      <c r="J86" s="823">
        <f t="shared" si="127"/>
        <v>2.6917499999999999</v>
      </c>
      <c r="K86" s="803">
        <f t="shared" si="127"/>
        <v>5.2625000000000011</v>
      </c>
      <c r="L86" s="803">
        <f t="shared" si="127"/>
        <v>7.8455000000000137</v>
      </c>
      <c r="M86" s="803">
        <f t="shared" si="127"/>
        <v>2.6662499999999927</v>
      </c>
      <c r="N86" s="823">
        <f t="shared" si="127"/>
        <v>5.8407499999999981</v>
      </c>
      <c r="O86" s="803">
        <f t="shared" si="127"/>
        <v>7.4500000000000028</v>
      </c>
      <c r="P86" s="803">
        <f t="shared" si="127"/>
        <v>9.330250000000003</v>
      </c>
      <c r="Q86" s="803">
        <f t="shared" si="127"/>
        <v>8.3435000000000024</v>
      </c>
      <c r="R86" s="757">
        <f t="shared" si="127"/>
        <v>5.0747499999999954</v>
      </c>
      <c r="S86" s="987">
        <f t="shared" si="127"/>
        <v>5.9607499999999982</v>
      </c>
      <c r="T86" s="757">
        <f t="shared" si="127"/>
        <v>6.5384999999999973</v>
      </c>
      <c r="U86" s="757">
        <f t="shared" si="127"/>
        <v>5.8034999999999997</v>
      </c>
      <c r="V86" s="757">
        <f t="shared" si="127"/>
        <v>4.9587499999999824</v>
      </c>
      <c r="W86" s="1001">
        <f t="shared" si="127"/>
        <v>3.4292500000000001</v>
      </c>
      <c r="X86" s="803">
        <f t="shared" si="127"/>
        <v>4.8262499999999999</v>
      </c>
      <c r="Y86" s="804">
        <f t="shared" si="127"/>
        <v>4.7074999999999978</v>
      </c>
      <c r="Z86" s="823">
        <f t="shared" si="127"/>
        <v>4.0942113665994277</v>
      </c>
      <c r="AA86" s="803">
        <f t="shared" si="127"/>
        <v>5.0767227958455212</v>
      </c>
      <c r="AB86" s="803">
        <f t="shared" si="127"/>
        <v>7.1328471482491587</v>
      </c>
      <c r="AC86" s="803">
        <f t="shared" si="127"/>
        <v>7.488701618254435</v>
      </c>
      <c r="AD86" s="803">
        <f t="shared" si="127"/>
        <v>5.436800408416957</v>
      </c>
      <c r="AE86" s="689"/>
      <c r="AF86" s="803"/>
      <c r="AG86" s="803">
        <f t="shared" ref="AG86:AM86" si="128">MAX(AG85*25%,0)</f>
        <v>12.544749999999993</v>
      </c>
      <c r="AH86" s="803">
        <f t="shared" si="128"/>
        <v>8.4954999999999998</v>
      </c>
      <c r="AI86" s="803">
        <f t="shared" si="128"/>
        <v>21.615500000000015</v>
      </c>
      <c r="AJ86" s="803">
        <f t="shared" si="128"/>
        <v>30.198499999999996</v>
      </c>
      <c r="AK86" s="804">
        <f t="shared" si="128"/>
        <v>23.261499999999984</v>
      </c>
      <c r="AL86" s="803">
        <f t="shared" si="128"/>
        <v>17.057211366599429</v>
      </c>
      <c r="AM86" s="803">
        <f t="shared" si="128"/>
        <v>25.13507197076607</v>
      </c>
    </row>
    <row r="87" spans="1:39" s="817" customFormat="1" ht="12" x14ac:dyDescent="0.3">
      <c r="A87" s="474" t="s">
        <v>144</v>
      </c>
      <c r="B87" s="816"/>
      <c r="C87" s="736"/>
      <c r="D87" s="736"/>
      <c r="E87" s="736">
        <f t="shared" ref="E87:AD87" si="129">+E85-E86</f>
        <v>14.059499999999996</v>
      </c>
      <c r="F87" s="752">
        <f t="shared" si="129"/>
        <v>4.9064999999999976</v>
      </c>
      <c r="G87" s="736">
        <f t="shared" si="129"/>
        <v>7.807500000000001</v>
      </c>
      <c r="H87" s="736">
        <f t="shared" si="129"/>
        <v>-1.7200000000000042</v>
      </c>
      <c r="I87" s="736">
        <f t="shared" si="129"/>
        <v>10.893749999999999</v>
      </c>
      <c r="J87" s="752">
        <f t="shared" si="129"/>
        <v>8.0752500000000005</v>
      </c>
      <c r="K87" s="736">
        <f t="shared" si="129"/>
        <v>15.787500000000003</v>
      </c>
      <c r="L87" s="736">
        <f t="shared" si="129"/>
        <v>23.536500000000039</v>
      </c>
      <c r="M87" s="736">
        <f t="shared" si="129"/>
        <v>7.998749999999978</v>
      </c>
      <c r="N87" s="752">
        <f t="shared" si="129"/>
        <v>17.522249999999993</v>
      </c>
      <c r="O87" s="736">
        <f t="shared" si="129"/>
        <v>22.350000000000009</v>
      </c>
      <c r="P87" s="736">
        <f t="shared" si="129"/>
        <v>27.990750000000009</v>
      </c>
      <c r="Q87" s="736">
        <f t="shared" si="129"/>
        <v>25.030500000000007</v>
      </c>
      <c r="R87" s="736">
        <f t="shared" si="129"/>
        <v>15.224249999999987</v>
      </c>
      <c r="S87" s="986">
        <f t="shared" si="129"/>
        <v>17.882249999999996</v>
      </c>
      <c r="T87" s="736">
        <f t="shared" si="129"/>
        <v>19.61549999999999</v>
      </c>
      <c r="U87" s="736">
        <f t="shared" si="129"/>
        <v>17.410499999999999</v>
      </c>
      <c r="V87" s="736">
        <f t="shared" si="129"/>
        <v>14.876249999999947</v>
      </c>
      <c r="W87" s="986">
        <f t="shared" si="129"/>
        <v>10.287750000000001</v>
      </c>
      <c r="X87" s="736">
        <f t="shared" si="129"/>
        <v>14.47875</v>
      </c>
      <c r="Y87" s="754">
        <f t="shared" si="129"/>
        <v>14.122499999999993</v>
      </c>
      <c r="Z87" s="752">
        <f t="shared" si="129"/>
        <v>12.282634099798283</v>
      </c>
      <c r="AA87" s="736">
        <f t="shared" si="129"/>
        <v>15.230168387536564</v>
      </c>
      <c r="AB87" s="736">
        <f t="shared" si="129"/>
        <v>21.398541444747476</v>
      </c>
      <c r="AC87" s="736">
        <f t="shared" si="129"/>
        <v>22.466104854763305</v>
      </c>
      <c r="AD87" s="736">
        <f t="shared" si="129"/>
        <v>16.310401225250871</v>
      </c>
      <c r="AE87" s="689"/>
      <c r="AF87" s="736"/>
      <c r="AG87" s="736">
        <f t="shared" ref="AG87:AM87" si="130">+AG85-AG86</f>
        <v>37.63424999999998</v>
      </c>
      <c r="AH87" s="736">
        <f t="shared" si="130"/>
        <v>25.486499999999999</v>
      </c>
      <c r="AI87" s="736">
        <f t="shared" si="130"/>
        <v>64.846500000000049</v>
      </c>
      <c r="AJ87" s="736">
        <f t="shared" si="130"/>
        <v>90.595499999999987</v>
      </c>
      <c r="AK87" s="754">
        <f t="shared" si="130"/>
        <v>69.784499999999952</v>
      </c>
      <c r="AL87" s="736">
        <f t="shared" si="130"/>
        <v>51.171634099798283</v>
      </c>
      <c r="AM87" s="736">
        <f t="shared" si="130"/>
        <v>75.405215912298218</v>
      </c>
    </row>
    <row r="88" spans="1:39" s="817" customFormat="1" ht="13" x14ac:dyDescent="0.4">
      <c r="A88" s="460" t="s">
        <v>238</v>
      </c>
      <c r="B88" s="816"/>
      <c r="C88" s="803"/>
      <c r="D88" s="803"/>
      <c r="E88" s="757"/>
      <c r="F88" s="758"/>
      <c r="G88" s="757"/>
      <c r="H88" s="757"/>
      <c r="I88" s="757"/>
      <c r="J88" s="758"/>
      <c r="K88" s="757"/>
      <c r="L88" s="757"/>
      <c r="M88" s="757"/>
      <c r="N88" s="758">
        <f>+'STER - Detailed Disclosure (mm)'!N33/1000</f>
        <v>99.690692999999996</v>
      </c>
      <c r="O88" s="757">
        <f>+'STER - Detailed Disclosure (mm)'!O33/1000</f>
        <v>99.186456000000007</v>
      </c>
      <c r="P88" s="757">
        <f>+'STER - Detailed Disclosure (mm)'!P33/1000</f>
        <v>99.344562999999994</v>
      </c>
      <c r="Q88" s="757">
        <f>+'STER - Detailed Disclosure (mm)'!Q33/1000</f>
        <v>99.118520999999987</v>
      </c>
      <c r="R88" s="757">
        <f>+'STER - Detailed Disclosure (mm)'!R33/1000</f>
        <v>94.080123</v>
      </c>
      <c r="S88" s="987">
        <f>+'STER - Detailed Disclosure (mm)'!S33/1000</f>
        <v>95.350341999999998</v>
      </c>
      <c r="T88" s="757">
        <f>+'STER - Detailed Disclosure (mm)'!T33/1000</f>
        <v>94.498666</v>
      </c>
      <c r="U88" s="757">
        <f>+'STER - Detailed Disclosure (mm)'!U33/1000</f>
        <v>93.651691</v>
      </c>
      <c r="V88" s="757">
        <f>+'STER - Detailed Disclosure (mm)'!V33/1000</f>
        <v>89.81622999999999</v>
      </c>
      <c r="W88" s="987">
        <f>+'STER - Detailed Disclosure (mm)'!W33/1000</f>
        <v>90.274093999999991</v>
      </c>
      <c r="X88" s="757">
        <f>+'STER - Detailed Disclosure (mm)'!X33/1000</f>
        <v>92.778209000000004</v>
      </c>
      <c r="Y88" s="760">
        <f>+'STER - Detailed Disclosure (mm)'!Y33/1000</f>
        <v>93.651691</v>
      </c>
      <c r="Z88" s="1499">
        <f t="shared" ref="Z88:AD88" si="131">+Y88</f>
        <v>93.651691</v>
      </c>
      <c r="AA88" s="822">
        <f t="shared" si="131"/>
        <v>93.651691</v>
      </c>
      <c r="AB88" s="822">
        <f t="shared" si="131"/>
        <v>93.651691</v>
      </c>
      <c r="AC88" s="822">
        <f t="shared" si="131"/>
        <v>93.651691</v>
      </c>
      <c r="AD88" s="822">
        <f t="shared" si="131"/>
        <v>93.651691</v>
      </c>
      <c r="AE88" s="689"/>
      <c r="AF88" s="803"/>
      <c r="AG88" s="759"/>
      <c r="AH88" s="759"/>
      <c r="AI88" s="803"/>
      <c r="AJ88" s="803">
        <f>+'STER - Detailed Disclosure (mm)'!AT33/1000</f>
        <v>98.866004000000004</v>
      </c>
      <c r="AK88" s="804">
        <f>+'STER - Detailed Disclosure (mm)'!AU33/1000</f>
        <v>91.587311</v>
      </c>
      <c r="AL88" s="803">
        <f>+AL87/AL89</f>
        <v>92.707383521565532</v>
      </c>
      <c r="AM88" s="803">
        <f>+AVERAGE(AA88:AD88)</f>
        <v>93.651691</v>
      </c>
    </row>
    <row r="89" spans="1:39" s="817" customFormat="1" ht="12" x14ac:dyDescent="0.3">
      <c r="A89" s="474" t="s">
        <v>239</v>
      </c>
      <c r="B89" s="816"/>
      <c r="C89" s="736"/>
      <c r="D89" s="736"/>
      <c r="E89" s="736"/>
      <c r="F89" s="752"/>
      <c r="G89" s="824"/>
      <c r="H89" s="824"/>
      <c r="I89" s="824"/>
      <c r="J89" s="825"/>
      <c r="K89" s="824"/>
      <c r="L89" s="824"/>
      <c r="M89" s="824"/>
      <c r="N89" s="825">
        <f t="shared" ref="N89:P89" si="132">+N87/N88</f>
        <v>0.17576615702731641</v>
      </c>
      <c r="O89" s="824">
        <f t="shared" si="132"/>
        <v>0.22533318460334956</v>
      </c>
      <c r="P89" s="824">
        <f t="shared" si="132"/>
        <v>0.28175422141622397</v>
      </c>
      <c r="Q89" s="824">
        <f>+Q87/Q88</f>
        <v>0.25253100780226545</v>
      </c>
      <c r="R89" s="824">
        <f t="shared" ref="R89:AD89" si="133">+R87/R88</f>
        <v>0.16182217363810192</v>
      </c>
      <c r="S89" s="2199">
        <f t="shared" si="133"/>
        <v>0.18754258899249671</v>
      </c>
      <c r="T89" s="2200">
        <f t="shared" si="133"/>
        <v>0.20757435877454597</v>
      </c>
      <c r="U89" s="2200">
        <f t="shared" si="133"/>
        <v>0.18590694747839628</v>
      </c>
      <c r="V89" s="2200">
        <f t="shared" si="133"/>
        <v>0.16562986444654768</v>
      </c>
      <c r="W89" s="2199">
        <f t="shared" si="133"/>
        <v>0.11396126556529054</v>
      </c>
      <c r="X89" s="2200">
        <f t="shared" si="133"/>
        <v>0.15605765789249068</v>
      </c>
      <c r="Y89" s="2201">
        <f t="shared" si="133"/>
        <v>0.15079813134393905</v>
      </c>
      <c r="Z89" s="2203">
        <f t="shared" si="133"/>
        <v>0.13115229387367158</v>
      </c>
      <c r="AA89" s="2202">
        <f t="shared" si="133"/>
        <v>0.16262566350816413</v>
      </c>
      <c r="AB89" s="2202">
        <f t="shared" si="133"/>
        <v>0.22849071080571814</v>
      </c>
      <c r="AC89" s="2202">
        <f t="shared" si="133"/>
        <v>0.2398900074827619</v>
      </c>
      <c r="AD89" s="2202">
        <f t="shared" si="133"/>
        <v>0.17416024260844229</v>
      </c>
      <c r="AE89" s="689"/>
      <c r="AF89" s="736"/>
      <c r="AG89" s="824"/>
      <c r="AH89" s="824"/>
      <c r="AI89" s="824"/>
      <c r="AJ89" s="2200">
        <f>+SUM(O89:R89)</f>
        <v>0.92144058745994095</v>
      </c>
      <c r="AK89" s="2201">
        <f>+SUM(S89:V89)</f>
        <v>0.74665375969198666</v>
      </c>
      <c r="AL89" s="2202">
        <f>+SUM(W89:Z89)</f>
        <v>0.55196934867539182</v>
      </c>
      <c r="AM89" s="2202">
        <f>+AM87/AM88</f>
        <v>0.80516662440508646</v>
      </c>
    </row>
    <row r="90" spans="1:39" ht="12" x14ac:dyDescent="0.3">
      <c r="A90" s="798" t="s">
        <v>29</v>
      </c>
      <c r="C90" s="744"/>
      <c r="D90" s="744"/>
      <c r="E90" s="744"/>
      <c r="F90" s="745"/>
      <c r="G90" s="689"/>
      <c r="H90" s="689"/>
      <c r="I90" s="689"/>
      <c r="J90" s="779"/>
      <c r="K90" s="689"/>
      <c r="L90" s="689"/>
      <c r="M90" s="689"/>
      <c r="N90" s="779"/>
      <c r="O90" s="689"/>
      <c r="P90" s="689"/>
      <c r="Q90" s="689"/>
      <c r="R90" s="689">
        <f t="shared" ref="R90:AD90" si="134">+R89/N89-1</f>
        <v>-7.9332583843472193E-2</v>
      </c>
      <c r="S90" s="991">
        <f t="shared" si="134"/>
        <v>-0.16770985453108045</v>
      </c>
      <c r="T90" s="799">
        <f t="shared" si="134"/>
        <v>-0.26327862017050363</v>
      </c>
      <c r="U90" s="799">
        <f t="shared" si="134"/>
        <v>-0.26382526606806456</v>
      </c>
      <c r="V90" s="689">
        <f t="shared" si="134"/>
        <v>2.3530093082059667E-2</v>
      </c>
      <c r="W90" s="991">
        <f t="shared" si="134"/>
        <v>-0.39234460728357567</v>
      </c>
      <c r="X90" s="689">
        <f t="shared" si="134"/>
        <v>-0.2481843190372538</v>
      </c>
      <c r="Y90" s="781">
        <f t="shared" si="134"/>
        <v>-0.188851555096063</v>
      </c>
      <c r="Z90" s="779">
        <f t="shared" si="134"/>
        <v>-0.20816035011610334</v>
      </c>
      <c r="AA90" s="689">
        <f t="shared" si="134"/>
        <v>0.42702577671000719</v>
      </c>
      <c r="AB90" s="689">
        <f t="shared" si="134"/>
        <v>0.46414289366771833</v>
      </c>
      <c r="AC90" s="689">
        <f t="shared" si="134"/>
        <v>0.59080225560370425</v>
      </c>
      <c r="AD90" s="689">
        <f t="shared" si="134"/>
        <v>0.32792372488884403</v>
      </c>
      <c r="AE90" s="744"/>
      <c r="AF90" s="736"/>
      <c r="AG90" s="689"/>
      <c r="AH90" s="689"/>
      <c r="AI90" s="689"/>
      <c r="AJ90" s="689"/>
      <c r="AK90" s="781">
        <f t="shared" ref="AK90:AM90" si="135">+AK89/AJ89-1</f>
        <v>-0.18968865724677342</v>
      </c>
      <c r="AL90" s="689">
        <f t="shared" si="135"/>
        <v>-0.26074255769756927</v>
      </c>
      <c r="AM90" s="689">
        <f t="shared" si="135"/>
        <v>0.45871618838494177</v>
      </c>
    </row>
    <row r="91" spans="1:39" s="817" customFormat="1" ht="12" x14ac:dyDescent="0.3">
      <c r="A91" s="798"/>
      <c r="B91" s="816"/>
      <c r="C91" s="689"/>
      <c r="D91" s="689"/>
      <c r="E91" s="689"/>
      <c r="F91" s="779"/>
      <c r="G91" s="689"/>
      <c r="H91" s="689"/>
      <c r="I91" s="736"/>
      <c r="J91" s="779"/>
      <c r="K91" s="689"/>
      <c r="L91" s="689"/>
      <c r="M91" s="736"/>
      <c r="N91" s="779"/>
      <c r="O91" s="689"/>
      <c r="P91" s="689"/>
      <c r="Q91" s="689"/>
      <c r="R91" s="689"/>
      <c r="S91" s="991"/>
      <c r="T91" s="689"/>
      <c r="U91" s="689"/>
      <c r="V91" s="689"/>
      <c r="W91" s="991"/>
      <c r="X91" s="689"/>
      <c r="Y91" s="781"/>
      <c r="Z91" s="779"/>
      <c r="AA91" s="689"/>
      <c r="AB91" s="689"/>
      <c r="AC91" s="689"/>
      <c r="AD91" s="689"/>
      <c r="AE91" s="689"/>
      <c r="AF91" s="689"/>
      <c r="AG91" s="689"/>
      <c r="AH91" s="689"/>
      <c r="AI91" s="689"/>
      <c r="AJ91" s="689"/>
      <c r="AK91" s="781"/>
      <c r="AL91" s="689"/>
      <c r="AM91" s="689"/>
    </row>
    <row r="92" spans="1:39" s="817" customFormat="1" ht="12" x14ac:dyDescent="0.3">
      <c r="A92" s="783" t="s">
        <v>48</v>
      </c>
      <c r="B92" s="816"/>
      <c r="C92" s="689"/>
      <c r="D92" s="689"/>
      <c r="E92" s="689"/>
      <c r="F92" s="779"/>
      <c r="G92" s="689"/>
      <c r="H92" s="689"/>
      <c r="I92" s="736"/>
      <c r="J92" s="779"/>
      <c r="K92" s="689"/>
      <c r="L92" s="689"/>
      <c r="M92" s="736"/>
      <c r="N92" s="779"/>
      <c r="O92" s="689"/>
      <c r="P92" s="689"/>
      <c r="Q92" s="689"/>
      <c r="R92" s="689"/>
      <c r="S92" s="991"/>
      <c r="T92" s="689"/>
      <c r="U92" s="689"/>
      <c r="V92" s="689"/>
      <c r="W92" s="991"/>
      <c r="X92" s="689"/>
      <c r="Y92" s="781"/>
      <c r="Z92" s="779"/>
      <c r="AA92" s="689"/>
      <c r="AB92" s="689"/>
      <c r="AC92" s="689"/>
      <c r="AD92" s="689"/>
      <c r="AE92" s="689"/>
      <c r="AF92" s="689"/>
      <c r="AG92" s="689"/>
      <c r="AH92" s="689"/>
      <c r="AI92" s="689"/>
      <c r="AJ92" s="689"/>
      <c r="AK92" s="781"/>
      <c r="AL92" s="689"/>
      <c r="AM92" s="689"/>
    </row>
    <row r="93" spans="1:39" s="817" customFormat="1" ht="12" x14ac:dyDescent="0.3">
      <c r="A93" s="460" t="s">
        <v>188</v>
      </c>
      <c r="B93" s="816"/>
      <c r="C93" s="736"/>
      <c r="D93" s="736"/>
      <c r="E93" s="736"/>
      <c r="F93" s="752"/>
      <c r="G93" s="736">
        <f t="shared" ref="G93:AD93" si="136">+G70</f>
        <v>27.311999999999998</v>
      </c>
      <c r="H93" s="736">
        <f t="shared" si="136"/>
        <v>14.077999999999996</v>
      </c>
      <c r="I93" s="736">
        <f t="shared" si="136"/>
        <v>30.085999999999999</v>
      </c>
      <c r="J93" s="752">
        <f t="shared" si="136"/>
        <v>26.306000000000001</v>
      </c>
      <c r="K93" s="736">
        <f t="shared" si="136"/>
        <v>35.906000000000006</v>
      </c>
      <c r="L93" s="736">
        <f t="shared" si="136"/>
        <v>46.278000000000056</v>
      </c>
      <c r="M93" s="736">
        <f t="shared" si="136"/>
        <v>25.71699999999997</v>
      </c>
      <c r="N93" s="752">
        <f t="shared" si="136"/>
        <v>38.704999999999991</v>
      </c>
      <c r="O93" s="736">
        <f t="shared" si="136"/>
        <v>42.528000000000013</v>
      </c>
      <c r="P93" s="736">
        <f t="shared" si="136"/>
        <v>50.449000000000012</v>
      </c>
      <c r="Q93" s="736">
        <f t="shared" si="136"/>
        <v>46.805000000000014</v>
      </c>
      <c r="R93" s="736">
        <f t="shared" si="136"/>
        <v>34.915999999999983</v>
      </c>
      <c r="S93" s="986">
        <f t="shared" si="136"/>
        <v>37.511999999999993</v>
      </c>
      <c r="T93" s="736">
        <f t="shared" si="136"/>
        <v>40.638999999999996</v>
      </c>
      <c r="U93" s="736">
        <f t="shared" si="136"/>
        <v>37.772999999999996</v>
      </c>
      <c r="V93" s="736">
        <f t="shared" si="136"/>
        <v>34.449999999999925</v>
      </c>
      <c r="W93" s="986">
        <f t="shared" si="136"/>
        <v>29.167999999999999</v>
      </c>
      <c r="X93" s="736">
        <f t="shared" si="136"/>
        <v>34.581000000000003</v>
      </c>
      <c r="Y93" s="754">
        <f t="shared" si="136"/>
        <v>33.753999999999991</v>
      </c>
      <c r="Z93" s="752">
        <f t="shared" si="136"/>
        <v>31.34684546639771</v>
      </c>
      <c r="AA93" s="736">
        <f t="shared" si="136"/>
        <v>35.322891183382083</v>
      </c>
      <c r="AB93" s="736">
        <f t="shared" si="136"/>
        <v>43.593388592996632</v>
      </c>
      <c r="AC93" s="736">
        <f t="shared" si="136"/>
        <v>45.062806473017737</v>
      </c>
      <c r="AD93" s="736">
        <f t="shared" si="136"/>
        <v>36.901201633667824</v>
      </c>
      <c r="AE93" s="689"/>
      <c r="AF93" s="736"/>
      <c r="AG93" s="736">
        <f>+AG70</f>
        <v>117.76799999999999</v>
      </c>
      <c r="AH93" s="736">
        <f>+AH70</f>
        <v>97.781999999999996</v>
      </c>
      <c r="AI93" s="736">
        <f>+AI70</f>
        <v>146.60600000000005</v>
      </c>
      <c r="AJ93" s="736">
        <f>+AJ70</f>
        <v>174.69799999999998</v>
      </c>
      <c r="AK93" s="754">
        <f>+AK70</f>
        <v>150.37399999999994</v>
      </c>
      <c r="AL93" s="736">
        <f t="shared" ref="AL93:AM93" si="137">+AL70</f>
        <v>128.84984546639771</v>
      </c>
      <c r="AM93" s="736">
        <f t="shared" si="137"/>
        <v>160.88028788306428</v>
      </c>
    </row>
    <row r="94" spans="1:39" s="817" customFormat="1" ht="12" x14ac:dyDescent="0.3">
      <c r="A94" s="512" t="s">
        <v>146</v>
      </c>
      <c r="B94" s="816"/>
      <c r="C94" s="736"/>
      <c r="D94" s="736"/>
      <c r="E94" s="736"/>
      <c r="F94" s="752"/>
      <c r="G94" s="736">
        <f t="shared" ref="G94:AD94" si="138">-G75</f>
        <v>0</v>
      </c>
      <c r="H94" s="736">
        <f t="shared" si="138"/>
        <v>0</v>
      </c>
      <c r="I94" s="736">
        <f t="shared" si="138"/>
        <v>-3.5389999999999997</v>
      </c>
      <c r="J94" s="752">
        <f t="shared" si="138"/>
        <v>-3.4170000000000007</v>
      </c>
      <c r="K94" s="736">
        <f t="shared" si="138"/>
        <v>-4.1849999999999996</v>
      </c>
      <c r="L94" s="736">
        <f t="shared" si="138"/>
        <v>-5.1099999999999994</v>
      </c>
      <c r="M94" s="736">
        <f t="shared" si="138"/>
        <v>-5.3109999999999999</v>
      </c>
      <c r="N94" s="752">
        <f t="shared" si="138"/>
        <v>-4.4879999999999995</v>
      </c>
      <c r="O94" s="736">
        <f t="shared" si="138"/>
        <v>-5.2370000000000001</v>
      </c>
      <c r="P94" s="736">
        <f t="shared" si="138"/>
        <v>-5.6449999999999996</v>
      </c>
      <c r="Q94" s="736">
        <f t="shared" si="138"/>
        <v>-4.8149999999999995</v>
      </c>
      <c r="R94" s="736">
        <f t="shared" si="138"/>
        <v>-4.49</v>
      </c>
      <c r="S94" s="986">
        <f t="shared" si="138"/>
        <v>-4.26</v>
      </c>
      <c r="T94" s="736">
        <f t="shared" si="138"/>
        <v>-4.9220000000000006</v>
      </c>
      <c r="U94" s="736">
        <f t="shared" si="138"/>
        <v>-5.5590000000000002</v>
      </c>
      <c r="V94" s="736">
        <f t="shared" si="138"/>
        <v>-5.6209999999999987</v>
      </c>
      <c r="W94" s="986">
        <f t="shared" si="138"/>
        <v>-5.62</v>
      </c>
      <c r="X94" s="736">
        <f t="shared" si="138"/>
        <v>-5.7280000000000006</v>
      </c>
      <c r="Y94" s="754">
        <f t="shared" si="138"/>
        <v>-5.2</v>
      </c>
      <c r="Z94" s="752">
        <f t="shared" si="138"/>
        <v>-5.1412226536206411</v>
      </c>
      <c r="AA94" s="736">
        <f t="shared" si="138"/>
        <v>-5.8049331716608954</v>
      </c>
      <c r="AB94" s="736">
        <f t="shared" si="138"/>
        <v>-5.9975912179039792</v>
      </c>
      <c r="AC94" s="736">
        <f t="shared" si="138"/>
        <v>-5.5359540690611935</v>
      </c>
      <c r="AD94" s="736">
        <f t="shared" si="138"/>
        <v>-5.566651280821981</v>
      </c>
      <c r="AE94" s="689"/>
      <c r="AF94" s="736"/>
      <c r="AG94" s="736">
        <f>-AG75</f>
        <v>-31.882999999999999</v>
      </c>
      <c r="AH94" s="736">
        <f>-AH75</f>
        <v>-16.502000000000002</v>
      </c>
      <c r="AI94" s="736">
        <f>-AI75</f>
        <v>-19.094000000000001</v>
      </c>
      <c r="AJ94" s="736">
        <f>-AJ75</f>
        <v>-20.186999999999998</v>
      </c>
      <c r="AK94" s="754">
        <f t="shared" ref="AK94:AM94" si="139">-AK75</f>
        <v>-20.361999999999998</v>
      </c>
      <c r="AL94" s="736">
        <f t="shared" si="139"/>
        <v>-21.689222653620643</v>
      </c>
      <c r="AM94" s="736">
        <f t="shared" si="139"/>
        <v>-22.90512973944805</v>
      </c>
    </row>
    <row r="95" spans="1:39" s="817" customFormat="1" ht="12" x14ac:dyDescent="0.3">
      <c r="A95" s="460" t="s">
        <v>147</v>
      </c>
      <c r="B95" s="816"/>
      <c r="C95" s="736"/>
      <c r="D95" s="736"/>
      <c r="E95" s="736"/>
      <c r="F95" s="752"/>
      <c r="G95" s="736">
        <f t="shared" ref="G95:AD95" si="140">-G84</f>
        <v>-9.0559999999999992</v>
      </c>
      <c r="H95" s="736">
        <f t="shared" si="140"/>
        <v>-8.2370000000000001</v>
      </c>
      <c r="I95" s="736">
        <f t="shared" si="140"/>
        <v>-7.8170000000000002</v>
      </c>
      <c r="J95" s="752">
        <f t="shared" si="140"/>
        <v>-7.8369999999999997</v>
      </c>
      <c r="K95" s="736">
        <f t="shared" si="140"/>
        <v>-7.57</v>
      </c>
      <c r="L95" s="736">
        <f t="shared" si="140"/>
        <v>-7.6029999999999998</v>
      </c>
      <c r="M95" s="736">
        <f t="shared" si="140"/>
        <v>-7.6680000000000001</v>
      </c>
      <c r="N95" s="752">
        <f t="shared" si="140"/>
        <v>-8.016</v>
      </c>
      <c r="O95" s="736">
        <f t="shared" si="140"/>
        <v>-6.3360000000000003</v>
      </c>
      <c r="P95" s="736">
        <f t="shared" si="140"/>
        <v>-6.6189999999999998</v>
      </c>
      <c r="Q95" s="736">
        <f t="shared" si="140"/>
        <v>-7.7640000000000002</v>
      </c>
      <c r="R95" s="736">
        <f t="shared" si="140"/>
        <v>-8.8279999999999994</v>
      </c>
      <c r="S95" s="986">
        <f t="shared" si="140"/>
        <v>-8.6080000000000005</v>
      </c>
      <c r="T95" s="736">
        <f t="shared" si="140"/>
        <v>-8.99</v>
      </c>
      <c r="U95" s="736">
        <f t="shared" si="140"/>
        <v>-9.3049999999999997</v>
      </c>
      <c r="V95" s="736">
        <f t="shared" si="140"/>
        <v>-9.3299999999999983</v>
      </c>
      <c r="W95" s="986">
        <f t="shared" si="140"/>
        <v>-10.311999999999999</v>
      </c>
      <c r="X95" s="736">
        <f t="shared" si="140"/>
        <v>-10.143000000000001</v>
      </c>
      <c r="Y95" s="754">
        <f t="shared" si="140"/>
        <v>-9.7449999999999992</v>
      </c>
      <c r="Z95" s="752">
        <f t="shared" si="140"/>
        <v>-9.7449999999999992</v>
      </c>
      <c r="AA95" s="736">
        <f t="shared" si="140"/>
        <v>-9.7449999999999992</v>
      </c>
      <c r="AB95" s="736">
        <f t="shared" si="140"/>
        <v>-9.7449999999999992</v>
      </c>
      <c r="AC95" s="736">
        <f t="shared" si="140"/>
        <v>-9.7449999999999992</v>
      </c>
      <c r="AD95" s="736">
        <f t="shared" si="140"/>
        <v>-9.7449999999999992</v>
      </c>
      <c r="AE95" s="689"/>
      <c r="AF95" s="736"/>
      <c r="AG95" s="736">
        <f>-AG84</f>
        <v>-39.316000000000003</v>
      </c>
      <c r="AH95" s="736">
        <f>-AH84</f>
        <v>-32.947000000000003</v>
      </c>
      <c r="AI95" s="736">
        <f>-AI84</f>
        <v>-30.856999999999999</v>
      </c>
      <c r="AJ95" s="736">
        <f>-AJ84</f>
        <v>-29.547000000000001</v>
      </c>
      <c r="AK95" s="754">
        <f t="shared" ref="AK95:AM95" si="141">-AK84</f>
        <v>-36.232999999999997</v>
      </c>
      <c r="AL95" s="736">
        <f t="shared" si="141"/>
        <v>-39.944999999999993</v>
      </c>
      <c r="AM95" s="736">
        <f t="shared" si="141"/>
        <v>-38.979999999999997</v>
      </c>
    </row>
    <row r="96" spans="1:39" s="817" customFormat="1" ht="13" x14ac:dyDescent="0.4">
      <c r="A96" s="460" t="s">
        <v>148</v>
      </c>
      <c r="B96" s="816"/>
      <c r="C96" s="757"/>
      <c r="D96" s="757"/>
      <c r="E96" s="757"/>
      <c r="F96" s="758"/>
      <c r="G96" s="757">
        <f t="shared" ref="G96:AD96" si="142">-G86</f>
        <v>-2.6025000000000005</v>
      </c>
      <c r="H96" s="757">
        <f t="shared" si="142"/>
        <v>0</v>
      </c>
      <c r="I96" s="757">
        <f t="shared" si="142"/>
        <v>-3.6312499999999996</v>
      </c>
      <c r="J96" s="758">
        <f t="shared" si="142"/>
        <v>-2.6917499999999999</v>
      </c>
      <c r="K96" s="757">
        <f t="shared" si="142"/>
        <v>-5.2625000000000011</v>
      </c>
      <c r="L96" s="757">
        <f t="shared" si="142"/>
        <v>-7.8455000000000137</v>
      </c>
      <c r="M96" s="757">
        <f t="shared" si="142"/>
        <v>-2.6662499999999927</v>
      </c>
      <c r="N96" s="758">
        <f t="shared" si="142"/>
        <v>-5.8407499999999981</v>
      </c>
      <c r="O96" s="757">
        <f t="shared" si="142"/>
        <v>-7.4500000000000028</v>
      </c>
      <c r="P96" s="757">
        <f t="shared" si="142"/>
        <v>-9.330250000000003</v>
      </c>
      <c r="Q96" s="757">
        <f t="shared" si="142"/>
        <v>-8.3435000000000024</v>
      </c>
      <c r="R96" s="757">
        <f t="shared" si="142"/>
        <v>-5.0747499999999954</v>
      </c>
      <c r="S96" s="987">
        <f t="shared" si="142"/>
        <v>-5.9607499999999982</v>
      </c>
      <c r="T96" s="757">
        <f t="shared" si="142"/>
        <v>-6.5384999999999973</v>
      </c>
      <c r="U96" s="757">
        <f t="shared" si="142"/>
        <v>-5.8034999999999997</v>
      </c>
      <c r="V96" s="757">
        <f t="shared" si="142"/>
        <v>-4.9587499999999824</v>
      </c>
      <c r="W96" s="987">
        <f t="shared" si="142"/>
        <v>-3.4292500000000001</v>
      </c>
      <c r="X96" s="757">
        <f t="shared" si="142"/>
        <v>-4.8262499999999999</v>
      </c>
      <c r="Y96" s="760">
        <f t="shared" si="142"/>
        <v>-4.7074999999999978</v>
      </c>
      <c r="Z96" s="758">
        <f t="shared" si="142"/>
        <v>-4.0942113665994277</v>
      </c>
      <c r="AA96" s="757">
        <f t="shared" si="142"/>
        <v>-5.0767227958455212</v>
      </c>
      <c r="AB96" s="757">
        <f t="shared" si="142"/>
        <v>-7.1328471482491587</v>
      </c>
      <c r="AC96" s="757">
        <f t="shared" si="142"/>
        <v>-7.488701618254435</v>
      </c>
      <c r="AD96" s="757">
        <f t="shared" si="142"/>
        <v>-5.436800408416957</v>
      </c>
      <c r="AE96" s="689"/>
      <c r="AF96" s="757"/>
      <c r="AG96" s="757">
        <f>-AG86</f>
        <v>-12.544749999999993</v>
      </c>
      <c r="AH96" s="757">
        <f>-AH86</f>
        <v>-8.4954999999999998</v>
      </c>
      <c r="AI96" s="757">
        <f>-AI86</f>
        <v>-21.615500000000015</v>
      </c>
      <c r="AJ96" s="757">
        <f>-AJ86</f>
        <v>-30.198499999999996</v>
      </c>
      <c r="AK96" s="760">
        <f t="shared" ref="AK96:AM96" si="143">-AK86</f>
        <v>-23.261499999999984</v>
      </c>
      <c r="AL96" s="757">
        <f t="shared" si="143"/>
        <v>-17.057211366599429</v>
      </c>
      <c r="AM96" s="757">
        <f t="shared" si="143"/>
        <v>-25.13507197076607</v>
      </c>
    </row>
    <row r="97" spans="1:46" s="817" customFormat="1" ht="12" x14ac:dyDescent="0.3">
      <c r="A97" s="505" t="s">
        <v>48</v>
      </c>
      <c r="B97" s="816"/>
      <c r="C97" s="762"/>
      <c r="D97" s="762"/>
      <c r="E97" s="762"/>
      <c r="F97" s="763"/>
      <c r="G97" s="762">
        <f t="shared" ref="G97:O97" si="144">SUM(G93:G96)</f>
        <v>15.653499999999999</v>
      </c>
      <c r="H97" s="762">
        <f t="shared" si="144"/>
        <v>5.8409999999999958</v>
      </c>
      <c r="I97" s="762">
        <f t="shared" si="144"/>
        <v>15.098749999999997</v>
      </c>
      <c r="J97" s="763">
        <f t="shared" si="144"/>
        <v>12.360250000000001</v>
      </c>
      <c r="K97" s="762">
        <f t="shared" si="144"/>
        <v>18.888500000000008</v>
      </c>
      <c r="L97" s="762">
        <f t="shared" si="144"/>
        <v>25.719500000000039</v>
      </c>
      <c r="M97" s="762">
        <f t="shared" si="144"/>
        <v>10.071749999999978</v>
      </c>
      <c r="N97" s="763">
        <f t="shared" si="144"/>
        <v>20.360249999999994</v>
      </c>
      <c r="O97" s="762">
        <f t="shared" si="144"/>
        <v>23.50500000000001</v>
      </c>
      <c r="P97" s="762">
        <f t="shared" ref="P97:AD97" si="145">SUM(P93:P96)</f>
        <v>28.854750000000013</v>
      </c>
      <c r="Q97" s="762">
        <f t="shared" si="145"/>
        <v>25.882500000000011</v>
      </c>
      <c r="R97" s="762">
        <f t="shared" si="145"/>
        <v>16.523249999999987</v>
      </c>
      <c r="S97" s="988">
        <f t="shared" si="145"/>
        <v>18.683249999999997</v>
      </c>
      <c r="T97" s="762">
        <f t="shared" si="145"/>
        <v>20.188499999999998</v>
      </c>
      <c r="U97" s="762">
        <f t="shared" si="145"/>
        <v>17.105499999999999</v>
      </c>
      <c r="V97" s="762">
        <f t="shared" si="145"/>
        <v>14.540249999999945</v>
      </c>
      <c r="W97" s="988">
        <f t="shared" si="145"/>
        <v>9.8067499999999992</v>
      </c>
      <c r="X97" s="762">
        <f t="shared" si="145"/>
        <v>13.883750000000001</v>
      </c>
      <c r="Y97" s="764">
        <f t="shared" si="145"/>
        <v>14.101499999999993</v>
      </c>
      <c r="Z97" s="763">
        <f t="shared" si="145"/>
        <v>12.36641144617764</v>
      </c>
      <c r="AA97" s="762">
        <f t="shared" si="145"/>
        <v>14.696235215875666</v>
      </c>
      <c r="AB97" s="762">
        <f t="shared" si="145"/>
        <v>20.717950226843495</v>
      </c>
      <c r="AC97" s="762">
        <f t="shared" si="145"/>
        <v>22.293150785702114</v>
      </c>
      <c r="AD97" s="762">
        <f t="shared" si="145"/>
        <v>16.152749944428891</v>
      </c>
      <c r="AE97" s="689"/>
      <c r="AF97" s="762"/>
      <c r="AG97" s="762">
        <f t="shared" ref="AG97:AM97" si="146">SUM(AG93:AG96)</f>
        <v>34.024249999999995</v>
      </c>
      <c r="AH97" s="762">
        <f t="shared" si="146"/>
        <v>39.837499999999999</v>
      </c>
      <c r="AI97" s="762">
        <f t="shared" si="146"/>
        <v>75.039500000000046</v>
      </c>
      <c r="AJ97" s="762">
        <f t="shared" si="146"/>
        <v>94.765499999999975</v>
      </c>
      <c r="AK97" s="764">
        <f t="shared" si="146"/>
        <v>70.517499999999956</v>
      </c>
      <c r="AL97" s="762">
        <f t="shared" si="146"/>
        <v>50.158411446177638</v>
      </c>
      <c r="AM97" s="762">
        <f t="shared" si="146"/>
        <v>73.860086172850174</v>
      </c>
    </row>
    <row r="98" spans="1:46" s="817" customFormat="1" ht="12" x14ac:dyDescent="0.3">
      <c r="A98" s="505"/>
      <c r="B98" s="816"/>
      <c r="C98" s="689"/>
      <c r="D98" s="689"/>
      <c r="E98" s="689"/>
      <c r="F98" s="779"/>
      <c r="G98" s="689"/>
      <c r="H98" s="689"/>
      <c r="I98" s="736"/>
      <c r="J98" s="779"/>
      <c r="K98" s="689"/>
      <c r="L98" s="689"/>
      <c r="M98" s="736"/>
      <c r="N98" s="779"/>
      <c r="O98" s="689"/>
      <c r="P98" s="689"/>
      <c r="Q98" s="689"/>
      <c r="R98" s="799"/>
      <c r="S98" s="994"/>
      <c r="T98" s="799"/>
      <c r="U98" s="799"/>
      <c r="V98" s="689"/>
      <c r="W98" s="991"/>
      <c r="X98" s="689"/>
      <c r="Y98" s="781"/>
      <c r="Z98" s="779"/>
      <c r="AA98" s="689"/>
      <c r="AB98" s="689"/>
      <c r="AC98" s="689"/>
      <c r="AD98" s="689"/>
      <c r="AE98" s="689"/>
      <c r="AF98" s="689"/>
      <c r="AG98" s="689"/>
      <c r="AH98" s="689"/>
      <c r="AI98" s="689"/>
      <c r="AJ98" s="689"/>
      <c r="AK98" s="781"/>
      <c r="AL98" s="689"/>
      <c r="AM98" s="689"/>
    </row>
    <row r="99" spans="1:46" s="817" customFormat="1" ht="12" x14ac:dyDescent="0.3">
      <c r="A99" s="512" t="s">
        <v>240</v>
      </c>
      <c r="B99" s="816"/>
      <c r="C99" s="689"/>
      <c r="D99" s="689"/>
      <c r="E99" s="689"/>
      <c r="F99" s="779"/>
      <c r="G99" s="736"/>
      <c r="H99" s="736"/>
      <c r="I99" s="736">
        <f t="shared" ref="I99:X99" si="147">+I86-I112</f>
        <v>2.5492499999999998</v>
      </c>
      <c r="J99" s="752">
        <f t="shared" si="147"/>
        <v>3.1697499999999996</v>
      </c>
      <c r="K99" s="736">
        <f t="shared" si="147"/>
        <v>4.1875000000000009</v>
      </c>
      <c r="L99" s="736">
        <f t="shared" si="147"/>
        <v>6.1775000000000135</v>
      </c>
      <c r="M99" s="736">
        <f t="shared" si="147"/>
        <v>0.74624999999999231</v>
      </c>
      <c r="N99" s="752">
        <f t="shared" si="147"/>
        <v>4.9297499999999985</v>
      </c>
      <c r="O99" s="736">
        <f t="shared" si="147"/>
        <v>3.2280000000000024</v>
      </c>
      <c r="P99" s="736">
        <f t="shared" si="147"/>
        <v>4.0212500000000029</v>
      </c>
      <c r="Q99" s="736">
        <f t="shared" si="147"/>
        <v>6.361500000000003</v>
      </c>
      <c r="R99" s="736">
        <f t="shared" si="147"/>
        <v>-1.9442500000000047</v>
      </c>
      <c r="S99" s="986">
        <f t="shared" si="147"/>
        <v>2.982749999999998</v>
      </c>
      <c r="T99" s="736">
        <f t="shared" si="147"/>
        <v>-0.18650000000000233</v>
      </c>
      <c r="U99" s="736">
        <f t="shared" si="147"/>
        <v>2.2874999999999996</v>
      </c>
      <c r="V99" s="736">
        <f t="shared" si="147"/>
        <v>0.6937499999999801</v>
      </c>
      <c r="W99" s="986">
        <f t="shared" si="147"/>
        <v>-6.1127500000000001</v>
      </c>
      <c r="X99" s="736">
        <f t="shared" si="147"/>
        <v>-5.2447499999999998</v>
      </c>
      <c r="Y99" s="1007">
        <v>0</v>
      </c>
      <c r="Z99" s="1089">
        <v>0</v>
      </c>
      <c r="AA99" s="753">
        <v>0</v>
      </c>
      <c r="AB99" s="753">
        <v>0</v>
      </c>
      <c r="AC99" s="753">
        <v>0</v>
      </c>
      <c r="AD99" s="753">
        <v>0</v>
      </c>
      <c r="AE99" s="689"/>
      <c r="AF99" s="736"/>
      <c r="AG99" s="736">
        <f>+AG86-AG112</f>
        <v>5.9597499999999934</v>
      </c>
      <c r="AH99" s="736">
        <f>+AH86-AH112</f>
        <v>5.2714999999999996</v>
      </c>
      <c r="AI99" s="736">
        <f>+AI86-AI112</f>
        <v>16.041500000000013</v>
      </c>
      <c r="AJ99" s="736">
        <f>+SUM(O99:R99)</f>
        <v>11.666500000000003</v>
      </c>
      <c r="AK99" s="754">
        <f>SUM(S99:V99)</f>
        <v>5.777499999999975</v>
      </c>
      <c r="AL99" s="736">
        <f>+SUM(W99:Z99)</f>
        <v>-11.3575</v>
      </c>
      <c r="AM99" s="827">
        <f>+SUM(AA99:AD99)</f>
        <v>0</v>
      </c>
    </row>
    <row r="100" spans="1:46" s="817" customFormat="1" ht="12" x14ac:dyDescent="0.3">
      <c r="A100" s="512" t="str">
        <f>+A61</f>
        <v>Rest., Integration and Tx Related Costs</v>
      </c>
      <c r="B100" s="816"/>
      <c r="C100" s="689"/>
      <c r="D100" s="689"/>
      <c r="E100" s="689"/>
      <c r="F100" s="779"/>
      <c r="G100" s="736"/>
      <c r="H100" s="736"/>
      <c r="I100" s="736">
        <f t="shared" ref="I100:Y100" si="148">+I61*-1</f>
        <v>-3.5590000000000002</v>
      </c>
      <c r="J100" s="752">
        <f t="shared" si="148"/>
        <v>-6.0459999999999994</v>
      </c>
      <c r="K100" s="736">
        <f t="shared" si="148"/>
        <v>-3.3070000000000004</v>
      </c>
      <c r="L100" s="736">
        <f t="shared" si="148"/>
        <v>-10.635999999999999</v>
      </c>
      <c r="M100" s="736">
        <f t="shared" si="148"/>
        <v>-35.269000000000005</v>
      </c>
      <c r="N100" s="752">
        <f t="shared" si="148"/>
        <v>-8.5629999999999988</v>
      </c>
      <c r="O100" s="736">
        <f t="shared" si="148"/>
        <v>-5.9960000000000004</v>
      </c>
      <c r="P100" s="736">
        <f t="shared" si="148"/>
        <v>-6.6549999999999994</v>
      </c>
      <c r="Q100" s="736">
        <f t="shared" si="148"/>
        <v>-10.113</v>
      </c>
      <c r="R100" s="736">
        <f t="shared" si="148"/>
        <v>-13.539</v>
      </c>
      <c r="S100" s="986">
        <f t="shared" si="148"/>
        <v>-11.526000000000002</v>
      </c>
      <c r="T100" s="736">
        <f t="shared" si="148"/>
        <v>-7.7630000000000008</v>
      </c>
      <c r="U100" s="736">
        <f t="shared" si="148"/>
        <v>-6.4640000000000004</v>
      </c>
      <c r="V100" s="736">
        <f t="shared" si="148"/>
        <v>-5.0310000000000006</v>
      </c>
      <c r="W100" s="986">
        <f t="shared" si="148"/>
        <v>-20.396000000000001</v>
      </c>
      <c r="X100" s="736">
        <f t="shared" si="148"/>
        <v>-6.109</v>
      </c>
      <c r="Y100" s="754">
        <f t="shared" si="148"/>
        <v>-11.944000000000001</v>
      </c>
      <c r="Z100" s="1089">
        <v>0</v>
      </c>
      <c r="AA100" s="753">
        <v>0</v>
      </c>
      <c r="AB100" s="753">
        <v>0</v>
      </c>
      <c r="AC100" s="753">
        <v>0</v>
      </c>
      <c r="AD100" s="753">
        <v>0</v>
      </c>
      <c r="AE100" s="689"/>
      <c r="AF100" s="736"/>
      <c r="AG100" s="736">
        <f>+AG61*-1</f>
        <v>-13.686</v>
      </c>
      <c r="AH100" s="736">
        <f>+AH61*-1</f>
        <v>-20.990000000000002</v>
      </c>
      <c r="AI100" s="736">
        <f>+AI61*-1</f>
        <v>-57.774999999999999</v>
      </c>
      <c r="AJ100" s="736">
        <f>+AJ61*-1</f>
        <v>-36.302999999999997</v>
      </c>
      <c r="AK100" s="754">
        <f>SUM(S100:V100)</f>
        <v>-30.783999999999999</v>
      </c>
      <c r="AL100" s="736">
        <f>+SUM(W100:Z100)</f>
        <v>-38.449000000000005</v>
      </c>
      <c r="AM100" s="736">
        <f t="shared" ref="AM100:AM103" si="149">+SUM(AA100:AD100)</f>
        <v>0</v>
      </c>
    </row>
    <row r="101" spans="1:46" s="817" customFormat="1" ht="12" x14ac:dyDescent="0.3">
      <c r="A101" s="512" t="s">
        <v>37</v>
      </c>
      <c r="B101" s="816"/>
      <c r="C101" s="689"/>
      <c r="D101" s="689"/>
      <c r="E101" s="689"/>
      <c r="F101" s="779"/>
      <c r="G101" s="736"/>
      <c r="H101" s="736"/>
      <c r="I101" s="736">
        <f t="shared" ref="I101:W101" si="150">+I69</f>
        <v>0.56999999999999995</v>
      </c>
      <c r="J101" s="752">
        <f t="shared" si="150"/>
        <v>1.708</v>
      </c>
      <c r="K101" s="736">
        <f t="shared" si="150"/>
        <v>0.89800000000000002</v>
      </c>
      <c r="L101" s="736">
        <f t="shared" si="150"/>
        <v>0.75600000000000001</v>
      </c>
      <c r="M101" s="736">
        <f t="shared" si="150"/>
        <v>25.582000000000001</v>
      </c>
      <c r="N101" s="752">
        <f t="shared" si="150"/>
        <v>5.3440000000000003</v>
      </c>
      <c r="O101" s="736">
        <f t="shared" si="150"/>
        <v>5.1079999999999997</v>
      </c>
      <c r="P101" s="736">
        <f t="shared" si="150"/>
        <v>6.0229999999999997</v>
      </c>
      <c r="Q101" s="736">
        <f t="shared" si="150"/>
        <v>6.2930000000000001</v>
      </c>
      <c r="R101" s="736">
        <f t="shared" si="150"/>
        <v>6.3810000000000002</v>
      </c>
      <c r="S101" s="986">
        <f t="shared" si="150"/>
        <v>8.0429999999999993</v>
      </c>
      <c r="T101" s="736">
        <f t="shared" si="150"/>
        <v>9.3580000000000005</v>
      </c>
      <c r="U101" s="736">
        <f t="shared" si="150"/>
        <v>9.7829999999999995</v>
      </c>
      <c r="V101" s="736">
        <f t="shared" si="150"/>
        <v>7.4660000000000011</v>
      </c>
      <c r="W101" s="986">
        <f t="shared" si="150"/>
        <v>9.3420000000000005</v>
      </c>
      <c r="X101" s="736">
        <f>+X69</f>
        <v>11.702999999999999</v>
      </c>
      <c r="Y101" s="754">
        <f>+Y69</f>
        <v>11.535</v>
      </c>
      <c r="Z101" s="1089">
        <f t="shared" ref="Z101" si="151">+Z69</f>
        <v>5</v>
      </c>
      <c r="AA101" s="753">
        <v>0</v>
      </c>
      <c r="AB101" s="753">
        <v>0</v>
      </c>
      <c r="AC101" s="753">
        <v>0</v>
      </c>
      <c r="AD101" s="753">
        <v>0</v>
      </c>
      <c r="AE101" s="689"/>
      <c r="AF101" s="736"/>
      <c r="AG101" s="736">
        <f t="shared" ref="AG101:AK101" si="152">+AG69</f>
        <v>1.216</v>
      </c>
      <c r="AH101" s="736">
        <f t="shared" si="152"/>
        <v>3.4639999999999995</v>
      </c>
      <c r="AI101" s="736">
        <f t="shared" si="152"/>
        <v>32.58</v>
      </c>
      <c r="AJ101" s="736">
        <f t="shared" si="152"/>
        <v>23.805</v>
      </c>
      <c r="AK101" s="754">
        <f t="shared" si="152"/>
        <v>34.65</v>
      </c>
      <c r="AL101" s="736">
        <f>+SUM(W101:Z101)</f>
        <v>37.58</v>
      </c>
      <c r="AM101" s="736">
        <f t="shared" si="149"/>
        <v>0</v>
      </c>
    </row>
    <row r="102" spans="1:46" s="817" customFormat="1" ht="13" x14ac:dyDescent="0.4">
      <c r="A102" s="512" t="s">
        <v>50</v>
      </c>
      <c r="B102" s="816"/>
      <c r="C102" s="757"/>
      <c r="D102" s="757"/>
      <c r="E102" s="757"/>
      <c r="F102" s="758"/>
      <c r="G102" s="757"/>
      <c r="H102" s="757"/>
      <c r="I102" s="757">
        <f t="shared" ref="I102:X102" si="153">+I103-I97-I101-I99-I100</f>
        <v>-12.570999999999998</v>
      </c>
      <c r="J102" s="758">
        <f t="shared" si="153"/>
        <v>-4.2770000000000064</v>
      </c>
      <c r="K102" s="757">
        <f t="shared" si="153"/>
        <v>-2.8690000000000069</v>
      </c>
      <c r="L102" s="757">
        <f t="shared" si="153"/>
        <v>-3.8200000000000536</v>
      </c>
      <c r="M102" s="757">
        <f t="shared" si="153"/>
        <v>-12.805999999999962</v>
      </c>
      <c r="N102" s="758">
        <f t="shared" si="153"/>
        <v>3.1200000000000019</v>
      </c>
      <c r="O102" s="757">
        <f t="shared" si="153"/>
        <v>-27.63300000000001</v>
      </c>
      <c r="P102" s="757">
        <f t="shared" si="153"/>
        <v>-8.059000000000017</v>
      </c>
      <c r="Q102" s="757">
        <f t="shared" si="153"/>
        <v>7.0799999999999903</v>
      </c>
      <c r="R102" s="757">
        <f t="shared" si="153"/>
        <v>18.754000000000023</v>
      </c>
      <c r="S102" s="987">
        <f t="shared" si="153"/>
        <v>-11.160999999999992</v>
      </c>
      <c r="T102" s="757">
        <f t="shared" si="153"/>
        <v>-4.902999999999996</v>
      </c>
      <c r="U102" s="757">
        <f t="shared" si="153"/>
        <v>4.5069999999999997</v>
      </c>
      <c r="V102" s="757">
        <f t="shared" si="153"/>
        <v>7.8950000000000742</v>
      </c>
      <c r="W102" s="987">
        <f t="shared" si="153"/>
        <v>5.4140000000000033</v>
      </c>
      <c r="X102" s="757">
        <f t="shared" si="153"/>
        <v>-3.4680000000000035</v>
      </c>
      <c r="Y102" s="760">
        <f t="shared" ref="Y102" si="154">+Y103-Y97-Y101-Y99-Y100</f>
        <v>10.20750000000001</v>
      </c>
      <c r="Z102" s="1491">
        <v>-12</v>
      </c>
      <c r="AA102" s="759">
        <v>0</v>
      </c>
      <c r="AB102" s="759">
        <v>0</v>
      </c>
      <c r="AC102" s="759">
        <v>0</v>
      </c>
      <c r="AD102" s="759">
        <v>0</v>
      </c>
      <c r="AE102" s="689"/>
      <c r="AF102" s="757"/>
      <c r="AG102" s="757">
        <f t="shared" ref="AG102:AK102" si="155">+AG103-AG97-AG101-AG99-AG100</f>
        <v>-23.192999999999991</v>
      </c>
      <c r="AH102" s="757">
        <f t="shared" si="155"/>
        <v>-7.899999999999995</v>
      </c>
      <c r="AI102" s="757">
        <f t="shared" si="155"/>
        <v>-16.375000000000064</v>
      </c>
      <c r="AJ102" s="757">
        <f t="shared" si="155"/>
        <v>-9.8579999999999757</v>
      </c>
      <c r="AK102" s="760">
        <f t="shared" si="155"/>
        <v>-3.6619999999999351</v>
      </c>
      <c r="AL102" s="757">
        <f>+SUM(W102:Z102)</f>
        <v>0.15350000000000996</v>
      </c>
      <c r="AM102" s="757">
        <f t="shared" si="149"/>
        <v>0</v>
      </c>
    </row>
    <row r="103" spans="1:46" s="817" customFormat="1" ht="12" x14ac:dyDescent="0.3">
      <c r="A103" s="474" t="s">
        <v>51</v>
      </c>
      <c r="B103" s="816"/>
      <c r="C103" s="736"/>
      <c r="D103" s="736"/>
      <c r="E103" s="736"/>
      <c r="F103" s="752"/>
      <c r="G103" s="736"/>
      <c r="H103" s="736"/>
      <c r="I103" s="736">
        <f t="shared" ref="I103:X103" si="156">+I111+I94</f>
        <v>2.0880000000000001</v>
      </c>
      <c r="J103" s="752">
        <f t="shared" si="156"/>
        <v>6.9149999999999947</v>
      </c>
      <c r="K103" s="736">
        <f t="shared" si="156"/>
        <v>17.798000000000002</v>
      </c>
      <c r="L103" s="736">
        <f t="shared" si="156"/>
        <v>18.196999999999999</v>
      </c>
      <c r="M103" s="736">
        <f t="shared" si="156"/>
        <v>-11.675000000000001</v>
      </c>
      <c r="N103" s="752">
        <f t="shared" si="156"/>
        <v>25.190999999999995</v>
      </c>
      <c r="O103" s="736">
        <f t="shared" si="156"/>
        <v>-1.7880000000000003</v>
      </c>
      <c r="P103" s="736">
        <f t="shared" si="156"/>
        <v>24.184999999999999</v>
      </c>
      <c r="Q103" s="736">
        <f t="shared" si="156"/>
        <v>35.504000000000005</v>
      </c>
      <c r="R103" s="736">
        <f t="shared" si="156"/>
        <v>26.175000000000004</v>
      </c>
      <c r="S103" s="986">
        <f t="shared" si="156"/>
        <v>7.0220000000000002</v>
      </c>
      <c r="T103" s="736">
        <f t="shared" si="156"/>
        <v>16.693999999999999</v>
      </c>
      <c r="U103" s="736">
        <f t="shared" si="156"/>
        <v>27.218999999999998</v>
      </c>
      <c r="V103" s="736">
        <f t="shared" si="156"/>
        <v>25.564</v>
      </c>
      <c r="W103" s="986">
        <f t="shared" si="156"/>
        <v>-1.9460000000000002</v>
      </c>
      <c r="X103" s="736">
        <f t="shared" si="156"/>
        <v>10.764999999999997</v>
      </c>
      <c r="Y103" s="754">
        <f t="shared" ref="Y103" si="157">+Y111+Y94</f>
        <v>23.900000000000002</v>
      </c>
      <c r="Z103" s="752">
        <f t="shared" ref="Z103:AD103" si="158">+Z97+Z101+Z102+Z99+Z100</f>
        <v>5.36641144617764</v>
      </c>
      <c r="AA103" s="736">
        <f t="shared" si="158"/>
        <v>14.696235215875666</v>
      </c>
      <c r="AB103" s="736">
        <f t="shared" si="158"/>
        <v>20.717950226843495</v>
      </c>
      <c r="AC103" s="736">
        <f t="shared" si="158"/>
        <v>22.293150785702114</v>
      </c>
      <c r="AD103" s="736">
        <f t="shared" si="158"/>
        <v>16.152749944428891</v>
      </c>
      <c r="AE103" s="689"/>
      <c r="AF103" s="736"/>
      <c r="AG103" s="736">
        <f>+AG111+AG94</f>
        <v>4.3210000000000015</v>
      </c>
      <c r="AH103" s="736">
        <f>+AH111+AH94</f>
        <v>19.683</v>
      </c>
      <c r="AI103" s="736">
        <f>+AI111+AI94</f>
        <v>49.511000000000003</v>
      </c>
      <c r="AJ103" s="736">
        <f t="shared" ref="AJ103:AK103" si="159">+AJ111+AJ94</f>
        <v>84.076000000000008</v>
      </c>
      <c r="AK103" s="754">
        <f t="shared" si="159"/>
        <v>76.498999999999995</v>
      </c>
      <c r="AL103" s="736">
        <f>+SUM(W103:Z103)</f>
        <v>38.085411446177645</v>
      </c>
      <c r="AM103" s="736">
        <f t="shared" si="149"/>
        <v>73.86008617285016</v>
      </c>
    </row>
    <row r="104" spans="1:46" s="817" customFormat="1" ht="12" x14ac:dyDescent="0.3">
      <c r="A104" s="798"/>
      <c r="B104" s="816"/>
      <c r="C104" s="750"/>
      <c r="D104" s="689"/>
      <c r="E104" s="762"/>
      <c r="F104" s="763"/>
      <c r="G104" s="689"/>
      <c r="H104" s="689"/>
      <c r="I104" s="736"/>
      <c r="J104" s="779"/>
      <c r="K104" s="689"/>
      <c r="L104" s="689"/>
      <c r="M104" s="736"/>
      <c r="N104" s="779"/>
      <c r="O104" s="762"/>
      <c r="P104" s="689"/>
      <c r="Q104" s="689"/>
      <c r="R104" s="799"/>
      <c r="S104" s="994"/>
      <c r="T104" s="799"/>
      <c r="U104" s="799"/>
      <c r="V104" s="689"/>
      <c r="W104" s="991"/>
      <c r="X104" s="689"/>
      <c r="Y104" s="781"/>
      <c r="Z104" s="779"/>
      <c r="AA104" s="689"/>
      <c r="AB104" s="689"/>
      <c r="AC104" s="689"/>
      <c r="AD104" s="689"/>
      <c r="AE104" s="689"/>
      <c r="AF104" s="689"/>
      <c r="AG104" s="689"/>
      <c r="AH104" s="689"/>
      <c r="AI104" s="689"/>
      <c r="AJ104" s="689"/>
      <c r="AK104" s="781"/>
      <c r="AL104" s="689"/>
      <c r="AM104" s="689"/>
    </row>
    <row r="105" spans="1:46" s="736" customFormat="1" ht="12" x14ac:dyDescent="0.3">
      <c r="A105" s="793" t="s">
        <v>201</v>
      </c>
      <c r="B105" s="818"/>
      <c r="F105" s="752">
        <f>+'FA - Detailed Disclosure'!F244+'FA - Detailed Disclosure'!F249</f>
        <v>540.83900000000006</v>
      </c>
      <c r="J105" s="752">
        <f>+'STER - Detailed Disclosure (mm)'!J132+'STER - Detailed Disclosure (mm)'!J137</f>
        <v>615.45300000000009</v>
      </c>
      <c r="L105" s="736">
        <f>+'STER - Detailed Disclosure (mm)'!L132+'STER - Detailed Disclosure (mm)'!L137</f>
        <v>606.69200000000001</v>
      </c>
      <c r="M105" s="736">
        <f>+'STER - Detailed Disclosure (mm)'!M132+'STER - Detailed Disclosure (mm)'!M137</f>
        <v>605.66300000000001</v>
      </c>
      <c r="N105" s="752">
        <f>+'STER - Detailed Disclosure (mm)'!N132+'STER - Detailed Disclosure (mm)'!N137</f>
        <v>505.56800000000004</v>
      </c>
      <c r="O105" s="736">
        <f>+'STER - Detailed Disclosure (mm)'!O132+'STER - Detailed Disclosure (mm)'!O137</f>
        <v>504.43</v>
      </c>
      <c r="P105" s="736">
        <f>+'STER - Detailed Disclosure (mm)'!P132+'STER - Detailed Disclosure (mm)'!P137</f>
        <v>503.29599999999999</v>
      </c>
      <c r="Q105" s="736">
        <f>+'STER - Detailed Disclosure (mm)'!Q132+'STER - Detailed Disclosure (mm)'!Q137</f>
        <v>502.166</v>
      </c>
      <c r="R105" s="736">
        <f>+'STER - Detailed Disclosure (mm)'!R132+'STER - Detailed Disclosure (mm)'!R137</f>
        <v>501.49</v>
      </c>
      <c r="S105" s="986">
        <f>+'STER - Detailed Disclosure (mm)'!S132+'STER - Detailed Disclosure (mm)'!S137</f>
        <v>499.80900000000003</v>
      </c>
      <c r="T105" s="736">
        <f>+'STER - Detailed Disclosure (mm)'!T132+'STER - Detailed Disclosure (mm)'!T137</f>
        <v>498.13200000000001</v>
      </c>
      <c r="U105" s="736">
        <f>+'STER - Detailed Disclosure (mm)'!U132+'STER - Detailed Disclosure (mm)'!U137</f>
        <v>496.459</v>
      </c>
      <c r="V105" s="736">
        <f>+'STER - Detailed Disclosure (mm)'!V132+'STER - Detailed Disclosure (mm)'!V137</f>
        <v>494.78800000000001</v>
      </c>
      <c r="W105" s="986">
        <f>+'STER - Detailed Disclosure (mm)'!W132+'STER - Detailed Disclosure (mm)'!W137</f>
        <v>556.24199999999996</v>
      </c>
      <c r="X105" s="736">
        <f>+'STER - Detailed Disclosure (mm)'!X132+'STER - Detailed Disclosure (mm)'!X137</f>
        <v>552.69600000000003</v>
      </c>
      <c r="Y105" s="754">
        <f t="shared" ref="Y105:AD105" si="160">+X105</f>
        <v>552.69600000000003</v>
      </c>
      <c r="Z105" s="752">
        <f t="shared" si="160"/>
        <v>552.69600000000003</v>
      </c>
      <c r="AA105" s="736">
        <f t="shared" si="160"/>
        <v>552.69600000000003</v>
      </c>
      <c r="AB105" s="736">
        <f t="shared" si="160"/>
        <v>552.69600000000003</v>
      </c>
      <c r="AC105" s="736">
        <f t="shared" si="160"/>
        <v>552.69600000000003</v>
      </c>
      <c r="AD105" s="736">
        <f t="shared" si="160"/>
        <v>552.69600000000003</v>
      </c>
      <c r="AG105" s="736">
        <f>+F105</f>
        <v>540.83900000000006</v>
      </c>
      <c r="AH105" s="736">
        <f>+J105</f>
        <v>615.45300000000009</v>
      </c>
      <c r="AI105" s="736">
        <f>+N105</f>
        <v>505.56800000000004</v>
      </c>
      <c r="AJ105" s="736">
        <f>+R105</f>
        <v>501.49</v>
      </c>
      <c r="AK105" s="754">
        <f>+V105</f>
        <v>494.78800000000001</v>
      </c>
      <c r="AL105" s="736">
        <f>+Z105</f>
        <v>552.69600000000003</v>
      </c>
      <c r="AM105" s="736">
        <f>+AD105</f>
        <v>552.69600000000003</v>
      </c>
      <c r="AO105" s="828"/>
      <c r="AP105" s="828"/>
      <c r="AQ105" s="828"/>
      <c r="AR105" s="828"/>
      <c r="AS105" s="828"/>
      <c r="AT105" s="828"/>
    </row>
    <row r="106" spans="1:46" s="784" customFormat="1" ht="12" x14ac:dyDescent="0.3">
      <c r="A106" s="793" t="s">
        <v>241</v>
      </c>
      <c r="B106" s="829"/>
      <c r="F106" s="785">
        <f>+'FA - Detailed Disclosure'!F225*-1+'FA - Detailed Disclosure'!F227*-1</f>
        <v>-81.945999999999998</v>
      </c>
      <c r="J106" s="785">
        <f>+'STER - Detailed Disclosure (mm)'!J112*-1</f>
        <v>-66.632999999999996</v>
      </c>
      <c r="L106" s="784">
        <f>+'STER - Detailed Disclosure (mm)'!L112*-1</f>
        <v>-94.290999999999997</v>
      </c>
      <c r="M106" s="784">
        <f>+'STER - Detailed Disclosure (mm)'!M112*-1</f>
        <v>-192.39699999999999</v>
      </c>
      <c r="N106" s="785">
        <f>+'STER - Detailed Disclosure (mm)'!N112*-1</f>
        <v>-47.997999999999998</v>
      </c>
      <c r="O106" s="784">
        <f>+'STER - Detailed Disclosure (mm)'!O112*-1</f>
        <v>-44.347000000000001</v>
      </c>
      <c r="P106" s="784">
        <f>+'STER - Detailed Disclosure (mm)'!P112*-1</f>
        <v>-65.811000000000007</v>
      </c>
      <c r="Q106" s="784">
        <f>+'STER - Detailed Disclosure (mm)'!Q112*-1</f>
        <v>-99.19</v>
      </c>
      <c r="R106" s="784">
        <f>+'STER - Detailed Disclosure (mm)'!R112*-1</f>
        <v>-103.095</v>
      </c>
      <c r="S106" s="1003">
        <f>+'STER - Detailed Disclosure (mm)'!S112*-1</f>
        <v>-50.963999999999999</v>
      </c>
      <c r="T106" s="784">
        <f>+'STER - Detailed Disclosure (mm)'!T112*-1</f>
        <v>-48.817</v>
      </c>
      <c r="U106" s="784">
        <f>+'STER - Detailed Disclosure (mm)'!U112*-1</f>
        <v>-49.877000000000002</v>
      </c>
      <c r="V106" s="784">
        <f>+'STER - Detailed Disclosure (mm)'!V112*-1</f>
        <v>-54.223999999999997</v>
      </c>
      <c r="W106" s="1003">
        <f>+'STER - Detailed Disclosure (mm)'!W112*-1</f>
        <v>-66.978999999999999</v>
      </c>
      <c r="X106" s="784">
        <f>+'STER - Detailed Disclosure (mm)'!X112*-1</f>
        <v>-74.182000000000002</v>
      </c>
      <c r="Y106" s="830">
        <f>+'STER - Detailed Disclosure (mm)'!Y112*-1</f>
        <v>-75.099999999999994</v>
      </c>
      <c r="Z106" s="785">
        <f t="shared" ref="Z106:AD106" si="161">+Y106-Z103</f>
        <v>-80.466411446177631</v>
      </c>
      <c r="AA106" s="784">
        <f t="shared" si="161"/>
        <v>-95.162646662053291</v>
      </c>
      <c r="AB106" s="784">
        <f t="shared" si="161"/>
        <v>-115.88059688889679</v>
      </c>
      <c r="AC106" s="784">
        <f t="shared" si="161"/>
        <v>-138.1737476745989</v>
      </c>
      <c r="AD106" s="784">
        <f t="shared" si="161"/>
        <v>-154.3264976190278</v>
      </c>
      <c r="AG106" s="784">
        <f>+F106</f>
        <v>-81.945999999999998</v>
      </c>
      <c r="AH106" s="784">
        <f>+J106</f>
        <v>-66.632999999999996</v>
      </c>
      <c r="AI106" s="784">
        <f>+N106</f>
        <v>-47.997999999999998</v>
      </c>
      <c r="AJ106" s="784">
        <f>+R106</f>
        <v>-103.095</v>
      </c>
      <c r="AK106" s="830">
        <f>+V106</f>
        <v>-54.223999999999997</v>
      </c>
      <c r="AL106" s="784">
        <f>+Z106</f>
        <v>-80.466411446177631</v>
      </c>
      <c r="AM106" s="784">
        <f t="shared" ref="AM106:AM107" si="162">+AD106</f>
        <v>-154.3264976190278</v>
      </c>
    </row>
    <row r="107" spans="1:46" s="736" customFormat="1" ht="12" x14ac:dyDescent="0.3">
      <c r="A107" s="821" t="s">
        <v>52</v>
      </c>
      <c r="B107" s="818"/>
      <c r="F107" s="752">
        <f t="shared" ref="F107" si="163">+SUM(F105:F106)</f>
        <v>458.89300000000003</v>
      </c>
      <c r="J107" s="752">
        <f t="shared" ref="J107:W107" si="164">+SUM(J105:J106)</f>
        <v>548.82000000000005</v>
      </c>
      <c r="L107" s="736">
        <f t="shared" si="164"/>
        <v>512.40100000000007</v>
      </c>
      <c r="M107" s="736">
        <f t="shared" si="164"/>
        <v>413.26600000000002</v>
      </c>
      <c r="N107" s="752">
        <f t="shared" si="164"/>
        <v>457.57000000000005</v>
      </c>
      <c r="O107" s="736">
        <f t="shared" si="164"/>
        <v>460.08300000000003</v>
      </c>
      <c r="P107" s="736">
        <f t="shared" si="164"/>
        <v>437.48500000000001</v>
      </c>
      <c r="Q107" s="736">
        <f t="shared" si="164"/>
        <v>402.976</v>
      </c>
      <c r="R107" s="736">
        <f t="shared" si="164"/>
        <v>398.39499999999998</v>
      </c>
      <c r="S107" s="986">
        <f t="shared" si="164"/>
        <v>448.84500000000003</v>
      </c>
      <c r="T107" s="736">
        <f t="shared" si="164"/>
        <v>449.315</v>
      </c>
      <c r="U107" s="736">
        <f t="shared" si="164"/>
        <v>446.58199999999999</v>
      </c>
      <c r="V107" s="736">
        <f t="shared" si="164"/>
        <v>440.56400000000002</v>
      </c>
      <c r="W107" s="986">
        <f t="shared" si="164"/>
        <v>489.26299999999998</v>
      </c>
      <c r="X107" s="736">
        <f t="shared" ref="X107:Y107" si="165">+SUM(X105:X106)</f>
        <v>478.51400000000001</v>
      </c>
      <c r="Y107" s="754">
        <f t="shared" si="165"/>
        <v>477.596</v>
      </c>
      <c r="Z107" s="752">
        <f t="shared" ref="Z107:AD107" si="166">+Y107-Z103</f>
        <v>472.22958855382234</v>
      </c>
      <c r="AA107" s="736">
        <f t="shared" si="166"/>
        <v>457.53335333794666</v>
      </c>
      <c r="AB107" s="736">
        <f t="shared" si="166"/>
        <v>436.81540311110319</v>
      </c>
      <c r="AC107" s="736">
        <f t="shared" si="166"/>
        <v>414.5222523254011</v>
      </c>
      <c r="AD107" s="736">
        <f t="shared" si="166"/>
        <v>398.36950238097222</v>
      </c>
      <c r="AG107" s="736">
        <f t="shared" ref="AG107:AI107" si="167">+SUM(AG105:AG106)</f>
        <v>458.89300000000003</v>
      </c>
      <c r="AH107" s="736">
        <f t="shared" si="167"/>
        <v>548.82000000000005</v>
      </c>
      <c r="AI107" s="736">
        <f t="shared" si="167"/>
        <v>457.57000000000005</v>
      </c>
      <c r="AJ107" s="736">
        <f>+R107</f>
        <v>398.39499999999998</v>
      </c>
      <c r="AK107" s="754">
        <f>+V107</f>
        <v>440.56400000000002</v>
      </c>
      <c r="AL107" s="736">
        <f>+Z107</f>
        <v>472.22958855382234</v>
      </c>
      <c r="AM107" s="736">
        <f t="shared" si="162"/>
        <v>398.36950238097222</v>
      </c>
    </row>
    <row r="108" spans="1:46" s="817" customFormat="1" ht="12" x14ac:dyDescent="0.3">
      <c r="A108" s="798" t="s">
        <v>168</v>
      </c>
      <c r="B108" s="816"/>
      <c r="C108" s="831"/>
      <c r="D108" s="831"/>
      <c r="E108" s="831"/>
      <c r="F108" s="832">
        <f>IF(OR(F107&lt;0,AG70&lt;0),"NM",F107/AG70)</f>
        <v>3.8965848108144834</v>
      </c>
      <c r="G108" s="831"/>
      <c r="H108" s="831"/>
      <c r="I108" s="831"/>
      <c r="J108" s="832">
        <f t="shared" ref="J108:Q108" si="168">+IF(OR(J107&lt;0,SUM(G70:J70)&lt;0),"NM",J107/SUM(G70:J70))</f>
        <v>5.6126894520463892</v>
      </c>
      <c r="K108" s="831"/>
      <c r="L108" s="831">
        <f t="shared" si="168"/>
        <v>3.6976171920101595</v>
      </c>
      <c r="M108" s="831">
        <f t="shared" si="168"/>
        <v>3.0793177703100425</v>
      </c>
      <c r="N108" s="832">
        <f t="shared" si="168"/>
        <v>3.1210864493949768</v>
      </c>
      <c r="O108" s="831">
        <f t="shared" si="168"/>
        <v>3.0026039627222172</v>
      </c>
      <c r="P108" s="831">
        <f t="shared" si="168"/>
        <v>2.7794649267149092</v>
      </c>
      <c r="Q108" s="831">
        <f t="shared" si="168"/>
        <v>2.2577330561889659</v>
      </c>
      <c r="R108" s="833">
        <f t="shared" ref="R108:AD108" si="169">+IF(OR(R107&lt;0,SUM(O70:R70)&lt;0),"NM",R107/SUM(O70:R70))</f>
        <v>2.280478311142657</v>
      </c>
      <c r="S108" s="1004">
        <f t="shared" si="169"/>
        <v>2.6452128098442969</v>
      </c>
      <c r="T108" s="833">
        <f t="shared" si="169"/>
        <v>2.8104671236989591</v>
      </c>
      <c r="U108" s="833">
        <f t="shared" si="169"/>
        <v>2.960633784142138</v>
      </c>
      <c r="V108" s="833">
        <f t="shared" si="169"/>
        <v>2.9297883942702878</v>
      </c>
      <c r="W108" s="1004">
        <f t="shared" si="169"/>
        <v>3.4447863127508294</v>
      </c>
      <c r="X108" s="833">
        <f t="shared" si="169"/>
        <v>3.5192098373194503</v>
      </c>
      <c r="Y108" s="834">
        <f t="shared" ref="Y108" si="170">+IF(OR(Y107&lt;0,SUM(V70:Y70)&lt;0),"NM",Y107/SUM(V70:Y70))</f>
        <v>3.6194402552423992</v>
      </c>
      <c r="Z108" s="832">
        <f t="shared" si="169"/>
        <v>3.6649604572244008</v>
      </c>
      <c r="AA108" s="831">
        <f t="shared" si="169"/>
        <v>3.3890170426008752</v>
      </c>
      <c r="AB108" s="831">
        <f t="shared" si="169"/>
        <v>3.033079589491479</v>
      </c>
      <c r="AC108" s="831">
        <f t="shared" si="169"/>
        <v>2.6687253554278909</v>
      </c>
      <c r="AD108" s="831">
        <f t="shared" si="169"/>
        <v>2.4761859120399312</v>
      </c>
      <c r="AE108" s="689"/>
      <c r="AF108" s="831"/>
      <c r="AG108" s="831">
        <f t="shared" ref="AG108:AM108" si="171">IF(OR(AG107&lt;0,AG70&lt;0),"NM",AG107/AG70)</f>
        <v>3.8965848108144834</v>
      </c>
      <c r="AH108" s="831">
        <f t="shared" si="171"/>
        <v>5.6126894520463892</v>
      </c>
      <c r="AI108" s="831">
        <f t="shared" si="171"/>
        <v>3.1210864493949764</v>
      </c>
      <c r="AJ108" s="831">
        <f t="shared" si="171"/>
        <v>2.2804783111426579</v>
      </c>
      <c r="AK108" s="834">
        <f t="shared" si="171"/>
        <v>2.9297883942702874</v>
      </c>
      <c r="AL108" s="831">
        <f t="shared" si="171"/>
        <v>3.6649604572244008</v>
      </c>
      <c r="AM108" s="831">
        <f t="shared" si="171"/>
        <v>2.4761859120399312</v>
      </c>
    </row>
    <row r="109" spans="1:46" s="817" customFormat="1" ht="12" x14ac:dyDescent="0.3">
      <c r="A109" s="505"/>
      <c r="B109" s="816"/>
      <c r="C109" s="689"/>
      <c r="D109" s="689"/>
      <c r="E109" s="689"/>
      <c r="F109" s="779"/>
      <c r="G109" s="689"/>
      <c r="H109" s="689"/>
      <c r="I109" s="736"/>
      <c r="J109" s="779"/>
      <c r="K109" s="689"/>
      <c r="L109" s="689"/>
      <c r="M109" s="736"/>
      <c r="N109" s="779"/>
      <c r="O109" s="689"/>
      <c r="P109" s="689"/>
      <c r="Q109" s="689"/>
      <c r="R109" s="799"/>
      <c r="S109" s="994"/>
      <c r="T109" s="799"/>
      <c r="U109" s="799"/>
      <c r="V109" s="799"/>
      <c r="W109" s="994"/>
      <c r="X109" s="799"/>
      <c r="Y109" s="781"/>
      <c r="Z109" s="779"/>
      <c r="AA109" s="689"/>
      <c r="AB109" s="689"/>
      <c r="AC109" s="689"/>
      <c r="AD109" s="689"/>
      <c r="AE109" s="689"/>
      <c r="AF109" s="689"/>
      <c r="AG109" s="689"/>
      <c r="AH109" s="689"/>
      <c r="AI109" s="689"/>
      <c r="AJ109" s="689"/>
      <c r="AK109" s="781"/>
      <c r="AL109" s="689"/>
      <c r="AM109" s="689"/>
    </row>
    <row r="110" spans="1:46" s="817" customFormat="1" ht="12" x14ac:dyDescent="0.3">
      <c r="A110" s="748" t="s">
        <v>149</v>
      </c>
      <c r="B110" s="816"/>
      <c r="C110" s="689"/>
      <c r="D110" s="750"/>
      <c r="E110" s="750"/>
      <c r="F110" s="751"/>
      <c r="G110" s="689"/>
      <c r="H110" s="689"/>
      <c r="I110" s="736"/>
      <c r="J110" s="779"/>
      <c r="K110" s="689"/>
      <c r="L110" s="689"/>
      <c r="M110" s="736"/>
      <c r="N110" s="779"/>
      <c r="O110" s="689"/>
      <c r="P110" s="750"/>
      <c r="Q110" s="689"/>
      <c r="R110" s="799"/>
      <c r="S110" s="994"/>
      <c r="T110" s="799"/>
      <c r="U110" s="799"/>
      <c r="V110" s="799"/>
      <c r="W110" s="994"/>
      <c r="X110" s="799"/>
      <c r="Y110" s="781"/>
      <c r="Z110" s="779"/>
      <c r="AA110" s="689"/>
      <c r="AB110" s="689"/>
      <c r="AC110" s="689"/>
      <c r="AD110" s="689"/>
      <c r="AE110" s="689"/>
      <c r="AF110" s="750"/>
      <c r="AG110" s="750"/>
      <c r="AH110" s="750"/>
      <c r="AI110" s="744"/>
      <c r="AJ110" s="689"/>
      <c r="AK110" s="781"/>
      <c r="AL110" s="689"/>
      <c r="AM110" s="689"/>
    </row>
    <row r="111" spans="1:46" s="820" customFormat="1" ht="12" x14ac:dyDescent="0.3">
      <c r="A111" s="793" t="s">
        <v>150</v>
      </c>
      <c r="B111" s="818"/>
      <c r="C111" s="736"/>
      <c r="D111" s="736"/>
      <c r="E111" s="736"/>
      <c r="F111" s="752"/>
      <c r="G111" s="736"/>
      <c r="H111" s="736"/>
      <c r="I111" s="736">
        <f>+'STER - Detailed Disclosure (mm)'!I184</f>
        <v>5.6269999999999998</v>
      </c>
      <c r="J111" s="752">
        <f>+'STER - Detailed Disclosure (mm)'!J184</f>
        <v>10.331999999999995</v>
      </c>
      <c r="K111" s="736">
        <f>+'STER - Detailed Disclosure (mm)'!K184</f>
        <v>21.983000000000001</v>
      </c>
      <c r="L111" s="736">
        <f>+'STER - Detailed Disclosure (mm)'!L184</f>
        <v>23.306999999999999</v>
      </c>
      <c r="M111" s="736">
        <f>+'STER - Detailed Disclosure (mm)'!M184</f>
        <v>-6.3639999999999999</v>
      </c>
      <c r="N111" s="752">
        <f>+'STER - Detailed Disclosure (mm)'!N184</f>
        <v>29.678999999999995</v>
      </c>
      <c r="O111" s="736">
        <f>+'STER - Detailed Disclosure (mm)'!O184</f>
        <v>3.4489999999999998</v>
      </c>
      <c r="P111" s="736">
        <f>+'STER - Detailed Disclosure (mm)'!P184</f>
        <v>29.83</v>
      </c>
      <c r="Q111" s="736">
        <f>+'STER - Detailed Disclosure (mm)'!Q184</f>
        <v>40.319000000000003</v>
      </c>
      <c r="R111" s="736">
        <f>+'STER - Detailed Disclosure (mm)'!R184</f>
        <v>30.665000000000006</v>
      </c>
      <c r="S111" s="986">
        <f>+'STER - Detailed Disclosure (mm)'!S184</f>
        <v>11.282</v>
      </c>
      <c r="T111" s="736">
        <f>+'STER - Detailed Disclosure (mm)'!T184</f>
        <v>21.616</v>
      </c>
      <c r="U111" s="736">
        <f>+'STER - Detailed Disclosure (mm)'!U184</f>
        <v>32.777999999999999</v>
      </c>
      <c r="V111" s="736">
        <f>+'STER - Detailed Disclosure (mm)'!V184</f>
        <v>31.184999999999999</v>
      </c>
      <c r="W111" s="986">
        <f>+'STER - Detailed Disclosure (mm)'!W184</f>
        <v>3.6739999999999999</v>
      </c>
      <c r="X111" s="736">
        <f>+'STER - Detailed Disclosure (mm)'!X184</f>
        <v>16.492999999999999</v>
      </c>
      <c r="Y111" s="754">
        <f>+'STER - Detailed Disclosure (mm)'!Y184</f>
        <v>29.1</v>
      </c>
      <c r="Z111" s="752">
        <f t="shared" ref="Z111:AD111" si="172">+Z103-Z94</f>
        <v>10.507634099798281</v>
      </c>
      <c r="AA111" s="736">
        <f t="shared" si="172"/>
        <v>20.501168387536559</v>
      </c>
      <c r="AB111" s="736">
        <f t="shared" si="172"/>
        <v>26.715541444747473</v>
      </c>
      <c r="AC111" s="736">
        <f t="shared" si="172"/>
        <v>27.829104854763308</v>
      </c>
      <c r="AD111" s="736">
        <f t="shared" si="172"/>
        <v>21.71940122525087</v>
      </c>
      <c r="AE111" s="799"/>
      <c r="AF111" s="736"/>
      <c r="AG111" s="736">
        <f>+'STER - Detailed Disclosure (mm)'!AQ184</f>
        <v>36.204000000000001</v>
      </c>
      <c r="AH111" s="736">
        <f>+'STER - Detailed Disclosure (mm)'!AR184</f>
        <v>36.185000000000002</v>
      </c>
      <c r="AI111" s="736">
        <f>+'STER - Detailed Disclosure (mm)'!AS184</f>
        <v>68.605000000000004</v>
      </c>
      <c r="AJ111" s="736">
        <f t="shared" ref="AJ111:AJ115" si="173">+SUM(O111:R111)</f>
        <v>104.26300000000001</v>
      </c>
      <c r="AK111" s="754">
        <f t="shared" ref="AK111:AK116" si="174">+SUM(S111:V111)</f>
        <v>96.86099999999999</v>
      </c>
      <c r="AL111" s="736">
        <f t="shared" ref="AL111:AL116" si="175">+SUM(W111:Z111)</f>
        <v>59.774634099798277</v>
      </c>
      <c r="AM111" s="736">
        <f t="shared" ref="AM111:AM116" si="176">+SUM(AA111:AD111)</f>
        <v>96.765215912298203</v>
      </c>
    </row>
    <row r="112" spans="1:46" s="820" customFormat="1" ht="12" x14ac:dyDescent="0.3">
      <c r="A112" s="793" t="s">
        <v>243</v>
      </c>
      <c r="B112" s="818"/>
      <c r="C112" s="736"/>
      <c r="D112" s="736"/>
      <c r="E112" s="736"/>
      <c r="F112" s="752"/>
      <c r="G112" s="736"/>
      <c r="H112" s="736"/>
      <c r="I112" s="736">
        <f>+'STER - Detailed Disclosure (mm)'!I222</f>
        <v>1.0819999999999999</v>
      </c>
      <c r="J112" s="752">
        <f>+'STER - Detailed Disclosure (mm)'!J222</f>
        <v>-0.47799999999999976</v>
      </c>
      <c r="K112" s="736">
        <f>+'STER - Detailed Disclosure (mm)'!K222</f>
        <v>1.075</v>
      </c>
      <c r="L112" s="736">
        <f>+'STER - Detailed Disclosure (mm)'!L222</f>
        <v>1.6679999999999999</v>
      </c>
      <c r="M112" s="736">
        <f>+'STER - Detailed Disclosure (mm)'!M222</f>
        <v>1.9200000000000004</v>
      </c>
      <c r="N112" s="752">
        <f>+'STER - Detailed Disclosure (mm)'!N222</f>
        <v>0.91099999999999959</v>
      </c>
      <c r="O112" s="736">
        <f>+'STER - Detailed Disclosure (mm)'!O222</f>
        <v>4.2220000000000004</v>
      </c>
      <c r="P112" s="736">
        <f>+'STER - Detailed Disclosure (mm)'!P222</f>
        <v>5.3090000000000002</v>
      </c>
      <c r="Q112" s="736">
        <f>+'STER - Detailed Disclosure (mm)'!Q222</f>
        <v>1.9819999999999993</v>
      </c>
      <c r="R112" s="736">
        <f>+'STER - Detailed Disclosure (mm)'!R222</f>
        <v>7.0190000000000001</v>
      </c>
      <c r="S112" s="986">
        <f>+'STER - Detailed Disclosure (mm)'!S222</f>
        <v>2.9780000000000002</v>
      </c>
      <c r="T112" s="736">
        <f>+'STER - Detailed Disclosure (mm)'!T222</f>
        <v>6.7249999999999996</v>
      </c>
      <c r="U112" s="736">
        <f>+'STER - Detailed Disclosure (mm)'!U222</f>
        <v>3.516</v>
      </c>
      <c r="V112" s="736">
        <f>+'STER - Detailed Disclosure (mm)'!V222</f>
        <v>4.2650000000000023</v>
      </c>
      <c r="W112" s="986">
        <f>+'STER - Detailed Disclosure (mm)'!W222</f>
        <v>9.5419999999999998</v>
      </c>
      <c r="X112" s="736">
        <f>+'STER - Detailed Disclosure (mm)'!X222</f>
        <v>10.071</v>
      </c>
      <c r="Y112" s="1007">
        <f>+Y86</f>
        <v>4.7074999999999978</v>
      </c>
      <c r="Z112" s="1089">
        <v>0</v>
      </c>
      <c r="AA112" s="753">
        <v>0</v>
      </c>
      <c r="AB112" s="753">
        <v>0</v>
      </c>
      <c r="AC112" s="753">
        <v>0</v>
      </c>
      <c r="AD112" s="753">
        <v>0</v>
      </c>
      <c r="AE112" s="799"/>
      <c r="AF112" s="736"/>
      <c r="AG112" s="736">
        <f>+'STER - Detailed Disclosure (mm)'!AQ222</f>
        <v>6.585</v>
      </c>
      <c r="AH112" s="736">
        <f>+'STER - Detailed Disclosure (mm)'!AR222</f>
        <v>3.2240000000000002</v>
      </c>
      <c r="AI112" s="736">
        <f t="shared" ref="AI112:AI116" si="177">+SUM(K112:N112)</f>
        <v>5.5739999999999998</v>
      </c>
      <c r="AJ112" s="736">
        <f t="shared" si="173"/>
        <v>18.532</v>
      </c>
      <c r="AK112" s="754">
        <f t="shared" si="174"/>
        <v>17.484000000000002</v>
      </c>
      <c r="AL112" s="736">
        <f t="shared" si="175"/>
        <v>24.320499999999996</v>
      </c>
      <c r="AM112" s="736">
        <f t="shared" si="176"/>
        <v>0</v>
      </c>
    </row>
    <row r="113" spans="1:44" s="820" customFormat="1" ht="12" x14ac:dyDescent="0.3">
      <c r="A113" s="793" t="s">
        <v>244</v>
      </c>
      <c r="B113" s="818"/>
      <c r="C113" s="736"/>
      <c r="D113" s="736"/>
      <c r="E113" s="736"/>
      <c r="F113" s="752"/>
      <c r="G113" s="736"/>
      <c r="H113" s="736"/>
      <c r="I113" s="736">
        <f>+'STER - Detailed Disclosure (mm)'!I195+'STER - Detailed Disclosure (mm)'!I196+'STER - Detailed Disclosure (mm)'!I198+'STER - Detailed Disclosure (mm)'!I200</f>
        <v>0</v>
      </c>
      <c r="J113" s="752">
        <f>+'STER - Detailed Disclosure (mm)'!J195+'STER - Detailed Disclosure (mm)'!J196+'STER - Detailed Disclosure (mm)'!J198+'STER - Detailed Disclosure (mm)'!J200</f>
        <v>2.0499999999999998</v>
      </c>
      <c r="K113" s="736">
        <f>+'STER - Detailed Disclosure (mm)'!K195+'STER - Detailed Disclosure (mm)'!K196+'STER - Detailed Disclosure (mm)'!K198+'STER - Detailed Disclosure (mm)'!K200</f>
        <v>2.2269999999999999</v>
      </c>
      <c r="L113" s="736">
        <f>+'STER - Detailed Disclosure (mm)'!L195+'STER - Detailed Disclosure (mm)'!L196+'STER - Detailed Disclosure (mm)'!L198+'STER - Detailed Disclosure (mm)'!L200</f>
        <v>0.20000000000000018</v>
      </c>
      <c r="M113" s="736">
        <f>+'STER - Detailed Disclosure (mm)'!M195+'STER - Detailed Disclosure (mm)'!M196+'STER - Detailed Disclosure (mm)'!M198+'STER - Detailed Disclosure (mm)'!M200</f>
        <v>102.694</v>
      </c>
      <c r="N113" s="752">
        <f>+'STER - Detailed Disclosure (mm)'!N195+'STER - Detailed Disclosure (mm)'!N196+'STER - Detailed Disclosure (mm)'!N198+'STER - Detailed Disclosure (mm)'!N200</f>
        <v>0</v>
      </c>
      <c r="O113" s="736">
        <f>+'STER - Detailed Disclosure (mm)'!O195+'STER - Detailed Disclosure (mm)'!O196+'STER - Detailed Disclosure (mm)'!O198+'STER - Detailed Disclosure (mm)'!O200</f>
        <v>7.0000000000000007E-2</v>
      </c>
      <c r="P113" s="736">
        <f>+'STER - Detailed Disclosure (mm)'!P195+'STER - Detailed Disclosure (mm)'!P196+'STER - Detailed Disclosure (mm)'!P198+'STER - Detailed Disclosure (mm)'!P200</f>
        <v>0.74399999999999999</v>
      </c>
      <c r="Q113" s="736">
        <f>+'STER - Detailed Disclosure (mm)'!Q195+'STER - Detailed Disclosure (mm)'!Q196+'STER - Detailed Disclosure (mm)'!Q198+'STER - Detailed Disclosure (mm)'!Q200</f>
        <v>1.4769999999999999</v>
      </c>
      <c r="R113" s="736">
        <f>+'STER - Detailed Disclosure (mm)'!R195+'STER - Detailed Disclosure (mm)'!R196+'STER - Detailed Disclosure (mm)'!R198+'STER - Detailed Disclosure (mm)'!R200</f>
        <v>0.125</v>
      </c>
      <c r="S113" s="986">
        <f>+'STER - Detailed Disclosure (mm)'!S195+'STER - Detailed Disclosure (mm)'!S196+'STER - Detailed Disclosure (mm)'!S198+'STER - Detailed Disclosure (mm)'!S200</f>
        <v>0</v>
      </c>
      <c r="T113" s="736">
        <f>+'STER - Detailed Disclosure (mm)'!T195+'STER - Detailed Disclosure (mm)'!T196+'STER - Detailed Disclosure (mm)'!T198+'STER - Detailed Disclosure (mm)'!T200</f>
        <v>0.61099999999999999</v>
      </c>
      <c r="U113" s="736">
        <f>+'STER - Detailed Disclosure (mm)'!U195+'STER - Detailed Disclosure (mm)'!U196+'STER - Detailed Disclosure (mm)'!U198+'STER - Detailed Disclosure (mm)'!U200</f>
        <v>1.387</v>
      </c>
      <c r="V113" s="736">
        <f>+'STER - Detailed Disclosure (mm)'!V195+'STER - Detailed Disclosure (mm)'!V196+'STER - Detailed Disclosure (mm)'!V198+'STER - Detailed Disclosure (mm)'!V200</f>
        <v>3.3629999999999995</v>
      </c>
      <c r="W113" s="986">
        <f>+'STER - Detailed Disclosure (mm)'!W195+'STER - Detailed Disclosure (mm)'!W196+'STER - Detailed Disclosure (mm)'!W198+'STER - Detailed Disclosure (mm)'!W200</f>
        <v>54.323999999999998</v>
      </c>
      <c r="X113" s="736">
        <f>+'STER - Detailed Disclosure (mm)'!X195+'STER - Detailed Disclosure (mm)'!X196+'STER - Detailed Disclosure (mm)'!X198+'STER - Detailed Disclosure (mm)'!X200</f>
        <v>-11.073999999999998</v>
      </c>
      <c r="Y113" s="1007">
        <v>0</v>
      </c>
      <c r="Z113" s="1089">
        <v>0</v>
      </c>
      <c r="AA113" s="753">
        <v>0</v>
      </c>
      <c r="AB113" s="753">
        <v>0</v>
      </c>
      <c r="AC113" s="753">
        <v>0</v>
      </c>
      <c r="AD113" s="753">
        <v>0</v>
      </c>
      <c r="AE113" s="799"/>
      <c r="AF113" s="736"/>
      <c r="AG113" s="736">
        <f>+'STER - Detailed Disclosure (mm)'!AQ195+'STER - Detailed Disclosure (mm)'!AQ196+'STER - Detailed Disclosure (mm)'!AQ198+'STER - Detailed Disclosure (mm)'!AQ200</f>
        <v>0.13</v>
      </c>
      <c r="AH113" s="736">
        <f>+'STER - Detailed Disclosure (mm)'!AR195+'STER - Detailed Disclosure (mm)'!AR196+'STER - Detailed Disclosure (mm)'!AR198+'STER - Detailed Disclosure (mm)'!AR200</f>
        <v>3.25</v>
      </c>
      <c r="AI113" s="736">
        <f t="shared" si="177"/>
        <v>105.12100000000001</v>
      </c>
      <c r="AJ113" s="736">
        <f t="shared" si="173"/>
        <v>2.4159999999999999</v>
      </c>
      <c r="AK113" s="754">
        <f t="shared" si="174"/>
        <v>5.3609999999999998</v>
      </c>
      <c r="AL113" s="736">
        <f t="shared" si="175"/>
        <v>43.25</v>
      </c>
      <c r="AM113" s="736">
        <f t="shared" si="176"/>
        <v>0</v>
      </c>
      <c r="AO113" s="2202">
        <v>1650</v>
      </c>
      <c r="AP113" s="2202">
        <v>1650</v>
      </c>
      <c r="AQ113" s="2202">
        <v>1650</v>
      </c>
      <c r="AR113" s="2202">
        <f>67.6*14.35</f>
        <v>970.06</v>
      </c>
    </row>
    <row r="114" spans="1:44" s="820" customFormat="1" ht="12" x14ac:dyDescent="0.3">
      <c r="A114" s="793" t="s">
        <v>245</v>
      </c>
      <c r="B114" s="818"/>
      <c r="C114" s="835"/>
      <c r="D114" s="835"/>
      <c r="E114" s="835"/>
      <c r="F114" s="836"/>
      <c r="G114" s="736"/>
      <c r="H114" s="736"/>
      <c r="I114" s="736">
        <f>+'STER - Detailed Disclosure (mm)'!I199</f>
        <v>0</v>
      </c>
      <c r="J114" s="752">
        <f>+'STER - Detailed Disclosure (mm)'!J199</f>
        <v>0</v>
      </c>
      <c r="K114" s="736">
        <f>+'STER - Detailed Disclosure (mm)'!K199</f>
        <v>0</v>
      </c>
      <c r="L114" s="736">
        <f>+'STER - Detailed Disclosure (mm)'!L199</f>
        <v>0</v>
      </c>
      <c r="M114" s="736">
        <f>+'STER - Detailed Disclosure (mm)'!M199</f>
        <v>0</v>
      </c>
      <c r="N114" s="752">
        <f>+'STER - Detailed Disclosure (mm)'!N199</f>
        <v>0</v>
      </c>
      <c r="O114" s="736">
        <f>+'STER - Detailed Disclosure (mm)'!O199</f>
        <v>0</v>
      </c>
      <c r="P114" s="736">
        <f>+'STER - Detailed Disclosure (mm)'!P199</f>
        <v>0</v>
      </c>
      <c r="Q114" s="736">
        <f>+'STER - Detailed Disclosure (mm)'!Q199</f>
        <v>0</v>
      </c>
      <c r="R114" s="736">
        <f>+'STER - Detailed Disclosure (mm)'!R199</f>
        <v>-13.962</v>
      </c>
      <c r="S114" s="986">
        <f>+'STER - Detailed Disclosure (mm)'!S199</f>
        <v>-7.7110000000000003</v>
      </c>
      <c r="T114" s="736">
        <f>+'STER - Detailed Disclosure (mm)'!T199</f>
        <v>-17.631</v>
      </c>
      <c r="U114" s="736">
        <f>+'STER - Detailed Disclosure (mm)'!U199</f>
        <v>-20.701000000000001</v>
      </c>
      <c r="V114" s="736">
        <f>+'STER - Detailed Disclosure (mm)'!V199</f>
        <v>-21.719000000000001</v>
      </c>
      <c r="W114" s="986">
        <f>+'STER - Detailed Disclosure (mm)'!W199</f>
        <v>-6.8319999999999999</v>
      </c>
      <c r="X114" s="736">
        <f>+'STER - Detailed Disclosure (mm)'!X199</f>
        <v>0</v>
      </c>
      <c r="Y114" s="1007">
        <v>0</v>
      </c>
      <c r="Z114" s="1089">
        <v>0</v>
      </c>
      <c r="AA114" s="753">
        <v>0</v>
      </c>
      <c r="AB114" s="753">
        <v>0</v>
      </c>
      <c r="AC114" s="753">
        <v>0</v>
      </c>
      <c r="AD114" s="753">
        <v>0</v>
      </c>
      <c r="AE114" s="799"/>
      <c r="AF114" s="736"/>
      <c r="AG114" s="736">
        <f>+'STER - Detailed Disclosure (mm)'!AQ199</f>
        <v>0</v>
      </c>
      <c r="AH114" s="736">
        <f>+'STER - Detailed Disclosure (mm)'!AR199</f>
        <v>0</v>
      </c>
      <c r="AI114" s="736">
        <f t="shared" si="177"/>
        <v>0</v>
      </c>
      <c r="AJ114" s="736">
        <f t="shared" si="173"/>
        <v>-13.962</v>
      </c>
      <c r="AK114" s="754">
        <f t="shared" si="174"/>
        <v>-67.762</v>
      </c>
      <c r="AL114" s="736">
        <f t="shared" si="175"/>
        <v>-6.8319999999999999</v>
      </c>
      <c r="AM114" s="736">
        <f t="shared" si="176"/>
        <v>0</v>
      </c>
      <c r="AO114" s="2202">
        <v>190</v>
      </c>
      <c r="AP114" s="2202">
        <f>AO114-15</f>
        <v>175</v>
      </c>
      <c r="AQ114" s="2202">
        <v>91</v>
      </c>
      <c r="AR114" s="2202">
        <f>AP114-60-AQ117+AQ114</f>
        <v>90.810126582278485</v>
      </c>
    </row>
    <row r="115" spans="1:44" s="820" customFormat="1" ht="12" x14ac:dyDescent="0.3">
      <c r="A115" s="793" t="s">
        <v>246</v>
      </c>
      <c r="B115" s="818"/>
      <c r="C115" s="835"/>
      <c r="D115" s="835"/>
      <c r="E115" s="835"/>
      <c r="F115" s="836"/>
      <c r="G115" s="736"/>
      <c r="H115" s="736"/>
      <c r="I115" s="736">
        <v>0</v>
      </c>
      <c r="J115" s="752">
        <v>0</v>
      </c>
      <c r="K115" s="736">
        <v>0</v>
      </c>
      <c r="L115" s="736">
        <v>0</v>
      </c>
      <c r="M115" s="736">
        <v>0</v>
      </c>
      <c r="N115" s="752">
        <v>0</v>
      </c>
      <c r="O115" s="736">
        <v>0</v>
      </c>
      <c r="P115" s="736">
        <v>0</v>
      </c>
      <c r="Q115" s="736">
        <v>0</v>
      </c>
      <c r="R115" s="736">
        <v>0</v>
      </c>
      <c r="S115" s="986">
        <v>0</v>
      </c>
      <c r="T115" s="736">
        <v>0</v>
      </c>
      <c r="U115" s="736">
        <v>0</v>
      </c>
      <c r="V115" s="736">
        <v>0</v>
      </c>
      <c r="W115" s="986">
        <v>0</v>
      </c>
      <c r="X115" s="736">
        <v>0</v>
      </c>
      <c r="Y115" s="1007">
        <v>0</v>
      </c>
      <c r="Z115" s="1089">
        <v>0</v>
      </c>
      <c r="AA115" s="753">
        <v>0</v>
      </c>
      <c r="AB115" s="753">
        <v>0</v>
      </c>
      <c r="AC115" s="753">
        <v>0</v>
      </c>
      <c r="AD115" s="753">
        <v>0</v>
      </c>
      <c r="AE115" s="799"/>
      <c r="AF115" s="736"/>
      <c r="AG115" s="736">
        <v>0</v>
      </c>
      <c r="AH115" s="736">
        <v>0</v>
      </c>
      <c r="AI115" s="736">
        <f t="shared" si="177"/>
        <v>0</v>
      </c>
      <c r="AJ115" s="736">
        <f t="shared" si="173"/>
        <v>0</v>
      </c>
      <c r="AK115" s="754">
        <f t="shared" si="174"/>
        <v>0</v>
      </c>
      <c r="AL115" s="736">
        <f t="shared" si="175"/>
        <v>0</v>
      </c>
      <c r="AM115" s="736">
        <f t="shared" si="176"/>
        <v>0</v>
      </c>
      <c r="AO115" s="2202">
        <f t="shared" ref="AO115" si="178">AO113/AO114</f>
        <v>8.6842105263157894</v>
      </c>
      <c r="AP115" s="2202">
        <f>AP113/AP114</f>
        <v>9.4285714285714288</v>
      </c>
      <c r="AQ115" s="2202">
        <f t="shared" ref="AQ115:AR115" si="179">AQ113/AQ114</f>
        <v>18.131868131868131</v>
      </c>
      <c r="AR115" s="2202">
        <f t="shared" si="179"/>
        <v>10.682288820741565</v>
      </c>
    </row>
    <row r="116" spans="1:44" s="820" customFormat="1" ht="12" x14ac:dyDescent="0.3">
      <c r="A116" s="793" t="s">
        <v>152</v>
      </c>
      <c r="B116" s="818"/>
      <c r="C116" s="835"/>
      <c r="D116" s="835"/>
      <c r="E116" s="835"/>
      <c r="F116" s="836"/>
      <c r="G116" s="736"/>
      <c r="H116" s="736"/>
      <c r="I116" s="736">
        <f>+'STER - Detailed Disclosure (mm)'!I189+'STER - Detailed Disclosure (mm)'!I190</f>
        <v>-0.23599999999999999</v>
      </c>
      <c r="J116" s="752">
        <f>+'STER - Detailed Disclosure (mm)'!J189+'STER - Detailed Disclosure (mm)'!J190</f>
        <v>0</v>
      </c>
      <c r="K116" s="736">
        <f>+'STER - Detailed Disclosure (mm)'!K189+'STER - Detailed Disclosure (mm)'!K190</f>
        <v>0</v>
      </c>
      <c r="L116" s="736">
        <f>+'STER - Detailed Disclosure (mm)'!L189+'STER - Detailed Disclosure (mm)'!L190</f>
        <v>0</v>
      </c>
      <c r="M116" s="736">
        <f>+'STER - Detailed Disclosure (mm)'!M189+'STER - Detailed Disclosure (mm)'!M190</f>
        <v>0</v>
      </c>
      <c r="N116" s="752">
        <f>+'STER - Detailed Disclosure (mm)'!N189+'STER - Detailed Disclosure (mm)'!N190</f>
        <v>-66.322999999999993</v>
      </c>
      <c r="O116" s="736">
        <f>+'STER - Detailed Disclosure (mm)'!O189+'STER - Detailed Disclosure (mm)'!O190</f>
        <v>0</v>
      </c>
      <c r="P116" s="736">
        <f>+'STER - Detailed Disclosure (mm)'!P189+'STER - Detailed Disclosure (mm)'!P190</f>
        <v>0</v>
      </c>
      <c r="Q116" s="736">
        <f>+'STER - Detailed Disclosure (mm)'!Q189+'STER - Detailed Disclosure (mm)'!Q190</f>
        <v>0</v>
      </c>
      <c r="R116" s="736">
        <f>+'STER - Detailed Disclosure (mm)'!R189+'STER - Detailed Disclosure (mm)'!R190</f>
        <v>0</v>
      </c>
      <c r="S116" s="986">
        <f>+'STER - Detailed Disclosure (mm)'!S189+'STER - Detailed Disclosure (mm)'!S190</f>
        <v>-48.802</v>
      </c>
      <c r="T116" s="736">
        <f>+'STER - Detailed Disclosure (mm)'!T189+'STER - Detailed Disclosure (mm)'!T190</f>
        <v>0.16100000000000136</v>
      </c>
      <c r="U116" s="736">
        <f>+'STER - Detailed Disclosure (mm)'!U189+'STER - Detailed Disclosure (mm)'!U190</f>
        <v>-0.56900000000000261</v>
      </c>
      <c r="V116" s="736">
        <f>+'STER - Detailed Disclosure (mm)'!V189+'STER - Detailed Disclosure (mm)'!V190</f>
        <v>0</v>
      </c>
      <c r="W116" s="986">
        <f>+'STER - Detailed Disclosure (mm)'!W189+'STER - Detailed Disclosure (mm)'!W190</f>
        <v>-70.478999999999999</v>
      </c>
      <c r="X116" s="736">
        <f>+'STER - Detailed Disclosure (mm)'!X189+'STER - Detailed Disclosure (mm)'!X190</f>
        <v>4.2000000000001592E-2</v>
      </c>
      <c r="Y116" s="1007">
        <v>0</v>
      </c>
      <c r="Z116" s="1089">
        <v>0</v>
      </c>
      <c r="AA116" s="753">
        <v>0</v>
      </c>
      <c r="AB116" s="753">
        <v>0</v>
      </c>
      <c r="AC116" s="753">
        <v>0</v>
      </c>
      <c r="AD116" s="753">
        <v>0</v>
      </c>
      <c r="AE116" s="799"/>
      <c r="AF116" s="736"/>
      <c r="AG116" s="736">
        <f>+'STER - Detailed Disclosure (mm)'!AQ189+'STER - Detailed Disclosure (mm)'!AQ190</f>
        <v>-2</v>
      </c>
      <c r="AH116" s="736">
        <f>+'STER - Detailed Disclosure (mm)'!AR189+'STER - Detailed Disclosure (mm)'!AR190</f>
        <v>0</v>
      </c>
      <c r="AI116" s="736">
        <f t="shared" si="177"/>
        <v>-66.322999999999993</v>
      </c>
      <c r="AJ116" s="736">
        <f>+SUM(O116:R116)</f>
        <v>0</v>
      </c>
      <c r="AK116" s="754">
        <f t="shared" si="174"/>
        <v>-49.21</v>
      </c>
      <c r="AL116" s="736">
        <f t="shared" si="175"/>
        <v>-70.436999999999998</v>
      </c>
      <c r="AM116" s="736">
        <f t="shared" si="176"/>
        <v>0</v>
      </c>
      <c r="AO116" s="2202"/>
      <c r="AP116" s="2202"/>
      <c r="AQ116" s="2202"/>
      <c r="AR116" s="2202"/>
    </row>
    <row r="117" spans="1:44" s="817" customFormat="1" ht="12" x14ac:dyDescent="0.3">
      <c r="A117" s="798"/>
      <c r="B117" s="816"/>
      <c r="C117" s="689"/>
      <c r="D117" s="689"/>
      <c r="E117" s="750"/>
      <c r="F117" s="689"/>
      <c r="G117" s="689"/>
      <c r="H117" s="689"/>
      <c r="I117" s="736"/>
      <c r="J117" s="689"/>
      <c r="K117" s="689"/>
      <c r="L117" s="689"/>
      <c r="M117" s="736"/>
      <c r="N117" s="689"/>
      <c r="O117" s="689"/>
      <c r="P117" s="689"/>
      <c r="Q117" s="689"/>
      <c r="R117" s="799"/>
      <c r="S117" s="799"/>
      <c r="T117" s="799"/>
      <c r="U117" s="799"/>
      <c r="V117" s="799"/>
      <c r="W117" s="799"/>
      <c r="X117" s="799"/>
      <c r="Y117" s="1456"/>
      <c r="Z117" s="799"/>
      <c r="AA117" s="799"/>
      <c r="AB117" s="799"/>
      <c r="AC117" s="799"/>
      <c r="AD117" s="799"/>
      <c r="AE117" s="799"/>
      <c r="AF117" s="799"/>
      <c r="AG117" s="799"/>
      <c r="AH117" s="799"/>
      <c r="AI117" s="799"/>
      <c r="AJ117" s="799"/>
      <c r="AK117" s="799"/>
      <c r="AL117" s="799"/>
      <c r="AM117" s="799"/>
      <c r="AN117" s="799"/>
      <c r="AP117" s="2202"/>
      <c r="AQ117" s="817">
        <f>AQ114/0.79</f>
        <v>115.18987341772151</v>
      </c>
    </row>
    <row r="118" spans="1:44" s="817" customFormat="1" ht="12" x14ac:dyDescent="0.3">
      <c r="A118" s="740" t="s">
        <v>28</v>
      </c>
      <c r="B118" s="816"/>
      <c r="F118" s="845"/>
      <c r="G118" s="689"/>
      <c r="H118" s="689"/>
      <c r="I118" s="736"/>
      <c r="J118" s="779"/>
      <c r="K118" s="689"/>
      <c r="L118" s="689"/>
      <c r="M118" s="736"/>
      <c r="N118" s="779"/>
      <c r="O118" s="689"/>
      <c r="P118" s="689"/>
      <c r="Q118" s="689"/>
      <c r="R118" s="779"/>
      <c r="S118" s="689"/>
      <c r="T118" s="689"/>
      <c r="U118" s="689"/>
      <c r="V118" s="689"/>
      <c r="W118" s="991"/>
      <c r="X118" s="689"/>
      <c r="Y118" s="781"/>
      <c r="Z118" s="779"/>
      <c r="AA118" s="689"/>
      <c r="AB118" s="689"/>
      <c r="AC118" s="689"/>
      <c r="AD118" s="689"/>
      <c r="AE118" s="689"/>
      <c r="AF118" s="689"/>
      <c r="AG118" s="689"/>
      <c r="AH118" s="689"/>
      <c r="AI118" s="689"/>
      <c r="AJ118" s="689"/>
      <c r="AK118" s="781"/>
      <c r="AL118" s="689"/>
      <c r="AM118" s="689"/>
    </row>
    <row r="119" spans="1:44" s="817" customFormat="1" ht="12" x14ac:dyDescent="0.3">
      <c r="A119" s="778"/>
      <c r="B119" s="778"/>
      <c r="F119" s="845"/>
      <c r="G119" s="689"/>
      <c r="H119" s="689"/>
      <c r="I119" s="736"/>
      <c r="J119" s="779"/>
      <c r="K119" s="689"/>
      <c r="L119" s="689"/>
      <c r="M119" s="736"/>
      <c r="N119" s="779"/>
      <c r="O119" s="689"/>
      <c r="P119" s="689"/>
      <c r="Q119" s="689"/>
      <c r="R119" s="779"/>
      <c r="S119" s="689"/>
      <c r="T119" s="689"/>
      <c r="U119" s="689"/>
      <c r="V119" s="689"/>
      <c r="W119" s="991"/>
      <c r="X119" s="689"/>
      <c r="Y119" s="781"/>
      <c r="Z119" s="779"/>
      <c r="AA119" s="689"/>
      <c r="AB119" s="689"/>
      <c r="AC119" s="689"/>
      <c r="AD119" s="689"/>
      <c r="AE119" s="689"/>
      <c r="AF119" s="689"/>
      <c r="AG119" s="689"/>
      <c r="AH119" s="689"/>
      <c r="AI119" s="689"/>
      <c r="AJ119" s="689"/>
      <c r="AK119" s="781"/>
      <c r="AL119" s="689"/>
      <c r="AM119" s="689"/>
    </row>
    <row r="120" spans="1:44" x14ac:dyDescent="0.25">
      <c r="A120" s="783" t="s">
        <v>28</v>
      </c>
      <c r="C120" s="2174"/>
      <c r="D120" s="2174"/>
      <c r="E120" s="2174"/>
      <c r="F120" s="2182"/>
      <c r="G120" s="1030"/>
      <c r="H120" s="1030"/>
      <c r="I120" s="1030"/>
      <c r="J120" s="2182"/>
      <c r="K120" s="1030"/>
      <c r="L120" s="1030"/>
      <c r="M120" s="1030"/>
      <c r="N120" s="2182"/>
      <c r="O120" s="1030"/>
      <c r="P120" s="1030"/>
      <c r="Q120" s="1030"/>
      <c r="R120" s="2182"/>
      <c r="S120" s="1030"/>
      <c r="T120" s="1030"/>
      <c r="U120" s="1030"/>
      <c r="V120" s="1030"/>
      <c r="W120" s="1434"/>
      <c r="X120" s="1030"/>
      <c r="Y120" s="1475"/>
      <c r="Z120" s="2182"/>
      <c r="AA120" s="1030"/>
      <c r="AB120" s="1030"/>
      <c r="AC120" s="1030"/>
      <c r="AD120" s="1030"/>
      <c r="AE120" s="1030"/>
      <c r="AF120" s="1030"/>
      <c r="AG120" s="1030"/>
      <c r="AH120" s="1030"/>
      <c r="AI120" s="1030"/>
      <c r="AJ120" s="1030"/>
      <c r="AK120" s="2180"/>
      <c r="AL120" s="2181"/>
      <c r="AM120" s="2181"/>
      <c r="AN120" s="2175"/>
    </row>
    <row r="121" spans="1:44" x14ac:dyDescent="0.25">
      <c r="A121" s="460" t="s">
        <v>571</v>
      </c>
      <c r="C121" s="1027"/>
      <c r="D121" s="1027"/>
      <c r="E121" s="1027"/>
      <c r="F121" s="2173"/>
      <c r="G121" s="1027"/>
      <c r="H121" s="1027"/>
      <c r="I121" s="1027">
        <f>+'STER - Detailed Disclosure (mm)'!I41</f>
        <v>98.605999999999995</v>
      </c>
      <c r="J121" s="2173">
        <f>+'STER - Detailed Disclosure (mm)'!J41</f>
        <v>103.94400000000002</v>
      </c>
      <c r="K121" s="1027">
        <f>+'STER - Detailed Disclosure (mm)'!K41</f>
        <v>109.19</v>
      </c>
      <c r="L121" s="1027">
        <f>+'STER - Detailed Disclosure (mm)'!L41</f>
        <v>130.29400000000001</v>
      </c>
      <c r="M121" s="1027">
        <f>+'STER - Detailed Disclosure (mm)'!M41</f>
        <v>139.56399999999999</v>
      </c>
      <c r="N121" s="2173">
        <f>+'STER - Detailed Disclosure (mm)'!N41</f>
        <v>143.62400000000002</v>
      </c>
      <c r="O121" s="1027">
        <f>+'STER - Detailed Disclosure (mm)'!O41</f>
        <v>159.316</v>
      </c>
      <c r="P121" s="1027">
        <f>+'STER - Detailed Disclosure (mm)'!P41</f>
        <v>174.11500000000001</v>
      </c>
      <c r="Q121" s="1027">
        <f>+'STER - Detailed Disclosure (mm)'!Q41</f>
        <v>168.61500000000001</v>
      </c>
      <c r="R121" s="2173">
        <f>+'STER - Detailed Disclosure (mm)'!R41</f>
        <v>141.77999999999997</v>
      </c>
      <c r="S121" s="1027">
        <f>+'STER - Detailed Disclosure (mm)'!S41</f>
        <v>149.74199999999999</v>
      </c>
      <c r="T121" s="1027">
        <f>+'STER - Detailed Disclosure (mm)'!T41</f>
        <v>162.19800000000001</v>
      </c>
      <c r="U121" s="1027">
        <f>+'STER - Detailed Disclosure (mm)'!U41</f>
        <v>153.577</v>
      </c>
      <c r="V121" s="1027">
        <f>+'STER - Detailed Disclosure (mm)'!V41</f>
        <v>144.17699999999996</v>
      </c>
      <c r="W121" s="1433">
        <f>+'STER - Detailed Disclosure (mm)'!W41</f>
        <v>159.827</v>
      </c>
      <c r="X121" s="1027">
        <f>+'STER - Detailed Disclosure (mm)'!X41</f>
        <v>173.976</v>
      </c>
      <c r="Y121" s="1474">
        <f t="shared" ref="Y121:AD123" si="180">+Y9</f>
        <v>169.05078</v>
      </c>
      <c r="Z121" s="2173">
        <f t="shared" si="180"/>
        <v>152.39357499999997</v>
      </c>
      <c r="AA121" s="1027">
        <f t="shared" si="180"/>
        <v>164.62181000000001</v>
      </c>
      <c r="AB121" s="1027">
        <f t="shared" si="180"/>
        <v>181.80491999999998</v>
      </c>
      <c r="AC121" s="1027">
        <f t="shared" si="180"/>
        <v>179.19382680000001</v>
      </c>
      <c r="AD121" s="1027">
        <f t="shared" si="180"/>
        <v>164.58506099999997</v>
      </c>
      <c r="AE121" s="1027"/>
      <c r="AF121" s="1027"/>
      <c r="AG121" s="1027">
        <f>+'STER - Detailed Disclosure (mm)'!AQ41</f>
        <v>424.77300000000002</v>
      </c>
      <c r="AH121" s="1027">
        <f>+'STER - Detailed Disclosure (mm)'!AR41</f>
        <v>377.351</v>
      </c>
      <c r="AI121" s="736">
        <f>+SUM(K121:N121)</f>
        <v>522.67200000000003</v>
      </c>
      <c r="AJ121" s="736">
        <f>+SUM(O121:R121)</f>
        <v>643.82600000000002</v>
      </c>
      <c r="AK121" s="754">
        <f>SUM(S121:V121)</f>
        <v>609.69399999999996</v>
      </c>
      <c r="AL121" s="2174">
        <f>+SUM(W121:Z121)</f>
        <v>655.24735499999997</v>
      </c>
      <c r="AM121" s="2174">
        <f>+SUM(AA121:AD121)</f>
        <v>690.20561780000003</v>
      </c>
      <c r="AN121" s="2175"/>
    </row>
    <row r="122" spans="1:44" x14ac:dyDescent="0.25">
      <c r="A122" s="460" t="s">
        <v>214</v>
      </c>
      <c r="C122" s="1027"/>
      <c r="D122" s="1027"/>
      <c r="E122" s="1027"/>
      <c r="F122" s="2173"/>
      <c r="G122" s="1027"/>
      <c r="H122" s="1027"/>
      <c r="I122" s="1027">
        <f>+'STER - Detailed Disclosure (mm)'!I42</f>
        <v>18.995999999999999</v>
      </c>
      <c r="J122" s="2173">
        <f>+'STER - Detailed Disclosure (mm)'!J42</f>
        <v>24.558999999999997</v>
      </c>
      <c r="K122" s="1027">
        <f>+'STER - Detailed Disclosure (mm)'!K42</f>
        <v>30.18</v>
      </c>
      <c r="L122" s="1027">
        <f>+'STER - Detailed Disclosure (mm)'!L42</f>
        <v>29.033999999999999</v>
      </c>
      <c r="M122" s="1027">
        <f>+'STER - Detailed Disclosure (mm)'!M42</f>
        <v>29.992999999999999</v>
      </c>
      <c r="N122" s="2173">
        <f>+'STER - Detailed Disclosure (mm)'!N42</f>
        <v>30.00500000000001</v>
      </c>
      <c r="O122" s="1027">
        <f>+'STER - Detailed Disclosure (mm)'!O42</f>
        <v>32.655999999999999</v>
      </c>
      <c r="P122" s="1027">
        <f>+'STER - Detailed Disclosure (mm)'!P42</f>
        <v>31.475999999999999</v>
      </c>
      <c r="Q122" s="1027">
        <f>+'STER - Detailed Disclosure (mm)'!Q42</f>
        <v>30.684000000000001</v>
      </c>
      <c r="R122" s="2173">
        <f>+'STER - Detailed Disclosure (mm)'!R42</f>
        <v>28.14</v>
      </c>
      <c r="S122" s="1027">
        <f>+'STER - Detailed Disclosure (mm)'!S42</f>
        <v>29.532</v>
      </c>
      <c r="T122" s="1027">
        <f>+'STER - Detailed Disclosure (mm)'!T42</f>
        <v>28.186</v>
      </c>
      <c r="U122" s="1027">
        <f>+'STER - Detailed Disclosure (mm)'!U42</f>
        <v>26.989000000000001</v>
      </c>
      <c r="V122" s="1027">
        <f>+'STER - Detailed Disclosure (mm)'!V42</f>
        <v>25.23899999999999</v>
      </c>
      <c r="W122" s="1433">
        <f>+'STER - Detailed Disclosure (mm)'!W42</f>
        <v>26.172000000000001</v>
      </c>
      <c r="X122" s="1027">
        <f>+'STER - Detailed Disclosure (mm)'!X42</f>
        <v>26.552</v>
      </c>
      <c r="Y122" s="1474">
        <f t="shared" si="180"/>
        <v>26.44922</v>
      </c>
      <c r="Z122" s="2173">
        <f t="shared" si="180"/>
        <v>24.947306518317355</v>
      </c>
      <c r="AA122" s="1027">
        <f t="shared" si="180"/>
        <v>27.497721138034642</v>
      </c>
      <c r="AB122" s="1027">
        <f t="shared" si="180"/>
        <v>28.161031770923358</v>
      </c>
      <c r="AC122" s="1027">
        <f t="shared" si="180"/>
        <v>28.936754065666015</v>
      </c>
      <c r="AD122" s="1027">
        <f t="shared" si="180"/>
        <v>27.430518125097993</v>
      </c>
      <c r="AE122" s="1027"/>
      <c r="AF122" s="1027"/>
      <c r="AG122" s="1027">
        <f>+'STER - Detailed Disclosure (mm)'!AQ42</f>
        <v>72.343000000000004</v>
      </c>
      <c r="AH122" s="1027">
        <f>+'STER - Detailed Disclosure (mm)'!AR42</f>
        <v>76.701999999999998</v>
      </c>
      <c r="AI122" s="1027">
        <f t="shared" ref="AI122:AI124" si="181">+SUM(K122:N122)</f>
        <v>119.212</v>
      </c>
      <c r="AJ122" s="1027">
        <f t="shared" ref="AJ122:AJ124" si="182">+SUM(O122:R122)</f>
        <v>122.956</v>
      </c>
      <c r="AK122" s="1475">
        <f t="shared" ref="AK122:AK124" si="183">SUM(S122:V122)</f>
        <v>109.946</v>
      </c>
      <c r="AL122" s="2174">
        <f>+SUM(W122:Z122)</f>
        <v>104.12052651831735</v>
      </c>
      <c r="AM122" s="2174">
        <f t="shared" ref="AM122:AM124" si="184">+SUM(AA122:AD122)</f>
        <v>112.02602509972201</v>
      </c>
      <c r="AN122" s="2175"/>
    </row>
    <row r="123" spans="1:44" s="802" customFormat="1" ht="13" x14ac:dyDescent="0.4">
      <c r="A123" s="460" t="s">
        <v>215</v>
      </c>
      <c r="C123" s="1028"/>
      <c r="D123" s="1028"/>
      <c r="E123" s="1028"/>
      <c r="F123" s="2176"/>
      <c r="G123" s="1028"/>
      <c r="H123" s="1028"/>
      <c r="I123" s="1028">
        <f t="shared" ref="I123:X123" si="185">+I11</f>
        <v>0</v>
      </c>
      <c r="J123" s="2176">
        <f t="shared" si="185"/>
        <v>0</v>
      </c>
      <c r="K123" s="1028">
        <f t="shared" si="185"/>
        <v>0</v>
      </c>
      <c r="L123" s="1028">
        <f t="shared" si="185"/>
        <v>0</v>
      </c>
      <c r="M123" s="1028">
        <f t="shared" si="185"/>
        <v>0</v>
      </c>
      <c r="N123" s="2176">
        <f t="shared" si="185"/>
        <v>0</v>
      </c>
      <c r="O123" s="1028">
        <f t="shared" si="185"/>
        <v>0</v>
      </c>
      <c r="P123" s="1028">
        <f t="shared" si="185"/>
        <v>0</v>
      </c>
      <c r="Q123" s="1028">
        <f t="shared" si="185"/>
        <v>0</v>
      </c>
      <c r="R123" s="2176">
        <f t="shared" si="185"/>
        <v>0</v>
      </c>
      <c r="S123" s="1028">
        <f t="shared" si="185"/>
        <v>0</v>
      </c>
      <c r="T123" s="1028">
        <f t="shared" si="185"/>
        <v>0</v>
      </c>
      <c r="U123" s="1028">
        <f t="shared" si="185"/>
        <v>0</v>
      </c>
      <c r="V123" s="1028">
        <f t="shared" si="185"/>
        <v>0</v>
      </c>
      <c r="W123" s="1428">
        <f t="shared" si="185"/>
        <v>0</v>
      </c>
      <c r="X123" s="1028">
        <f t="shared" si="185"/>
        <v>0</v>
      </c>
      <c r="Y123" s="1469">
        <f t="shared" si="180"/>
        <v>0</v>
      </c>
      <c r="Z123" s="2176">
        <f t="shared" si="180"/>
        <v>0</v>
      </c>
      <c r="AA123" s="1028">
        <f t="shared" si="180"/>
        <v>0</v>
      </c>
      <c r="AB123" s="1028">
        <f t="shared" si="180"/>
        <v>0</v>
      </c>
      <c r="AC123" s="1028">
        <f t="shared" si="180"/>
        <v>0</v>
      </c>
      <c r="AD123" s="1028">
        <f t="shared" si="180"/>
        <v>0</v>
      </c>
      <c r="AE123" s="1028"/>
      <c r="AF123" s="1028"/>
      <c r="AG123" s="1028">
        <v>0</v>
      </c>
      <c r="AH123" s="1028">
        <v>0</v>
      </c>
      <c r="AI123" s="1028">
        <f t="shared" si="181"/>
        <v>0</v>
      </c>
      <c r="AJ123" s="1028">
        <f t="shared" si="182"/>
        <v>0</v>
      </c>
      <c r="AK123" s="2177">
        <f t="shared" si="183"/>
        <v>0</v>
      </c>
      <c r="AL123" s="2178">
        <f>+SUM(W123:Z123)</f>
        <v>0</v>
      </c>
      <c r="AM123" s="2178">
        <f t="shared" si="184"/>
        <v>0</v>
      </c>
      <c r="AN123" s="2179"/>
    </row>
    <row r="124" spans="1:44" s="470" customFormat="1" x14ac:dyDescent="0.25">
      <c r="A124" s="505" t="s">
        <v>216</v>
      </c>
      <c r="C124" s="1029"/>
      <c r="D124" s="1029"/>
      <c r="E124" s="1029">
        <f>+E12</f>
        <v>132.76499999999999</v>
      </c>
      <c r="F124" s="2204">
        <f>+F12</f>
        <v>121.429</v>
      </c>
      <c r="G124" s="1029">
        <f>+G12</f>
        <v>119.376</v>
      </c>
      <c r="H124" s="1029">
        <f>+H12</f>
        <v>88.570999999999998</v>
      </c>
      <c r="I124" s="1029">
        <f t="shared" ref="I124:R124" si="186">+SUM(I121:I123)</f>
        <v>117.60199999999999</v>
      </c>
      <c r="J124" s="2204">
        <f t="shared" si="186"/>
        <v>128.50300000000001</v>
      </c>
      <c r="K124" s="1029">
        <f t="shared" si="186"/>
        <v>139.37</v>
      </c>
      <c r="L124" s="1029">
        <f t="shared" si="186"/>
        <v>159.328</v>
      </c>
      <c r="M124" s="1029">
        <f t="shared" si="186"/>
        <v>169.55699999999999</v>
      </c>
      <c r="N124" s="2204">
        <f t="shared" si="186"/>
        <v>173.62900000000002</v>
      </c>
      <c r="O124" s="1029">
        <f t="shared" si="186"/>
        <v>191.97200000000001</v>
      </c>
      <c r="P124" s="1029">
        <f t="shared" si="186"/>
        <v>205.59100000000001</v>
      </c>
      <c r="Q124" s="1029">
        <f t="shared" si="186"/>
        <v>199.29900000000001</v>
      </c>
      <c r="R124" s="2204">
        <f t="shared" si="186"/>
        <v>169.91999999999996</v>
      </c>
      <c r="S124" s="1029">
        <f>+SUM(S121:S123)</f>
        <v>179.274</v>
      </c>
      <c r="T124" s="1029">
        <f>+SUM(T121:T123)</f>
        <v>190.38400000000001</v>
      </c>
      <c r="U124" s="1029">
        <f t="shared" ref="U124:AD124" si="187">+SUM(U121:U123)</f>
        <v>180.566</v>
      </c>
      <c r="V124" s="1029">
        <f t="shared" si="187"/>
        <v>169.41599999999994</v>
      </c>
      <c r="W124" s="1429">
        <f t="shared" si="187"/>
        <v>185.999</v>
      </c>
      <c r="X124" s="1029">
        <f t="shared" si="187"/>
        <v>200.52799999999999</v>
      </c>
      <c r="Y124" s="1470">
        <f t="shared" si="187"/>
        <v>195.5</v>
      </c>
      <c r="Z124" s="2204">
        <f t="shared" si="187"/>
        <v>177.34088151831733</v>
      </c>
      <c r="AA124" s="1029">
        <f t="shared" si="187"/>
        <v>192.11953113803466</v>
      </c>
      <c r="AB124" s="1029">
        <f t="shared" si="187"/>
        <v>209.96595177092334</v>
      </c>
      <c r="AC124" s="1029">
        <f t="shared" si="187"/>
        <v>208.13058086566602</v>
      </c>
      <c r="AD124" s="1029">
        <f t="shared" si="187"/>
        <v>192.01557912509796</v>
      </c>
      <c r="AE124" s="1029"/>
      <c r="AF124" s="1029"/>
      <c r="AG124" s="1029">
        <f t="shared" ref="AG124" si="188">+SUM(AG121:AG123)</f>
        <v>497.11600000000004</v>
      </c>
      <c r="AH124" s="1029">
        <f>+SUM(AH121:AH123)</f>
        <v>454.053</v>
      </c>
      <c r="AI124" s="1029">
        <f t="shared" si="181"/>
        <v>641.88400000000001</v>
      </c>
      <c r="AJ124" s="1029">
        <f t="shared" si="182"/>
        <v>766.78199999999993</v>
      </c>
      <c r="AK124" s="2205">
        <f t="shared" si="183"/>
        <v>719.64</v>
      </c>
      <c r="AL124" s="2206">
        <f>+SUM(W124:Z124)</f>
        <v>759.3678815183174</v>
      </c>
      <c r="AM124" s="2206">
        <f t="shared" si="184"/>
        <v>802.23164289972192</v>
      </c>
      <c r="AN124" s="2207"/>
    </row>
    <row r="125" spans="1:44" x14ac:dyDescent="0.25">
      <c r="C125" s="2174"/>
      <c r="D125" s="2174"/>
      <c r="E125" s="2174"/>
      <c r="F125" s="2182"/>
      <c r="G125" s="1030"/>
      <c r="H125" s="1030"/>
      <c r="I125" s="1030"/>
      <c r="J125" s="2182"/>
      <c r="K125" s="1030"/>
      <c r="L125" s="1030"/>
      <c r="M125" s="1030"/>
      <c r="N125" s="2182"/>
      <c r="O125" s="1030"/>
      <c r="P125" s="1030"/>
      <c r="Q125" s="1030"/>
      <c r="R125" s="2182"/>
      <c r="S125" s="1030"/>
      <c r="T125" s="1030"/>
      <c r="U125" s="1030"/>
      <c r="V125" s="1030"/>
      <c r="W125" s="1434"/>
      <c r="X125" s="1030"/>
      <c r="Y125" s="1475"/>
      <c r="Z125" s="2182"/>
      <c r="AA125" s="1030"/>
      <c r="AB125" s="1030"/>
      <c r="AC125" s="1030"/>
      <c r="AD125" s="1030"/>
      <c r="AE125" s="1030"/>
      <c r="AF125" s="1030"/>
      <c r="AG125" s="1030"/>
      <c r="AH125" s="1030"/>
      <c r="AI125" s="1030"/>
      <c r="AJ125" s="1030"/>
      <c r="AK125" s="1475"/>
      <c r="AL125" s="2174"/>
      <c r="AM125" s="2174"/>
      <c r="AN125" s="2175"/>
    </row>
    <row r="126" spans="1:44" ht="12" x14ac:dyDescent="0.3">
      <c r="A126" s="782" t="s">
        <v>29</v>
      </c>
      <c r="B126" s="470"/>
      <c r="C126" s="736"/>
      <c r="D126" s="736"/>
      <c r="E126" s="736"/>
      <c r="F126" s="752"/>
      <c r="G126" s="689"/>
      <c r="H126" s="689"/>
      <c r="I126" s="689"/>
      <c r="J126" s="779"/>
      <c r="K126" s="689"/>
      <c r="L126" s="689"/>
      <c r="M126" s="689"/>
      <c r="N126" s="779"/>
      <c r="O126" s="689"/>
      <c r="P126" s="689"/>
      <c r="Q126" s="689"/>
      <c r="R126" s="779"/>
      <c r="S126" s="689"/>
      <c r="T126" s="736"/>
      <c r="U126" s="736"/>
      <c r="V126" s="736"/>
      <c r="W126" s="986"/>
      <c r="X126" s="736"/>
      <c r="Y126" s="754"/>
      <c r="Z126" s="752"/>
      <c r="AA126" s="736"/>
      <c r="AB126" s="736"/>
      <c r="AC126" s="736"/>
      <c r="AD126" s="736"/>
      <c r="AE126" s="736"/>
      <c r="AF126" s="689"/>
      <c r="AG126" s="689"/>
      <c r="AH126" s="689"/>
      <c r="AI126" s="689"/>
      <c r="AJ126" s="689"/>
      <c r="AK126" s="781"/>
      <c r="AL126" s="689"/>
      <c r="AM126" s="689"/>
    </row>
    <row r="127" spans="1:44" ht="12" x14ac:dyDescent="0.3">
      <c r="A127" s="778" t="s">
        <v>213</v>
      </c>
      <c r="B127" s="470"/>
      <c r="C127" s="736"/>
      <c r="D127" s="736"/>
      <c r="E127" s="736"/>
      <c r="F127" s="752"/>
      <c r="G127" s="689"/>
      <c r="H127" s="689"/>
      <c r="I127" s="689"/>
      <c r="J127" s="779"/>
      <c r="K127" s="689"/>
      <c r="L127" s="689"/>
      <c r="M127" s="689">
        <f t="shared" ref="M127:AD128" si="189">+M121/I121-1</f>
        <v>0.41537026144453693</v>
      </c>
      <c r="N127" s="779">
        <f t="shared" si="189"/>
        <v>0.38174401600862007</v>
      </c>
      <c r="O127" s="689">
        <f t="shared" si="189"/>
        <v>0.45907134352962742</v>
      </c>
      <c r="P127" s="689">
        <f t="shared" si="189"/>
        <v>0.33632400571016308</v>
      </c>
      <c r="Q127" s="689">
        <f t="shared" si="189"/>
        <v>0.20815539824023399</v>
      </c>
      <c r="R127" s="779">
        <f t="shared" si="189"/>
        <v>-1.2839079819529142E-2</v>
      </c>
      <c r="S127" s="689">
        <f t="shared" si="189"/>
        <v>-6.0094403575284394E-2</v>
      </c>
      <c r="T127" s="689">
        <f t="shared" si="189"/>
        <v>-6.8443270252419364E-2</v>
      </c>
      <c r="U127" s="689">
        <f t="shared" si="189"/>
        <v>-8.9185422412003779E-2</v>
      </c>
      <c r="V127" s="689">
        <f t="shared" si="189"/>
        <v>1.6906474820143735E-2</v>
      </c>
      <c r="W127" s="991">
        <f t="shared" si="189"/>
        <v>6.7349173912462756E-2</v>
      </c>
      <c r="X127" s="689">
        <f t="shared" si="189"/>
        <v>7.2614952095586771E-2</v>
      </c>
      <c r="Y127" s="781">
        <f t="shared" si="189"/>
        <v>0.10075584234618473</v>
      </c>
      <c r="Z127" s="779">
        <f t="shared" si="189"/>
        <v>5.6989499018567535E-2</v>
      </c>
      <c r="AA127" s="689">
        <f t="shared" si="189"/>
        <v>3.0000000000000027E-2</v>
      </c>
      <c r="AB127" s="689">
        <f t="shared" si="189"/>
        <v>4.4999999999999929E-2</v>
      </c>
      <c r="AC127" s="689">
        <f t="shared" si="189"/>
        <v>6.0000000000000053E-2</v>
      </c>
      <c r="AD127" s="689">
        <f t="shared" si="189"/>
        <v>8.0000000000000071E-2</v>
      </c>
      <c r="AE127" s="736"/>
      <c r="AF127" s="689"/>
      <c r="AG127" s="689"/>
      <c r="AH127" s="689">
        <f>+AH121/AG121-1</f>
        <v>-0.11164080579509528</v>
      </c>
      <c r="AI127" s="689">
        <f t="shared" ref="AI127:AL128" si="190">+AI121/AH121-1</f>
        <v>0.385108294399644</v>
      </c>
      <c r="AJ127" s="689">
        <f t="shared" si="190"/>
        <v>0.23179737961857527</v>
      </c>
      <c r="AK127" s="781">
        <f t="shared" si="190"/>
        <v>-5.3014323745856906E-2</v>
      </c>
      <c r="AL127" s="689">
        <f t="shared" si="190"/>
        <v>7.4715111186923311E-2</v>
      </c>
      <c r="AM127" s="689">
        <f t="shared" ref="AM127:AM128" si="191">+AM121/AL121-1</f>
        <v>5.3351245958100924E-2</v>
      </c>
    </row>
    <row r="128" spans="1:44" s="789" customFormat="1" ht="12" x14ac:dyDescent="0.3">
      <c r="A128" s="778" t="s">
        <v>214</v>
      </c>
      <c r="B128" s="783"/>
      <c r="C128" s="784"/>
      <c r="D128" s="784"/>
      <c r="E128" s="784"/>
      <c r="F128" s="785"/>
      <c r="G128" s="786"/>
      <c r="H128" s="786"/>
      <c r="I128" s="786"/>
      <c r="J128" s="787"/>
      <c r="K128" s="786"/>
      <c r="L128" s="786"/>
      <c r="M128" s="786">
        <f t="shared" ref="M128:S128" si="192">+M122/I122-1</f>
        <v>0.57891134975784375</v>
      </c>
      <c r="N128" s="787">
        <f t="shared" si="192"/>
        <v>0.2217516999877851</v>
      </c>
      <c r="O128" s="786">
        <f t="shared" si="192"/>
        <v>8.2041086812458586E-2</v>
      </c>
      <c r="P128" s="786">
        <f t="shared" si="192"/>
        <v>8.4108286836123147E-2</v>
      </c>
      <c r="Q128" s="786">
        <f t="shared" si="192"/>
        <v>2.3038709032107585E-2</v>
      </c>
      <c r="R128" s="787">
        <f t="shared" si="192"/>
        <v>-6.215630728211996E-2</v>
      </c>
      <c r="S128" s="786">
        <f t="shared" si="192"/>
        <v>-9.5663890249877426E-2</v>
      </c>
      <c r="T128" s="786">
        <f t="shared" si="189"/>
        <v>-0.10452408184013218</v>
      </c>
      <c r="U128" s="786">
        <f t="shared" si="189"/>
        <v>-0.12042106635380001</v>
      </c>
      <c r="V128" s="786">
        <f t="shared" si="189"/>
        <v>-0.10309168443496841</v>
      </c>
      <c r="W128" s="992">
        <f t="shared" si="189"/>
        <v>-0.11377488825680615</v>
      </c>
      <c r="X128" s="786">
        <f t="shared" si="189"/>
        <v>-5.7972042858156492E-2</v>
      </c>
      <c r="Y128" s="788">
        <f t="shared" si="189"/>
        <v>-2.0000000000000018E-2</v>
      </c>
      <c r="Z128" s="787">
        <f t="shared" si="189"/>
        <v>-1.1557251938770774E-2</v>
      </c>
      <c r="AA128" s="786">
        <f t="shared" si="189"/>
        <v>5.0654177672116774E-2</v>
      </c>
      <c r="AB128" s="786">
        <f t="shared" si="189"/>
        <v>6.0599268263157535E-2</v>
      </c>
      <c r="AC128" s="786">
        <f t="shared" si="189"/>
        <v>9.4049430027275394E-2</v>
      </c>
      <c r="AD128" s="786">
        <f t="shared" si="189"/>
        <v>9.9538264980925328E-2</v>
      </c>
      <c r="AE128" s="784"/>
      <c r="AF128" s="786"/>
      <c r="AG128" s="786"/>
      <c r="AH128" s="786">
        <f t="shared" ref="AH128:AJ128" si="193">+AH122/AG122-1</f>
        <v>6.0254620350275623E-2</v>
      </c>
      <c r="AI128" s="786">
        <f t="shared" si="193"/>
        <v>0.55422283643190529</v>
      </c>
      <c r="AJ128" s="786">
        <f t="shared" si="193"/>
        <v>3.1406234271717626E-2</v>
      </c>
      <c r="AK128" s="788">
        <f t="shared" si="190"/>
        <v>-0.10581020852988066</v>
      </c>
      <c r="AL128" s="786">
        <f t="shared" si="190"/>
        <v>-5.2984860583219495E-2</v>
      </c>
      <c r="AM128" s="786">
        <f t="shared" si="191"/>
        <v>7.5926417640751032E-2</v>
      </c>
    </row>
    <row r="129" spans="1:40" s="470" customFormat="1" x14ac:dyDescent="0.25">
      <c r="A129" s="766" t="s">
        <v>216</v>
      </c>
      <c r="C129" s="767"/>
      <c r="D129" s="767"/>
      <c r="E129" s="767"/>
      <c r="F129" s="768"/>
      <c r="G129" s="769"/>
      <c r="H129" s="769"/>
      <c r="I129" s="769">
        <f t="shared" ref="I129:AD129" si="194">+I124/E124-1</f>
        <v>-0.11420931721462735</v>
      </c>
      <c r="J129" s="770">
        <f t="shared" si="194"/>
        <v>5.8256264977888383E-2</v>
      </c>
      <c r="K129" s="769">
        <f t="shared" si="194"/>
        <v>0.16748760219809666</v>
      </c>
      <c r="L129" s="769">
        <f t="shared" si="194"/>
        <v>0.79887322035429209</v>
      </c>
      <c r="M129" s="769">
        <f t="shared" si="194"/>
        <v>0.44178670430774991</v>
      </c>
      <c r="N129" s="770">
        <f t="shared" si="194"/>
        <v>0.35116689882726471</v>
      </c>
      <c r="O129" s="769">
        <f t="shared" si="194"/>
        <v>0.37742699289660608</v>
      </c>
      <c r="P129" s="769">
        <f t="shared" si="194"/>
        <v>0.29036327575818444</v>
      </c>
      <c r="Q129" s="769">
        <f t="shared" si="194"/>
        <v>0.17541003910189512</v>
      </c>
      <c r="R129" s="770">
        <f t="shared" si="194"/>
        <v>-2.1361638896728374E-2</v>
      </c>
      <c r="S129" s="769">
        <f t="shared" si="194"/>
        <v>-6.6145062821661549E-2</v>
      </c>
      <c r="T129" s="769">
        <f t="shared" si="194"/>
        <v>-7.3967245647912572E-2</v>
      </c>
      <c r="U129" s="769">
        <f t="shared" si="194"/>
        <v>-9.3994450549174879E-2</v>
      </c>
      <c r="V129" s="769">
        <f t="shared" si="194"/>
        <v>-2.9661016949154018E-3</v>
      </c>
      <c r="W129" s="989">
        <f t="shared" si="194"/>
        <v>3.7512411169494664E-2</v>
      </c>
      <c r="X129" s="769">
        <f t="shared" si="194"/>
        <v>5.328178838557851E-2</v>
      </c>
      <c r="Y129" s="772">
        <f t="shared" si="194"/>
        <v>8.2706600356656335E-2</v>
      </c>
      <c r="Z129" s="770">
        <f t="shared" si="194"/>
        <v>4.6777645076718777E-2</v>
      </c>
      <c r="AA129" s="769">
        <f t="shared" si="194"/>
        <v>3.290625830265026E-2</v>
      </c>
      <c r="AB129" s="769">
        <f t="shared" si="194"/>
        <v>4.7065505918990613E-2</v>
      </c>
      <c r="AC129" s="769">
        <f t="shared" si="194"/>
        <v>6.4606551742537155E-2</v>
      </c>
      <c r="AD129" s="769">
        <f t="shared" si="194"/>
        <v>8.2748531986206908E-2</v>
      </c>
      <c r="AE129" s="767"/>
      <c r="AF129" s="769"/>
      <c r="AG129" s="769"/>
      <c r="AH129" s="769">
        <f>+AH124/AG124-1</f>
        <v>-8.6625656788355321E-2</v>
      </c>
      <c r="AI129" s="769">
        <f>+AI124/AH124-1</f>
        <v>0.41367637698682747</v>
      </c>
      <c r="AJ129" s="769">
        <f>+AJ124/AI124-1</f>
        <v>0.19458032915604684</v>
      </c>
      <c r="AK129" s="772">
        <f>+AK124/AJ124-1</f>
        <v>-6.1480316439352922E-2</v>
      </c>
      <c r="AL129" s="769">
        <f>+AL124/AK124-1</f>
        <v>5.5205215827799137E-2</v>
      </c>
      <c r="AM129" s="769">
        <f t="shared" ref="AM129" si="195">+AM124/AL124-1</f>
        <v>5.6446634661055928E-2</v>
      </c>
    </row>
    <row r="130" spans="1:40" s="470" customFormat="1" x14ac:dyDescent="0.25">
      <c r="A130" s="766" t="s">
        <v>220</v>
      </c>
      <c r="C130" s="767"/>
      <c r="D130" s="767"/>
      <c r="E130" s="767"/>
      <c r="F130" s="768"/>
      <c r="G130" s="769"/>
      <c r="H130" s="769"/>
      <c r="I130" s="769"/>
      <c r="J130" s="770"/>
      <c r="K130" s="769"/>
      <c r="L130" s="769"/>
      <c r="M130" s="769">
        <f>+'STER - Detailed Disclosure (mm)'!M48</f>
        <v>0.43178670430774968</v>
      </c>
      <c r="N130" s="770">
        <f>+'STER - Detailed Disclosure (mm)'!N48</f>
        <v>0.3231637444330222</v>
      </c>
      <c r="O130" s="769">
        <f>+'STER - Detailed Disclosure (mm)'!O48</f>
        <v>0.30442699289660607</v>
      </c>
      <c r="P130" s="769">
        <f>+'STER - Detailed Disclosure (mm)'!P48</f>
        <v>0.22836327575818444</v>
      </c>
      <c r="Q130" s="769">
        <f>+'STER - Detailed Disclosure (mm)'!Q48</f>
        <v>0.12441003910189512</v>
      </c>
      <c r="R130" s="770">
        <f>+'STER - Detailed Disclosure (mm)'!R48</f>
        <v>-4.2999999999999997E-2</v>
      </c>
      <c r="S130" s="769">
        <f>+'STER - Detailed Disclosure (mm)'!S48</f>
        <v>-7.1145062821661553E-2</v>
      </c>
      <c r="T130" s="769">
        <f>+'STER - Detailed Disclosure (mm)'!T48</f>
        <v>-0.10096724564791268</v>
      </c>
      <c r="U130" s="769">
        <f>+'STER - Detailed Disclosure (mm)'!U48</f>
        <v>-0.11899445054917487</v>
      </c>
      <c r="V130" s="769">
        <f>+'STER - Detailed Disclosure (mm)'!V48</f>
        <v>-2.8000000000000001E-2</v>
      </c>
      <c r="W130" s="989">
        <f>+'STER - Detailed Disclosure (mm)'!W48</f>
        <v>-4.9000000000000002E-2</v>
      </c>
      <c r="X130" s="769">
        <f>+'STER - Detailed Disclosure (mm)'!X48</f>
        <v>-9.0000000000000011E-3</v>
      </c>
      <c r="Y130" s="772">
        <f t="shared" ref="Y130:AD130" si="196">+Y27</f>
        <v>1.4999999999999999E-2</v>
      </c>
      <c r="Z130" s="770">
        <f t="shared" si="196"/>
        <v>-2.127558790196912E-2</v>
      </c>
      <c r="AA130" s="769">
        <f t="shared" si="196"/>
        <v>3.0000000000000002E-2</v>
      </c>
      <c r="AB130" s="769">
        <f t="shared" si="196"/>
        <v>4.4999999999999998E-2</v>
      </c>
      <c r="AC130" s="769">
        <f t="shared" si="196"/>
        <v>6.0000000000000005E-2</v>
      </c>
      <c r="AD130" s="769">
        <f t="shared" si="196"/>
        <v>0.08</v>
      </c>
      <c r="AE130" s="767"/>
      <c r="AF130" s="769"/>
      <c r="AG130" s="769"/>
      <c r="AH130" s="769">
        <f t="shared" ref="AH130:AM130" si="197">+AH27</f>
        <v>0</v>
      </c>
      <c r="AI130" s="769">
        <f t="shared" si="197"/>
        <v>0.38967637698682744</v>
      </c>
      <c r="AJ130" s="769">
        <f t="shared" si="197"/>
        <v>0.14358032915604685</v>
      </c>
      <c r="AK130" s="772">
        <f t="shared" si="197"/>
        <v>-8.2480316439353135E-2</v>
      </c>
      <c r="AL130" s="769">
        <f t="shared" si="197"/>
        <v>-1.5832662164415541E-2</v>
      </c>
      <c r="AM130" s="769">
        <f t="shared" si="197"/>
        <v>5.3361488558675549E-2</v>
      </c>
    </row>
    <row r="131" spans="1:40" s="470" customFormat="1" x14ac:dyDescent="0.25">
      <c r="A131" s="766"/>
      <c r="C131" s="767"/>
      <c r="D131" s="767"/>
      <c r="E131" s="767"/>
      <c r="F131" s="768"/>
      <c r="G131" s="769"/>
      <c r="H131" s="769"/>
      <c r="I131" s="769"/>
      <c r="J131" s="770"/>
      <c r="K131" s="769"/>
      <c r="L131" s="769"/>
      <c r="M131" s="769"/>
      <c r="N131" s="770"/>
      <c r="O131" s="769"/>
      <c r="P131" s="769"/>
      <c r="Q131" s="769"/>
      <c r="R131" s="770"/>
      <c r="S131" s="769"/>
      <c r="T131" s="769"/>
      <c r="U131" s="769"/>
      <c r="V131" s="769"/>
      <c r="W131" s="989"/>
      <c r="X131" s="769"/>
      <c r="Y131" s="772"/>
      <c r="Z131" s="770"/>
      <c r="AA131" s="769"/>
      <c r="AB131" s="769"/>
      <c r="AC131" s="769"/>
      <c r="AD131" s="769"/>
      <c r="AE131" s="767"/>
      <c r="AF131" s="769"/>
      <c r="AG131" s="769"/>
      <c r="AH131" s="769"/>
      <c r="AI131" s="769"/>
      <c r="AJ131" s="769"/>
      <c r="AK131" s="772"/>
      <c r="AL131" s="769"/>
      <c r="AM131" s="769"/>
    </row>
    <row r="132" spans="1:40" x14ac:dyDescent="0.25">
      <c r="A132" s="783" t="s">
        <v>573</v>
      </c>
      <c r="C132" s="2174"/>
      <c r="D132" s="2174"/>
      <c r="E132" s="2174"/>
      <c r="F132" s="2182"/>
      <c r="G132" s="1030"/>
      <c r="H132" s="1030"/>
      <c r="I132" s="1030"/>
      <c r="J132" s="2182"/>
      <c r="K132" s="1030"/>
      <c r="L132" s="1030"/>
      <c r="M132" s="1030"/>
      <c r="N132" s="2182"/>
      <c r="O132" s="1030"/>
      <c r="P132" s="1030"/>
      <c r="Q132" s="1030"/>
      <c r="R132" s="2182"/>
      <c r="S132" s="1030"/>
      <c r="T132" s="1030"/>
      <c r="U132" s="1030"/>
      <c r="V132" s="1030"/>
      <c r="W132" s="1434"/>
      <c r="X132" s="1030"/>
      <c r="Y132" s="1475"/>
      <c r="Z132" s="2182"/>
      <c r="AA132" s="1030"/>
      <c r="AB132" s="1030"/>
      <c r="AC132" s="1030"/>
      <c r="AD132" s="1030"/>
      <c r="AE132" s="1030"/>
      <c r="AF132" s="1030"/>
      <c r="AG132" s="1030"/>
      <c r="AH132" s="1030"/>
      <c r="AI132" s="1030"/>
      <c r="AJ132" s="1030"/>
      <c r="AK132" s="1475"/>
      <c r="AL132" s="2174"/>
      <c r="AM132" s="2174"/>
      <c r="AN132" s="2175"/>
    </row>
    <row r="133" spans="1:40" x14ac:dyDescent="0.25">
      <c r="A133" s="460" t="s">
        <v>574</v>
      </c>
      <c r="C133" s="1027"/>
      <c r="D133" s="1027"/>
      <c r="E133" s="1027"/>
      <c r="F133" s="2173"/>
      <c r="G133" s="1027"/>
      <c r="H133" s="1027"/>
      <c r="I133" s="1027"/>
      <c r="J133" s="2173"/>
      <c r="K133" s="1027"/>
      <c r="L133" s="1027"/>
      <c r="M133" s="1027">
        <f t="shared" ref="M133:N133" si="198">+M121</f>
        <v>139.56399999999999</v>
      </c>
      <c r="N133" s="2173">
        <f t="shared" si="198"/>
        <v>143.62400000000002</v>
      </c>
      <c r="O133" s="1027">
        <f t="shared" ref="O133:W133" si="199">+O121</f>
        <v>159.316</v>
      </c>
      <c r="P133" s="1027">
        <f t="shared" si="199"/>
        <v>174.11500000000001</v>
      </c>
      <c r="Q133" s="1027">
        <f t="shared" si="199"/>
        <v>168.61500000000001</v>
      </c>
      <c r="R133" s="2173">
        <f t="shared" si="199"/>
        <v>141.77999999999997</v>
      </c>
      <c r="S133" s="2208">
        <f t="shared" si="199"/>
        <v>149.74199999999999</v>
      </c>
      <c r="T133" s="2208">
        <f t="shared" si="199"/>
        <v>162.19800000000001</v>
      </c>
      <c r="U133" s="2208">
        <f t="shared" si="199"/>
        <v>153.577</v>
      </c>
      <c r="V133" s="1027">
        <f t="shared" si="199"/>
        <v>144.17699999999996</v>
      </c>
      <c r="W133" s="1433">
        <f t="shared" si="199"/>
        <v>159.827</v>
      </c>
      <c r="X133" s="1027">
        <f>+X121</f>
        <v>173.976</v>
      </c>
      <c r="Y133" s="1474">
        <f t="shared" ref="Y133:AD133" si="200">+Y9</f>
        <v>169.05078</v>
      </c>
      <c r="Z133" s="2173">
        <f t="shared" si="200"/>
        <v>152.39357499999997</v>
      </c>
      <c r="AA133" s="1027">
        <f t="shared" si="200"/>
        <v>164.62181000000001</v>
      </c>
      <c r="AB133" s="1027">
        <f t="shared" si="200"/>
        <v>181.80491999999998</v>
      </c>
      <c r="AC133" s="1027">
        <f t="shared" si="200"/>
        <v>179.19382680000001</v>
      </c>
      <c r="AD133" s="1027">
        <f t="shared" si="200"/>
        <v>164.58506099999997</v>
      </c>
      <c r="AE133" s="1027"/>
      <c r="AF133" s="1027"/>
      <c r="AG133" s="1027">
        <f>+AG121</f>
        <v>424.77300000000002</v>
      </c>
      <c r="AH133" s="1027">
        <f>+AH121</f>
        <v>377.351</v>
      </c>
      <c r="AI133" s="1027">
        <f>+AI121</f>
        <v>522.67200000000003</v>
      </c>
      <c r="AJ133" s="1027">
        <f>+'FA - Detailed Disclosure'!AL144</f>
        <v>694.86500000000001</v>
      </c>
      <c r="AK133" s="1474">
        <f>SUM(S133:V133)</f>
        <v>609.69399999999996</v>
      </c>
      <c r="AL133" s="1027">
        <f>+SUM(W133:Z133)</f>
        <v>655.24735499999997</v>
      </c>
      <c r="AM133" s="1027">
        <f>+SUM(AA133:AD133)</f>
        <v>690.20561780000003</v>
      </c>
      <c r="AN133" s="2175"/>
    </row>
    <row r="134" spans="1:40" s="817" customFormat="1" ht="13" x14ac:dyDescent="0.4">
      <c r="A134" s="460" t="str">
        <f>+'FA - Detailed Disclosure'!A145</f>
        <v>FX Translation Impact</v>
      </c>
      <c r="B134" s="778"/>
      <c r="F134" s="845"/>
      <c r="G134" s="2188"/>
      <c r="H134" s="2188"/>
      <c r="I134" s="2188"/>
      <c r="J134" s="2209"/>
      <c r="K134" s="2188"/>
      <c r="L134" s="2188"/>
      <c r="M134" s="2210">
        <v>0</v>
      </c>
      <c r="N134" s="2211">
        <v>0</v>
      </c>
      <c r="O134" s="2210">
        <v>0</v>
      </c>
      <c r="P134" s="2210">
        <v>0</v>
      </c>
      <c r="Q134" s="2210">
        <v>0</v>
      </c>
      <c r="R134" s="2211">
        <v>0</v>
      </c>
      <c r="S134" s="2210">
        <v>0</v>
      </c>
      <c r="T134" s="2210">
        <v>0</v>
      </c>
      <c r="U134" s="2210">
        <v>0</v>
      </c>
      <c r="V134" s="2210">
        <v>0</v>
      </c>
      <c r="W134" s="2212">
        <v>0</v>
      </c>
      <c r="X134" s="2210">
        <v>0</v>
      </c>
      <c r="Y134" s="2216">
        <v>0</v>
      </c>
      <c r="Z134" s="2209">
        <v>0</v>
      </c>
      <c r="AA134" s="2188">
        <v>0</v>
      </c>
      <c r="AB134" s="2188">
        <v>0</v>
      </c>
      <c r="AC134" s="2188">
        <v>0</v>
      </c>
      <c r="AD134" s="2188">
        <v>0</v>
      </c>
      <c r="AE134" s="689"/>
      <c r="AF134" s="689"/>
      <c r="AG134" s="2185">
        <v>0</v>
      </c>
      <c r="AH134" s="2185">
        <v>0</v>
      </c>
      <c r="AI134" s="2185">
        <v>0</v>
      </c>
      <c r="AJ134" s="2185">
        <v>0</v>
      </c>
      <c r="AK134" s="2177">
        <f>SUM(S134:V134)</f>
        <v>0</v>
      </c>
      <c r="AL134" s="2185">
        <f>+SUM(W134:Z134)</f>
        <v>0</v>
      </c>
      <c r="AM134" s="2185">
        <f t="shared" ref="AM134:AM137" si="201">+SUM(AA134:AD134)</f>
        <v>0</v>
      </c>
    </row>
    <row r="135" spans="1:40" s="817" customFormat="1" ht="12" x14ac:dyDescent="0.3">
      <c r="A135" s="474" t="str">
        <f>+'FA - Detailed Disclosure'!A146</f>
        <v>Americas - CC</v>
      </c>
      <c r="B135" s="778"/>
      <c r="F135" s="845"/>
      <c r="G135" s="1030"/>
      <c r="H135" s="1030"/>
      <c r="I135" s="1030"/>
      <c r="J135" s="2182"/>
      <c r="K135" s="1030"/>
      <c r="L135" s="1030"/>
      <c r="M135" s="1030">
        <f t="shared" ref="M135:W135" si="202">+M133+M134</f>
        <v>139.56399999999999</v>
      </c>
      <c r="N135" s="2182">
        <f t="shared" si="202"/>
        <v>143.62400000000002</v>
      </c>
      <c r="O135" s="1030">
        <f t="shared" si="202"/>
        <v>159.316</v>
      </c>
      <c r="P135" s="1030">
        <f t="shared" si="202"/>
        <v>174.11500000000001</v>
      </c>
      <c r="Q135" s="1030">
        <f t="shared" si="202"/>
        <v>168.61500000000001</v>
      </c>
      <c r="R135" s="2182">
        <f t="shared" si="202"/>
        <v>141.77999999999997</v>
      </c>
      <c r="S135" s="2214">
        <f t="shared" si="202"/>
        <v>149.74199999999999</v>
      </c>
      <c r="T135" s="2214">
        <f t="shared" si="202"/>
        <v>162.19800000000001</v>
      </c>
      <c r="U135" s="2214">
        <f t="shared" si="202"/>
        <v>153.577</v>
      </c>
      <c r="V135" s="2214">
        <f t="shared" si="202"/>
        <v>144.17699999999996</v>
      </c>
      <c r="W135" s="2215">
        <f t="shared" si="202"/>
        <v>159.827</v>
      </c>
      <c r="X135" s="2214">
        <f t="shared" ref="X135:AD135" si="203">+X133+X134</f>
        <v>173.976</v>
      </c>
      <c r="Y135" s="1475">
        <f t="shared" si="203"/>
        <v>169.05078</v>
      </c>
      <c r="Z135" s="2182">
        <f t="shared" si="203"/>
        <v>152.39357499999997</v>
      </c>
      <c r="AA135" s="1030">
        <f t="shared" si="203"/>
        <v>164.62181000000001</v>
      </c>
      <c r="AB135" s="1030">
        <f t="shared" si="203"/>
        <v>181.80491999999998</v>
      </c>
      <c r="AC135" s="1030">
        <f t="shared" si="203"/>
        <v>179.19382680000001</v>
      </c>
      <c r="AD135" s="1030">
        <f t="shared" si="203"/>
        <v>164.58506099999997</v>
      </c>
      <c r="AE135" s="689"/>
      <c r="AF135" s="689"/>
      <c r="AG135" s="1030">
        <f t="shared" ref="AG135:AI135" si="204">+AG133+AG134</f>
        <v>424.77300000000002</v>
      </c>
      <c r="AH135" s="1030">
        <f t="shared" si="204"/>
        <v>377.351</v>
      </c>
      <c r="AI135" s="1030">
        <f t="shared" si="204"/>
        <v>522.67200000000003</v>
      </c>
      <c r="AJ135" s="1030">
        <f>+'FA - Detailed Disclosure'!AL146</f>
        <v>695.06399999999996</v>
      </c>
      <c r="AK135" s="1475">
        <f>SUM(S135:V135)</f>
        <v>609.69399999999996</v>
      </c>
      <c r="AL135" s="1030">
        <f>+SUM(W135:Z135)</f>
        <v>655.24735499999997</v>
      </c>
      <c r="AM135" s="1030">
        <f t="shared" si="201"/>
        <v>690.20561780000003</v>
      </c>
    </row>
    <row r="136" spans="1:40" s="817" customFormat="1" ht="13" x14ac:dyDescent="0.4">
      <c r="A136" s="460" t="str">
        <f>+'FA - Detailed Disclosure'!A147</f>
        <v>M&amp;A Impact</v>
      </c>
      <c r="B136" s="778"/>
      <c r="F136" s="845"/>
      <c r="G136" s="2185"/>
      <c r="H136" s="2185"/>
      <c r="I136" s="2185"/>
      <c r="J136" s="2186"/>
      <c r="K136" s="2185"/>
      <c r="L136" s="2185"/>
      <c r="M136" s="2185">
        <f t="shared" ref="M136:N136" si="205">+M153+M152+M150</f>
        <v>0</v>
      </c>
      <c r="N136" s="2209">
        <f t="shared" si="205"/>
        <v>2.9555689999999997</v>
      </c>
      <c r="O136" s="2188">
        <f t="shared" ref="O136:W136" si="206">+O153+O152+O150</f>
        <v>11.149600000000001</v>
      </c>
      <c r="P136" s="2188">
        <f t="shared" si="206"/>
        <v>12.268256000000001</v>
      </c>
      <c r="Q136" s="2188">
        <f t="shared" si="206"/>
        <v>11.360319</v>
      </c>
      <c r="R136" s="2209">
        <f t="shared" si="206"/>
        <v>6.9442850000000016</v>
      </c>
      <c r="S136" s="2188">
        <f t="shared" si="206"/>
        <v>1.8795799999999998</v>
      </c>
      <c r="T136" s="2188">
        <f t="shared" si="206"/>
        <v>5.5789120000000008</v>
      </c>
      <c r="U136" s="2188">
        <f t="shared" si="206"/>
        <v>3.7831760000000001</v>
      </c>
      <c r="V136" s="2188">
        <f t="shared" si="206"/>
        <v>2.3943179999999984</v>
      </c>
      <c r="W136" s="2187">
        <f t="shared" si="206"/>
        <v>15.596837999999998</v>
      </c>
      <c r="X136" s="2188">
        <f>+X153+X152+X150</f>
        <v>11.803807999999998</v>
      </c>
      <c r="Y136" s="2216">
        <f t="shared" ref="Y136:AD136" si="207">+Y153+Y152+Y150</f>
        <v>11.821</v>
      </c>
      <c r="Z136" s="2209">
        <f t="shared" si="207"/>
        <v>11.821</v>
      </c>
      <c r="AA136" s="2188">
        <f t="shared" si="207"/>
        <v>0</v>
      </c>
      <c r="AB136" s="2188">
        <f>+AB153+AB152+AB150</f>
        <v>0</v>
      </c>
      <c r="AC136" s="2188">
        <f t="shared" si="207"/>
        <v>0</v>
      </c>
      <c r="AD136" s="2188">
        <f t="shared" si="207"/>
        <v>0</v>
      </c>
      <c r="AE136" s="689"/>
      <c r="AF136" s="689"/>
      <c r="AG136" s="689"/>
      <c r="AH136" s="689"/>
      <c r="AI136" s="2185">
        <f>SUM(K136:N136)</f>
        <v>2.9555689999999997</v>
      </c>
      <c r="AJ136" s="2185">
        <f>+'FA - Detailed Disclosure'!AL147</f>
        <v>29.401</v>
      </c>
      <c r="AK136" s="2177">
        <f>SUM(S136:V136)</f>
        <v>13.635985999999999</v>
      </c>
      <c r="AL136" s="2185">
        <f>+SUM(W136:Z136)</f>
        <v>51.042645999999991</v>
      </c>
      <c r="AM136" s="2185">
        <f t="shared" si="201"/>
        <v>0</v>
      </c>
    </row>
    <row r="137" spans="1:40" s="817" customFormat="1" ht="12" x14ac:dyDescent="0.3">
      <c r="A137" s="474" t="str">
        <f>+'FA - Detailed Disclosure'!A148</f>
        <v>Americas - Organic</v>
      </c>
      <c r="B137" s="778"/>
      <c r="F137" s="845"/>
      <c r="G137" s="1030"/>
      <c r="H137" s="1030"/>
      <c r="I137" s="1030"/>
      <c r="J137" s="2182"/>
      <c r="K137" s="1030"/>
      <c r="L137" s="1030"/>
      <c r="M137" s="1030">
        <f t="shared" ref="M137:W137" si="208">+M135-M136</f>
        <v>139.56399999999999</v>
      </c>
      <c r="N137" s="2182">
        <f t="shared" si="208"/>
        <v>140.66843100000003</v>
      </c>
      <c r="O137" s="1030">
        <f t="shared" si="208"/>
        <v>148.16640000000001</v>
      </c>
      <c r="P137" s="1030">
        <f t="shared" si="208"/>
        <v>161.846744</v>
      </c>
      <c r="Q137" s="1030">
        <f t="shared" si="208"/>
        <v>157.25468100000001</v>
      </c>
      <c r="R137" s="2182">
        <f t="shared" si="208"/>
        <v>134.83571499999996</v>
      </c>
      <c r="S137" s="2214">
        <f t="shared" si="208"/>
        <v>147.86241999999999</v>
      </c>
      <c r="T137" s="2214">
        <f t="shared" si="208"/>
        <v>156.619088</v>
      </c>
      <c r="U137" s="2214">
        <f t="shared" si="208"/>
        <v>149.793824</v>
      </c>
      <c r="V137" s="2214">
        <f t="shared" si="208"/>
        <v>141.78268199999997</v>
      </c>
      <c r="W137" s="2215">
        <f t="shared" si="208"/>
        <v>144.23016200000001</v>
      </c>
      <c r="X137" s="2214">
        <f t="shared" ref="X137:AD137" si="209">+X135-X136</f>
        <v>162.172192</v>
      </c>
      <c r="Y137" s="1475">
        <f t="shared" si="209"/>
        <v>157.22978000000001</v>
      </c>
      <c r="Z137" s="2182">
        <f t="shared" si="209"/>
        <v>140.57257499999997</v>
      </c>
      <c r="AA137" s="1030">
        <f t="shared" si="209"/>
        <v>164.62181000000001</v>
      </c>
      <c r="AB137" s="1030">
        <f t="shared" si="209"/>
        <v>181.80491999999998</v>
      </c>
      <c r="AC137" s="1030">
        <f t="shared" si="209"/>
        <v>179.19382680000001</v>
      </c>
      <c r="AD137" s="1030">
        <f t="shared" si="209"/>
        <v>164.58506099999997</v>
      </c>
      <c r="AE137" s="689"/>
      <c r="AF137" s="689"/>
      <c r="AG137" s="689"/>
      <c r="AH137" s="689"/>
      <c r="AI137" s="1030">
        <f>+AI135-AI136</f>
        <v>519.71643100000006</v>
      </c>
      <c r="AJ137" s="1030">
        <f>+AJ135-AJ136</f>
        <v>665.66300000000001</v>
      </c>
      <c r="AK137" s="1475">
        <f>SUM(S137:V137)</f>
        <v>596.05801399999996</v>
      </c>
      <c r="AL137" s="1030">
        <f>+SUM(W137:Z137)</f>
        <v>604.20470899999998</v>
      </c>
      <c r="AM137" s="1030">
        <f t="shared" si="201"/>
        <v>690.20561780000003</v>
      </c>
    </row>
    <row r="138" spans="1:40" s="817" customFormat="1" ht="12" x14ac:dyDescent="0.3">
      <c r="A138" s="798" t="s">
        <v>248</v>
      </c>
      <c r="B138" s="778"/>
      <c r="F138" s="845"/>
      <c r="G138" s="689"/>
      <c r="H138" s="689"/>
      <c r="I138" s="689"/>
      <c r="J138" s="779"/>
      <c r="K138" s="689"/>
      <c r="L138" s="689"/>
      <c r="M138" s="689"/>
      <c r="N138" s="779"/>
      <c r="O138" s="689"/>
      <c r="P138" s="689"/>
      <c r="Q138" s="689">
        <f t="shared" ref="Q138:R138" si="210">+Q137/M133-1</f>
        <v>0.12675676392192847</v>
      </c>
      <c r="R138" s="779">
        <f t="shared" si="210"/>
        <v>-6.1189529605080284E-2</v>
      </c>
      <c r="S138" s="799">
        <f>+S137/O133-1</f>
        <v>-7.1892214215772521E-2</v>
      </c>
      <c r="T138" s="799">
        <f t="shared" ref="T138:AD138" si="211">+T137/P133-1</f>
        <v>-0.10048480601901044</v>
      </c>
      <c r="U138" s="799">
        <f t="shared" si="211"/>
        <v>-0.11162219256886996</v>
      </c>
      <c r="V138" s="799">
        <f t="shared" si="211"/>
        <v>1.8916631400633932E-5</v>
      </c>
      <c r="W138" s="994">
        <f t="shared" si="211"/>
        <v>-3.6808897971177035E-2</v>
      </c>
      <c r="X138" s="799">
        <f t="shared" si="211"/>
        <v>-1.5911416910208143E-4</v>
      </c>
      <c r="Y138" s="781">
        <f t="shared" si="211"/>
        <v>2.3784681299934274E-2</v>
      </c>
      <c r="Z138" s="779">
        <f t="shared" si="211"/>
        <v>-2.4999999999999911E-2</v>
      </c>
      <c r="AA138" s="689">
        <f t="shared" si="211"/>
        <v>3.0000000000000027E-2</v>
      </c>
      <c r="AB138" s="689">
        <f t="shared" si="211"/>
        <v>4.4999999999999929E-2</v>
      </c>
      <c r="AC138" s="689">
        <f t="shared" si="211"/>
        <v>6.0000000000000053E-2</v>
      </c>
      <c r="AD138" s="689">
        <f t="shared" si="211"/>
        <v>8.0000000000000071E-2</v>
      </c>
      <c r="AE138" s="689"/>
      <c r="AF138" s="689"/>
      <c r="AG138" s="689"/>
      <c r="AH138" s="689"/>
      <c r="AI138" s="689">
        <f>+AI137/AH133-1</f>
        <v>0.37727588107623955</v>
      </c>
      <c r="AJ138" s="689">
        <f>+AJ137/AI133-1</f>
        <v>0.27357692778645104</v>
      </c>
      <c r="AK138" s="781">
        <f>+AK137/AJ133-1</f>
        <v>-0.14219594597511753</v>
      </c>
      <c r="AL138" s="689">
        <f>+AL137/AK133-1</f>
        <v>-9.0033541415857066E-3</v>
      </c>
      <c r="AM138" s="689">
        <f>+AM137/AL133-1</f>
        <v>5.3351245958100924E-2</v>
      </c>
    </row>
    <row r="139" spans="1:40" s="817" customFormat="1" ht="12" x14ac:dyDescent="0.3">
      <c r="A139" s="778"/>
      <c r="B139" s="778"/>
      <c r="F139" s="845"/>
      <c r="G139" s="689"/>
      <c r="H139" s="689"/>
      <c r="I139" s="736"/>
      <c r="J139" s="779"/>
      <c r="K139" s="689"/>
      <c r="L139" s="689"/>
      <c r="M139" s="736"/>
      <c r="N139" s="779"/>
      <c r="O139" s="689"/>
      <c r="P139" s="689"/>
      <c r="Q139" s="689"/>
      <c r="R139" s="779"/>
      <c r="S139" s="799"/>
      <c r="T139" s="799"/>
      <c r="U139" s="799"/>
      <c r="V139" s="799"/>
      <c r="W139" s="991"/>
      <c r="X139" s="689"/>
      <c r="Y139" s="781"/>
      <c r="Z139" s="779"/>
      <c r="AA139" s="689"/>
      <c r="AB139" s="689"/>
      <c r="AC139" s="689"/>
      <c r="AD139" s="689"/>
      <c r="AE139" s="689"/>
      <c r="AF139" s="689"/>
      <c r="AG139" s="689"/>
      <c r="AH139" s="689"/>
      <c r="AI139" s="689"/>
      <c r="AJ139" s="689"/>
      <c r="AK139" s="781"/>
      <c r="AL139" s="689"/>
      <c r="AM139" s="689"/>
    </row>
    <row r="140" spans="1:40" x14ac:dyDescent="0.25">
      <c r="A140" s="783" t="s">
        <v>249</v>
      </c>
      <c r="C140" s="2174"/>
      <c r="D140" s="2174"/>
      <c r="E140" s="2174"/>
      <c r="F140" s="2182"/>
      <c r="G140" s="1030"/>
      <c r="H140" s="1030"/>
      <c r="I140" s="1030"/>
      <c r="J140" s="2182"/>
      <c r="K140" s="1030"/>
      <c r="L140" s="1030"/>
      <c r="M140" s="1030"/>
      <c r="N140" s="2182"/>
      <c r="O140" s="1030"/>
      <c r="P140" s="1030"/>
      <c r="Q140" s="1030"/>
      <c r="R140" s="2182"/>
      <c r="S140" s="2214"/>
      <c r="T140" s="2214"/>
      <c r="U140" s="2214"/>
      <c r="V140" s="2214"/>
      <c r="W140" s="2215"/>
      <c r="X140" s="2214"/>
      <c r="Y140" s="1475"/>
      <c r="Z140" s="2182"/>
      <c r="AA140" s="1030"/>
      <c r="AB140" s="1030"/>
      <c r="AC140" s="1030"/>
      <c r="AD140" s="1030"/>
      <c r="AE140" s="1030"/>
      <c r="AF140" s="1030"/>
      <c r="AG140" s="1030"/>
      <c r="AH140" s="1030"/>
      <c r="AI140" s="1030"/>
      <c r="AJ140" s="1030"/>
      <c r="AK140" s="1475"/>
      <c r="AL140" s="2174"/>
      <c r="AM140" s="2174"/>
      <c r="AN140" s="2175"/>
    </row>
    <row r="141" spans="1:40" x14ac:dyDescent="0.25">
      <c r="A141" s="460" t="str">
        <f>+'FA - Detailed Disclosure'!A150</f>
        <v>International - Reported</v>
      </c>
      <c r="C141" s="1027"/>
      <c r="D141" s="1027"/>
      <c r="E141" s="1027"/>
      <c r="F141" s="2173"/>
      <c r="G141" s="1027"/>
      <c r="H141" s="1027"/>
      <c r="I141" s="1027"/>
      <c r="J141" s="2173"/>
      <c r="K141" s="1027"/>
      <c r="L141" s="1027"/>
      <c r="M141" s="1027">
        <f t="shared" ref="M141:N141" si="212">+M122</f>
        <v>29.992999999999999</v>
      </c>
      <c r="N141" s="2173">
        <f t="shared" si="212"/>
        <v>30.00500000000001</v>
      </c>
      <c r="O141" s="1027">
        <f t="shared" ref="O141:W141" si="213">+O122</f>
        <v>32.655999999999999</v>
      </c>
      <c r="P141" s="1027">
        <f t="shared" si="213"/>
        <v>31.475999999999999</v>
      </c>
      <c r="Q141" s="1027">
        <f t="shared" si="213"/>
        <v>30.684000000000001</v>
      </c>
      <c r="R141" s="2173">
        <f t="shared" si="213"/>
        <v>28.14</v>
      </c>
      <c r="S141" s="2208">
        <f t="shared" si="213"/>
        <v>29.532</v>
      </c>
      <c r="T141" s="2208">
        <f t="shared" si="213"/>
        <v>28.186</v>
      </c>
      <c r="U141" s="2208">
        <f t="shared" si="213"/>
        <v>26.989000000000001</v>
      </c>
      <c r="V141" s="2208">
        <f t="shared" si="213"/>
        <v>25.23899999999999</v>
      </c>
      <c r="W141" s="2217">
        <f t="shared" si="213"/>
        <v>26.172000000000001</v>
      </c>
      <c r="X141" s="2208">
        <f>+X122</f>
        <v>26.552</v>
      </c>
      <c r="Y141" s="1474">
        <f t="shared" ref="Y141:AD141" si="214">+Y10</f>
        <v>26.44922</v>
      </c>
      <c r="Z141" s="2173">
        <f t="shared" si="214"/>
        <v>24.947306518317355</v>
      </c>
      <c r="AA141" s="1027">
        <f t="shared" si="214"/>
        <v>27.497721138034642</v>
      </c>
      <c r="AB141" s="1027">
        <f t="shared" si="214"/>
        <v>28.161031770923358</v>
      </c>
      <c r="AC141" s="1027">
        <f t="shared" si="214"/>
        <v>28.936754065666015</v>
      </c>
      <c r="AD141" s="1027">
        <f t="shared" si="214"/>
        <v>27.430518125097993</v>
      </c>
      <c r="AE141" s="1027"/>
      <c r="AF141" s="1027"/>
      <c r="AG141" s="1027">
        <f t="shared" ref="AG141:AJ141" si="215">+AG122</f>
        <v>72.343000000000004</v>
      </c>
      <c r="AH141" s="1027">
        <f t="shared" si="215"/>
        <v>76.701999999999998</v>
      </c>
      <c r="AI141" s="1027">
        <f t="shared" si="215"/>
        <v>119.212</v>
      </c>
      <c r="AJ141" s="1027">
        <f t="shared" si="215"/>
        <v>122.956</v>
      </c>
      <c r="AK141" s="1474">
        <f>+SUM(S141:V141)</f>
        <v>109.946</v>
      </c>
      <c r="AL141" s="1027">
        <f>+SUM(W141:Z141)</f>
        <v>104.12052651831735</v>
      </c>
      <c r="AM141" s="1027">
        <f t="shared" ref="AM141:AM145" si="216">+SUM(AA141:AD141)</f>
        <v>112.02602509972201</v>
      </c>
      <c r="AN141" s="2175"/>
    </row>
    <row r="142" spans="1:40" s="817" customFormat="1" ht="13" x14ac:dyDescent="0.4">
      <c r="A142" s="460" t="str">
        <f>+'FA - Detailed Disclosure'!A151</f>
        <v>FX Translation Impact</v>
      </c>
      <c r="B142" s="778"/>
      <c r="F142" s="845"/>
      <c r="G142" s="2188"/>
      <c r="H142" s="2188"/>
      <c r="I142" s="2188"/>
      <c r="J142" s="2209"/>
      <c r="K142" s="2188"/>
      <c r="L142" s="2188"/>
      <c r="M142" s="2210">
        <f>('STER - Detailed Disclosure (mm)'!M47*'STER - Detailed Disclosure (mm)'!I8)*-1</f>
        <v>-1.1760200000000001</v>
      </c>
      <c r="N142" s="2211">
        <f>('STER - Detailed Disclosure (mm)'!N47*'STER - Detailed Disclosure (mm)'!J8)*-1</f>
        <v>-0.64292034912334151</v>
      </c>
      <c r="O142" s="2185">
        <f>('STER - Detailed Disclosure (mm)'!O47*'STER - Detailed Disclosure (mm)'!K8)*-1</f>
        <v>0.97558999999999996</v>
      </c>
      <c r="P142" s="2185">
        <f>('STER - Detailed Disclosure (mm)'!P47*'STER - Detailed Disclosure (mm)'!L8)*-1</f>
        <v>2.38992</v>
      </c>
      <c r="Q142" s="2185">
        <f>('STER - Detailed Disclosure (mm)'!Q47*'STER - Detailed Disclosure (mm)'!M8)*-1</f>
        <v>2.7129119999999998</v>
      </c>
      <c r="R142" s="2186">
        <f>('STER - Detailed Disclosure (mm)'!R47*'STER - Detailed Disclosure (mm)'!N8)*-1</f>
        <v>3.1872380000000144</v>
      </c>
      <c r="S142" s="2210">
        <f>('STER - Detailed Disclosure (mm)'!S47*'STER - Detailed Disclosure (mm)'!O8)*-1</f>
        <v>1.9197200000000001</v>
      </c>
      <c r="T142" s="2210">
        <f>('STER - Detailed Disclosure (mm)'!T47*'STER - Detailed Disclosure (mm)'!P8)*-1</f>
        <v>1.027955</v>
      </c>
      <c r="U142" s="2210">
        <f>('STER - Detailed Disclosure (mm)'!U47*'STER - Detailed Disclosure (mm)'!Q8)*-1</f>
        <v>-0.199299</v>
      </c>
      <c r="V142" s="2210">
        <f>('STER - Detailed Disclosure (mm)'!V47*'STER - Detailed Disclosure (mm)'!R8)*-1</f>
        <v>-0.85944199999995741</v>
      </c>
      <c r="W142" s="2212">
        <f>('STER - Detailed Disclosure (mm)'!W47*'STER - Detailed Disclosure (mm)'!S8)*-1</f>
        <v>8.741200000001223E-2</v>
      </c>
      <c r="X142" s="2210">
        <f>('STER - Detailed Disclosure (mm)'!X47*'STER - Detailed Disclosure (mm)'!T8)*-1</f>
        <v>-5.3648000000021637E-2</v>
      </c>
      <c r="Y142" s="2216">
        <v>0.3</v>
      </c>
      <c r="Z142" s="2209">
        <f t="shared" ref="Z142:AD142" si="217">+Z235*V141*-1</f>
        <v>-0.29169348168263487</v>
      </c>
      <c r="AA142" s="2188">
        <f t="shared" si="217"/>
        <v>0.54056113803463868</v>
      </c>
      <c r="AB142" s="2188">
        <f t="shared" si="217"/>
        <v>0.41419177092336079</v>
      </c>
      <c r="AC142" s="2188">
        <f t="shared" si="217"/>
        <v>0.90058086566601547</v>
      </c>
      <c r="AD142" s="2188">
        <f t="shared" si="217"/>
        <v>0.48742708531524959</v>
      </c>
      <c r="AE142" s="689"/>
      <c r="AF142" s="689"/>
      <c r="AG142" s="689"/>
      <c r="AH142" s="2185"/>
      <c r="AI142" s="2185">
        <f>('STER - Detailed Disclosure (mm)'!AS47*'STER - Detailed Disclosure (mm)'!AR8)*-1</f>
        <v>-7.7189010000000007</v>
      </c>
      <c r="AJ142" s="2185">
        <f>+SUM(O142:R142)</f>
        <v>9.2656600000000147</v>
      </c>
      <c r="AK142" s="2177">
        <f>+SUM(S142:V142)</f>
        <v>1.888934000000043</v>
      </c>
      <c r="AL142" s="2185">
        <f>+SUM(W142:Z142)</f>
        <v>4.2070518317355698E-2</v>
      </c>
      <c r="AM142" s="2185">
        <f t="shared" si="216"/>
        <v>2.3427608599392649</v>
      </c>
    </row>
    <row r="143" spans="1:40" s="817" customFormat="1" ht="12" x14ac:dyDescent="0.3">
      <c r="A143" s="474" t="str">
        <f>+'FA - Detailed Disclosure'!A152</f>
        <v>International - CC</v>
      </c>
      <c r="B143" s="778"/>
      <c r="F143" s="845"/>
      <c r="G143" s="1030"/>
      <c r="H143" s="1030"/>
      <c r="I143" s="1030"/>
      <c r="J143" s="2182"/>
      <c r="K143" s="1030"/>
      <c r="L143" s="1030"/>
      <c r="M143" s="1030">
        <f t="shared" ref="M143:N143" si="218">+M142+M141</f>
        <v>28.816979999999997</v>
      </c>
      <c r="N143" s="2182">
        <f t="shared" si="218"/>
        <v>29.362079650876669</v>
      </c>
      <c r="O143" s="1030">
        <f t="shared" ref="O143:X143" si="219">+O142+O141</f>
        <v>33.631589999999996</v>
      </c>
      <c r="P143" s="1030">
        <f t="shared" si="219"/>
        <v>33.865920000000003</v>
      </c>
      <c r="Q143" s="1030">
        <f t="shared" si="219"/>
        <v>33.396912</v>
      </c>
      <c r="R143" s="2182">
        <f t="shared" si="219"/>
        <v>31.327238000000015</v>
      </c>
      <c r="S143" s="2214">
        <f t="shared" si="219"/>
        <v>31.451720000000002</v>
      </c>
      <c r="T143" s="2214">
        <f t="shared" si="219"/>
        <v>29.213954999999999</v>
      </c>
      <c r="U143" s="2214">
        <f t="shared" si="219"/>
        <v>26.789701000000001</v>
      </c>
      <c r="V143" s="2214">
        <f t="shared" si="219"/>
        <v>24.379558000000031</v>
      </c>
      <c r="W143" s="2215">
        <f t="shared" si="219"/>
        <v>26.259412000000012</v>
      </c>
      <c r="X143" s="2214">
        <f t="shared" si="219"/>
        <v>26.498351999999979</v>
      </c>
      <c r="Y143" s="1475">
        <f t="shared" ref="Y143:AD143" si="220">+Y142+Y141</f>
        <v>26.749220000000001</v>
      </c>
      <c r="Z143" s="2182">
        <f t="shared" si="220"/>
        <v>24.655613036634719</v>
      </c>
      <c r="AA143" s="1030">
        <f t="shared" si="220"/>
        <v>28.038282276069282</v>
      </c>
      <c r="AB143" s="1030">
        <f t="shared" si="220"/>
        <v>28.575223541846718</v>
      </c>
      <c r="AC143" s="1030">
        <f t="shared" si="220"/>
        <v>29.83733493133203</v>
      </c>
      <c r="AD143" s="1030">
        <f t="shared" si="220"/>
        <v>27.917945210413244</v>
      </c>
      <c r="AE143" s="1030"/>
      <c r="AF143" s="689"/>
      <c r="AG143" s="689"/>
      <c r="AH143" s="689"/>
      <c r="AI143" s="1030">
        <f t="shared" ref="AI143" si="221">+AI141+AI142</f>
        <v>111.493099</v>
      </c>
      <c r="AJ143" s="1030">
        <f t="shared" ref="AJ143:AJ145" si="222">+SUM(O143:R143)</f>
        <v>132.22166000000001</v>
      </c>
      <c r="AK143" s="1475">
        <f>SUM(S143:V143)</f>
        <v>111.83493400000003</v>
      </c>
      <c r="AL143" s="1030">
        <f>+SUM(W143:Z143)</f>
        <v>104.16259703663471</v>
      </c>
      <c r="AM143" s="1030">
        <f t="shared" si="216"/>
        <v>114.36878595966127</v>
      </c>
    </row>
    <row r="144" spans="1:40" s="817" customFormat="1" ht="13" x14ac:dyDescent="0.4">
      <c r="A144" s="460" t="str">
        <f>+'FA - Detailed Disclosure'!A153</f>
        <v>M&amp;A Impact</v>
      </c>
      <c r="B144" s="778"/>
      <c r="F144" s="845"/>
      <c r="G144" s="2185"/>
      <c r="H144" s="2185"/>
      <c r="I144" s="2185"/>
      <c r="J144" s="2186"/>
      <c r="K144" s="2185"/>
      <c r="L144" s="2185"/>
      <c r="M144" s="2185">
        <f t="shared" ref="M144:N144" si="223">+M151</f>
        <v>0</v>
      </c>
      <c r="N144" s="2209">
        <f t="shared" si="223"/>
        <v>0</v>
      </c>
      <c r="O144" s="2188">
        <f t="shared" ref="O144:W144" si="224">+O151</f>
        <v>0</v>
      </c>
      <c r="P144" s="2188">
        <f t="shared" si="224"/>
        <v>0</v>
      </c>
      <c r="Q144" s="2188">
        <f t="shared" si="224"/>
        <v>0</v>
      </c>
      <c r="R144" s="2209">
        <f t="shared" si="224"/>
        <v>0</v>
      </c>
      <c r="S144" s="2188">
        <f t="shared" si="224"/>
        <v>1</v>
      </c>
      <c r="T144" s="2188">
        <f t="shared" si="224"/>
        <v>1</v>
      </c>
      <c r="U144" s="2188">
        <f t="shared" si="224"/>
        <v>1</v>
      </c>
      <c r="V144" s="2188">
        <f t="shared" si="224"/>
        <v>1</v>
      </c>
      <c r="W144" s="2187">
        <f t="shared" si="224"/>
        <v>0</v>
      </c>
      <c r="X144" s="2188">
        <f>+X151</f>
        <v>0</v>
      </c>
      <c r="Y144" s="2216">
        <f t="shared" ref="Y144:AD144" si="225">+Y151</f>
        <v>0</v>
      </c>
      <c r="Z144" s="2209">
        <f t="shared" si="225"/>
        <v>0</v>
      </c>
      <c r="AA144" s="2188">
        <f t="shared" si="225"/>
        <v>0</v>
      </c>
      <c r="AB144" s="2188">
        <f t="shared" si="225"/>
        <v>0</v>
      </c>
      <c r="AC144" s="2188">
        <f t="shared" si="225"/>
        <v>0</v>
      </c>
      <c r="AD144" s="2188">
        <f t="shared" si="225"/>
        <v>0</v>
      </c>
      <c r="AE144" s="689"/>
      <c r="AF144" s="689"/>
      <c r="AG144" s="689"/>
      <c r="AH144" s="689"/>
      <c r="AI144" s="2185">
        <f>SUM(K144:N144)</f>
        <v>0</v>
      </c>
      <c r="AJ144" s="2185">
        <f t="shared" si="222"/>
        <v>0</v>
      </c>
      <c r="AK144" s="2177">
        <f>SUM(S144:V144)</f>
        <v>4</v>
      </c>
      <c r="AL144" s="2185">
        <f>+SUM(W144:Z144)</f>
        <v>0</v>
      </c>
      <c r="AM144" s="2185">
        <f t="shared" si="216"/>
        <v>0</v>
      </c>
    </row>
    <row r="145" spans="1:40" s="817" customFormat="1" ht="12" x14ac:dyDescent="0.3">
      <c r="A145" s="474" t="str">
        <f>+'FA - Detailed Disclosure'!A154</f>
        <v>International - Organic</v>
      </c>
      <c r="B145" s="778"/>
      <c r="F145" s="845"/>
      <c r="G145" s="1030"/>
      <c r="H145" s="1030"/>
      <c r="I145" s="1030"/>
      <c r="J145" s="2182"/>
      <c r="K145" s="1030"/>
      <c r="L145" s="1030"/>
      <c r="M145" s="1030">
        <f t="shared" ref="M145:N145" si="226">+M143-M144</f>
        <v>28.816979999999997</v>
      </c>
      <c r="N145" s="2182">
        <f t="shared" si="226"/>
        <v>29.362079650876669</v>
      </c>
      <c r="O145" s="1030">
        <f t="shared" ref="O145:R145" si="227">+O143-O144</f>
        <v>33.631589999999996</v>
      </c>
      <c r="P145" s="1030">
        <f t="shared" si="227"/>
        <v>33.865920000000003</v>
      </c>
      <c r="Q145" s="1030">
        <f t="shared" si="227"/>
        <v>33.396912</v>
      </c>
      <c r="R145" s="2182">
        <f t="shared" si="227"/>
        <v>31.327238000000015</v>
      </c>
      <c r="S145" s="2214">
        <f>+S143-S144</f>
        <v>30.451720000000002</v>
      </c>
      <c r="T145" s="2214">
        <f t="shared" ref="T145:AD145" si="228">+T143-T144</f>
        <v>28.213954999999999</v>
      </c>
      <c r="U145" s="2214">
        <f t="shared" si="228"/>
        <v>25.789701000000001</v>
      </c>
      <c r="V145" s="2214">
        <f t="shared" si="228"/>
        <v>23.379558000000031</v>
      </c>
      <c r="W145" s="2215">
        <f t="shared" si="228"/>
        <v>26.259412000000012</v>
      </c>
      <c r="X145" s="2214">
        <f t="shared" si="228"/>
        <v>26.498351999999979</v>
      </c>
      <c r="Y145" s="1475">
        <f t="shared" si="228"/>
        <v>26.749220000000001</v>
      </c>
      <c r="Z145" s="2182">
        <f t="shared" si="228"/>
        <v>24.655613036634719</v>
      </c>
      <c r="AA145" s="1030">
        <f t="shared" si="228"/>
        <v>28.038282276069282</v>
      </c>
      <c r="AB145" s="1030">
        <f t="shared" si="228"/>
        <v>28.575223541846718</v>
      </c>
      <c r="AC145" s="1030">
        <f t="shared" si="228"/>
        <v>29.83733493133203</v>
      </c>
      <c r="AD145" s="1030">
        <f t="shared" si="228"/>
        <v>27.917945210413244</v>
      </c>
      <c r="AE145" s="689"/>
      <c r="AF145" s="689"/>
      <c r="AG145" s="689"/>
      <c r="AH145" s="689"/>
      <c r="AI145" s="1030">
        <f>+AI143-AI144</f>
        <v>111.493099</v>
      </c>
      <c r="AJ145" s="1030">
        <f t="shared" si="222"/>
        <v>132.22166000000001</v>
      </c>
      <c r="AK145" s="1475">
        <f>SUM(S145:V145)</f>
        <v>107.83493400000003</v>
      </c>
      <c r="AL145" s="1030">
        <f>+SUM(W145:Z145)</f>
        <v>104.16259703663471</v>
      </c>
      <c r="AM145" s="1030">
        <f t="shared" si="216"/>
        <v>114.36878595966127</v>
      </c>
    </row>
    <row r="146" spans="1:40" s="817" customFormat="1" ht="12" x14ac:dyDescent="0.3">
      <c r="A146" s="798" t="s">
        <v>248</v>
      </c>
      <c r="B146" s="778"/>
      <c r="F146" s="845"/>
      <c r="G146" s="689"/>
      <c r="H146" s="689"/>
      <c r="I146" s="689"/>
      <c r="J146" s="779"/>
      <c r="K146" s="689"/>
      <c r="L146" s="689"/>
      <c r="M146" s="689"/>
      <c r="N146" s="779"/>
      <c r="O146" s="689"/>
      <c r="P146" s="689"/>
      <c r="Q146" s="689">
        <f t="shared" ref="Q146:R146" si="229">+Q145/M141-1</f>
        <v>0.11349021438335627</v>
      </c>
      <c r="R146" s="779">
        <f t="shared" si="229"/>
        <v>4.4067255457423959E-2</v>
      </c>
      <c r="S146" s="799">
        <f>+S145/O141-1</f>
        <v>-6.7499999999999893E-2</v>
      </c>
      <c r="T146" s="799">
        <f t="shared" ref="T146:AD146" si="230">+T145/P141-1</f>
        <v>-0.10363594484686744</v>
      </c>
      <c r="U146" s="799">
        <f t="shared" si="230"/>
        <v>-0.1595065506452874</v>
      </c>
      <c r="V146" s="799">
        <f t="shared" si="230"/>
        <v>-0.16916993603411401</v>
      </c>
      <c r="W146" s="994">
        <f t="shared" si="230"/>
        <v>-0.1108149803602867</v>
      </c>
      <c r="X146" s="799">
        <f t="shared" si="230"/>
        <v>-5.9875399134322715E-2</v>
      </c>
      <c r="Y146" s="781">
        <f t="shared" si="230"/>
        <v>-8.8843602949350009E-3</v>
      </c>
      <c r="Z146" s="779">
        <f t="shared" si="230"/>
        <v>-2.3114503877541548E-2</v>
      </c>
      <c r="AA146" s="689">
        <f t="shared" si="230"/>
        <v>7.1308355344233521E-2</v>
      </c>
      <c r="AB146" s="689">
        <f t="shared" si="230"/>
        <v>7.6198536526315142E-2</v>
      </c>
      <c r="AC146" s="689">
        <f t="shared" si="230"/>
        <v>0.12809886005455096</v>
      </c>
      <c r="AD146" s="689">
        <f t="shared" si="230"/>
        <v>0.11907652996185059</v>
      </c>
      <c r="AE146" s="689"/>
      <c r="AF146" s="689"/>
      <c r="AG146" s="689"/>
      <c r="AH146" s="689"/>
      <c r="AI146" s="689">
        <f>+AI145/AH141-1</f>
        <v>0.45358789862063564</v>
      </c>
      <c r="AJ146" s="689">
        <f>+AJ145/AI141-1</f>
        <v>0.10913045666543653</v>
      </c>
      <c r="AK146" s="781">
        <f>+AK145/AJ141-1</f>
        <v>-0.12297948859754682</v>
      </c>
      <c r="AL146" s="689">
        <f>+AL145/AK141-1</f>
        <v>-5.2602213480847815E-2</v>
      </c>
      <c r="AM146" s="689">
        <f>+AM145/AL141-1</f>
        <v>9.8426888376721644E-2</v>
      </c>
    </row>
    <row r="147" spans="1:40" s="817" customFormat="1" ht="12" x14ac:dyDescent="0.3">
      <c r="A147" s="778"/>
      <c r="B147" s="778"/>
      <c r="F147" s="845"/>
      <c r="G147" s="689"/>
      <c r="H147" s="689"/>
      <c r="I147" s="736"/>
      <c r="J147" s="779"/>
      <c r="K147" s="689"/>
      <c r="L147" s="689"/>
      <c r="M147" s="736"/>
      <c r="N147" s="779"/>
      <c r="O147" s="689"/>
      <c r="P147" s="689"/>
      <c r="Q147" s="689"/>
      <c r="R147" s="779"/>
      <c r="S147" s="799"/>
      <c r="T147" s="799"/>
      <c r="U147" s="689"/>
      <c r="V147" s="799"/>
      <c r="W147" s="994"/>
      <c r="X147" s="689"/>
      <c r="Y147" s="781"/>
      <c r="Z147" s="779"/>
      <c r="AA147" s="689"/>
      <c r="AB147" s="689"/>
      <c r="AC147" s="689"/>
      <c r="AD147" s="689"/>
      <c r="AE147" s="689"/>
      <c r="AF147" s="689"/>
      <c r="AG147" s="689"/>
      <c r="AH147" s="689"/>
      <c r="AI147" s="689"/>
      <c r="AJ147" s="689"/>
      <c r="AK147" s="781"/>
      <c r="AL147" s="689"/>
      <c r="AM147" s="689"/>
    </row>
    <row r="148" spans="1:40" x14ac:dyDescent="0.25">
      <c r="A148" s="867" t="s">
        <v>250</v>
      </c>
      <c r="B148" s="868"/>
      <c r="C148" s="2174"/>
      <c r="D148" s="2174"/>
      <c r="E148" s="2174"/>
      <c r="F148" s="2182"/>
      <c r="G148" s="1030"/>
      <c r="H148" s="1030"/>
      <c r="I148" s="1030"/>
      <c r="J148" s="2182"/>
      <c r="K148" s="1030"/>
      <c r="L148" s="1030"/>
      <c r="M148" s="1030"/>
      <c r="N148" s="2182"/>
      <c r="O148" s="1030"/>
      <c r="P148" s="1030"/>
      <c r="Q148" s="1030"/>
      <c r="R148" s="2182"/>
      <c r="S148" s="1030"/>
      <c r="T148" s="1030"/>
      <c r="U148" s="1030"/>
      <c r="V148" s="1030"/>
      <c r="W148" s="1434"/>
      <c r="X148" s="1030"/>
      <c r="Y148" s="1475"/>
      <c r="Z148" s="2182"/>
      <c r="AA148" s="1030"/>
      <c r="AB148" s="1030"/>
      <c r="AC148" s="1030"/>
      <c r="AD148" s="1030"/>
      <c r="AE148" s="1030"/>
      <c r="AF148" s="1030"/>
      <c r="AG148" s="1030"/>
      <c r="AH148" s="1030"/>
      <c r="AI148" s="1030"/>
      <c r="AJ148" s="1030"/>
      <c r="AK148" s="1475"/>
      <c r="AL148" s="2174"/>
      <c r="AM148" s="2174"/>
      <c r="AN148" s="2175"/>
    </row>
    <row r="149" spans="1:40" x14ac:dyDescent="0.25">
      <c r="C149" s="2174"/>
      <c r="D149" s="2174"/>
      <c r="E149" s="2174"/>
      <c r="F149" s="2182"/>
      <c r="G149" s="1030"/>
      <c r="H149" s="1030"/>
      <c r="I149" s="1030"/>
      <c r="J149" s="2182"/>
      <c r="K149" s="1030"/>
      <c r="L149" s="1030"/>
      <c r="M149" s="1030"/>
      <c r="N149" s="2182"/>
      <c r="O149" s="1030"/>
      <c r="P149" s="1030"/>
      <c r="Q149" s="1030"/>
      <c r="R149" s="2182"/>
      <c r="S149" s="1030"/>
      <c r="T149" s="1030"/>
      <c r="U149" s="1030"/>
      <c r="V149" s="1030"/>
      <c r="W149" s="1434"/>
      <c r="X149" s="1030"/>
      <c r="Y149" s="1475"/>
      <c r="Z149" s="2182"/>
      <c r="AA149" s="1030"/>
      <c r="AB149" s="1030"/>
      <c r="AC149" s="1030"/>
      <c r="AD149" s="1030"/>
      <c r="AE149" s="1030"/>
      <c r="AF149" s="1030"/>
      <c r="AG149" s="1030"/>
      <c r="AH149" s="1030"/>
      <c r="AI149" s="1030"/>
      <c r="AJ149" s="1030"/>
      <c r="AK149" s="1475"/>
      <c r="AL149" s="2174"/>
      <c r="AM149" s="2174"/>
      <c r="AN149" s="2175"/>
    </row>
    <row r="150" spans="1:40" x14ac:dyDescent="0.25">
      <c r="A150" s="460" t="s">
        <v>575</v>
      </c>
      <c r="C150" s="1027"/>
      <c r="D150" s="1027"/>
      <c r="E150" s="1027"/>
      <c r="F150" s="2173"/>
      <c r="G150" s="1027">
        <f t="shared" ref="G150:L150" si="231">+G154</f>
        <v>0</v>
      </c>
      <c r="H150" s="1027">
        <f t="shared" si="231"/>
        <v>0</v>
      </c>
      <c r="I150" s="1027">
        <f t="shared" si="231"/>
        <v>0</v>
      </c>
      <c r="J150" s="2173">
        <f t="shared" si="231"/>
        <v>0</v>
      </c>
      <c r="K150" s="1027">
        <f t="shared" si="231"/>
        <v>0</v>
      </c>
      <c r="L150" s="1027">
        <f t="shared" si="231"/>
        <v>0</v>
      </c>
      <c r="M150" s="1027">
        <f t="shared" ref="M150:N150" si="232">+M154</f>
        <v>0</v>
      </c>
      <c r="N150" s="2173">
        <f t="shared" si="232"/>
        <v>2.9555689999999997</v>
      </c>
      <c r="O150" s="1030">
        <f>+O154</f>
        <v>11.149600000000001</v>
      </c>
      <c r="P150" s="1030">
        <f t="shared" ref="P150:R150" si="233">+P154</f>
        <v>12.268256000000001</v>
      </c>
      <c r="Q150" s="1030">
        <f t="shared" si="233"/>
        <v>11.360319</v>
      </c>
      <c r="R150" s="2182">
        <f t="shared" si="233"/>
        <v>6.9442850000000016</v>
      </c>
      <c r="S150" s="1030">
        <v>0</v>
      </c>
      <c r="T150" s="1030">
        <v>0</v>
      </c>
      <c r="U150" s="1030">
        <v>0</v>
      </c>
      <c r="V150" s="1030">
        <v>0</v>
      </c>
      <c r="W150" s="1434">
        <v>0</v>
      </c>
      <c r="X150" s="1030">
        <v>0</v>
      </c>
      <c r="Y150" s="1475">
        <v>0</v>
      </c>
      <c r="Z150" s="2182">
        <v>0</v>
      </c>
      <c r="AA150" s="1030">
        <v>0</v>
      </c>
      <c r="AB150" s="1030">
        <v>0</v>
      </c>
      <c r="AC150" s="1030">
        <v>0</v>
      </c>
      <c r="AD150" s="1030">
        <v>0</v>
      </c>
      <c r="AE150" s="1030"/>
      <c r="AF150" s="1030"/>
      <c r="AG150" s="1030"/>
      <c r="AH150" s="1030"/>
      <c r="AI150" s="1030"/>
      <c r="AJ150" s="1030">
        <f t="shared" ref="AJ150:AJ153" si="234">+SUM(O150:R150)</f>
        <v>41.722460000000005</v>
      </c>
      <c r="AK150" s="1475">
        <f t="shared" ref="AK150:AK153" si="235">+SUM(S150:V150)</f>
        <v>0</v>
      </c>
      <c r="AL150" s="2174">
        <f t="shared" ref="AL150:AL153" si="236">+SUM(W150:Z150)</f>
        <v>0</v>
      </c>
      <c r="AM150" s="2174">
        <f t="shared" ref="AM150:AM153" si="237">+SUM(AA150:AD150)</f>
        <v>0</v>
      </c>
      <c r="AN150" s="2175"/>
    </row>
    <row r="151" spans="1:40" x14ac:dyDescent="0.25">
      <c r="A151" s="460" t="s">
        <v>576</v>
      </c>
      <c r="C151" s="1027"/>
      <c r="D151" s="1027"/>
      <c r="E151" s="1027"/>
      <c r="F151" s="2173"/>
      <c r="G151" s="1027">
        <v>0</v>
      </c>
      <c r="H151" s="1027">
        <v>0</v>
      </c>
      <c r="I151" s="1027">
        <v>0</v>
      </c>
      <c r="J151" s="2173">
        <v>0</v>
      </c>
      <c r="K151" s="1027">
        <v>0</v>
      </c>
      <c r="L151" s="1027">
        <v>0</v>
      </c>
      <c r="M151" s="1027">
        <v>0</v>
      </c>
      <c r="N151" s="2173">
        <v>0</v>
      </c>
      <c r="O151" s="1030">
        <v>0</v>
      </c>
      <c r="P151" s="1030">
        <v>0</v>
      </c>
      <c r="Q151" s="1030">
        <v>0</v>
      </c>
      <c r="R151" s="2182">
        <v>0</v>
      </c>
      <c r="S151" s="2183">
        <v>1</v>
      </c>
      <c r="T151" s="2183">
        <v>1</v>
      </c>
      <c r="U151" s="2183">
        <v>1</v>
      </c>
      <c r="V151" s="2183">
        <v>1</v>
      </c>
      <c r="W151" s="1434">
        <v>0</v>
      </c>
      <c r="X151" s="1030">
        <v>0</v>
      </c>
      <c r="Y151" s="1475">
        <v>0</v>
      </c>
      <c r="Z151" s="2182">
        <v>0</v>
      </c>
      <c r="AA151" s="1030">
        <v>0</v>
      </c>
      <c r="AB151" s="1030">
        <v>0</v>
      </c>
      <c r="AC151" s="1030">
        <v>0</v>
      </c>
      <c r="AD151" s="1030">
        <v>0</v>
      </c>
      <c r="AE151" s="1030"/>
      <c r="AF151" s="1030"/>
      <c r="AG151" s="1030"/>
      <c r="AH151" s="1030"/>
      <c r="AI151" s="1030"/>
      <c r="AJ151" s="1030">
        <f t="shared" si="234"/>
        <v>0</v>
      </c>
      <c r="AK151" s="1475">
        <f t="shared" si="235"/>
        <v>4</v>
      </c>
      <c r="AL151" s="2174">
        <f t="shared" si="236"/>
        <v>0</v>
      </c>
      <c r="AM151" s="2174">
        <f t="shared" si="237"/>
        <v>0</v>
      </c>
      <c r="AN151" s="2175"/>
    </row>
    <row r="152" spans="1:40" x14ac:dyDescent="0.25">
      <c r="A152" s="460" t="s">
        <v>577</v>
      </c>
      <c r="C152" s="1027"/>
      <c r="D152" s="1027"/>
      <c r="E152" s="1027"/>
      <c r="F152" s="2173"/>
      <c r="G152" s="1027">
        <v>0</v>
      </c>
      <c r="H152" s="1027">
        <v>0</v>
      </c>
      <c r="I152" s="1027">
        <v>0</v>
      </c>
      <c r="J152" s="2173">
        <v>0</v>
      </c>
      <c r="K152" s="1027">
        <v>0</v>
      </c>
      <c r="L152" s="1027">
        <v>0</v>
      </c>
      <c r="M152" s="1027">
        <v>0</v>
      </c>
      <c r="N152" s="2173">
        <v>0</v>
      </c>
      <c r="O152" s="1030">
        <v>0</v>
      </c>
      <c r="P152" s="1030">
        <v>0</v>
      </c>
      <c r="Q152" s="1030">
        <v>0</v>
      </c>
      <c r="R152" s="2182">
        <v>0</v>
      </c>
      <c r="S152" s="2183">
        <f>+S154-S151</f>
        <v>1.8795799999999998</v>
      </c>
      <c r="T152" s="2183">
        <f t="shared" ref="T152:V152" si="238">+T154-T151</f>
        <v>5.5789120000000008</v>
      </c>
      <c r="U152" s="2183">
        <f t="shared" si="238"/>
        <v>3.7831760000000001</v>
      </c>
      <c r="V152" s="2183">
        <f t="shared" si="238"/>
        <v>2.3943179999999984</v>
      </c>
      <c r="W152" s="2184">
        <f>+S152*2</f>
        <v>3.7591599999999996</v>
      </c>
      <c r="X152" s="1030">
        <v>0</v>
      </c>
      <c r="Y152" s="1475">
        <v>0</v>
      </c>
      <c r="Z152" s="2182">
        <v>0</v>
      </c>
      <c r="AA152" s="1030">
        <v>0</v>
      </c>
      <c r="AB152" s="1030">
        <v>0</v>
      </c>
      <c r="AC152" s="1030">
        <v>0</v>
      </c>
      <c r="AD152" s="1030">
        <v>0</v>
      </c>
      <c r="AE152" s="1030"/>
      <c r="AF152" s="1030"/>
      <c r="AG152" s="1030"/>
      <c r="AH152" s="1030"/>
      <c r="AI152" s="1030"/>
      <c r="AJ152" s="1030">
        <f t="shared" si="234"/>
        <v>0</v>
      </c>
      <c r="AK152" s="1475">
        <f t="shared" si="235"/>
        <v>13.635985999999999</v>
      </c>
      <c r="AL152" s="2174">
        <f t="shared" si="236"/>
        <v>3.7591599999999996</v>
      </c>
      <c r="AM152" s="2174">
        <f t="shared" si="237"/>
        <v>0</v>
      </c>
      <c r="AN152" s="2175"/>
    </row>
    <row r="153" spans="1:40" s="802" customFormat="1" ht="13" x14ac:dyDescent="0.4">
      <c r="A153" s="460" t="s">
        <v>578</v>
      </c>
      <c r="C153" s="1028"/>
      <c r="D153" s="1028"/>
      <c r="E153" s="1028"/>
      <c r="F153" s="2176"/>
      <c r="G153" s="1028">
        <v>0</v>
      </c>
      <c r="H153" s="1028">
        <v>0</v>
      </c>
      <c r="I153" s="1028">
        <v>0</v>
      </c>
      <c r="J153" s="2176">
        <v>0</v>
      </c>
      <c r="K153" s="1028">
        <v>0</v>
      </c>
      <c r="L153" s="1028">
        <v>0</v>
      </c>
      <c r="M153" s="1028">
        <v>0</v>
      </c>
      <c r="N153" s="2176">
        <v>0</v>
      </c>
      <c r="O153" s="2185">
        <v>0</v>
      </c>
      <c r="P153" s="2185">
        <v>0</v>
      </c>
      <c r="Q153" s="2185">
        <v>0</v>
      </c>
      <c r="R153" s="2186">
        <v>0</v>
      </c>
      <c r="S153" s="2185">
        <v>0</v>
      </c>
      <c r="T153" s="2185">
        <v>0</v>
      </c>
      <c r="U153" s="2185">
        <v>0</v>
      </c>
      <c r="V153" s="2185">
        <v>0</v>
      </c>
      <c r="W153" s="2187">
        <f>+W154-W152</f>
        <v>11.837677999999999</v>
      </c>
      <c r="X153" s="2185">
        <f>+X154</f>
        <v>11.803807999999998</v>
      </c>
      <c r="Y153" s="2213">
        <v>11.821</v>
      </c>
      <c r="Z153" s="2209">
        <f>+Y153</f>
        <v>11.821</v>
      </c>
      <c r="AA153" s="2188">
        <v>0</v>
      </c>
      <c r="AB153" s="2188">
        <v>0</v>
      </c>
      <c r="AC153" s="2188">
        <v>0</v>
      </c>
      <c r="AD153" s="2188">
        <v>0</v>
      </c>
      <c r="AE153" s="2185"/>
      <c r="AF153" s="2185"/>
      <c r="AG153" s="2185"/>
      <c r="AH153" s="2185"/>
      <c r="AI153" s="2185"/>
      <c r="AJ153" s="2185">
        <f t="shared" si="234"/>
        <v>0</v>
      </c>
      <c r="AK153" s="2177">
        <f t="shared" si="235"/>
        <v>0</v>
      </c>
      <c r="AL153" s="2178">
        <f t="shared" si="236"/>
        <v>47.283485999999996</v>
      </c>
      <c r="AM153" s="2178">
        <f t="shared" si="237"/>
        <v>0</v>
      </c>
      <c r="AN153" s="2179"/>
    </row>
    <row r="154" spans="1:40" x14ac:dyDescent="0.25">
      <c r="A154" s="474" t="s">
        <v>256</v>
      </c>
      <c r="C154" s="1027"/>
      <c r="D154" s="1027"/>
      <c r="E154" s="1027"/>
      <c r="F154" s="2173"/>
      <c r="G154" s="1027">
        <f>+'STER - Detailed Disclosure (mm)'!G46*'STER - Detailed Disclosure (mm)'!C8</f>
        <v>0</v>
      </c>
      <c r="H154" s="1027">
        <f>+'STER - Detailed Disclosure (mm)'!H46*'STER - Detailed Disclosure (mm)'!D8</f>
        <v>0</v>
      </c>
      <c r="I154" s="1027">
        <f>+'STER - Detailed Disclosure (mm)'!I46*'STER - Detailed Disclosure (mm)'!E8</f>
        <v>0</v>
      </c>
      <c r="J154" s="2173">
        <f>+'STER - Detailed Disclosure (mm)'!J46*'STER - Detailed Disclosure (mm)'!F8</f>
        <v>0</v>
      </c>
      <c r="K154" s="1027">
        <f>+'STER - Detailed Disclosure (mm)'!K46*'STER - Detailed Disclosure (mm)'!G8</f>
        <v>0</v>
      </c>
      <c r="L154" s="1027">
        <f>+'STER - Detailed Disclosure (mm)'!L46*'STER - Detailed Disclosure (mm)'!H8</f>
        <v>0</v>
      </c>
      <c r="M154" s="1027">
        <f>+'STER - Detailed Disclosure (mm)'!M46*'STER - Detailed Disclosure (mm)'!I8</f>
        <v>0</v>
      </c>
      <c r="N154" s="2173">
        <f>+'STER - Detailed Disclosure (mm)'!N46*'STER - Detailed Disclosure (mm)'!J8</f>
        <v>2.9555689999999997</v>
      </c>
      <c r="O154" s="1030">
        <f>+'STER - Detailed Disclosure (mm)'!O46*'STER - Detailed Disclosure (mm)'!K8</f>
        <v>11.149600000000001</v>
      </c>
      <c r="P154" s="1030">
        <f>+'STER - Detailed Disclosure (mm)'!P46*'STER - Detailed Disclosure (mm)'!L8</f>
        <v>12.268256000000001</v>
      </c>
      <c r="Q154" s="1030">
        <f>+'STER - Detailed Disclosure (mm)'!Q46*'STER - Detailed Disclosure (mm)'!M8</f>
        <v>11.360319</v>
      </c>
      <c r="R154" s="2182">
        <f>+'STER - Detailed Disclosure (mm)'!R46*'STER - Detailed Disclosure (mm)'!N8</f>
        <v>6.9442850000000016</v>
      </c>
      <c r="S154" s="1030">
        <f>+'STER - Detailed Disclosure (mm)'!S46*'STER - Detailed Disclosure (mm)'!O8</f>
        <v>2.8795799999999998</v>
      </c>
      <c r="T154" s="1030">
        <f>+'STER - Detailed Disclosure (mm)'!T46*'STER - Detailed Disclosure (mm)'!P8</f>
        <v>6.5789120000000008</v>
      </c>
      <c r="U154" s="1030">
        <f>+'STER - Detailed Disclosure (mm)'!U46*'STER - Detailed Disclosure (mm)'!Q8</f>
        <v>4.7831760000000001</v>
      </c>
      <c r="V154" s="1030">
        <f>+'STER - Detailed Disclosure (mm)'!V46*'STER - Detailed Disclosure (mm)'!R8</f>
        <v>3.3943179999999984</v>
      </c>
      <c r="W154" s="1434">
        <f>+'STER - Detailed Disclosure (mm)'!W46*'STER - Detailed Disclosure (mm)'!S8</f>
        <v>15.596837999999998</v>
      </c>
      <c r="X154" s="1030">
        <f>+'STER - Detailed Disclosure (mm)'!X46*'STER - Detailed Disclosure (mm)'!T8</f>
        <v>11.803807999999998</v>
      </c>
      <c r="Y154" s="1475">
        <f t="shared" ref="Y154:AD154" si="239">+SUM(Y150:Y153)</f>
        <v>11.821</v>
      </c>
      <c r="Z154" s="2182">
        <f t="shared" si="239"/>
        <v>11.821</v>
      </c>
      <c r="AA154" s="1030">
        <f t="shared" si="239"/>
        <v>0</v>
      </c>
      <c r="AB154" s="1030">
        <f t="shared" si="239"/>
        <v>0</v>
      </c>
      <c r="AC154" s="1030">
        <f t="shared" si="239"/>
        <v>0</v>
      </c>
      <c r="AD154" s="1030">
        <f t="shared" si="239"/>
        <v>0</v>
      </c>
      <c r="AE154" s="1030"/>
      <c r="AF154" s="1030"/>
      <c r="AG154" s="1030"/>
      <c r="AH154" s="1030"/>
      <c r="AI154" s="1030"/>
      <c r="AJ154" s="1030">
        <f>+SUM(O154:R154)</f>
        <v>41.722460000000005</v>
      </c>
      <c r="AK154" s="1475">
        <f>+SUM(S154:V154)</f>
        <v>17.635985999999999</v>
      </c>
      <c r="AL154" s="2174">
        <f t="shared" ref="AL154" si="240">+SUM(W154:Z154)</f>
        <v>51.042645999999991</v>
      </c>
      <c r="AM154" s="2174">
        <f>+SUM(AA154:AD154)</f>
        <v>0</v>
      </c>
      <c r="AN154" s="2175"/>
    </row>
    <row r="155" spans="1:40" s="939" customFormat="1" ht="12" x14ac:dyDescent="0.3">
      <c r="A155" s="798" t="s">
        <v>257</v>
      </c>
      <c r="C155" s="2338"/>
      <c r="D155" s="2338"/>
      <c r="E155" s="2338"/>
      <c r="F155" s="2339"/>
      <c r="G155" s="2338">
        <v>0</v>
      </c>
      <c r="H155" s="2338">
        <v>0</v>
      </c>
      <c r="I155" s="2338">
        <v>0</v>
      </c>
      <c r="J155" s="2339">
        <v>0</v>
      </c>
      <c r="K155" s="2338">
        <v>0</v>
      </c>
      <c r="L155" s="2338">
        <v>0</v>
      </c>
      <c r="M155" s="2338">
        <v>0</v>
      </c>
      <c r="N155" s="2339">
        <f>+N154</f>
        <v>2.9555689999999997</v>
      </c>
      <c r="O155" s="2340">
        <f>+O154-N154</f>
        <v>8.1940310000000025</v>
      </c>
      <c r="P155" s="2340">
        <v>0</v>
      </c>
      <c r="Q155" s="2340">
        <v>0</v>
      </c>
      <c r="R155" s="2341">
        <v>0</v>
      </c>
      <c r="S155" s="2340">
        <f>+S152+S151</f>
        <v>2.8795799999999998</v>
      </c>
      <c r="T155" s="2340">
        <f>+T152-S152</f>
        <v>3.699332000000001</v>
      </c>
      <c r="U155" s="2340">
        <v>0</v>
      </c>
      <c r="V155" s="2340">
        <v>0</v>
      </c>
      <c r="W155" s="2342">
        <f>+W153</f>
        <v>11.837677999999999</v>
      </c>
      <c r="X155" s="2340">
        <v>0</v>
      </c>
      <c r="Y155" s="2343">
        <v>0</v>
      </c>
      <c r="Z155" s="2341">
        <v>0</v>
      </c>
      <c r="AA155" s="2340">
        <v>0</v>
      </c>
      <c r="AB155" s="2340">
        <v>0</v>
      </c>
      <c r="AC155" s="2340">
        <v>0</v>
      </c>
      <c r="AD155" s="2340">
        <v>0</v>
      </c>
      <c r="AE155" s="2340"/>
      <c r="AF155" s="2340"/>
      <c r="AG155" s="2340"/>
      <c r="AH155" s="2340"/>
      <c r="AI155" s="2340"/>
      <c r="AJ155" s="2340"/>
      <c r="AK155" s="2343"/>
      <c r="AL155" s="2344"/>
      <c r="AM155" s="2344"/>
      <c r="AN155" s="2226"/>
    </row>
    <row r="156" spans="1:40" x14ac:dyDescent="0.25">
      <c r="A156" s="474"/>
      <c r="C156" s="1027"/>
      <c r="D156" s="1027"/>
      <c r="E156" s="1027"/>
      <c r="F156" s="2173"/>
      <c r="G156" s="1027"/>
      <c r="H156" s="1027"/>
      <c r="I156" s="1027"/>
      <c r="J156" s="2173"/>
      <c r="K156" s="1027"/>
      <c r="L156" s="1027"/>
      <c r="M156" s="1027"/>
      <c r="N156" s="2173"/>
      <c r="O156" s="1027"/>
      <c r="P156" s="1027"/>
      <c r="Q156" s="1027"/>
      <c r="R156" s="2173"/>
      <c r="S156" s="1027"/>
      <c r="T156" s="1027"/>
      <c r="U156" s="1027"/>
      <c r="V156" s="1027"/>
      <c r="W156" s="1433"/>
      <c r="X156" s="1027"/>
      <c r="Y156" s="1474"/>
      <c r="Z156" s="2173"/>
      <c r="AA156" s="1027"/>
      <c r="AB156" s="1027"/>
      <c r="AC156" s="1027"/>
      <c r="AD156" s="1027"/>
      <c r="AE156" s="1027"/>
      <c r="AF156" s="1027"/>
      <c r="AG156" s="1027"/>
      <c r="AH156" s="1027"/>
      <c r="AI156" s="1027"/>
      <c r="AJ156" s="1027"/>
      <c r="AK156" s="1475"/>
      <c r="AL156" s="2174"/>
      <c r="AM156" s="2174"/>
      <c r="AN156" s="2175"/>
    </row>
    <row r="157" spans="1:40" ht="12" x14ac:dyDescent="0.3">
      <c r="A157" s="740" t="s">
        <v>258</v>
      </c>
      <c r="B157" s="816"/>
      <c r="C157" s="744"/>
      <c r="D157" s="744"/>
      <c r="E157" s="744"/>
      <c r="F157" s="745"/>
      <c r="G157" s="744"/>
      <c r="H157" s="744"/>
      <c r="I157" s="744"/>
      <c r="J157" s="745"/>
      <c r="K157" s="744"/>
      <c r="L157" s="744"/>
      <c r="M157" s="744"/>
      <c r="N157" s="745"/>
      <c r="O157" s="744"/>
      <c r="P157" s="744"/>
      <c r="Q157" s="744"/>
      <c r="R157" s="745"/>
      <c r="S157" s="744"/>
      <c r="T157" s="744"/>
      <c r="U157" s="744"/>
      <c r="V157" s="744"/>
      <c r="W157" s="985"/>
      <c r="X157" s="744"/>
      <c r="Y157" s="792"/>
      <c r="Z157" s="745"/>
      <c r="AA157" s="744"/>
      <c r="AB157" s="744"/>
      <c r="AC157" s="744"/>
      <c r="AD157" s="744"/>
      <c r="AE157" s="744"/>
      <c r="AF157" s="744"/>
      <c r="AG157" s="744"/>
      <c r="AH157" s="744"/>
      <c r="AI157" s="744"/>
      <c r="AJ157" s="744"/>
      <c r="AK157" s="792"/>
      <c r="AL157" s="744"/>
      <c r="AM157" s="744"/>
    </row>
    <row r="158" spans="1:40" x14ac:dyDescent="0.25">
      <c r="C158" s="744"/>
      <c r="D158" s="744"/>
      <c r="E158" s="744"/>
      <c r="F158" s="745"/>
      <c r="G158" s="744"/>
      <c r="H158" s="744"/>
      <c r="I158" s="744"/>
      <c r="J158" s="745"/>
      <c r="K158" s="744"/>
      <c r="L158" s="744"/>
      <c r="M158" s="744"/>
      <c r="N158" s="745"/>
      <c r="O158" s="744"/>
      <c r="P158" s="744"/>
      <c r="Q158" s="744"/>
      <c r="R158" s="745"/>
      <c r="S158" s="744"/>
      <c r="T158" s="744"/>
      <c r="U158" s="744"/>
      <c r="V158" s="744"/>
      <c r="W158" s="985"/>
      <c r="X158" s="744"/>
      <c r="Y158" s="792"/>
      <c r="Z158" s="745"/>
      <c r="AA158" s="744"/>
      <c r="AB158" s="744"/>
      <c r="AC158" s="744"/>
      <c r="AD158" s="744"/>
      <c r="AE158" s="744"/>
      <c r="AF158" s="744"/>
      <c r="AG158" s="744"/>
      <c r="AH158" s="744"/>
      <c r="AI158" s="744"/>
      <c r="AJ158" s="744"/>
      <c r="AK158" s="792"/>
      <c r="AL158" s="744"/>
      <c r="AM158" s="744"/>
    </row>
    <row r="159" spans="1:40" x14ac:dyDescent="0.25">
      <c r="A159" s="783" t="s">
        <v>579</v>
      </c>
      <c r="C159" s="744"/>
      <c r="D159" s="744"/>
      <c r="E159" s="744"/>
      <c r="F159" s="745"/>
      <c r="G159" s="744"/>
      <c r="H159" s="744"/>
      <c r="I159" s="744"/>
      <c r="J159" s="745"/>
      <c r="K159" s="744"/>
      <c r="L159" s="744"/>
      <c r="M159" s="744"/>
      <c r="N159" s="745"/>
      <c r="O159" s="744"/>
      <c r="P159" s="744"/>
      <c r="Q159" s="744"/>
      <c r="R159" s="745"/>
      <c r="S159" s="744"/>
      <c r="T159" s="744"/>
      <c r="U159" s="744"/>
      <c r="V159" s="744"/>
      <c r="W159" s="985"/>
      <c r="X159" s="744"/>
      <c r="Y159" s="792"/>
      <c r="Z159" s="745"/>
      <c r="AA159" s="744"/>
      <c r="AB159" s="744"/>
      <c r="AC159" s="744"/>
      <c r="AD159" s="744"/>
      <c r="AE159" s="744"/>
      <c r="AF159" s="744"/>
      <c r="AG159" s="744"/>
      <c r="AH159" s="744"/>
      <c r="AI159" s="744"/>
      <c r="AJ159" s="744"/>
      <c r="AK159" s="792"/>
      <c r="AL159" s="744"/>
      <c r="AM159" s="744"/>
    </row>
    <row r="160" spans="1:40" x14ac:dyDescent="0.25">
      <c r="A160" s="460" t="str">
        <f>+'STER - Detailed Disclosure (mm)'!A12</f>
        <v>Corporate technology and production systems</v>
      </c>
      <c r="D160" s="744"/>
      <c r="E160" s="744"/>
      <c r="F160" s="745"/>
      <c r="G160" s="744"/>
      <c r="H160" s="744"/>
      <c r="I160" s="744">
        <f>+'STER - Detailed Disclosure (mm)'!I12</f>
        <v>10.842000000000001</v>
      </c>
      <c r="J160" s="745"/>
      <c r="K160" s="744">
        <f>+'STER - Detailed Disclosure (mm)'!K12</f>
        <v>10.353</v>
      </c>
      <c r="L160" s="744">
        <f>+'STER - Detailed Disclosure (mm)'!L12</f>
        <v>9.9979999999999993</v>
      </c>
      <c r="M160" s="744">
        <f>+'STER - Detailed Disclosure (mm)'!M12</f>
        <v>12.084</v>
      </c>
      <c r="N160" s="745">
        <f>+'STER - Detailed Disclosure (mm)'!N12</f>
        <v>11.888</v>
      </c>
      <c r="O160" s="744">
        <f>+'STER - Detailed Disclosure (mm)'!O12</f>
        <v>12.552</v>
      </c>
      <c r="P160" s="744">
        <f>+'STER - Detailed Disclosure (mm)'!P12</f>
        <v>12.539</v>
      </c>
      <c r="Q160" s="744">
        <f>+'STER - Detailed Disclosure (mm)'!Q12</f>
        <v>13.715</v>
      </c>
      <c r="R160" s="745">
        <f>+'STER - Detailed Disclosure (mm)'!R12</f>
        <v>11.680999999999999</v>
      </c>
      <c r="S160" s="744">
        <f>+'STER - Detailed Disclosure (mm)'!S12</f>
        <v>11.952</v>
      </c>
      <c r="T160" s="744">
        <f>+'STER - Detailed Disclosure (mm)'!T12</f>
        <v>11.428000000000001</v>
      </c>
      <c r="U160" s="744">
        <f>+'STER - Detailed Disclosure (mm)'!U12</f>
        <v>11.329000000000001</v>
      </c>
      <c r="V160" s="744">
        <f>+'STER - Detailed Disclosure (mm)'!V12</f>
        <v>9.705999999999996</v>
      </c>
      <c r="W160" s="985">
        <f>+'STER - Detailed Disclosure (mm)'!W12</f>
        <v>13.214</v>
      </c>
      <c r="X160" s="744">
        <f>+'STER - Detailed Disclosure (mm)'!X12</f>
        <v>12.755000000000001</v>
      </c>
      <c r="Y160" s="1007">
        <f>+Y179+Y174</f>
        <v>12.485000000000001</v>
      </c>
      <c r="Z160" s="745"/>
      <c r="AA160" s="744"/>
      <c r="AB160" s="744"/>
      <c r="AC160" s="744"/>
      <c r="AD160" s="744"/>
      <c r="AE160" s="744"/>
      <c r="AF160" s="744"/>
      <c r="AG160" s="744">
        <f>+'STER - Detailed Disclosure (mm)'!AQ12</f>
        <v>44.923000000000002</v>
      </c>
      <c r="AH160" s="744">
        <f>+'STER - Detailed Disclosure (mm)'!AR12</f>
        <v>44.295999999999999</v>
      </c>
      <c r="AI160" s="744">
        <f>+'STER - Detailed Disclosure (mm)'!AS12</f>
        <v>44.323</v>
      </c>
      <c r="AJ160" s="744">
        <f>+'STER - Detailed Disclosure (mm)'!AT12</f>
        <v>50.487000000000002</v>
      </c>
      <c r="AK160" s="792">
        <f>+'STER - Detailed Disclosure (mm)'!AU12</f>
        <v>44.414999999999999</v>
      </c>
      <c r="AL160" s="744"/>
      <c r="AM160" s="744"/>
    </row>
    <row r="161" spans="1:39" x14ac:dyDescent="0.25">
      <c r="A161" s="460" t="str">
        <f>+'STER - Detailed Disclosure (mm)'!A13</f>
        <v>Selling, general and administrative</v>
      </c>
      <c r="D161" s="744"/>
      <c r="E161" s="744"/>
      <c r="F161" s="745"/>
      <c r="G161" s="744"/>
      <c r="H161" s="744"/>
      <c r="I161" s="744">
        <f>+'STER - Detailed Disclosure (mm)'!I13</f>
        <v>25.390999999999998</v>
      </c>
      <c r="J161" s="745"/>
      <c r="K161" s="744">
        <f>+'STER - Detailed Disclosure (mm)'!K13</f>
        <v>29.606000000000002</v>
      </c>
      <c r="L161" s="744">
        <f>+'STER - Detailed Disclosure (mm)'!L13</f>
        <v>38.60499999999999</v>
      </c>
      <c r="M161" s="744">
        <f>+'STER - Detailed Disclosure (mm)'!M13</f>
        <v>84.983000000000004</v>
      </c>
      <c r="N161" s="745">
        <f>+'STER - Detailed Disclosure (mm)'!N13</f>
        <v>45.506</v>
      </c>
      <c r="O161" s="744">
        <f>+'STER - Detailed Disclosure (mm)'!O13</f>
        <v>42.332999999999998</v>
      </c>
      <c r="P161" s="744">
        <f>+'STER - Detailed Disclosure (mm)'!P13</f>
        <v>41.886000000000003</v>
      </c>
      <c r="Q161" s="744">
        <f>+'STER - Detailed Disclosure (mm)'!Q13</f>
        <v>42.411000000000001</v>
      </c>
      <c r="R161" s="745">
        <f>+'STER - Detailed Disclosure (mm)'!R13</f>
        <v>48.829000000000001</v>
      </c>
      <c r="S161" s="744">
        <f>+'STER - Detailed Disclosure (mm)'!S13</f>
        <v>47.451000000000001</v>
      </c>
      <c r="T161" s="744">
        <f>+'STER - Detailed Disclosure (mm)'!T13</f>
        <v>44.91</v>
      </c>
      <c r="U161" s="744">
        <f>+'STER - Detailed Disclosure (mm)'!U13</f>
        <v>42.381999999999998</v>
      </c>
      <c r="V161" s="744">
        <f>+'STER - Detailed Disclosure (mm)'!V13</f>
        <v>39.012</v>
      </c>
      <c r="W161" s="985">
        <f>+'STER - Detailed Disclosure (mm)'!W13</f>
        <v>59.89</v>
      </c>
      <c r="X161" s="744">
        <f>+'STER - Detailed Disclosure (mm)'!X13</f>
        <v>50.378999999999998</v>
      </c>
      <c r="Y161" s="1007">
        <f>+Y180+Y171+Y175</f>
        <v>54.126944169002662</v>
      </c>
      <c r="Z161" s="745"/>
      <c r="AA161" s="744"/>
      <c r="AB161" s="744"/>
      <c r="AC161" s="744"/>
      <c r="AD161" s="744"/>
      <c r="AE161" s="744"/>
      <c r="AF161" s="744"/>
      <c r="AG161" s="744">
        <f>+'STER - Detailed Disclosure (mm)'!AQ13</f>
        <v>147.19800000000001</v>
      </c>
      <c r="AH161" s="744">
        <f>+'STER - Detailed Disclosure (mm)'!AR13</f>
        <v>122.554</v>
      </c>
      <c r="AI161" s="744">
        <f>+'STER - Detailed Disclosure (mm)'!AS13</f>
        <v>198.7</v>
      </c>
      <c r="AJ161" s="744">
        <f>+'STER - Detailed Disclosure (mm)'!AT13</f>
        <v>175.459</v>
      </c>
      <c r="AK161" s="792">
        <f>+'STER - Detailed Disclosure (mm)'!AU13</f>
        <v>173.755</v>
      </c>
      <c r="AL161" s="744"/>
      <c r="AM161" s="744"/>
    </row>
    <row r="162" spans="1:39" x14ac:dyDescent="0.25">
      <c r="A162" s="460" t="str">
        <f>+'STER - Detailed Disclosure (mm)'!A14</f>
        <v>Depreciation and amortization</v>
      </c>
      <c r="D162" s="744"/>
      <c r="E162" s="744"/>
      <c r="F162" s="745"/>
      <c r="G162" s="744"/>
      <c r="H162" s="744"/>
      <c r="I162" s="744">
        <f>+'STER - Detailed Disclosure (mm)'!I14</f>
        <v>22.863</v>
      </c>
      <c r="J162" s="745"/>
      <c r="K162" s="744">
        <f>+'STER - Detailed Disclosure (mm)'!K14</f>
        <v>20.548999999999999</v>
      </c>
      <c r="L162" s="744">
        <f>+'STER - Detailed Disclosure (mm)'!L14</f>
        <v>20.297999999999998</v>
      </c>
      <c r="M162" s="744">
        <f>+'STER - Detailed Disclosure (mm)'!M14</f>
        <v>20.346</v>
      </c>
      <c r="N162" s="745">
        <f>+'STER - Detailed Disclosure (mm)'!N14</f>
        <v>20.870999999999999</v>
      </c>
      <c r="O162" s="744">
        <f>+'STER - Detailed Disclosure (mm)'!O14</f>
        <v>20.155999999999999</v>
      </c>
      <c r="P162" s="744">
        <f>+'STER - Detailed Disclosure (mm)'!P14</f>
        <v>19.872</v>
      </c>
      <c r="Q162" s="744">
        <f>+'STER - Detailed Disclosure (mm)'!Q14</f>
        <v>16.57</v>
      </c>
      <c r="R162" s="745">
        <f>+'STER - Detailed Disclosure (mm)'!R14</f>
        <v>16.542000000000002</v>
      </c>
      <c r="S162" s="744">
        <f>+'STER - Detailed Disclosure (mm)'!S14</f>
        <v>15.122</v>
      </c>
      <c r="T162" s="744">
        <f>+'STER - Detailed Disclosure (mm)'!T14</f>
        <v>16.12</v>
      </c>
      <c r="U162" s="744">
        <f>+'STER - Detailed Disclosure (mm)'!U14</f>
        <v>15.875</v>
      </c>
      <c r="V162" s="744">
        <f>+'STER - Detailed Disclosure (mm)'!V14</f>
        <v>15.735999999999997</v>
      </c>
      <c r="W162" s="985">
        <f>+'STER - Detailed Disclosure (mm)'!W14</f>
        <v>15.77</v>
      </c>
      <c r="X162" s="744">
        <f>+'STER - Detailed Disclosure (mm)'!X14</f>
        <v>15.82</v>
      </c>
      <c r="Y162" s="1007">
        <f>+'STER - Detailed Disclosure (mm)'!Y61</f>
        <v>15.795</v>
      </c>
      <c r="Z162" s="745"/>
      <c r="AA162" s="744"/>
      <c r="AB162" s="744"/>
      <c r="AC162" s="744"/>
      <c r="AD162" s="744"/>
      <c r="AE162" s="744"/>
      <c r="AF162" s="744"/>
      <c r="AG162" s="744">
        <f>+'STER - Detailed Disclosure (mm)'!AQ14</f>
        <v>93.802000000000007</v>
      </c>
      <c r="AH162" s="744">
        <f>+'STER - Detailed Disclosure (mm)'!AR14</f>
        <v>91.198999999999998</v>
      </c>
      <c r="AI162" s="744">
        <f>+'STER - Detailed Disclosure (mm)'!AS14</f>
        <v>82.063999999999993</v>
      </c>
      <c r="AJ162" s="744">
        <f>+'STER - Detailed Disclosure (mm)'!AT14</f>
        <v>73.14</v>
      </c>
      <c r="AK162" s="792">
        <f>+'STER - Detailed Disclosure (mm)'!AU14</f>
        <v>62.853000000000002</v>
      </c>
      <c r="AL162" s="744"/>
      <c r="AM162" s="744"/>
    </row>
    <row r="163" spans="1:39" s="789" customFormat="1" x14ac:dyDescent="0.25">
      <c r="A163" s="460" t="str">
        <f>+'STER - Detailed Disclosure (mm)'!A15</f>
        <v>Impairments and disposals of long-lived assets</v>
      </c>
      <c r="C163" s="460"/>
      <c r="D163" s="869"/>
      <c r="E163" s="869"/>
      <c r="F163" s="870"/>
      <c r="G163" s="869"/>
      <c r="H163" s="869"/>
      <c r="I163" s="869">
        <f>+'STER - Detailed Disclosure (mm)'!I15</f>
        <v>0.621</v>
      </c>
      <c r="J163" s="870"/>
      <c r="K163" s="869">
        <f>+'STER - Detailed Disclosure (mm)'!K15</f>
        <v>2.8759999999999999</v>
      </c>
      <c r="L163" s="869">
        <f>+'STER - Detailed Disclosure (mm)'!L15</f>
        <v>4.9000000000000099E-2</v>
      </c>
      <c r="M163" s="869">
        <f>+'STER - Detailed Disclosure (mm)'!M15</f>
        <v>1.4999999999999999E-2</v>
      </c>
      <c r="N163" s="870">
        <f>+'STER - Detailed Disclosure (mm)'!N15</f>
        <v>0.33400000000000002</v>
      </c>
      <c r="O163" s="869">
        <f>+'STER - Detailed Disclosure (mm)'!O15</f>
        <v>0</v>
      </c>
      <c r="P163" s="869">
        <f>+'STER - Detailed Disclosure (mm)'!P15</f>
        <v>0.61199999999999999</v>
      </c>
      <c r="Q163" s="869">
        <f>+'STER - Detailed Disclosure (mm)'!Q15</f>
        <v>0.193</v>
      </c>
      <c r="R163" s="870">
        <f>+'STER - Detailed Disclosure (mm)'!R15</f>
        <v>0.20300000000000001</v>
      </c>
      <c r="S163" s="869">
        <f>+'STER - Detailed Disclosure (mm)'!S15</f>
        <v>0.106</v>
      </c>
      <c r="T163" s="869">
        <f>+'STER - Detailed Disclosure (mm)'!T15</f>
        <v>7.0389999999999997</v>
      </c>
      <c r="U163" s="869">
        <f>+'STER - Detailed Disclosure (mm)'!U15</f>
        <v>4.8000000000000001E-2</v>
      </c>
      <c r="V163" s="869">
        <f>+'STER - Detailed Disclosure (mm)'!V15</f>
        <v>0.17800000000000082</v>
      </c>
      <c r="W163" s="1424">
        <f>+'STER - Detailed Disclosure (mm)'!W15</f>
        <v>0.16800000000000001</v>
      </c>
      <c r="X163" s="869">
        <f>+'STER - Detailed Disclosure (mm)'!X15</f>
        <v>3.2000000000000001E-2</v>
      </c>
      <c r="Y163" s="2282">
        <v>0</v>
      </c>
      <c r="Z163" s="870"/>
      <c r="AA163" s="869"/>
      <c r="AB163" s="869"/>
      <c r="AC163" s="869"/>
      <c r="AD163" s="869"/>
      <c r="AE163" s="869"/>
      <c r="AF163" s="869"/>
      <c r="AG163" s="869">
        <f>+'STER - Detailed Disclosure (mm)'!AQ15</f>
        <v>3.22</v>
      </c>
      <c r="AH163" s="869">
        <f>+'STER - Detailed Disclosure (mm)'!AR15</f>
        <v>1.7969999999999999</v>
      </c>
      <c r="AI163" s="869">
        <f>+'STER - Detailed Disclosure (mm)'!AS15</f>
        <v>3.274</v>
      </c>
      <c r="AJ163" s="869">
        <f>+'STER - Detailed Disclosure (mm)'!AT15</f>
        <v>1.008</v>
      </c>
      <c r="AK163" s="871">
        <f>+'STER - Detailed Disclosure (mm)'!AU15</f>
        <v>7.3710000000000004</v>
      </c>
      <c r="AL163" s="869"/>
      <c r="AM163" s="869"/>
    </row>
    <row r="164" spans="1:39" s="470" customFormat="1" x14ac:dyDescent="0.25">
      <c r="A164" s="505" t="s">
        <v>580</v>
      </c>
      <c r="C164" s="767"/>
      <c r="D164" s="767"/>
      <c r="E164" s="767"/>
      <c r="F164" s="768"/>
      <c r="G164" s="767"/>
      <c r="H164" s="767"/>
      <c r="I164" s="767">
        <f t="shared" ref="I164:X164" si="241">+SUM(I160:I163)</f>
        <v>59.716999999999999</v>
      </c>
      <c r="J164" s="768"/>
      <c r="K164" s="767">
        <f t="shared" si="241"/>
        <v>63.384</v>
      </c>
      <c r="L164" s="767">
        <f t="shared" si="241"/>
        <v>68.949999999999989</v>
      </c>
      <c r="M164" s="767">
        <f t="shared" si="241"/>
        <v>117.42800000000001</v>
      </c>
      <c r="N164" s="768">
        <f t="shared" si="241"/>
        <v>78.599000000000004</v>
      </c>
      <c r="O164" s="767">
        <f t="shared" si="241"/>
        <v>75.040999999999997</v>
      </c>
      <c r="P164" s="767">
        <f t="shared" si="241"/>
        <v>74.908999999999992</v>
      </c>
      <c r="Q164" s="767">
        <f t="shared" si="241"/>
        <v>72.888999999999996</v>
      </c>
      <c r="R164" s="768">
        <f t="shared" si="241"/>
        <v>77.254999999999995</v>
      </c>
      <c r="S164" s="767">
        <f t="shared" si="241"/>
        <v>74.631</v>
      </c>
      <c r="T164" s="767">
        <f t="shared" si="241"/>
        <v>79.497</v>
      </c>
      <c r="U164" s="767">
        <f t="shared" si="241"/>
        <v>69.634</v>
      </c>
      <c r="V164" s="767">
        <f t="shared" si="241"/>
        <v>64.631999999999991</v>
      </c>
      <c r="W164" s="993">
        <f t="shared" si="241"/>
        <v>89.042000000000002</v>
      </c>
      <c r="X164" s="767">
        <f t="shared" si="241"/>
        <v>78.986000000000004</v>
      </c>
      <c r="Y164" s="2281">
        <f>+SUM(Y160:Y163)</f>
        <v>82.406944169002671</v>
      </c>
      <c r="Z164" s="768"/>
      <c r="AA164" s="767"/>
      <c r="AB164" s="767"/>
      <c r="AC164" s="767"/>
      <c r="AD164" s="767"/>
      <c r="AE164" s="767"/>
      <c r="AF164" s="767"/>
      <c r="AG164" s="767">
        <f t="shared" ref="AG164" si="242">+SUM(AG160:AG163)</f>
        <v>289.14300000000003</v>
      </c>
      <c r="AH164" s="767">
        <f t="shared" ref="AH164" si="243">+SUM(AH160:AH163)</f>
        <v>259.846</v>
      </c>
      <c r="AI164" s="767">
        <f t="shared" ref="AI164" si="244">+SUM(AI160:AI163)</f>
        <v>328.36099999999999</v>
      </c>
      <c r="AJ164" s="767">
        <f t="shared" ref="AJ164" si="245">+SUM(AJ160:AJ163)</f>
        <v>300.09399999999999</v>
      </c>
      <c r="AK164" s="812">
        <f t="shared" ref="AK164" si="246">+SUM(AK160:AK163)</f>
        <v>288.39399999999995</v>
      </c>
      <c r="AL164" s="767"/>
      <c r="AM164" s="767"/>
    </row>
    <row r="165" spans="1:39" x14ac:dyDescent="0.25">
      <c r="C165" s="744"/>
      <c r="D165" s="744"/>
      <c r="E165" s="744"/>
      <c r="F165" s="745"/>
      <c r="G165" s="744"/>
      <c r="H165" s="744"/>
      <c r="I165" s="744"/>
      <c r="J165" s="745"/>
      <c r="K165" s="744"/>
      <c r="L165" s="744"/>
      <c r="M165" s="744"/>
      <c r="N165" s="745"/>
      <c r="O165" s="744"/>
      <c r="P165" s="744"/>
      <c r="Q165" s="744"/>
      <c r="R165" s="745"/>
      <c r="S165" s="744"/>
      <c r="T165" s="744"/>
      <c r="U165" s="744"/>
      <c r="V165" s="744"/>
      <c r="W165" s="985"/>
      <c r="X165" s="744"/>
      <c r="Y165" s="792"/>
      <c r="Z165" s="745"/>
      <c r="AA165" s="744"/>
      <c r="AB165" s="744"/>
      <c r="AC165" s="744"/>
      <c r="AD165" s="744"/>
      <c r="AE165" s="744"/>
      <c r="AF165" s="744"/>
      <c r="AG165" s="744"/>
      <c r="AH165" s="744"/>
      <c r="AI165" s="744"/>
      <c r="AJ165" s="744"/>
      <c r="AK165" s="792"/>
      <c r="AL165" s="744"/>
      <c r="AM165" s="744"/>
    </row>
    <row r="166" spans="1:39" x14ac:dyDescent="0.25">
      <c r="A166" s="783" t="s">
        <v>262</v>
      </c>
      <c r="C166" s="744"/>
      <c r="D166" s="744"/>
      <c r="E166" s="744"/>
      <c r="F166" s="745"/>
      <c r="G166" s="744"/>
      <c r="H166" s="744"/>
      <c r="I166" s="744"/>
      <c r="J166" s="745"/>
      <c r="K166" s="744"/>
      <c r="L166" s="744"/>
      <c r="M166" s="744"/>
      <c r="N166" s="745"/>
      <c r="O166" s="744"/>
      <c r="P166" s="744"/>
      <c r="Q166" s="744"/>
      <c r="R166" s="745"/>
      <c r="S166" s="744"/>
      <c r="T166" s="744"/>
      <c r="U166" s="744"/>
      <c r="V166" s="744"/>
      <c r="W166" s="985"/>
      <c r="X166" s="744"/>
      <c r="Y166" s="792"/>
      <c r="Z166" s="745"/>
      <c r="AA166" s="744"/>
      <c r="AB166" s="744"/>
      <c r="AC166" s="744"/>
      <c r="AD166" s="744"/>
      <c r="AE166" s="744"/>
      <c r="AF166" s="744"/>
      <c r="AG166" s="744"/>
      <c r="AH166" s="744"/>
      <c r="AI166" s="744"/>
      <c r="AJ166" s="744"/>
      <c r="AK166" s="792"/>
      <c r="AL166" s="744"/>
      <c r="AM166" s="744"/>
    </row>
    <row r="167" spans="1:39" x14ac:dyDescent="0.25">
      <c r="A167" s="460" t="str">
        <f>+'STER - Detailed Disclosure (mm)'!A64</f>
        <v>Transaction expenses</v>
      </c>
      <c r="C167" s="744"/>
      <c r="D167" s="744"/>
      <c r="E167" s="744">
        <f>+'STER - Detailed Disclosure (mm)'!E64</f>
        <v>0.56599999999999995</v>
      </c>
      <c r="F167" s="745">
        <f>+'STER - Detailed Disclosure (mm)'!F64</f>
        <v>0.89200000000000002</v>
      </c>
      <c r="G167" s="744">
        <f>+'STER - Detailed Disclosure (mm)'!G64</f>
        <v>0.53800000000000003</v>
      </c>
      <c r="H167" s="744">
        <f>+'STER - Detailed Disclosure (mm)'!H64</f>
        <v>0.54600000000000004</v>
      </c>
      <c r="I167" s="744">
        <f>+'STER - Detailed Disclosure (mm)'!I64</f>
        <v>0.53900000000000003</v>
      </c>
      <c r="J167" s="745">
        <f>+'STER - Detailed Disclosure (mm)'!J64</f>
        <v>1.4059999999999999</v>
      </c>
      <c r="K167" s="744">
        <f>+'STER - Detailed Disclosure (mm)'!K64</f>
        <v>1.089</v>
      </c>
      <c r="L167" s="744">
        <f>+'STER - Detailed Disclosure (mm)'!L64</f>
        <v>6.1390000000000002</v>
      </c>
      <c r="M167" s="744">
        <f>+'STER - Detailed Disclosure (mm)'!M64</f>
        <v>31.513000000000002</v>
      </c>
      <c r="N167" s="745">
        <f>+'STER - Detailed Disclosure (mm)'!N64</f>
        <v>4.2919999999999998</v>
      </c>
      <c r="O167" s="744">
        <f>+'STER - Detailed Disclosure (mm)'!O64</f>
        <v>1.8879999999999999</v>
      </c>
      <c r="P167" s="744">
        <f>+'STER - Detailed Disclosure (mm)'!P64</f>
        <v>1.8939999999999999</v>
      </c>
      <c r="Q167" s="744">
        <f>+'STER - Detailed Disclosure (mm)'!Q64</f>
        <v>2.8090000000000002</v>
      </c>
      <c r="R167" s="745">
        <f>+'STER - Detailed Disclosure (mm)'!R64</f>
        <v>4.9020000000000001</v>
      </c>
      <c r="S167" s="744">
        <f>+'STER - Detailed Disclosure (mm)'!S64</f>
        <v>5.1260000000000003</v>
      </c>
      <c r="T167" s="744">
        <f>+'STER - Detailed Disclosure (mm)'!T64</f>
        <v>3.133</v>
      </c>
      <c r="U167" s="744">
        <f>+'STER - Detailed Disclosure (mm)'!U64</f>
        <v>2.238</v>
      </c>
      <c r="V167" s="744">
        <f>+'STER - Detailed Disclosure (mm)'!V64</f>
        <v>2.3809999999999998</v>
      </c>
      <c r="W167" s="985">
        <f>+'STER - Detailed Disclosure (mm)'!W64</f>
        <v>16.988</v>
      </c>
      <c r="X167" s="744">
        <f>+'STER - Detailed Disclosure (mm)'!X64</f>
        <v>4.12</v>
      </c>
      <c r="Y167" s="792">
        <f>+'STER - Detailed Disclosure (mm)'!Y64</f>
        <v>11.302</v>
      </c>
      <c r="Z167" s="745"/>
      <c r="AA167" s="744"/>
      <c r="AB167" s="744"/>
      <c r="AC167" s="744"/>
      <c r="AD167" s="744"/>
      <c r="AE167" s="744"/>
      <c r="AF167" s="744"/>
      <c r="AG167" s="744">
        <f>+'STER - Detailed Disclosure (mm)'!AQ64</f>
        <v>2.617</v>
      </c>
      <c r="AH167" s="744">
        <f>+'STER - Detailed Disclosure (mm)'!AR64</f>
        <v>3.0289999999999999</v>
      </c>
      <c r="AI167" s="744">
        <f>+'STER - Detailed Disclosure (mm)'!AS64</f>
        <v>43.045999999999999</v>
      </c>
      <c r="AJ167" s="744">
        <f>+'STER - Detailed Disclosure (mm)'!AT64</f>
        <v>11.493</v>
      </c>
      <c r="AK167" s="792">
        <f>+'STER - Detailed Disclosure (mm)'!AU64</f>
        <v>12.878</v>
      </c>
      <c r="AL167" s="744"/>
      <c r="AM167" s="744"/>
    </row>
    <row r="168" spans="1:39" x14ac:dyDescent="0.25">
      <c r="A168" s="460" t="str">
        <f>+'STER - Detailed Disclosure (mm)'!A65</f>
        <v>Restructuring</v>
      </c>
      <c r="C168" s="744"/>
      <c r="D168" s="744"/>
      <c r="E168" s="744">
        <f>+'STER - Detailed Disclosure (mm)'!E65-E163</f>
        <v>1.1499999999999999</v>
      </c>
      <c r="F168" s="745">
        <f>+'STER - Detailed Disclosure (mm)'!F65-F163</f>
        <v>1.335</v>
      </c>
      <c r="G168" s="744">
        <f>+'STER - Detailed Disclosure (mm)'!G65-G163</f>
        <v>0.52600000000000002</v>
      </c>
      <c r="H168" s="744">
        <f>+'STER - Detailed Disclosure (mm)'!H65-H163</f>
        <v>5.484</v>
      </c>
      <c r="I168" s="744">
        <f>+'STER - Detailed Disclosure (mm)'!I65-I163</f>
        <v>0.43900000000000006</v>
      </c>
      <c r="J168" s="745">
        <f>+'STER - Detailed Disclosure (mm)'!J65-J163</f>
        <v>1.768</v>
      </c>
      <c r="K168" s="744">
        <f>+'STER - Detailed Disclosure (mm)'!K65-K163</f>
        <v>0.15900000000000025</v>
      </c>
      <c r="L168" s="744">
        <f>+'STER - Detailed Disclosure (mm)'!L65-L163</f>
        <v>0.55499999999999994</v>
      </c>
      <c r="M168" s="744">
        <f>+'STER - Detailed Disclosure (mm)'!M65-M163</f>
        <v>0.61899999999999999</v>
      </c>
      <c r="N168" s="745">
        <f>+'STER - Detailed Disclosure (mm)'!N65-N163</f>
        <v>0.32100000000000001</v>
      </c>
      <c r="O168" s="744">
        <f>+'STER - Detailed Disclosure (mm)'!O65-O163</f>
        <v>0.34599999999999997</v>
      </c>
      <c r="P168" s="744">
        <f>+'STER - Detailed Disclosure (mm)'!P65-P163</f>
        <v>0.22399999999999998</v>
      </c>
      <c r="Q168" s="744">
        <f>+'STER - Detailed Disclosure (mm)'!Q65-Q163</f>
        <v>2.5369999999999999</v>
      </c>
      <c r="R168" s="745">
        <f>+'STER - Detailed Disclosure (mm)'!R65-R163</f>
        <v>4.9089999999999998</v>
      </c>
      <c r="S168" s="744">
        <f>+'STER - Detailed Disclosure (mm)'!S65-S163</f>
        <v>3.1670000000000003</v>
      </c>
      <c r="T168" s="744">
        <f>+'STER - Detailed Disclosure (mm)'!T65-T163</f>
        <v>4.4510000000000005</v>
      </c>
      <c r="U168" s="744">
        <f>+'STER - Detailed Disclosure (mm)'!U65-U163</f>
        <v>3.9699999999999998</v>
      </c>
      <c r="V168" s="744">
        <f>+'STER - Detailed Disclosure (mm)'!V65-V163</f>
        <v>2.3960000000000008</v>
      </c>
      <c r="W168" s="985">
        <f>+'STER - Detailed Disclosure (mm)'!W65-W163</f>
        <v>3.0329999999999999</v>
      </c>
      <c r="X168" s="744">
        <f>+'STER - Detailed Disclosure (mm)'!X65-X163</f>
        <v>1.534</v>
      </c>
      <c r="Y168" s="792">
        <f>+'STER - Detailed Disclosure (mm)'!Y65-Y163</f>
        <v>0.34200000000000003</v>
      </c>
      <c r="Z168" s="745"/>
      <c r="AA168" s="744"/>
      <c r="AB168" s="744"/>
      <c r="AC168" s="744"/>
      <c r="AD168" s="744"/>
      <c r="AE168" s="744"/>
      <c r="AF168" s="744"/>
      <c r="AG168" s="744">
        <f>+'STER - Detailed Disclosure (mm)'!AQ65-AG163</f>
        <v>1.3059999999999996</v>
      </c>
      <c r="AH168" s="744">
        <f>+'STER - Detailed Disclosure (mm)'!AR65-AH163</f>
        <v>7.0409999999999995</v>
      </c>
      <c r="AI168" s="744">
        <f>+'STER - Detailed Disclosure (mm)'!AS65-AI163</f>
        <v>1.641</v>
      </c>
      <c r="AJ168" s="744">
        <f>+'STER - Detailed Disclosure (mm)'!AT65-AJ163</f>
        <v>8.0159999999999982</v>
      </c>
      <c r="AK168" s="792">
        <f>+'STER - Detailed Disclosure (mm)'!AU65-AK163</f>
        <v>13.984</v>
      </c>
      <c r="AL168" s="744"/>
      <c r="AM168" s="744"/>
    </row>
    <row r="169" spans="1:39" x14ac:dyDescent="0.25">
      <c r="A169" s="460" t="str">
        <f>+'STER - Detailed Disclosure (mm)'!A66</f>
        <v>Technology Transformation</v>
      </c>
      <c r="C169" s="744"/>
      <c r="D169" s="744"/>
      <c r="E169" s="744">
        <f>+'STER - Detailed Disclosure (mm)'!E66</f>
        <v>2.2970000000000002</v>
      </c>
      <c r="F169" s="745">
        <f>+'STER - Detailed Disclosure (mm)'!F66</f>
        <v>3.0150000000000001</v>
      </c>
      <c r="G169" s="744">
        <f>+'STER - Detailed Disclosure (mm)'!G66</f>
        <v>3.0089999999999999</v>
      </c>
      <c r="H169" s="744">
        <f>+'STER - Detailed Disclosure (mm)'!H66</f>
        <v>2.4580000000000002</v>
      </c>
      <c r="I169" s="744">
        <f>+'STER - Detailed Disclosure (mm)'!I66</f>
        <v>2.581</v>
      </c>
      <c r="J169" s="745">
        <f>+'STER - Detailed Disclosure (mm)'!J66</f>
        <v>2.8719999999999999</v>
      </c>
      <c r="K169" s="744">
        <f>+'STER - Detailed Disclosure (mm)'!K66</f>
        <v>2.0590000000000002</v>
      </c>
      <c r="L169" s="744">
        <f>+'STER - Detailed Disclosure (mm)'!L66</f>
        <v>3.9420000000000002</v>
      </c>
      <c r="M169" s="744">
        <f>+'STER - Detailed Disclosure (mm)'!M66</f>
        <v>3.137</v>
      </c>
      <c r="N169" s="745">
        <f>+'STER - Detailed Disclosure (mm)'!N66</f>
        <v>3.95</v>
      </c>
      <c r="O169" s="744">
        <f>+'STER - Detailed Disclosure (mm)'!O66</f>
        <v>3.762</v>
      </c>
      <c r="P169" s="744">
        <f>+'STER - Detailed Disclosure (mm)'!P66</f>
        <v>4.5369999999999999</v>
      </c>
      <c r="Q169" s="744">
        <f>+'STER - Detailed Disclosure (mm)'!Q66</f>
        <v>4.7670000000000003</v>
      </c>
      <c r="R169" s="745">
        <f>+'STER - Detailed Disclosure (mm)'!R66</f>
        <v>3.7280000000000002</v>
      </c>
      <c r="S169" s="744">
        <f>+'STER - Detailed Disclosure (mm)'!S66</f>
        <v>3.2330000000000001</v>
      </c>
      <c r="T169" s="744">
        <f>+'STER - Detailed Disclosure (mm)'!T66</f>
        <v>0.17899999999999999</v>
      </c>
      <c r="U169" s="744">
        <f>+'STER - Detailed Disclosure (mm)'!U66</f>
        <v>0.25600000000000001</v>
      </c>
      <c r="V169" s="744">
        <f>+'STER - Detailed Disclosure (mm)'!V66</f>
        <v>0.254</v>
      </c>
      <c r="W169" s="985">
        <f>+'STER - Detailed Disclosure (mm)'!W66</f>
        <v>0.375</v>
      </c>
      <c r="X169" s="744">
        <f>+'STER - Detailed Disclosure (mm)'!X66</f>
        <v>0.45500000000000002</v>
      </c>
      <c r="Y169" s="792">
        <f>+'STER - Detailed Disclosure (mm)'!Y66</f>
        <v>0.3</v>
      </c>
      <c r="Z169" s="745"/>
      <c r="AA169" s="744"/>
      <c r="AB169" s="744"/>
      <c r="AC169" s="744"/>
      <c r="AD169" s="744"/>
      <c r="AE169" s="744"/>
      <c r="AF169" s="744"/>
      <c r="AG169" s="744">
        <f>+'STER - Detailed Disclosure (mm)'!AQ66</f>
        <v>9.7629999999999999</v>
      </c>
      <c r="AH169" s="744">
        <f>+'STER - Detailed Disclosure (mm)'!AR66</f>
        <v>10.92</v>
      </c>
      <c r="AI169" s="744">
        <f>+'STER - Detailed Disclosure (mm)'!AS66</f>
        <v>13.087999999999999</v>
      </c>
      <c r="AJ169" s="744">
        <f>+'STER - Detailed Disclosure (mm)'!AT66</f>
        <v>16.794</v>
      </c>
      <c r="AK169" s="792">
        <f>+'STER - Detailed Disclosure (mm)'!AU66</f>
        <v>3.9220000000000002</v>
      </c>
      <c r="AL169" s="744"/>
      <c r="AM169" s="744"/>
    </row>
    <row r="170" spans="1:39" s="789" customFormat="1" x14ac:dyDescent="0.25">
      <c r="A170" s="460" t="str">
        <f>+'STER - Detailed Disclosure (mm)'!A67</f>
        <v>Settlements impacting comparability</v>
      </c>
      <c r="C170" s="869"/>
      <c r="D170" s="869"/>
      <c r="E170" s="869">
        <f>+'STER - Detailed Disclosure (mm)'!E67</f>
        <v>0.28699999999999998</v>
      </c>
      <c r="F170" s="870">
        <f>+'STER - Detailed Disclosure (mm)'!F67</f>
        <v>11.218999999999999</v>
      </c>
      <c r="G170" s="869">
        <f>+'STER - Detailed Disclosure (mm)'!G67</f>
        <v>9.7000000000000003E-2</v>
      </c>
      <c r="H170" s="869">
        <f>+'STER - Detailed Disclosure (mm)'!H67</f>
        <v>4.2999999999999997E-2</v>
      </c>
      <c r="I170" s="869">
        <f>+'STER - Detailed Disclosure (mm)'!I67</f>
        <v>0.12</v>
      </c>
      <c r="J170" s="870">
        <f>+'STER - Detailed Disclosure (mm)'!J67</f>
        <v>2.6619999999999999</v>
      </c>
      <c r="K170" s="869">
        <f>+'STER - Detailed Disclosure (mm)'!K67</f>
        <v>0</v>
      </c>
      <c r="L170" s="869">
        <f>+'STER - Detailed Disclosure (mm)'!L67</f>
        <v>0</v>
      </c>
      <c r="M170" s="869">
        <f>+'STER - Detailed Disclosure (mm)'!M67</f>
        <v>0</v>
      </c>
      <c r="N170" s="870">
        <f>+'STER - Detailed Disclosure (mm)'!N67</f>
        <v>0.46800000000000003</v>
      </c>
      <c r="O170" s="869">
        <f>+'STER - Detailed Disclosure (mm)'!O67</f>
        <v>0</v>
      </c>
      <c r="P170" s="869">
        <f>+'STER - Detailed Disclosure (mm)'!P67</f>
        <v>0</v>
      </c>
      <c r="Q170" s="869">
        <f>+'STER - Detailed Disclosure (mm)'!Q67</f>
        <v>0.21299999999999999</v>
      </c>
      <c r="R170" s="870">
        <f>+'STER - Detailed Disclosure (mm)'!R67</f>
        <v>3.1059999999999999</v>
      </c>
      <c r="S170" s="869">
        <f>+'STER - Detailed Disclosure (mm)'!S67</f>
        <v>0</v>
      </c>
      <c r="T170" s="869">
        <f>+'STER - Detailed Disclosure (mm)'!T67</f>
        <v>0</v>
      </c>
      <c r="U170" s="869">
        <f>+'STER - Detailed Disclosure (mm)'!U67</f>
        <v>0</v>
      </c>
      <c r="V170" s="869">
        <f>+'STER - Detailed Disclosure (mm)'!V67</f>
        <v>0.13100000000000001</v>
      </c>
      <c r="W170" s="1424">
        <f>+'STER - Detailed Disclosure (mm)'!W67</f>
        <v>0</v>
      </c>
      <c r="X170" s="869">
        <f>+'STER - Detailed Disclosure (mm)'!X67</f>
        <v>1</v>
      </c>
      <c r="Y170" s="871">
        <f>+'STER - Detailed Disclosure (mm)'!Y67</f>
        <v>0</v>
      </c>
      <c r="Z170" s="870"/>
      <c r="AA170" s="869"/>
      <c r="AB170" s="869"/>
      <c r="AC170" s="869"/>
      <c r="AD170" s="869"/>
      <c r="AE170" s="869"/>
      <c r="AF170" s="869"/>
      <c r="AG170" s="869">
        <f>+'STER - Detailed Disclosure (mm)'!AQ67</f>
        <v>12.065</v>
      </c>
      <c r="AH170" s="869">
        <f>+'STER - Detailed Disclosure (mm)'!AR67</f>
        <v>2.9220000000000002</v>
      </c>
      <c r="AI170" s="869">
        <f>+'STER - Detailed Disclosure (mm)'!AS67</f>
        <v>0.46800000000000003</v>
      </c>
      <c r="AJ170" s="869">
        <f>+'STER - Detailed Disclosure (mm)'!AT67</f>
        <v>3.319</v>
      </c>
      <c r="AK170" s="871">
        <f>+'STER - Detailed Disclosure (mm)'!AU67</f>
        <v>0.13100000000000001</v>
      </c>
      <c r="AL170" s="869"/>
      <c r="AM170" s="869"/>
    </row>
    <row r="171" spans="1:39" s="470" customFormat="1" x14ac:dyDescent="0.25">
      <c r="A171" s="505" t="s">
        <v>263</v>
      </c>
      <c r="C171" s="767"/>
      <c r="D171" s="767"/>
      <c r="E171" s="767">
        <f t="shared" ref="E171:X171" si="247">+SUM(E167:E170)</f>
        <v>4.3</v>
      </c>
      <c r="F171" s="768">
        <f t="shared" si="247"/>
        <v>16.460999999999999</v>
      </c>
      <c r="G171" s="767">
        <f t="shared" si="247"/>
        <v>4.1700000000000008</v>
      </c>
      <c r="H171" s="767">
        <f t="shared" si="247"/>
        <v>8.5309999999999988</v>
      </c>
      <c r="I171" s="767">
        <f t="shared" si="247"/>
        <v>3.6790000000000003</v>
      </c>
      <c r="J171" s="768">
        <f t="shared" si="247"/>
        <v>8.7079999999999984</v>
      </c>
      <c r="K171" s="767">
        <f t="shared" si="247"/>
        <v>3.3070000000000004</v>
      </c>
      <c r="L171" s="767">
        <f t="shared" si="247"/>
        <v>10.635999999999999</v>
      </c>
      <c r="M171" s="767">
        <f t="shared" si="247"/>
        <v>35.269000000000005</v>
      </c>
      <c r="N171" s="768">
        <f t="shared" si="247"/>
        <v>9.0309999999999988</v>
      </c>
      <c r="O171" s="767">
        <f t="shared" si="247"/>
        <v>5.9960000000000004</v>
      </c>
      <c r="P171" s="767">
        <f t="shared" si="247"/>
        <v>6.6549999999999994</v>
      </c>
      <c r="Q171" s="767">
        <f t="shared" si="247"/>
        <v>10.325999999999999</v>
      </c>
      <c r="R171" s="768">
        <f t="shared" si="247"/>
        <v>16.645</v>
      </c>
      <c r="S171" s="767">
        <f t="shared" si="247"/>
        <v>11.526000000000002</v>
      </c>
      <c r="T171" s="767">
        <f t="shared" si="247"/>
        <v>7.7630000000000008</v>
      </c>
      <c r="U171" s="767">
        <f t="shared" si="247"/>
        <v>6.4640000000000004</v>
      </c>
      <c r="V171" s="767">
        <f t="shared" si="247"/>
        <v>5.1620000000000008</v>
      </c>
      <c r="W171" s="993">
        <f t="shared" si="247"/>
        <v>20.396000000000001</v>
      </c>
      <c r="X171" s="767">
        <f t="shared" si="247"/>
        <v>7.109</v>
      </c>
      <c r="Y171" s="812">
        <f t="shared" ref="Y171" si="248">+SUM(Y167:Y170)</f>
        <v>11.944000000000001</v>
      </c>
      <c r="Z171" s="768"/>
      <c r="AA171" s="767"/>
      <c r="AB171" s="767"/>
      <c r="AC171" s="767"/>
      <c r="AD171" s="767"/>
      <c r="AE171" s="767"/>
      <c r="AF171" s="767"/>
      <c r="AG171" s="767">
        <f>+SUM(AG167:AG170)</f>
        <v>25.750999999999998</v>
      </c>
      <c r="AH171" s="767">
        <f>+SUM(AH167:AH170)</f>
        <v>23.912000000000003</v>
      </c>
      <c r="AI171" s="767">
        <f>+SUM(AI167:AI170)</f>
        <v>58.243000000000002</v>
      </c>
      <c r="AJ171" s="767">
        <f>+SUM(AJ167:AJ170)</f>
        <v>39.622</v>
      </c>
      <c r="AK171" s="812">
        <f>+SUM(AK167:AK170)</f>
        <v>30.915000000000003</v>
      </c>
      <c r="AL171" s="767"/>
      <c r="AM171" s="767"/>
    </row>
    <row r="172" spans="1:39" x14ac:dyDescent="0.25">
      <c r="C172" s="744"/>
      <c r="D172" s="744"/>
      <c r="E172" s="744"/>
      <c r="F172" s="745"/>
      <c r="G172" s="744"/>
      <c r="H172" s="744"/>
      <c r="I172" s="744"/>
      <c r="J172" s="745"/>
      <c r="K172" s="744"/>
      <c r="L172" s="744"/>
      <c r="M172" s="744"/>
      <c r="N172" s="745"/>
      <c r="O172" s="744"/>
      <c r="P172" s="744"/>
      <c r="Q172" s="744"/>
      <c r="R172" s="745"/>
      <c r="S172" s="744"/>
      <c r="T172" s="744"/>
      <c r="U172" s="744"/>
      <c r="V172" s="744"/>
      <c r="W172" s="985"/>
      <c r="X172" s="744"/>
      <c r="Y172" s="792"/>
      <c r="Z172" s="745"/>
      <c r="AA172" s="744"/>
      <c r="AB172" s="744"/>
      <c r="AC172" s="744"/>
      <c r="AD172" s="744"/>
      <c r="AE172" s="744"/>
      <c r="AF172" s="744"/>
      <c r="AG172" s="744"/>
      <c r="AH172" s="744"/>
      <c r="AI172" s="744"/>
      <c r="AJ172" s="744"/>
      <c r="AK172" s="792"/>
      <c r="AL172" s="744"/>
      <c r="AM172" s="744"/>
    </row>
    <row r="173" spans="1:39" x14ac:dyDescent="0.25">
      <c r="A173" s="783" t="s">
        <v>264</v>
      </c>
      <c r="C173" s="744"/>
      <c r="D173" s="744"/>
      <c r="E173" s="744"/>
      <c r="F173" s="745"/>
      <c r="G173" s="744"/>
      <c r="H173" s="744"/>
      <c r="I173" s="744"/>
      <c r="J173" s="745"/>
      <c r="K173" s="744"/>
      <c r="L173" s="744"/>
      <c r="M173" s="744"/>
      <c r="N173" s="745"/>
      <c r="O173" s="744"/>
      <c r="P173" s="744"/>
      <c r="Q173" s="744"/>
      <c r="R173" s="745"/>
      <c r="S173" s="744"/>
      <c r="T173" s="744"/>
      <c r="U173" s="744"/>
      <c r="V173" s="744"/>
      <c r="W173" s="985"/>
      <c r="X173" s="744"/>
      <c r="Y173" s="792"/>
      <c r="Z173" s="745"/>
      <c r="AA173" s="744"/>
      <c r="AB173" s="744"/>
      <c r="AC173" s="744"/>
      <c r="AD173" s="744"/>
      <c r="AE173" s="744"/>
      <c r="AF173" s="744"/>
      <c r="AG173" s="744"/>
      <c r="AH173" s="744"/>
      <c r="AI173" s="744"/>
      <c r="AJ173" s="744"/>
      <c r="AK173" s="792"/>
      <c r="AL173" s="744"/>
      <c r="AM173" s="744"/>
    </row>
    <row r="174" spans="1:39" x14ac:dyDescent="0.25">
      <c r="A174" s="460" t="str">
        <f>+A160</f>
        <v>Corporate technology and production systems</v>
      </c>
      <c r="C174" s="744"/>
      <c r="D174" s="744"/>
      <c r="E174" s="744"/>
      <c r="F174" s="745"/>
      <c r="G174" s="744"/>
      <c r="H174" s="744"/>
      <c r="I174" s="744"/>
      <c r="J174" s="745"/>
      <c r="K174" s="744"/>
      <c r="L174" s="744"/>
      <c r="M174" s="744"/>
      <c r="N174" s="745"/>
      <c r="O174" s="744">
        <f>+'STER - Detailed Disclosure (mm)'!O92</f>
        <v>0.53100000000000003</v>
      </c>
      <c r="P174" s="744">
        <f>+'STER - Detailed Disclosure (mm)'!P92</f>
        <v>0.499</v>
      </c>
      <c r="Q174" s="744">
        <f>+'STER - Detailed Disclosure (mm)'!Q92</f>
        <v>0.77400000000000002</v>
      </c>
      <c r="R174" s="745">
        <f>+'STER - Detailed Disclosure (mm)'!R92</f>
        <v>0.46</v>
      </c>
      <c r="S174" s="744">
        <f>+'STER - Detailed Disclosure (mm)'!S92</f>
        <v>0.61199999999999999</v>
      </c>
      <c r="T174" s="744">
        <f>+'STER - Detailed Disclosure (mm)'!T92</f>
        <v>0.60499999999999998</v>
      </c>
      <c r="U174" s="744">
        <f>+'STER - Detailed Disclosure (mm)'!U92</f>
        <v>0.77600000000000002</v>
      </c>
      <c r="V174" s="744">
        <f>+'STER - Detailed Disclosure (mm)'!V92</f>
        <v>0.82899999999999996</v>
      </c>
      <c r="W174" s="985">
        <f>+'STER - Detailed Disclosure (mm)'!W92</f>
        <v>0.81899999999999995</v>
      </c>
      <c r="X174" s="744">
        <f>+'STER - Detailed Disclosure (mm)'!X92</f>
        <v>0.88800000000000001</v>
      </c>
      <c r="Y174" s="1007">
        <f>+'STER - Detailed Disclosure (mm)'!Y92</f>
        <v>0.88800000000000001</v>
      </c>
      <c r="Z174" s="745"/>
      <c r="AA174" s="744"/>
      <c r="AB174" s="744"/>
      <c r="AC174" s="744"/>
      <c r="AD174" s="744"/>
      <c r="AE174" s="744"/>
      <c r="AF174" s="744"/>
      <c r="AG174" s="744"/>
      <c r="AH174" s="744"/>
      <c r="AI174" s="744"/>
      <c r="AJ174" s="744">
        <f>+SUM(O174:R174)</f>
        <v>2.2640000000000002</v>
      </c>
      <c r="AK174" s="792">
        <f>+SUM(S174:V174)</f>
        <v>2.8220000000000001</v>
      </c>
      <c r="AL174" s="744"/>
      <c r="AM174" s="744"/>
    </row>
    <row r="175" spans="1:39" s="802" customFormat="1" ht="13" x14ac:dyDescent="0.4">
      <c r="A175" s="460" t="str">
        <f>+A161</f>
        <v>Selling, general and administrative</v>
      </c>
      <c r="C175" s="803"/>
      <c r="D175" s="803"/>
      <c r="E175" s="803"/>
      <c r="F175" s="823"/>
      <c r="G175" s="803"/>
      <c r="H175" s="803"/>
      <c r="I175" s="803"/>
      <c r="J175" s="823"/>
      <c r="K175" s="803"/>
      <c r="L175" s="803"/>
      <c r="M175" s="803"/>
      <c r="N175" s="823"/>
      <c r="O175" s="803">
        <f>+'STER - Detailed Disclosure (mm)'!O93</f>
        <v>4.1639999999999997</v>
      </c>
      <c r="P175" s="803">
        <f>+'STER - Detailed Disclosure (mm)'!P93</f>
        <v>5.1130000000000004</v>
      </c>
      <c r="Q175" s="803">
        <f>+'STER - Detailed Disclosure (mm)'!Q93</f>
        <v>5.1349999999999998</v>
      </c>
      <c r="R175" s="823">
        <f>+'STER - Detailed Disclosure (mm)'!R93</f>
        <v>5.5960000000000001</v>
      </c>
      <c r="S175" s="803">
        <f>+'STER - Detailed Disclosure (mm)'!S93</f>
        <v>7.0030000000000001</v>
      </c>
      <c r="T175" s="803">
        <f>+'STER - Detailed Disclosure (mm)'!T93</f>
        <v>8.359</v>
      </c>
      <c r="U175" s="803">
        <f>+'STER - Detailed Disclosure (mm)'!U93</f>
        <v>8.6110000000000007</v>
      </c>
      <c r="V175" s="803">
        <f>+'STER - Detailed Disclosure (mm)'!V93</f>
        <v>6.2640000000000002</v>
      </c>
      <c r="W175" s="1001">
        <f>+'STER - Detailed Disclosure (mm)'!W93</f>
        <v>8.1639999999999997</v>
      </c>
      <c r="X175" s="803">
        <f>+'STER - Detailed Disclosure (mm)'!X93</f>
        <v>10.446</v>
      </c>
      <c r="Y175" s="1106">
        <f>+'STER - Detailed Disclosure (mm)'!Y93</f>
        <v>10.278</v>
      </c>
      <c r="Z175" s="823"/>
      <c r="AA175" s="803"/>
      <c r="AB175" s="803"/>
      <c r="AC175" s="803"/>
      <c r="AD175" s="803"/>
      <c r="AE175" s="803"/>
      <c r="AF175" s="803"/>
      <c r="AG175" s="803"/>
      <c r="AH175" s="803"/>
      <c r="AI175" s="803"/>
      <c r="AJ175" s="803">
        <f t="shared" ref="AJ175:AJ176" si="249">+SUM(O175:R175)</f>
        <v>20.008000000000003</v>
      </c>
      <c r="AK175" s="804">
        <f t="shared" ref="AK175:AK176" si="250">+SUM(S175:V175)</f>
        <v>30.236999999999998</v>
      </c>
      <c r="AL175" s="803"/>
      <c r="AM175" s="803"/>
    </row>
    <row r="176" spans="1:39" s="470" customFormat="1" x14ac:dyDescent="0.25">
      <c r="A176" s="505" t="s">
        <v>265</v>
      </c>
      <c r="C176" s="767"/>
      <c r="D176" s="767"/>
      <c r="E176" s="767">
        <f>+'STER - Detailed Disclosure (mm)'!E94</f>
        <v>0.249</v>
      </c>
      <c r="F176" s="768">
        <f>+'STER - Detailed Disclosure (mm)'!F94</f>
        <v>0.504</v>
      </c>
      <c r="G176" s="767">
        <f>+'STER - Detailed Disclosure (mm)'!G94</f>
        <v>0.54500000000000004</v>
      </c>
      <c r="H176" s="767">
        <f>+'STER - Detailed Disclosure (mm)'!H94</f>
        <v>0.64100000000000001</v>
      </c>
      <c r="I176" s="767">
        <f>+'STER - Detailed Disclosure (mm)'!I94</f>
        <v>0.56999999999999995</v>
      </c>
      <c r="J176" s="768">
        <f>+'STER - Detailed Disclosure (mm)'!J94</f>
        <v>1.708</v>
      </c>
      <c r="K176" s="767">
        <f>+'STER - Detailed Disclosure (mm)'!K94</f>
        <v>0.89800000000000002</v>
      </c>
      <c r="L176" s="767">
        <f>+'STER - Detailed Disclosure (mm)'!L94</f>
        <v>0.75600000000000001</v>
      </c>
      <c r="M176" s="767">
        <f>+'STER - Detailed Disclosure (mm)'!M94</f>
        <v>25.582000000000001</v>
      </c>
      <c r="N176" s="768">
        <f>+'STER - Detailed Disclosure (mm)'!N94</f>
        <v>5.3440000000000003</v>
      </c>
      <c r="O176" s="767">
        <f t="shared" ref="O176:X176" si="251">+SUM(O174:O175)</f>
        <v>4.6949999999999994</v>
      </c>
      <c r="P176" s="767">
        <f t="shared" si="251"/>
        <v>5.6120000000000001</v>
      </c>
      <c r="Q176" s="767">
        <f t="shared" si="251"/>
        <v>5.9089999999999998</v>
      </c>
      <c r="R176" s="768">
        <f t="shared" si="251"/>
        <v>6.056</v>
      </c>
      <c r="S176" s="767">
        <f t="shared" si="251"/>
        <v>7.6150000000000002</v>
      </c>
      <c r="T176" s="767">
        <f t="shared" si="251"/>
        <v>8.9640000000000004</v>
      </c>
      <c r="U176" s="767">
        <f t="shared" si="251"/>
        <v>9.3870000000000005</v>
      </c>
      <c r="V176" s="767">
        <f t="shared" si="251"/>
        <v>7.093</v>
      </c>
      <c r="W176" s="993">
        <f t="shared" si="251"/>
        <v>8.9830000000000005</v>
      </c>
      <c r="X176" s="767">
        <f t="shared" si="251"/>
        <v>11.334</v>
      </c>
      <c r="Y176" s="812">
        <f t="shared" ref="Y176" si="252">+SUM(Y174:Y175)</f>
        <v>11.166</v>
      </c>
      <c r="Z176" s="768"/>
      <c r="AA176" s="767"/>
      <c r="AB176" s="767"/>
      <c r="AC176" s="767"/>
      <c r="AD176" s="767"/>
      <c r="AE176" s="767"/>
      <c r="AF176" s="767"/>
      <c r="AG176" s="767">
        <f>+'STER - Detailed Disclosure (mm)'!AQ94</f>
        <v>1.5029999999999999</v>
      </c>
      <c r="AH176" s="767">
        <f>+SUM(G176:J176)</f>
        <v>3.4639999999999995</v>
      </c>
      <c r="AI176" s="767">
        <f>+SUM(K176:N176)</f>
        <v>32.58</v>
      </c>
      <c r="AJ176" s="767">
        <f t="shared" si="249"/>
        <v>22.271999999999998</v>
      </c>
      <c r="AK176" s="812">
        <f t="shared" si="250"/>
        <v>33.058999999999997</v>
      </c>
      <c r="AL176" s="767"/>
      <c r="AM176" s="767"/>
    </row>
    <row r="177" spans="1:43" x14ac:dyDescent="0.25">
      <c r="C177" s="744"/>
      <c r="D177" s="744"/>
      <c r="E177" s="744"/>
      <c r="F177" s="745"/>
      <c r="G177" s="744"/>
      <c r="H177" s="744"/>
      <c r="I177" s="744"/>
      <c r="J177" s="745"/>
      <c r="K177" s="744"/>
      <c r="L177" s="744"/>
      <c r="M177" s="744"/>
      <c r="N177" s="745"/>
      <c r="O177" s="744"/>
      <c r="P177" s="744"/>
      <c r="Q177" s="744"/>
      <c r="R177" s="745"/>
      <c r="S177" s="744"/>
      <c r="T177" s="744"/>
      <c r="U177" s="744"/>
      <c r="V177" s="744"/>
      <c r="W177" s="985"/>
      <c r="X177" s="744"/>
      <c r="Y177" s="792"/>
      <c r="Z177" s="745"/>
      <c r="AA177" s="744"/>
      <c r="AB177" s="744"/>
      <c r="AC177" s="744"/>
      <c r="AD177" s="744"/>
      <c r="AE177" s="744"/>
      <c r="AF177" s="744"/>
      <c r="AG177" s="744"/>
      <c r="AH177" s="744"/>
      <c r="AI177" s="744"/>
      <c r="AJ177" s="744"/>
      <c r="AK177" s="792"/>
      <c r="AL177" s="744"/>
      <c r="AM177" s="744"/>
    </row>
    <row r="178" spans="1:43" x14ac:dyDescent="0.25">
      <c r="A178" s="783" t="s">
        <v>266</v>
      </c>
      <c r="C178" s="744"/>
      <c r="D178" s="744"/>
      <c r="E178" s="744"/>
      <c r="F178" s="745"/>
      <c r="G178" s="744"/>
      <c r="H178" s="744"/>
      <c r="I178" s="744"/>
      <c r="J178" s="745"/>
      <c r="K178" s="744"/>
      <c r="L178" s="744"/>
      <c r="M178" s="744"/>
      <c r="N178" s="745"/>
      <c r="O178" s="744"/>
      <c r="P178" s="744"/>
      <c r="Q178" s="744"/>
      <c r="R178" s="745"/>
      <c r="S178" s="744"/>
      <c r="T178" s="744"/>
      <c r="U178" s="744"/>
      <c r="V178" s="744"/>
      <c r="W178" s="985"/>
      <c r="X178" s="744"/>
      <c r="Y178" s="792"/>
      <c r="Z178" s="745"/>
      <c r="AA178" s="744"/>
      <c r="AB178" s="744"/>
      <c r="AC178" s="744"/>
      <c r="AD178" s="744"/>
      <c r="AE178" s="744"/>
      <c r="AF178" s="744"/>
      <c r="AG178" s="744"/>
      <c r="AH178" s="744"/>
      <c r="AI178" s="744"/>
      <c r="AJ178" s="744"/>
      <c r="AK178" s="792"/>
      <c r="AL178" s="744"/>
      <c r="AM178" s="744"/>
    </row>
    <row r="179" spans="1:43" x14ac:dyDescent="0.25">
      <c r="A179" s="460" t="str">
        <f>+A160</f>
        <v>Corporate technology and production systems</v>
      </c>
      <c r="C179" s="744"/>
      <c r="D179" s="744"/>
      <c r="E179" s="744"/>
      <c r="F179" s="745"/>
      <c r="G179" s="744"/>
      <c r="H179" s="744"/>
      <c r="I179" s="744"/>
      <c r="J179" s="745"/>
      <c r="K179" s="744"/>
      <c r="L179" s="744"/>
      <c r="M179" s="744"/>
      <c r="N179" s="745"/>
      <c r="O179" s="744">
        <f t="shared" ref="O179:X179" si="253">+O160-O174</f>
        <v>12.020999999999999</v>
      </c>
      <c r="P179" s="744">
        <f t="shared" si="253"/>
        <v>12.04</v>
      </c>
      <c r="Q179" s="744">
        <f t="shared" si="253"/>
        <v>12.940999999999999</v>
      </c>
      <c r="R179" s="745">
        <f t="shared" si="253"/>
        <v>11.220999999999998</v>
      </c>
      <c r="S179" s="744">
        <f t="shared" si="253"/>
        <v>11.34</v>
      </c>
      <c r="T179" s="744">
        <f t="shared" si="253"/>
        <v>10.823</v>
      </c>
      <c r="U179" s="744">
        <f t="shared" si="253"/>
        <v>10.553000000000001</v>
      </c>
      <c r="V179" s="736">
        <f t="shared" si="253"/>
        <v>8.8769999999999953</v>
      </c>
      <c r="W179" s="986">
        <f t="shared" si="253"/>
        <v>12.395</v>
      </c>
      <c r="X179" s="736">
        <f t="shared" si="253"/>
        <v>11.867000000000001</v>
      </c>
      <c r="Y179" s="1007">
        <f>+X179+U179-T179</f>
        <v>11.597000000000001</v>
      </c>
      <c r="Z179" s="1089">
        <f t="shared" ref="Z179" si="254">+Y179+V179-U179</f>
        <v>9.9209999999999958</v>
      </c>
      <c r="AA179" s="753">
        <f>+W179*1.025</f>
        <v>12.704874999999998</v>
      </c>
      <c r="AB179" s="753">
        <f t="shared" ref="AB179:AB180" si="255">+X179*1.025</f>
        <v>12.163675</v>
      </c>
      <c r="AC179" s="753">
        <f t="shared" ref="AC179:AC180" si="256">+Y179*1.025</f>
        <v>11.886925</v>
      </c>
      <c r="AD179" s="753">
        <f t="shared" ref="AD179:AD180" si="257">+Z179*1.025</f>
        <v>10.169024999999994</v>
      </c>
      <c r="AE179" s="744"/>
      <c r="AF179" s="744"/>
      <c r="AG179" s="744"/>
      <c r="AH179" s="744"/>
      <c r="AI179" s="744"/>
      <c r="AJ179" s="744">
        <f>+AJ160-AJ174</f>
        <v>48.222999999999999</v>
      </c>
      <c r="AK179" s="792">
        <f>SUM(S179:V179)</f>
        <v>41.592999999999996</v>
      </c>
      <c r="AL179" s="744">
        <f>+SUM(W179:Z179)</f>
        <v>45.78</v>
      </c>
      <c r="AM179" s="744">
        <f>+SUM(AA179:AD179)</f>
        <v>46.924499999999995</v>
      </c>
    </row>
    <row r="180" spans="1:43" s="802" customFormat="1" ht="13" x14ac:dyDescent="0.4">
      <c r="A180" s="460" t="str">
        <f>+A161</f>
        <v>Selling, general and administrative</v>
      </c>
      <c r="C180" s="803"/>
      <c r="D180" s="803"/>
      <c r="E180" s="803"/>
      <c r="F180" s="823"/>
      <c r="G180" s="2218"/>
      <c r="H180" s="2218"/>
      <c r="I180" s="2218"/>
      <c r="J180" s="2219"/>
      <c r="K180" s="2218"/>
      <c r="L180" s="2218"/>
      <c r="M180" s="2218"/>
      <c r="N180" s="2219"/>
      <c r="O180" s="803">
        <f t="shared" ref="O180:X180" si="258">+O161-O171-O175</f>
        <v>32.172999999999995</v>
      </c>
      <c r="P180" s="803">
        <f t="shared" si="258"/>
        <v>30.118000000000002</v>
      </c>
      <c r="Q180" s="803">
        <f t="shared" si="258"/>
        <v>26.950000000000003</v>
      </c>
      <c r="R180" s="823">
        <f t="shared" si="258"/>
        <v>26.587999999999997</v>
      </c>
      <c r="S180" s="803">
        <f t="shared" si="258"/>
        <v>28.921999999999997</v>
      </c>
      <c r="T180" s="803">
        <f t="shared" si="258"/>
        <v>28.787999999999997</v>
      </c>
      <c r="U180" s="803">
        <f t="shared" si="258"/>
        <v>27.306999999999999</v>
      </c>
      <c r="V180" s="757">
        <f t="shared" si="258"/>
        <v>27.586000000000002</v>
      </c>
      <c r="W180" s="987">
        <f t="shared" si="258"/>
        <v>31.33</v>
      </c>
      <c r="X180" s="757">
        <f t="shared" si="258"/>
        <v>32.823999999999998</v>
      </c>
      <c r="Y180" s="1106">
        <f>+Y181-Y179</f>
        <v>31.904944169002661</v>
      </c>
      <c r="Z180" s="1491">
        <f t="shared" ref="Z180" si="259">+Y180+V180-U180</f>
        <v>32.183944169002658</v>
      </c>
      <c r="AA180" s="759">
        <f t="shared" ref="AA180" si="260">+W180*1.025</f>
        <v>32.113249999999994</v>
      </c>
      <c r="AB180" s="759">
        <f t="shared" si="255"/>
        <v>33.644599999999997</v>
      </c>
      <c r="AC180" s="759">
        <f t="shared" si="256"/>
        <v>32.702567773227727</v>
      </c>
      <c r="AD180" s="759">
        <f t="shared" si="257"/>
        <v>32.988542773227721</v>
      </c>
      <c r="AE180" s="803"/>
      <c r="AF180" s="803"/>
      <c r="AG180" s="803"/>
      <c r="AH180" s="803"/>
      <c r="AI180" s="803"/>
      <c r="AJ180" s="803">
        <f>+AJ161-AJ171-AJ175</f>
        <v>115.82899999999998</v>
      </c>
      <c r="AK180" s="804">
        <f>SUM(S180:V180)</f>
        <v>112.60299999999999</v>
      </c>
      <c r="AL180" s="803">
        <f>+SUM(W180:Z180)</f>
        <v>128.24288833800532</v>
      </c>
      <c r="AM180" s="803">
        <f t="shared" ref="AM180:AM181" si="261">+SUM(AA180:AD180)</f>
        <v>131.44896054645545</v>
      </c>
    </row>
    <row r="181" spans="1:43" s="470" customFormat="1" x14ac:dyDescent="0.25">
      <c r="A181" s="505" t="s">
        <v>267</v>
      </c>
      <c r="C181" s="767"/>
      <c r="D181" s="767"/>
      <c r="E181" s="767">
        <f t="shared" ref="E181:N181" si="262">+E160+E161-E171-E176</f>
        <v>-4.5489999999999995</v>
      </c>
      <c r="F181" s="768">
        <f t="shared" si="262"/>
        <v>-16.965</v>
      </c>
      <c r="G181" s="767"/>
      <c r="H181" s="767"/>
      <c r="I181" s="767">
        <f t="shared" si="262"/>
        <v>31.983999999999995</v>
      </c>
      <c r="J181" s="768"/>
      <c r="K181" s="767">
        <f t="shared" si="262"/>
        <v>35.753999999999998</v>
      </c>
      <c r="L181" s="767">
        <f t="shared" si="262"/>
        <v>37.210999999999984</v>
      </c>
      <c r="M181" s="767">
        <f t="shared" si="262"/>
        <v>36.216000000000001</v>
      </c>
      <c r="N181" s="768">
        <f t="shared" si="262"/>
        <v>43.018999999999998</v>
      </c>
      <c r="O181" s="767">
        <f t="shared" ref="O181:W181" si="263">+SUM(O179:O180)</f>
        <v>44.193999999999996</v>
      </c>
      <c r="P181" s="767">
        <f t="shared" si="263"/>
        <v>42.158000000000001</v>
      </c>
      <c r="Q181" s="767">
        <f t="shared" si="263"/>
        <v>39.891000000000005</v>
      </c>
      <c r="R181" s="768">
        <f t="shared" si="263"/>
        <v>37.808999999999997</v>
      </c>
      <c r="S181" s="767">
        <f t="shared" si="263"/>
        <v>40.262</v>
      </c>
      <c r="T181" s="767">
        <f t="shared" si="263"/>
        <v>39.610999999999997</v>
      </c>
      <c r="U181" s="767">
        <f t="shared" si="263"/>
        <v>37.86</v>
      </c>
      <c r="V181" s="762">
        <f t="shared" si="263"/>
        <v>36.462999999999994</v>
      </c>
      <c r="W181" s="988">
        <f t="shared" si="263"/>
        <v>43.724999999999994</v>
      </c>
      <c r="X181" s="762">
        <f t="shared" ref="X181" si="264">+SUM(X179:X180)</f>
        <v>44.691000000000003</v>
      </c>
      <c r="Y181" s="2281">
        <f>+Y43</f>
        <v>43.501944169002662</v>
      </c>
      <c r="Z181" s="763">
        <f t="shared" ref="Z181:AD181" si="265">+SUM(Z179:Z180)</f>
        <v>42.10494416900265</v>
      </c>
      <c r="AA181" s="762">
        <f t="shared" si="265"/>
        <v>44.818124999999995</v>
      </c>
      <c r="AB181" s="762">
        <f t="shared" si="265"/>
        <v>45.808274999999995</v>
      </c>
      <c r="AC181" s="762">
        <f t="shared" si="265"/>
        <v>44.589492773227725</v>
      </c>
      <c r="AD181" s="762">
        <f t="shared" si="265"/>
        <v>43.157567773227711</v>
      </c>
      <c r="AE181" s="767"/>
      <c r="AF181" s="767"/>
      <c r="AG181" s="767">
        <f>+AG160+AG161-AG171-AG176</f>
        <v>164.86700000000002</v>
      </c>
      <c r="AH181" s="767">
        <f>+AH160+AH161-AH171-AH176</f>
        <v>139.47399999999999</v>
      </c>
      <c r="AI181" s="767">
        <f>+AI160+AI161-AI171-AI176</f>
        <v>152.19999999999999</v>
      </c>
      <c r="AJ181" s="767">
        <f t="shared" ref="AJ181" si="266">+SUM(AJ179:AJ180)</f>
        <v>164.05199999999996</v>
      </c>
      <c r="AK181" s="812">
        <f>SUM(S181:V181)</f>
        <v>154.19599999999997</v>
      </c>
      <c r="AL181" s="767">
        <f>+SUM(W181:Z181)</f>
        <v>174.02288833800532</v>
      </c>
      <c r="AM181" s="767">
        <f t="shared" si="261"/>
        <v>178.37346054645542</v>
      </c>
    </row>
    <row r="182" spans="1:43" x14ac:dyDescent="0.25">
      <c r="C182" s="744"/>
      <c r="D182" s="744"/>
      <c r="E182" s="744"/>
      <c r="F182" s="745"/>
      <c r="G182" s="744"/>
      <c r="H182" s="744"/>
      <c r="I182" s="744"/>
      <c r="J182" s="745"/>
      <c r="K182" s="744"/>
      <c r="L182" s="744"/>
      <c r="M182" s="744"/>
      <c r="N182" s="745"/>
      <c r="O182" s="744"/>
      <c r="P182" s="744"/>
      <c r="Q182" s="744"/>
      <c r="R182" s="745"/>
      <c r="S182" s="744"/>
      <c r="T182" s="744"/>
      <c r="U182" s="744"/>
      <c r="V182" s="736"/>
      <c r="W182" s="986"/>
      <c r="X182" s="736"/>
      <c r="Y182" s="754"/>
      <c r="Z182" s="752"/>
      <c r="AA182" s="736"/>
      <c r="AB182" s="736"/>
      <c r="AC182" s="736"/>
      <c r="AD182" s="736"/>
      <c r="AE182" s="744"/>
      <c r="AF182" s="744"/>
      <c r="AG182" s="744"/>
      <c r="AH182" s="744"/>
      <c r="AI182" s="744"/>
      <c r="AJ182" s="744"/>
      <c r="AK182" s="792"/>
      <c r="AL182" s="744"/>
      <c r="AM182" s="744"/>
    </row>
    <row r="183" spans="1:43" ht="12" collapsed="1" x14ac:dyDescent="0.3">
      <c r="A183" s="782" t="s">
        <v>29</v>
      </c>
      <c r="B183" s="470"/>
      <c r="C183" s="744"/>
      <c r="D183" s="744"/>
      <c r="E183" s="744"/>
      <c r="F183" s="745"/>
      <c r="G183" s="750"/>
      <c r="H183" s="750"/>
      <c r="I183" s="750"/>
      <c r="J183" s="751"/>
      <c r="K183" s="750"/>
      <c r="L183" s="750"/>
      <c r="M183" s="750"/>
      <c r="N183" s="751"/>
      <c r="O183" s="750"/>
      <c r="P183" s="744"/>
      <c r="Q183" s="744"/>
      <c r="R183" s="745"/>
      <c r="S183" s="744"/>
      <c r="T183" s="744"/>
      <c r="U183" s="744"/>
      <c r="V183" s="736"/>
      <c r="W183" s="986"/>
      <c r="X183" s="736"/>
      <c r="Y183" s="754"/>
      <c r="Z183" s="752"/>
      <c r="AA183" s="736"/>
      <c r="AB183" s="736"/>
      <c r="AC183" s="736"/>
      <c r="AD183" s="736"/>
      <c r="AE183" s="744"/>
      <c r="AF183" s="750"/>
      <c r="AG183" s="750"/>
      <c r="AH183" s="750"/>
      <c r="AI183" s="750"/>
      <c r="AJ183" s="744"/>
      <c r="AK183" s="792"/>
      <c r="AL183" s="744"/>
      <c r="AM183" s="744"/>
      <c r="AP183" s="460" t="e">
        <f>+AP176/AO176-1</f>
        <v>#DIV/0!</v>
      </c>
      <c r="AQ183" s="460" t="e">
        <f>+AQ176/AP176-1</f>
        <v>#DIV/0!</v>
      </c>
    </row>
    <row r="184" spans="1:43" ht="12" x14ac:dyDescent="0.3">
      <c r="A184" s="778" t="str">
        <f>+A179</f>
        <v>Corporate technology and production systems</v>
      </c>
      <c r="B184" s="470"/>
      <c r="C184" s="744"/>
      <c r="D184" s="744"/>
      <c r="E184" s="744"/>
      <c r="F184" s="745"/>
      <c r="G184" s="689"/>
      <c r="H184" s="689"/>
      <c r="I184" s="689"/>
      <c r="J184" s="779"/>
      <c r="K184" s="689"/>
      <c r="L184" s="689"/>
      <c r="M184" s="689"/>
      <c r="N184" s="779"/>
      <c r="O184" s="689"/>
      <c r="P184" s="689"/>
      <c r="Q184" s="689"/>
      <c r="R184" s="779"/>
      <c r="S184" s="799">
        <f t="shared" ref="S184:AD186" si="267">+S179/O179-1</f>
        <v>-5.6650860993261776E-2</v>
      </c>
      <c r="T184" s="799">
        <f t="shared" si="267"/>
        <v>-0.10107973421926897</v>
      </c>
      <c r="U184" s="799">
        <f t="shared" si="267"/>
        <v>-0.18452978904257777</v>
      </c>
      <c r="V184" s="799">
        <f t="shared" si="267"/>
        <v>-0.2088940379645311</v>
      </c>
      <c r="W184" s="994">
        <f t="shared" si="267"/>
        <v>9.3033509700176431E-2</v>
      </c>
      <c r="X184" s="799">
        <f t="shared" si="267"/>
        <v>9.6461239951954214E-2</v>
      </c>
      <c r="Y184" s="1456">
        <f t="shared" si="267"/>
        <v>9.8929214441391133E-2</v>
      </c>
      <c r="Z184" s="913">
        <f t="shared" si="267"/>
        <v>0.11760729976343365</v>
      </c>
      <c r="AA184" s="799">
        <f t="shared" si="267"/>
        <v>2.4999999999999911E-2</v>
      </c>
      <c r="AB184" s="799">
        <f t="shared" si="267"/>
        <v>2.4999999999999911E-2</v>
      </c>
      <c r="AC184" s="799">
        <f t="shared" si="267"/>
        <v>2.4999999999999911E-2</v>
      </c>
      <c r="AD184" s="799">
        <f t="shared" si="267"/>
        <v>2.4999999999999911E-2</v>
      </c>
      <c r="AE184" s="744"/>
      <c r="AF184" s="689"/>
      <c r="AG184" s="689"/>
      <c r="AH184" s="689"/>
      <c r="AI184" s="689"/>
      <c r="AJ184" s="689"/>
      <c r="AK184" s="781">
        <f t="shared" ref="AK184:AL186" si="268">+AK179/AJ179-1</f>
        <v>-0.13748626174232215</v>
      </c>
      <c r="AL184" s="689">
        <f t="shared" si="268"/>
        <v>0.10066597744812844</v>
      </c>
      <c r="AM184" s="689">
        <f t="shared" ref="AM184:AM186" si="269">+AM179/AL179-1</f>
        <v>2.4999999999999911E-2</v>
      </c>
      <c r="AQ184" s="460" t="e">
        <f>+AQ176/AO176-1</f>
        <v>#DIV/0!</v>
      </c>
    </row>
    <row r="185" spans="1:43" ht="12" x14ac:dyDescent="0.3">
      <c r="A185" s="778" t="str">
        <f>+A180</f>
        <v>Selling, general and administrative</v>
      </c>
      <c r="B185" s="470"/>
      <c r="C185" s="744"/>
      <c r="D185" s="744"/>
      <c r="E185" s="744"/>
      <c r="F185" s="745"/>
      <c r="G185" s="786"/>
      <c r="H185" s="786"/>
      <c r="I185" s="786"/>
      <c r="J185" s="787"/>
      <c r="K185" s="786"/>
      <c r="L185" s="786"/>
      <c r="M185" s="786"/>
      <c r="N185" s="787"/>
      <c r="O185" s="786"/>
      <c r="P185" s="786"/>
      <c r="Q185" s="786"/>
      <c r="R185" s="787"/>
      <c r="S185" s="800">
        <f t="shared" ref="M185:V186" si="270">+S180/O180-1</f>
        <v>-0.10104746215770988</v>
      </c>
      <c r="T185" s="800">
        <f t="shared" si="267"/>
        <v>-4.4159638754233566E-2</v>
      </c>
      <c r="U185" s="800">
        <f t="shared" si="270"/>
        <v>1.3246753246753062E-2</v>
      </c>
      <c r="V185" s="800">
        <f t="shared" si="270"/>
        <v>3.7535730404693934E-2</v>
      </c>
      <c r="W185" s="995">
        <f t="shared" si="267"/>
        <v>8.3258419196459599E-2</v>
      </c>
      <c r="X185" s="800">
        <f t="shared" si="267"/>
        <v>0.14019730443240253</v>
      </c>
      <c r="Y185" s="1457">
        <f t="shared" si="267"/>
        <v>0.16837968905418621</v>
      </c>
      <c r="Z185" s="1097">
        <f t="shared" si="267"/>
        <v>0.16667672620179275</v>
      </c>
      <c r="AA185" s="800">
        <f t="shared" si="267"/>
        <v>2.4999999999999911E-2</v>
      </c>
      <c r="AB185" s="800">
        <f t="shared" si="267"/>
        <v>2.4999999999999911E-2</v>
      </c>
      <c r="AC185" s="800">
        <f t="shared" si="267"/>
        <v>2.4999999999999911E-2</v>
      </c>
      <c r="AD185" s="800">
        <f t="shared" si="267"/>
        <v>2.4999999999999911E-2</v>
      </c>
      <c r="AE185" s="744"/>
      <c r="AF185" s="786"/>
      <c r="AG185" s="786"/>
      <c r="AH185" s="786"/>
      <c r="AI185" s="786"/>
      <c r="AJ185" s="786"/>
      <c r="AK185" s="788">
        <f t="shared" ref="AH185:AK186" si="271">+AK180/AJ180-1</f>
        <v>-2.7851401635168971E-2</v>
      </c>
      <c r="AL185" s="786">
        <f t="shared" si="268"/>
        <v>0.13889406443882768</v>
      </c>
      <c r="AM185" s="786">
        <f t="shared" si="269"/>
        <v>2.5000000000000133E-2</v>
      </c>
    </row>
    <row r="186" spans="1:43" s="470" customFormat="1" x14ac:dyDescent="0.25">
      <c r="A186" s="766" t="str">
        <f>+A181</f>
        <v>Total Adj. Opex</v>
      </c>
      <c r="C186" s="767"/>
      <c r="D186" s="767"/>
      <c r="E186" s="767"/>
      <c r="F186" s="768"/>
      <c r="G186" s="769"/>
      <c r="H186" s="769"/>
      <c r="I186" s="769"/>
      <c r="J186" s="770"/>
      <c r="K186" s="769"/>
      <c r="L186" s="769"/>
      <c r="M186" s="769">
        <f t="shared" si="270"/>
        <v>0.13231615807903974</v>
      </c>
      <c r="N186" s="770"/>
      <c r="O186" s="769">
        <f t="shared" si="270"/>
        <v>0.2360575040554902</v>
      </c>
      <c r="P186" s="769">
        <f t="shared" si="270"/>
        <v>0.13294455940447758</v>
      </c>
      <c r="Q186" s="769">
        <f t="shared" si="270"/>
        <v>0.10147448641484447</v>
      </c>
      <c r="R186" s="770">
        <f t="shared" si="270"/>
        <v>-0.12110927729607845</v>
      </c>
      <c r="S186" s="769">
        <f t="shared" si="270"/>
        <v>-8.8971353577408596E-2</v>
      </c>
      <c r="T186" s="769">
        <f t="shared" si="267"/>
        <v>-6.0415579486692961E-2</v>
      </c>
      <c r="U186" s="769">
        <f t="shared" si="270"/>
        <v>-5.0913739941340297E-2</v>
      </c>
      <c r="V186" s="773">
        <f t="shared" si="270"/>
        <v>-3.559998942050846E-2</v>
      </c>
      <c r="W186" s="999">
        <f t="shared" si="267"/>
        <v>8.6011623863692765E-2</v>
      </c>
      <c r="X186" s="773">
        <f t="shared" si="267"/>
        <v>0.12824720405947865</v>
      </c>
      <c r="Y186" s="1466">
        <f t="shared" si="267"/>
        <v>0.14902124059700639</v>
      </c>
      <c r="Z186" s="774">
        <f t="shared" si="267"/>
        <v>0.15473066311062333</v>
      </c>
      <c r="AA186" s="773">
        <f t="shared" si="267"/>
        <v>2.4999999999999911E-2</v>
      </c>
      <c r="AB186" s="773">
        <f t="shared" si="267"/>
        <v>2.4999999999999911E-2</v>
      </c>
      <c r="AC186" s="773">
        <f t="shared" si="267"/>
        <v>2.4999999999999911E-2</v>
      </c>
      <c r="AD186" s="773">
        <f t="shared" si="267"/>
        <v>2.4999999999999911E-2</v>
      </c>
      <c r="AE186" s="767"/>
      <c r="AF186" s="769"/>
      <c r="AG186" s="769"/>
      <c r="AH186" s="769">
        <f t="shared" si="271"/>
        <v>-0.15402112005434698</v>
      </c>
      <c r="AI186" s="769">
        <f t="shared" si="271"/>
        <v>9.1242812280424967E-2</v>
      </c>
      <c r="AJ186" s="769">
        <f t="shared" si="271"/>
        <v>7.7871222076215441E-2</v>
      </c>
      <c r="AK186" s="772">
        <f t="shared" si="271"/>
        <v>-6.0078511691414871E-2</v>
      </c>
      <c r="AL186" s="769">
        <f t="shared" si="268"/>
        <v>0.12858237786975901</v>
      </c>
      <c r="AM186" s="769">
        <f t="shared" si="269"/>
        <v>2.4999999999999911E-2</v>
      </c>
      <c r="AO186" s="470">
        <v>35.299999999999997</v>
      </c>
      <c r="AP186" s="470">
        <v>23.4</v>
      </c>
      <c r="AQ186" s="470">
        <v>18.8</v>
      </c>
    </row>
    <row r="187" spans="1:43" x14ac:dyDescent="0.25">
      <c r="C187" s="744"/>
      <c r="D187" s="744"/>
      <c r="E187" s="744"/>
      <c r="F187" s="745"/>
      <c r="G187" s="744"/>
      <c r="H187" s="744"/>
      <c r="I187" s="744"/>
      <c r="J187" s="745"/>
      <c r="K187" s="744"/>
      <c r="L187" s="744"/>
      <c r="M187" s="744"/>
      <c r="N187" s="745"/>
      <c r="O187" s="744"/>
      <c r="P187" s="744"/>
      <c r="Q187" s="744"/>
      <c r="R187" s="745"/>
      <c r="S187" s="744"/>
      <c r="T187" s="744"/>
      <c r="U187" s="744"/>
      <c r="V187" s="736"/>
      <c r="W187" s="986"/>
      <c r="X187" s="736"/>
      <c r="Y187" s="754"/>
      <c r="Z187" s="752"/>
      <c r="AA187" s="736"/>
      <c r="AB187" s="736"/>
      <c r="AC187" s="736"/>
      <c r="AD187" s="736"/>
      <c r="AE187" s="744"/>
      <c r="AF187" s="744"/>
      <c r="AG187" s="744"/>
      <c r="AH187" s="744"/>
      <c r="AI187" s="744"/>
      <c r="AJ187" s="744"/>
      <c r="AK187" s="792"/>
      <c r="AL187" s="744"/>
      <c r="AM187" s="744"/>
    </row>
    <row r="188" spans="1:43" ht="12" collapsed="1" x14ac:dyDescent="0.3">
      <c r="A188" s="782" t="s">
        <v>228</v>
      </c>
      <c r="B188" s="470"/>
      <c r="C188" s="744"/>
      <c r="D188" s="744"/>
      <c r="E188" s="744"/>
      <c r="F188" s="745"/>
      <c r="G188" s="750"/>
      <c r="H188" s="750"/>
      <c r="I188" s="750"/>
      <c r="J188" s="751"/>
      <c r="K188" s="750"/>
      <c r="L188" s="750"/>
      <c r="M188" s="750"/>
      <c r="N188" s="751"/>
      <c r="O188" s="750"/>
      <c r="P188" s="744"/>
      <c r="Q188" s="744"/>
      <c r="R188" s="745"/>
      <c r="S188" s="744"/>
      <c r="T188" s="744"/>
      <c r="U188" s="744"/>
      <c r="V188" s="736"/>
      <c r="W188" s="986"/>
      <c r="X188" s="736"/>
      <c r="Y188" s="754"/>
      <c r="Z188" s="752"/>
      <c r="AA188" s="736"/>
      <c r="AB188" s="736"/>
      <c r="AC188" s="736"/>
      <c r="AD188" s="736"/>
      <c r="AE188" s="744"/>
      <c r="AF188" s="750"/>
      <c r="AG188" s="750"/>
      <c r="AH188" s="750"/>
      <c r="AI188" s="750"/>
      <c r="AJ188" s="744"/>
      <c r="AK188" s="792"/>
      <c r="AL188" s="744"/>
      <c r="AM188" s="744"/>
      <c r="AP188" s="460" t="e">
        <f>+AP181/AO181-1</f>
        <v>#DIV/0!</v>
      </c>
      <c r="AQ188" s="460" t="e">
        <f>+AQ181/AP181-1</f>
        <v>#DIV/0!</v>
      </c>
    </row>
    <row r="189" spans="1:43" ht="12" x14ac:dyDescent="0.3">
      <c r="A189" s="778" t="str">
        <f>+A184</f>
        <v>Corporate technology and production systems</v>
      </c>
      <c r="B189" s="470"/>
      <c r="C189" s="744"/>
      <c r="D189" s="744"/>
      <c r="E189" s="744"/>
      <c r="F189" s="745"/>
      <c r="G189" s="689"/>
      <c r="H189" s="689"/>
      <c r="I189" s="689"/>
      <c r="J189" s="779"/>
      <c r="K189" s="689"/>
      <c r="L189" s="689"/>
      <c r="M189" s="689"/>
      <c r="N189" s="779"/>
      <c r="O189" s="689"/>
      <c r="P189" s="689">
        <f t="shared" ref="P189:AD191" si="272">+P179/O179-1</f>
        <v>1.5805673404873932E-3</v>
      </c>
      <c r="Q189" s="689">
        <f t="shared" si="272"/>
        <v>7.4833887043189273E-2</v>
      </c>
      <c r="R189" s="779">
        <f t="shared" si="272"/>
        <v>-0.13291090333050004</v>
      </c>
      <c r="S189" s="799">
        <f t="shared" si="272"/>
        <v>1.0605115408609089E-2</v>
      </c>
      <c r="T189" s="799">
        <f t="shared" si="272"/>
        <v>-4.5590828924162219E-2</v>
      </c>
      <c r="U189" s="799">
        <f t="shared" si="272"/>
        <v>-2.4946872401367393E-2</v>
      </c>
      <c r="V189" s="799">
        <f t="shared" si="272"/>
        <v>-0.15881739789633331</v>
      </c>
      <c r="W189" s="994">
        <f t="shared" si="272"/>
        <v>0.39630505801509597</v>
      </c>
      <c r="X189" s="799">
        <f t="shared" si="272"/>
        <v>-4.2597821702299199E-2</v>
      </c>
      <c r="Y189" s="1456">
        <f t="shared" si="272"/>
        <v>-2.2752169882868434E-2</v>
      </c>
      <c r="Z189" s="913">
        <f t="shared" si="272"/>
        <v>-0.14452013451754808</v>
      </c>
      <c r="AA189" s="799">
        <f t="shared" si="272"/>
        <v>0.2806042737627259</v>
      </c>
      <c r="AB189" s="799">
        <f t="shared" si="272"/>
        <v>-4.2597821702299199E-2</v>
      </c>
      <c r="AC189" s="799">
        <f t="shared" si="272"/>
        <v>-2.2752169882868434E-2</v>
      </c>
      <c r="AD189" s="799">
        <f t="shared" si="272"/>
        <v>-0.14452013451754808</v>
      </c>
      <c r="AE189" s="744"/>
      <c r="AF189" s="689"/>
      <c r="AG189" s="689"/>
      <c r="AH189" s="689"/>
      <c r="AI189" s="689"/>
      <c r="AJ189" s="689"/>
      <c r="AK189" s="781">
        <f t="shared" ref="AH189:AL191" si="273">+AK179/AJ179-1</f>
        <v>-0.13748626174232215</v>
      </c>
      <c r="AL189" s="689">
        <f t="shared" si="273"/>
        <v>0.10066597744812844</v>
      </c>
      <c r="AM189" s="689">
        <f t="shared" ref="AM189:AM191" si="274">+AM179/AL179-1</f>
        <v>2.4999999999999911E-2</v>
      </c>
      <c r="AQ189" s="460" t="e">
        <f>+AQ181/AO181-1</f>
        <v>#DIV/0!</v>
      </c>
    </row>
    <row r="190" spans="1:43" ht="12" x14ac:dyDescent="0.3">
      <c r="A190" s="778" t="str">
        <f>+A185</f>
        <v>Selling, general and administrative</v>
      </c>
      <c r="B190" s="470"/>
      <c r="C190" s="744"/>
      <c r="D190" s="744"/>
      <c r="E190" s="744"/>
      <c r="F190" s="745"/>
      <c r="G190" s="786"/>
      <c r="H190" s="786"/>
      <c r="I190" s="786"/>
      <c r="J190" s="787"/>
      <c r="K190" s="786"/>
      <c r="L190" s="786"/>
      <c r="M190" s="786"/>
      <c r="N190" s="787"/>
      <c r="O190" s="786"/>
      <c r="P190" s="786">
        <f t="shared" ref="L190:V191" si="275">+P180/O180-1</f>
        <v>-6.3873434246106808E-2</v>
      </c>
      <c r="Q190" s="786">
        <f t="shared" si="275"/>
        <v>-0.10518626734842951</v>
      </c>
      <c r="R190" s="787">
        <f t="shared" si="275"/>
        <v>-1.3432282003710827E-2</v>
      </c>
      <c r="S190" s="800">
        <f t="shared" si="275"/>
        <v>8.7783962689935269E-2</v>
      </c>
      <c r="T190" s="800">
        <f t="shared" si="272"/>
        <v>-4.6331512343544823E-3</v>
      </c>
      <c r="U190" s="800">
        <f t="shared" si="275"/>
        <v>-5.1445046547172413E-2</v>
      </c>
      <c r="V190" s="800">
        <f t="shared" si="275"/>
        <v>1.0217160435053385E-2</v>
      </c>
      <c r="W190" s="995">
        <f t="shared" si="272"/>
        <v>0.13572101790763424</v>
      </c>
      <c r="X190" s="800">
        <f t="shared" si="272"/>
        <v>4.7685924034471805E-2</v>
      </c>
      <c r="Y190" s="1457">
        <f t="shared" si="272"/>
        <v>-2.7999507403038582E-2</v>
      </c>
      <c r="Z190" s="1097">
        <f t="shared" si="272"/>
        <v>8.7447261628830208E-3</v>
      </c>
      <c r="AA190" s="800">
        <f t="shared" si="272"/>
        <v>-2.1965663571698046E-3</v>
      </c>
      <c r="AB190" s="800">
        <f t="shared" si="272"/>
        <v>4.7685924034471805E-2</v>
      </c>
      <c r="AC190" s="800">
        <f t="shared" si="272"/>
        <v>-2.7999507403038471E-2</v>
      </c>
      <c r="AD190" s="800">
        <f t="shared" si="272"/>
        <v>8.7447261628827988E-3</v>
      </c>
      <c r="AE190" s="744"/>
      <c r="AF190" s="786"/>
      <c r="AG190" s="786"/>
      <c r="AH190" s="786"/>
      <c r="AI190" s="786"/>
      <c r="AJ190" s="786"/>
      <c r="AK190" s="788">
        <f t="shared" si="273"/>
        <v>-2.7851401635168971E-2</v>
      </c>
      <c r="AL190" s="786">
        <f t="shared" si="273"/>
        <v>0.13889406443882768</v>
      </c>
      <c r="AM190" s="786">
        <f t="shared" si="274"/>
        <v>2.5000000000000133E-2</v>
      </c>
    </row>
    <row r="191" spans="1:43" s="470" customFormat="1" x14ac:dyDescent="0.25">
      <c r="A191" s="766" t="str">
        <f>+A186</f>
        <v>Total Adj. Opex</v>
      </c>
      <c r="C191" s="767"/>
      <c r="D191" s="767"/>
      <c r="E191" s="767"/>
      <c r="F191" s="768">
        <f t="shared" ref="F191" si="276">+F181/E181-1</f>
        <v>2.7293910749615304</v>
      </c>
      <c r="G191" s="769"/>
      <c r="H191" s="769"/>
      <c r="I191" s="769"/>
      <c r="J191" s="770"/>
      <c r="K191" s="769"/>
      <c r="L191" s="769">
        <f t="shared" si="275"/>
        <v>4.0750685238015061E-2</v>
      </c>
      <c r="M191" s="769">
        <f t="shared" si="275"/>
        <v>-2.6739405014645778E-2</v>
      </c>
      <c r="N191" s="770">
        <f t="shared" si="275"/>
        <v>0.18784515131433621</v>
      </c>
      <c r="O191" s="769">
        <f t="shared" si="275"/>
        <v>2.7313512633952319E-2</v>
      </c>
      <c r="P191" s="769">
        <f t="shared" si="275"/>
        <v>-4.6069602208444471E-2</v>
      </c>
      <c r="Q191" s="769">
        <f t="shared" si="275"/>
        <v>-5.3773898192513769E-2</v>
      </c>
      <c r="R191" s="770">
        <f t="shared" si="275"/>
        <v>-5.2192223809882088E-2</v>
      </c>
      <c r="S191" s="769">
        <f t="shared" si="275"/>
        <v>6.48787325768998E-2</v>
      </c>
      <c r="T191" s="769">
        <f t="shared" si="272"/>
        <v>-1.616909244448872E-2</v>
      </c>
      <c r="U191" s="769">
        <f t="shared" si="275"/>
        <v>-4.4204892580343769E-2</v>
      </c>
      <c r="V191" s="773">
        <f t="shared" si="275"/>
        <v>-3.689910195456958E-2</v>
      </c>
      <c r="W191" s="999">
        <f t="shared" si="272"/>
        <v>0.1991607931327648</v>
      </c>
      <c r="X191" s="773">
        <f t="shared" si="272"/>
        <v>2.2092624356775392E-2</v>
      </c>
      <c r="Y191" s="1466">
        <f t="shared" si="272"/>
        <v>-2.660615853297843E-2</v>
      </c>
      <c r="Z191" s="774">
        <f t="shared" si="272"/>
        <v>-3.211350726240525E-2</v>
      </c>
      <c r="AA191" s="773">
        <f t="shared" si="272"/>
        <v>6.4438532921622382E-2</v>
      </c>
      <c r="AB191" s="773">
        <f t="shared" si="272"/>
        <v>2.2092624356775392E-2</v>
      </c>
      <c r="AC191" s="773">
        <f t="shared" si="272"/>
        <v>-2.6606158532978319E-2</v>
      </c>
      <c r="AD191" s="773">
        <f t="shared" si="272"/>
        <v>-3.211350726240525E-2</v>
      </c>
      <c r="AE191" s="767"/>
      <c r="AF191" s="769"/>
      <c r="AG191" s="769"/>
      <c r="AH191" s="769">
        <f t="shared" si="273"/>
        <v>-0.15402112005434698</v>
      </c>
      <c r="AI191" s="769">
        <f t="shared" si="273"/>
        <v>9.1242812280424967E-2</v>
      </c>
      <c r="AJ191" s="769">
        <f t="shared" si="273"/>
        <v>7.7871222076215441E-2</v>
      </c>
      <c r="AK191" s="772">
        <f t="shared" si="273"/>
        <v>-6.0078511691414871E-2</v>
      </c>
      <c r="AL191" s="769">
        <f t="shared" si="273"/>
        <v>0.12858237786975901</v>
      </c>
      <c r="AM191" s="769">
        <f t="shared" si="274"/>
        <v>2.4999999999999911E-2</v>
      </c>
      <c r="AO191" s="470">
        <v>35.299999999999997</v>
      </c>
      <c r="AP191" s="470">
        <v>23.4</v>
      </c>
      <c r="AQ191" s="470">
        <v>18.8</v>
      </c>
    </row>
    <row r="192" spans="1:43" x14ac:dyDescent="0.25">
      <c r="C192" s="744"/>
      <c r="D192" s="744"/>
      <c r="E192" s="744"/>
      <c r="F192" s="745"/>
      <c r="G192" s="744"/>
      <c r="H192" s="744"/>
      <c r="I192" s="744"/>
      <c r="J192" s="745"/>
      <c r="K192" s="744"/>
      <c r="L192" s="744"/>
      <c r="M192" s="744"/>
      <c r="N192" s="745"/>
      <c r="O192" s="744"/>
      <c r="P192" s="744"/>
      <c r="Q192" s="744"/>
      <c r="R192" s="745"/>
      <c r="S192" s="744"/>
      <c r="T192" s="744"/>
      <c r="U192" s="744"/>
      <c r="V192" s="736"/>
      <c r="W192" s="986"/>
      <c r="X192" s="736"/>
      <c r="Y192" s="754"/>
      <c r="Z192" s="752"/>
      <c r="AA192" s="736"/>
      <c r="AB192" s="736"/>
      <c r="AC192" s="736"/>
      <c r="AD192" s="736"/>
      <c r="AE192" s="744"/>
      <c r="AF192" s="744"/>
      <c r="AG192" s="744"/>
      <c r="AH192" s="744"/>
      <c r="AI192" s="744"/>
      <c r="AJ192" s="744"/>
      <c r="AK192" s="792"/>
      <c r="AL192" s="744"/>
      <c r="AM192" s="744"/>
    </row>
    <row r="193" spans="1:43" ht="12" collapsed="1" x14ac:dyDescent="0.3">
      <c r="A193" s="782" t="s">
        <v>268</v>
      </c>
      <c r="B193" s="470"/>
      <c r="C193" s="744"/>
      <c r="D193" s="744"/>
      <c r="E193" s="744"/>
      <c r="F193" s="745"/>
      <c r="G193" s="750"/>
      <c r="H193" s="750"/>
      <c r="I193" s="750"/>
      <c r="J193" s="751"/>
      <c r="K193" s="750"/>
      <c r="L193" s="750"/>
      <c r="M193" s="750"/>
      <c r="N193" s="751"/>
      <c r="O193" s="750"/>
      <c r="P193" s="744"/>
      <c r="Q193" s="744"/>
      <c r="R193" s="745"/>
      <c r="S193" s="744"/>
      <c r="T193" s="744"/>
      <c r="U193" s="744"/>
      <c r="V193" s="736"/>
      <c r="W193" s="986"/>
      <c r="X193" s="736"/>
      <c r="Y193" s="754"/>
      <c r="Z193" s="752"/>
      <c r="AA193" s="736"/>
      <c r="AB193" s="736"/>
      <c r="AC193" s="736"/>
      <c r="AD193" s="736"/>
      <c r="AE193" s="744"/>
      <c r="AF193" s="750"/>
      <c r="AG193" s="750"/>
      <c r="AH193" s="750"/>
      <c r="AI193" s="750"/>
      <c r="AJ193" s="744"/>
      <c r="AK193" s="792"/>
      <c r="AL193" s="744"/>
      <c r="AM193" s="744"/>
      <c r="AP193" s="460">
        <f>+AP186/AO186-1</f>
        <v>-0.33711048158640222</v>
      </c>
      <c r="AQ193" s="460">
        <f>+AQ186/AP186-1</f>
        <v>-0.19658119658119655</v>
      </c>
    </row>
    <row r="194" spans="1:43" ht="12" x14ac:dyDescent="0.3">
      <c r="A194" s="778" t="str">
        <f>+A189</f>
        <v>Corporate technology and production systems</v>
      </c>
      <c r="B194" s="470"/>
      <c r="C194" s="744"/>
      <c r="D194" s="744"/>
      <c r="E194" s="744"/>
      <c r="F194" s="745"/>
      <c r="G194" s="1031"/>
      <c r="H194" s="1031"/>
      <c r="I194" s="1031"/>
      <c r="J194" s="2220"/>
      <c r="K194" s="1031"/>
      <c r="L194" s="1031"/>
      <c r="M194" s="1031"/>
      <c r="N194" s="2220"/>
      <c r="O194" s="1031">
        <f t="shared" ref="O194:AD196" si="277">+O179-N179</f>
        <v>12.020999999999999</v>
      </c>
      <c r="P194" s="1031">
        <f t="shared" si="277"/>
        <v>1.9000000000000128E-2</v>
      </c>
      <c r="Q194" s="1031">
        <f t="shared" si="277"/>
        <v>0.9009999999999998</v>
      </c>
      <c r="R194" s="2220">
        <f t="shared" si="277"/>
        <v>-1.7200000000000006</v>
      </c>
      <c r="S194" s="2221">
        <f t="shared" si="277"/>
        <v>0.11900000000000155</v>
      </c>
      <c r="T194" s="2221">
        <f t="shared" si="277"/>
        <v>-0.51699999999999946</v>
      </c>
      <c r="U194" s="2221">
        <f t="shared" si="277"/>
        <v>-0.26999999999999957</v>
      </c>
      <c r="V194" s="2221">
        <f t="shared" si="277"/>
        <v>-1.6760000000000055</v>
      </c>
      <c r="W194" s="2222">
        <f t="shared" si="277"/>
        <v>3.5180000000000042</v>
      </c>
      <c r="X194" s="2221">
        <f t="shared" si="277"/>
        <v>-0.52799999999999869</v>
      </c>
      <c r="Y194" s="2223">
        <f t="shared" si="277"/>
        <v>-0.26999999999999957</v>
      </c>
      <c r="Z194" s="2224">
        <f t="shared" si="277"/>
        <v>-1.6760000000000055</v>
      </c>
      <c r="AA194" s="2221">
        <f t="shared" si="277"/>
        <v>2.7838750000000019</v>
      </c>
      <c r="AB194" s="2221">
        <f t="shared" si="277"/>
        <v>-0.54119999999999813</v>
      </c>
      <c r="AC194" s="2221">
        <f t="shared" si="277"/>
        <v>-0.27674999999999983</v>
      </c>
      <c r="AD194" s="2221">
        <f t="shared" si="277"/>
        <v>-1.7179000000000055</v>
      </c>
      <c r="AE194" s="2225"/>
      <c r="AF194" s="1031"/>
      <c r="AG194" s="1031"/>
      <c r="AH194" s="1031"/>
      <c r="AI194" s="1031"/>
      <c r="AJ194" s="1031"/>
      <c r="AK194" s="1471">
        <f t="shared" ref="AH194:AL196" si="278">+AK179-AJ179</f>
        <v>-6.6300000000000026</v>
      </c>
      <c r="AL194" s="2226">
        <f t="shared" si="278"/>
        <v>4.1870000000000047</v>
      </c>
      <c r="AM194" s="2226">
        <f t="shared" ref="AM194:AM196" si="279">+AM179-AL179</f>
        <v>1.1444999999999936</v>
      </c>
      <c r="AQ194" s="460">
        <f>+AQ186/AO186-1</f>
        <v>-0.46742209631728038</v>
      </c>
    </row>
    <row r="195" spans="1:43" ht="12" x14ac:dyDescent="0.3">
      <c r="A195" s="778" t="str">
        <f>+A190</f>
        <v>Selling, general and administrative</v>
      </c>
      <c r="B195" s="470"/>
      <c r="C195" s="744"/>
      <c r="D195" s="744"/>
      <c r="E195" s="744"/>
      <c r="F195" s="745"/>
      <c r="G195" s="1032"/>
      <c r="H195" s="1032"/>
      <c r="I195" s="1032"/>
      <c r="J195" s="2227"/>
      <c r="K195" s="1032"/>
      <c r="L195" s="1032"/>
      <c r="M195" s="1032"/>
      <c r="N195" s="2227"/>
      <c r="O195" s="1032">
        <f t="shared" ref="L195:V196" si="280">+O180-N180</f>
        <v>32.172999999999995</v>
      </c>
      <c r="P195" s="1032">
        <f t="shared" si="280"/>
        <v>-2.0549999999999926</v>
      </c>
      <c r="Q195" s="1032">
        <f t="shared" si="280"/>
        <v>-3.1679999999999993</v>
      </c>
      <c r="R195" s="2227">
        <f t="shared" si="280"/>
        <v>-0.36200000000000543</v>
      </c>
      <c r="S195" s="2228">
        <f t="shared" si="280"/>
        <v>2.3339999999999996</v>
      </c>
      <c r="T195" s="2228">
        <f t="shared" si="277"/>
        <v>-0.13400000000000034</v>
      </c>
      <c r="U195" s="2228">
        <f t="shared" si="280"/>
        <v>-1.4809999999999981</v>
      </c>
      <c r="V195" s="2228">
        <f t="shared" si="280"/>
        <v>0.27900000000000347</v>
      </c>
      <c r="W195" s="2229">
        <f t="shared" si="277"/>
        <v>3.7439999999999962</v>
      </c>
      <c r="X195" s="2228">
        <f t="shared" si="277"/>
        <v>1.4939999999999998</v>
      </c>
      <c r="Y195" s="2230">
        <f t="shared" si="277"/>
        <v>-0.9190558309973369</v>
      </c>
      <c r="Z195" s="2231">
        <f t="shared" si="277"/>
        <v>0.27899999999999636</v>
      </c>
      <c r="AA195" s="2228">
        <f t="shared" si="277"/>
        <v>-7.0694169002663898E-2</v>
      </c>
      <c r="AB195" s="2228">
        <f t="shared" si="277"/>
        <v>1.5313500000000033</v>
      </c>
      <c r="AC195" s="2228">
        <f t="shared" si="277"/>
        <v>-0.94203222677226961</v>
      </c>
      <c r="AD195" s="2228">
        <f t="shared" si="277"/>
        <v>0.28597499999999343</v>
      </c>
      <c r="AE195" s="2225"/>
      <c r="AF195" s="1032"/>
      <c r="AG195" s="1032"/>
      <c r="AH195" s="1032"/>
      <c r="AI195" s="1032"/>
      <c r="AJ195" s="1032"/>
      <c r="AK195" s="1472">
        <f t="shared" si="278"/>
        <v>-3.2259999999999849</v>
      </c>
      <c r="AL195" s="2232">
        <f t="shared" si="278"/>
        <v>15.639888338005321</v>
      </c>
      <c r="AM195" s="2232">
        <f t="shared" si="279"/>
        <v>3.2060722084501379</v>
      </c>
    </row>
    <row r="196" spans="1:43" s="470" customFormat="1" x14ac:dyDescent="0.25">
      <c r="A196" s="766" t="str">
        <f>+A191</f>
        <v>Total Adj. Opex</v>
      </c>
      <c r="C196" s="767"/>
      <c r="D196" s="767"/>
      <c r="E196" s="767"/>
      <c r="F196" s="768"/>
      <c r="G196" s="1033"/>
      <c r="H196" s="1033"/>
      <c r="I196" s="1033"/>
      <c r="J196" s="2233"/>
      <c r="K196" s="1033"/>
      <c r="L196" s="1033">
        <f t="shared" si="280"/>
        <v>1.4569999999999865</v>
      </c>
      <c r="M196" s="1033">
        <f t="shared" si="280"/>
        <v>-0.99499999999998323</v>
      </c>
      <c r="N196" s="2233">
        <f t="shared" si="280"/>
        <v>6.8029999999999973</v>
      </c>
      <c r="O196" s="1033">
        <f t="shared" si="280"/>
        <v>1.1749999999999972</v>
      </c>
      <c r="P196" s="1033">
        <f t="shared" si="280"/>
        <v>-2.0359999999999943</v>
      </c>
      <c r="Q196" s="1033">
        <f t="shared" si="280"/>
        <v>-2.2669999999999959</v>
      </c>
      <c r="R196" s="2233">
        <f t="shared" si="280"/>
        <v>-2.0820000000000078</v>
      </c>
      <c r="S196" s="1033">
        <f t="shared" si="280"/>
        <v>2.453000000000003</v>
      </c>
      <c r="T196" s="1033">
        <f t="shared" si="277"/>
        <v>-0.65100000000000335</v>
      </c>
      <c r="U196" s="1033">
        <f t="shared" si="280"/>
        <v>-1.7509999999999977</v>
      </c>
      <c r="V196" s="2234">
        <f t="shared" si="280"/>
        <v>-1.3970000000000056</v>
      </c>
      <c r="W196" s="2235">
        <f t="shared" si="277"/>
        <v>7.2620000000000005</v>
      </c>
      <c r="X196" s="2234">
        <f t="shared" si="277"/>
        <v>0.96600000000000819</v>
      </c>
      <c r="Y196" s="2236">
        <f t="shared" si="277"/>
        <v>-1.18905583099734</v>
      </c>
      <c r="Z196" s="2237">
        <f t="shared" si="277"/>
        <v>-1.3970000000000127</v>
      </c>
      <c r="AA196" s="2234">
        <f t="shared" si="277"/>
        <v>2.7131808309973451</v>
      </c>
      <c r="AB196" s="2234">
        <f t="shared" si="277"/>
        <v>0.99014999999999986</v>
      </c>
      <c r="AC196" s="2234">
        <f t="shared" si="277"/>
        <v>-1.2187822267722694</v>
      </c>
      <c r="AD196" s="2234">
        <f t="shared" si="277"/>
        <v>-1.4319250000000139</v>
      </c>
      <c r="AE196" s="2238"/>
      <c r="AF196" s="1033"/>
      <c r="AG196" s="1033"/>
      <c r="AH196" s="1033">
        <f t="shared" si="278"/>
        <v>-25.393000000000029</v>
      </c>
      <c r="AI196" s="1033">
        <f t="shared" si="278"/>
        <v>12.725999999999999</v>
      </c>
      <c r="AJ196" s="1033">
        <f t="shared" si="278"/>
        <v>11.851999999999975</v>
      </c>
      <c r="AK196" s="1473">
        <f t="shared" si="278"/>
        <v>-9.8559999999999945</v>
      </c>
      <c r="AL196" s="2239">
        <f t="shared" si="278"/>
        <v>19.826888338005347</v>
      </c>
      <c r="AM196" s="2239">
        <f t="shared" si="279"/>
        <v>4.3505722084501031</v>
      </c>
      <c r="AO196" s="470">
        <v>35.299999999999997</v>
      </c>
      <c r="AP196" s="470">
        <v>23.4</v>
      </c>
      <c r="AQ196" s="470">
        <v>18.8</v>
      </c>
    </row>
    <row r="197" spans="1:43" x14ac:dyDescent="0.25">
      <c r="C197" s="744"/>
      <c r="D197" s="744"/>
      <c r="E197" s="744"/>
      <c r="F197" s="745"/>
      <c r="G197" s="744"/>
      <c r="H197" s="744"/>
      <c r="I197" s="744"/>
      <c r="J197" s="745"/>
      <c r="K197" s="744"/>
      <c r="L197" s="744"/>
      <c r="M197" s="744"/>
      <c r="N197" s="745"/>
      <c r="O197" s="744"/>
      <c r="P197" s="744"/>
      <c r="Q197" s="744"/>
      <c r="R197" s="745"/>
      <c r="S197" s="744"/>
      <c r="T197" s="744"/>
      <c r="U197" s="744"/>
      <c r="V197" s="736"/>
      <c r="W197" s="986"/>
      <c r="X197" s="736"/>
      <c r="Y197" s="754"/>
      <c r="Z197" s="752"/>
      <c r="AA197" s="736"/>
      <c r="AB197" s="736"/>
      <c r="AC197" s="736"/>
      <c r="AD197" s="736"/>
      <c r="AE197" s="744"/>
      <c r="AF197" s="744"/>
      <c r="AG197" s="744"/>
      <c r="AH197" s="744"/>
      <c r="AI197" s="744"/>
      <c r="AJ197" s="744"/>
      <c r="AK197" s="792"/>
      <c r="AL197" s="744"/>
      <c r="AM197" s="744"/>
    </row>
    <row r="198" spans="1:43" ht="12" collapsed="1" x14ac:dyDescent="0.3">
      <c r="A198" s="782" t="s">
        <v>41</v>
      </c>
      <c r="B198" s="470"/>
      <c r="C198" s="744"/>
      <c r="D198" s="744"/>
      <c r="E198" s="744"/>
      <c r="F198" s="745"/>
      <c r="G198" s="750"/>
      <c r="H198" s="750"/>
      <c r="I198" s="750"/>
      <c r="J198" s="751"/>
      <c r="K198" s="750"/>
      <c r="L198" s="750"/>
      <c r="M198" s="750"/>
      <c r="N198" s="751"/>
      <c r="O198" s="750"/>
      <c r="P198" s="744"/>
      <c r="Q198" s="744"/>
      <c r="R198" s="745"/>
      <c r="S198" s="744"/>
      <c r="T198" s="744"/>
      <c r="U198" s="744"/>
      <c r="V198" s="736"/>
      <c r="W198" s="986"/>
      <c r="X198" s="736"/>
      <c r="Y198" s="754"/>
      <c r="Z198" s="752"/>
      <c r="AA198" s="736"/>
      <c r="AB198" s="736"/>
      <c r="AC198" s="736"/>
      <c r="AD198" s="736"/>
      <c r="AE198" s="744"/>
      <c r="AF198" s="750"/>
      <c r="AG198" s="750"/>
      <c r="AH198" s="750"/>
      <c r="AI198" s="750"/>
      <c r="AJ198" s="744"/>
      <c r="AK198" s="792"/>
      <c r="AL198" s="744"/>
      <c r="AM198" s="744"/>
      <c r="AP198" s="460">
        <f>+AP186/AO186-1</f>
        <v>-0.33711048158640222</v>
      </c>
      <c r="AQ198" s="460">
        <f>+AQ186/AP186-1</f>
        <v>-0.19658119658119655</v>
      </c>
    </row>
    <row r="199" spans="1:43" ht="12" x14ac:dyDescent="0.3">
      <c r="A199" s="778" t="str">
        <f>+A189</f>
        <v>Corporate technology and production systems</v>
      </c>
      <c r="B199" s="470"/>
      <c r="C199" s="744"/>
      <c r="D199" s="744"/>
      <c r="E199" s="744"/>
      <c r="F199" s="745"/>
      <c r="G199" s="689"/>
      <c r="H199" s="689"/>
      <c r="I199" s="689"/>
      <c r="J199" s="779"/>
      <c r="K199" s="689"/>
      <c r="L199" s="689"/>
      <c r="M199" s="689"/>
      <c r="N199" s="779"/>
      <c r="O199" s="689">
        <f t="shared" ref="I199:AD201" si="281">+O179/O$12</f>
        <v>6.2618506865584553E-2</v>
      </c>
      <c r="P199" s="689">
        <f t="shared" si="281"/>
        <v>5.8562874834015101E-2</v>
      </c>
      <c r="Q199" s="689">
        <f t="shared" si="281"/>
        <v>6.4932588723475779E-2</v>
      </c>
      <c r="R199" s="779">
        <f t="shared" si="281"/>
        <v>6.603695856873823E-2</v>
      </c>
      <c r="S199" s="799">
        <f t="shared" si="281"/>
        <v>6.3255129020382203E-2</v>
      </c>
      <c r="T199" s="799">
        <f t="shared" si="281"/>
        <v>5.684826456004706E-2</v>
      </c>
      <c r="U199" s="799">
        <f t="shared" si="281"/>
        <v>5.8444003854546261E-2</v>
      </c>
      <c r="V199" s="799">
        <f t="shared" si="281"/>
        <v>5.2397648392123519E-2</v>
      </c>
      <c r="W199" s="994">
        <f t="shared" si="281"/>
        <v>6.6640143226576493E-2</v>
      </c>
      <c r="X199" s="799">
        <f t="shared" si="281"/>
        <v>5.9178768052341825E-2</v>
      </c>
      <c r="Y199" s="1456">
        <f t="shared" si="281"/>
        <v>5.9319693094629165E-2</v>
      </c>
      <c r="Z199" s="913">
        <f t="shared" si="281"/>
        <v>5.5943107506067444E-2</v>
      </c>
      <c r="AA199" s="799">
        <f t="shared" si="281"/>
        <v>6.6130054163372684E-2</v>
      </c>
      <c r="AB199" s="799">
        <f t="shared" si="281"/>
        <v>5.7931654620225231E-2</v>
      </c>
      <c r="AC199" s="799">
        <f t="shared" si="281"/>
        <v>5.7112822875712788E-2</v>
      </c>
      <c r="AD199" s="799">
        <f t="shared" si="281"/>
        <v>5.2959374683732741E-2</v>
      </c>
      <c r="AE199" s="744"/>
      <c r="AF199" s="689"/>
      <c r="AG199" s="689"/>
      <c r="AH199" s="689"/>
      <c r="AI199" s="689"/>
      <c r="AJ199" s="689">
        <f t="shared" ref="AH199:AL201" si="282">+AJ179/AJ$12</f>
        <v>6.2890104358213933E-2</v>
      </c>
      <c r="AK199" s="781">
        <f t="shared" si="282"/>
        <v>5.7796954032571839E-2</v>
      </c>
      <c r="AL199" s="689">
        <f t="shared" si="282"/>
        <v>6.0286984891256161E-2</v>
      </c>
      <c r="AM199" s="689">
        <f t="shared" ref="AM199" si="283">+AM179/AM$12</f>
        <v>5.8492457154130865E-2</v>
      </c>
      <c r="AQ199" s="460">
        <f>+AQ186/AO186-1</f>
        <v>-0.46742209631728038</v>
      </c>
    </row>
    <row r="200" spans="1:43" ht="12" x14ac:dyDescent="0.3">
      <c r="A200" s="778" t="str">
        <f>+A190</f>
        <v>Selling, general and administrative</v>
      </c>
      <c r="B200" s="470"/>
      <c r="C200" s="744"/>
      <c r="D200" s="744"/>
      <c r="E200" s="744"/>
      <c r="F200" s="745"/>
      <c r="G200" s="786"/>
      <c r="H200" s="786"/>
      <c r="I200" s="786"/>
      <c r="J200" s="787"/>
      <c r="K200" s="786"/>
      <c r="L200" s="786"/>
      <c r="M200" s="786"/>
      <c r="N200" s="787"/>
      <c r="O200" s="786">
        <f t="shared" si="281"/>
        <v>0.16759214885504131</v>
      </c>
      <c r="P200" s="786">
        <f t="shared" si="281"/>
        <v>0.14649473955571984</v>
      </c>
      <c r="Q200" s="786">
        <f t="shared" si="281"/>
        <v>0.13522395997972897</v>
      </c>
      <c r="R200" s="787">
        <f t="shared" si="281"/>
        <v>0.15647363465160077</v>
      </c>
      <c r="S200" s="800">
        <f t="shared" si="281"/>
        <v>0.16132846927050212</v>
      </c>
      <c r="T200" s="800">
        <f t="shared" si="281"/>
        <v>0.15121018572989323</v>
      </c>
      <c r="U200" s="800">
        <f t="shared" si="281"/>
        <v>0.15123002115569928</v>
      </c>
      <c r="V200" s="800">
        <f t="shared" si="281"/>
        <v>0.16282995702885211</v>
      </c>
      <c r="W200" s="995">
        <f t="shared" si="281"/>
        <v>0.16844176581594525</v>
      </c>
      <c r="X200" s="800">
        <f t="shared" si="281"/>
        <v>0.1636878640389372</v>
      </c>
      <c r="Y200" s="1457">
        <f t="shared" si="281"/>
        <v>0.16319664536574252</v>
      </c>
      <c r="Z200" s="1097">
        <f t="shared" si="281"/>
        <v>0.18148068225136468</v>
      </c>
      <c r="AA200" s="800">
        <f t="shared" si="281"/>
        <v>0.16715244832097348</v>
      </c>
      <c r="AB200" s="800">
        <f t="shared" si="281"/>
        <v>0.16023836110678966</v>
      </c>
      <c r="AC200" s="800">
        <f t="shared" si="281"/>
        <v>0.15712524145759718</v>
      </c>
      <c r="AD200" s="800">
        <f t="shared" si="281"/>
        <v>0.17180138676005929</v>
      </c>
      <c r="AE200" s="744"/>
      <c r="AF200" s="786"/>
      <c r="AG200" s="786"/>
      <c r="AH200" s="786"/>
      <c r="AI200" s="786"/>
      <c r="AJ200" s="786">
        <f t="shared" si="282"/>
        <v>0.15105857988320015</v>
      </c>
      <c r="AK200" s="788">
        <f t="shared" si="282"/>
        <v>0.15647129120115613</v>
      </c>
      <c r="AL200" s="786">
        <f t="shared" si="282"/>
        <v>0.16888110685112226</v>
      </c>
      <c r="AM200" s="786">
        <f t="shared" ref="AM200" si="284">+AM180/AM$12</f>
        <v>0.1638541208264038</v>
      </c>
    </row>
    <row r="201" spans="1:43" s="470" customFormat="1" x14ac:dyDescent="0.25">
      <c r="A201" s="766" t="str">
        <f>+A191</f>
        <v>Total Adj. Opex</v>
      </c>
      <c r="C201" s="767"/>
      <c r="D201" s="767"/>
      <c r="E201" s="767"/>
      <c r="F201" s="768"/>
      <c r="G201" s="769"/>
      <c r="H201" s="769"/>
      <c r="I201" s="769">
        <f t="shared" si="281"/>
        <v>0.27196816380673794</v>
      </c>
      <c r="J201" s="770"/>
      <c r="K201" s="769">
        <f t="shared" si="281"/>
        <v>0.25654014493793498</v>
      </c>
      <c r="L201" s="769">
        <f t="shared" si="281"/>
        <v>0.23354965856597701</v>
      </c>
      <c r="M201" s="769">
        <f t="shared" si="281"/>
        <v>0.21359188945310428</v>
      </c>
      <c r="N201" s="770">
        <f t="shared" si="281"/>
        <v>0.24776391040667167</v>
      </c>
      <c r="O201" s="769">
        <f t="shared" si="281"/>
        <v>0.23021065572062588</v>
      </c>
      <c r="P201" s="769">
        <f t="shared" si="281"/>
        <v>0.20505761438973497</v>
      </c>
      <c r="Q201" s="769">
        <f t="shared" si="281"/>
        <v>0.20015654870320476</v>
      </c>
      <c r="R201" s="770">
        <f t="shared" si="281"/>
        <v>0.22251059322033903</v>
      </c>
      <c r="S201" s="769">
        <f t="shared" si="281"/>
        <v>0.22458359829088434</v>
      </c>
      <c r="T201" s="769">
        <f t="shared" si="281"/>
        <v>0.2080584502899403</v>
      </c>
      <c r="U201" s="769">
        <f t="shared" si="281"/>
        <v>0.20967402501024557</v>
      </c>
      <c r="V201" s="773">
        <f t="shared" si="281"/>
        <v>0.21522760542097563</v>
      </c>
      <c r="W201" s="999">
        <f t="shared" si="281"/>
        <v>0.23508190904252171</v>
      </c>
      <c r="X201" s="773">
        <f t="shared" si="281"/>
        <v>0.22286663209127905</v>
      </c>
      <c r="Y201" s="1466">
        <f t="shared" si="281"/>
        <v>0.22251633846037167</v>
      </c>
      <c r="Z201" s="774">
        <f t="shared" si="281"/>
        <v>0.23742378975743209</v>
      </c>
      <c r="AA201" s="773">
        <f t="shared" si="281"/>
        <v>0.23328250248434618</v>
      </c>
      <c r="AB201" s="773">
        <f t="shared" si="281"/>
        <v>0.21817001572701489</v>
      </c>
      <c r="AC201" s="773">
        <f t="shared" si="281"/>
        <v>0.21423806433330994</v>
      </c>
      <c r="AD201" s="773">
        <f t="shared" si="281"/>
        <v>0.22476076144379201</v>
      </c>
      <c r="AE201" s="767"/>
      <c r="AF201" s="769"/>
      <c r="AG201" s="769"/>
      <c r="AH201" s="769">
        <f t="shared" si="282"/>
        <v>0.30717559403858136</v>
      </c>
      <c r="AI201" s="769">
        <f t="shared" si="282"/>
        <v>0.23711449420767614</v>
      </c>
      <c r="AJ201" s="769">
        <f t="shared" si="282"/>
        <v>0.21394868424141406</v>
      </c>
      <c r="AK201" s="772">
        <f t="shared" si="282"/>
        <v>0.21426824523372795</v>
      </c>
      <c r="AL201" s="769">
        <f t="shared" si="282"/>
        <v>0.22916809174237843</v>
      </c>
      <c r="AM201" s="769">
        <f t="shared" ref="AM201" si="285">+AM181/AM$12</f>
        <v>0.22234657798053462</v>
      </c>
      <c r="AO201" s="470">
        <v>35.299999999999997</v>
      </c>
      <c r="AP201" s="470">
        <v>23.4</v>
      </c>
      <c r="AQ201" s="470">
        <v>18.8</v>
      </c>
    </row>
    <row r="202" spans="1:43" x14ac:dyDescent="0.25">
      <c r="C202" s="744"/>
      <c r="D202" s="744"/>
      <c r="E202" s="744"/>
      <c r="F202" s="745"/>
      <c r="G202" s="744"/>
      <c r="H202" s="744"/>
      <c r="I202" s="744"/>
      <c r="J202" s="745"/>
      <c r="K202" s="744"/>
      <c r="L202" s="744"/>
      <c r="M202" s="744"/>
      <c r="N202" s="745"/>
      <c r="O202" s="744"/>
      <c r="P202" s="744"/>
      <c r="Q202" s="744"/>
      <c r="R202" s="745"/>
      <c r="S202" s="744"/>
      <c r="T202" s="744"/>
      <c r="U202" s="744"/>
      <c r="V202" s="736"/>
      <c r="W202" s="986"/>
      <c r="X202" s="736"/>
      <c r="Y202" s="754"/>
      <c r="Z202" s="752"/>
      <c r="AA202" s="736"/>
      <c r="AB202" s="736"/>
      <c r="AC202" s="736"/>
      <c r="AD202" s="736"/>
      <c r="AE202" s="744"/>
      <c r="AF202" s="744"/>
      <c r="AG202" s="744"/>
      <c r="AH202" s="744"/>
      <c r="AI202" s="744"/>
      <c r="AJ202" s="744"/>
      <c r="AK202" s="792"/>
      <c r="AL202" s="744"/>
      <c r="AM202" s="744"/>
    </row>
    <row r="203" spans="1:43" x14ac:dyDescent="0.25">
      <c r="A203" s="740" t="s">
        <v>269</v>
      </c>
      <c r="C203" s="744"/>
      <c r="D203" s="744"/>
      <c r="E203" s="744"/>
      <c r="F203" s="745"/>
      <c r="G203" s="744"/>
      <c r="H203" s="744"/>
      <c r="I203" s="744"/>
      <c r="J203" s="745"/>
      <c r="K203" s="744"/>
      <c r="L203" s="744"/>
      <c r="M203" s="744"/>
      <c r="N203" s="745"/>
      <c r="O203" s="744"/>
      <c r="P203" s="744"/>
      <c r="Q203" s="744"/>
      <c r="R203" s="745"/>
      <c r="S203" s="744"/>
      <c r="T203" s="744"/>
      <c r="U203" s="744"/>
      <c r="V203" s="736"/>
      <c r="W203" s="986"/>
      <c r="X203" s="736"/>
      <c r="Y203" s="754"/>
      <c r="Z203" s="752"/>
      <c r="AA203" s="736"/>
      <c r="AB203" s="736"/>
      <c r="AC203" s="736"/>
      <c r="AD203" s="736"/>
      <c r="AE203" s="744"/>
      <c r="AF203" s="744"/>
      <c r="AG203" s="744"/>
      <c r="AH203" s="744"/>
      <c r="AI203" s="744"/>
      <c r="AJ203" s="744"/>
      <c r="AK203" s="792"/>
      <c r="AL203" s="744"/>
      <c r="AM203" s="744"/>
    </row>
    <row r="204" spans="1:43" x14ac:dyDescent="0.25">
      <c r="C204" s="744"/>
      <c r="D204" s="744"/>
      <c r="E204" s="744"/>
      <c r="F204" s="745"/>
      <c r="G204" s="744"/>
      <c r="H204" s="744"/>
      <c r="I204" s="744"/>
      <c r="J204" s="745"/>
      <c r="K204" s="744"/>
      <c r="L204" s="744"/>
      <c r="M204" s="744"/>
      <c r="N204" s="745"/>
      <c r="O204" s="744"/>
      <c r="P204" s="744"/>
      <c r="Q204" s="744"/>
      <c r="R204" s="745"/>
      <c r="S204" s="744"/>
      <c r="T204" s="744"/>
      <c r="U204" s="744"/>
      <c r="V204" s="736"/>
      <c r="W204" s="986"/>
      <c r="X204" s="736"/>
      <c r="Y204" s="754"/>
      <c r="Z204" s="752"/>
      <c r="AA204" s="736"/>
      <c r="AB204" s="736"/>
      <c r="AC204" s="736"/>
      <c r="AD204" s="736"/>
      <c r="AE204" s="744"/>
      <c r="AF204" s="744"/>
      <c r="AG204" s="744"/>
      <c r="AH204" s="744"/>
      <c r="AI204" s="744"/>
      <c r="AJ204" s="744"/>
      <c r="AK204" s="792"/>
      <c r="AL204" s="744"/>
      <c r="AM204" s="744"/>
    </row>
    <row r="205" spans="1:43" x14ac:dyDescent="0.25">
      <c r="A205" s="460" t="s">
        <v>270</v>
      </c>
      <c r="C205" s="744"/>
      <c r="D205" s="744"/>
      <c r="E205" s="744"/>
      <c r="F205" s="745"/>
      <c r="G205" s="744"/>
      <c r="H205" s="744"/>
      <c r="I205" s="744"/>
      <c r="J205" s="745"/>
      <c r="K205" s="744"/>
      <c r="L205" s="744"/>
      <c r="M205" s="744"/>
      <c r="N205" s="745"/>
      <c r="O205" s="744">
        <f t="shared" ref="O205:AD205" si="286">+O179</f>
        <v>12.020999999999999</v>
      </c>
      <c r="P205" s="744">
        <f t="shared" si="286"/>
        <v>12.04</v>
      </c>
      <c r="Q205" s="744">
        <f t="shared" si="286"/>
        <v>12.940999999999999</v>
      </c>
      <c r="R205" s="745">
        <f t="shared" si="286"/>
        <v>11.220999999999998</v>
      </c>
      <c r="S205" s="744">
        <f t="shared" si="286"/>
        <v>11.34</v>
      </c>
      <c r="T205" s="744">
        <f t="shared" si="286"/>
        <v>10.823</v>
      </c>
      <c r="U205" s="744">
        <f t="shared" si="286"/>
        <v>10.553000000000001</v>
      </c>
      <c r="V205" s="736">
        <f t="shared" si="286"/>
        <v>8.8769999999999953</v>
      </c>
      <c r="W205" s="986">
        <f t="shared" si="286"/>
        <v>12.395</v>
      </c>
      <c r="X205" s="736">
        <f t="shared" si="286"/>
        <v>11.867000000000001</v>
      </c>
      <c r="Y205" s="754">
        <f t="shared" si="286"/>
        <v>11.597000000000001</v>
      </c>
      <c r="Z205" s="752">
        <f t="shared" si="286"/>
        <v>9.9209999999999958</v>
      </c>
      <c r="AA205" s="736">
        <f t="shared" si="286"/>
        <v>12.704874999999998</v>
      </c>
      <c r="AB205" s="736">
        <f t="shared" si="286"/>
        <v>12.163675</v>
      </c>
      <c r="AC205" s="736">
        <f t="shared" si="286"/>
        <v>11.886925</v>
      </c>
      <c r="AD205" s="736">
        <f t="shared" si="286"/>
        <v>10.169024999999994</v>
      </c>
      <c r="AE205" s="744"/>
      <c r="AF205" s="744"/>
      <c r="AG205" s="744"/>
      <c r="AH205" s="744"/>
      <c r="AI205" s="744"/>
      <c r="AJ205" s="744">
        <f>+SUM(O205:R205)</f>
        <v>48.222999999999992</v>
      </c>
      <c r="AK205" s="792">
        <f>SUM(S205:V205)</f>
        <v>41.592999999999996</v>
      </c>
      <c r="AL205" s="744">
        <f>+SUM(W205:Z205)</f>
        <v>45.78</v>
      </c>
      <c r="AM205" s="744">
        <f>+SUM(AA205:AD205)</f>
        <v>46.924499999999995</v>
      </c>
    </row>
    <row r="206" spans="1:43" s="802" customFormat="1" ht="13" x14ac:dyDescent="0.4">
      <c r="A206" s="460" t="str">
        <f>+'FA - Detailed Disclosure'!A327</f>
        <v>Capitalized software development costs</v>
      </c>
      <c r="C206" s="803"/>
      <c r="D206" s="803"/>
      <c r="E206" s="803"/>
      <c r="F206" s="823"/>
      <c r="G206" s="2218"/>
      <c r="H206" s="2218"/>
      <c r="I206" s="2218"/>
      <c r="J206" s="2219"/>
      <c r="K206" s="2218"/>
      <c r="L206" s="2218"/>
      <c r="M206" s="2218"/>
      <c r="N206" s="2219"/>
      <c r="O206" s="803">
        <f>+'STER - Detailed Disclosure (mm)'!O188*-1</f>
        <v>3.742</v>
      </c>
      <c r="P206" s="803">
        <f>+'STER - Detailed Disclosure (mm)'!P188*-1</f>
        <v>3.8739999999999997</v>
      </c>
      <c r="Q206" s="803">
        <f>+'STER - Detailed Disclosure (mm)'!Q188*-1</f>
        <v>4.1029999999999998</v>
      </c>
      <c r="R206" s="823">
        <f>+'STER - Detailed Disclosure (mm)'!R188*-1</f>
        <v>3.9700000000000006</v>
      </c>
      <c r="S206" s="803">
        <f>+'STER - Detailed Disclosure (mm)'!S188*-1</f>
        <v>4.12</v>
      </c>
      <c r="T206" s="803">
        <f>+'STER - Detailed Disclosure (mm)'!T188*-1</f>
        <v>4.4690000000000003</v>
      </c>
      <c r="U206" s="803">
        <f>+'STER - Detailed Disclosure (mm)'!U188*-1</f>
        <v>4.7750000000000004</v>
      </c>
      <c r="V206" s="757">
        <f>+'STER - Detailed Disclosure (mm)'!V188*-1</f>
        <v>4.4379999999999988</v>
      </c>
      <c r="W206" s="987">
        <f>+'STER - Detailed Disclosure (mm)'!W188*-1</f>
        <v>4.9470000000000001</v>
      </c>
      <c r="X206" s="757">
        <f>+'STER - Detailed Disclosure (mm)'!X188*-1</f>
        <v>5.4080000000000004</v>
      </c>
      <c r="Y206" s="760">
        <f t="shared" ref="Y206:AD206" si="287">+SUM(U206:X206)/SUM(U75:X75)*Y75</f>
        <v>4.5167613636363635</v>
      </c>
      <c r="Z206" s="758">
        <f t="shared" si="287"/>
        <v>4.4781353493046989</v>
      </c>
      <c r="AA206" s="757">
        <f t="shared" si="287"/>
        <v>5.1788327821150828</v>
      </c>
      <c r="AB206" s="757">
        <f t="shared" si="287"/>
        <v>5.3690396003845997</v>
      </c>
      <c r="AC206" s="757">
        <f t="shared" si="287"/>
        <v>4.8857075491169928</v>
      </c>
      <c r="AD206" s="757">
        <f t="shared" si="287"/>
        <v>4.9307406187673122</v>
      </c>
      <c r="AE206" s="803"/>
      <c r="AF206" s="803"/>
      <c r="AG206" s="803"/>
      <c r="AH206" s="803"/>
      <c r="AI206" s="803"/>
      <c r="AJ206" s="803">
        <f t="shared" ref="AJ206:AJ207" si="288">+SUM(O206:R206)</f>
        <v>15.689</v>
      </c>
      <c r="AK206" s="804">
        <f>SUM(S206:V206)</f>
        <v>17.802</v>
      </c>
      <c r="AL206" s="803">
        <f>+SUM(W206:Z206)</f>
        <v>19.34989671294106</v>
      </c>
      <c r="AM206" s="803">
        <f t="shared" ref="AM206:AM207" si="289">+SUM(AA206:AD206)</f>
        <v>20.36432055038399</v>
      </c>
    </row>
    <row r="207" spans="1:43" s="470" customFormat="1" x14ac:dyDescent="0.25">
      <c r="A207" s="505" t="s">
        <v>271</v>
      </c>
      <c r="C207" s="767"/>
      <c r="D207" s="767"/>
      <c r="E207" s="767"/>
      <c r="F207" s="768"/>
      <c r="G207" s="767"/>
      <c r="H207" s="767"/>
      <c r="I207" s="767"/>
      <c r="J207" s="768"/>
      <c r="K207" s="767"/>
      <c r="L207" s="767"/>
      <c r="M207" s="767"/>
      <c r="N207" s="768"/>
      <c r="O207" s="767">
        <f t="shared" ref="O207:AD207" si="290">+SUM(O205:O206)</f>
        <v>15.762999999999998</v>
      </c>
      <c r="P207" s="767">
        <f t="shared" si="290"/>
        <v>15.913999999999998</v>
      </c>
      <c r="Q207" s="767">
        <f t="shared" si="290"/>
        <v>17.043999999999997</v>
      </c>
      <c r="R207" s="768">
        <f t="shared" si="290"/>
        <v>15.190999999999999</v>
      </c>
      <c r="S207" s="767">
        <f t="shared" si="290"/>
        <v>15.46</v>
      </c>
      <c r="T207" s="767">
        <f t="shared" si="290"/>
        <v>15.292000000000002</v>
      </c>
      <c r="U207" s="767">
        <f t="shared" si="290"/>
        <v>15.328000000000001</v>
      </c>
      <c r="V207" s="762">
        <f t="shared" si="290"/>
        <v>13.314999999999994</v>
      </c>
      <c r="W207" s="988">
        <f t="shared" si="290"/>
        <v>17.341999999999999</v>
      </c>
      <c r="X207" s="762">
        <f t="shared" si="290"/>
        <v>17.275000000000002</v>
      </c>
      <c r="Y207" s="764">
        <f t="shared" si="290"/>
        <v>16.113761363636364</v>
      </c>
      <c r="Z207" s="763">
        <f t="shared" si="290"/>
        <v>14.399135349304695</v>
      </c>
      <c r="AA207" s="762">
        <f t="shared" si="290"/>
        <v>17.883707782115081</v>
      </c>
      <c r="AB207" s="762">
        <f t="shared" si="290"/>
        <v>17.532714600384601</v>
      </c>
      <c r="AC207" s="762">
        <f t="shared" si="290"/>
        <v>16.772632549116992</v>
      </c>
      <c r="AD207" s="762">
        <f t="shared" si="290"/>
        <v>15.099765618767307</v>
      </c>
      <c r="AE207" s="767"/>
      <c r="AF207" s="767"/>
      <c r="AG207" s="767"/>
      <c r="AH207" s="767"/>
      <c r="AI207" s="767"/>
      <c r="AJ207" s="767">
        <f t="shared" si="288"/>
        <v>63.911999999999992</v>
      </c>
      <c r="AK207" s="812">
        <f>SUM(S207:V207)</f>
        <v>59.394999999999996</v>
      </c>
      <c r="AL207" s="767">
        <f>+SUM(W207:Z207)</f>
        <v>65.129896712941061</v>
      </c>
      <c r="AM207" s="767">
        <f t="shared" si="289"/>
        <v>67.288820550383974</v>
      </c>
    </row>
    <row r="208" spans="1:43" s="890" customFormat="1" x14ac:dyDescent="0.25">
      <c r="A208" s="766" t="s">
        <v>141</v>
      </c>
      <c r="C208" s="891"/>
      <c r="D208" s="891"/>
      <c r="E208" s="891"/>
      <c r="F208" s="892"/>
      <c r="G208" s="769"/>
      <c r="H208" s="769"/>
      <c r="I208" s="769"/>
      <c r="J208" s="770"/>
      <c r="K208" s="769"/>
      <c r="L208" s="769"/>
      <c r="M208" s="769"/>
      <c r="N208" s="770"/>
      <c r="O208" s="777"/>
      <c r="P208" s="777"/>
      <c r="Q208" s="769"/>
      <c r="R208" s="774"/>
      <c r="S208" s="773">
        <f t="shared" ref="S208:AD208" si="291">+S207/O207-1</f>
        <v>-1.922222927107764E-2</v>
      </c>
      <c r="T208" s="773">
        <f t="shared" si="291"/>
        <v>-3.908508231745611E-2</v>
      </c>
      <c r="U208" s="773">
        <f t="shared" si="291"/>
        <v>-0.10068059141046681</v>
      </c>
      <c r="V208" s="773">
        <f t="shared" si="291"/>
        <v>-0.12349417418208186</v>
      </c>
      <c r="W208" s="999">
        <f t="shared" si="291"/>
        <v>0.12173350582147457</v>
      </c>
      <c r="X208" s="773">
        <f t="shared" si="291"/>
        <v>0.12967564739733195</v>
      </c>
      <c r="Y208" s="1466">
        <f t="shared" si="291"/>
        <v>5.1263136980451707E-2</v>
      </c>
      <c r="Z208" s="774">
        <f t="shared" si="291"/>
        <v>8.1422106594419841E-2</v>
      </c>
      <c r="AA208" s="773">
        <f t="shared" si="291"/>
        <v>3.1236753668266726E-2</v>
      </c>
      <c r="AB208" s="773">
        <f t="shared" si="291"/>
        <v>1.4918356028052138E-2</v>
      </c>
      <c r="AC208" s="773">
        <f t="shared" si="291"/>
        <v>4.0888726760437866E-2</v>
      </c>
      <c r="AD208" s="773">
        <f t="shared" si="291"/>
        <v>4.8657801490590513E-2</v>
      </c>
      <c r="AE208" s="767"/>
      <c r="AF208" s="769"/>
      <c r="AG208" s="769"/>
      <c r="AH208" s="769"/>
      <c r="AI208" s="769"/>
      <c r="AJ208" s="769"/>
      <c r="AK208" s="772">
        <f t="shared" ref="AK208:AL208" si="292">+AK207/AJ207-1</f>
        <v>-7.0675303542370727E-2</v>
      </c>
      <c r="AL208" s="769">
        <f t="shared" si="292"/>
        <v>9.6555210252396106E-2</v>
      </c>
      <c r="AM208" s="769">
        <f t="shared" ref="AM208" si="293">+AM207/AL207-1</f>
        <v>3.3147969617675521E-2</v>
      </c>
    </row>
    <row r="209" spans="1:60" s="890" customFormat="1" x14ac:dyDescent="0.25">
      <c r="A209" s="766" t="s">
        <v>228</v>
      </c>
      <c r="C209" s="891"/>
      <c r="D209" s="891"/>
      <c r="E209" s="891"/>
      <c r="F209" s="892"/>
      <c r="G209" s="769"/>
      <c r="H209" s="769"/>
      <c r="I209" s="769"/>
      <c r="J209" s="770"/>
      <c r="K209" s="769"/>
      <c r="L209" s="769"/>
      <c r="M209" s="769"/>
      <c r="N209" s="770"/>
      <c r="O209" s="777"/>
      <c r="P209" s="777">
        <f t="shared" ref="P209:AD209" si="294">+P207/O207-1</f>
        <v>9.5793947852567118E-3</v>
      </c>
      <c r="Q209" s="769">
        <f t="shared" si="294"/>
        <v>7.1006660801809618E-2</v>
      </c>
      <c r="R209" s="774">
        <f t="shared" si="294"/>
        <v>-0.10871861065477573</v>
      </c>
      <c r="S209" s="773">
        <f t="shared" si="294"/>
        <v>1.770785333421121E-2</v>
      </c>
      <c r="T209" s="773">
        <f t="shared" si="294"/>
        <v>-1.0866752910737354E-2</v>
      </c>
      <c r="U209" s="773">
        <f t="shared" si="294"/>
        <v>2.3541721161390861E-3</v>
      </c>
      <c r="V209" s="773">
        <f t="shared" si="294"/>
        <v>-0.13132828810020925</v>
      </c>
      <c r="W209" s="999">
        <f t="shared" si="294"/>
        <v>0.30244085617724425</v>
      </c>
      <c r="X209" s="773">
        <f t="shared" si="294"/>
        <v>-3.8634528889399666E-3</v>
      </c>
      <c r="Y209" s="1466">
        <f t="shared" si="294"/>
        <v>-6.7220760426259796E-2</v>
      </c>
      <c r="Z209" s="774">
        <f t="shared" si="294"/>
        <v>-0.10640755908183142</v>
      </c>
      <c r="AA209" s="773">
        <f t="shared" si="294"/>
        <v>0.24199872758183694</v>
      </c>
      <c r="AB209" s="773">
        <f t="shared" si="294"/>
        <v>-1.9626421210119371E-2</v>
      </c>
      <c r="AC209" s="773">
        <f t="shared" si="294"/>
        <v>-4.335221718894211E-2</v>
      </c>
      <c r="AD209" s="773">
        <f t="shared" si="294"/>
        <v>-9.9737887028220507E-2</v>
      </c>
      <c r="AE209" s="767"/>
      <c r="AF209" s="769"/>
      <c r="AG209" s="769"/>
      <c r="AH209" s="769"/>
      <c r="AI209" s="769"/>
      <c r="AJ209" s="769"/>
      <c r="AK209" s="772">
        <f t="shared" ref="AK209:AL209" si="295">+AK207/AJ207-1</f>
        <v>-7.0675303542370727E-2</v>
      </c>
      <c r="AL209" s="769">
        <f t="shared" si="295"/>
        <v>9.6555210252396106E-2</v>
      </c>
      <c r="AM209" s="769">
        <f t="shared" ref="AM209" si="296">+AM207/AL207-1</f>
        <v>3.3147969617675521E-2</v>
      </c>
    </row>
    <row r="210" spans="1:60" s="470" customFormat="1" x14ac:dyDescent="0.25">
      <c r="A210" s="521" t="s">
        <v>268</v>
      </c>
      <c r="C210" s="767"/>
      <c r="D210" s="767"/>
      <c r="E210" s="767"/>
      <c r="F210" s="768"/>
      <c r="G210" s="767"/>
      <c r="H210" s="767"/>
      <c r="I210" s="767"/>
      <c r="J210" s="768"/>
      <c r="K210" s="767"/>
      <c r="L210" s="767"/>
      <c r="M210" s="767"/>
      <c r="N210" s="768"/>
      <c r="O210" s="767"/>
      <c r="P210" s="767">
        <f t="shared" ref="P210:AD210" si="297">+P207-O207</f>
        <v>0.1509999999999998</v>
      </c>
      <c r="Q210" s="767">
        <f t="shared" si="297"/>
        <v>1.129999999999999</v>
      </c>
      <c r="R210" s="768">
        <f t="shared" si="297"/>
        <v>-1.852999999999998</v>
      </c>
      <c r="S210" s="767">
        <f t="shared" si="297"/>
        <v>0.2690000000000019</v>
      </c>
      <c r="T210" s="767">
        <f t="shared" si="297"/>
        <v>-0.16799999999999926</v>
      </c>
      <c r="U210" s="767">
        <f t="shared" si="297"/>
        <v>3.5999999999999588E-2</v>
      </c>
      <c r="V210" s="762">
        <f t="shared" si="297"/>
        <v>-2.013000000000007</v>
      </c>
      <c r="W210" s="988">
        <f t="shared" si="297"/>
        <v>4.0270000000000046</v>
      </c>
      <c r="X210" s="762">
        <f t="shared" si="297"/>
        <v>-6.6999999999996618E-2</v>
      </c>
      <c r="Y210" s="764">
        <f t="shared" si="297"/>
        <v>-1.1612386363636382</v>
      </c>
      <c r="Z210" s="763">
        <f t="shared" si="297"/>
        <v>-1.7146260143316692</v>
      </c>
      <c r="AA210" s="762">
        <f t="shared" si="297"/>
        <v>3.4845724328103866</v>
      </c>
      <c r="AB210" s="762">
        <f t="shared" si="297"/>
        <v>-0.35099318173048033</v>
      </c>
      <c r="AC210" s="762">
        <f t="shared" si="297"/>
        <v>-0.76008205126760942</v>
      </c>
      <c r="AD210" s="762">
        <f t="shared" si="297"/>
        <v>-1.6728669303496844</v>
      </c>
      <c r="AE210" s="767"/>
      <c r="AF210" s="767"/>
      <c r="AG210" s="767"/>
      <c r="AH210" s="767"/>
      <c r="AI210" s="767"/>
      <c r="AJ210" s="767"/>
      <c r="AK210" s="812">
        <f>+AK207-AJ207</f>
        <v>-4.5169999999999959</v>
      </c>
      <c r="AL210" s="767">
        <f t="shared" ref="AL210" si="298">+AL207-AK207</f>
        <v>5.7348967129410653</v>
      </c>
      <c r="AM210" s="767">
        <f t="shared" ref="AM210" si="299">+AM207-AL207</f>
        <v>2.1589238374429129</v>
      </c>
    </row>
    <row r="211" spans="1:60" s="890" customFormat="1" x14ac:dyDescent="0.25">
      <c r="A211" s="766" t="s">
        <v>41</v>
      </c>
      <c r="C211" s="891"/>
      <c r="D211" s="891"/>
      <c r="E211" s="891"/>
      <c r="F211" s="892"/>
      <c r="G211" s="769"/>
      <c r="H211" s="769"/>
      <c r="I211" s="769"/>
      <c r="J211" s="770"/>
      <c r="K211" s="769"/>
      <c r="L211" s="769"/>
      <c r="M211" s="769"/>
      <c r="N211" s="770"/>
      <c r="O211" s="777">
        <f t="shared" ref="O211:AD211" si="300">+O207/O12</f>
        <v>8.2110932844373125E-2</v>
      </c>
      <c r="P211" s="777">
        <f t="shared" si="300"/>
        <v>7.7406112135258831E-2</v>
      </c>
      <c r="Q211" s="769">
        <f t="shared" si="300"/>
        <v>8.5519746712226341E-2</v>
      </c>
      <c r="R211" s="774">
        <f t="shared" si="300"/>
        <v>8.9400894538606418E-2</v>
      </c>
      <c r="S211" s="773">
        <f t="shared" si="300"/>
        <v>8.6236710287046645E-2</v>
      </c>
      <c r="T211" s="773">
        <f t="shared" si="300"/>
        <v>8.0321875787881331E-2</v>
      </c>
      <c r="U211" s="773">
        <f t="shared" si="300"/>
        <v>8.4888627980904491E-2</v>
      </c>
      <c r="V211" s="773">
        <f t="shared" si="300"/>
        <v>7.8593521273079281E-2</v>
      </c>
      <c r="W211" s="999">
        <f t="shared" si="300"/>
        <v>9.3237060414303297E-2</v>
      </c>
      <c r="X211" s="773">
        <f t="shared" si="300"/>
        <v>8.6147570414106769E-2</v>
      </c>
      <c r="Y211" s="1466">
        <f t="shared" si="300"/>
        <v>8.2423331783306214E-2</v>
      </c>
      <c r="Z211" s="774">
        <f t="shared" si="300"/>
        <v>8.1194675621466469E-2</v>
      </c>
      <c r="AA211" s="773">
        <f t="shared" si="300"/>
        <v>9.3086359706270244E-2</v>
      </c>
      <c r="AB211" s="773">
        <f t="shared" si="300"/>
        <v>8.3502655799703715E-2</v>
      </c>
      <c r="AC211" s="773">
        <f t="shared" si="300"/>
        <v>8.0587064521491794E-2</v>
      </c>
      <c r="AD211" s="773">
        <f t="shared" si="300"/>
        <v>7.8638231791233068E-2</v>
      </c>
      <c r="AE211" s="767"/>
      <c r="AF211" s="769"/>
      <c r="AG211" s="769"/>
      <c r="AH211" s="769"/>
      <c r="AI211" s="769"/>
      <c r="AJ211" s="769">
        <f>+AJ207/AJ12</f>
        <v>8.3350939380423622E-2</v>
      </c>
      <c r="AK211" s="772">
        <f>+AK207/AK12</f>
        <v>8.2534322716914008E-2</v>
      </c>
      <c r="AL211" s="769">
        <f>+AL207/AL12</f>
        <v>8.5768569224599217E-2</v>
      </c>
      <c r="AM211" s="769">
        <f t="shared" ref="AM211" si="301">+AM207/AM12</f>
        <v>8.3877046169811828E-2</v>
      </c>
    </row>
    <row r="212" spans="1:60" ht="12" collapsed="1" x14ac:dyDescent="0.3">
      <c r="A212" s="778"/>
      <c r="B212" s="470"/>
      <c r="C212" s="744"/>
      <c r="D212" s="744"/>
      <c r="E212" s="744"/>
      <c r="F212" s="745"/>
      <c r="G212" s="689"/>
      <c r="H212" s="689"/>
      <c r="I212" s="689"/>
      <c r="J212" s="779"/>
      <c r="K212" s="689"/>
      <c r="L212" s="689"/>
      <c r="M212" s="689"/>
      <c r="N212" s="779"/>
      <c r="O212" s="690"/>
      <c r="P212" s="690"/>
      <c r="Q212" s="689"/>
      <c r="R212" s="913"/>
      <c r="S212" s="924"/>
      <c r="T212" s="924"/>
      <c r="U212" s="924"/>
      <c r="V212" s="924"/>
      <c r="W212" s="1448"/>
      <c r="X212" s="924"/>
      <c r="Y212" s="1484"/>
      <c r="Z212" s="1510"/>
      <c r="AA212" s="924"/>
      <c r="AB212" s="924"/>
      <c r="AC212" s="924"/>
      <c r="AD212" s="924"/>
      <c r="AE212" s="744"/>
      <c r="AF212" s="689"/>
      <c r="AG212" s="689"/>
      <c r="AH212" s="689"/>
      <c r="AI212" s="689"/>
      <c r="AJ212" s="689"/>
      <c r="AK212" s="781"/>
      <c r="AL212" s="689"/>
      <c r="AM212" s="689"/>
    </row>
    <row r="213" spans="1:60" ht="12" x14ac:dyDescent="0.3">
      <c r="A213" s="740" t="s">
        <v>300</v>
      </c>
      <c r="B213" s="816"/>
      <c r="C213" s="925"/>
      <c r="D213" s="925"/>
      <c r="E213" s="925"/>
      <c r="F213" s="926"/>
      <c r="G213" s="925"/>
      <c r="H213" s="925"/>
      <c r="I213" s="925"/>
      <c r="J213" s="926"/>
      <c r="K213" s="925"/>
      <c r="L213" s="925"/>
      <c r="M213" s="925"/>
      <c r="N213" s="926"/>
      <c r="O213" s="925"/>
      <c r="P213" s="925"/>
      <c r="Q213" s="925"/>
      <c r="R213" s="926"/>
      <c r="S213" s="925"/>
      <c r="T213" s="744"/>
      <c r="U213" s="744"/>
      <c r="V213" s="744"/>
      <c r="W213" s="985"/>
      <c r="X213" s="744"/>
      <c r="Y213" s="792"/>
      <c r="Z213" s="745"/>
      <c r="AA213" s="744"/>
      <c r="AB213" s="744"/>
      <c r="AC213" s="744"/>
      <c r="AD213" s="744"/>
      <c r="AE213" s="744"/>
      <c r="AF213" s="744"/>
      <c r="AG213" s="744"/>
      <c r="AH213" s="744"/>
      <c r="AI213" s="744"/>
      <c r="AJ213" s="744"/>
      <c r="AK213" s="792"/>
      <c r="AL213" s="744"/>
      <c r="AM213" s="744"/>
    </row>
    <row r="214" spans="1:60" ht="13" x14ac:dyDescent="0.4">
      <c r="C214" s="925"/>
      <c r="D214" s="925"/>
      <c r="E214" s="925"/>
      <c r="F214" s="926"/>
      <c r="G214" s="925"/>
      <c r="H214" s="925"/>
      <c r="I214" s="925"/>
      <c r="J214" s="926"/>
      <c r="K214" s="925"/>
      <c r="L214" s="925"/>
      <c r="M214" s="925"/>
      <c r="N214" s="926"/>
      <c r="O214" s="925"/>
      <c r="P214" s="925"/>
      <c r="Q214" s="925"/>
      <c r="R214" s="926"/>
      <c r="S214" s="925"/>
      <c r="T214" s="928"/>
      <c r="U214" s="928"/>
      <c r="V214" s="928"/>
      <c r="W214" s="985"/>
      <c r="X214" s="744"/>
      <c r="Y214" s="792"/>
      <c r="Z214" s="1512" t="s">
        <v>301</v>
      </c>
      <c r="AA214" s="1513" t="s">
        <v>302</v>
      </c>
      <c r="AB214" s="744"/>
      <c r="AC214" s="744"/>
      <c r="AD214" s="744"/>
      <c r="AE214" s="744"/>
      <c r="AF214" s="744"/>
      <c r="AG214" s="744"/>
      <c r="AH214" s="744"/>
      <c r="AI214" s="744"/>
      <c r="AJ214" s="744"/>
      <c r="AK214" s="792"/>
      <c r="AL214" s="744"/>
      <c r="AM214" s="744"/>
    </row>
    <row r="215" spans="1:60" s="794" customFormat="1" x14ac:dyDescent="0.25">
      <c r="A215" s="794" t="s">
        <v>303</v>
      </c>
      <c r="C215" s="925">
        <f>+C216-89</f>
        <v>43466</v>
      </c>
      <c r="D215" s="925">
        <f t="shared" ref="D215:G215" si="302">+D216-90</f>
        <v>43556</v>
      </c>
      <c r="E215" s="925">
        <f t="shared" si="302"/>
        <v>43647</v>
      </c>
      <c r="F215" s="926">
        <f>+F216-92</f>
        <v>43738</v>
      </c>
      <c r="G215" s="925">
        <f t="shared" si="302"/>
        <v>43831</v>
      </c>
      <c r="H215" s="925">
        <f>+H216-90</f>
        <v>43922</v>
      </c>
      <c r="I215" s="925">
        <f>+I216-91</f>
        <v>44013</v>
      </c>
      <c r="J215" s="926">
        <f>+J216-91</f>
        <v>44105</v>
      </c>
      <c r="K215" s="925">
        <f>+K216-89</f>
        <v>44197</v>
      </c>
      <c r="L215" s="925">
        <f>+L216-90</f>
        <v>44287</v>
      </c>
      <c r="M215" s="925">
        <f t="shared" ref="M215:N215" si="303">+M216-91</f>
        <v>44378</v>
      </c>
      <c r="N215" s="926">
        <f t="shared" si="303"/>
        <v>44470</v>
      </c>
      <c r="O215" s="925">
        <f>+O216-89</f>
        <v>44562</v>
      </c>
      <c r="P215" s="925">
        <f>+P216-90</f>
        <v>44652</v>
      </c>
      <c r="Q215" s="925">
        <f>+P216+1</f>
        <v>44743</v>
      </c>
      <c r="R215" s="926">
        <f>+R216-91</f>
        <v>44835</v>
      </c>
      <c r="S215" s="925">
        <f>+R216+1</f>
        <v>44927</v>
      </c>
      <c r="T215" s="925">
        <f t="shared" ref="T215" si="304">+S216+1</f>
        <v>45017</v>
      </c>
      <c r="U215" s="925">
        <f>+T216+1</f>
        <v>45108</v>
      </c>
      <c r="V215" s="925">
        <f>+U216+1</f>
        <v>45200</v>
      </c>
      <c r="W215" s="1449">
        <f t="shared" ref="W215" si="305">+V216+1</f>
        <v>45292</v>
      </c>
      <c r="X215" s="925">
        <f>+W216+1</f>
        <v>45383</v>
      </c>
      <c r="Y215" s="927">
        <f>+X216+1</f>
        <v>45474</v>
      </c>
      <c r="Z215" s="2376">
        <f>+Y216+1</f>
        <v>45566</v>
      </c>
      <c r="AA215" s="2377">
        <f>+AA216-1</f>
        <v>45656</v>
      </c>
      <c r="AB215" s="925"/>
      <c r="AC215" s="925"/>
      <c r="AD215" s="925"/>
      <c r="AF215" s="925">
        <v>43101</v>
      </c>
      <c r="AG215" s="925">
        <f t="shared" ref="AG215:AL215" si="306">+AF216+1</f>
        <v>43466</v>
      </c>
      <c r="AH215" s="925">
        <f t="shared" si="306"/>
        <v>43831</v>
      </c>
      <c r="AI215" s="925">
        <f t="shared" si="306"/>
        <v>44197</v>
      </c>
      <c r="AJ215" s="925">
        <f t="shared" si="306"/>
        <v>44562</v>
      </c>
      <c r="AK215" s="927">
        <f t="shared" si="306"/>
        <v>44927</v>
      </c>
      <c r="AL215" s="925">
        <f t="shared" si="306"/>
        <v>45292</v>
      </c>
      <c r="AM215" s="925"/>
      <c r="AN215" s="925"/>
      <c r="AO215" s="925"/>
      <c r="AP215" s="925"/>
      <c r="BD215" s="929"/>
      <c r="BE215" s="929"/>
      <c r="BF215" s="929"/>
      <c r="BG215" s="929"/>
      <c r="BH215" s="929"/>
    </row>
    <row r="216" spans="1:60" s="794" customFormat="1" x14ac:dyDescent="0.25">
      <c r="A216" s="794" t="s">
        <v>304</v>
      </c>
      <c r="C216" s="925">
        <f t="shared" ref="C216:G216" si="307">+D215-1</f>
        <v>43555</v>
      </c>
      <c r="D216" s="925">
        <f t="shared" si="307"/>
        <v>43646</v>
      </c>
      <c r="E216" s="925">
        <f t="shared" si="307"/>
        <v>43737</v>
      </c>
      <c r="F216" s="926">
        <f t="shared" si="307"/>
        <v>43830</v>
      </c>
      <c r="G216" s="925">
        <f t="shared" si="307"/>
        <v>43921</v>
      </c>
      <c r="H216" s="925">
        <f>+I215-1</f>
        <v>44012</v>
      </c>
      <c r="I216" s="925">
        <f>+J215-1</f>
        <v>44104</v>
      </c>
      <c r="J216" s="926">
        <f>+K215-1</f>
        <v>44196</v>
      </c>
      <c r="K216" s="925">
        <f>+L215-1</f>
        <v>44286</v>
      </c>
      <c r="L216" s="925">
        <f t="shared" ref="L216:O216" si="308">+M215-1</f>
        <v>44377</v>
      </c>
      <c r="M216" s="925">
        <f t="shared" si="308"/>
        <v>44469</v>
      </c>
      <c r="N216" s="926">
        <f t="shared" si="308"/>
        <v>44561</v>
      </c>
      <c r="O216" s="925">
        <f t="shared" si="308"/>
        <v>44651</v>
      </c>
      <c r="P216" s="925">
        <v>44742</v>
      </c>
      <c r="Q216" s="925">
        <f>+Q215+92</f>
        <v>44835</v>
      </c>
      <c r="R216" s="926">
        <v>44926</v>
      </c>
      <c r="S216" s="925">
        <f>+S215+89</f>
        <v>45016</v>
      </c>
      <c r="T216" s="925">
        <f>+T215+90</f>
        <v>45107</v>
      </c>
      <c r="U216" s="925">
        <f>+U215+91</f>
        <v>45199</v>
      </c>
      <c r="V216" s="925">
        <f>+V215+91</f>
        <v>45291</v>
      </c>
      <c r="W216" s="1449">
        <f>+W215+90</f>
        <v>45382</v>
      </c>
      <c r="X216" s="925">
        <f>+X215+90</f>
        <v>45473</v>
      </c>
      <c r="Y216" s="927">
        <f>+Y215+91</f>
        <v>45565</v>
      </c>
      <c r="Z216" s="2376">
        <f>+AM1</f>
        <v>45657</v>
      </c>
      <c r="AA216" s="2377">
        <f>+Z216</f>
        <v>45657</v>
      </c>
      <c r="AB216" s="925"/>
      <c r="AC216" s="925"/>
      <c r="AD216" s="925"/>
      <c r="AF216" s="925">
        <f>+AF215+364</f>
        <v>43465</v>
      </c>
      <c r="AG216" s="925">
        <f>+AG215+364</f>
        <v>43830</v>
      </c>
      <c r="AH216" s="925">
        <f>+AH215+365</f>
        <v>44196</v>
      </c>
      <c r="AI216" s="925">
        <f>+AI215+364</f>
        <v>44561</v>
      </c>
      <c r="AJ216" s="925">
        <f>+AJ215+364</f>
        <v>44926</v>
      </c>
      <c r="AK216" s="927">
        <f>+AK215+364</f>
        <v>45291</v>
      </c>
      <c r="AL216" s="925">
        <f>+AL215+365</f>
        <v>45657</v>
      </c>
      <c r="AM216" s="925"/>
      <c r="AN216" s="925"/>
      <c r="AO216" s="925"/>
      <c r="AP216" s="925"/>
      <c r="BD216" s="929"/>
      <c r="BE216" s="929"/>
      <c r="BF216" s="929"/>
      <c r="BG216" s="929"/>
      <c r="BH216" s="929"/>
    </row>
    <row r="217" spans="1:60" s="794" customFormat="1" x14ac:dyDescent="0.25">
      <c r="C217" s="925"/>
      <c r="D217" s="925"/>
      <c r="E217" s="925"/>
      <c r="F217" s="926"/>
      <c r="G217" s="925"/>
      <c r="H217" s="925"/>
      <c r="I217" s="925"/>
      <c r="J217" s="926"/>
      <c r="K217" s="925"/>
      <c r="L217" s="925"/>
      <c r="M217" s="925"/>
      <c r="N217" s="926"/>
      <c r="O217" s="925"/>
      <c r="P217" s="925"/>
      <c r="Q217" s="925"/>
      <c r="R217" s="926"/>
      <c r="S217" s="925"/>
      <c r="T217" s="925"/>
      <c r="U217" s="925"/>
      <c r="W217" s="1437"/>
      <c r="Y217" s="1034"/>
      <c r="Z217" s="1410"/>
      <c r="AF217" s="925"/>
      <c r="AG217" s="925"/>
      <c r="AH217" s="925"/>
      <c r="AI217" s="925"/>
      <c r="AJ217" s="925"/>
      <c r="AK217" s="927"/>
      <c r="AL217" s="925"/>
      <c r="AM217" s="925"/>
      <c r="AN217" s="925"/>
      <c r="AO217" s="925"/>
      <c r="AP217" s="925"/>
      <c r="BD217" s="929"/>
      <c r="BE217" s="929"/>
      <c r="BF217" s="929"/>
      <c r="BG217" s="929"/>
      <c r="BH217" s="929"/>
    </row>
    <row r="218" spans="1:60" s="794" customFormat="1" x14ac:dyDescent="0.25">
      <c r="A218" s="794" t="str">
        <f>+AO218&amp;" / "&amp;AP218&amp;" - avg"</f>
        <v>USD / GBP - avg</v>
      </c>
      <c r="C218" s="2200">
        <f>_xll.ciqfunctions.udf.CIQAVG("$"&amp;$AO218&amp;$AP218,"iq_lastsaleprice",C$215,C$216)</f>
        <v>1.302018396</v>
      </c>
      <c r="D218" s="2200">
        <f>_xll.ciqfunctions.udf.CIQAVG("$"&amp;$AO218&amp;$AP218,"iq_lastsaleprice",D$215,D$216)</f>
        <v>1.2852491288791199</v>
      </c>
      <c r="E218" s="2200">
        <f>_xll.ciqfunctions.udf.CIQAVG("$"&amp;$AO218&amp;$AP218,"iq_lastsaleprice",E$215,E$216)</f>
        <v>1.2329250024395599</v>
      </c>
      <c r="F218" s="2203">
        <f>_xll.ciqfunctions.udf.CIQAVG("$"&amp;$AO218&amp;$AP218,"iq_lastsaleprice",F$215,F$216)</f>
        <v>1.28742879605376</v>
      </c>
      <c r="G218" s="2200">
        <f>_xll.ciqfunctions.udf.CIQAVG("$"&amp;$AO218&amp;$AP218,"iq_lastsaleprice",G$215,G$216)</f>
        <v>1.2806269308022</v>
      </c>
      <c r="H218" s="2200">
        <f>_xll.ciqfunctions.udf.CIQAVG("$"&amp;$AO218&amp;$AP218,"iq_lastsaleprice",H$215,H$216)</f>
        <v>1.24096580107692</v>
      </c>
      <c r="I218" s="2200">
        <f>_xll.ciqfunctions.udf.CIQAVG("$"&amp;$AO218&amp;$AP218,"iq_lastsaleprice",I$215,I$216)</f>
        <v>1.2917136464130401</v>
      </c>
      <c r="J218" s="2203">
        <f>_xll.ciqfunctions.udf.CIQAVG("$"&amp;$AO218&amp;$AP218,"iq_lastsaleprice",J$215,J$216)</f>
        <v>1.3210655941304299</v>
      </c>
      <c r="K218" s="2200">
        <f>_xll.ciqfunctions.udf.CIQAVG("$"&amp;$AO218&amp;$AP218,"iq_lastsaleprice",K$215,K$216)</f>
        <v>1.3785603657444401</v>
      </c>
      <c r="L218" s="2200">
        <f>_xll.ciqfunctions.udf.CIQAVG("$"&amp;$AO218&amp;$AP218,"iq_lastsaleprice",L$215,L$216)</f>
        <v>1.39759779207692</v>
      </c>
      <c r="M218" s="2200">
        <f>_xll.ciqfunctions.udf.CIQAVG("$"&amp;$AO218&amp;$AP218,"iq_lastsaleprice",M$215,M$216)</f>
        <v>1.37832068620652</v>
      </c>
      <c r="N218" s="2203">
        <f>_xll.ciqfunctions.udf.CIQAVG("$"&amp;$AO218&amp;$AP218,"iq_lastsaleprice",N$215,N$216)</f>
        <v>1.34805395653261</v>
      </c>
      <c r="O218" s="2200">
        <f>_xll.ciqfunctions.udf.CIQAVG("$"&amp;$AO218&amp;$AP218,"iq_lastsaleprice",O$215,O$216)</f>
        <v>1.34183250595556</v>
      </c>
      <c r="P218" s="2200">
        <f>_xll.ciqfunctions.udf.CIQAVG("$"&amp;$AO218&amp;$AP218,"iq_lastsaleprice",P$215,P$216)</f>
        <v>1.25663679830769</v>
      </c>
      <c r="Q218" s="2200">
        <f>_xll.ciqfunctions.udf.CIQAVG("$"&amp;$AO218&amp;$AP218,"iq_lastsaleprice",Q$215,Q$216)</f>
        <v>1.17693378246237</v>
      </c>
      <c r="R218" s="2203">
        <f>_xll.ciqfunctions.udf.CIQAVG("$"&amp;$AO218&amp;$AP218,"iq_lastsaleprice",R$215,R$216)</f>
        <v>1.17384775188043</v>
      </c>
      <c r="S218" s="2200">
        <f>_xll.ciqfunctions.udf.CIQAVG("$"&amp;$AO218&amp;$AP218,"iq_lastsaleprice",S$215,S$216)</f>
        <v>1.2143759216888901</v>
      </c>
      <c r="T218" s="2200">
        <f>_xll.ciqfunctions.udf.CIQAVG("$"&amp;$AO218&amp;$AP218,"iq_lastsaleprice",T$215,T$216)</f>
        <v>1.25173155714286</v>
      </c>
      <c r="U218" s="2200">
        <f>_xll.ciqfunctions.udf.CIQAVG("$"&amp;$AO218&amp;$AP218,"iq_lastsaleprice",U$215,U$216)</f>
        <v>1.2661756805</v>
      </c>
      <c r="V218" s="2200">
        <f>_xll.ciqfunctions.udf.CIQAVG("$"&amp;$AO218&amp;$AP218,"iq_lastsaleprice",V$215,V$216)</f>
        <v>1.2419355335326101</v>
      </c>
      <c r="W218" s="2199">
        <f>_xll.ciqfunctions.udf.CIQAVG("$"&amp;$AO218&amp;$AP218,"iq_lastsaleprice",W$215,W$216)</f>
        <v>1.2680492696263701</v>
      </c>
      <c r="X218" s="2200">
        <f>_xll.ciqfunctions.udf.CIQAVG("$"&amp;$AO218&amp;$AP218,"iq_lastsaleprice",X$215,X$216)</f>
        <v>1.26150104981319</v>
      </c>
      <c r="Y218" s="2201">
        <f>_xll.ciqfunctions.udf.CIQAVG("$"&amp;$AO218&amp;$AP218,"iq_lastsaleprice",Y$215,Y$216)</f>
        <v>1.3009034395108701</v>
      </c>
      <c r="Z218" s="2203">
        <f>_xll.ciqfunctions.udf.CIQAVG("$"&amp;$AO218&amp;$AP218,"iq_lastsaleprice",Z$215,Z$216)</f>
        <v>1.28116610279348</v>
      </c>
      <c r="AA218" s="2200">
        <f>_xll.ciqfunctions.udf.CIQAVG("$"&amp;$AO218&amp;$AP218,"iq_lastsaleprice",AA$215,AA$216)</f>
        <v>1.2516428445000001</v>
      </c>
      <c r="AB218" s="2200">
        <f t="shared" ref="AB218:AD221" si="309">+AA218</f>
        <v>1.2516428445000001</v>
      </c>
      <c r="AC218" s="2200">
        <f t="shared" si="309"/>
        <v>1.2516428445000001</v>
      </c>
      <c r="AD218" s="2200">
        <f t="shared" si="309"/>
        <v>1.2516428445000001</v>
      </c>
      <c r="AF218" s="2200">
        <f>_xll.ciqfunctions.udf.CIQAVG("$"&amp;$AO218&amp;$AP218,"iq_lastsaleprice",AF$215,AF$216)</f>
        <v>1.33495703351781</v>
      </c>
      <c r="AG218" s="2200">
        <f>_xll.ciqfunctions.udf.CIQAVG("$"&amp;$AO218&amp;$AP218,"iq_lastsaleprice",AG$215,AG$216)</f>
        <v>1.2768941907479501</v>
      </c>
      <c r="AH218" s="2200">
        <f>_xll.ciqfunctions.udf.CIQAVG("$"&amp;$AO218&amp;$AP218,"iq_lastsaleprice",AH$215,AH$216)</f>
        <v>1.2837175648388</v>
      </c>
      <c r="AI218" s="2200">
        <f>_xll.ciqfunctions.udf.CIQAVG("$"&amp;$AO218&amp;$AP218,"iq_lastsaleprice",AI$215,AI$216)</f>
        <v>1.3755569839123301</v>
      </c>
      <c r="AJ218" s="2200">
        <f>_xll.ciqfunctions.udf.CIQAVG("$"&amp;$AO218&amp;$AP218,"iq_lastsaleprice",AJ$215,AJ$216)</f>
        <v>1.23685867421096</v>
      </c>
      <c r="AK218" s="2201">
        <f>+AVERAGE(S218:V218)</f>
        <v>1.24355467321609</v>
      </c>
      <c r="AL218" s="2200">
        <f>+AVERAGE(W218:Z218)</f>
        <v>1.2779049654359775</v>
      </c>
      <c r="AM218" s="2200"/>
      <c r="AN218" s="2200"/>
      <c r="AO218" s="794" t="s">
        <v>305</v>
      </c>
      <c r="AP218" s="794" t="s">
        <v>306</v>
      </c>
      <c r="AR218" s="794" t="s">
        <v>305</v>
      </c>
      <c r="AS218" s="794" t="s">
        <v>306</v>
      </c>
      <c r="BD218" s="929"/>
      <c r="BE218" s="929"/>
      <c r="BF218" s="929"/>
      <c r="BG218" s="929"/>
      <c r="BH218" s="929"/>
    </row>
    <row r="219" spans="1:60" s="794" customFormat="1" x14ac:dyDescent="0.25">
      <c r="A219" s="794" t="str">
        <f>+AO219&amp;" / "&amp;AP219&amp;" - avg"</f>
        <v>USD / EUR - avg</v>
      </c>
      <c r="C219" s="2200">
        <f>_xll.ciqfunctions.udf.CIQAVG("$"&amp;$AO219&amp;$AP219,"iq_lastsaleprice",C$215,C$216)</f>
        <v>1.1355255660333301</v>
      </c>
      <c r="D219" s="2200">
        <f>_xll.ciqfunctions.udf.CIQAVG("$"&amp;$AO219&amp;$AP219,"iq_lastsaleprice",D$215,D$216)</f>
        <v>1.1238342307692299</v>
      </c>
      <c r="E219" s="2200">
        <f>_xll.ciqfunctions.udf.CIQAVG("$"&amp;$AO219&amp;$AP219,"iq_lastsaleprice",E$215,E$216)</f>
        <v>1.1120068407802199</v>
      </c>
      <c r="F219" s="2203">
        <f>_xll.ciqfunctions.udf.CIQAVG("$"&amp;$AO219&amp;$AP219,"iq_lastsaleprice",F$215,F$216)</f>
        <v>1.10712232226882</v>
      </c>
      <c r="G219" s="2200">
        <f>_xll.ciqfunctions.udf.CIQAVG("$"&amp;$AO219&amp;$AP219,"iq_lastsaleprice",G$215,G$216)</f>
        <v>1.10232615249451</v>
      </c>
      <c r="H219" s="2200">
        <f>_xll.ciqfunctions.udf.CIQAVG("$"&amp;$AO219&amp;$AP219,"iq_lastsaleprice",H$215,H$216)</f>
        <v>1.10124944112088</v>
      </c>
      <c r="I219" s="2200">
        <f>_xll.ciqfunctions.udf.CIQAVG("$"&amp;$AO219&amp;$AP219,"iq_lastsaleprice",I$215,I$216)</f>
        <v>1.1689309435217401</v>
      </c>
      <c r="J219" s="2203">
        <f>_xll.ciqfunctions.udf.CIQAVG("$"&amp;$AO219&amp;$AP219,"iq_lastsaleprice",J$215,J$216)</f>
        <v>1.1926274448043499</v>
      </c>
      <c r="K219" s="2200">
        <f>_xll.ciqfunctions.udf.CIQAVG("$"&amp;$AO219&amp;$AP219,"iq_lastsaleprice",K$215,K$216)</f>
        <v>1.2052583608</v>
      </c>
      <c r="L219" s="2200">
        <f>_xll.ciqfunctions.udf.CIQAVG("$"&amp;$AO219&amp;$AP219,"iq_lastsaleprice",L$215,L$216)</f>
        <v>1.20471565950549</v>
      </c>
      <c r="M219" s="2200">
        <f>_xll.ciqfunctions.udf.CIQAVG("$"&amp;$AO219&amp;$AP219,"iq_lastsaleprice",M$215,M$216)</f>
        <v>1.1789309566956501</v>
      </c>
      <c r="N219" s="2203">
        <f>_xll.ciqfunctions.udf.CIQAVG("$"&amp;$AO219&amp;$AP219,"iq_lastsaleprice",N$215,N$216)</f>
        <v>1.1436306963043501</v>
      </c>
      <c r="O219" s="2200">
        <f>_xll.ciqfunctions.udf.CIQAVG("$"&amp;$AO219&amp;$AP219,"iq_lastsaleprice",O$215,O$216)</f>
        <v>1.1223682286111101</v>
      </c>
      <c r="P219" s="2200">
        <f>_xll.ciqfunctions.udf.CIQAVG("$"&amp;$AO219&amp;$AP219,"iq_lastsaleprice",P$215,P$216)</f>
        <v>1.06508374738462</v>
      </c>
      <c r="Q219" s="2200">
        <f>_xll.ciqfunctions.udf.CIQAVG("$"&amp;$AO219&amp;$AP219,"iq_lastsaleprice",Q$215,Q$216)</f>
        <v>1.00768000213978</v>
      </c>
      <c r="R219" s="2203">
        <f>_xll.ciqfunctions.udf.CIQAVG("$"&amp;$AO219&amp;$AP219,"iq_lastsaleprice",R$215,R$216)</f>
        <v>1.02130710663043</v>
      </c>
      <c r="S219" s="2200">
        <f>_xll.ciqfunctions.udf.CIQAVG("$"&amp;$AO219&amp;$AP219,"iq_lastsaleprice",S$215,S$216)</f>
        <v>1.0724500164333299</v>
      </c>
      <c r="T219" s="2200">
        <f>_xll.ciqfunctions.udf.CIQAVG("$"&amp;$AO219&amp;$AP219,"iq_lastsaleprice",T$215,T$216)</f>
        <v>1.0884953663296699</v>
      </c>
      <c r="U219" s="2200">
        <f>_xll.ciqfunctions.udf.CIQAVG("$"&amp;$AO219&amp;$AP219,"iq_lastsaleprice",U$215,U$216)</f>
        <v>1.08845725061957</v>
      </c>
      <c r="V219" s="2200">
        <f>_xll.ciqfunctions.udf.CIQAVG("$"&amp;$AO219&amp;$AP219,"iq_lastsaleprice",V$215,V$216)</f>
        <v>1.07638144008696</v>
      </c>
      <c r="W219" s="2199">
        <f>_xll.ciqfunctions.udf.CIQAVG("$"&amp;$AO219&amp;$AP219,"iq_lastsaleprice",W$215,W$216)</f>
        <v>1.08558401685714</v>
      </c>
      <c r="X219" s="2200">
        <f>_xll.ciqfunctions.udf.CIQAVG("$"&amp;$AO219&amp;$AP219,"iq_lastsaleprice",X$215,X$216)</f>
        <v>1.0763356291208801</v>
      </c>
      <c r="Y219" s="2201">
        <f>_xll.ciqfunctions.udf.CIQAVG("$"&amp;$AO219&amp;$AP219,"iq_lastsaleprice",Y$215,Y$216)</f>
        <v>1.0990813853260899</v>
      </c>
      <c r="Z219" s="2203">
        <f>_xll.ciqfunctions.udf.CIQAVG("$"&amp;$AO219&amp;$AP219,"iq_lastsaleprice",Z$215,Z$216)</f>
        <v>1.0664126728043499</v>
      </c>
      <c r="AA219" s="2200">
        <f>_xll.ciqfunctions.udf.CIQAVG("$"&amp;$AO219&amp;$AP219,"iq_lastsaleprice",AA$215,AA$216)</f>
        <v>1.036431761</v>
      </c>
      <c r="AB219" s="2200">
        <f t="shared" si="309"/>
        <v>1.036431761</v>
      </c>
      <c r="AC219" s="2200">
        <f t="shared" si="309"/>
        <v>1.036431761</v>
      </c>
      <c r="AD219" s="2200">
        <f t="shared" si="309"/>
        <v>1.036431761</v>
      </c>
      <c r="AF219" s="2200">
        <f>_xll.ciqfunctions.udf.CIQAVG("$"&amp;$AO219&amp;$AP219,"iq_lastsaleprice",AF$215,AF$216)</f>
        <v>1.1808052032054801</v>
      </c>
      <c r="AG219" s="2200">
        <f>_xll.ciqfunctions.udf.CIQAVG("$"&amp;$AO219&amp;$AP219,"iq_lastsaleprice",AG$215,AG$216)</f>
        <v>1.11951017650685</v>
      </c>
      <c r="AH219" s="2200">
        <f>_xll.ciqfunctions.udf.CIQAVG("$"&amp;$AO219&amp;$AP219,"iq_lastsaleprice",AH$215,AH$216)</f>
        <v>1.1414993189754099</v>
      </c>
      <c r="AI219" s="2200">
        <f>_xll.ciqfunctions.udf.CIQAVG("$"&amp;$AO219&amp;$AP219,"iq_lastsaleprice",AI$215,AI$216)</f>
        <v>1.18295356044658</v>
      </c>
      <c r="AJ219" s="2200">
        <f>_xll.ciqfunctions.udf.CIQAVG("$"&amp;$AO219&amp;$AP219,"iq_lastsaleprice",AJ$215,AJ$216)</f>
        <v>1.0537799210082199</v>
      </c>
      <c r="AK219" s="2201">
        <f>+AVERAGE(S219:V219)</f>
        <v>1.0814460183673824</v>
      </c>
      <c r="AL219" s="2200">
        <f>+AVERAGE(W219:Z219)</f>
        <v>1.0818534260271149</v>
      </c>
      <c r="AM219" s="2200"/>
      <c r="AN219" s="2200"/>
      <c r="AO219" s="794" t="s">
        <v>305</v>
      </c>
      <c r="AP219" s="794" t="s">
        <v>307</v>
      </c>
      <c r="AR219" s="794" t="s">
        <v>305</v>
      </c>
      <c r="AS219" s="794" t="s">
        <v>307</v>
      </c>
      <c r="BD219" s="929"/>
      <c r="BE219" s="929"/>
      <c r="BF219" s="929"/>
      <c r="BG219" s="929"/>
      <c r="BH219" s="929"/>
    </row>
    <row r="220" spans="1:60" s="794" customFormat="1" x14ac:dyDescent="0.25">
      <c r="A220" s="794" t="str">
        <f>+AO220&amp;" / "&amp;AP220&amp;" - avg"</f>
        <v>USD / INR - avg</v>
      </c>
      <c r="C220" s="2202">
        <f>_xll.ciqfunctions.udf.CIQAVG("$"&amp;$AO220&amp;$AP220,"iq_lastsaleprice",S$429,S$430)</f>
        <v>1.169067E-2</v>
      </c>
      <c r="D220" s="2200">
        <f>_xll.ciqfunctions.udf.CIQAVG("$"&amp;$AO220&amp;$AP220,"iq_lastsaleprice",D$215,D$216)</f>
        <v>1.4381753186813199E-2</v>
      </c>
      <c r="E220" s="2200">
        <f>_xll.ciqfunctions.udf.CIQAVG("$"&amp;$AO220&amp;$AP220,"iq_lastsaleprice",E$215,E$216)</f>
        <v>1.4216442725274701E-2</v>
      </c>
      <c r="F220" s="2203">
        <f>_xll.ciqfunctions.udf.CIQAVG("$"&amp;$AO220&amp;$AP220,"iq_lastsaleprice",F$215,F$216)</f>
        <v>1.4043346064516101E-2</v>
      </c>
      <c r="G220" s="2200">
        <f>_xll.ciqfunctions.udf.CIQAVG("$"&amp;$AO220&amp;$AP220,"iq_lastsaleprice",G$215,G$216)</f>
        <v>1.3799768956044E-2</v>
      </c>
      <c r="H220" s="2200">
        <f>_xll.ciqfunctions.udf.CIQAVG("$"&amp;$AO220&amp;$AP220,"iq_lastsaleprice",H$215,H$216)</f>
        <v>1.31774191098901E-2</v>
      </c>
      <c r="I220" s="2200">
        <f>_xll.ciqfunctions.udf.CIQAVG("$"&amp;$AO220&amp;$AP220,"iq_lastsaleprice",I$215,I$216)</f>
        <v>1.34525485326087E-2</v>
      </c>
      <c r="J220" s="2203">
        <f>_xll.ciqfunctions.udf.CIQAVG("$"&amp;$AO220&amp;$AP220,"iq_lastsaleprice",J$215,J$216)</f>
        <v>1.3551219967391301E-2</v>
      </c>
      <c r="K220" s="2200">
        <f>_xll.ciqfunctions.udf.CIQAVG("$"&amp;$AO220&amp;$AP220,"iq_lastsaleprice",K$215,K$216)</f>
        <v>1.37125501222222E-2</v>
      </c>
      <c r="L220" s="2200">
        <f>_xll.ciqfunctions.udf.CIQAVG("$"&amp;$AO220&amp;$AP220,"iq_lastsaleprice",L$215,L$216)</f>
        <v>1.3560953461538501E-2</v>
      </c>
      <c r="M220" s="2200">
        <f>_xll.ciqfunctions.udf.CIQAVG("$"&amp;$AO220&amp;$AP220,"iq_lastsaleprice",M$215,M$216)</f>
        <v>1.3498682097826099E-2</v>
      </c>
      <c r="N220" s="2203">
        <f>_xll.ciqfunctions.udf.CIQAVG("$"&amp;$AO220&amp;$AP220,"iq_lastsaleprice",N$215,N$216)</f>
        <v>1.3343855467391299E-2</v>
      </c>
      <c r="O220" s="2200">
        <f>_xll.ciqfunctions.udf.CIQAVG("$"&amp;$AO220&amp;$AP220,"iq_lastsaleprice",O$215,O$216)</f>
        <v>1.3295083433333301E-2</v>
      </c>
      <c r="P220" s="2200">
        <f>_xll.ciqfunctions.udf.CIQAVG("$"&amp;$AO220&amp;$AP220,"iq_lastsaleprice",P$215,P$216)</f>
        <v>1.29543325714286E-2</v>
      </c>
      <c r="Q220" s="2200">
        <f>_xll.ciqfunctions.udf.CIQAVG("$"&amp;$AO220&amp;$AP220,"iq_lastsaleprice",Q$215,Q$216)</f>
        <v>1.25366823655914E-2</v>
      </c>
      <c r="R220" s="2203">
        <f>_xll.ciqfunctions.udf.CIQAVG("$"&amp;$AO220&amp;$AP220,"iq_lastsaleprice",R$215,R$216)</f>
        <v>1.2176511641304301E-2</v>
      </c>
      <c r="S220" s="2200">
        <f>_xll.ciqfunctions.udf.CIQAVG("$"&amp;$AO220&amp;$AP220,"iq_lastsaleprice",S$215,S$216)</f>
        <v>1.2167115511111101E-2</v>
      </c>
      <c r="T220" s="2200">
        <f>_xll.ciqfunctions.udf.CIQAVG("$"&amp;$AO220&amp;$AP220,"iq_lastsaleprice",T$215,T$216)</f>
        <v>1.21720036813187E-2</v>
      </c>
      <c r="U220" s="2200">
        <f>_xll.ciqfunctions.udf.CIQAVG("$"&amp;$AO220&amp;$AP220,"iq_lastsaleprice",U$215,U$216)</f>
        <v>1.2095972054347801E-2</v>
      </c>
      <c r="V220" s="2200">
        <f>_xll.ciqfunctions.udf.CIQAVG("$"&amp;$AO220&amp;$AP220,"iq_lastsaleprice",V$215,V$216)</f>
        <v>1.20136313586957E-2</v>
      </c>
      <c r="W220" s="2199">
        <f>_xll.ciqfunctions.udf.CIQAVG("$"&amp;$AO220&amp;$AP220,"iq_lastsaleprice",W$215,W$216)</f>
        <v>1.20425400549451E-2</v>
      </c>
      <c r="X220" s="2200">
        <f>_xll.ciqfunctions.udf.CIQAVG("$"&amp;$AO220&amp;$AP220,"iq_lastsaleprice",X$215,X$216)</f>
        <v>1.19876554505495E-2</v>
      </c>
      <c r="Y220" s="2201">
        <f>_xll.ciqfunctions.udf.CIQAVG("$"&amp;$AO220&amp;$AP220,"iq_lastsaleprice",Y$215,Y$216)</f>
        <v>1.1938865847826099E-2</v>
      </c>
      <c r="Z220" s="2203">
        <f>_xll.ciqfunctions.udf.CIQAVG("$"&amp;$AO220&amp;$AP220,"iq_lastsaleprice",Z$215,Z$216)</f>
        <v>1.1839590663043501E-2</v>
      </c>
      <c r="AA220" s="2200">
        <f>_xll.ciqfunctions.udf.CIQAVG("$"&amp;$AO220&amp;$AP220,"iq_lastsaleprice",AA$215,AA$216)</f>
        <v>1.1690925499999999E-2</v>
      </c>
      <c r="AB220" s="2200">
        <f t="shared" si="309"/>
        <v>1.1690925499999999E-2</v>
      </c>
      <c r="AC220" s="2200">
        <f t="shared" si="309"/>
        <v>1.1690925499999999E-2</v>
      </c>
      <c r="AD220" s="2200">
        <f t="shared" si="309"/>
        <v>1.1690925499999999E-2</v>
      </c>
      <c r="AF220" s="2200">
        <f>_xll.ciqfunctions.udf.CIQAVG("$"&amp;$AO220&amp;$AP220,"iq_lastsaleprice",AF$215,AF$216)</f>
        <v>1.4649858468493201E-2</v>
      </c>
      <c r="AG220" s="2200">
        <f>_xll.ciqfunctions.udf.CIQAVG("$"&amp;$AO220&amp;$AP220,"iq_lastsaleprice",AG$215,AG$216)</f>
        <v>1.42082340246575E-2</v>
      </c>
      <c r="AH220" s="2200">
        <f>_xll.ciqfunctions.udf.CIQAVG("$"&amp;$AO220&amp;$AP220,"iq_lastsaleprice",AH$215,AH$216)</f>
        <v>1.34952754535519E-2</v>
      </c>
      <c r="AI220" s="2200">
        <f>_xll.ciqfunctions.udf.CIQAVG("$"&amp;$AO220&amp;$AP220,"iq_lastsaleprice",AI$215,AI$216)</f>
        <v>1.3527917073972599E-2</v>
      </c>
      <c r="AJ220" s="2200">
        <f>_xll.ciqfunctions.udf.CIQAVG("$"&amp;$AO220&amp;$AP220,"iq_lastsaleprice",AJ$215,AJ$216)</f>
        <v>1.27377080191781E-2</v>
      </c>
      <c r="AK220" s="2201">
        <f>+AVERAGE(S220:V220)</f>
        <v>1.2112180651368326E-2</v>
      </c>
      <c r="AL220" s="2200">
        <f>+AVERAGE(W220:Z220)</f>
        <v>1.195216300409105E-2</v>
      </c>
      <c r="AM220" s="2200"/>
      <c r="AN220" s="2200"/>
      <c r="AO220" s="794" t="s">
        <v>305</v>
      </c>
      <c r="AP220" s="794" t="s">
        <v>308</v>
      </c>
      <c r="AR220" s="794" t="s">
        <v>305</v>
      </c>
      <c r="AS220" s="794" t="s">
        <v>308</v>
      </c>
      <c r="BD220" s="929"/>
      <c r="BE220" s="929"/>
      <c r="BF220" s="929"/>
      <c r="BG220" s="929"/>
      <c r="BH220" s="929"/>
    </row>
    <row r="221" spans="1:60" s="794" customFormat="1" x14ac:dyDescent="0.25">
      <c r="A221" s="794" t="str">
        <f>+AO221&amp;" / "&amp;AP221&amp;" - avg"</f>
        <v>USD / HKD - avg</v>
      </c>
      <c r="C221" s="2202">
        <f>_xll.ciqfunctions.udf.CIQAVG("$"&amp;$AO221&amp;$AP221,"iq_lastsaleprice",S$429,S$430)</f>
        <v>0.127764341</v>
      </c>
      <c r="D221" s="2200">
        <f>_xll.ciqfunctions.udf.CIQAVG("$"&amp;$AO221&amp;$AP221,"iq_lastsaleprice",D$215,D$216)</f>
        <v>0.127554690758242</v>
      </c>
      <c r="E221" s="2200">
        <f>_xll.ciqfunctions.udf.CIQAVG("$"&amp;$AO221&amp;$AP221,"iq_lastsaleprice",E$215,E$216)</f>
        <v>0.12772358259340699</v>
      </c>
      <c r="F221" s="2203">
        <f>_xll.ciqfunctions.udf.CIQAVG("$"&amp;$AO221&amp;$AP221,"iq_lastsaleprice",F$215,F$216)</f>
        <v>0.12779542451612899</v>
      </c>
      <c r="G221" s="2200">
        <f>_xll.ciqfunctions.udf.CIQAVG("$"&amp;$AO221&amp;$AP221,"iq_lastsaleprice",G$215,G$216)</f>
        <v>0.12868793760439601</v>
      </c>
      <c r="H221" s="2200">
        <f>_xll.ciqfunctions.udf.CIQAVG("$"&amp;$AO221&amp;$AP221,"iq_lastsaleprice",H$215,H$216)</f>
        <v>0.12900970458241801</v>
      </c>
      <c r="I221" s="2200">
        <f>_xll.ciqfunctions.udf.CIQAVG("$"&amp;$AO221&amp;$AP221,"iq_lastsaleprice",I$215,I$216)</f>
        <v>0.12902246643478299</v>
      </c>
      <c r="J221" s="2203">
        <f>_xll.ciqfunctions.udf.CIQAVG("$"&amp;$AO221&amp;$AP221,"iq_lastsaleprice",J$215,J$216)</f>
        <v>0.129003192576087</v>
      </c>
      <c r="K221" s="2200">
        <f>_xll.ciqfunctions.udf.CIQAVG("$"&amp;$AO221&amp;$AP221,"iq_lastsaleprice",K$215,K$216)</f>
        <v>0.128907207755556</v>
      </c>
      <c r="L221" s="2200">
        <f>_xll.ciqfunctions.udf.CIQAVG("$"&amp;$AO221&amp;$AP221,"iq_lastsaleprice",L$215,L$216)</f>
        <v>0.12877488440659299</v>
      </c>
      <c r="M221" s="2200">
        <f>_xll.ciqfunctions.udf.CIQAVG("$"&amp;$AO221&amp;$AP221,"iq_lastsaleprice",M$215,M$216)</f>
        <v>0.12857047708695701</v>
      </c>
      <c r="N221" s="2203">
        <f>_xll.ciqfunctions.udf.CIQAVG("$"&amp;$AO221&amp;$AP221,"iq_lastsaleprice",N$215,N$216)</f>
        <v>0.128373815065217</v>
      </c>
      <c r="O221" s="2200">
        <f>_xll.ciqfunctions.udf.CIQAVG("$"&amp;$AO221&amp;$AP221,"iq_lastsaleprice",O$215,O$216)</f>
        <v>0.12812535914444401</v>
      </c>
      <c r="P221" s="2200">
        <f>_xll.ciqfunctions.udf.CIQAVG("$"&amp;$AO221&amp;$AP221,"iq_lastsaleprice",P$215,P$216)</f>
        <v>0.12744739713186801</v>
      </c>
      <c r="Q221" s="2200">
        <f>_xll.ciqfunctions.udf.CIQAVG("$"&amp;$AO221&amp;$AP221,"iq_lastsaleprice",Q$215,Q$216)</f>
        <v>0.12741755551612899</v>
      </c>
      <c r="R221" s="2203">
        <f>_xll.ciqfunctions.udf.CIQAVG("$"&amp;$AO221&amp;$AP221,"iq_lastsaleprice",R$215,R$216)</f>
        <v>0.12783845933695701</v>
      </c>
      <c r="S221" s="2200">
        <f>_xll.ciqfunctions.udf.CIQAVG("$"&amp;$AO221&amp;$AP221,"iq_lastsaleprice",S$215,S$216)</f>
        <v>0.12758709498888901</v>
      </c>
      <c r="T221" s="2200">
        <f>_xll.ciqfunctions.udf.CIQAVG("$"&amp;$AO221&amp;$AP221,"iq_lastsaleprice",T$215,T$216)</f>
        <v>0.12756256205494501</v>
      </c>
      <c r="U221" s="2200">
        <f>_xll.ciqfunctions.udf.CIQAVG("$"&amp;$AO221&amp;$AP221,"iq_lastsaleprice",U$215,U$216)</f>
        <v>0.12780274713043499</v>
      </c>
      <c r="V221" s="2200">
        <f>_xll.ciqfunctions.udf.CIQAVG("$"&amp;$AO221&amp;$AP221,"iq_lastsaleprice",V$215,V$216)</f>
        <v>0.12797040596739101</v>
      </c>
      <c r="W221" s="2199">
        <f>_xll.ciqfunctions.udf.CIQAVG("$"&amp;$AO221&amp;$AP221,"iq_lastsaleprice",W$215,W$216)</f>
        <v>0.12787035736263699</v>
      </c>
      <c r="X221" s="2200">
        <f>_xll.ciqfunctions.udf.CIQAVG("$"&amp;$AO221&amp;$AP221,"iq_lastsaleprice",X$215,X$216)</f>
        <v>0.12791678674725299</v>
      </c>
      <c r="Y221" s="2201">
        <f>_xll.ciqfunctions.udf.CIQAVG("$"&amp;$AO221&amp;$AP221,"iq_lastsaleprice",Y$215,Y$216)</f>
        <v>0.12821705261956501</v>
      </c>
      <c r="Z221" s="2203">
        <f>_xll.ciqfunctions.udf.CIQAVG("$"&amp;$AO221&amp;$AP221,"iq_lastsaleprice",Z$215,Z$216)</f>
        <v>0.12862662331521699</v>
      </c>
      <c r="AA221" s="2200">
        <f>_xll.ciqfunctions.udf.CIQAVG("$"&amp;$AO221&amp;$AP221,"iq_lastsaleprice",AA$215,AA$216)</f>
        <v>0.12877820149999999</v>
      </c>
      <c r="AB221" s="2200">
        <f t="shared" si="309"/>
        <v>0.12877820149999999</v>
      </c>
      <c r="AC221" s="2200">
        <f t="shared" si="309"/>
        <v>0.12877820149999999</v>
      </c>
      <c r="AD221" s="2200">
        <f t="shared" si="309"/>
        <v>0.12877820149999999</v>
      </c>
      <c r="AF221" s="2200">
        <f>_xll.ciqfunctions.udf.CIQAVG("$"&amp;$AO221&amp;$AP221,"iq_lastsaleprice",AF$215,AF$216)</f>
        <v>0.127593555449315</v>
      </c>
      <c r="AG221" s="2200">
        <f>_xll.ciqfunctions.udf.CIQAVG("$"&amp;$AO221&amp;$AP221,"iq_lastsaleprice",AG$215,AG$216)</f>
        <v>0.12763338102739699</v>
      </c>
      <c r="AH221" s="2200">
        <f>_xll.ciqfunctions.udf.CIQAVG("$"&amp;$AO221&amp;$AP221,"iq_lastsaleprice",AH$215,AH$216)</f>
        <v>0.12893127340983601</v>
      </c>
      <c r="AI221" s="2200">
        <f>_xll.ciqfunctions.udf.CIQAVG("$"&amp;$AO221&amp;$AP221,"iq_lastsaleprice",AI$215,AI$216)</f>
        <v>0.12865489878630099</v>
      </c>
      <c r="AJ221" s="2200">
        <f>_xll.ciqfunctions.udf.CIQAVG("$"&amp;$AO221&amp;$AP221,"iq_lastsaleprice",AJ$215,AJ$216)</f>
        <v>0.127705690515068</v>
      </c>
      <c r="AK221" s="2201">
        <f>+AVERAGE(S221:V221)</f>
        <v>0.12773070253541502</v>
      </c>
      <c r="AL221" s="2200">
        <f>+AVERAGE(W221:Z221)</f>
        <v>0.12815770501116799</v>
      </c>
      <c r="AM221" s="2200"/>
      <c r="AN221" s="2200"/>
      <c r="AO221" s="794" t="s">
        <v>305</v>
      </c>
      <c r="AP221" s="794" t="s">
        <v>309</v>
      </c>
      <c r="AR221" s="794" t="s">
        <v>305</v>
      </c>
      <c r="AS221" s="794" t="s">
        <v>309</v>
      </c>
      <c r="BD221" s="929"/>
      <c r="BE221" s="929"/>
      <c r="BF221" s="929"/>
      <c r="BG221" s="929"/>
      <c r="BH221" s="929"/>
    </row>
    <row r="222" spans="1:60" x14ac:dyDescent="0.25">
      <c r="C222" s="744"/>
      <c r="D222" s="744"/>
      <c r="E222" s="744"/>
      <c r="F222" s="745"/>
      <c r="G222" s="744"/>
      <c r="H222" s="744"/>
      <c r="I222" s="744"/>
      <c r="J222" s="745"/>
      <c r="K222" s="744"/>
      <c r="L222" s="744"/>
      <c r="M222" s="744"/>
      <c r="N222" s="745"/>
      <c r="O222" s="744"/>
      <c r="P222" s="744"/>
      <c r="Q222" s="744"/>
      <c r="R222" s="745"/>
      <c r="S222" s="744"/>
      <c r="T222" s="744"/>
      <c r="U222" s="744"/>
      <c r="V222" s="744"/>
      <c r="W222" s="985"/>
      <c r="X222" s="744"/>
      <c r="Y222" s="792"/>
      <c r="Z222" s="745"/>
      <c r="AA222" s="744"/>
      <c r="AB222" s="744"/>
      <c r="AC222" s="744"/>
      <c r="AD222" s="744"/>
      <c r="AE222" s="744"/>
      <c r="AF222" s="744"/>
      <c r="AG222" s="744"/>
      <c r="AH222" s="744"/>
      <c r="AI222" s="744"/>
      <c r="AJ222" s="744"/>
      <c r="AK222" s="792"/>
      <c r="AL222" s="744"/>
      <c r="AM222" s="744"/>
    </row>
    <row r="223" spans="1:60" ht="12" x14ac:dyDescent="0.3">
      <c r="A223" s="933" t="s">
        <v>29</v>
      </c>
      <c r="C223" s="744"/>
      <c r="D223" s="744"/>
      <c r="E223" s="744"/>
      <c r="F223" s="745"/>
      <c r="G223" s="744"/>
      <c r="H223" s="744"/>
      <c r="I223" s="744"/>
      <c r="J223" s="745"/>
      <c r="K223" s="744"/>
      <c r="L223" s="744"/>
      <c r="M223" s="744"/>
      <c r="N223" s="745"/>
      <c r="O223" s="744"/>
      <c r="P223" s="744"/>
      <c r="Q223" s="744"/>
      <c r="R223" s="745"/>
      <c r="S223" s="744"/>
      <c r="T223" s="744"/>
      <c r="U223" s="744"/>
      <c r="V223" s="744"/>
      <c r="W223" s="985"/>
      <c r="X223" s="744"/>
      <c r="Y223" s="792"/>
      <c r="Z223" s="745"/>
      <c r="AA223" s="744"/>
      <c r="AB223" s="744"/>
      <c r="AC223" s="744"/>
      <c r="AD223" s="744"/>
      <c r="AE223" s="744"/>
      <c r="AF223" s="744"/>
      <c r="AG223" s="744"/>
      <c r="AH223" s="744"/>
      <c r="AI223" s="744"/>
      <c r="AJ223" s="744"/>
      <c r="AK223" s="792"/>
      <c r="AL223" s="744"/>
      <c r="AM223" s="744"/>
    </row>
    <row r="224" spans="1:60" s="794" customFormat="1" ht="12" x14ac:dyDescent="0.3">
      <c r="A224" s="934" t="str">
        <f>+A218</f>
        <v>USD / GBP - avg</v>
      </c>
      <c r="B224" s="935"/>
      <c r="C224" s="936"/>
      <c r="D224" s="936"/>
      <c r="E224" s="936"/>
      <c r="F224" s="937"/>
      <c r="G224" s="936">
        <f t="shared" ref="G224:AD227" si="310">G218/C218-1</f>
        <v>-1.6429464640068003E-2</v>
      </c>
      <c r="H224" s="936">
        <f t="shared" si="310"/>
        <v>-3.445505373796276E-2</v>
      </c>
      <c r="I224" s="936">
        <f t="shared" si="310"/>
        <v>4.7682254684718428E-2</v>
      </c>
      <c r="J224" s="937">
        <f t="shared" si="310"/>
        <v>2.6127113343878738E-2</v>
      </c>
      <c r="K224" s="936">
        <f t="shared" si="310"/>
        <v>7.6473040341962228E-2</v>
      </c>
      <c r="L224" s="936">
        <f t="shared" si="310"/>
        <v>0.12621781427342604</v>
      </c>
      <c r="M224" s="936">
        <f t="shared" si="310"/>
        <v>6.7048172815994622E-2</v>
      </c>
      <c r="N224" s="937">
        <f t="shared" si="310"/>
        <v>2.0429237217357565E-2</v>
      </c>
      <c r="O224" s="936">
        <f t="shared" si="310"/>
        <v>-2.6642184630809806E-2</v>
      </c>
      <c r="P224" s="936">
        <f t="shared" si="310"/>
        <v>-0.10085948515971321</v>
      </c>
      <c r="Q224" s="936">
        <f t="shared" si="310"/>
        <v>-0.14611033974859411</v>
      </c>
      <c r="R224" s="937">
        <f t="shared" si="310"/>
        <v>-0.12922791688565904</v>
      </c>
      <c r="S224" s="936">
        <f t="shared" si="310"/>
        <v>-9.4986955302520548E-2</v>
      </c>
      <c r="T224" s="936">
        <f t="shared" si="310"/>
        <v>-3.9034677095529657E-3</v>
      </c>
      <c r="U224" s="936">
        <f t="shared" si="310"/>
        <v>7.5825759585997243E-2</v>
      </c>
      <c r="V224" s="936">
        <f t="shared" si="310"/>
        <v>5.800392899599438E-2</v>
      </c>
      <c r="W224" s="1450">
        <f t="shared" si="310"/>
        <v>4.4198297231415662E-2</v>
      </c>
      <c r="X224" s="936">
        <f t="shared" si="310"/>
        <v>7.8047825946239158E-3</v>
      </c>
      <c r="Y224" s="938">
        <f t="shared" si="310"/>
        <v>2.7427283232257738E-2</v>
      </c>
      <c r="Z224" s="937">
        <f t="shared" si="310"/>
        <v>3.1588249310558814E-2</v>
      </c>
      <c r="AA224" s="936">
        <f t="shared" si="310"/>
        <v>-1.2938318344053124E-2</v>
      </c>
      <c r="AB224" s="936">
        <f t="shared" si="310"/>
        <v>-7.8146627897375254E-3</v>
      </c>
      <c r="AC224" s="936">
        <f t="shared" si="310"/>
        <v>-3.786644997217592E-2</v>
      </c>
      <c r="AD224" s="936">
        <f t="shared" si="310"/>
        <v>-2.3044052000054327E-2</v>
      </c>
      <c r="AF224" s="936"/>
      <c r="AG224" s="936">
        <f t="shared" ref="AG224:AL227" si="311">+AG218/AF218-1</f>
        <v>-4.349416596342115E-2</v>
      </c>
      <c r="AH224" s="936">
        <f t="shared" si="311"/>
        <v>5.3437270999354691E-3</v>
      </c>
      <c r="AI224" s="936">
        <f t="shared" si="311"/>
        <v>7.1541764005591535E-2</v>
      </c>
      <c r="AJ224" s="936">
        <f t="shared" si="311"/>
        <v>-0.10083065356324772</v>
      </c>
      <c r="AK224" s="938">
        <f t="shared" si="311"/>
        <v>5.4137139066448015E-3</v>
      </c>
      <c r="AL224" s="936">
        <f t="shared" si="311"/>
        <v>2.7622663449971663E-2</v>
      </c>
      <c r="AM224" s="936"/>
      <c r="AN224" s="936"/>
      <c r="AO224" s="935"/>
      <c r="AP224" s="936"/>
      <c r="AQ224" s="935"/>
      <c r="AR224" s="935"/>
      <c r="AS224" s="935"/>
      <c r="AT224" s="935"/>
      <c r="AU224" s="935"/>
      <c r="BD224" s="929"/>
      <c r="BE224" s="929"/>
      <c r="BF224" s="929"/>
      <c r="BG224" s="929"/>
      <c r="BH224" s="929"/>
    </row>
    <row r="225" spans="1:60" s="794" customFormat="1" ht="12" x14ac:dyDescent="0.3">
      <c r="A225" s="934" t="str">
        <f>+A219</f>
        <v>USD / EUR - avg</v>
      </c>
      <c r="B225" s="935"/>
      <c r="C225" s="936"/>
      <c r="D225" s="936"/>
      <c r="E225" s="936"/>
      <c r="F225" s="937"/>
      <c r="G225" s="936">
        <f t="shared" si="310"/>
        <v>-2.9237046291078927E-2</v>
      </c>
      <c r="H225" s="936">
        <f t="shared" si="310"/>
        <v>-2.0096193041647559E-2</v>
      </c>
      <c r="I225" s="936">
        <f t="shared" si="310"/>
        <v>5.1190424963195591E-2</v>
      </c>
      <c r="J225" s="937">
        <f t="shared" si="310"/>
        <v>7.7231865725825743E-2</v>
      </c>
      <c r="K225" s="936">
        <f t="shared" si="310"/>
        <v>9.3377271393370709E-2</v>
      </c>
      <c r="L225" s="936">
        <f t="shared" si="310"/>
        <v>9.3953480947331469E-2</v>
      </c>
      <c r="M225" s="936">
        <f t="shared" si="310"/>
        <v>8.5548365618435263E-3</v>
      </c>
      <c r="N225" s="937">
        <f t="shared" si="310"/>
        <v>-4.108302950217424E-2</v>
      </c>
      <c r="O225" s="936">
        <f t="shared" si="310"/>
        <v>-6.8773745849703971E-2</v>
      </c>
      <c r="P225" s="936">
        <f t="shared" si="310"/>
        <v>-0.11590445514602665</v>
      </c>
      <c r="Q225" s="936">
        <f t="shared" si="310"/>
        <v>-0.14525952820499199</v>
      </c>
      <c r="R225" s="937">
        <f t="shared" si="310"/>
        <v>-0.10696074359424734</v>
      </c>
      <c r="S225" s="936">
        <f t="shared" si="310"/>
        <v>-4.447578869864488E-2</v>
      </c>
      <c r="T225" s="936">
        <f t="shared" si="310"/>
        <v>2.1981012293670554E-2</v>
      </c>
      <c r="U225" s="936">
        <f t="shared" si="310"/>
        <v>8.0161607165232684E-2</v>
      </c>
      <c r="V225" s="936">
        <f t="shared" si="310"/>
        <v>5.3925340476906225E-2</v>
      </c>
      <c r="W225" s="1450">
        <f t="shared" si="310"/>
        <v>1.2246724996555214E-2</v>
      </c>
      <c r="X225" s="936">
        <f t="shared" si="310"/>
        <v>-1.1171142831587377E-2</v>
      </c>
      <c r="Y225" s="938">
        <f t="shared" si="310"/>
        <v>9.7607275806859128E-3</v>
      </c>
      <c r="Z225" s="937">
        <f t="shared" si="310"/>
        <v>-9.2613704690084342E-3</v>
      </c>
      <c r="AA225" s="936">
        <f t="shared" si="310"/>
        <v>-4.5277247171932489E-2</v>
      </c>
      <c r="AB225" s="936">
        <f t="shared" si="310"/>
        <v>-3.7073815119799014E-2</v>
      </c>
      <c r="AC225" s="936">
        <f t="shared" si="310"/>
        <v>-5.7001806383521036E-2</v>
      </c>
      <c r="AD225" s="936">
        <f t="shared" si="310"/>
        <v>-2.8113799253256189E-2</v>
      </c>
      <c r="AF225" s="936"/>
      <c r="AG225" s="936">
        <f t="shared" si="311"/>
        <v>-5.1909516093116115E-2</v>
      </c>
      <c r="AH225" s="936">
        <f t="shared" si="311"/>
        <v>1.9641753089883807E-2</v>
      </c>
      <c r="AI225" s="936">
        <f t="shared" si="311"/>
        <v>3.6315607711775666E-2</v>
      </c>
      <c r="AJ225" s="936">
        <f t="shared" si="311"/>
        <v>-0.10919586681796312</v>
      </c>
      <c r="AK225" s="938">
        <f t="shared" si="311"/>
        <v>2.6254151182433239E-2</v>
      </c>
      <c r="AL225" s="936">
        <f t="shared" si="311"/>
        <v>3.7672491535678532E-4</v>
      </c>
      <c r="AM225" s="936"/>
      <c r="AN225" s="936"/>
      <c r="AO225" s="935"/>
      <c r="AP225" s="936"/>
      <c r="AQ225" s="935"/>
      <c r="AR225" s="935"/>
      <c r="AS225" s="935"/>
      <c r="AT225" s="935"/>
      <c r="AU225" s="935"/>
      <c r="BD225" s="929"/>
      <c r="BE225" s="929"/>
      <c r="BF225" s="929"/>
      <c r="BG225" s="929"/>
      <c r="BH225" s="929"/>
    </row>
    <row r="226" spans="1:60" s="794" customFormat="1" ht="12" x14ac:dyDescent="0.3">
      <c r="A226" s="934" t="str">
        <f>+A220</f>
        <v>USD / INR - avg</v>
      </c>
      <c r="B226" s="935"/>
      <c r="C226" s="936"/>
      <c r="D226" s="936"/>
      <c r="E226" s="936"/>
      <c r="F226" s="937"/>
      <c r="G226" s="936">
        <f t="shared" si="310"/>
        <v>0.18040873243740507</v>
      </c>
      <c r="H226" s="936">
        <f t="shared" si="310"/>
        <v>-8.3740421719054936E-2</v>
      </c>
      <c r="I226" s="936">
        <f t="shared" si="310"/>
        <v>-5.3733146007609256E-2</v>
      </c>
      <c r="J226" s="937">
        <f t="shared" si="310"/>
        <v>-3.5043364655683806E-2</v>
      </c>
      <c r="K226" s="936">
        <f t="shared" si="310"/>
        <v>-6.320311166050363E-3</v>
      </c>
      <c r="L226" s="936">
        <f t="shared" si="310"/>
        <v>2.9105422575544049E-2</v>
      </c>
      <c r="M226" s="936">
        <f t="shared" si="310"/>
        <v>3.4293550478983192E-3</v>
      </c>
      <c r="N226" s="937">
        <f t="shared" si="310"/>
        <v>-1.5302275403911159E-2</v>
      </c>
      <c r="O226" s="936">
        <f t="shared" si="310"/>
        <v>-3.0444132212312791E-2</v>
      </c>
      <c r="P226" s="936">
        <f t="shared" si="310"/>
        <v>-4.4732908480985212E-2</v>
      </c>
      <c r="Q226" s="936">
        <f t="shared" si="310"/>
        <v>-7.1266196600750065E-2</v>
      </c>
      <c r="R226" s="937">
        <f t="shared" si="310"/>
        <v>-8.7481749854055657E-2</v>
      </c>
      <c r="S226" s="936">
        <f t="shared" si="310"/>
        <v>-8.4840981094873813E-2</v>
      </c>
      <c r="T226" s="936">
        <f t="shared" si="310"/>
        <v>-6.0391292704292887E-2</v>
      </c>
      <c r="U226" s="936">
        <f t="shared" si="310"/>
        <v>-3.5153663337055385E-2</v>
      </c>
      <c r="V226" s="936">
        <f t="shared" si="310"/>
        <v>-1.3376596467586821E-2</v>
      </c>
      <c r="W226" s="1450">
        <f t="shared" si="310"/>
        <v>-1.0238700869753203E-2</v>
      </c>
      <c r="X226" s="936">
        <f t="shared" si="310"/>
        <v>-1.5145265775110883E-2</v>
      </c>
      <c r="Y226" s="938">
        <f t="shared" si="310"/>
        <v>-1.2988307662733956E-2</v>
      </c>
      <c r="Z226" s="937">
        <f t="shared" si="310"/>
        <v>-1.4486934920491357E-2</v>
      </c>
      <c r="AA226" s="936">
        <f t="shared" si="310"/>
        <v>-2.9197706907415633E-2</v>
      </c>
      <c r="AB226" s="936">
        <f t="shared" si="310"/>
        <v>-2.4752959556899823E-2</v>
      </c>
      <c r="AC226" s="936">
        <f t="shared" si="310"/>
        <v>-2.0767495923513235E-2</v>
      </c>
      <c r="AD226" s="936">
        <f t="shared" si="310"/>
        <v>-1.2556613423093221E-2</v>
      </c>
      <c r="AF226" s="936"/>
      <c r="AG226" s="936">
        <f t="shared" si="311"/>
        <v>-3.0145304460482136E-2</v>
      </c>
      <c r="AH226" s="936">
        <f t="shared" si="311"/>
        <v>-5.0179253091433118E-2</v>
      </c>
      <c r="AI226" s="936">
        <f t="shared" si="311"/>
        <v>2.4187442881804522E-3</v>
      </c>
      <c r="AJ226" s="936">
        <f t="shared" si="311"/>
        <v>-5.8413209548337841E-2</v>
      </c>
      <c r="AK226" s="938">
        <f t="shared" si="311"/>
        <v>-4.9108314216966709E-2</v>
      </c>
      <c r="AL226" s="936">
        <f t="shared" si="311"/>
        <v>-1.3211299590317638E-2</v>
      </c>
      <c r="AM226" s="936"/>
      <c r="AN226" s="936"/>
      <c r="AO226" s="935"/>
      <c r="AP226" s="936"/>
      <c r="AQ226" s="935"/>
      <c r="AR226" s="935"/>
      <c r="AS226" s="935"/>
      <c r="AT226" s="935"/>
      <c r="AU226" s="935"/>
      <c r="BD226" s="929"/>
      <c r="BE226" s="929"/>
      <c r="BF226" s="929"/>
      <c r="BG226" s="929"/>
      <c r="BH226" s="929"/>
    </row>
    <row r="227" spans="1:60" s="794" customFormat="1" ht="12" x14ac:dyDescent="0.3">
      <c r="A227" s="934" t="str">
        <f>+A221</f>
        <v>USD / HKD - avg</v>
      </c>
      <c r="B227" s="935"/>
      <c r="C227" s="936"/>
      <c r="D227" s="936"/>
      <c r="E227" s="936"/>
      <c r="F227" s="937"/>
      <c r="G227" s="936">
        <f t="shared" si="310"/>
        <v>7.2289075118072699E-3</v>
      </c>
      <c r="H227" s="936">
        <f t="shared" si="310"/>
        <v>1.1406980139474054E-2</v>
      </c>
      <c r="I227" s="936">
        <f t="shared" si="310"/>
        <v>1.0169491138616538E-2</v>
      </c>
      <c r="J227" s="937">
        <f t="shared" si="310"/>
        <v>9.4507926596822944E-3</v>
      </c>
      <c r="K227" s="936">
        <f t="shared" si="310"/>
        <v>1.7038904752211259E-3</v>
      </c>
      <c r="L227" s="936">
        <f t="shared" si="310"/>
        <v>-1.8201745100113742E-3</v>
      </c>
      <c r="M227" s="936">
        <f t="shared" si="310"/>
        <v>-3.5031832851718514E-3</v>
      </c>
      <c r="N227" s="937">
        <f t="shared" si="310"/>
        <v>-4.8787746900045281E-3</v>
      </c>
      <c r="O227" s="936">
        <f t="shared" si="310"/>
        <v>-6.065204768026633E-3</v>
      </c>
      <c r="P227" s="936">
        <f t="shared" si="310"/>
        <v>-1.0308588362103133E-2</v>
      </c>
      <c r="Q227" s="936">
        <f t="shared" si="310"/>
        <v>-8.96723413453826E-3</v>
      </c>
      <c r="R227" s="937">
        <f t="shared" si="310"/>
        <v>-4.1702875932138062E-3</v>
      </c>
      <c r="S227" s="936">
        <f t="shared" si="310"/>
        <v>-4.201074316195097E-3</v>
      </c>
      <c r="T227" s="936">
        <f t="shared" si="310"/>
        <v>9.0362710944846825E-4</v>
      </c>
      <c r="U227" s="936">
        <f t="shared" si="310"/>
        <v>3.0230654853304895E-3</v>
      </c>
      <c r="V227" s="936">
        <f t="shared" si="310"/>
        <v>1.0321356430478268E-3</v>
      </c>
      <c r="W227" s="1450">
        <f t="shared" si="310"/>
        <v>2.220149097153179E-3</v>
      </c>
      <c r="X227" s="936">
        <f t="shared" si="310"/>
        <v>2.7768703183885801E-3</v>
      </c>
      <c r="Y227" s="938">
        <f t="shared" si="310"/>
        <v>3.2417573051632953E-3</v>
      </c>
      <c r="Z227" s="937">
        <f t="shared" si="310"/>
        <v>5.1278836139130313E-3</v>
      </c>
      <c r="AA227" s="936">
        <f t="shared" si="310"/>
        <v>7.099723157794724E-3</v>
      </c>
      <c r="AB227" s="936">
        <f t="shared" si="310"/>
        <v>6.7341806705092377E-3</v>
      </c>
      <c r="AC227" s="936">
        <f t="shared" si="310"/>
        <v>4.3765542021931836E-3</v>
      </c>
      <c r="AD227" s="936">
        <f t="shared" si="310"/>
        <v>1.1784355437174376E-3</v>
      </c>
      <c r="AF227" s="936"/>
      <c r="AG227" s="936">
        <f t="shared" si="311"/>
        <v>3.1212844521610883E-4</v>
      </c>
      <c r="AH227" s="936">
        <f t="shared" si="311"/>
        <v>1.0168910139271681E-2</v>
      </c>
      <c r="AI227" s="936">
        <f t="shared" si="311"/>
        <v>-2.1435809654691829E-3</v>
      </c>
      <c r="AJ227" s="936">
        <f t="shared" si="311"/>
        <v>-7.3779411447801868E-3</v>
      </c>
      <c r="AK227" s="938">
        <f t="shared" si="311"/>
        <v>1.9585674096544992E-4</v>
      </c>
      <c r="AL227" s="936">
        <f t="shared" si="311"/>
        <v>3.3429901133956719E-3</v>
      </c>
      <c r="AM227" s="936"/>
      <c r="AN227" s="936"/>
      <c r="AO227" s="935"/>
      <c r="AP227" s="936"/>
      <c r="AQ227" s="935"/>
      <c r="AR227" s="935"/>
      <c r="AS227" s="935"/>
      <c r="AT227" s="935"/>
      <c r="AU227" s="935"/>
      <c r="BD227" s="929"/>
      <c r="BE227" s="929"/>
      <c r="BF227" s="929"/>
      <c r="BG227" s="929"/>
      <c r="BH227" s="929"/>
    </row>
    <row r="228" spans="1:60" x14ac:dyDescent="0.25">
      <c r="C228" s="744"/>
      <c r="D228" s="744"/>
      <c r="E228" s="744"/>
      <c r="F228" s="745"/>
      <c r="G228" s="744"/>
      <c r="H228" s="744"/>
      <c r="I228" s="744"/>
      <c r="J228" s="745"/>
      <c r="K228" s="744"/>
      <c r="L228" s="744"/>
      <c r="M228" s="744"/>
      <c r="N228" s="745"/>
      <c r="O228" s="744"/>
      <c r="P228" s="744"/>
      <c r="Q228" s="744"/>
      <c r="R228" s="745"/>
      <c r="S228" s="744"/>
      <c r="T228" s="744"/>
      <c r="U228" s="744"/>
      <c r="V228" s="744"/>
      <c r="W228" s="985"/>
      <c r="X228" s="744"/>
      <c r="Y228" s="792"/>
      <c r="Z228" s="745"/>
      <c r="AA228" s="744"/>
      <c r="AB228" s="744"/>
      <c r="AC228" s="744"/>
      <c r="AD228" s="744"/>
      <c r="AE228" s="744"/>
      <c r="AF228" s="744"/>
      <c r="AG228" s="744"/>
      <c r="AH228" s="744"/>
      <c r="AI228" s="744"/>
      <c r="AJ228" s="744"/>
      <c r="AK228" s="792"/>
      <c r="AL228" s="744"/>
      <c r="AM228" s="744"/>
    </row>
    <row r="229" spans="1:60" ht="12" x14ac:dyDescent="0.3">
      <c r="A229" s="933" t="s">
        <v>310</v>
      </c>
      <c r="C229" s="744"/>
      <c r="D229" s="744"/>
      <c r="E229" s="744"/>
      <c r="F229" s="745"/>
      <c r="G229" s="744"/>
      <c r="H229" s="744"/>
      <c r="I229" s="744"/>
      <c r="J229" s="745"/>
      <c r="K229" s="744"/>
      <c r="L229" s="744"/>
      <c r="M229" s="744"/>
      <c r="N229" s="745"/>
      <c r="O229" s="744"/>
      <c r="P229" s="744"/>
      <c r="Q229" s="744"/>
      <c r="R229" s="745"/>
      <c r="S229" s="744"/>
      <c r="T229" s="744"/>
      <c r="U229" s="744"/>
      <c r="V229" s="744"/>
      <c r="W229" s="985"/>
      <c r="X229" s="744"/>
      <c r="Y229" s="792"/>
      <c r="Z229" s="745"/>
      <c r="AA229" s="744"/>
      <c r="AB229" s="744"/>
      <c r="AC229" s="744"/>
      <c r="AD229" s="744"/>
      <c r="AE229" s="744"/>
      <c r="AF229" s="744"/>
      <c r="AG229" s="744"/>
      <c r="AH229" s="744"/>
      <c r="AI229" s="744"/>
      <c r="AJ229" s="744"/>
      <c r="AK229" s="792"/>
      <c r="AL229" s="744"/>
      <c r="AM229" s="744"/>
    </row>
    <row r="230" spans="1:60" s="939" customFormat="1" ht="12" x14ac:dyDescent="0.3">
      <c r="A230" s="934" t="s">
        <v>311</v>
      </c>
      <c r="C230" s="916"/>
      <c r="D230" s="916"/>
      <c r="E230" s="916"/>
      <c r="F230" s="940"/>
      <c r="G230" s="941">
        <v>0.5</v>
      </c>
      <c r="H230" s="941">
        <v>0.5</v>
      </c>
      <c r="I230" s="941">
        <v>0.5</v>
      </c>
      <c r="J230" s="942">
        <v>0.5</v>
      </c>
      <c r="K230" s="941">
        <v>0.5</v>
      </c>
      <c r="L230" s="941">
        <v>0.5</v>
      </c>
      <c r="M230" s="941">
        <v>0.5</v>
      </c>
      <c r="N230" s="942">
        <v>0.5</v>
      </c>
      <c r="O230" s="941">
        <v>0.5</v>
      </c>
      <c r="P230" s="941">
        <v>0.5</v>
      </c>
      <c r="Q230" s="941">
        <v>0.5</v>
      </c>
      <c r="R230" s="942">
        <v>0.5</v>
      </c>
      <c r="S230" s="941">
        <v>0.5</v>
      </c>
      <c r="T230" s="941">
        <v>0.5</v>
      </c>
      <c r="U230" s="941">
        <v>0.5</v>
      </c>
      <c r="V230" s="941">
        <v>0.5</v>
      </c>
      <c r="W230" s="1451">
        <v>0.5</v>
      </c>
      <c r="X230" s="941">
        <v>0.5</v>
      </c>
      <c r="Y230" s="943">
        <v>0.5</v>
      </c>
      <c r="Z230" s="942">
        <v>0.5</v>
      </c>
      <c r="AA230" s="941">
        <v>0.5</v>
      </c>
      <c r="AB230" s="941">
        <v>0.5</v>
      </c>
      <c r="AC230" s="941">
        <v>0.5</v>
      </c>
      <c r="AD230" s="941">
        <v>0.5</v>
      </c>
      <c r="AE230" s="916"/>
      <c r="AF230" s="916"/>
      <c r="AG230" s="941">
        <v>0.5</v>
      </c>
      <c r="AH230" s="941">
        <v>0.5</v>
      </c>
      <c r="AI230" s="941">
        <v>0.5</v>
      </c>
      <c r="AJ230" s="941">
        <v>0.5</v>
      </c>
      <c r="AK230" s="943">
        <v>0.5</v>
      </c>
      <c r="AL230" s="941">
        <v>0.5</v>
      </c>
      <c r="AM230" s="941"/>
    </row>
    <row r="231" spans="1:60" s="939" customFormat="1" ht="12" x14ac:dyDescent="0.3">
      <c r="A231" s="934" t="s">
        <v>312</v>
      </c>
      <c r="C231" s="916"/>
      <c r="D231" s="916"/>
      <c r="E231" s="916"/>
      <c r="F231" s="940"/>
      <c r="G231" s="941">
        <v>0.2</v>
      </c>
      <c r="H231" s="941">
        <v>0.2</v>
      </c>
      <c r="I231" s="941">
        <v>0.2</v>
      </c>
      <c r="J231" s="942">
        <v>0.2</v>
      </c>
      <c r="K231" s="941">
        <v>0.2</v>
      </c>
      <c r="L231" s="941">
        <v>0.2</v>
      </c>
      <c r="M231" s="941">
        <v>0.2</v>
      </c>
      <c r="N231" s="942">
        <v>0.2</v>
      </c>
      <c r="O231" s="941">
        <v>0.2</v>
      </c>
      <c r="P231" s="941">
        <v>0.2</v>
      </c>
      <c r="Q231" s="941">
        <v>0.2</v>
      </c>
      <c r="R231" s="942">
        <v>0.2</v>
      </c>
      <c r="S231" s="941">
        <v>0.2</v>
      </c>
      <c r="T231" s="941">
        <v>0.2</v>
      </c>
      <c r="U231" s="941">
        <v>0.2</v>
      </c>
      <c r="V231" s="941">
        <v>0.2</v>
      </c>
      <c r="W231" s="1451">
        <v>0.2</v>
      </c>
      <c r="X231" s="941">
        <v>0.2</v>
      </c>
      <c r="Y231" s="943">
        <v>0.2</v>
      </c>
      <c r="Z231" s="942">
        <v>0.2</v>
      </c>
      <c r="AA231" s="941">
        <v>0.2</v>
      </c>
      <c r="AB231" s="941">
        <v>0.2</v>
      </c>
      <c r="AC231" s="941">
        <v>0.2</v>
      </c>
      <c r="AD231" s="941">
        <v>0.2</v>
      </c>
      <c r="AE231" s="916"/>
      <c r="AF231" s="916"/>
      <c r="AG231" s="941">
        <v>0.2</v>
      </c>
      <c r="AH231" s="941">
        <v>0.2</v>
      </c>
      <c r="AI231" s="941">
        <v>0.2</v>
      </c>
      <c r="AJ231" s="941">
        <v>0.2</v>
      </c>
      <c r="AK231" s="943">
        <v>0.2</v>
      </c>
      <c r="AL231" s="941">
        <v>0.2</v>
      </c>
      <c r="AM231" s="941"/>
    </row>
    <row r="232" spans="1:60" s="939" customFormat="1" ht="12" x14ac:dyDescent="0.3">
      <c r="A232" s="934" t="s">
        <v>313</v>
      </c>
      <c r="C232" s="916"/>
      <c r="D232" s="916"/>
      <c r="E232" s="916"/>
      <c r="F232" s="940"/>
      <c r="G232" s="941">
        <v>0.2</v>
      </c>
      <c r="H232" s="941">
        <v>0.2</v>
      </c>
      <c r="I232" s="941">
        <v>0.2</v>
      </c>
      <c r="J232" s="942">
        <v>0.2</v>
      </c>
      <c r="K232" s="941">
        <v>0.2</v>
      </c>
      <c r="L232" s="941">
        <v>0.2</v>
      </c>
      <c r="M232" s="941">
        <v>0.2</v>
      </c>
      <c r="N232" s="942">
        <v>0.2</v>
      </c>
      <c r="O232" s="941">
        <v>0.2</v>
      </c>
      <c r="P232" s="941">
        <v>0.2</v>
      </c>
      <c r="Q232" s="941">
        <v>0.2</v>
      </c>
      <c r="R232" s="942">
        <v>0.2</v>
      </c>
      <c r="S232" s="941">
        <v>0.2</v>
      </c>
      <c r="T232" s="941">
        <v>0.2</v>
      </c>
      <c r="U232" s="941">
        <v>0.2</v>
      </c>
      <c r="V232" s="941">
        <v>0.2</v>
      </c>
      <c r="W232" s="1451">
        <v>0.2</v>
      </c>
      <c r="X232" s="941">
        <v>0.2</v>
      </c>
      <c r="Y232" s="943">
        <v>0.2</v>
      </c>
      <c r="Z232" s="942">
        <v>0.2</v>
      </c>
      <c r="AA232" s="941">
        <v>0.2</v>
      </c>
      <c r="AB232" s="941">
        <v>0.2</v>
      </c>
      <c r="AC232" s="941">
        <v>0.2</v>
      </c>
      <c r="AD232" s="941">
        <v>0.2</v>
      </c>
      <c r="AE232" s="916"/>
      <c r="AF232" s="916"/>
      <c r="AG232" s="941">
        <v>0.2</v>
      </c>
      <c r="AH232" s="941">
        <v>0.2</v>
      </c>
      <c r="AI232" s="941">
        <v>0.2</v>
      </c>
      <c r="AJ232" s="941">
        <v>0.2</v>
      </c>
      <c r="AK232" s="943">
        <v>0.2</v>
      </c>
      <c r="AL232" s="941">
        <v>0.2</v>
      </c>
      <c r="AM232" s="941"/>
    </row>
    <row r="233" spans="1:60" s="939" customFormat="1" ht="12" x14ac:dyDescent="0.3">
      <c r="A233" s="934" t="s">
        <v>314</v>
      </c>
      <c r="C233" s="916"/>
      <c r="D233" s="916"/>
      <c r="E233" s="916"/>
      <c r="F233" s="940"/>
      <c r="G233" s="944">
        <f t="shared" ref="G233:AD233" si="312">1-G230-G231-G232</f>
        <v>9.9999999999999978E-2</v>
      </c>
      <c r="H233" s="944">
        <f t="shared" si="312"/>
        <v>9.9999999999999978E-2</v>
      </c>
      <c r="I233" s="944">
        <f t="shared" si="312"/>
        <v>9.9999999999999978E-2</v>
      </c>
      <c r="J233" s="945">
        <f t="shared" si="312"/>
        <v>9.9999999999999978E-2</v>
      </c>
      <c r="K233" s="944">
        <f t="shared" si="312"/>
        <v>9.9999999999999978E-2</v>
      </c>
      <c r="L233" s="944">
        <f t="shared" si="312"/>
        <v>9.9999999999999978E-2</v>
      </c>
      <c r="M233" s="944">
        <f t="shared" si="312"/>
        <v>9.9999999999999978E-2</v>
      </c>
      <c r="N233" s="945">
        <f t="shared" si="312"/>
        <v>9.9999999999999978E-2</v>
      </c>
      <c r="O233" s="944">
        <f t="shared" si="312"/>
        <v>9.9999999999999978E-2</v>
      </c>
      <c r="P233" s="944">
        <f t="shared" si="312"/>
        <v>9.9999999999999978E-2</v>
      </c>
      <c r="Q233" s="944">
        <f t="shared" si="312"/>
        <v>9.9999999999999978E-2</v>
      </c>
      <c r="R233" s="945">
        <f t="shared" si="312"/>
        <v>9.9999999999999978E-2</v>
      </c>
      <c r="S233" s="944">
        <f t="shared" si="312"/>
        <v>9.9999999999999978E-2</v>
      </c>
      <c r="T233" s="944">
        <f t="shared" si="312"/>
        <v>9.9999999999999978E-2</v>
      </c>
      <c r="U233" s="944">
        <f t="shared" si="312"/>
        <v>9.9999999999999978E-2</v>
      </c>
      <c r="V233" s="944">
        <f t="shared" si="312"/>
        <v>9.9999999999999978E-2</v>
      </c>
      <c r="W233" s="1452">
        <f t="shared" si="312"/>
        <v>9.9999999999999978E-2</v>
      </c>
      <c r="X233" s="944">
        <f t="shared" si="312"/>
        <v>9.9999999999999978E-2</v>
      </c>
      <c r="Y233" s="946">
        <f t="shared" si="312"/>
        <v>9.9999999999999978E-2</v>
      </c>
      <c r="Z233" s="945">
        <f t="shared" si="312"/>
        <v>9.9999999999999978E-2</v>
      </c>
      <c r="AA233" s="944">
        <f t="shared" si="312"/>
        <v>9.9999999999999978E-2</v>
      </c>
      <c r="AB233" s="944">
        <f t="shared" si="312"/>
        <v>9.9999999999999978E-2</v>
      </c>
      <c r="AC233" s="944">
        <f t="shared" si="312"/>
        <v>9.9999999999999978E-2</v>
      </c>
      <c r="AD233" s="944">
        <f t="shared" si="312"/>
        <v>9.9999999999999978E-2</v>
      </c>
      <c r="AE233" s="916"/>
      <c r="AF233" s="916"/>
      <c r="AG233" s="944">
        <f>1-AG230-AG231-AG232</f>
        <v>9.9999999999999978E-2</v>
      </c>
      <c r="AH233" s="944">
        <f t="shared" ref="AH233:AL233" si="313">1-AH230-AH231-AH232</f>
        <v>9.9999999999999978E-2</v>
      </c>
      <c r="AI233" s="944">
        <f t="shared" si="313"/>
        <v>9.9999999999999978E-2</v>
      </c>
      <c r="AJ233" s="944">
        <f t="shared" si="313"/>
        <v>9.9999999999999978E-2</v>
      </c>
      <c r="AK233" s="946">
        <f t="shared" si="313"/>
        <v>9.9999999999999978E-2</v>
      </c>
      <c r="AL233" s="944">
        <f t="shared" si="313"/>
        <v>9.9999999999999978E-2</v>
      </c>
      <c r="AM233" s="944"/>
    </row>
    <row r="234" spans="1:60" x14ac:dyDescent="0.25">
      <c r="C234" s="744"/>
      <c r="D234" s="744"/>
      <c r="E234" s="744"/>
      <c r="F234" s="745"/>
      <c r="G234" s="744"/>
      <c r="H234" s="744"/>
      <c r="I234" s="744"/>
      <c r="J234" s="745"/>
      <c r="K234" s="744"/>
      <c r="L234" s="744"/>
      <c r="M234" s="744"/>
      <c r="N234" s="745"/>
      <c r="O234" s="744"/>
      <c r="P234" s="744"/>
      <c r="Q234" s="744"/>
      <c r="R234" s="745"/>
      <c r="S234" s="744"/>
      <c r="T234" s="744"/>
      <c r="U234" s="744"/>
      <c r="V234" s="744"/>
      <c r="W234" s="985"/>
      <c r="X234" s="744"/>
      <c r="Y234" s="792"/>
      <c r="Z234" s="745"/>
      <c r="AA234" s="744"/>
      <c r="AB234" s="744"/>
      <c r="AC234" s="744"/>
      <c r="AD234" s="744"/>
      <c r="AE234" s="744"/>
      <c r="AF234" s="744"/>
      <c r="AG234" s="744"/>
      <c r="AH234" s="744"/>
      <c r="AI234" s="744"/>
      <c r="AJ234" s="744"/>
      <c r="AK234" s="792"/>
      <c r="AL234" s="744"/>
      <c r="AM234" s="744"/>
    </row>
    <row r="235" spans="1:60" s="794" customFormat="1" x14ac:dyDescent="0.25">
      <c r="A235" s="460" t="s">
        <v>315</v>
      </c>
      <c r="C235" s="947"/>
      <c r="D235" s="947"/>
      <c r="E235" s="947"/>
      <c r="F235" s="948"/>
      <c r="G235" s="947"/>
      <c r="H235" s="947"/>
      <c r="I235" s="947">
        <f t="shared" ref="I235:AD235" si="314">+SUMPRODUCT(I230:I233,I224:I227)</f>
        <v>2.4349532247338133E-2</v>
      </c>
      <c r="J235" s="948">
        <f t="shared" si="314"/>
        <v>2.2446336151935985E-2</v>
      </c>
      <c r="K235" s="947">
        <f t="shared" si="314"/>
        <v>5.58183012639673E-2</v>
      </c>
      <c r="L235" s="947">
        <f t="shared" si="314"/>
        <v>8.7538670390286996E-2</v>
      </c>
      <c r="M235" s="947">
        <f t="shared" si="314"/>
        <v>3.5570606401428492E-2</v>
      </c>
      <c r="N235" s="948">
        <f t="shared" si="314"/>
        <v>-1.55031984153875E-3</v>
      </c>
      <c r="O235" s="947">
        <f t="shared" si="314"/>
        <v>-3.3771188404610922E-2</v>
      </c>
      <c r="P235" s="947">
        <f t="shared" si="314"/>
        <v>-8.3588074141469293E-2</v>
      </c>
      <c r="Q235" s="947">
        <f t="shared" si="314"/>
        <v>-0.1172570382488993</v>
      </c>
      <c r="R235" s="948">
        <f t="shared" si="314"/>
        <v>-0.10391948589181151</v>
      </c>
      <c r="S235" s="947">
        <f t="shared" si="314"/>
        <v>-7.3776939041583514E-2</v>
      </c>
      <c r="T235" s="947">
        <f t="shared" si="314"/>
        <v>-9.5434272259561029E-3</v>
      </c>
      <c r="U235" s="947">
        <f t="shared" si="314"/>
        <v>4.7216775107167132E-2</v>
      </c>
      <c r="V235" s="947">
        <f t="shared" si="314"/>
        <v>3.7214926864165852E-2</v>
      </c>
      <c r="W235" s="1453">
        <f t="shared" si="314"/>
        <v>2.2722768350783549E-2</v>
      </c>
      <c r="X235" s="947">
        <f t="shared" si="314"/>
        <v>-1.0832033921888366E-3</v>
      </c>
      <c r="Y235" s="949">
        <f t="shared" si="314"/>
        <v>1.3392301330235591E-2</v>
      </c>
      <c r="Z235" s="948">
        <f t="shared" si="314"/>
        <v>1.1557251938770751E-2</v>
      </c>
      <c r="AA235" s="947">
        <f t="shared" si="314"/>
        <v>-2.0654177672116716E-2</v>
      </c>
      <c r="AB235" s="947">
        <f t="shared" si="314"/>
        <v>-1.5599268263157608E-2</v>
      </c>
      <c r="AC235" s="947">
        <f t="shared" si="314"/>
        <v>-3.4049430027275493E-2</v>
      </c>
      <c r="AD235" s="947">
        <f t="shared" si="314"/>
        <v>-1.9538264980925306E-2</v>
      </c>
      <c r="AF235" s="947"/>
      <c r="AG235" s="947">
        <f t="shared" ref="AG235:AL235" si="315">+SUMPRODUCT(AG230:AG233,AG224:AG227)</f>
        <v>-3.8126834247908616E-2</v>
      </c>
      <c r="AH235" s="947">
        <f t="shared" si="315"/>
        <v>-2.4187454364149601E-3</v>
      </c>
      <c r="AI235" s="947">
        <f t="shared" si="315"/>
        <v>4.330339430624007E-2</v>
      </c>
      <c r="AJ235" s="947">
        <f t="shared" si="315"/>
        <v>-8.4674936169362072E-2</v>
      </c>
      <c r="AK235" s="949">
        <f t="shared" si="315"/>
        <v>-1.8443899794877497E-3</v>
      </c>
      <c r="AL235" s="947">
        <f t="shared" si="315"/>
        <v>1.1578715801333229E-2</v>
      </c>
      <c r="AM235" s="947"/>
      <c r="AN235" s="947"/>
      <c r="AP235" s="947"/>
      <c r="BD235" s="929"/>
      <c r="BE235" s="929"/>
      <c r="BF235" s="929"/>
      <c r="BG235" s="929"/>
      <c r="BH235" s="929"/>
    </row>
    <row r="236" spans="1:60" s="911" customFormat="1" x14ac:dyDescent="0.25">
      <c r="A236" s="460" t="s">
        <v>316</v>
      </c>
      <c r="C236" s="950"/>
      <c r="D236" s="950"/>
      <c r="E236" s="950"/>
      <c r="F236" s="951"/>
      <c r="G236" s="950"/>
      <c r="H236" s="950"/>
      <c r="I236" s="950">
        <f>+I10/I12</f>
        <v>0.16152786517236101</v>
      </c>
      <c r="J236" s="951">
        <f t="shared" ref="J236:X236" si="316">+J10/J12</f>
        <v>0.19111616071220122</v>
      </c>
      <c r="K236" s="950">
        <f t="shared" si="316"/>
        <v>0.21654588505417233</v>
      </c>
      <c r="L236" s="950">
        <f t="shared" si="316"/>
        <v>0.18222785699939745</v>
      </c>
      <c r="M236" s="950">
        <f t="shared" si="316"/>
        <v>0.17689036725113089</v>
      </c>
      <c r="N236" s="951">
        <f t="shared" si="316"/>
        <v>0.17281099355522411</v>
      </c>
      <c r="O236" s="950">
        <f t="shared" si="316"/>
        <v>0.17010814077052902</v>
      </c>
      <c r="P236" s="950">
        <f t="shared" si="316"/>
        <v>0.15310008706606806</v>
      </c>
      <c r="Q236" s="950">
        <f t="shared" si="316"/>
        <v>0.15395962849788508</v>
      </c>
      <c r="R236" s="951">
        <f t="shared" si="316"/>
        <v>0.16560734463276841</v>
      </c>
      <c r="S236" s="950">
        <f t="shared" si="316"/>
        <v>0.16473108203085779</v>
      </c>
      <c r="T236" s="950">
        <f t="shared" si="316"/>
        <v>0.14804815530716867</v>
      </c>
      <c r="U236" s="950">
        <f t="shared" si="316"/>
        <v>0.14946889226100152</v>
      </c>
      <c r="V236" s="950">
        <f t="shared" si="316"/>
        <v>0.1489764839212353</v>
      </c>
      <c r="W236" s="1454">
        <f t="shared" si="316"/>
        <v>0.14071043392706414</v>
      </c>
      <c r="X236" s="950">
        <f t="shared" si="316"/>
        <v>0.13241043644777786</v>
      </c>
      <c r="Y236" s="952">
        <f t="shared" ref="Y236:AD236" si="317">+X236</f>
        <v>0.13241043644777786</v>
      </c>
      <c r="Z236" s="951">
        <f t="shared" si="317"/>
        <v>0.13241043644777786</v>
      </c>
      <c r="AA236" s="950">
        <f t="shared" si="317"/>
        <v>0.13241043644777786</v>
      </c>
      <c r="AB236" s="950">
        <f t="shared" si="317"/>
        <v>0.13241043644777786</v>
      </c>
      <c r="AC236" s="950">
        <f t="shared" si="317"/>
        <v>0.13241043644777786</v>
      </c>
      <c r="AD236" s="950">
        <f t="shared" si="317"/>
        <v>0.13241043644777786</v>
      </c>
      <c r="AF236" s="950"/>
      <c r="AG236" s="950">
        <f>+AG10/AG12</f>
        <v>0.14552539045212787</v>
      </c>
      <c r="AH236" s="950">
        <f>+AH10/AH12</f>
        <v>0.16892741596245373</v>
      </c>
      <c r="AI236" s="950">
        <f>+AI10/AI12</f>
        <v>0.18572203077191518</v>
      </c>
      <c r="AJ236" s="950">
        <f>+AJ10/AJ12</f>
        <v>0.1603532685952461</v>
      </c>
      <c r="AK236" s="952">
        <f>AVERAGE(S236:V236)</f>
        <v>0.15280615338006581</v>
      </c>
      <c r="AL236" s="950">
        <f>AVERAGE(T236:W236)</f>
        <v>0.14680099135411742</v>
      </c>
      <c r="AM236" s="950"/>
      <c r="AN236" s="950"/>
      <c r="AP236" s="950"/>
      <c r="BD236" s="953"/>
      <c r="BE236" s="953"/>
      <c r="BF236" s="953"/>
      <c r="BG236" s="953"/>
      <c r="BH236" s="953"/>
    </row>
    <row r="237" spans="1:60" x14ac:dyDescent="0.25">
      <c r="A237" s="474" t="s">
        <v>317</v>
      </c>
      <c r="C237" s="744"/>
      <c r="D237" s="744"/>
      <c r="E237" s="744"/>
      <c r="F237" s="745"/>
      <c r="G237" s="954"/>
      <c r="H237" s="954"/>
      <c r="I237" s="954">
        <f t="shared" ref="I237:AD237" si="318">+I236*I235</f>
        <v>3.9331279618580904E-3</v>
      </c>
      <c r="J237" s="955">
        <f t="shared" si="318"/>
        <v>4.2898575874134905E-3</v>
      </c>
      <c r="K237" s="954">
        <f t="shared" si="318"/>
        <v>1.2087223449426225E-2</v>
      </c>
      <c r="L237" s="954">
        <f t="shared" si="318"/>
        <v>1.5951984309798606E-2</v>
      </c>
      <c r="M237" s="954">
        <f t="shared" si="318"/>
        <v>6.2920976296941137E-3</v>
      </c>
      <c r="N237" s="955">
        <f t="shared" si="318"/>
        <v>-2.6791231214468898E-4</v>
      </c>
      <c r="O237" s="954">
        <f t="shared" si="318"/>
        <v>-5.7447540711196123E-3</v>
      </c>
      <c r="P237" s="954">
        <f t="shared" si="318"/>
        <v>-1.2797341428743902E-2</v>
      </c>
      <c r="Q237" s="954">
        <f t="shared" si="318"/>
        <v>-1.8052850047562838E-2</v>
      </c>
      <c r="R237" s="955">
        <f t="shared" si="318"/>
        <v>-1.7209830114145341E-2</v>
      </c>
      <c r="S237" s="954">
        <f t="shared" si="318"/>
        <v>-1.2153354997244688E-2</v>
      </c>
      <c r="T237" s="954">
        <f t="shared" si="318"/>
        <v>-1.412886796111011E-3</v>
      </c>
      <c r="U237" s="954">
        <f t="shared" si="318"/>
        <v>7.0574390714051027E-3</v>
      </c>
      <c r="V237" s="954">
        <f t="shared" si="318"/>
        <v>5.5441489536093517E-3</v>
      </c>
      <c r="W237" s="1455">
        <f t="shared" si="318"/>
        <v>3.1973305946629126E-3</v>
      </c>
      <c r="X237" s="954">
        <f t="shared" si="318"/>
        <v>-1.4342743392143734E-4</v>
      </c>
      <c r="Y237" s="956">
        <f t="shared" si="318"/>
        <v>1.7732804641766506E-3</v>
      </c>
      <c r="Z237" s="955">
        <f t="shared" si="318"/>
        <v>1.530300773349562E-3</v>
      </c>
      <c r="AA237" s="954">
        <f t="shared" si="318"/>
        <v>-2.7348286800349228E-3</v>
      </c>
      <c r="AB237" s="954">
        <f t="shared" si="318"/>
        <v>-2.0655059189906688E-3</v>
      </c>
      <c r="AC237" s="954">
        <f t="shared" si="318"/>
        <v>-4.5084998907096207E-3</v>
      </c>
      <c r="AD237" s="954">
        <f t="shared" si="318"/>
        <v>-2.5870701935566541E-3</v>
      </c>
      <c r="AE237" s="744"/>
      <c r="AF237" s="744"/>
      <c r="AG237" s="954">
        <f t="shared" ref="AG237:AL237" si="319">+AG236*AG235</f>
        <v>-5.5484224406304626E-3</v>
      </c>
      <c r="AH237" s="954">
        <f t="shared" si="319"/>
        <v>-4.0859241644455662E-4</v>
      </c>
      <c r="AI237" s="954">
        <f t="shared" si="319"/>
        <v>8.042394329871895E-3</v>
      </c>
      <c r="AJ237" s="954">
        <f t="shared" si="319"/>
        <v>-1.3577902782851035E-2</v>
      </c>
      <c r="AK237" s="956">
        <f t="shared" si="319"/>
        <v>-2.8183413809826152E-4</v>
      </c>
      <c r="AL237" s="954">
        <f t="shared" si="319"/>
        <v>1.6997669582433021E-3</v>
      </c>
      <c r="AM237" s="954"/>
    </row>
    <row r="238" spans="1:60" x14ac:dyDescent="0.25">
      <c r="A238" s="474" t="s">
        <v>318</v>
      </c>
      <c r="C238" s="744"/>
      <c r="D238" s="744"/>
      <c r="E238" s="744"/>
      <c r="F238" s="745"/>
      <c r="G238" s="954"/>
      <c r="H238" s="954"/>
      <c r="I238" s="954"/>
      <c r="J238" s="955"/>
      <c r="K238" s="954"/>
      <c r="L238" s="954"/>
      <c r="M238" s="954">
        <f>+'STER - Detailed Disclosure (mm)'!M47</f>
        <v>0.01</v>
      </c>
      <c r="N238" s="955">
        <f>+'STER - Detailed Disclosure (mm)'!N47</f>
        <v>5.0031543942424817E-3</v>
      </c>
      <c r="O238" s="954">
        <f>+'STER - Detailed Disclosure (mm)'!O47</f>
        <v>-6.9999999999999993E-3</v>
      </c>
      <c r="P238" s="954">
        <f>+'STER - Detailed Disclosure (mm)'!P47</f>
        <v>-1.4999999999999999E-2</v>
      </c>
      <c r="Q238" s="954">
        <f>+'STER - Detailed Disclosure (mm)'!Q47</f>
        <v>-1.6E-2</v>
      </c>
      <c r="R238" s="955">
        <f>+'STER - Detailed Disclosure (mm)'!R47</f>
        <v>-1.8356599415996259E-2</v>
      </c>
      <c r="S238" s="954">
        <f>+'STER - Detailed Disclosure (mm)'!S47</f>
        <v>-0.01</v>
      </c>
      <c r="T238" s="954">
        <f>+'STER - Detailed Disclosure (mm)'!T47</f>
        <v>-5.0000000000000001E-3</v>
      </c>
      <c r="U238" s="954">
        <f>+'STER - Detailed Disclosure (mm)'!U47</f>
        <v>1E-3</v>
      </c>
      <c r="V238" s="954">
        <f>+'STER - Detailed Disclosure (mm)'!V47</f>
        <v>5.0579213747643445E-3</v>
      </c>
      <c r="W238" s="1455">
        <f>+'STER - Detailed Disclosure (mm)'!W47</f>
        <v>-4.8758883050532831E-4</v>
      </c>
      <c r="X238" s="954">
        <f>+'STER - Detailed Disclosure (mm)'!X47</f>
        <v>2.817883855787337E-4</v>
      </c>
      <c r="Y238" s="956">
        <f>+'STER - Detailed Disclosure (mm)'!Y47</f>
        <v>2.6499340961199797E-3</v>
      </c>
      <c r="Z238" s="955"/>
      <c r="AA238" s="954"/>
      <c r="AB238" s="954"/>
      <c r="AC238" s="954"/>
      <c r="AD238" s="954"/>
      <c r="AE238" s="954"/>
      <c r="AF238" s="744"/>
      <c r="AG238" s="954"/>
      <c r="AH238" s="954"/>
      <c r="AI238" s="954">
        <f>+(AI134+AI142)/AH124*-1</f>
        <v>1.7000000000000001E-2</v>
      </c>
      <c r="AJ238" s="954">
        <f>+(AJ134+AJ142)/AI124*-1</f>
        <v>-1.4435100423129435E-2</v>
      </c>
      <c r="AK238" s="956">
        <f>+(AK134+AK142)/AJ124*-1</f>
        <v>-2.4634563669987601E-3</v>
      </c>
      <c r="AL238" s="954"/>
      <c r="AM238" s="954"/>
    </row>
    <row r="239" spans="1:60" x14ac:dyDescent="0.25">
      <c r="C239" s="744"/>
      <c r="D239" s="744"/>
      <c r="E239" s="744"/>
      <c r="F239" s="745"/>
      <c r="G239" s="744"/>
      <c r="H239" s="744"/>
      <c r="I239" s="744"/>
      <c r="J239" s="745"/>
      <c r="K239" s="744"/>
      <c r="L239" s="744"/>
      <c r="M239" s="744"/>
      <c r="N239" s="745"/>
      <c r="O239" s="744"/>
      <c r="P239" s="744"/>
      <c r="Q239" s="744"/>
      <c r="R239" s="745"/>
      <c r="S239" s="744"/>
      <c r="T239" s="744"/>
      <c r="U239" s="744"/>
      <c r="V239" s="744"/>
      <c r="W239" s="985"/>
      <c r="X239" s="744"/>
      <c r="Y239" s="792"/>
      <c r="Z239" s="745"/>
      <c r="AA239" s="744"/>
      <c r="AB239" s="744"/>
      <c r="AC239" s="744"/>
      <c r="AD239" s="744"/>
      <c r="AE239" s="744"/>
      <c r="AF239" s="744"/>
      <c r="AG239" s="744"/>
      <c r="AH239" s="744"/>
      <c r="AI239" s="744"/>
      <c r="AJ239" s="744"/>
      <c r="AK239" s="792"/>
      <c r="AL239" s="744"/>
      <c r="AM239" s="744"/>
    </row>
    <row r="240" spans="1:60" ht="12" x14ac:dyDescent="0.3">
      <c r="A240" s="933" t="s">
        <v>319</v>
      </c>
      <c r="C240" s="744"/>
      <c r="D240" s="744"/>
      <c r="E240" s="744"/>
      <c r="F240" s="745"/>
      <c r="G240" s="744"/>
      <c r="H240" s="744"/>
      <c r="I240" s="744"/>
      <c r="J240" s="745"/>
      <c r="K240" s="744"/>
      <c r="L240" s="744"/>
      <c r="M240" s="744"/>
      <c r="N240" s="745"/>
      <c r="O240" s="744"/>
      <c r="P240" s="744"/>
      <c r="Q240" s="744"/>
      <c r="R240" s="745"/>
      <c r="S240" s="744"/>
      <c r="T240" s="744"/>
      <c r="U240" s="744"/>
      <c r="V240" s="744"/>
      <c r="W240" s="985"/>
      <c r="X240" s="744"/>
      <c r="Y240" s="792"/>
      <c r="Z240" s="745"/>
      <c r="AA240" s="744"/>
      <c r="AB240" s="744"/>
      <c r="AC240" s="744"/>
      <c r="AD240" s="744"/>
      <c r="AE240" s="744"/>
      <c r="AF240" s="744"/>
      <c r="AG240" s="744"/>
      <c r="AH240" s="744"/>
      <c r="AI240" s="744"/>
      <c r="AJ240" s="744"/>
      <c r="AK240" s="792"/>
      <c r="AL240" s="744"/>
      <c r="AM240" s="744"/>
    </row>
    <row r="241" spans="1:60" s="794" customFormat="1" ht="12" x14ac:dyDescent="0.3">
      <c r="A241" s="934" t="str">
        <f>+A224</f>
        <v>USD / GBP - avg</v>
      </c>
      <c r="B241" s="935"/>
      <c r="C241" s="936"/>
      <c r="D241" s="936"/>
      <c r="E241" s="936"/>
      <c r="F241" s="937"/>
      <c r="G241" s="936"/>
      <c r="H241" s="936"/>
      <c r="I241" s="936">
        <f t="shared" ref="I241:AD241" si="320">+I218/H218-1</f>
        <v>4.0893830669693543E-2</v>
      </c>
      <c r="J241" s="937">
        <f t="shared" si="320"/>
        <v>2.2723262078168105E-2</v>
      </c>
      <c r="K241" s="936">
        <f t="shared" si="320"/>
        <v>4.3521511626267939E-2</v>
      </c>
      <c r="L241" s="936">
        <f t="shared" si="320"/>
        <v>1.3809642874941908E-2</v>
      </c>
      <c r="M241" s="936">
        <f t="shared" si="320"/>
        <v>-1.3793028280155606E-2</v>
      </c>
      <c r="N241" s="937">
        <f t="shared" si="320"/>
        <v>-2.1959134747670084E-2</v>
      </c>
      <c r="O241" s="936">
        <f t="shared" si="320"/>
        <v>-4.6151346887125522E-3</v>
      </c>
      <c r="P241" s="936">
        <f t="shared" si="320"/>
        <v>-6.3492058263411533E-2</v>
      </c>
      <c r="Q241" s="936">
        <f t="shared" si="320"/>
        <v>-6.3425658036320387E-2</v>
      </c>
      <c r="R241" s="937">
        <f t="shared" si="320"/>
        <v>-2.6220936368088754E-3</v>
      </c>
      <c r="S241" s="936">
        <f t="shared" si="320"/>
        <v>3.4525916792477185E-2</v>
      </c>
      <c r="T241" s="936">
        <f t="shared" si="320"/>
        <v>3.0761179291185048E-2</v>
      </c>
      <c r="U241" s="936">
        <f t="shared" si="320"/>
        <v>1.1539313900585269E-2</v>
      </c>
      <c r="V241" s="936">
        <f t="shared" si="320"/>
        <v>-1.9144378888889757E-2</v>
      </c>
      <c r="W241" s="1450">
        <f t="shared" si="320"/>
        <v>2.1026643806125067E-2</v>
      </c>
      <c r="X241" s="936">
        <f t="shared" si="320"/>
        <v>-5.1640105554491278E-3</v>
      </c>
      <c r="Y241" s="938">
        <f t="shared" si="320"/>
        <v>3.1234527869409945E-2</v>
      </c>
      <c r="Z241" s="937">
        <f t="shared" si="320"/>
        <v>-1.5172022855755696E-2</v>
      </c>
      <c r="AA241" s="936">
        <f t="shared" si="320"/>
        <v>-2.3044052000054327E-2</v>
      </c>
      <c r="AB241" s="936">
        <f t="shared" si="320"/>
        <v>0</v>
      </c>
      <c r="AC241" s="936">
        <f t="shared" si="320"/>
        <v>0</v>
      </c>
      <c r="AD241" s="936">
        <f t="shared" si="320"/>
        <v>0</v>
      </c>
      <c r="AF241" s="936"/>
      <c r="AG241" s="936"/>
      <c r="AH241" s="936"/>
      <c r="AI241" s="936"/>
      <c r="AJ241" s="936"/>
      <c r="AK241" s="938"/>
      <c r="AL241" s="936"/>
      <c r="AM241" s="936"/>
      <c r="AN241" s="936"/>
      <c r="AO241" s="935"/>
      <c r="AP241" s="936"/>
      <c r="AQ241" s="935"/>
      <c r="AR241" s="935"/>
      <c r="AS241" s="935"/>
      <c r="AT241" s="935"/>
      <c r="AU241" s="935"/>
      <c r="BD241" s="929"/>
      <c r="BE241" s="929"/>
      <c r="BF241" s="929"/>
      <c r="BG241" s="929"/>
      <c r="BH241" s="929"/>
    </row>
    <row r="242" spans="1:60" s="794" customFormat="1" ht="12" x14ac:dyDescent="0.3">
      <c r="A242" s="934" t="str">
        <f t="shared" ref="A242:A244" si="321">+A225</f>
        <v>USD / EUR - avg</v>
      </c>
      <c r="B242" s="935"/>
      <c r="C242" s="936"/>
      <c r="D242" s="936"/>
      <c r="E242" s="936"/>
      <c r="F242" s="937"/>
      <c r="G242" s="936"/>
      <c r="H242" s="936"/>
      <c r="I242" s="936">
        <f t="shared" ref="I242:AD242" si="322">+I219/H219-1</f>
        <v>6.1458830191979175E-2</v>
      </c>
      <c r="J242" s="937">
        <f t="shared" si="322"/>
        <v>2.0271942849949154E-2</v>
      </c>
      <c r="K242" s="936">
        <f t="shared" si="322"/>
        <v>1.0590831236256149E-2</v>
      </c>
      <c r="L242" s="936">
        <f t="shared" si="322"/>
        <v>-4.5027797537933179E-4</v>
      </c>
      <c r="M242" s="936">
        <f t="shared" si="322"/>
        <v>-2.1403144058427803E-2</v>
      </c>
      <c r="N242" s="937">
        <f t="shared" si="322"/>
        <v>-2.994260197411458E-2</v>
      </c>
      <c r="O242" s="936">
        <f t="shared" si="322"/>
        <v>-1.8592075013332376E-2</v>
      </c>
      <c r="P242" s="936">
        <f t="shared" si="322"/>
        <v>-5.103893692480721E-2</v>
      </c>
      <c r="Q242" s="936">
        <f t="shared" si="322"/>
        <v>-5.3895992109351476E-2</v>
      </c>
      <c r="R242" s="937">
        <f t="shared" si="322"/>
        <v>1.352324593294818E-2</v>
      </c>
      <c r="S242" s="936">
        <f t="shared" si="322"/>
        <v>5.0075936484603734E-2</v>
      </c>
      <c r="T242" s="936">
        <f t="shared" si="322"/>
        <v>1.4961396475802635E-2</v>
      </c>
      <c r="U242" s="936">
        <f t="shared" si="322"/>
        <v>-3.501687860041347E-5</v>
      </c>
      <c r="V242" s="936">
        <f t="shared" si="322"/>
        <v>-1.1094427939853602E-2</v>
      </c>
      <c r="W242" s="1450">
        <f t="shared" si="322"/>
        <v>8.5495498412129223E-3</v>
      </c>
      <c r="X242" s="936">
        <f t="shared" si="322"/>
        <v>-8.5192740429569369E-3</v>
      </c>
      <c r="Y242" s="938">
        <f t="shared" si="322"/>
        <v>2.1132586890009186E-2</v>
      </c>
      <c r="Z242" s="937">
        <f t="shared" si="322"/>
        <v>-2.9723651913227012E-2</v>
      </c>
      <c r="AA242" s="936">
        <f t="shared" si="322"/>
        <v>-2.8113799253256189E-2</v>
      </c>
      <c r="AB242" s="936">
        <f t="shared" si="322"/>
        <v>0</v>
      </c>
      <c r="AC242" s="936">
        <f t="shared" si="322"/>
        <v>0</v>
      </c>
      <c r="AD242" s="936">
        <f t="shared" si="322"/>
        <v>0</v>
      </c>
      <c r="AF242" s="936"/>
      <c r="AG242" s="936"/>
      <c r="AH242" s="936"/>
      <c r="AI242" s="936"/>
      <c r="AJ242" s="936"/>
      <c r="AK242" s="938"/>
      <c r="AL242" s="936"/>
      <c r="AM242" s="936"/>
      <c r="AN242" s="936"/>
      <c r="AO242" s="935"/>
      <c r="AP242" s="936"/>
      <c r="AQ242" s="935"/>
      <c r="AR242" s="935"/>
      <c r="AS242" s="935"/>
      <c r="AT242" s="935"/>
      <c r="AU242" s="935"/>
      <c r="BD242" s="929"/>
      <c r="BE242" s="929"/>
      <c r="BF242" s="929"/>
      <c r="BG242" s="929"/>
      <c r="BH242" s="929"/>
    </row>
    <row r="243" spans="1:60" s="794" customFormat="1" ht="12" x14ac:dyDescent="0.3">
      <c r="A243" s="934" t="str">
        <f t="shared" si="321"/>
        <v>USD / INR - avg</v>
      </c>
      <c r="B243" s="935"/>
      <c r="C243" s="936"/>
      <c r="D243" s="936"/>
      <c r="E243" s="936"/>
      <c r="F243" s="937"/>
      <c r="G243" s="936"/>
      <c r="H243" s="936"/>
      <c r="I243" s="936">
        <f t="shared" ref="I243:AD243" si="323">+I220/H220-1</f>
        <v>2.0878854988539253E-2</v>
      </c>
      <c r="J243" s="937">
        <f t="shared" si="323"/>
        <v>7.334776346907379E-3</v>
      </c>
      <c r="K243" s="936">
        <f t="shared" si="323"/>
        <v>1.1905212609574001E-2</v>
      </c>
      <c r="L243" s="936">
        <f t="shared" si="323"/>
        <v>-1.1055322265551837E-2</v>
      </c>
      <c r="M243" s="936">
        <f t="shared" si="323"/>
        <v>-4.5919605792480445E-3</v>
      </c>
      <c r="N243" s="937">
        <f t="shared" si="323"/>
        <v>-1.1469758996675239E-2</v>
      </c>
      <c r="O243" s="936">
        <f t="shared" si="323"/>
        <v>-3.6550181600201181E-3</v>
      </c>
      <c r="P243" s="936">
        <f t="shared" si="323"/>
        <v>-2.5629840054284592E-2</v>
      </c>
      <c r="Q243" s="936">
        <f t="shared" si="323"/>
        <v>-3.2240194817782286E-2</v>
      </c>
      <c r="R243" s="937">
        <f t="shared" si="323"/>
        <v>-2.8729349104005042E-2</v>
      </c>
      <c r="S243" s="936">
        <f t="shared" si="323"/>
        <v>-7.7166026444941416E-4</v>
      </c>
      <c r="T243" s="936">
        <f t="shared" si="323"/>
        <v>4.0175259313812717E-4</v>
      </c>
      <c r="U243" s="936">
        <f t="shared" si="323"/>
        <v>-6.2464347663311326E-3</v>
      </c>
      <c r="V243" s="936">
        <f t="shared" si="323"/>
        <v>-6.8072822326423754E-3</v>
      </c>
      <c r="W243" s="1450">
        <f t="shared" si="323"/>
        <v>2.4063245646765985E-3</v>
      </c>
      <c r="X243" s="936">
        <f t="shared" si="323"/>
        <v>-4.5575604602670072E-3</v>
      </c>
      <c r="Y243" s="938">
        <f t="shared" si="323"/>
        <v>-4.0699870733409416E-3</v>
      </c>
      <c r="Z243" s="937">
        <f t="shared" si="323"/>
        <v>-8.3152944381793548E-3</v>
      </c>
      <c r="AA243" s="936">
        <f t="shared" si="323"/>
        <v>-1.2556613423093221E-2</v>
      </c>
      <c r="AB243" s="936">
        <f t="shared" si="323"/>
        <v>0</v>
      </c>
      <c r="AC243" s="936">
        <f t="shared" si="323"/>
        <v>0</v>
      </c>
      <c r="AD243" s="936">
        <f t="shared" si="323"/>
        <v>0</v>
      </c>
      <c r="AF243" s="936"/>
      <c r="AG243" s="936"/>
      <c r="AH243" s="936"/>
      <c r="AI243" s="936"/>
      <c r="AJ243" s="936"/>
      <c r="AK243" s="938"/>
      <c r="AL243" s="936"/>
      <c r="AM243" s="936"/>
      <c r="AN243" s="936"/>
      <c r="AO243" s="935"/>
      <c r="AP243" s="936"/>
      <c r="AQ243" s="935"/>
      <c r="AR243" s="935"/>
      <c r="AS243" s="935"/>
      <c r="AT243" s="935"/>
      <c r="AU243" s="935"/>
      <c r="BD243" s="929"/>
      <c r="BE243" s="929"/>
      <c r="BF243" s="929"/>
      <c r="BG243" s="929"/>
      <c r="BH243" s="929"/>
    </row>
    <row r="244" spans="1:60" s="794" customFormat="1" ht="12" x14ac:dyDescent="0.3">
      <c r="A244" s="934" t="str">
        <f t="shared" si="321"/>
        <v>USD / HKD - avg</v>
      </c>
      <c r="B244" s="935"/>
      <c r="C244" s="936"/>
      <c r="D244" s="936"/>
      <c r="E244" s="936"/>
      <c r="F244" s="937"/>
      <c r="G244" s="936"/>
      <c r="H244" s="936"/>
      <c r="I244" s="936">
        <f t="shared" ref="I244:AD244" si="324">+I221/H221-1</f>
        <v>9.8921646292327026E-5</v>
      </c>
      <c r="J244" s="937">
        <f t="shared" si="324"/>
        <v>-1.4938374089856765E-4</v>
      </c>
      <c r="K244" s="936">
        <f t="shared" si="324"/>
        <v>-7.4404996197585671E-4</v>
      </c>
      <c r="L244" s="936">
        <f t="shared" si="324"/>
        <v>-1.0265007773183621E-3</v>
      </c>
      <c r="M244" s="936">
        <f t="shared" si="324"/>
        <v>-1.5873228741606349E-3</v>
      </c>
      <c r="N244" s="937">
        <f t="shared" si="324"/>
        <v>-1.5296048221630221E-3</v>
      </c>
      <c r="O244" s="936">
        <f t="shared" si="324"/>
        <v>-1.9354096522470332E-3</v>
      </c>
      <c r="P244" s="936">
        <f t="shared" si="324"/>
        <v>-5.2913959976625957E-3</v>
      </c>
      <c r="Q244" s="936">
        <f t="shared" si="324"/>
        <v>-2.3414849114677949E-4</v>
      </c>
      <c r="R244" s="937">
        <f t="shared" si="324"/>
        <v>3.3033424564068437E-3</v>
      </c>
      <c r="S244" s="936">
        <f t="shared" si="324"/>
        <v>-1.9662654679328817E-3</v>
      </c>
      <c r="T244" s="936">
        <f t="shared" si="324"/>
        <v>-1.9228381950486817E-4</v>
      </c>
      <c r="U244" s="936">
        <f t="shared" si="324"/>
        <v>1.8828806165442913E-3</v>
      </c>
      <c r="V244" s="936">
        <f t="shared" si="324"/>
        <v>1.3118562841603065E-3</v>
      </c>
      <c r="W244" s="1450">
        <f t="shared" si="324"/>
        <v>-7.8181048186654056E-4</v>
      </c>
      <c r="X244" s="936">
        <f t="shared" si="324"/>
        <v>3.6309732430250818E-4</v>
      </c>
      <c r="Y244" s="938">
        <f t="shared" si="324"/>
        <v>2.3473531500233236E-3</v>
      </c>
      <c r="Z244" s="937">
        <f t="shared" si="324"/>
        <v>3.1943543178083456E-3</v>
      </c>
      <c r="AA244" s="936">
        <f t="shared" si="324"/>
        <v>1.1784355437174376E-3</v>
      </c>
      <c r="AB244" s="936">
        <f t="shared" si="324"/>
        <v>0</v>
      </c>
      <c r="AC244" s="936">
        <f t="shared" si="324"/>
        <v>0</v>
      </c>
      <c r="AD244" s="936">
        <f t="shared" si="324"/>
        <v>0</v>
      </c>
      <c r="AF244" s="936"/>
      <c r="AG244" s="936"/>
      <c r="AH244" s="936"/>
      <c r="AI244" s="936"/>
      <c r="AJ244" s="936"/>
      <c r="AK244" s="938"/>
      <c r="AL244" s="936"/>
      <c r="AM244" s="936"/>
      <c r="AN244" s="936"/>
      <c r="AO244" s="935"/>
      <c r="AP244" s="936"/>
      <c r="AQ244" s="935"/>
      <c r="AR244" s="935"/>
      <c r="AS244" s="935"/>
      <c r="AT244" s="935"/>
      <c r="AU244" s="935"/>
      <c r="BD244" s="929"/>
      <c r="BE244" s="929"/>
      <c r="BF244" s="929"/>
      <c r="BG244" s="929"/>
      <c r="BH244" s="929"/>
    </row>
    <row r="245" spans="1:60" x14ac:dyDescent="0.25">
      <c r="C245" s="744"/>
      <c r="D245" s="744"/>
      <c r="E245" s="744"/>
      <c r="F245" s="745"/>
      <c r="G245" s="744"/>
      <c r="H245" s="744"/>
      <c r="I245" s="744"/>
      <c r="J245" s="745"/>
      <c r="K245" s="744"/>
      <c r="L245" s="744"/>
      <c r="M245" s="744"/>
      <c r="N245" s="745"/>
      <c r="O245" s="744"/>
      <c r="P245" s="744"/>
      <c r="Q245" s="744"/>
      <c r="R245" s="745"/>
      <c r="S245" s="744"/>
      <c r="T245" s="744"/>
      <c r="U245" s="744"/>
      <c r="V245" s="744"/>
      <c r="W245" s="985"/>
      <c r="X245" s="744"/>
      <c r="Y245" s="792"/>
      <c r="Z245" s="745"/>
      <c r="AA245" s="744"/>
      <c r="AB245" s="744"/>
      <c r="AC245" s="744"/>
      <c r="AD245" s="744"/>
      <c r="AE245" s="744"/>
      <c r="AF245" s="744"/>
      <c r="AG245" s="744"/>
      <c r="AH245" s="744"/>
      <c r="AI245" s="744"/>
      <c r="AJ245" s="744"/>
      <c r="AK245" s="792"/>
      <c r="AL245" s="744"/>
      <c r="AM245" s="744"/>
    </row>
    <row r="246" spans="1:60" ht="12" x14ac:dyDescent="0.3">
      <c r="A246" s="933" t="s">
        <v>310</v>
      </c>
      <c r="C246" s="744"/>
      <c r="D246" s="744"/>
      <c r="E246" s="744"/>
      <c r="F246" s="745"/>
      <c r="G246" s="744"/>
      <c r="H246" s="744"/>
      <c r="I246" s="744"/>
      <c r="J246" s="745"/>
      <c r="K246" s="744"/>
      <c r="L246" s="744"/>
      <c r="M246" s="744"/>
      <c r="N246" s="745"/>
      <c r="O246" s="744"/>
      <c r="P246" s="744"/>
      <c r="Q246" s="744"/>
      <c r="R246" s="745"/>
      <c r="S246" s="744"/>
      <c r="T246" s="744"/>
      <c r="U246" s="744"/>
      <c r="V246" s="744"/>
      <c r="W246" s="985"/>
      <c r="X246" s="744"/>
      <c r="Y246" s="792"/>
      <c r="Z246" s="745"/>
      <c r="AA246" s="744"/>
      <c r="AB246" s="744"/>
      <c r="AC246" s="744"/>
      <c r="AD246" s="744"/>
      <c r="AE246" s="744"/>
      <c r="AF246" s="744"/>
      <c r="AG246" s="744"/>
      <c r="AH246" s="744"/>
      <c r="AI246" s="744"/>
      <c r="AJ246" s="744"/>
      <c r="AK246" s="792"/>
      <c r="AL246" s="744"/>
      <c r="AM246" s="744"/>
    </row>
    <row r="247" spans="1:60" s="939" customFormat="1" ht="12" x14ac:dyDescent="0.3">
      <c r="A247" s="934" t="s">
        <v>311</v>
      </c>
      <c r="C247" s="916"/>
      <c r="D247" s="916"/>
      <c r="E247" s="916"/>
      <c r="F247" s="940"/>
      <c r="G247" s="941"/>
      <c r="H247" s="941"/>
      <c r="I247" s="1118">
        <f>+I230</f>
        <v>0.5</v>
      </c>
      <c r="J247" s="1492">
        <f t="shared" ref="J247:AD247" si="325">+J230</f>
        <v>0.5</v>
      </c>
      <c r="K247" s="1118">
        <f t="shared" si="325"/>
        <v>0.5</v>
      </c>
      <c r="L247" s="1118">
        <f t="shared" si="325"/>
        <v>0.5</v>
      </c>
      <c r="M247" s="1118">
        <f t="shared" si="325"/>
        <v>0.5</v>
      </c>
      <c r="N247" s="1492">
        <f t="shared" si="325"/>
        <v>0.5</v>
      </c>
      <c r="O247" s="1118">
        <f t="shared" si="325"/>
        <v>0.5</v>
      </c>
      <c r="P247" s="1118">
        <f t="shared" si="325"/>
        <v>0.5</v>
      </c>
      <c r="Q247" s="1118">
        <f t="shared" si="325"/>
        <v>0.5</v>
      </c>
      <c r="R247" s="1492">
        <f t="shared" si="325"/>
        <v>0.5</v>
      </c>
      <c r="S247" s="1118">
        <f t="shared" si="325"/>
        <v>0.5</v>
      </c>
      <c r="T247" s="1118">
        <f t="shared" si="325"/>
        <v>0.5</v>
      </c>
      <c r="U247" s="1118">
        <f t="shared" si="325"/>
        <v>0.5</v>
      </c>
      <c r="V247" s="1118">
        <f t="shared" si="325"/>
        <v>0.5</v>
      </c>
      <c r="W247" s="2331">
        <f t="shared" si="325"/>
        <v>0.5</v>
      </c>
      <c r="X247" s="1118">
        <f t="shared" si="325"/>
        <v>0.5</v>
      </c>
      <c r="Y247" s="2275">
        <f t="shared" si="325"/>
        <v>0.5</v>
      </c>
      <c r="Z247" s="1492">
        <f t="shared" si="325"/>
        <v>0.5</v>
      </c>
      <c r="AA247" s="1118">
        <f t="shared" si="325"/>
        <v>0.5</v>
      </c>
      <c r="AB247" s="1118">
        <f t="shared" si="325"/>
        <v>0.5</v>
      </c>
      <c r="AC247" s="1118">
        <f t="shared" si="325"/>
        <v>0.5</v>
      </c>
      <c r="AD247" s="1118">
        <f t="shared" si="325"/>
        <v>0.5</v>
      </c>
      <c r="AE247" s="916"/>
      <c r="AF247" s="916"/>
      <c r="AG247" s="941"/>
      <c r="AH247" s="941"/>
      <c r="AI247" s="941"/>
      <c r="AJ247" s="941"/>
      <c r="AK247" s="943"/>
      <c r="AL247" s="941"/>
      <c r="AM247" s="941"/>
    </row>
    <row r="248" spans="1:60" s="939" customFormat="1" ht="12" x14ac:dyDescent="0.3">
      <c r="A248" s="934" t="s">
        <v>312</v>
      </c>
      <c r="C248" s="916"/>
      <c r="D248" s="916"/>
      <c r="E248" s="916"/>
      <c r="F248" s="940"/>
      <c r="G248" s="941"/>
      <c r="H248" s="941"/>
      <c r="I248" s="1118">
        <f t="shared" ref="I248:AD248" si="326">+I231</f>
        <v>0.2</v>
      </c>
      <c r="J248" s="1492">
        <f t="shared" si="326"/>
        <v>0.2</v>
      </c>
      <c r="K248" s="1118">
        <f t="shared" si="326"/>
        <v>0.2</v>
      </c>
      <c r="L248" s="1118">
        <f t="shared" si="326"/>
        <v>0.2</v>
      </c>
      <c r="M248" s="1118">
        <f t="shared" si="326"/>
        <v>0.2</v>
      </c>
      <c r="N248" s="1492">
        <f t="shared" si="326"/>
        <v>0.2</v>
      </c>
      <c r="O248" s="1118">
        <f t="shared" si="326"/>
        <v>0.2</v>
      </c>
      <c r="P248" s="1118">
        <f t="shared" si="326"/>
        <v>0.2</v>
      </c>
      <c r="Q248" s="1118">
        <f t="shared" si="326"/>
        <v>0.2</v>
      </c>
      <c r="R248" s="1492">
        <f t="shared" si="326"/>
        <v>0.2</v>
      </c>
      <c r="S248" s="1118">
        <f t="shared" si="326"/>
        <v>0.2</v>
      </c>
      <c r="T248" s="1118">
        <f t="shared" si="326"/>
        <v>0.2</v>
      </c>
      <c r="U248" s="1118">
        <f t="shared" si="326"/>
        <v>0.2</v>
      </c>
      <c r="V248" s="1118">
        <f t="shared" si="326"/>
        <v>0.2</v>
      </c>
      <c r="W248" s="2331">
        <f t="shared" si="326"/>
        <v>0.2</v>
      </c>
      <c r="X248" s="1118">
        <f t="shared" si="326"/>
        <v>0.2</v>
      </c>
      <c r="Y248" s="2275">
        <f t="shared" si="326"/>
        <v>0.2</v>
      </c>
      <c r="Z248" s="1492">
        <f t="shared" si="326"/>
        <v>0.2</v>
      </c>
      <c r="AA248" s="1118">
        <f t="shared" si="326"/>
        <v>0.2</v>
      </c>
      <c r="AB248" s="1118">
        <f t="shared" si="326"/>
        <v>0.2</v>
      </c>
      <c r="AC248" s="1118">
        <f t="shared" si="326"/>
        <v>0.2</v>
      </c>
      <c r="AD248" s="1118">
        <f t="shared" si="326"/>
        <v>0.2</v>
      </c>
      <c r="AE248" s="916"/>
      <c r="AF248" s="916"/>
      <c r="AG248" s="941"/>
      <c r="AH248" s="941"/>
      <c r="AI248" s="941"/>
      <c r="AJ248" s="941"/>
      <c r="AK248" s="943"/>
      <c r="AL248" s="941"/>
      <c r="AM248" s="941"/>
    </row>
    <row r="249" spans="1:60" s="939" customFormat="1" ht="12" x14ac:dyDescent="0.3">
      <c r="A249" s="934" t="s">
        <v>313</v>
      </c>
      <c r="C249" s="916"/>
      <c r="D249" s="916"/>
      <c r="E249" s="916"/>
      <c r="F249" s="940"/>
      <c r="G249" s="941"/>
      <c r="H249" s="941"/>
      <c r="I249" s="1118">
        <f t="shared" ref="I249:AD249" si="327">+I232</f>
        <v>0.2</v>
      </c>
      <c r="J249" s="1492">
        <f t="shared" si="327"/>
        <v>0.2</v>
      </c>
      <c r="K249" s="1118">
        <f t="shared" si="327"/>
        <v>0.2</v>
      </c>
      <c r="L249" s="1118">
        <f t="shared" si="327"/>
        <v>0.2</v>
      </c>
      <c r="M249" s="1118">
        <f t="shared" si="327"/>
        <v>0.2</v>
      </c>
      <c r="N249" s="1492">
        <f t="shared" si="327"/>
        <v>0.2</v>
      </c>
      <c r="O249" s="1118">
        <f t="shared" si="327"/>
        <v>0.2</v>
      </c>
      <c r="P249" s="1118">
        <f t="shared" si="327"/>
        <v>0.2</v>
      </c>
      <c r="Q249" s="1118">
        <f t="shared" si="327"/>
        <v>0.2</v>
      </c>
      <c r="R249" s="1492">
        <f t="shared" si="327"/>
        <v>0.2</v>
      </c>
      <c r="S249" s="1118">
        <f t="shared" si="327"/>
        <v>0.2</v>
      </c>
      <c r="T249" s="1118">
        <f t="shared" si="327"/>
        <v>0.2</v>
      </c>
      <c r="U249" s="1118">
        <f t="shared" si="327"/>
        <v>0.2</v>
      </c>
      <c r="V249" s="1118">
        <f t="shared" si="327"/>
        <v>0.2</v>
      </c>
      <c r="W249" s="2331">
        <f t="shared" si="327"/>
        <v>0.2</v>
      </c>
      <c r="X249" s="1118">
        <f t="shared" si="327"/>
        <v>0.2</v>
      </c>
      <c r="Y249" s="2275">
        <f t="shared" si="327"/>
        <v>0.2</v>
      </c>
      <c r="Z249" s="1492">
        <f t="shared" si="327"/>
        <v>0.2</v>
      </c>
      <c r="AA249" s="1118">
        <f t="shared" si="327"/>
        <v>0.2</v>
      </c>
      <c r="AB249" s="1118">
        <f t="shared" si="327"/>
        <v>0.2</v>
      </c>
      <c r="AC249" s="1118">
        <f t="shared" si="327"/>
        <v>0.2</v>
      </c>
      <c r="AD249" s="1118">
        <f t="shared" si="327"/>
        <v>0.2</v>
      </c>
      <c r="AE249" s="916"/>
      <c r="AF249" s="916"/>
      <c r="AG249" s="941"/>
      <c r="AH249" s="941"/>
      <c r="AI249" s="941"/>
      <c r="AJ249" s="941"/>
      <c r="AK249" s="943"/>
      <c r="AL249" s="941"/>
      <c r="AM249" s="941"/>
    </row>
    <row r="250" spans="1:60" s="939" customFormat="1" ht="12" x14ac:dyDescent="0.3">
      <c r="A250" s="934" t="s">
        <v>314</v>
      </c>
      <c r="C250" s="916"/>
      <c r="D250" s="916"/>
      <c r="E250" s="916"/>
      <c r="F250" s="940"/>
      <c r="G250" s="944"/>
      <c r="H250" s="944"/>
      <c r="I250" s="1118">
        <f t="shared" ref="I250:AD250" si="328">+I233</f>
        <v>9.9999999999999978E-2</v>
      </c>
      <c r="J250" s="1492">
        <f t="shared" si="328"/>
        <v>9.9999999999999978E-2</v>
      </c>
      <c r="K250" s="1118">
        <f t="shared" si="328"/>
        <v>9.9999999999999978E-2</v>
      </c>
      <c r="L250" s="1118">
        <f t="shared" si="328"/>
        <v>9.9999999999999978E-2</v>
      </c>
      <c r="M250" s="1118">
        <f t="shared" si="328"/>
        <v>9.9999999999999978E-2</v>
      </c>
      <c r="N250" s="1492">
        <f t="shared" si="328"/>
        <v>9.9999999999999978E-2</v>
      </c>
      <c r="O250" s="1118">
        <f t="shared" si="328"/>
        <v>9.9999999999999978E-2</v>
      </c>
      <c r="P250" s="1118">
        <f t="shared" si="328"/>
        <v>9.9999999999999978E-2</v>
      </c>
      <c r="Q250" s="1118">
        <f t="shared" si="328"/>
        <v>9.9999999999999978E-2</v>
      </c>
      <c r="R250" s="1492">
        <f t="shared" si="328"/>
        <v>9.9999999999999978E-2</v>
      </c>
      <c r="S250" s="1118">
        <f t="shared" si="328"/>
        <v>9.9999999999999978E-2</v>
      </c>
      <c r="T250" s="1118">
        <f t="shared" si="328"/>
        <v>9.9999999999999978E-2</v>
      </c>
      <c r="U250" s="1118">
        <f t="shared" si="328"/>
        <v>9.9999999999999978E-2</v>
      </c>
      <c r="V250" s="1118">
        <f t="shared" si="328"/>
        <v>9.9999999999999978E-2</v>
      </c>
      <c r="W250" s="2331">
        <f t="shared" si="328"/>
        <v>9.9999999999999978E-2</v>
      </c>
      <c r="X250" s="1118">
        <f t="shared" si="328"/>
        <v>9.9999999999999978E-2</v>
      </c>
      <c r="Y250" s="2275">
        <f t="shared" si="328"/>
        <v>9.9999999999999978E-2</v>
      </c>
      <c r="Z250" s="1492">
        <f t="shared" si="328"/>
        <v>9.9999999999999978E-2</v>
      </c>
      <c r="AA250" s="1118">
        <f t="shared" si="328"/>
        <v>9.9999999999999978E-2</v>
      </c>
      <c r="AB250" s="1118">
        <f t="shared" si="328"/>
        <v>9.9999999999999978E-2</v>
      </c>
      <c r="AC250" s="1118">
        <f t="shared" si="328"/>
        <v>9.9999999999999978E-2</v>
      </c>
      <c r="AD250" s="1118">
        <f t="shared" si="328"/>
        <v>9.9999999999999978E-2</v>
      </c>
      <c r="AE250" s="916"/>
      <c r="AF250" s="916"/>
      <c r="AG250" s="944"/>
      <c r="AH250" s="944"/>
      <c r="AI250" s="944"/>
      <c r="AJ250" s="944"/>
      <c r="AK250" s="946"/>
      <c r="AL250" s="944"/>
      <c r="AM250" s="944"/>
    </row>
    <row r="251" spans="1:60" x14ac:dyDescent="0.25">
      <c r="C251" s="744"/>
      <c r="D251" s="744"/>
      <c r="E251" s="744"/>
      <c r="F251" s="745"/>
      <c r="G251" s="744"/>
      <c r="H251" s="744"/>
      <c r="I251" s="744"/>
      <c r="J251" s="745"/>
      <c r="K251" s="744"/>
      <c r="L251" s="744"/>
      <c r="M251" s="744"/>
      <c r="N251" s="745"/>
      <c r="O251" s="744"/>
      <c r="P251" s="744"/>
      <c r="Q251" s="744"/>
      <c r="R251" s="745"/>
      <c r="S251" s="744"/>
      <c r="T251" s="744"/>
      <c r="U251" s="744"/>
      <c r="V251" s="744"/>
      <c r="W251" s="985"/>
      <c r="X251" s="744"/>
      <c r="Y251" s="792"/>
      <c r="Z251" s="745"/>
      <c r="AA251" s="744"/>
      <c r="AB251" s="744"/>
      <c r="AC251" s="744"/>
      <c r="AD251" s="744"/>
      <c r="AE251" s="744"/>
      <c r="AF251" s="744"/>
      <c r="AG251" s="744"/>
      <c r="AH251" s="744"/>
      <c r="AI251" s="744"/>
      <c r="AJ251" s="744"/>
      <c r="AK251" s="792"/>
      <c r="AL251" s="744"/>
      <c r="AM251" s="744"/>
    </row>
    <row r="252" spans="1:60" s="794" customFormat="1" x14ac:dyDescent="0.25">
      <c r="A252" s="460" t="s">
        <v>320</v>
      </c>
      <c r="C252" s="947"/>
      <c r="D252" s="947"/>
      <c r="E252" s="947"/>
      <c r="F252" s="948"/>
      <c r="G252" s="947"/>
      <c r="H252" s="947"/>
      <c r="I252" s="947">
        <f t="shared" ref="I252" si="329">+SUMPRODUCT(I247:I250,I241:I244)</f>
        <v>3.692434453557969E-2</v>
      </c>
      <c r="J252" s="948">
        <f t="shared" ref="J252:AD252" si="330">+SUMPRODUCT(J247:J250,J241:J244)</f>
        <v>1.6868036504365504E-2</v>
      </c>
      <c r="K252" s="947">
        <f t="shared" si="330"/>
        <v>2.6185559586102414E-2</v>
      </c>
      <c r="L252" s="947">
        <f t="shared" si="330"/>
        <v>4.501051311552884E-3</v>
      </c>
      <c r="M252" s="947">
        <f t="shared" si="330"/>
        <v>-1.2254267355029035E-2</v>
      </c>
      <c r="N252" s="948">
        <f t="shared" si="330"/>
        <v>-1.9415000050209307E-2</v>
      </c>
      <c r="O252" s="947">
        <f t="shared" si="330"/>
        <v>-6.9505269442514785E-3</v>
      </c>
      <c r="P252" s="947">
        <f t="shared" si="330"/>
        <v>-4.760892412729039E-2</v>
      </c>
      <c r="Q252" s="947">
        <f t="shared" si="330"/>
        <v>-4.8963481252701627E-2</v>
      </c>
      <c r="R252" s="948">
        <f t="shared" si="330"/>
        <v>-4.0219332069751264E-3</v>
      </c>
      <c r="S252" s="947">
        <f t="shared" si="330"/>
        <v>2.6927187093476166E-2</v>
      </c>
      <c r="T252" s="947">
        <f t="shared" si="330"/>
        <v>1.8433991077430191E-2</v>
      </c>
      <c r="U252" s="947">
        <f t="shared" si="330"/>
        <v>4.7016546829607535E-3</v>
      </c>
      <c r="V252" s="947">
        <f t="shared" si="330"/>
        <v>-1.3021345850528044E-2</v>
      </c>
      <c r="W252" s="1453">
        <f t="shared" si="330"/>
        <v>1.2626315736053783E-2</v>
      </c>
      <c r="X252" s="947">
        <f t="shared" si="330"/>
        <v>-5.1610624459391017E-3</v>
      </c>
      <c r="Y252" s="949">
        <f t="shared" si="330"/>
        <v>1.9264519213040954E-2</v>
      </c>
      <c r="Z252" s="948">
        <f t="shared" si="330"/>
        <v>-1.4874365266378288E-2</v>
      </c>
      <c r="AA252" s="947">
        <f t="shared" si="330"/>
        <v>-1.9538264980925306E-2</v>
      </c>
      <c r="AB252" s="947">
        <f t="shared" si="330"/>
        <v>0</v>
      </c>
      <c r="AC252" s="947">
        <f t="shared" si="330"/>
        <v>0</v>
      </c>
      <c r="AD252" s="947">
        <f t="shared" si="330"/>
        <v>0</v>
      </c>
      <c r="AF252" s="947"/>
      <c r="AG252" s="947"/>
      <c r="AH252" s="947"/>
      <c r="AI252" s="947"/>
      <c r="AJ252" s="947"/>
      <c r="AK252" s="949"/>
      <c r="AL252" s="947"/>
      <c r="AM252" s="947"/>
      <c r="AN252" s="947"/>
      <c r="AP252" s="947"/>
      <c r="BD252" s="929"/>
      <c r="BE252" s="929"/>
      <c r="BF252" s="929"/>
      <c r="BG252" s="929"/>
      <c r="BH252" s="929"/>
    </row>
    <row r="253" spans="1:60" s="911" customFormat="1" x14ac:dyDescent="0.25">
      <c r="A253" s="460" t="s">
        <v>316</v>
      </c>
      <c r="C253" s="950"/>
      <c r="D253" s="950"/>
      <c r="E253" s="950"/>
      <c r="F253" s="951"/>
      <c r="G253" s="950"/>
      <c r="H253" s="950"/>
      <c r="I253" s="950">
        <f>+I10/I12</f>
        <v>0.16152786517236101</v>
      </c>
      <c r="J253" s="951">
        <f t="shared" ref="J253:AD253" si="331">+J10/J12</f>
        <v>0.19111616071220122</v>
      </c>
      <c r="K253" s="950">
        <f t="shared" si="331"/>
        <v>0.21654588505417233</v>
      </c>
      <c r="L253" s="950">
        <f t="shared" si="331"/>
        <v>0.18222785699939745</v>
      </c>
      <c r="M253" s="950">
        <f t="shared" si="331"/>
        <v>0.17689036725113089</v>
      </c>
      <c r="N253" s="951">
        <f t="shared" si="331"/>
        <v>0.17281099355522411</v>
      </c>
      <c r="O253" s="950">
        <f t="shared" si="331"/>
        <v>0.17010814077052902</v>
      </c>
      <c r="P253" s="950">
        <f t="shared" si="331"/>
        <v>0.15310008706606806</v>
      </c>
      <c r="Q253" s="950">
        <f t="shared" si="331"/>
        <v>0.15395962849788508</v>
      </c>
      <c r="R253" s="951">
        <f t="shared" si="331"/>
        <v>0.16560734463276841</v>
      </c>
      <c r="S253" s="950">
        <f t="shared" si="331"/>
        <v>0.16473108203085779</v>
      </c>
      <c r="T253" s="950">
        <f t="shared" si="331"/>
        <v>0.14804815530716867</v>
      </c>
      <c r="U253" s="950">
        <f t="shared" si="331"/>
        <v>0.14946889226100152</v>
      </c>
      <c r="V253" s="950">
        <f t="shared" si="331"/>
        <v>0.1489764839212353</v>
      </c>
      <c r="W253" s="1454">
        <f t="shared" si="331"/>
        <v>0.14071043392706414</v>
      </c>
      <c r="X253" s="950">
        <f t="shared" si="331"/>
        <v>0.13241043644777786</v>
      </c>
      <c r="Y253" s="952">
        <f t="shared" si="331"/>
        <v>0.13529012787723785</v>
      </c>
      <c r="Z253" s="951">
        <f t="shared" si="331"/>
        <v>0.14067431211985137</v>
      </c>
      <c r="AA253" s="950">
        <f t="shared" si="331"/>
        <v>0.14312819199146384</v>
      </c>
      <c r="AB253" s="950">
        <f t="shared" si="331"/>
        <v>0.13412189706666133</v>
      </c>
      <c r="AC253" s="950">
        <f t="shared" si="331"/>
        <v>0.13903172683855958</v>
      </c>
      <c r="AD253" s="950">
        <f t="shared" si="331"/>
        <v>0.1428556904084696</v>
      </c>
      <c r="AF253" s="950"/>
      <c r="AG253" s="950"/>
      <c r="AH253" s="950"/>
      <c r="AI253" s="950"/>
      <c r="AJ253" s="950"/>
      <c r="AK253" s="952"/>
      <c r="AL253" s="950"/>
      <c r="AM253" s="950"/>
      <c r="AN253" s="950"/>
      <c r="AP253" s="950"/>
      <c r="BD253" s="953"/>
      <c r="BE253" s="953"/>
      <c r="BF253" s="953"/>
      <c r="BG253" s="953"/>
      <c r="BH253" s="953"/>
    </row>
    <row r="254" spans="1:60" x14ac:dyDescent="0.25">
      <c r="A254" s="474" t="s">
        <v>321</v>
      </c>
      <c r="C254" s="744"/>
      <c r="D254" s="744"/>
      <c r="E254" s="744"/>
      <c r="F254" s="745"/>
      <c r="G254" s="954"/>
      <c r="H254" s="954"/>
      <c r="I254" s="954">
        <f t="shared" ref="I254" si="332">+I253*I252</f>
        <v>5.9643105457209212E-3</v>
      </c>
      <c r="J254" s="955">
        <f t="shared" ref="J254:AD254" si="333">+J253*J252</f>
        <v>3.2237543754675946E-3</v>
      </c>
      <c r="K254" s="954">
        <f t="shared" si="333"/>
        <v>5.6703751762113138E-3</v>
      </c>
      <c r="L254" s="954">
        <f t="shared" si="333"/>
        <v>8.2021693474860927E-4</v>
      </c>
      <c r="M254" s="954">
        <f t="shared" si="333"/>
        <v>-2.1676618528246303E-3</v>
      </c>
      <c r="N254" s="955">
        <f t="shared" si="333"/>
        <v>-3.3551254485513966E-3</v>
      </c>
      <c r="O254" s="954">
        <f t="shared" si="333"/>
        <v>-1.1823412158620853E-3</v>
      </c>
      <c r="P254" s="954">
        <f t="shared" si="333"/>
        <v>-7.2889304290099871E-3</v>
      </c>
      <c r="Q254" s="954">
        <f t="shared" si="333"/>
        <v>-7.5383993836291036E-3</v>
      </c>
      <c r="R254" s="955">
        <f t="shared" si="333"/>
        <v>-6.6606167869750522E-4</v>
      </c>
      <c r="S254" s="954">
        <f t="shared" si="333"/>
        <v>4.435744665955677E-3</v>
      </c>
      <c r="T254" s="954">
        <f t="shared" si="333"/>
        <v>2.7291183739623463E-3</v>
      </c>
      <c r="U254" s="954">
        <f t="shared" si="333"/>
        <v>7.0275111725589406E-4</v>
      </c>
      <c r="V254" s="954">
        <f t="shared" si="333"/>
        <v>-1.9398743207340351E-3</v>
      </c>
      <c r="W254" s="1455">
        <f t="shared" si="333"/>
        <v>1.776654366120246E-3</v>
      </c>
      <c r="X254" s="954">
        <f t="shared" si="333"/>
        <v>-6.8337853100103243E-4</v>
      </c>
      <c r="Y254" s="956">
        <f t="shared" si="333"/>
        <v>2.6062992678258161E-3</v>
      </c>
      <c r="Z254" s="955">
        <f t="shared" si="333"/>
        <v>-2.0924411020671755E-3</v>
      </c>
      <c r="AA254" s="954">
        <f t="shared" si="333"/>
        <v>-2.7964765413699719E-3</v>
      </c>
      <c r="AB254" s="954">
        <f t="shared" si="333"/>
        <v>0</v>
      </c>
      <c r="AC254" s="954">
        <f t="shared" si="333"/>
        <v>0</v>
      </c>
      <c r="AD254" s="954">
        <f t="shared" si="333"/>
        <v>0</v>
      </c>
      <c r="AE254" s="744"/>
      <c r="AF254" s="744"/>
      <c r="AG254" s="954"/>
      <c r="AH254" s="954"/>
      <c r="AI254" s="954"/>
      <c r="AJ254" s="954"/>
      <c r="AK254" s="956"/>
      <c r="AL254" s="954"/>
      <c r="AM254" s="954"/>
    </row>
    <row r="255" spans="1:60" x14ac:dyDescent="0.25">
      <c r="A255" s="474"/>
      <c r="C255" s="744"/>
      <c r="D255" s="744"/>
      <c r="E255" s="744"/>
      <c r="F255" s="745"/>
      <c r="G255" s="954"/>
      <c r="H255" s="954"/>
      <c r="I255" s="954"/>
      <c r="J255" s="955"/>
      <c r="K255" s="954"/>
      <c r="L255" s="954"/>
      <c r="M255" s="954"/>
      <c r="N255" s="955"/>
      <c r="O255" s="954"/>
      <c r="P255" s="954"/>
      <c r="Q255" s="954"/>
      <c r="R255" s="955"/>
      <c r="S255" s="954"/>
      <c r="T255" s="954"/>
      <c r="U255" s="954"/>
      <c r="V255" s="954"/>
      <c r="W255" s="1455"/>
      <c r="X255" s="954"/>
      <c r="Y255" s="956"/>
      <c r="Z255" s="955"/>
      <c r="AA255" s="954"/>
      <c r="AB255" s="954"/>
      <c r="AC255" s="954"/>
      <c r="AD255" s="954"/>
      <c r="AE255" s="954"/>
      <c r="AF255" s="744"/>
      <c r="AG255" s="954"/>
      <c r="AH255" s="954"/>
      <c r="AI255" s="954"/>
      <c r="AJ255" s="954"/>
      <c r="AK255" s="956"/>
      <c r="AL255" s="954"/>
      <c r="AM255" s="954"/>
    </row>
    <row r="256" spans="1:60" x14ac:dyDescent="0.25">
      <c r="C256" s="744"/>
      <c r="D256" s="744"/>
      <c r="E256" s="744"/>
      <c r="F256" s="745"/>
      <c r="G256" s="744"/>
      <c r="H256" s="744"/>
      <c r="I256" s="744"/>
      <c r="J256" s="745"/>
      <c r="K256" s="744"/>
      <c r="L256" s="744"/>
      <c r="M256" s="744"/>
      <c r="N256" s="745"/>
      <c r="O256" s="744"/>
      <c r="P256" s="744"/>
      <c r="Q256" s="744"/>
      <c r="R256" s="745"/>
      <c r="S256" s="985"/>
      <c r="T256" s="744"/>
      <c r="U256" s="744"/>
      <c r="V256" s="744"/>
      <c r="W256" s="985"/>
      <c r="X256" s="744"/>
      <c r="Y256" s="792"/>
      <c r="Z256" s="745"/>
      <c r="AA256" s="744"/>
      <c r="AB256" s="744"/>
      <c r="AC256" s="744"/>
      <c r="AD256" s="744"/>
      <c r="AE256" s="744"/>
      <c r="AF256" s="744"/>
      <c r="AG256" s="744"/>
      <c r="AH256" s="744"/>
      <c r="AI256" s="744"/>
      <c r="AJ256" s="744"/>
      <c r="AK256" s="792"/>
      <c r="AL256" s="744"/>
      <c r="AM256" s="744"/>
    </row>
    <row r="257" spans="3:39" x14ac:dyDescent="0.25">
      <c r="C257" s="744"/>
      <c r="D257" s="744"/>
      <c r="E257" s="744"/>
      <c r="F257" s="745"/>
      <c r="G257" s="744"/>
      <c r="H257" s="744"/>
      <c r="I257" s="744"/>
      <c r="J257" s="745"/>
      <c r="K257" s="744"/>
      <c r="L257" s="744"/>
      <c r="M257" s="744"/>
      <c r="N257" s="745"/>
      <c r="O257" s="744"/>
      <c r="P257" s="744"/>
      <c r="Q257" s="744"/>
      <c r="R257" s="745"/>
      <c r="S257" s="985"/>
      <c r="T257" s="744"/>
      <c r="U257" s="744"/>
      <c r="V257" s="744"/>
      <c r="W257" s="985"/>
      <c r="X257" s="744"/>
      <c r="Y257" s="792"/>
      <c r="Z257" s="745"/>
      <c r="AA257" s="744"/>
      <c r="AB257" s="744"/>
      <c r="AC257" s="744"/>
      <c r="AD257" s="744"/>
      <c r="AE257" s="744"/>
      <c r="AF257" s="744"/>
      <c r="AG257" s="744"/>
      <c r="AH257" s="744"/>
      <c r="AI257" s="744"/>
      <c r="AJ257" s="744"/>
      <c r="AK257" s="792"/>
      <c r="AL257" s="744"/>
      <c r="AM257" s="744"/>
    </row>
    <row r="258" spans="3:39" x14ac:dyDescent="0.25">
      <c r="C258" s="744"/>
      <c r="D258" s="744"/>
      <c r="E258" s="744"/>
      <c r="F258" s="745"/>
      <c r="G258" s="744"/>
      <c r="H258" s="744"/>
      <c r="I258" s="744"/>
      <c r="J258" s="745"/>
      <c r="K258" s="744"/>
      <c r="L258" s="744"/>
      <c r="M258" s="744"/>
      <c r="N258" s="745"/>
      <c r="O258" s="744"/>
      <c r="P258" s="744"/>
      <c r="Q258" s="744"/>
      <c r="R258" s="745"/>
      <c r="S258" s="985"/>
      <c r="T258" s="744"/>
      <c r="U258" s="744"/>
      <c r="V258" s="744"/>
      <c r="W258" s="985"/>
      <c r="X258" s="744"/>
      <c r="Y258" s="792"/>
      <c r="Z258" s="745"/>
      <c r="AA258" s="744"/>
      <c r="AB258" s="744"/>
      <c r="AC258" s="744"/>
      <c r="AD258" s="744"/>
      <c r="AE258" s="744"/>
      <c r="AF258" s="744"/>
      <c r="AG258" s="744"/>
      <c r="AH258" s="744"/>
      <c r="AI258" s="744"/>
      <c r="AJ258" s="744"/>
      <c r="AK258" s="792"/>
      <c r="AL258" s="744"/>
      <c r="AM258" s="744"/>
    </row>
    <row r="259" spans="3:39" x14ac:dyDescent="0.25">
      <c r="C259" s="744"/>
      <c r="D259" s="744"/>
      <c r="E259" s="744"/>
      <c r="F259" s="745"/>
      <c r="G259" s="744"/>
      <c r="H259" s="744"/>
      <c r="I259" s="744"/>
      <c r="J259" s="745"/>
      <c r="K259" s="744"/>
      <c r="L259" s="744"/>
      <c r="M259" s="744"/>
      <c r="N259" s="745"/>
      <c r="O259" s="744"/>
      <c r="P259" s="744"/>
      <c r="Q259" s="744"/>
      <c r="R259" s="745"/>
      <c r="S259" s="985"/>
      <c r="T259" s="744"/>
      <c r="U259" s="744"/>
      <c r="V259" s="744"/>
      <c r="W259" s="985"/>
      <c r="X259" s="744"/>
      <c r="Y259" s="792"/>
      <c r="Z259" s="745"/>
      <c r="AA259" s="744"/>
      <c r="AB259" s="744"/>
      <c r="AC259" s="744"/>
      <c r="AD259" s="744"/>
      <c r="AE259" s="744"/>
      <c r="AF259" s="744"/>
      <c r="AG259" s="744"/>
      <c r="AH259" s="744"/>
      <c r="AI259" s="744"/>
      <c r="AJ259" s="744"/>
      <c r="AK259" s="792"/>
      <c r="AL259" s="744"/>
      <c r="AM259" s="744"/>
    </row>
    <row r="260" spans="3:39" x14ac:dyDescent="0.25">
      <c r="C260" s="744"/>
      <c r="D260" s="744"/>
      <c r="E260" s="744"/>
      <c r="F260" s="745"/>
      <c r="G260" s="744"/>
      <c r="H260" s="744"/>
      <c r="I260" s="744"/>
      <c r="J260" s="745"/>
      <c r="K260" s="744"/>
      <c r="L260" s="744"/>
      <c r="M260" s="744"/>
      <c r="N260" s="745"/>
      <c r="O260" s="744"/>
      <c r="P260" s="744"/>
      <c r="Q260" s="744"/>
      <c r="R260" s="745"/>
      <c r="S260" s="985"/>
      <c r="T260" s="744"/>
      <c r="U260" s="744"/>
      <c r="V260" s="744"/>
      <c r="W260" s="985"/>
      <c r="X260" s="744"/>
      <c r="Y260" s="792"/>
      <c r="Z260" s="745"/>
      <c r="AA260" s="744"/>
      <c r="AB260" s="744"/>
      <c r="AC260" s="744"/>
      <c r="AD260" s="744"/>
      <c r="AE260" s="744"/>
      <c r="AF260" s="744"/>
      <c r="AG260" s="744"/>
      <c r="AH260" s="744"/>
      <c r="AI260" s="744"/>
      <c r="AJ260" s="744"/>
      <c r="AK260" s="792"/>
      <c r="AL260" s="744"/>
      <c r="AM260" s="744"/>
    </row>
    <row r="261" spans="3:39" x14ac:dyDescent="0.25">
      <c r="C261" s="744"/>
      <c r="D261" s="744"/>
      <c r="E261" s="744"/>
      <c r="F261" s="745"/>
      <c r="G261" s="744"/>
      <c r="H261" s="744"/>
      <c r="I261" s="744"/>
      <c r="J261" s="745"/>
      <c r="K261" s="744"/>
      <c r="L261" s="744"/>
      <c r="M261" s="744"/>
      <c r="N261" s="745"/>
      <c r="O261" s="744"/>
      <c r="P261" s="744"/>
      <c r="Q261" s="744"/>
      <c r="R261" s="745"/>
      <c r="S261" s="985"/>
      <c r="T261" s="744"/>
      <c r="U261" s="744"/>
      <c r="V261" s="744"/>
      <c r="W261" s="985"/>
      <c r="X261" s="744"/>
      <c r="Y261" s="792"/>
      <c r="Z261" s="745"/>
      <c r="AA261" s="744"/>
      <c r="AB261" s="744"/>
      <c r="AC261" s="744"/>
      <c r="AD261" s="744"/>
      <c r="AE261" s="744"/>
      <c r="AF261" s="744"/>
      <c r="AG261" s="744"/>
      <c r="AH261" s="744"/>
      <c r="AI261" s="744"/>
      <c r="AJ261" s="744"/>
      <c r="AK261" s="792"/>
      <c r="AL261" s="744"/>
      <c r="AM261" s="744"/>
    </row>
    <row r="262" spans="3:39" x14ac:dyDescent="0.25">
      <c r="C262" s="744"/>
      <c r="D262" s="744"/>
      <c r="E262" s="744"/>
      <c r="F262" s="745"/>
      <c r="G262" s="744"/>
      <c r="H262" s="744"/>
      <c r="I262" s="744"/>
      <c r="J262" s="745"/>
      <c r="K262" s="744"/>
      <c r="L262" s="744"/>
      <c r="M262" s="744"/>
      <c r="N262" s="745"/>
      <c r="O262" s="744"/>
      <c r="P262" s="744"/>
      <c r="Q262" s="744"/>
      <c r="R262" s="745"/>
      <c r="S262" s="985"/>
      <c r="T262" s="744"/>
      <c r="U262" s="744"/>
      <c r="V262" s="744"/>
      <c r="W262" s="985"/>
      <c r="X262" s="744"/>
      <c r="Y262" s="792"/>
      <c r="Z262" s="745"/>
      <c r="AA262" s="744"/>
      <c r="AB262" s="744"/>
      <c r="AC262" s="744"/>
      <c r="AD262" s="744"/>
      <c r="AE262" s="744"/>
      <c r="AF262" s="744"/>
      <c r="AG262" s="744"/>
      <c r="AH262" s="744"/>
      <c r="AI262" s="744"/>
      <c r="AJ262" s="744"/>
      <c r="AK262" s="792"/>
      <c r="AL262" s="744"/>
      <c r="AM262" s="744"/>
    </row>
    <row r="263" spans="3:39" x14ac:dyDescent="0.25">
      <c r="C263" s="744"/>
      <c r="D263" s="744"/>
      <c r="E263" s="744"/>
      <c r="F263" s="745"/>
      <c r="G263" s="744"/>
      <c r="H263" s="744"/>
      <c r="I263" s="744"/>
      <c r="J263" s="745"/>
      <c r="K263" s="744"/>
      <c r="L263" s="744"/>
      <c r="M263" s="744"/>
      <c r="N263" s="745"/>
      <c r="O263" s="744"/>
      <c r="P263" s="744"/>
      <c r="Q263" s="744"/>
      <c r="R263" s="745"/>
      <c r="S263" s="985"/>
      <c r="T263" s="744"/>
      <c r="U263" s="744"/>
      <c r="V263" s="744"/>
      <c r="W263" s="985"/>
      <c r="X263" s="744"/>
      <c r="Y263" s="792"/>
      <c r="Z263" s="745"/>
      <c r="AA263" s="744"/>
      <c r="AB263" s="744"/>
      <c r="AC263" s="744"/>
      <c r="AD263" s="744"/>
      <c r="AE263" s="744"/>
      <c r="AF263" s="744"/>
      <c r="AG263" s="744"/>
      <c r="AH263" s="744"/>
      <c r="AI263" s="744"/>
      <c r="AJ263" s="744"/>
      <c r="AK263" s="792"/>
      <c r="AL263" s="744"/>
      <c r="AM263" s="744"/>
    </row>
    <row r="264" spans="3:39" x14ac:dyDescent="0.25">
      <c r="C264" s="744"/>
      <c r="D264" s="744"/>
      <c r="E264" s="744"/>
      <c r="F264" s="745"/>
      <c r="G264" s="744"/>
      <c r="H264" s="744"/>
      <c r="I264" s="744"/>
      <c r="J264" s="745"/>
      <c r="K264" s="744"/>
      <c r="L264" s="744"/>
      <c r="M264" s="744"/>
      <c r="N264" s="745"/>
      <c r="O264" s="744"/>
      <c r="P264" s="744"/>
      <c r="Q264" s="744"/>
      <c r="R264" s="745"/>
      <c r="S264" s="985"/>
      <c r="T264" s="744"/>
      <c r="U264" s="744"/>
      <c r="V264" s="744"/>
      <c r="W264" s="985"/>
      <c r="X264" s="744"/>
      <c r="Y264" s="792"/>
      <c r="Z264" s="745"/>
      <c r="AA264" s="744"/>
      <c r="AB264" s="744"/>
      <c r="AC264" s="744"/>
      <c r="AD264" s="744"/>
      <c r="AE264" s="744"/>
      <c r="AF264" s="744"/>
      <c r="AG264" s="744"/>
      <c r="AH264" s="744"/>
      <c r="AI264" s="744"/>
      <c r="AJ264" s="744"/>
      <c r="AK264" s="792"/>
      <c r="AL264" s="744"/>
      <c r="AM264" s="744"/>
    </row>
    <row r="265" spans="3:39" x14ac:dyDescent="0.25">
      <c r="C265" s="744"/>
      <c r="D265" s="744"/>
      <c r="E265" s="744"/>
      <c r="F265" s="745"/>
      <c r="G265" s="744"/>
      <c r="H265" s="744"/>
      <c r="I265" s="744"/>
      <c r="J265" s="745"/>
      <c r="K265" s="744"/>
      <c r="L265" s="744"/>
      <c r="M265" s="744"/>
      <c r="N265" s="745"/>
      <c r="O265" s="744"/>
      <c r="P265" s="744"/>
      <c r="Q265" s="744"/>
      <c r="R265" s="745"/>
      <c r="S265" s="985"/>
      <c r="T265" s="744"/>
      <c r="U265" s="744"/>
      <c r="V265" s="744"/>
      <c r="W265" s="985"/>
      <c r="X265" s="744"/>
      <c r="Y265" s="792"/>
      <c r="Z265" s="745"/>
      <c r="AA265" s="744"/>
      <c r="AB265" s="744"/>
      <c r="AC265" s="744"/>
      <c r="AD265" s="744"/>
      <c r="AE265" s="744"/>
      <c r="AF265" s="744"/>
      <c r="AG265" s="744"/>
      <c r="AH265" s="744"/>
      <c r="AI265" s="744"/>
      <c r="AJ265" s="744"/>
      <c r="AK265" s="792"/>
      <c r="AL265" s="744"/>
      <c r="AM265" s="744"/>
    </row>
    <row r="266" spans="3:39" x14ac:dyDescent="0.25">
      <c r="C266" s="744"/>
      <c r="D266" s="744"/>
      <c r="E266" s="744"/>
      <c r="F266" s="745"/>
      <c r="G266" s="744"/>
      <c r="H266" s="744"/>
      <c r="I266" s="744"/>
      <c r="J266" s="745"/>
      <c r="K266" s="744"/>
      <c r="L266" s="744"/>
      <c r="M266" s="744"/>
      <c r="N266" s="745"/>
      <c r="O266" s="744"/>
      <c r="P266" s="744"/>
      <c r="Q266" s="744"/>
      <c r="R266" s="745"/>
      <c r="S266" s="985"/>
      <c r="T266" s="744"/>
      <c r="U266" s="744"/>
      <c r="V266" s="744"/>
      <c r="W266" s="985"/>
      <c r="X266" s="744"/>
      <c r="Y266" s="792"/>
      <c r="Z266" s="745"/>
      <c r="AA266" s="744"/>
      <c r="AB266" s="744"/>
      <c r="AC266" s="744"/>
      <c r="AD266" s="744"/>
      <c r="AE266" s="744"/>
      <c r="AF266" s="744"/>
      <c r="AG266" s="744"/>
      <c r="AH266" s="744"/>
      <c r="AI266" s="744"/>
      <c r="AJ266" s="744"/>
      <c r="AK266" s="792"/>
      <c r="AL266" s="744"/>
      <c r="AM266" s="744"/>
    </row>
    <row r="267" spans="3:39" x14ac:dyDescent="0.25">
      <c r="C267" s="744"/>
      <c r="D267" s="744"/>
      <c r="E267" s="744"/>
      <c r="F267" s="745"/>
      <c r="G267" s="744"/>
      <c r="H267" s="744"/>
      <c r="I267" s="744"/>
      <c r="J267" s="745"/>
      <c r="K267" s="744"/>
      <c r="L267" s="744"/>
      <c r="M267" s="744"/>
      <c r="N267" s="745"/>
      <c r="O267" s="744"/>
      <c r="P267" s="744"/>
      <c r="Q267" s="744"/>
      <c r="R267" s="745"/>
      <c r="S267" s="985"/>
      <c r="T267" s="744"/>
      <c r="U267" s="744"/>
      <c r="V267" s="744"/>
      <c r="W267" s="985"/>
      <c r="X267" s="744"/>
      <c r="Y267" s="792"/>
      <c r="Z267" s="745"/>
      <c r="AA267" s="744"/>
      <c r="AB267" s="744"/>
      <c r="AC267" s="744"/>
      <c r="AD267" s="744"/>
      <c r="AE267" s="744"/>
      <c r="AF267" s="744"/>
      <c r="AG267" s="744"/>
      <c r="AH267" s="744"/>
      <c r="AI267" s="744"/>
      <c r="AJ267" s="744"/>
      <c r="AK267" s="792"/>
      <c r="AL267" s="744"/>
      <c r="AM267" s="744"/>
    </row>
    <row r="268" spans="3:39" x14ac:dyDescent="0.25">
      <c r="C268" s="744"/>
      <c r="D268" s="744"/>
      <c r="E268" s="744"/>
      <c r="F268" s="745"/>
      <c r="G268" s="744"/>
      <c r="H268" s="744"/>
      <c r="I268" s="744"/>
      <c r="J268" s="745"/>
      <c r="K268" s="744"/>
      <c r="L268" s="744"/>
      <c r="M268" s="744"/>
      <c r="N268" s="745"/>
      <c r="O268" s="744"/>
      <c r="P268" s="744"/>
      <c r="Q268" s="744"/>
      <c r="R268" s="745"/>
      <c r="S268" s="985"/>
      <c r="T268" s="744"/>
      <c r="U268" s="744"/>
      <c r="V268" s="744"/>
      <c r="W268" s="985"/>
      <c r="X268" s="744"/>
      <c r="Y268" s="792"/>
      <c r="Z268" s="745"/>
      <c r="AA268" s="744"/>
      <c r="AB268" s="744"/>
      <c r="AC268" s="744"/>
      <c r="AD268" s="744"/>
      <c r="AE268" s="744"/>
      <c r="AF268" s="744"/>
      <c r="AG268" s="744"/>
      <c r="AH268" s="744"/>
      <c r="AI268" s="744"/>
      <c r="AJ268" s="744"/>
      <c r="AK268" s="792"/>
      <c r="AL268" s="744"/>
      <c r="AM268" s="744"/>
    </row>
    <row r="269" spans="3:39" x14ac:dyDescent="0.25">
      <c r="C269" s="744"/>
      <c r="D269" s="744"/>
      <c r="E269" s="744"/>
      <c r="F269" s="745"/>
      <c r="G269" s="744"/>
      <c r="H269" s="744"/>
      <c r="I269" s="744"/>
      <c r="J269" s="745"/>
      <c r="K269" s="744"/>
      <c r="L269" s="744"/>
      <c r="M269" s="744"/>
      <c r="N269" s="745"/>
      <c r="O269" s="744"/>
      <c r="P269" s="744"/>
      <c r="Q269" s="744"/>
      <c r="R269" s="745"/>
      <c r="S269" s="985"/>
      <c r="T269" s="744"/>
      <c r="U269" s="744"/>
      <c r="V269" s="744"/>
      <c r="W269" s="985"/>
      <c r="X269" s="744"/>
      <c r="Y269" s="792"/>
      <c r="Z269" s="745"/>
      <c r="AA269" s="744"/>
      <c r="AB269" s="744"/>
      <c r="AC269" s="744"/>
      <c r="AD269" s="744"/>
      <c r="AE269" s="744"/>
      <c r="AF269" s="744"/>
      <c r="AG269" s="744"/>
      <c r="AH269" s="744"/>
      <c r="AI269" s="744"/>
      <c r="AJ269" s="744"/>
      <c r="AK269" s="792"/>
      <c r="AL269" s="744"/>
      <c r="AM269" s="744"/>
    </row>
    <row r="270" spans="3:39" x14ac:dyDescent="0.25">
      <c r="C270" s="744"/>
      <c r="D270" s="744"/>
      <c r="E270" s="744"/>
      <c r="F270" s="745"/>
      <c r="G270" s="744"/>
      <c r="H270" s="744"/>
      <c r="I270" s="744"/>
      <c r="J270" s="745"/>
      <c r="K270" s="744"/>
      <c r="L270" s="744"/>
      <c r="M270" s="744"/>
      <c r="N270" s="745"/>
      <c r="O270" s="744"/>
      <c r="P270" s="744"/>
      <c r="Q270" s="744"/>
      <c r="R270" s="745"/>
      <c r="S270" s="985"/>
      <c r="T270" s="744"/>
      <c r="U270" s="744"/>
      <c r="V270" s="744"/>
      <c r="W270" s="985"/>
      <c r="X270" s="744"/>
      <c r="Y270" s="792"/>
      <c r="Z270" s="745"/>
      <c r="AA270" s="744"/>
      <c r="AB270" s="744"/>
      <c r="AC270" s="744"/>
      <c r="AD270" s="744"/>
      <c r="AE270" s="744"/>
      <c r="AF270" s="744"/>
      <c r="AG270" s="744"/>
      <c r="AH270" s="744"/>
      <c r="AI270" s="744"/>
      <c r="AJ270" s="744"/>
      <c r="AK270" s="792"/>
      <c r="AL270" s="744"/>
      <c r="AM270" s="744"/>
    </row>
    <row r="271" spans="3:39" x14ac:dyDescent="0.25">
      <c r="C271" s="744"/>
      <c r="D271" s="744"/>
      <c r="E271" s="744"/>
      <c r="F271" s="745"/>
      <c r="G271" s="744"/>
      <c r="H271" s="744"/>
      <c r="I271" s="744"/>
      <c r="J271" s="745"/>
      <c r="K271" s="744"/>
      <c r="L271" s="744"/>
      <c r="M271" s="744"/>
      <c r="N271" s="745"/>
      <c r="O271" s="744"/>
      <c r="P271" s="744"/>
      <c r="Q271" s="744"/>
      <c r="R271" s="745"/>
      <c r="S271" s="985"/>
      <c r="T271" s="744"/>
      <c r="U271" s="744"/>
      <c r="V271" s="744"/>
      <c r="W271" s="985"/>
      <c r="X271" s="744"/>
      <c r="Y271" s="792"/>
      <c r="Z271" s="745"/>
      <c r="AA271" s="744"/>
      <c r="AB271" s="744"/>
      <c r="AC271" s="744"/>
      <c r="AD271" s="744"/>
      <c r="AE271" s="744"/>
      <c r="AF271" s="744"/>
      <c r="AG271" s="744"/>
      <c r="AH271" s="744"/>
      <c r="AI271" s="744"/>
      <c r="AJ271" s="744"/>
      <c r="AK271" s="792"/>
      <c r="AL271" s="744"/>
      <c r="AM271" s="744"/>
    </row>
    <row r="272" spans="3:39" x14ac:dyDescent="0.25">
      <c r="C272" s="744"/>
      <c r="D272" s="744"/>
      <c r="E272" s="744"/>
      <c r="F272" s="745"/>
      <c r="G272" s="744"/>
      <c r="H272" s="744"/>
      <c r="I272" s="744"/>
      <c r="J272" s="745"/>
      <c r="K272" s="744"/>
      <c r="L272" s="744"/>
      <c r="M272" s="744"/>
      <c r="N272" s="745"/>
      <c r="O272" s="744"/>
      <c r="P272" s="744"/>
      <c r="Q272" s="744"/>
      <c r="R272" s="745"/>
      <c r="S272" s="985"/>
      <c r="T272" s="744"/>
      <c r="U272" s="744"/>
      <c r="V272" s="744"/>
      <c r="W272" s="985"/>
      <c r="X272" s="744"/>
      <c r="Y272" s="792"/>
      <c r="Z272" s="745"/>
      <c r="AA272" s="744"/>
      <c r="AB272" s="744"/>
      <c r="AC272" s="744"/>
      <c r="AD272" s="744"/>
      <c r="AE272" s="744"/>
      <c r="AF272" s="744"/>
      <c r="AG272" s="744"/>
      <c r="AH272" s="744"/>
      <c r="AI272" s="744"/>
      <c r="AJ272" s="744"/>
      <c r="AK272" s="792"/>
      <c r="AL272" s="744"/>
      <c r="AM272" s="744"/>
    </row>
    <row r="273" spans="3:39" x14ac:dyDescent="0.25">
      <c r="C273" s="744"/>
      <c r="D273" s="744"/>
      <c r="E273" s="744"/>
      <c r="F273" s="745"/>
      <c r="G273" s="744"/>
      <c r="H273" s="744"/>
      <c r="I273" s="744"/>
      <c r="J273" s="745"/>
      <c r="K273" s="744"/>
      <c r="L273" s="744"/>
      <c r="M273" s="744"/>
      <c r="N273" s="745"/>
      <c r="O273" s="744"/>
      <c r="P273" s="744"/>
      <c r="Q273" s="744"/>
      <c r="R273" s="745"/>
      <c r="S273" s="985"/>
      <c r="T273" s="744"/>
      <c r="U273" s="744"/>
      <c r="V273" s="744"/>
      <c r="W273" s="985"/>
      <c r="X273" s="744"/>
      <c r="Y273" s="792"/>
      <c r="Z273" s="745"/>
      <c r="AA273" s="744"/>
      <c r="AB273" s="744"/>
      <c r="AC273" s="744"/>
      <c r="AD273" s="744"/>
      <c r="AE273" s="744"/>
      <c r="AF273" s="744"/>
      <c r="AG273" s="744"/>
      <c r="AH273" s="744"/>
      <c r="AI273" s="744"/>
      <c r="AJ273" s="744"/>
      <c r="AK273" s="792"/>
      <c r="AL273" s="744"/>
      <c r="AM273" s="744"/>
    </row>
    <row r="274" spans="3:39" x14ac:dyDescent="0.25">
      <c r="C274" s="744"/>
      <c r="D274" s="744"/>
      <c r="E274" s="744"/>
      <c r="F274" s="745"/>
      <c r="G274" s="744"/>
      <c r="H274" s="744"/>
      <c r="I274" s="744"/>
      <c r="J274" s="745"/>
      <c r="K274" s="744"/>
      <c r="L274" s="744"/>
      <c r="M274" s="744"/>
      <c r="N274" s="745"/>
      <c r="O274" s="744"/>
      <c r="P274" s="744"/>
      <c r="Q274" s="744"/>
      <c r="R274" s="745"/>
      <c r="S274" s="985"/>
      <c r="T274" s="744"/>
      <c r="U274" s="744"/>
      <c r="V274" s="744"/>
      <c r="W274" s="985"/>
      <c r="X274" s="744"/>
      <c r="Y274" s="792"/>
      <c r="Z274" s="745"/>
      <c r="AA274" s="744"/>
      <c r="AB274" s="744"/>
      <c r="AC274" s="744"/>
      <c r="AD274" s="744"/>
      <c r="AE274" s="744"/>
      <c r="AF274" s="744"/>
      <c r="AG274" s="744"/>
      <c r="AH274" s="744"/>
      <c r="AI274" s="744"/>
      <c r="AJ274" s="744"/>
      <c r="AK274" s="792"/>
      <c r="AL274" s="744"/>
      <c r="AM274" s="744"/>
    </row>
    <row r="275" spans="3:39" x14ac:dyDescent="0.25">
      <c r="C275" s="744"/>
      <c r="D275" s="744"/>
      <c r="E275" s="744"/>
      <c r="F275" s="745"/>
      <c r="G275" s="744"/>
      <c r="H275" s="744"/>
      <c r="I275" s="744"/>
      <c r="J275" s="745"/>
      <c r="K275" s="744"/>
      <c r="L275" s="744"/>
      <c r="M275" s="744"/>
      <c r="N275" s="745"/>
      <c r="O275" s="744"/>
      <c r="P275" s="744"/>
      <c r="Q275" s="744"/>
      <c r="R275" s="745"/>
      <c r="S275" s="985"/>
      <c r="T275" s="744"/>
      <c r="U275" s="744"/>
      <c r="V275" s="744"/>
      <c r="W275" s="985"/>
      <c r="X275" s="744"/>
      <c r="Y275" s="792"/>
      <c r="Z275" s="745"/>
      <c r="AA275" s="744"/>
      <c r="AB275" s="744"/>
      <c r="AC275" s="744"/>
      <c r="AD275" s="744"/>
      <c r="AE275" s="744"/>
      <c r="AF275" s="744"/>
      <c r="AG275" s="744"/>
      <c r="AH275" s="744"/>
      <c r="AI275" s="744"/>
      <c r="AJ275" s="744"/>
      <c r="AK275" s="792"/>
      <c r="AL275" s="744"/>
      <c r="AM275" s="744"/>
    </row>
    <row r="276" spans="3:39" x14ac:dyDescent="0.25">
      <c r="C276" s="744"/>
      <c r="D276" s="744"/>
      <c r="E276" s="744"/>
      <c r="F276" s="745"/>
      <c r="G276" s="744"/>
      <c r="H276" s="744"/>
      <c r="I276" s="744"/>
      <c r="J276" s="745"/>
      <c r="K276" s="744"/>
      <c r="L276" s="744"/>
      <c r="M276" s="744"/>
      <c r="N276" s="745"/>
      <c r="O276" s="744"/>
      <c r="P276" s="744"/>
      <c r="Q276" s="744"/>
      <c r="R276" s="745"/>
      <c r="S276" s="985"/>
      <c r="T276" s="744"/>
      <c r="U276" s="744"/>
      <c r="V276" s="744"/>
      <c r="W276" s="985"/>
      <c r="X276" s="744"/>
      <c r="Y276" s="792"/>
      <c r="Z276" s="745"/>
      <c r="AA276" s="744"/>
      <c r="AB276" s="744"/>
      <c r="AC276" s="744"/>
      <c r="AD276" s="744"/>
      <c r="AE276" s="744"/>
      <c r="AF276" s="744"/>
      <c r="AG276" s="744"/>
      <c r="AH276" s="744"/>
      <c r="AI276" s="744"/>
      <c r="AJ276" s="744"/>
      <c r="AK276" s="792"/>
      <c r="AL276" s="744"/>
      <c r="AM276" s="744"/>
    </row>
    <row r="277" spans="3:39" x14ac:dyDescent="0.25">
      <c r="C277" s="744"/>
      <c r="D277" s="744"/>
      <c r="E277" s="744"/>
      <c r="F277" s="745"/>
      <c r="G277" s="744"/>
      <c r="H277" s="744"/>
      <c r="I277" s="744"/>
      <c r="J277" s="745"/>
      <c r="K277" s="744"/>
      <c r="L277" s="744"/>
      <c r="M277" s="744"/>
      <c r="N277" s="745"/>
      <c r="O277" s="744"/>
      <c r="P277" s="744"/>
      <c r="Q277" s="744"/>
      <c r="R277" s="745"/>
      <c r="S277" s="985"/>
      <c r="T277" s="744"/>
      <c r="U277" s="744"/>
      <c r="V277" s="744"/>
      <c r="W277" s="985"/>
      <c r="X277" s="744"/>
      <c r="Y277" s="792"/>
      <c r="Z277" s="745"/>
      <c r="AA277" s="744"/>
      <c r="AB277" s="744"/>
      <c r="AC277" s="744"/>
      <c r="AD277" s="744"/>
      <c r="AE277" s="744"/>
      <c r="AF277" s="744"/>
      <c r="AG277" s="744"/>
      <c r="AH277" s="744"/>
      <c r="AI277" s="744"/>
      <c r="AJ277" s="744"/>
      <c r="AK277" s="792"/>
      <c r="AL277" s="744"/>
      <c r="AM277" s="744"/>
    </row>
    <row r="278" spans="3:39" x14ac:dyDescent="0.25">
      <c r="C278" s="744"/>
      <c r="D278" s="744"/>
      <c r="E278" s="744"/>
      <c r="F278" s="745"/>
      <c r="G278" s="744"/>
      <c r="H278" s="744"/>
      <c r="I278" s="744"/>
      <c r="J278" s="745"/>
      <c r="K278" s="744"/>
      <c r="L278" s="744"/>
      <c r="M278" s="744"/>
      <c r="N278" s="745"/>
      <c r="O278" s="744"/>
      <c r="P278" s="744"/>
      <c r="Q278" s="744"/>
      <c r="R278" s="745"/>
      <c r="S278" s="985"/>
      <c r="T278" s="744"/>
      <c r="U278" s="744"/>
      <c r="V278" s="744"/>
      <c r="W278" s="985"/>
      <c r="X278" s="744"/>
      <c r="Y278" s="792"/>
      <c r="Z278" s="745"/>
      <c r="AA278" s="744"/>
      <c r="AB278" s="744"/>
      <c r="AC278" s="744"/>
      <c r="AD278" s="744"/>
      <c r="AE278" s="744"/>
      <c r="AF278" s="744"/>
      <c r="AG278" s="744"/>
      <c r="AH278" s="744"/>
      <c r="AI278" s="744"/>
      <c r="AJ278" s="744"/>
      <c r="AK278" s="792"/>
      <c r="AL278" s="744"/>
      <c r="AM278" s="744"/>
    </row>
    <row r="279" spans="3:39" x14ac:dyDescent="0.25">
      <c r="C279" s="744"/>
      <c r="D279" s="744"/>
      <c r="E279" s="744"/>
      <c r="F279" s="745"/>
      <c r="G279" s="744"/>
      <c r="H279" s="744"/>
      <c r="I279" s="744"/>
      <c r="J279" s="745"/>
      <c r="K279" s="744"/>
      <c r="L279" s="744"/>
      <c r="M279" s="744"/>
      <c r="N279" s="745"/>
      <c r="O279" s="744"/>
      <c r="P279" s="744"/>
      <c r="Q279" s="744"/>
      <c r="R279" s="745"/>
      <c r="S279" s="985"/>
      <c r="T279" s="744"/>
      <c r="U279" s="744"/>
      <c r="V279" s="744"/>
      <c r="W279" s="985"/>
      <c r="X279" s="744"/>
      <c r="Y279" s="792"/>
      <c r="Z279" s="745"/>
      <c r="AA279" s="744"/>
      <c r="AB279" s="744"/>
      <c r="AC279" s="744"/>
      <c r="AD279" s="744"/>
      <c r="AE279" s="744"/>
      <c r="AF279" s="744"/>
      <c r="AG279" s="744"/>
      <c r="AH279" s="744"/>
      <c r="AI279" s="744"/>
      <c r="AJ279" s="744"/>
      <c r="AK279" s="792"/>
      <c r="AL279" s="744"/>
      <c r="AM279" s="744"/>
    </row>
    <row r="280" spans="3:39" x14ac:dyDescent="0.25">
      <c r="C280" s="744"/>
      <c r="D280" s="744"/>
      <c r="E280" s="744"/>
      <c r="F280" s="745"/>
      <c r="G280" s="744"/>
      <c r="H280" s="744"/>
      <c r="I280" s="744"/>
      <c r="J280" s="745"/>
      <c r="K280" s="744"/>
      <c r="L280" s="744"/>
      <c r="M280" s="744"/>
      <c r="N280" s="745"/>
      <c r="O280" s="744"/>
      <c r="P280" s="744"/>
      <c r="Q280" s="744"/>
      <c r="R280" s="745"/>
      <c r="S280" s="985"/>
      <c r="T280" s="744"/>
      <c r="U280" s="744"/>
      <c r="V280" s="744"/>
      <c r="W280" s="985"/>
      <c r="X280" s="744"/>
      <c r="Y280" s="792"/>
      <c r="Z280" s="745"/>
      <c r="AA280" s="744"/>
      <c r="AB280" s="744"/>
      <c r="AC280" s="744"/>
      <c r="AD280" s="744"/>
      <c r="AE280" s="744"/>
      <c r="AF280" s="744"/>
      <c r="AG280" s="744"/>
      <c r="AH280" s="744"/>
      <c r="AI280" s="744"/>
      <c r="AJ280" s="744"/>
      <c r="AK280" s="792"/>
      <c r="AL280" s="744"/>
      <c r="AM280" s="744"/>
    </row>
    <row r="281" spans="3:39" x14ac:dyDescent="0.25">
      <c r="C281" s="744"/>
      <c r="D281" s="744"/>
      <c r="E281" s="744"/>
      <c r="F281" s="745"/>
      <c r="G281" s="744"/>
      <c r="H281" s="744"/>
      <c r="I281" s="744"/>
      <c r="J281" s="745"/>
      <c r="K281" s="744"/>
      <c r="L281" s="744"/>
      <c r="M281" s="744"/>
      <c r="N281" s="745"/>
      <c r="O281" s="744"/>
      <c r="P281" s="744"/>
      <c r="Q281" s="744"/>
      <c r="R281" s="745"/>
      <c r="S281" s="985"/>
      <c r="T281" s="744"/>
      <c r="U281" s="744"/>
      <c r="V281" s="744"/>
      <c r="W281" s="985"/>
      <c r="X281" s="744"/>
      <c r="Y281" s="792"/>
      <c r="Z281" s="745"/>
      <c r="AA281" s="744"/>
      <c r="AB281" s="744"/>
      <c r="AC281" s="744"/>
      <c r="AD281" s="744"/>
      <c r="AE281" s="744"/>
      <c r="AF281" s="744"/>
      <c r="AG281" s="744"/>
      <c r="AH281" s="744"/>
      <c r="AI281" s="744"/>
      <c r="AJ281" s="744"/>
      <c r="AK281" s="792"/>
      <c r="AL281" s="744"/>
      <c r="AM281" s="744"/>
    </row>
    <row r="282" spans="3:39" x14ac:dyDescent="0.25">
      <c r="C282" s="744"/>
      <c r="D282" s="744"/>
      <c r="E282" s="744"/>
      <c r="F282" s="745"/>
      <c r="G282" s="744"/>
      <c r="H282" s="744"/>
      <c r="I282" s="744"/>
      <c r="J282" s="745"/>
      <c r="K282" s="744"/>
      <c r="L282" s="744"/>
      <c r="M282" s="744"/>
      <c r="N282" s="745"/>
      <c r="O282" s="744"/>
      <c r="P282" s="744"/>
      <c r="Q282" s="744"/>
      <c r="R282" s="745"/>
      <c r="S282" s="985"/>
      <c r="T282" s="744"/>
      <c r="U282" s="744"/>
      <c r="V282" s="744"/>
      <c r="W282" s="985"/>
      <c r="X282" s="744"/>
      <c r="Y282" s="792"/>
      <c r="Z282" s="745"/>
      <c r="AA282" s="744"/>
      <c r="AB282" s="744"/>
      <c r="AC282" s="744"/>
      <c r="AD282" s="744"/>
      <c r="AE282" s="744"/>
      <c r="AF282" s="744"/>
      <c r="AG282" s="744"/>
      <c r="AH282" s="744"/>
      <c r="AI282" s="744"/>
      <c r="AJ282" s="744"/>
      <c r="AK282" s="792"/>
      <c r="AL282" s="744"/>
      <c r="AM282" s="744"/>
    </row>
    <row r="283" spans="3:39" x14ac:dyDescent="0.25">
      <c r="C283" s="744"/>
      <c r="D283" s="744"/>
      <c r="E283" s="744"/>
      <c r="F283" s="745"/>
      <c r="G283" s="744"/>
      <c r="H283" s="744"/>
      <c r="I283" s="744"/>
      <c r="J283" s="745"/>
      <c r="K283" s="744"/>
      <c r="L283" s="744"/>
      <c r="M283" s="744"/>
      <c r="N283" s="745"/>
      <c r="O283" s="744"/>
      <c r="P283" s="744"/>
      <c r="Q283" s="744"/>
      <c r="R283" s="745"/>
      <c r="S283" s="985"/>
      <c r="T283" s="744"/>
      <c r="U283" s="744"/>
      <c r="V283" s="744"/>
      <c r="W283" s="985"/>
      <c r="X283" s="744"/>
      <c r="Y283" s="792"/>
      <c r="Z283" s="745"/>
      <c r="AA283" s="744"/>
      <c r="AB283" s="744"/>
      <c r="AC283" s="744"/>
      <c r="AD283" s="744"/>
      <c r="AE283" s="744"/>
      <c r="AF283" s="744"/>
      <c r="AG283" s="744"/>
      <c r="AH283" s="744"/>
      <c r="AI283" s="744"/>
      <c r="AJ283" s="744"/>
      <c r="AK283" s="792"/>
      <c r="AL283" s="744"/>
      <c r="AM283" s="744"/>
    </row>
    <row r="284" spans="3:39" x14ac:dyDescent="0.25">
      <c r="C284" s="744"/>
      <c r="D284" s="744"/>
      <c r="E284" s="744"/>
      <c r="F284" s="745"/>
      <c r="G284" s="744"/>
      <c r="H284" s="744"/>
      <c r="I284" s="744"/>
      <c r="J284" s="745"/>
      <c r="K284" s="744"/>
      <c r="L284" s="744"/>
      <c r="M284" s="744"/>
      <c r="N284" s="745"/>
      <c r="O284" s="744"/>
      <c r="P284" s="744"/>
      <c r="Q284" s="744"/>
      <c r="R284" s="745"/>
      <c r="S284" s="985"/>
      <c r="T284" s="744"/>
      <c r="U284" s="744"/>
      <c r="V284" s="744"/>
      <c r="W284" s="985"/>
      <c r="X284" s="744"/>
      <c r="Y284" s="792"/>
      <c r="Z284" s="745"/>
      <c r="AA284" s="744"/>
      <c r="AB284" s="744"/>
      <c r="AC284" s="744"/>
      <c r="AD284" s="744"/>
      <c r="AE284" s="744"/>
      <c r="AF284" s="744"/>
      <c r="AG284" s="744"/>
      <c r="AH284" s="744"/>
      <c r="AI284" s="744"/>
      <c r="AJ284" s="744"/>
      <c r="AK284" s="792"/>
      <c r="AL284" s="744"/>
      <c r="AM284" s="744"/>
    </row>
    <row r="285" spans="3:39" x14ac:dyDescent="0.25">
      <c r="C285" s="744"/>
      <c r="D285" s="744"/>
      <c r="E285" s="744"/>
      <c r="F285" s="745"/>
      <c r="G285" s="744"/>
      <c r="H285" s="744"/>
      <c r="I285" s="744"/>
      <c r="J285" s="745"/>
      <c r="K285" s="744"/>
      <c r="L285" s="744"/>
      <c r="M285" s="744"/>
      <c r="N285" s="745"/>
      <c r="O285" s="744"/>
      <c r="P285" s="744"/>
      <c r="Q285" s="744"/>
      <c r="R285" s="745"/>
      <c r="S285" s="985"/>
      <c r="T285" s="744"/>
      <c r="U285" s="744"/>
      <c r="V285" s="744"/>
      <c r="W285" s="985"/>
      <c r="X285" s="744"/>
      <c r="Y285" s="792"/>
      <c r="Z285" s="745"/>
      <c r="AA285" s="744"/>
      <c r="AB285" s="744"/>
      <c r="AC285" s="744"/>
      <c r="AD285" s="744"/>
      <c r="AE285" s="744"/>
      <c r="AF285" s="744"/>
      <c r="AG285" s="744"/>
      <c r="AH285" s="744"/>
      <c r="AI285" s="744"/>
      <c r="AJ285" s="744"/>
      <c r="AK285" s="792"/>
      <c r="AL285" s="744"/>
      <c r="AM285" s="744"/>
    </row>
    <row r="286" spans="3:39" x14ac:dyDescent="0.25">
      <c r="C286" s="744"/>
      <c r="D286" s="744"/>
      <c r="E286" s="744"/>
      <c r="F286" s="745"/>
      <c r="G286" s="744"/>
      <c r="H286" s="744"/>
      <c r="I286" s="744"/>
      <c r="J286" s="745"/>
      <c r="K286" s="744"/>
      <c r="L286" s="744"/>
      <c r="M286" s="744"/>
      <c r="N286" s="745"/>
      <c r="O286" s="744"/>
      <c r="P286" s="744"/>
      <c r="Q286" s="744"/>
      <c r="R286" s="745"/>
      <c r="S286" s="985"/>
      <c r="T286" s="744"/>
      <c r="U286" s="744"/>
      <c r="V286" s="744"/>
      <c r="W286" s="985"/>
      <c r="X286" s="744"/>
      <c r="Y286" s="792"/>
      <c r="Z286" s="745"/>
      <c r="AA286" s="744"/>
      <c r="AB286" s="744"/>
      <c r="AC286" s="744"/>
      <c r="AD286" s="744"/>
      <c r="AE286" s="744"/>
      <c r="AF286" s="744"/>
      <c r="AG286" s="744"/>
      <c r="AH286" s="744"/>
      <c r="AI286" s="744"/>
      <c r="AJ286" s="744"/>
      <c r="AK286" s="792"/>
      <c r="AL286" s="744"/>
      <c r="AM286" s="744"/>
    </row>
    <row r="287" spans="3:39" x14ac:dyDescent="0.25">
      <c r="C287" s="744"/>
      <c r="D287" s="744"/>
      <c r="E287" s="744"/>
      <c r="F287" s="745"/>
      <c r="G287" s="744"/>
      <c r="H287" s="744"/>
      <c r="I287" s="744"/>
      <c r="J287" s="745"/>
      <c r="K287" s="744"/>
      <c r="L287" s="744"/>
      <c r="M287" s="744"/>
      <c r="N287" s="745"/>
      <c r="O287" s="744"/>
      <c r="P287" s="744"/>
      <c r="Q287" s="744"/>
      <c r="R287" s="745"/>
      <c r="S287" s="985"/>
      <c r="T287" s="744"/>
      <c r="U287" s="744"/>
      <c r="V287" s="744"/>
      <c r="W287" s="985"/>
      <c r="X287" s="744"/>
      <c r="Y287" s="792"/>
      <c r="Z287" s="745"/>
      <c r="AA287" s="744"/>
      <c r="AB287" s="744"/>
      <c r="AC287" s="744"/>
      <c r="AD287" s="744"/>
      <c r="AE287" s="744"/>
      <c r="AF287" s="744"/>
      <c r="AG287" s="744"/>
      <c r="AH287" s="744"/>
      <c r="AI287" s="744"/>
      <c r="AJ287" s="744"/>
      <c r="AK287" s="792"/>
      <c r="AL287" s="744"/>
      <c r="AM287" s="744"/>
    </row>
    <row r="288" spans="3:39" x14ac:dyDescent="0.25">
      <c r="C288" s="744"/>
      <c r="D288" s="744"/>
      <c r="E288" s="744"/>
      <c r="F288" s="745"/>
      <c r="G288" s="744"/>
      <c r="H288" s="744"/>
      <c r="I288" s="744"/>
      <c r="J288" s="745"/>
      <c r="K288" s="744"/>
      <c r="L288" s="744"/>
      <c r="M288" s="744"/>
      <c r="N288" s="745"/>
      <c r="O288" s="744"/>
      <c r="P288" s="744"/>
      <c r="Q288" s="744"/>
      <c r="R288" s="745"/>
      <c r="S288" s="985"/>
      <c r="T288" s="744"/>
      <c r="U288" s="744"/>
      <c r="V288" s="744"/>
      <c r="W288" s="985"/>
      <c r="X288" s="744"/>
      <c r="Y288" s="792"/>
      <c r="Z288" s="745"/>
      <c r="AA288" s="744"/>
      <c r="AB288" s="744"/>
      <c r="AC288" s="744"/>
      <c r="AD288" s="744"/>
      <c r="AE288" s="744"/>
      <c r="AF288" s="744"/>
      <c r="AG288" s="744"/>
      <c r="AH288" s="744"/>
      <c r="AI288" s="744"/>
      <c r="AJ288" s="744"/>
      <c r="AK288" s="792"/>
      <c r="AL288" s="744"/>
      <c r="AM288" s="744"/>
    </row>
    <row r="289" spans="3:39" x14ac:dyDescent="0.25">
      <c r="C289" s="744"/>
      <c r="D289" s="744"/>
      <c r="E289" s="744"/>
      <c r="F289" s="745"/>
      <c r="G289" s="744"/>
      <c r="H289" s="744"/>
      <c r="I289" s="744"/>
      <c r="J289" s="745"/>
      <c r="K289" s="744"/>
      <c r="L289" s="744"/>
      <c r="M289" s="744"/>
      <c r="N289" s="745"/>
      <c r="O289" s="744"/>
      <c r="P289" s="744"/>
      <c r="Q289" s="744"/>
      <c r="R289" s="745"/>
      <c r="S289" s="985"/>
      <c r="T289" s="744"/>
      <c r="U289" s="744"/>
      <c r="V289" s="744"/>
      <c r="W289" s="985"/>
      <c r="X289" s="744"/>
      <c r="Y289" s="792"/>
      <c r="Z289" s="745"/>
      <c r="AA289" s="744"/>
      <c r="AB289" s="744"/>
      <c r="AC289" s="744"/>
      <c r="AD289" s="744"/>
      <c r="AE289" s="744"/>
      <c r="AF289" s="744"/>
      <c r="AG289" s="744"/>
      <c r="AH289" s="744"/>
      <c r="AI289" s="744"/>
      <c r="AJ289" s="744"/>
      <c r="AK289" s="792"/>
      <c r="AL289" s="744"/>
      <c r="AM289" s="744"/>
    </row>
    <row r="290" spans="3:39" x14ac:dyDescent="0.25">
      <c r="C290" s="744"/>
      <c r="D290" s="744"/>
      <c r="E290" s="744"/>
      <c r="F290" s="745"/>
      <c r="G290" s="744"/>
      <c r="H290" s="744"/>
      <c r="I290" s="744"/>
      <c r="J290" s="745"/>
      <c r="K290" s="744"/>
      <c r="L290" s="744"/>
      <c r="M290" s="744"/>
      <c r="N290" s="745"/>
      <c r="O290" s="744"/>
      <c r="P290" s="744"/>
      <c r="Q290" s="744"/>
      <c r="R290" s="745"/>
      <c r="S290" s="985"/>
      <c r="T290" s="744"/>
      <c r="U290" s="744"/>
      <c r="V290" s="744"/>
      <c r="W290" s="985"/>
      <c r="X290" s="744"/>
      <c r="Y290" s="792"/>
      <c r="Z290" s="745"/>
      <c r="AA290" s="744"/>
      <c r="AB290" s="744"/>
      <c r="AC290" s="744"/>
      <c r="AD290" s="744"/>
      <c r="AE290" s="744"/>
      <c r="AF290" s="744"/>
      <c r="AG290" s="744"/>
      <c r="AH290" s="744"/>
      <c r="AI290" s="744"/>
      <c r="AJ290" s="744"/>
      <c r="AK290" s="792"/>
      <c r="AL290" s="744"/>
      <c r="AM290" s="744"/>
    </row>
    <row r="291" spans="3:39" x14ac:dyDescent="0.25">
      <c r="C291" s="744"/>
      <c r="D291" s="744"/>
      <c r="E291" s="744"/>
      <c r="F291" s="745"/>
      <c r="G291" s="744"/>
      <c r="H291" s="744"/>
      <c r="I291" s="744"/>
      <c r="J291" s="745"/>
      <c r="K291" s="744"/>
      <c r="L291" s="744"/>
      <c r="M291" s="744"/>
      <c r="N291" s="745"/>
      <c r="O291" s="744"/>
      <c r="P291" s="744"/>
      <c r="Q291" s="744"/>
      <c r="R291" s="745"/>
      <c r="S291" s="985"/>
      <c r="T291" s="744"/>
      <c r="U291" s="744"/>
      <c r="V291" s="744"/>
      <c r="W291" s="985"/>
      <c r="X291" s="744"/>
      <c r="Y291" s="792"/>
      <c r="Z291" s="745"/>
      <c r="AA291" s="744"/>
      <c r="AB291" s="744"/>
      <c r="AC291" s="744"/>
      <c r="AD291" s="744"/>
      <c r="AE291" s="744"/>
      <c r="AF291" s="744"/>
      <c r="AG291" s="744"/>
      <c r="AH291" s="744"/>
      <c r="AI291" s="744"/>
      <c r="AJ291" s="744"/>
      <c r="AK291" s="792"/>
      <c r="AL291" s="744"/>
      <c r="AM291" s="744"/>
    </row>
    <row r="292" spans="3:39" x14ac:dyDescent="0.25">
      <c r="C292" s="744"/>
      <c r="D292" s="744"/>
      <c r="E292" s="744"/>
      <c r="F292" s="745"/>
      <c r="G292" s="744"/>
      <c r="H292" s="744"/>
      <c r="I292" s="744"/>
      <c r="J292" s="745"/>
      <c r="K292" s="744"/>
      <c r="L292" s="744"/>
      <c r="M292" s="744"/>
      <c r="N292" s="745"/>
      <c r="O292" s="744"/>
      <c r="P292" s="744"/>
      <c r="Q292" s="744"/>
      <c r="R292" s="745"/>
      <c r="S292" s="985"/>
      <c r="T292" s="744"/>
      <c r="U292" s="744"/>
      <c r="V292" s="744"/>
      <c r="W292" s="985"/>
      <c r="X292" s="744"/>
      <c r="Y292" s="792"/>
      <c r="Z292" s="745"/>
      <c r="AA292" s="744"/>
      <c r="AB292" s="744"/>
      <c r="AC292" s="744"/>
      <c r="AD292" s="744"/>
      <c r="AE292" s="744"/>
      <c r="AF292" s="744"/>
      <c r="AG292" s="744"/>
      <c r="AH292" s="744"/>
      <c r="AI292" s="744"/>
      <c r="AJ292" s="744"/>
      <c r="AK292" s="792"/>
      <c r="AL292" s="744"/>
      <c r="AM292" s="744"/>
    </row>
    <row r="293" spans="3:39" x14ac:dyDescent="0.25">
      <c r="C293" s="744"/>
      <c r="D293" s="744"/>
      <c r="E293" s="744"/>
      <c r="F293" s="745"/>
      <c r="G293" s="744"/>
      <c r="H293" s="744"/>
      <c r="I293" s="744"/>
      <c r="J293" s="745"/>
      <c r="K293" s="744"/>
      <c r="L293" s="744"/>
      <c r="M293" s="744"/>
      <c r="N293" s="745"/>
      <c r="O293" s="744"/>
      <c r="P293" s="744"/>
      <c r="Q293" s="744"/>
      <c r="R293" s="745"/>
      <c r="S293" s="985"/>
      <c r="T293" s="744"/>
      <c r="U293" s="744"/>
      <c r="V293" s="744"/>
      <c r="W293" s="985"/>
      <c r="X293" s="744"/>
      <c r="Y293" s="792"/>
      <c r="Z293" s="745"/>
      <c r="AA293" s="744"/>
      <c r="AB293" s="744"/>
      <c r="AC293" s="744"/>
      <c r="AD293" s="744"/>
      <c r="AE293" s="744"/>
      <c r="AF293" s="744"/>
      <c r="AG293" s="744"/>
      <c r="AH293" s="744"/>
      <c r="AI293" s="744"/>
      <c r="AJ293" s="744"/>
      <c r="AK293" s="792"/>
      <c r="AL293" s="744"/>
      <c r="AM293" s="744"/>
    </row>
    <row r="294" spans="3:39" x14ac:dyDescent="0.25">
      <c r="C294" s="744"/>
      <c r="D294" s="744"/>
      <c r="E294" s="744"/>
      <c r="F294" s="745"/>
      <c r="G294" s="744"/>
      <c r="H294" s="744"/>
      <c r="I294" s="744"/>
      <c r="J294" s="745"/>
      <c r="K294" s="744"/>
      <c r="L294" s="744"/>
      <c r="M294" s="744"/>
      <c r="N294" s="745"/>
      <c r="O294" s="744"/>
      <c r="P294" s="744"/>
      <c r="Q294" s="744"/>
      <c r="R294" s="745"/>
      <c r="S294" s="985"/>
      <c r="T294" s="744"/>
      <c r="U294" s="744"/>
      <c r="V294" s="744"/>
      <c r="W294" s="985"/>
      <c r="X294" s="744"/>
      <c r="Y294" s="792"/>
      <c r="Z294" s="745"/>
      <c r="AA294" s="744"/>
      <c r="AB294" s="744"/>
      <c r="AC294" s="744"/>
      <c r="AD294" s="744"/>
      <c r="AE294" s="744"/>
      <c r="AF294" s="744"/>
      <c r="AG294" s="744"/>
      <c r="AH294" s="744"/>
      <c r="AI294" s="744"/>
      <c r="AJ294" s="744"/>
      <c r="AK294" s="792"/>
      <c r="AL294" s="744"/>
      <c r="AM294" s="744"/>
    </row>
    <row r="295" spans="3:39" x14ac:dyDescent="0.25">
      <c r="C295" s="744"/>
      <c r="D295" s="744"/>
      <c r="E295" s="744"/>
      <c r="F295" s="745"/>
      <c r="G295" s="744"/>
      <c r="H295" s="744"/>
      <c r="I295" s="744"/>
      <c r="J295" s="745"/>
      <c r="K295" s="744"/>
      <c r="L295" s="744"/>
      <c r="M295" s="744"/>
      <c r="N295" s="745"/>
      <c r="O295" s="744"/>
      <c r="P295" s="744"/>
      <c r="Q295" s="744"/>
      <c r="R295" s="745"/>
      <c r="S295" s="985"/>
      <c r="T295" s="744"/>
      <c r="U295" s="744"/>
      <c r="V295" s="744"/>
      <c r="W295" s="985"/>
      <c r="X295" s="744"/>
      <c r="Y295" s="792"/>
      <c r="Z295" s="745"/>
      <c r="AA295" s="744"/>
      <c r="AB295" s="744"/>
      <c r="AC295" s="744"/>
      <c r="AD295" s="744"/>
      <c r="AE295" s="744"/>
      <c r="AF295" s="744"/>
      <c r="AG295" s="744"/>
      <c r="AH295" s="744"/>
      <c r="AI295" s="744"/>
      <c r="AJ295" s="744"/>
      <c r="AK295" s="792"/>
      <c r="AL295" s="744"/>
      <c r="AM295" s="744"/>
    </row>
    <row r="296" spans="3:39" x14ac:dyDescent="0.25">
      <c r="C296" s="744"/>
      <c r="D296" s="744"/>
      <c r="E296" s="744"/>
      <c r="F296" s="745"/>
      <c r="G296" s="744"/>
      <c r="H296" s="744"/>
      <c r="I296" s="744"/>
      <c r="J296" s="745"/>
      <c r="K296" s="744"/>
      <c r="L296" s="744"/>
      <c r="M296" s="744"/>
      <c r="N296" s="745"/>
      <c r="O296" s="744"/>
      <c r="P296" s="744"/>
      <c r="Q296" s="744"/>
      <c r="R296" s="745"/>
      <c r="S296" s="985"/>
      <c r="T296" s="744"/>
      <c r="U296" s="744"/>
      <c r="V296" s="744"/>
      <c r="W296" s="985"/>
      <c r="X296" s="744"/>
      <c r="Y296" s="792"/>
      <c r="Z296" s="745"/>
      <c r="AA296" s="744"/>
      <c r="AB296" s="744"/>
      <c r="AC296" s="744"/>
      <c r="AD296" s="744"/>
      <c r="AE296" s="744"/>
      <c r="AF296" s="744"/>
      <c r="AG296" s="744"/>
      <c r="AH296" s="744"/>
      <c r="AI296" s="744"/>
      <c r="AJ296" s="744"/>
      <c r="AK296" s="792"/>
      <c r="AL296" s="744"/>
      <c r="AM296" s="744"/>
    </row>
    <row r="297" spans="3:39" x14ac:dyDescent="0.25">
      <c r="C297" s="744"/>
      <c r="D297" s="744"/>
      <c r="E297" s="744"/>
      <c r="F297" s="745"/>
      <c r="G297" s="744"/>
      <c r="H297" s="744"/>
      <c r="I297" s="744"/>
      <c r="J297" s="745"/>
      <c r="K297" s="744"/>
      <c r="L297" s="744"/>
      <c r="M297" s="744"/>
      <c r="N297" s="745"/>
      <c r="O297" s="744"/>
      <c r="P297" s="744"/>
      <c r="Q297" s="744"/>
      <c r="R297" s="745"/>
      <c r="S297" s="985"/>
      <c r="T297" s="744"/>
      <c r="U297" s="744"/>
      <c r="V297" s="744"/>
      <c r="W297" s="985"/>
      <c r="X297" s="744"/>
      <c r="Y297" s="792"/>
      <c r="Z297" s="745"/>
      <c r="AA297" s="744"/>
      <c r="AB297" s="744"/>
      <c r="AC297" s="744"/>
      <c r="AD297" s="744"/>
      <c r="AE297" s="744"/>
      <c r="AF297" s="744"/>
      <c r="AG297" s="744"/>
      <c r="AH297" s="744"/>
      <c r="AI297" s="744"/>
      <c r="AJ297" s="744"/>
      <c r="AK297" s="792"/>
      <c r="AL297" s="744"/>
      <c r="AM297" s="744"/>
    </row>
    <row r="298" spans="3:39" x14ac:dyDescent="0.25">
      <c r="C298" s="744"/>
      <c r="D298" s="744"/>
      <c r="E298" s="744"/>
      <c r="F298" s="745"/>
      <c r="G298" s="744"/>
      <c r="H298" s="744"/>
      <c r="I298" s="744"/>
      <c r="J298" s="745"/>
      <c r="K298" s="744"/>
      <c r="L298" s="744"/>
      <c r="M298" s="744"/>
      <c r="N298" s="745"/>
      <c r="O298" s="744"/>
      <c r="P298" s="744"/>
      <c r="Q298" s="744"/>
      <c r="R298" s="745"/>
      <c r="S298" s="985"/>
      <c r="T298" s="744"/>
      <c r="U298" s="744"/>
      <c r="V298" s="744"/>
      <c r="W298" s="985"/>
      <c r="X298" s="744"/>
      <c r="Y298" s="792"/>
      <c r="Z298" s="745"/>
      <c r="AA298" s="744"/>
      <c r="AB298" s="744"/>
      <c r="AC298" s="744"/>
      <c r="AD298" s="744"/>
      <c r="AE298" s="744"/>
      <c r="AF298" s="744"/>
      <c r="AG298" s="744"/>
      <c r="AH298" s="744"/>
      <c r="AI298" s="744"/>
      <c r="AJ298" s="744"/>
      <c r="AK298" s="792"/>
      <c r="AL298" s="744"/>
      <c r="AM298" s="744"/>
    </row>
    <row r="299" spans="3:39" x14ac:dyDescent="0.25">
      <c r="C299" s="744"/>
      <c r="D299" s="744"/>
      <c r="E299" s="744"/>
      <c r="F299" s="745"/>
      <c r="G299" s="744"/>
      <c r="H299" s="744"/>
      <c r="I299" s="744"/>
      <c r="J299" s="745"/>
      <c r="K299" s="744"/>
      <c r="L299" s="744"/>
      <c r="M299" s="744"/>
      <c r="N299" s="745"/>
      <c r="O299" s="744"/>
      <c r="P299" s="744"/>
      <c r="Q299" s="744"/>
      <c r="R299" s="745"/>
      <c r="S299" s="985"/>
      <c r="T299" s="744"/>
      <c r="U299" s="744"/>
      <c r="V299" s="744"/>
      <c r="W299" s="985"/>
      <c r="X299" s="744"/>
      <c r="Y299" s="792"/>
      <c r="Z299" s="745"/>
      <c r="AA299" s="744"/>
      <c r="AB299" s="744"/>
      <c r="AC299" s="744"/>
      <c r="AD299" s="744"/>
      <c r="AE299" s="744"/>
      <c r="AF299" s="744"/>
      <c r="AG299" s="744"/>
      <c r="AH299" s="744"/>
      <c r="AI299" s="744"/>
      <c r="AJ299" s="744"/>
      <c r="AK299" s="792"/>
      <c r="AL299" s="744"/>
      <c r="AM299" s="744"/>
    </row>
    <row r="300" spans="3:39" x14ac:dyDescent="0.25">
      <c r="C300" s="744"/>
      <c r="D300" s="744"/>
      <c r="E300" s="744"/>
      <c r="F300" s="745"/>
      <c r="G300" s="744"/>
      <c r="H300" s="744"/>
      <c r="I300" s="744"/>
      <c r="J300" s="745"/>
      <c r="K300" s="744"/>
      <c r="L300" s="744"/>
      <c r="M300" s="744"/>
      <c r="N300" s="745"/>
      <c r="O300" s="744"/>
      <c r="P300" s="744"/>
      <c r="Q300" s="744"/>
      <c r="R300" s="745"/>
      <c r="S300" s="985"/>
      <c r="T300" s="744"/>
      <c r="U300" s="744"/>
      <c r="V300" s="744"/>
      <c r="W300" s="985"/>
      <c r="X300" s="744"/>
      <c r="Y300" s="792"/>
      <c r="Z300" s="745"/>
      <c r="AA300" s="744"/>
      <c r="AB300" s="744"/>
      <c r="AC300" s="744"/>
      <c r="AD300" s="744"/>
      <c r="AE300" s="744"/>
      <c r="AF300" s="744"/>
      <c r="AG300" s="744"/>
      <c r="AH300" s="744"/>
      <c r="AI300" s="744"/>
      <c r="AJ300" s="744"/>
      <c r="AK300" s="792"/>
      <c r="AL300" s="744"/>
      <c r="AM300" s="744"/>
    </row>
    <row r="301" spans="3:39" x14ac:dyDescent="0.25">
      <c r="C301" s="744"/>
      <c r="D301" s="744"/>
      <c r="E301" s="744"/>
      <c r="F301" s="745"/>
      <c r="G301" s="744"/>
      <c r="H301" s="744"/>
      <c r="I301" s="744"/>
      <c r="J301" s="745"/>
      <c r="K301" s="744"/>
      <c r="L301" s="744"/>
      <c r="M301" s="744"/>
      <c r="N301" s="745"/>
      <c r="O301" s="744"/>
      <c r="P301" s="744"/>
      <c r="Q301" s="744"/>
      <c r="R301" s="745"/>
      <c r="S301" s="985"/>
      <c r="T301" s="744"/>
      <c r="U301" s="744"/>
      <c r="V301" s="744"/>
      <c r="W301" s="985"/>
      <c r="X301" s="744"/>
      <c r="Y301" s="792"/>
      <c r="Z301" s="745"/>
      <c r="AA301" s="744"/>
      <c r="AB301" s="744"/>
      <c r="AC301" s="744"/>
      <c r="AD301" s="744"/>
      <c r="AE301" s="744"/>
      <c r="AF301" s="744"/>
      <c r="AG301" s="744"/>
      <c r="AH301" s="744"/>
      <c r="AI301" s="744"/>
      <c r="AJ301" s="744"/>
      <c r="AK301" s="792"/>
      <c r="AL301" s="744"/>
      <c r="AM301" s="744"/>
    </row>
    <row r="302" spans="3:39" x14ac:dyDescent="0.25">
      <c r="C302" s="744"/>
      <c r="D302" s="744"/>
      <c r="E302" s="744"/>
      <c r="F302" s="745"/>
      <c r="G302" s="744"/>
      <c r="H302" s="744"/>
      <c r="I302" s="744"/>
      <c r="J302" s="745"/>
      <c r="K302" s="744"/>
      <c r="L302" s="744"/>
      <c r="M302" s="744"/>
      <c r="N302" s="745"/>
      <c r="O302" s="744"/>
      <c r="P302" s="744"/>
      <c r="Q302" s="744"/>
      <c r="R302" s="745"/>
      <c r="S302" s="985"/>
      <c r="T302" s="744"/>
      <c r="U302" s="744"/>
      <c r="V302" s="744"/>
      <c r="W302" s="985"/>
      <c r="X302" s="744"/>
      <c r="Y302" s="792"/>
      <c r="Z302" s="745"/>
      <c r="AA302" s="744"/>
      <c r="AB302" s="744"/>
      <c r="AC302" s="744"/>
      <c r="AD302" s="744"/>
      <c r="AE302" s="744"/>
      <c r="AF302" s="744"/>
      <c r="AG302" s="744"/>
      <c r="AH302" s="744"/>
      <c r="AI302" s="744"/>
      <c r="AJ302" s="744"/>
      <c r="AK302" s="792"/>
      <c r="AL302" s="744"/>
      <c r="AM302" s="744"/>
    </row>
    <row r="303" spans="3:39" x14ac:dyDescent="0.25">
      <c r="C303" s="744"/>
      <c r="D303" s="744"/>
      <c r="E303" s="744"/>
      <c r="F303" s="745"/>
      <c r="G303" s="744"/>
      <c r="H303" s="744"/>
      <c r="I303" s="744"/>
      <c r="J303" s="745"/>
      <c r="K303" s="744"/>
      <c r="L303" s="744"/>
      <c r="M303" s="744"/>
      <c r="N303" s="745"/>
      <c r="O303" s="744"/>
      <c r="P303" s="744"/>
      <c r="Q303" s="744"/>
      <c r="R303" s="745"/>
      <c r="S303" s="985"/>
      <c r="T303" s="744"/>
      <c r="U303" s="744"/>
      <c r="V303" s="744"/>
      <c r="W303" s="985"/>
      <c r="X303" s="744"/>
      <c r="Y303" s="792"/>
      <c r="Z303" s="745"/>
      <c r="AA303" s="744"/>
      <c r="AB303" s="744"/>
      <c r="AC303" s="744"/>
      <c r="AD303" s="744"/>
      <c r="AE303" s="744"/>
      <c r="AF303" s="744"/>
      <c r="AG303" s="744"/>
      <c r="AH303" s="744"/>
      <c r="AI303" s="744"/>
      <c r="AJ303" s="744"/>
      <c r="AK303" s="792"/>
      <c r="AL303" s="744"/>
      <c r="AM303" s="744"/>
    </row>
    <row r="304" spans="3:39" x14ac:dyDescent="0.25">
      <c r="C304" s="744"/>
      <c r="D304" s="744"/>
      <c r="E304" s="744"/>
      <c r="F304" s="745"/>
      <c r="G304" s="744"/>
      <c r="H304" s="744"/>
      <c r="I304" s="744"/>
      <c r="J304" s="745"/>
      <c r="K304" s="744"/>
      <c r="L304" s="744"/>
      <c r="M304" s="744"/>
      <c r="N304" s="745"/>
      <c r="O304" s="744"/>
      <c r="P304" s="744"/>
      <c r="Q304" s="744"/>
      <c r="R304" s="745"/>
      <c r="S304" s="985"/>
      <c r="T304" s="744"/>
      <c r="U304" s="744"/>
      <c r="V304" s="744"/>
      <c r="W304" s="985"/>
      <c r="X304" s="744"/>
      <c r="Y304" s="792"/>
      <c r="Z304" s="745"/>
      <c r="AA304" s="744"/>
      <c r="AB304" s="744"/>
      <c r="AC304" s="744"/>
      <c r="AD304" s="744"/>
      <c r="AE304" s="744"/>
      <c r="AF304" s="744"/>
      <c r="AG304" s="744"/>
      <c r="AH304" s="744"/>
      <c r="AI304" s="744"/>
      <c r="AJ304" s="744"/>
      <c r="AK304" s="792"/>
      <c r="AL304" s="744"/>
      <c r="AM304" s="744"/>
    </row>
    <row r="305" spans="3:39" x14ac:dyDescent="0.25">
      <c r="C305" s="744"/>
      <c r="D305" s="744"/>
      <c r="E305" s="744"/>
      <c r="F305" s="745"/>
      <c r="G305" s="744"/>
      <c r="H305" s="744"/>
      <c r="I305" s="744"/>
      <c r="J305" s="745"/>
      <c r="K305" s="744"/>
      <c r="L305" s="744"/>
      <c r="M305" s="744"/>
      <c r="N305" s="745"/>
      <c r="O305" s="744"/>
      <c r="P305" s="744"/>
      <c r="Q305" s="744"/>
      <c r="R305" s="745"/>
      <c r="S305" s="985"/>
      <c r="T305" s="744"/>
      <c r="U305" s="744"/>
      <c r="V305" s="744"/>
      <c r="W305" s="985"/>
      <c r="X305" s="744"/>
      <c r="Y305" s="792"/>
      <c r="Z305" s="745"/>
      <c r="AA305" s="744"/>
      <c r="AB305" s="744"/>
      <c r="AC305" s="744"/>
      <c r="AD305" s="744"/>
      <c r="AE305" s="744"/>
      <c r="AF305" s="744"/>
      <c r="AG305" s="744"/>
      <c r="AH305" s="744"/>
      <c r="AI305" s="744"/>
      <c r="AJ305" s="744"/>
      <c r="AK305" s="792"/>
      <c r="AL305" s="744"/>
      <c r="AM305" s="744"/>
    </row>
    <row r="306" spans="3:39" x14ac:dyDescent="0.25">
      <c r="C306" s="744"/>
      <c r="D306" s="744"/>
      <c r="E306" s="744"/>
      <c r="F306" s="745"/>
      <c r="G306" s="744"/>
      <c r="H306" s="744"/>
      <c r="I306" s="744"/>
      <c r="J306" s="745"/>
      <c r="K306" s="744"/>
      <c r="L306" s="744"/>
      <c r="M306" s="744"/>
      <c r="N306" s="745"/>
      <c r="O306" s="744"/>
      <c r="P306" s="744"/>
      <c r="Q306" s="744"/>
      <c r="R306" s="745"/>
      <c r="S306" s="985"/>
      <c r="T306" s="744"/>
      <c r="U306" s="744"/>
      <c r="V306" s="744"/>
      <c r="W306" s="985"/>
      <c r="X306" s="744"/>
      <c r="Y306" s="792"/>
      <c r="Z306" s="744"/>
      <c r="AA306" s="744"/>
      <c r="AB306" s="744"/>
      <c r="AC306" s="744"/>
      <c r="AD306" s="744"/>
      <c r="AE306" s="744"/>
      <c r="AF306" s="744"/>
      <c r="AG306" s="744"/>
      <c r="AH306" s="744"/>
      <c r="AI306" s="744"/>
      <c r="AJ306" s="744"/>
      <c r="AK306" s="792"/>
      <c r="AL306" s="744"/>
      <c r="AM306" s="744"/>
    </row>
    <row r="307" spans="3:39" x14ac:dyDescent="0.25">
      <c r="C307" s="744"/>
      <c r="D307" s="744"/>
      <c r="E307" s="744"/>
      <c r="F307" s="745"/>
      <c r="G307" s="744"/>
      <c r="H307" s="744"/>
      <c r="I307" s="744"/>
      <c r="J307" s="745"/>
      <c r="K307" s="744"/>
      <c r="L307" s="744"/>
      <c r="M307" s="744"/>
      <c r="N307" s="745"/>
      <c r="O307" s="744"/>
      <c r="P307" s="744"/>
      <c r="Q307" s="744"/>
      <c r="R307" s="745"/>
      <c r="S307" s="985"/>
      <c r="T307" s="744"/>
      <c r="U307" s="744"/>
      <c r="V307" s="744"/>
      <c r="W307" s="985"/>
      <c r="X307" s="744"/>
      <c r="Y307" s="792"/>
      <c r="Z307" s="744"/>
      <c r="AA307" s="744"/>
      <c r="AB307" s="744"/>
      <c r="AC307" s="744"/>
      <c r="AD307" s="744"/>
      <c r="AE307" s="744"/>
      <c r="AF307" s="744"/>
      <c r="AG307" s="744"/>
      <c r="AH307" s="744"/>
      <c r="AI307" s="744"/>
      <c r="AJ307" s="744"/>
      <c r="AK307" s="792"/>
      <c r="AL307" s="744"/>
      <c r="AM307" s="744"/>
    </row>
    <row r="308" spans="3:39" x14ac:dyDescent="0.25">
      <c r="C308" s="744"/>
      <c r="D308" s="744"/>
      <c r="E308" s="744"/>
      <c r="F308" s="745"/>
      <c r="G308" s="744"/>
      <c r="H308" s="744"/>
      <c r="I308" s="744"/>
      <c r="J308" s="745"/>
      <c r="K308" s="744"/>
      <c r="L308" s="744"/>
      <c r="M308" s="744"/>
      <c r="N308" s="745"/>
      <c r="O308" s="744"/>
      <c r="P308" s="744"/>
      <c r="Q308" s="744"/>
      <c r="R308" s="745"/>
      <c r="S308" s="985"/>
      <c r="T308" s="744"/>
      <c r="U308" s="744"/>
      <c r="V308" s="744"/>
      <c r="W308" s="985"/>
      <c r="X308" s="744"/>
      <c r="Y308" s="792"/>
      <c r="Z308" s="744"/>
      <c r="AA308" s="744"/>
      <c r="AB308" s="744"/>
      <c r="AC308" s="744"/>
      <c r="AD308" s="744"/>
      <c r="AE308" s="744"/>
      <c r="AF308" s="744"/>
      <c r="AG308" s="744"/>
      <c r="AH308" s="744"/>
      <c r="AI308" s="744"/>
      <c r="AJ308" s="744"/>
      <c r="AK308" s="792"/>
      <c r="AL308" s="744"/>
      <c r="AM308" s="744"/>
    </row>
    <row r="309" spans="3:39" x14ac:dyDescent="0.25">
      <c r="C309" s="744"/>
      <c r="D309" s="744"/>
      <c r="E309" s="744"/>
      <c r="F309" s="745"/>
      <c r="G309" s="744"/>
      <c r="H309" s="744"/>
      <c r="I309" s="744"/>
      <c r="J309" s="745"/>
      <c r="K309" s="744"/>
      <c r="L309" s="744"/>
      <c r="M309" s="744"/>
      <c r="N309" s="745"/>
      <c r="O309" s="744"/>
      <c r="P309" s="744"/>
      <c r="Q309" s="744"/>
      <c r="R309" s="745"/>
      <c r="S309" s="985"/>
      <c r="T309" s="744"/>
      <c r="U309" s="744"/>
      <c r="V309" s="744"/>
      <c r="W309" s="985"/>
      <c r="X309" s="744"/>
      <c r="Y309" s="792"/>
      <c r="Z309" s="744"/>
      <c r="AA309" s="744"/>
      <c r="AB309" s="744"/>
      <c r="AC309" s="744"/>
      <c r="AD309" s="744"/>
      <c r="AE309" s="744"/>
      <c r="AF309" s="744"/>
      <c r="AG309" s="744"/>
      <c r="AH309" s="744"/>
      <c r="AI309" s="744"/>
      <c r="AJ309" s="744"/>
      <c r="AK309" s="792"/>
      <c r="AL309" s="744"/>
      <c r="AM309" s="744"/>
    </row>
    <row r="310" spans="3:39" x14ac:dyDescent="0.25">
      <c r="C310" s="744"/>
      <c r="D310" s="744"/>
      <c r="E310" s="744"/>
      <c r="F310" s="745"/>
      <c r="G310" s="744"/>
      <c r="H310" s="744"/>
      <c r="I310" s="744"/>
      <c r="J310" s="745"/>
      <c r="K310" s="744"/>
      <c r="L310" s="744"/>
      <c r="M310" s="744"/>
      <c r="N310" s="745"/>
      <c r="O310" s="744"/>
      <c r="P310" s="744"/>
      <c r="Q310" s="744"/>
      <c r="R310" s="745"/>
      <c r="S310" s="985"/>
      <c r="T310" s="744"/>
      <c r="U310" s="744"/>
      <c r="V310" s="744"/>
      <c r="W310" s="985"/>
      <c r="X310" s="744"/>
      <c r="Y310" s="792"/>
      <c r="Z310" s="744"/>
      <c r="AA310" s="744"/>
      <c r="AB310" s="744"/>
      <c r="AC310" s="744"/>
      <c r="AD310" s="744"/>
      <c r="AE310" s="744"/>
      <c r="AF310" s="744"/>
      <c r="AG310" s="744"/>
      <c r="AH310" s="744"/>
      <c r="AI310" s="744"/>
      <c r="AJ310" s="744"/>
      <c r="AK310" s="792"/>
      <c r="AL310" s="744"/>
      <c r="AM310" s="744"/>
    </row>
    <row r="311" spans="3:39" x14ac:dyDescent="0.25">
      <c r="C311" s="744"/>
      <c r="D311" s="744"/>
      <c r="E311" s="744"/>
      <c r="F311" s="745"/>
      <c r="G311" s="744"/>
      <c r="H311" s="744"/>
      <c r="I311" s="744"/>
      <c r="J311" s="745"/>
      <c r="K311" s="744"/>
      <c r="L311" s="744"/>
      <c r="M311" s="744"/>
      <c r="N311" s="745"/>
      <c r="O311" s="744"/>
      <c r="P311" s="744"/>
      <c r="Q311" s="744"/>
      <c r="R311" s="745"/>
      <c r="S311" s="985"/>
      <c r="T311" s="744"/>
      <c r="U311" s="744"/>
      <c r="V311" s="744"/>
      <c r="W311" s="985"/>
      <c r="X311" s="744"/>
      <c r="Y311" s="792"/>
      <c r="Z311" s="744"/>
      <c r="AA311" s="744"/>
      <c r="AB311" s="744"/>
      <c r="AC311" s="744"/>
      <c r="AD311" s="744"/>
      <c r="AE311" s="744"/>
      <c r="AF311" s="744"/>
      <c r="AG311" s="744"/>
      <c r="AH311" s="744"/>
      <c r="AI311" s="744"/>
      <c r="AJ311" s="744"/>
      <c r="AK311" s="792"/>
      <c r="AL311" s="744"/>
      <c r="AM311" s="744"/>
    </row>
    <row r="312" spans="3:39" x14ac:dyDescent="0.25">
      <c r="C312" s="744"/>
      <c r="D312" s="744"/>
      <c r="E312" s="744"/>
      <c r="F312" s="745"/>
      <c r="G312" s="744"/>
      <c r="H312" s="744"/>
      <c r="I312" s="744"/>
      <c r="J312" s="745"/>
      <c r="K312" s="744"/>
      <c r="L312" s="744"/>
      <c r="M312" s="744"/>
      <c r="N312" s="745"/>
      <c r="O312" s="744"/>
      <c r="P312" s="744"/>
      <c r="Q312" s="744"/>
      <c r="R312" s="745"/>
      <c r="S312" s="985"/>
      <c r="T312" s="744"/>
      <c r="U312" s="744"/>
      <c r="V312" s="744"/>
      <c r="W312" s="985"/>
      <c r="X312" s="744"/>
      <c r="Y312" s="792"/>
      <c r="Z312" s="744"/>
      <c r="AA312" s="744"/>
      <c r="AB312" s="744"/>
      <c r="AC312" s="744"/>
      <c r="AD312" s="744"/>
      <c r="AE312" s="744"/>
      <c r="AF312" s="744"/>
      <c r="AG312" s="744"/>
      <c r="AH312" s="744"/>
      <c r="AI312" s="744"/>
      <c r="AJ312" s="744"/>
      <c r="AK312" s="792"/>
      <c r="AL312" s="744"/>
      <c r="AM312" s="744"/>
    </row>
    <row r="313" spans="3:39" x14ac:dyDescent="0.25">
      <c r="C313" s="744"/>
      <c r="D313" s="744"/>
      <c r="E313" s="744"/>
      <c r="F313" s="745"/>
      <c r="G313" s="744"/>
      <c r="H313" s="744"/>
      <c r="I313" s="744"/>
      <c r="J313" s="745"/>
      <c r="K313" s="744"/>
      <c r="L313" s="744"/>
      <c r="M313" s="744"/>
      <c r="N313" s="745"/>
      <c r="O313" s="744"/>
      <c r="P313" s="744"/>
      <c r="Q313" s="744"/>
      <c r="R313" s="745"/>
      <c r="S313" s="985"/>
      <c r="T313" s="744"/>
      <c r="U313" s="744"/>
      <c r="V313" s="744"/>
      <c r="W313" s="985"/>
      <c r="X313" s="744"/>
      <c r="Y313" s="792"/>
      <c r="Z313" s="744"/>
      <c r="AA313" s="744"/>
      <c r="AB313" s="744"/>
      <c r="AC313" s="744"/>
      <c r="AD313" s="744"/>
      <c r="AE313" s="744"/>
      <c r="AF313" s="744"/>
      <c r="AG313" s="744"/>
      <c r="AH313" s="744"/>
      <c r="AI313" s="744"/>
      <c r="AJ313" s="744"/>
      <c r="AK313" s="792"/>
      <c r="AL313" s="744"/>
      <c r="AM313" s="744"/>
    </row>
    <row r="314" spans="3:39" x14ac:dyDescent="0.25">
      <c r="C314" s="744"/>
      <c r="D314" s="744"/>
      <c r="E314" s="744"/>
      <c r="F314" s="745"/>
      <c r="G314" s="744"/>
      <c r="H314" s="744"/>
      <c r="I314" s="744"/>
      <c r="J314" s="745"/>
      <c r="K314" s="744"/>
      <c r="L314" s="744"/>
      <c r="M314" s="744"/>
      <c r="N314" s="745"/>
      <c r="O314" s="744"/>
      <c r="P314" s="744"/>
      <c r="Q314" s="744"/>
      <c r="R314" s="745"/>
      <c r="S314" s="985"/>
      <c r="T314" s="744"/>
      <c r="U314" s="744"/>
      <c r="V314" s="744"/>
      <c r="W314" s="985"/>
      <c r="X314" s="744"/>
      <c r="Y314" s="792"/>
      <c r="Z314" s="744"/>
      <c r="AA314" s="744"/>
      <c r="AB314" s="744"/>
      <c r="AC314" s="744"/>
      <c r="AD314" s="744"/>
      <c r="AE314" s="744"/>
      <c r="AF314" s="744"/>
      <c r="AG314" s="744"/>
      <c r="AH314" s="744"/>
      <c r="AI314" s="744"/>
      <c r="AJ314" s="744"/>
      <c r="AK314" s="792"/>
      <c r="AL314" s="744"/>
      <c r="AM314" s="744"/>
    </row>
    <row r="315" spans="3:39" x14ac:dyDescent="0.25">
      <c r="C315" s="744"/>
      <c r="D315" s="744"/>
      <c r="E315" s="744"/>
      <c r="F315" s="745"/>
      <c r="G315" s="744"/>
      <c r="H315" s="744"/>
      <c r="I315" s="744"/>
      <c r="J315" s="745"/>
      <c r="K315" s="744"/>
      <c r="L315" s="744"/>
      <c r="M315" s="744"/>
      <c r="N315" s="745"/>
      <c r="O315" s="744"/>
      <c r="P315" s="744"/>
      <c r="Q315" s="744"/>
      <c r="R315" s="745"/>
      <c r="S315" s="985"/>
      <c r="T315" s="744"/>
      <c r="U315" s="744"/>
      <c r="V315" s="744"/>
      <c r="W315" s="985"/>
      <c r="X315" s="744"/>
      <c r="Y315" s="792"/>
      <c r="Z315" s="744"/>
      <c r="AA315" s="744"/>
      <c r="AB315" s="744"/>
      <c r="AC315" s="744"/>
      <c r="AD315" s="744"/>
      <c r="AE315" s="744"/>
      <c r="AF315" s="744"/>
      <c r="AG315" s="744"/>
      <c r="AH315" s="744"/>
      <c r="AI315" s="744"/>
      <c r="AJ315" s="744"/>
      <c r="AK315" s="792"/>
      <c r="AL315" s="744"/>
      <c r="AM315" s="744"/>
    </row>
    <row r="316" spans="3:39" x14ac:dyDescent="0.25">
      <c r="C316" s="744"/>
      <c r="D316" s="744"/>
      <c r="E316" s="744"/>
      <c r="F316" s="745"/>
      <c r="G316" s="744"/>
      <c r="H316" s="744"/>
      <c r="I316" s="744"/>
      <c r="J316" s="745"/>
      <c r="K316" s="744"/>
      <c r="L316" s="744"/>
      <c r="M316" s="744"/>
      <c r="N316" s="745"/>
      <c r="O316" s="744"/>
      <c r="P316" s="744"/>
      <c r="Q316" s="744"/>
      <c r="R316" s="745"/>
      <c r="S316" s="985"/>
      <c r="T316" s="744"/>
      <c r="U316" s="744"/>
      <c r="V316" s="744"/>
      <c r="W316" s="985"/>
      <c r="X316" s="744"/>
      <c r="Y316" s="792"/>
      <c r="Z316" s="744"/>
      <c r="AA316" s="744"/>
      <c r="AB316" s="744"/>
      <c r="AC316" s="744"/>
      <c r="AD316" s="744"/>
      <c r="AE316" s="744"/>
      <c r="AF316" s="744"/>
      <c r="AG316" s="744"/>
      <c r="AH316" s="744"/>
      <c r="AI316" s="744"/>
      <c r="AJ316" s="744"/>
      <c r="AK316" s="792"/>
      <c r="AL316" s="744"/>
      <c r="AM316" s="744"/>
    </row>
    <row r="317" spans="3:39" x14ac:dyDescent="0.25">
      <c r="C317" s="744"/>
      <c r="D317" s="744"/>
      <c r="E317" s="744"/>
      <c r="F317" s="745"/>
      <c r="G317" s="744"/>
      <c r="H317" s="744"/>
      <c r="I317" s="744"/>
      <c r="J317" s="745"/>
      <c r="K317" s="744"/>
      <c r="L317" s="744"/>
      <c r="M317" s="744"/>
      <c r="N317" s="745"/>
      <c r="O317" s="744"/>
      <c r="P317" s="744"/>
      <c r="Q317" s="744"/>
      <c r="R317" s="745"/>
      <c r="S317" s="985"/>
      <c r="T317" s="744"/>
      <c r="U317" s="744"/>
      <c r="V317" s="744"/>
      <c r="W317" s="985"/>
      <c r="X317" s="744"/>
      <c r="Y317" s="792"/>
      <c r="Z317" s="744"/>
      <c r="AA317" s="744"/>
      <c r="AB317" s="744"/>
      <c r="AC317" s="744"/>
      <c r="AD317" s="744"/>
      <c r="AE317" s="744"/>
      <c r="AF317" s="744"/>
      <c r="AG317" s="744"/>
      <c r="AH317" s="744"/>
      <c r="AI317" s="744"/>
      <c r="AJ317" s="744"/>
      <c r="AK317" s="792"/>
      <c r="AL317" s="744"/>
      <c r="AM317" s="744"/>
    </row>
    <row r="318" spans="3:39" x14ac:dyDescent="0.25">
      <c r="C318" s="744"/>
      <c r="D318" s="744"/>
      <c r="E318" s="744"/>
      <c r="F318" s="745"/>
      <c r="G318" s="744"/>
      <c r="H318" s="744"/>
      <c r="I318" s="744"/>
      <c r="J318" s="745"/>
      <c r="K318" s="744"/>
      <c r="L318" s="744"/>
      <c r="M318" s="744"/>
      <c r="N318" s="745"/>
      <c r="O318" s="744"/>
      <c r="P318" s="744"/>
      <c r="Q318" s="744"/>
      <c r="R318" s="745"/>
      <c r="S318" s="985"/>
      <c r="T318" s="744"/>
      <c r="U318" s="744"/>
      <c r="V318" s="744"/>
      <c r="W318" s="985"/>
      <c r="X318" s="744"/>
      <c r="Y318" s="792"/>
      <c r="Z318" s="744"/>
      <c r="AA318" s="744"/>
      <c r="AB318" s="744"/>
      <c r="AC318" s="744"/>
      <c r="AD318" s="744"/>
      <c r="AE318" s="744"/>
      <c r="AF318" s="744"/>
      <c r="AG318" s="744"/>
      <c r="AH318" s="744"/>
      <c r="AI318" s="744"/>
      <c r="AJ318" s="744"/>
      <c r="AK318" s="792"/>
      <c r="AL318" s="744"/>
      <c r="AM318" s="744"/>
    </row>
    <row r="319" spans="3:39" x14ac:dyDescent="0.25">
      <c r="C319" s="744"/>
      <c r="D319" s="744"/>
      <c r="E319" s="744"/>
      <c r="F319" s="745"/>
      <c r="G319" s="744"/>
      <c r="H319" s="744"/>
      <c r="I319" s="744"/>
      <c r="J319" s="745"/>
      <c r="K319" s="744"/>
      <c r="L319" s="744"/>
      <c r="M319" s="744"/>
      <c r="N319" s="745"/>
      <c r="O319" s="744"/>
      <c r="P319" s="744"/>
      <c r="Q319" s="744"/>
      <c r="R319" s="745"/>
      <c r="S319" s="985"/>
      <c r="T319" s="744"/>
      <c r="U319" s="744"/>
      <c r="V319" s="744"/>
      <c r="W319" s="985"/>
      <c r="X319" s="744"/>
      <c r="Y319" s="792"/>
      <c r="Z319" s="744"/>
      <c r="AA319" s="744"/>
      <c r="AB319" s="744"/>
      <c r="AC319" s="744"/>
      <c r="AD319" s="744"/>
      <c r="AE319" s="744"/>
      <c r="AF319" s="744"/>
      <c r="AG319" s="744"/>
      <c r="AH319" s="744"/>
      <c r="AI319" s="744"/>
      <c r="AJ319" s="744"/>
      <c r="AK319" s="792"/>
      <c r="AL319" s="744"/>
      <c r="AM319" s="744"/>
    </row>
    <row r="320" spans="3:39" x14ac:dyDescent="0.25">
      <c r="C320" s="744"/>
      <c r="D320" s="744"/>
      <c r="E320" s="744"/>
      <c r="F320" s="745"/>
      <c r="G320" s="744"/>
      <c r="H320" s="744"/>
      <c r="I320" s="744"/>
      <c r="J320" s="745"/>
      <c r="K320" s="744"/>
      <c r="L320" s="744"/>
      <c r="M320" s="744"/>
      <c r="N320" s="745"/>
      <c r="O320" s="744"/>
      <c r="P320" s="744"/>
      <c r="Q320" s="744"/>
      <c r="R320" s="745"/>
      <c r="S320" s="985"/>
      <c r="T320" s="744"/>
      <c r="U320" s="744"/>
      <c r="V320" s="744"/>
      <c r="W320" s="985"/>
      <c r="X320" s="744"/>
      <c r="Y320" s="792"/>
      <c r="Z320" s="744"/>
      <c r="AA320" s="744"/>
      <c r="AB320" s="744"/>
      <c r="AC320" s="744"/>
      <c r="AD320" s="744"/>
      <c r="AE320" s="744"/>
      <c r="AF320" s="744"/>
      <c r="AG320" s="744"/>
      <c r="AH320" s="744"/>
      <c r="AI320" s="744"/>
      <c r="AJ320" s="744"/>
      <c r="AK320" s="792"/>
      <c r="AL320" s="744"/>
      <c r="AM320" s="744"/>
    </row>
    <row r="321" spans="3:39" x14ac:dyDescent="0.25">
      <c r="C321" s="744"/>
      <c r="D321" s="744"/>
      <c r="E321" s="744"/>
      <c r="F321" s="745"/>
      <c r="G321" s="744"/>
      <c r="H321" s="744"/>
      <c r="I321" s="744"/>
      <c r="J321" s="745"/>
      <c r="K321" s="744"/>
      <c r="L321" s="744"/>
      <c r="M321" s="744"/>
      <c r="N321" s="745"/>
      <c r="O321" s="744"/>
      <c r="P321" s="744"/>
      <c r="Q321" s="744"/>
      <c r="R321" s="745"/>
      <c r="S321" s="985"/>
      <c r="T321" s="744"/>
      <c r="U321" s="744"/>
      <c r="V321" s="744"/>
      <c r="W321" s="985"/>
      <c r="X321" s="744"/>
      <c r="Y321" s="792"/>
      <c r="Z321" s="744"/>
      <c r="AA321" s="744"/>
      <c r="AB321" s="744"/>
      <c r="AC321" s="744"/>
      <c r="AD321" s="744"/>
      <c r="AE321" s="744"/>
      <c r="AF321" s="744"/>
      <c r="AG321" s="744"/>
      <c r="AH321" s="744"/>
      <c r="AI321" s="744"/>
      <c r="AJ321" s="744"/>
      <c r="AK321" s="792"/>
      <c r="AL321" s="744"/>
      <c r="AM321" s="744"/>
    </row>
    <row r="322" spans="3:39" x14ac:dyDescent="0.25">
      <c r="C322" s="744"/>
      <c r="D322" s="744"/>
      <c r="E322" s="744"/>
      <c r="F322" s="745"/>
      <c r="G322" s="744"/>
      <c r="H322" s="744"/>
      <c r="I322" s="744"/>
      <c r="J322" s="745"/>
      <c r="K322" s="744"/>
      <c r="L322" s="744"/>
      <c r="M322" s="744"/>
      <c r="N322" s="745"/>
      <c r="O322" s="744"/>
      <c r="P322" s="744"/>
      <c r="Q322" s="744"/>
      <c r="R322" s="745"/>
      <c r="S322" s="985"/>
      <c r="T322" s="744"/>
      <c r="U322" s="744"/>
      <c r="V322" s="744"/>
      <c r="W322" s="985"/>
      <c r="X322" s="744"/>
      <c r="Y322" s="792"/>
      <c r="Z322" s="744"/>
      <c r="AA322" s="744"/>
      <c r="AB322" s="744"/>
      <c r="AC322" s="744"/>
      <c r="AD322" s="744"/>
      <c r="AE322" s="744"/>
      <c r="AF322" s="744"/>
      <c r="AG322" s="744"/>
      <c r="AH322" s="744"/>
      <c r="AI322" s="744"/>
      <c r="AJ322" s="744"/>
      <c r="AK322" s="792"/>
      <c r="AL322" s="744"/>
      <c r="AM322" s="744"/>
    </row>
    <row r="323" spans="3:39" x14ac:dyDescent="0.25">
      <c r="C323" s="744"/>
      <c r="D323" s="744"/>
      <c r="E323" s="744"/>
      <c r="F323" s="745"/>
      <c r="G323" s="744"/>
      <c r="H323" s="744"/>
      <c r="I323" s="744"/>
      <c r="J323" s="745"/>
      <c r="K323" s="744"/>
      <c r="L323" s="744"/>
      <c r="M323" s="744"/>
      <c r="N323" s="745"/>
      <c r="O323" s="744"/>
      <c r="P323" s="744"/>
      <c r="Q323" s="744"/>
      <c r="R323" s="745"/>
      <c r="S323" s="985"/>
      <c r="T323" s="744"/>
      <c r="U323" s="744"/>
      <c r="V323" s="744"/>
      <c r="W323" s="985"/>
      <c r="X323" s="744"/>
      <c r="Y323" s="792"/>
      <c r="Z323" s="744"/>
      <c r="AA323" s="744"/>
      <c r="AB323" s="744"/>
      <c r="AC323" s="744"/>
      <c r="AD323" s="744"/>
      <c r="AE323" s="744"/>
      <c r="AF323" s="744"/>
      <c r="AG323" s="744"/>
      <c r="AH323" s="744"/>
      <c r="AI323" s="744"/>
      <c r="AJ323" s="744"/>
      <c r="AK323" s="792"/>
      <c r="AL323" s="744"/>
      <c r="AM323" s="744"/>
    </row>
    <row r="324" spans="3:39" x14ac:dyDescent="0.25">
      <c r="C324" s="744"/>
      <c r="D324" s="744"/>
      <c r="E324" s="744"/>
      <c r="F324" s="745"/>
      <c r="G324" s="744"/>
      <c r="H324" s="744"/>
      <c r="I324" s="744"/>
      <c r="J324" s="745"/>
      <c r="K324" s="744"/>
      <c r="L324" s="744"/>
      <c r="M324" s="744"/>
      <c r="N324" s="745"/>
      <c r="O324" s="744"/>
      <c r="P324" s="744"/>
      <c r="Q324" s="744"/>
      <c r="R324" s="745"/>
      <c r="S324" s="985"/>
      <c r="T324" s="744"/>
      <c r="U324" s="744"/>
      <c r="V324" s="744"/>
      <c r="W324" s="985"/>
      <c r="X324" s="744"/>
      <c r="Y324" s="792"/>
      <c r="Z324" s="744"/>
      <c r="AA324" s="744"/>
      <c r="AB324" s="744"/>
      <c r="AC324" s="744"/>
      <c r="AD324" s="744"/>
      <c r="AE324" s="744"/>
      <c r="AF324" s="744"/>
      <c r="AG324" s="744"/>
      <c r="AH324" s="744"/>
      <c r="AI324" s="744"/>
      <c r="AJ324" s="744"/>
      <c r="AK324" s="792"/>
      <c r="AL324" s="744"/>
      <c r="AM324" s="744"/>
    </row>
    <row r="325" spans="3:39" x14ac:dyDescent="0.25">
      <c r="C325" s="744"/>
      <c r="D325" s="744"/>
      <c r="E325" s="744"/>
      <c r="F325" s="745"/>
      <c r="G325" s="744"/>
      <c r="H325" s="744"/>
      <c r="I325" s="744"/>
      <c r="J325" s="745"/>
      <c r="K325" s="744"/>
      <c r="L325" s="744"/>
      <c r="M325" s="744"/>
      <c r="N325" s="745"/>
      <c r="O325" s="744"/>
      <c r="P325" s="744"/>
      <c r="Q325" s="744"/>
      <c r="R325" s="745"/>
      <c r="S325" s="985"/>
      <c r="T325" s="744"/>
      <c r="U325" s="744"/>
      <c r="V325" s="744"/>
      <c r="W325" s="985"/>
      <c r="X325" s="744"/>
      <c r="Y325" s="792"/>
      <c r="Z325" s="744"/>
      <c r="AA325" s="744"/>
      <c r="AB325" s="744"/>
      <c r="AC325" s="744"/>
      <c r="AD325" s="744"/>
      <c r="AE325" s="744"/>
      <c r="AF325" s="744"/>
      <c r="AG325" s="744"/>
      <c r="AH325" s="744"/>
      <c r="AI325" s="744"/>
      <c r="AJ325" s="744"/>
      <c r="AK325" s="792"/>
      <c r="AL325" s="744"/>
      <c r="AM325" s="744"/>
    </row>
    <row r="326" spans="3:39" x14ac:dyDescent="0.25">
      <c r="C326" s="744"/>
      <c r="D326" s="744"/>
      <c r="E326" s="744"/>
      <c r="F326" s="745"/>
      <c r="G326" s="744"/>
      <c r="H326" s="744"/>
      <c r="I326" s="744"/>
      <c r="J326" s="745"/>
      <c r="K326" s="744"/>
      <c r="L326" s="744"/>
      <c r="M326" s="744"/>
      <c r="N326" s="745"/>
      <c r="O326" s="744"/>
      <c r="P326" s="744"/>
      <c r="Q326" s="744"/>
      <c r="R326" s="745"/>
      <c r="S326" s="985"/>
      <c r="T326" s="744"/>
      <c r="U326" s="744"/>
      <c r="V326" s="744"/>
      <c r="W326" s="985"/>
      <c r="X326" s="744"/>
      <c r="Y326" s="792"/>
      <c r="Z326" s="744"/>
      <c r="AA326" s="744"/>
      <c r="AB326" s="744"/>
      <c r="AC326" s="744"/>
      <c r="AD326" s="744"/>
      <c r="AE326" s="744"/>
      <c r="AF326" s="744"/>
      <c r="AG326" s="744"/>
      <c r="AH326" s="744"/>
      <c r="AI326" s="744"/>
      <c r="AJ326" s="744"/>
      <c r="AK326" s="792"/>
      <c r="AL326" s="744"/>
      <c r="AM326" s="744"/>
    </row>
    <row r="327" spans="3:39" x14ac:dyDescent="0.25">
      <c r="C327" s="744"/>
      <c r="D327" s="744"/>
      <c r="E327" s="744"/>
      <c r="F327" s="745"/>
      <c r="G327" s="744"/>
      <c r="H327" s="744"/>
      <c r="I327" s="744"/>
      <c r="J327" s="745"/>
      <c r="K327" s="744"/>
      <c r="L327" s="744"/>
      <c r="M327" s="744"/>
      <c r="N327" s="745"/>
      <c r="O327" s="744"/>
      <c r="P327" s="744"/>
      <c r="Q327" s="744"/>
      <c r="R327" s="745"/>
      <c r="S327" s="985"/>
      <c r="T327" s="744"/>
      <c r="U327" s="744"/>
      <c r="V327" s="744"/>
      <c r="W327" s="985"/>
      <c r="X327" s="744"/>
      <c r="Y327" s="792"/>
      <c r="Z327" s="744"/>
      <c r="AA327" s="744"/>
      <c r="AB327" s="744"/>
      <c r="AC327" s="744"/>
      <c r="AD327" s="744"/>
      <c r="AE327" s="744"/>
      <c r="AF327" s="744"/>
      <c r="AG327" s="744"/>
      <c r="AH327" s="744"/>
      <c r="AI327" s="744"/>
      <c r="AJ327" s="744"/>
      <c r="AK327" s="792"/>
      <c r="AL327" s="744"/>
      <c r="AM327" s="744"/>
    </row>
    <row r="328" spans="3:39" x14ac:dyDescent="0.25">
      <c r="C328" s="744"/>
      <c r="D328" s="744"/>
      <c r="E328" s="744"/>
      <c r="F328" s="745"/>
      <c r="G328" s="744"/>
      <c r="H328" s="744"/>
      <c r="I328" s="744"/>
      <c r="J328" s="745"/>
      <c r="K328" s="744"/>
      <c r="L328" s="744"/>
      <c r="M328" s="744"/>
      <c r="N328" s="745"/>
      <c r="O328" s="744"/>
      <c r="P328" s="744"/>
      <c r="Q328" s="744"/>
      <c r="R328" s="745"/>
      <c r="S328" s="985"/>
      <c r="T328" s="744"/>
      <c r="U328" s="744"/>
      <c r="V328" s="744"/>
      <c r="W328" s="985"/>
      <c r="X328" s="744"/>
      <c r="Y328" s="792"/>
      <c r="Z328" s="744"/>
      <c r="AA328" s="744"/>
      <c r="AB328" s="744"/>
      <c r="AC328" s="744"/>
      <c r="AD328" s="744"/>
      <c r="AE328" s="744"/>
      <c r="AF328" s="744"/>
      <c r="AG328" s="744"/>
      <c r="AH328" s="744"/>
      <c r="AI328" s="744"/>
      <c r="AJ328" s="744"/>
      <c r="AK328" s="792"/>
      <c r="AL328" s="744"/>
      <c r="AM328" s="744"/>
    </row>
    <row r="329" spans="3:39" x14ac:dyDescent="0.25">
      <c r="C329" s="744"/>
      <c r="D329" s="744"/>
      <c r="E329" s="744"/>
      <c r="F329" s="745"/>
      <c r="G329" s="744"/>
      <c r="H329" s="744"/>
      <c r="I329" s="744"/>
      <c r="J329" s="745"/>
      <c r="K329" s="744"/>
      <c r="L329" s="744"/>
      <c r="M329" s="744"/>
      <c r="N329" s="745"/>
      <c r="O329" s="744"/>
      <c r="P329" s="744"/>
      <c r="Q329" s="744"/>
      <c r="R329" s="745"/>
      <c r="S329" s="985"/>
      <c r="T329" s="744"/>
      <c r="U329" s="744"/>
      <c r="V329" s="744"/>
      <c r="W329" s="985"/>
      <c r="X329" s="744"/>
      <c r="Y329" s="792"/>
      <c r="Z329" s="744"/>
      <c r="AA329" s="744"/>
      <c r="AB329" s="744"/>
      <c r="AC329" s="744"/>
      <c r="AD329" s="744"/>
      <c r="AE329" s="744"/>
      <c r="AF329" s="744"/>
      <c r="AG329" s="744"/>
      <c r="AH329" s="744"/>
      <c r="AI329" s="744"/>
      <c r="AJ329" s="744"/>
      <c r="AK329" s="792"/>
      <c r="AL329" s="744"/>
      <c r="AM329" s="744"/>
    </row>
    <row r="330" spans="3:39" x14ac:dyDescent="0.25">
      <c r="C330" s="744"/>
      <c r="D330" s="744"/>
      <c r="E330" s="744"/>
      <c r="F330" s="745"/>
      <c r="G330" s="744"/>
      <c r="H330" s="744"/>
      <c r="I330" s="744"/>
      <c r="J330" s="745"/>
      <c r="K330" s="744"/>
      <c r="L330" s="744"/>
      <c r="M330" s="744"/>
      <c r="N330" s="745"/>
      <c r="O330" s="744"/>
      <c r="P330" s="744"/>
      <c r="Q330" s="744"/>
      <c r="R330" s="745"/>
      <c r="S330" s="985"/>
      <c r="T330" s="744"/>
      <c r="U330" s="744"/>
      <c r="V330" s="744"/>
      <c r="W330" s="985"/>
      <c r="X330" s="744"/>
      <c r="Y330" s="792"/>
      <c r="Z330" s="744"/>
      <c r="AA330" s="744"/>
      <c r="AB330" s="744"/>
      <c r="AC330" s="744"/>
      <c r="AD330" s="744"/>
      <c r="AE330" s="744"/>
      <c r="AF330" s="744"/>
      <c r="AG330" s="744"/>
      <c r="AH330" s="744"/>
      <c r="AI330" s="744"/>
      <c r="AJ330" s="744"/>
      <c r="AK330" s="792"/>
      <c r="AL330" s="744"/>
      <c r="AM330" s="744"/>
    </row>
    <row r="331" spans="3:39" x14ac:dyDescent="0.25">
      <c r="C331" s="744"/>
      <c r="D331" s="744"/>
      <c r="E331" s="744"/>
      <c r="F331" s="745"/>
      <c r="G331" s="744"/>
      <c r="H331" s="744"/>
      <c r="I331" s="744"/>
      <c r="J331" s="745"/>
      <c r="K331" s="744"/>
      <c r="L331" s="744"/>
      <c r="M331" s="744"/>
      <c r="N331" s="745"/>
      <c r="O331" s="744"/>
      <c r="P331" s="744"/>
      <c r="Q331" s="744"/>
      <c r="R331" s="745"/>
      <c r="S331" s="985"/>
      <c r="T331" s="744"/>
      <c r="U331" s="744"/>
      <c r="V331" s="744"/>
      <c r="W331" s="985"/>
      <c r="X331" s="744"/>
      <c r="Y331" s="792"/>
      <c r="Z331" s="744"/>
      <c r="AA331" s="744"/>
      <c r="AB331" s="744"/>
      <c r="AC331" s="744"/>
      <c r="AD331" s="744"/>
      <c r="AE331" s="744"/>
      <c r="AF331" s="744"/>
      <c r="AG331" s="744"/>
      <c r="AH331" s="744"/>
      <c r="AI331" s="744"/>
      <c r="AJ331" s="744"/>
      <c r="AK331" s="792"/>
      <c r="AL331" s="744"/>
      <c r="AM331" s="744"/>
    </row>
    <row r="332" spans="3:39" x14ac:dyDescent="0.25">
      <c r="C332" s="744"/>
      <c r="D332" s="744"/>
      <c r="E332" s="744"/>
      <c r="F332" s="745"/>
      <c r="G332" s="744"/>
      <c r="H332" s="744"/>
      <c r="I332" s="744"/>
      <c r="J332" s="745"/>
      <c r="K332" s="744"/>
      <c r="L332" s="744"/>
      <c r="M332" s="744"/>
      <c r="N332" s="745"/>
      <c r="O332" s="744"/>
      <c r="P332" s="744"/>
      <c r="Q332" s="744"/>
      <c r="R332" s="745"/>
      <c r="S332" s="985"/>
      <c r="T332" s="744"/>
      <c r="U332" s="744"/>
      <c r="V332" s="744"/>
      <c r="W332" s="985"/>
      <c r="X332" s="744"/>
      <c r="Y332" s="792"/>
      <c r="Z332" s="744"/>
      <c r="AA332" s="744"/>
      <c r="AB332" s="744"/>
      <c r="AC332" s="744"/>
      <c r="AD332" s="744"/>
      <c r="AE332" s="744"/>
      <c r="AF332" s="744"/>
      <c r="AG332" s="744"/>
      <c r="AH332" s="744"/>
      <c r="AI332" s="744"/>
      <c r="AJ332" s="744"/>
      <c r="AK332" s="792"/>
      <c r="AL332" s="744"/>
      <c r="AM332" s="744"/>
    </row>
    <row r="333" spans="3:39" x14ac:dyDescent="0.25">
      <c r="C333" s="744"/>
      <c r="D333" s="744"/>
      <c r="E333" s="744"/>
      <c r="F333" s="745"/>
      <c r="G333" s="744"/>
      <c r="H333" s="744"/>
      <c r="I333" s="744"/>
      <c r="J333" s="745"/>
      <c r="K333" s="744"/>
      <c r="L333" s="744"/>
      <c r="M333" s="744"/>
      <c r="N333" s="745"/>
      <c r="O333" s="744"/>
      <c r="P333" s="744"/>
      <c r="Q333" s="744"/>
      <c r="R333" s="745"/>
      <c r="S333" s="985"/>
      <c r="T333" s="744"/>
      <c r="U333" s="744"/>
      <c r="V333" s="744"/>
      <c r="W333" s="985"/>
      <c r="X333" s="744"/>
      <c r="Y333" s="792"/>
      <c r="Z333" s="744"/>
      <c r="AA333" s="744"/>
      <c r="AB333" s="744"/>
      <c r="AC333" s="744"/>
      <c r="AD333" s="744"/>
      <c r="AE333" s="744"/>
      <c r="AF333" s="744"/>
      <c r="AG333" s="744"/>
      <c r="AH333" s="744"/>
      <c r="AI333" s="744"/>
      <c r="AJ333" s="744"/>
      <c r="AK333" s="792"/>
      <c r="AL333" s="744"/>
      <c r="AM333" s="744"/>
    </row>
    <row r="334" spans="3:39" x14ac:dyDescent="0.25">
      <c r="C334" s="744"/>
      <c r="D334" s="744"/>
      <c r="E334" s="744"/>
      <c r="F334" s="745"/>
      <c r="G334" s="744"/>
      <c r="H334" s="744"/>
      <c r="I334" s="744"/>
      <c r="J334" s="745"/>
      <c r="K334" s="744"/>
      <c r="L334" s="744"/>
      <c r="M334" s="744"/>
      <c r="N334" s="745"/>
      <c r="O334" s="744"/>
      <c r="P334" s="744"/>
      <c r="Q334" s="744"/>
      <c r="R334" s="745"/>
      <c r="S334" s="985"/>
      <c r="T334" s="744"/>
      <c r="U334" s="744"/>
      <c r="V334" s="744"/>
      <c r="W334" s="985"/>
      <c r="X334" s="744"/>
      <c r="Y334" s="792"/>
      <c r="Z334" s="744"/>
      <c r="AA334" s="744"/>
      <c r="AB334" s="744"/>
      <c r="AC334" s="744"/>
      <c r="AD334" s="744"/>
      <c r="AE334" s="744"/>
      <c r="AF334" s="744"/>
      <c r="AG334" s="744"/>
      <c r="AH334" s="744"/>
      <c r="AI334" s="744"/>
      <c r="AJ334" s="744"/>
      <c r="AK334" s="792"/>
      <c r="AL334" s="744"/>
      <c r="AM334" s="744"/>
    </row>
    <row r="335" spans="3:39" x14ac:dyDescent="0.25">
      <c r="C335" s="744"/>
      <c r="D335" s="744"/>
      <c r="E335" s="744"/>
      <c r="F335" s="745"/>
      <c r="G335" s="744"/>
      <c r="H335" s="744"/>
      <c r="I335" s="744"/>
      <c r="J335" s="745"/>
      <c r="K335" s="744"/>
      <c r="L335" s="744"/>
      <c r="M335" s="744"/>
      <c r="N335" s="745"/>
      <c r="O335" s="744"/>
      <c r="P335" s="744"/>
      <c r="Q335" s="744"/>
      <c r="R335" s="745"/>
      <c r="S335" s="985"/>
      <c r="T335" s="744"/>
      <c r="U335" s="744"/>
      <c r="V335" s="744"/>
      <c r="W335" s="985"/>
      <c r="X335" s="744"/>
      <c r="Y335" s="792"/>
      <c r="Z335" s="744"/>
      <c r="AA335" s="744"/>
      <c r="AB335" s="744"/>
      <c r="AC335" s="744"/>
      <c r="AD335" s="744"/>
      <c r="AE335" s="744"/>
      <c r="AF335" s="744"/>
      <c r="AG335" s="744"/>
      <c r="AH335" s="744"/>
      <c r="AI335" s="744"/>
      <c r="AJ335" s="744"/>
      <c r="AK335" s="792"/>
      <c r="AL335" s="744"/>
      <c r="AM335" s="744"/>
    </row>
    <row r="336" spans="3:39" x14ac:dyDescent="0.25">
      <c r="C336" s="744"/>
      <c r="D336" s="744"/>
      <c r="E336" s="744"/>
      <c r="F336" s="745"/>
      <c r="G336" s="744"/>
      <c r="H336" s="744"/>
      <c r="I336" s="744"/>
      <c r="J336" s="745"/>
      <c r="K336" s="744"/>
      <c r="L336" s="744"/>
      <c r="M336" s="744"/>
      <c r="N336" s="745"/>
      <c r="O336" s="744"/>
      <c r="P336" s="744"/>
      <c r="Q336" s="744"/>
      <c r="R336" s="745"/>
      <c r="S336" s="985"/>
      <c r="T336" s="744"/>
      <c r="U336" s="744"/>
      <c r="V336" s="744"/>
      <c r="W336" s="985"/>
      <c r="X336" s="744"/>
      <c r="Y336" s="792"/>
      <c r="Z336" s="744"/>
      <c r="AA336" s="744"/>
      <c r="AB336" s="744"/>
      <c r="AC336" s="744"/>
      <c r="AD336" s="744"/>
      <c r="AE336" s="744"/>
      <c r="AF336" s="744"/>
      <c r="AG336" s="744"/>
      <c r="AH336" s="744"/>
      <c r="AI336" s="744"/>
      <c r="AJ336" s="744"/>
      <c r="AK336" s="792"/>
      <c r="AL336" s="744"/>
      <c r="AM336" s="744"/>
    </row>
    <row r="337" spans="3:39" x14ac:dyDescent="0.25">
      <c r="C337" s="744"/>
      <c r="D337" s="744"/>
      <c r="E337" s="744"/>
      <c r="F337" s="745"/>
      <c r="G337" s="744"/>
      <c r="H337" s="744"/>
      <c r="I337" s="744"/>
      <c r="J337" s="745"/>
      <c r="K337" s="744"/>
      <c r="L337" s="744"/>
      <c r="M337" s="744"/>
      <c r="N337" s="745"/>
      <c r="O337" s="744"/>
      <c r="P337" s="744"/>
      <c r="Q337" s="744"/>
      <c r="R337" s="745"/>
      <c r="S337" s="985"/>
      <c r="T337" s="744"/>
      <c r="U337" s="744"/>
      <c r="V337" s="744"/>
      <c r="W337" s="985"/>
      <c r="X337" s="744"/>
      <c r="Y337" s="792"/>
      <c r="Z337" s="744"/>
      <c r="AA337" s="744"/>
      <c r="AB337" s="744"/>
      <c r="AC337" s="744"/>
      <c r="AD337" s="744"/>
      <c r="AE337" s="744"/>
      <c r="AF337" s="744"/>
      <c r="AG337" s="744"/>
      <c r="AH337" s="744"/>
      <c r="AI337" s="744"/>
      <c r="AJ337" s="744"/>
      <c r="AK337" s="792"/>
      <c r="AL337" s="744"/>
      <c r="AM337" s="744"/>
    </row>
    <row r="338" spans="3:39" x14ac:dyDescent="0.25">
      <c r="C338" s="744"/>
      <c r="D338" s="744"/>
      <c r="E338" s="744"/>
      <c r="F338" s="745"/>
      <c r="G338" s="744"/>
      <c r="H338" s="744"/>
      <c r="I338" s="744"/>
      <c r="J338" s="745"/>
      <c r="K338" s="744"/>
      <c r="L338" s="744"/>
      <c r="M338" s="744"/>
      <c r="N338" s="745"/>
      <c r="O338" s="744"/>
      <c r="P338" s="744"/>
      <c r="Q338" s="744"/>
      <c r="R338" s="745"/>
      <c r="S338" s="985"/>
      <c r="T338" s="744"/>
      <c r="U338" s="744"/>
      <c r="V338" s="744"/>
      <c r="W338" s="985"/>
      <c r="X338" s="744"/>
      <c r="Y338" s="792"/>
      <c r="Z338" s="744"/>
      <c r="AA338" s="744"/>
      <c r="AB338" s="744"/>
      <c r="AC338" s="744"/>
      <c r="AD338" s="744"/>
      <c r="AE338" s="744"/>
      <c r="AF338" s="744"/>
      <c r="AG338" s="744"/>
      <c r="AH338" s="744"/>
      <c r="AI338" s="744"/>
      <c r="AJ338" s="744"/>
      <c r="AK338" s="792"/>
      <c r="AL338" s="744"/>
      <c r="AM338" s="744"/>
    </row>
    <row r="339" spans="3:39" x14ac:dyDescent="0.25">
      <c r="C339" s="744"/>
      <c r="D339" s="744"/>
      <c r="E339" s="744"/>
      <c r="F339" s="745"/>
      <c r="G339" s="744"/>
      <c r="H339" s="744"/>
      <c r="I339" s="744"/>
      <c r="J339" s="745"/>
      <c r="K339" s="744"/>
      <c r="L339" s="744"/>
      <c r="M339" s="744"/>
      <c r="N339" s="745"/>
      <c r="O339" s="744"/>
      <c r="P339" s="744"/>
      <c r="Q339" s="744"/>
      <c r="R339" s="745"/>
      <c r="S339" s="985"/>
      <c r="T339" s="744"/>
      <c r="U339" s="744"/>
      <c r="V339" s="744"/>
      <c r="W339" s="985"/>
      <c r="X339" s="744"/>
      <c r="Y339" s="792"/>
      <c r="Z339" s="744"/>
      <c r="AA339" s="744"/>
      <c r="AB339" s="744"/>
      <c r="AC339" s="744"/>
      <c r="AD339" s="744"/>
      <c r="AE339" s="744"/>
      <c r="AF339" s="744"/>
      <c r="AG339" s="744"/>
      <c r="AH339" s="744"/>
      <c r="AI339" s="744"/>
      <c r="AJ339" s="744"/>
      <c r="AK339" s="792"/>
      <c r="AL339" s="744"/>
      <c r="AM339" s="744"/>
    </row>
    <row r="340" spans="3:39" x14ac:dyDescent="0.25">
      <c r="C340" s="744"/>
      <c r="D340" s="744"/>
      <c r="E340" s="744"/>
      <c r="F340" s="745"/>
      <c r="G340" s="744"/>
      <c r="H340" s="744"/>
      <c r="I340" s="744"/>
      <c r="J340" s="745"/>
      <c r="K340" s="744"/>
      <c r="L340" s="744"/>
      <c r="M340" s="744"/>
      <c r="N340" s="745"/>
      <c r="O340" s="744"/>
      <c r="P340" s="744"/>
      <c r="Q340" s="744"/>
      <c r="R340" s="745"/>
      <c r="S340" s="985"/>
      <c r="T340" s="744"/>
      <c r="U340" s="744"/>
      <c r="V340" s="744"/>
      <c r="W340" s="985"/>
      <c r="X340" s="744"/>
      <c r="Y340" s="792"/>
      <c r="Z340" s="744"/>
      <c r="AA340" s="744"/>
      <c r="AB340" s="744"/>
      <c r="AC340" s="744"/>
      <c r="AD340" s="744"/>
      <c r="AE340" s="744"/>
      <c r="AF340" s="744"/>
      <c r="AG340" s="744"/>
      <c r="AH340" s="744"/>
      <c r="AI340" s="744"/>
      <c r="AJ340" s="744"/>
      <c r="AK340" s="792"/>
      <c r="AL340" s="744"/>
      <c r="AM340" s="744"/>
    </row>
    <row r="341" spans="3:39" x14ac:dyDescent="0.25">
      <c r="C341" s="744"/>
      <c r="D341" s="744"/>
      <c r="E341" s="744"/>
      <c r="F341" s="745"/>
      <c r="G341" s="744"/>
      <c r="H341" s="744"/>
      <c r="I341" s="744"/>
      <c r="J341" s="745"/>
      <c r="K341" s="744"/>
      <c r="L341" s="744"/>
      <c r="M341" s="744"/>
      <c r="N341" s="745"/>
      <c r="O341" s="744"/>
      <c r="P341" s="744"/>
      <c r="Q341" s="744"/>
      <c r="R341" s="745"/>
      <c r="S341" s="985"/>
      <c r="T341" s="744"/>
      <c r="U341" s="744"/>
      <c r="V341" s="744"/>
      <c r="W341" s="985"/>
      <c r="X341" s="744"/>
      <c r="Y341" s="792"/>
      <c r="Z341" s="744"/>
      <c r="AA341" s="744"/>
      <c r="AB341" s="744"/>
      <c r="AC341" s="744"/>
      <c r="AD341" s="744"/>
      <c r="AE341" s="744"/>
      <c r="AF341" s="744"/>
      <c r="AG341" s="744"/>
      <c r="AH341" s="744"/>
      <c r="AI341" s="744"/>
      <c r="AJ341" s="744"/>
      <c r="AK341" s="792"/>
      <c r="AL341" s="744"/>
      <c r="AM341" s="744"/>
    </row>
    <row r="342" spans="3:39" x14ac:dyDescent="0.25">
      <c r="C342" s="744"/>
      <c r="D342" s="744"/>
      <c r="E342" s="744"/>
      <c r="F342" s="745"/>
      <c r="G342" s="744"/>
      <c r="H342" s="744"/>
      <c r="I342" s="744"/>
      <c r="J342" s="745"/>
      <c r="K342" s="744"/>
      <c r="L342" s="744"/>
      <c r="M342" s="744"/>
      <c r="N342" s="745"/>
      <c r="O342" s="744"/>
      <c r="P342" s="744"/>
      <c r="Q342" s="744"/>
      <c r="R342" s="745"/>
      <c r="S342" s="985"/>
      <c r="T342" s="744"/>
      <c r="U342" s="744"/>
      <c r="V342" s="744"/>
      <c r="W342" s="985"/>
      <c r="X342" s="744"/>
      <c r="Y342" s="792"/>
      <c r="Z342" s="744"/>
      <c r="AA342" s="744"/>
      <c r="AB342" s="744"/>
      <c r="AC342" s="744"/>
      <c r="AD342" s="744"/>
      <c r="AE342" s="744"/>
      <c r="AF342" s="744"/>
      <c r="AG342" s="744"/>
      <c r="AH342" s="744"/>
      <c r="AI342" s="744"/>
      <c r="AJ342" s="744"/>
      <c r="AK342" s="792"/>
      <c r="AL342" s="744"/>
      <c r="AM342" s="744"/>
    </row>
    <row r="343" spans="3:39" x14ac:dyDescent="0.25">
      <c r="C343" s="744"/>
      <c r="D343" s="744"/>
      <c r="E343" s="744"/>
      <c r="F343" s="745"/>
      <c r="G343" s="744"/>
      <c r="H343" s="744"/>
      <c r="I343" s="744"/>
      <c r="J343" s="745"/>
      <c r="K343" s="744"/>
      <c r="L343" s="744"/>
      <c r="M343" s="744"/>
      <c r="N343" s="745"/>
      <c r="O343" s="744"/>
      <c r="P343" s="744"/>
      <c r="Q343" s="744"/>
      <c r="R343" s="745"/>
      <c r="S343" s="985"/>
      <c r="T343" s="744"/>
      <c r="U343" s="744"/>
      <c r="V343" s="744"/>
      <c r="W343" s="985"/>
      <c r="X343" s="744"/>
      <c r="Y343" s="792"/>
      <c r="Z343" s="744"/>
      <c r="AA343" s="744"/>
      <c r="AB343" s="744"/>
      <c r="AC343" s="744"/>
      <c r="AD343" s="744"/>
      <c r="AE343" s="744"/>
      <c r="AF343" s="744"/>
      <c r="AG343" s="744"/>
      <c r="AH343" s="744"/>
      <c r="AI343" s="744"/>
      <c r="AJ343" s="744"/>
      <c r="AK343" s="792"/>
      <c r="AL343" s="744"/>
      <c r="AM343" s="744"/>
    </row>
    <row r="344" spans="3:39" x14ac:dyDescent="0.25">
      <c r="C344" s="744"/>
      <c r="D344" s="744"/>
      <c r="E344" s="744"/>
      <c r="F344" s="745"/>
      <c r="G344" s="744"/>
      <c r="H344" s="744"/>
      <c r="I344" s="744"/>
      <c r="J344" s="745"/>
      <c r="K344" s="744"/>
      <c r="L344" s="744"/>
      <c r="M344" s="744"/>
      <c r="N344" s="745"/>
      <c r="O344" s="744"/>
      <c r="P344" s="744"/>
      <c r="Q344" s="744"/>
      <c r="R344" s="745"/>
      <c r="S344" s="985"/>
      <c r="T344" s="744"/>
      <c r="U344" s="744"/>
      <c r="V344" s="744"/>
      <c r="W344" s="985"/>
      <c r="X344" s="744"/>
      <c r="Y344" s="792"/>
      <c r="Z344" s="744"/>
      <c r="AA344" s="744"/>
      <c r="AB344" s="744"/>
      <c r="AC344" s="744"/>
      <c r="AD344" s="744"/>
      <c r="AE344" s="744"/>
      <c r="AF344" s="744"/>
      <c r="AG344" s="744"/>
      <c r="AH344" s="744"/>
      <c r="AI344" s="744"/>
      <c r="AJ344" s="744"/>
      <c r="AK344" s="792"/>
      <c r="AL344" s="744"/>
      <c r="AM344" s="744"/>
    </row>
    <row r="345" spans="3:39" x14ac:dyDescent="0.25">
      <c r="C345" s="744"/>
      <c r="D345" s="744"/>
      <c r="E345" s="744"/>
      <c r="F345" s="745"/>
      <c r="G345" s="744"/>
      <c r="H345" s="744"/>
      <c r="I345" s="744"/>
      <c r="J345" s="745"/>
      <c r="K345" s="744"/>
      <c r="L345" s="744"/>
      <c r="M345" s="744"/>
      <c r="N345" s="745"/>
      <c r="O345" s="744"/>
      <c r="P345" s="744"/>
      <c r="Q345" s="744"/>
      <c r="R345" s="745"/>
      <c r="S345" s="985"/>
      <c r="T345" s="744"/>
      <c r="U345" s="744"/>
      <c r="V345" s="744"/>
      <c r="W345" s="985"/>
      <c r="X345" s="744"/>
      <c r="Y345" s="792"/>
      <c r="Z345" s="744"/>
      <c r="AA345" s="744"/>
      <c r="AB345" s="744"/>
      <c r="AC345" s="744"/>
      <c r="AD345" s="744"/>
      <c r="AE345" s="744"/>
      <c r="AF345" s="744"/>
      <c r="AG345" s="744"/>
      <c r="AH345" s="744"/>
      <c r="AI345" s="744"/>
      <c r="AJ345" s="744"/>
      <c r="AK345" s="792"/>
      <c r="AL345" s="744"/>
      <c r="AM345" s="744"/>
    </row>
    <row r="346" spans="3:39" x14ac:dyDescent="0.25">
      <c r="C346" s="744"/>
      <c r="D346" s="744"/>
      <c r="E346" s="744"/>
      <c r="F346" s="745"/>
      <c r="G346" s="744"/>
      <c r="H346" s="744"/>
      <c r="I346" s="744"/>
      <c r="J346" s="745"/>
      <c r="K346" s="744"/>
      <c r="L346" s="744"/>
      <c r="M346" s="744"/>
      <c r="N346" s="745"/>
      <c r="O346" s="744"/>
      <c r="P346" s="744"/>
      <c r="Q346" s="744"/>
      <c r="R346" s="745"/>
      <c r="S346" s="985"/>
      <c r="T346" s="744"/>
      <c r="U346" s="744"/>
      <c r="V346" s="744"/>
      <c r="W346" s="985"/>
      <c r="X346" s="744"/>
      <c r="Y346" s="792"/>
      <c r="Z346" s="744"/>
      <c r="AA346" s="744"/>
      <c r="AB346" s="744"/>
      <c r="AC346" s="744"/>
      <c r="AD346" s="744"/>
      <c r="AE346" s="744"/>
      <c r="AF346" s="744"/>
      <c r="AG346" s="744"/>
      <c r="AH346" s="744"/>
      <c r="AI346" s="744"/>
      <c r="AJ346" s="744"/>
      <c r="AK346" s="792"/>
      <c r="AL346" s="744"/>
      <c r="AM346" s="744"/>
    </row>
    <row r="347" spans="3:39" x14ac:dyDescent="0.25">
      <c r="C347" s="744"/>
      <c r="D347" s="744"/>
      <c r="E347" s="744"/>
      <c r="F347" s="745"/>
      <c r="G347" s="744"/>
      <c r="H347" s="744"/>
      <c r="I347" s="744"/>
      <c r="J347" s="745"/>
      <c r="K347" s="744"/>
      <c r="L347" s="744"/>
      <c r="M347" s="744"/>
      <c r="N347" s="745"/>
      <c r="O347" s="744"/>
      <c r="P347" s="744"/>
      <c r="Q347" s="744"/>
      <c r="R347" s="745"/>
      <c r="S347" s="985"/>
      <c r="T347" s="744"/>
      <c r="U347" s="744"/>
      <c r="V347" s="744"/>
      <c r="W347" s="985"/>
      <c r="X347" s="744"/>
      <c r="Y347" s="792"/>
      <c r="Z347" s="744"/>
      <c r="AA347" s="744"/>
      <c r="AB347" s="744"/>
      <c r="AC347" s="744"/>
      <c r="AD347" s="744"/>
      <c r="AE347" s="744"/>
      <c r="AF347" s="744"/>
      <c r="AG347" s="744"/>
      <c r="AH347" s="744"/>
      <c r="AI347" s="744"/>
      <c r="AJ347" s="744"/>
      <c r="AK347" s="792"/>
      <c r="AL347" s="744"/>
      <c r="AM347" s="744"/>
    </row>
    <row r="348" spans="3:39" x14ac:dyDescent="0.25">
      <c r="C348" s="744"/>
      <c r="D348" s="744"/>
      <c r="E348" s="744"/>
      <c r="F348" s="745"/>
      <c r="G348" s="744"/>
      <c r="H348" s="744"/>
      <c r="I348" s="744"/>
      <c r="J348" s="745"/>
      <c r="K348" s="744"/>
      <c r="L348" s="744"/>
      <c r="M348" s="744"/>
      <c r="N348" s="745"/>
      <c r="O348" s="744"/>
      <c r="P348" s="744"/>
      <c r="Q348" s="744"/>
      <c r="R348" s="745"/>
      <c r="S348" s="985"/>
      <c r="T348" s="744"/>
      <c r="U348" s="744"/>
      <c r="V348" s="744"/>
      <c r="W348" s="985"/>
      <c r="X348" s="744"/>
      <c r="Y348" s="792"/>
      <c r="Z348" s="744"/>
      <c r="AA348" s="744"/>
      <c r="AB348" s="744"/>
      <c r="AC348" s="744"/>
      <c r="AD348" s="744"/>
      <c r="AE348" s="744"/>
      <c r="AF348" s="744"/>
      <c r="AG348" s="744"/>
      <c r="AH348" s="744"/>
      <c r="AI348" s="744"/>
      <c r="AJ348" s="744"/>
      <c r="AK348" s="792"/>
      <c r="AL348" s="744"/>
      <c r="AM348" s="744"/>
    </row>
    <row r="349" spans="3:39" x14ac:dyDescent="0.25">
      <c r="C349" s="744"/>
      <c r="D349" s="744"/>
      <c r="E349" s="744"/>
      <c r="F349" s="745"/>
      <c r="G349" s="744"/>
      <c r="H349" s="744"/>
      <c r="I349" s="744"/>
      <c r="J349" s="745"/>
      <c r="K349" s="744"/>
      <c r="L349" s="744"/>
      <c r="M349" s="744"/>
      <c r="N349" s="745"/>
      <c r="O349" s="744"/>
      <c r="P349" s="744"/>
      <c r="Q349" s="744"/>
      <c r="R349" s="745"/>
      <c r="S349" s="985"/>
      <c r="T349" s="744"/>
      <c r="U349" s="744"/>
      <c r="V349" s="744"/>
      <c r="W349" s="985"/>
      <c r="X349" s="744"/>
      <c r="Y349" s="792"/>
      <c r="Z349" s="744"/>
      <c r="AA349" s="744"/>
      <c r="AB349" s="744"/>
      <c r="AC349" s="744"/>
      <c r="AD349" s="744"/>
      <c r="AE349" s="744"/>
      <c r="AF349" s="744"/>
      <c r="AG349" s="744"/>
      <c r="AH349" s="744"/>
      <c r="AI349" s="744"/>
      <c r="AJ349" s="744"/>
      <c r="AK349" s="792"/>
      <c r="AL349" s="744"/>
      <c r="AM349" s="744"/>
    </row>
    <row r="350" spans="3:39" x14ac:dyDescent="0.25">
      <c r="C350" s="744"/>
      <c r="D350" s="744"/>
      <c r="E350" s="744"/>
      <c r="F350" s="745"/>
      <c r="G350" s="744"/>
      <c r="H350" s="744"/>
      <c r="I350" s="744"/>
      <c r="J350" s="745"/>
      <c r="K350" s="744"/>
      <c r="L350" s="744"/>
      <c r="M350" s="744"/>
      <c r="N350" s="745"/>
      <c r="O350" s="744"/>
      <c r="P350" s="744"/>
      <c r="Q350" s="744"/>
      <c r="R350" s="745"/>
      <c r="S350" s="985"/>
      <c r="T350" s="744"/>
      <c r="U350" s="744"/>
      <c r="V350" s="744"/>
      <c r="W350" s="985"/>
      <c r="X350" s="744"/>
      <c r="Y350" s="792"/>
      <c r="Z350" s="744"/>
      <c r="AA350" s="744"/>
      <c r="AB350" s="744"/>
      <c r="AC350" s="744"/>
      <c r="AD350" s="744"/>
      <c r="AE350" s="744"/>
      <c r="AF350" s="744"/>
      <c r="AG350" s="744"/>
      <c r="AH350" s="744"/>
      <c r="AI350" s="744"/>
      <c r="AJ350" s="744"/>
      <c r="AK350" s="792"/>
      <c r="AL350" s="744"/>
      <c r="AM350" s="744"/>
    </row>
    <row r="351" spans="3:39" x14ac:dyDescent="0.25">
      <c r="C351" s="744"/>
      <c r="D351" s="744"/>
      <c r="E351" s="744"/>
      <c r="F351" s="745"/>
      <c r="G351" s="744"/>
      <c r="H351" s="744"/>
      <c r="I351" s="744"/>
      <c r="J351" s="745"/>
      <c r="K351" s="744"/>
      <c r="L351" s="744"/>
      <c r="M351" s="744"/>
      <c r="N351" s="745"/>
      <c r="O351" s="744"/>
      <c r="P351" s="744"/>
      <c r="Q351" s="744"/>
      <c r="R351" s="745"/>
      <c r="S351" s="985"/>
      <c r="T351" s="744"/>
      <c r="U351" s="744"/>
      <c r="V351" s="744"/>
      <c r="W351" s="985"/>
      <c r="X351" s="744"/>
      <c r="Y351" s="792"/>
      <c r="Z351" s="744"/>
      <c r="AA351" s="744"/>
      <c r="AB351" s="744"/>
      <c r="AC351" s="744"/>
      <c r="AD351" s="744"/>
      <c r="AE351" s="744"/>
      <c r="AF351" s="744"/>
      <c r="AG351" s="744"/>
      <c r="AH351" s="744"/>
      <c r="AI351" s="744"/>
      <c r="AJ351" s="744"/>
      <c r="AK351" s="792"/>
      <c r="AL351" s="744"/>
      <c r="AM351" s="744"/>
    </row>
    <row r="352" spans="3:39" x14ac:dyDescent="0.25">
      <c r="C352" s="744"/>
      <c r="D352" s="744"/>
      <c r="E352" s="744"/>
      <c r="F352" s="745"/>
      <c r="G352" s="744"/>
      <c r="H352" s="744"/>
      <c r="I352" s="744"/>
      <c r="J352" s="745"/>
      <c r="K352" s="744"/>
      <c r="L352" s="744"/>
      <c r="M352" s="744"/>
      <c r="N352" s="745"/>
      <c r="O352" s="744"/>
      <c r="P352" s="744"/>
      <c r="Q352" s="744"/>
      <c r="R352" s="745"/>
      <c r="S352" s="985"/>
      <c r="T352" s="744"/>
      <c r="U352" s="744"/>
      <c r="V352" s="744"/>
      <c r="W352" s="985"/>
      <c r="X352" s="744"/>
      <c r="Y352" s="792"/>
      <c r="Z352" s="744"/>
      <c r="AA352" s="744"/>
      <c r="AB352" s="744"/>
      <c r="AC352" s="744"/>
      <c r="AD352" s="744"/>
      <c r="AE352" s="744"/>
      <c r="AF352" s="744"/>
      <c r="AG352" s="744"/>
      <c r="AH352" s="744"/>
      <c r="AI352" s="744"/>
      <c r="AJ352" s="744"/>
      <c r="AK352" s="792"/>
      <c r="AL352" s="744"/>
      <c r="AM352" s="744"/>
    </row>
    <row r="353" spans="1:39" x14ac:dyDescent="0.25">
      <c r="C353" s="744"/>
      <c r="D353" s="744"/>
      <c r="E353" s="744"/>
      <c r="F353" s="745"/>
      <c r="G353" s="744"/>
      <c r="H353" s="744"/>
      <c r="I353" s="744"/>
      <c r="J353" s="745"/>
      <c r="K353" s="744"/>
      <c r="L353" s="744"/>
      <c r="M353" s="744"/>
      <c r="N353" s="745"/>
      <c r="O353" s="744"/>
      <c r="P353" s="744"/>
      <c r="Q353" s="744"/>
      <c r="R353" s="745"/>
      <c r="S353" s="985"/>
      <c r="T353" s="744"/>
      <c r="U353" s="744"/>
      <c r="V353" s="744"/>
      <c r="W353" s="985"/>
      <c r="X353" s="744"/>
      <c r="Y353" s="792"/>
      <c r="Z353" s="744"/>
      <c r="AA353" s="744"/>
      <c r="AB353" s="744"/>
      <c r="AC353" s="744"/>
      <c r="AD353" s="744"/>
      <c r="AE353" s="744"/>
      <c r="AF353" s="744"/>
      <c r="AG353" s="744"/>
      <c r="AH353" s="744"/>
      <c r="AI353" s="744"/>
      <c r="AJ353" s="744"/>
      <c r="AK353" s="792"/>
      <c r="AL353" s="744"/>
      <c r="AM353" s="744"/>
    </row>
    <row r="354" spans="1:39" x14ac:dyDescent="0.25">
      <c r="C354" s="744"/>
      <c r="D354" s="744"/>
      <c r="E354" s="744"/>
      <c r="F354" s="745"/>
      <c r="G354" s="744"/>
      <c r="H354" s="744"/>
      <c r="I354" s="744"/>
      <c r="J354" s="745"/>
      <c r="K354" s="744"/>
      <c r="L354" s="744"/>
      <c r="M354" s="744"/>
      <c r="N354" s="745"/>
      <c r="O354" s="744"/>
      <c r="P354" s="744"/>
      <c r="Q354" s="744"/>
      <c r="R354" s="745"/>
      <c r="S354" s="985"/>
      <c r="T354" s="744"/>
      <c r="U354" s="744"/>
      <c r="V354" s="744"/>
      <c r="W354" s="985"/>
      <c r="X354" s="744"/>
      <c r="Y354" s="792"/>
      <c r="Z354" s="744"/>
      <c r="AA354" s="744"/>
      <c r="AB354" s="744"/>
      <c r="AC354" s="744"/>
      <c r="AD354" s="744"/>
      <c r="AE354" s="744"/>
      <c r="AF354" s="744"/>
      <c r="AG354" s="744"/>
      <c r="AH354" s="744"/>
      <c r="AI354" s="744"/>
      <c r="AJ354" s="744"/>
      <c r="AK354" s="792"/>
      <c r="AL354" s="744"/>
      <c r="AM354" s="744"/>
    </row>
    <row r="355" spans="1:39" x14ac:dyDescent="0.25">
      <c r="C355" s="744"/>
      <c r="D355" s="744"/>
      <c r="E355" s="744"/>
      <c r="F355" s="745"/>
      <c r="G355" s="744"/>
      <c r="H355" s="744"/>
      <c r="I355" s="744"/>
      <c r="J355" s="745"/>
      <c r="K355" s="744"/>
      <c r="L355" s="744"/>
      <c r="M355" s="744"/>
      <c r="N355" s="745"/>
      <c r="O355" s="744"/>
      <c r="P355" s="744"/>
      <c r="Q355" s="744"/>
      <c r="R355" s="745"/>
      <c r="S355" s="985"/>
      <c r="T355" s="744"/>
      <c r="U355" s="744"/>
      <c r="V355" s="744"/>
      <c r="W355" s="985"/>
      <c r="X355" s="744"/>
      <c r="Y355" s="792"/>
      <c r="Z355" s="744"/>
      <c r="AA355" s="744"/>
      <c r="AB355" s="744"/>
      <c r="AC355" s="744"/>
      <c r="AD355" s="744"/>
      <c r="AE355" s="744"/>
      <c r="AF355" s="744"/>
      <c r="AG355" s="744"/>
      <c r="AH355" s="744"/>
      <c r="AI355" s="744"/>
      <c r="AJ355" s="744"/>
      <c r="AK355" s="792"/>
      <c r="AL355" s="744"/>
      <c r="AM355" s="744"/>
    </row>
    <row r="356" spans="1:39" x14ac:dyDescent="0.25">
      <c r="C356" s="744"/>
      <c r="D356" s="744"/>
      <c r="E356" s="744"/>
      <c r="F356" s="745"/>
      <c r="G356" s="744"/>
      <c r="H356" s="744"/>
      <c r="I356" s="744"/>
      <c r="J356" s="745"/>
      <c r="K356" s="744"/>
      <c r="L356" s="744"/>
      <c r="M356" s="744"/>
      <c r="N356" s="745"/>
      <c r="O356" s="744"/>
      <c r="P356" s="744"/>
      <c r="Q356" s="744"/>
      <c r="R356" s="745"/>
      <c r="S356" s="985"/>
      <c r="T356" s="744"/>
      <c r="U356" s="744"/>
      <c r="V356" s="744"/>
      <c r="W356" s="985"/>
      <c r="X356" s="744"/>
      <c r="Y356" s="792"/>
      <c r="Z356" s="744"/>
      <c r="AA356" s="744"/>
      <c r="AB356" s="744"/>
      <c r="AC356" s="744"/>
      <c r="AD356" s="744"/>
      <c r="AE356" s="744"/>
      <c r="AF356" s="744"/>
      <c r="AG356" s="744"/>
      <c r="AH356" s="744"/>
      <c r="AI356" s="744"/>
      <c r="AJ356" s="744"/>
      <c r="AK356" s="792"/>
      <c r="AL356" s="744"/>
      <c r="AM356" s="744"/>
    </row>
    <row r="357" spans="1:39" x14ac:dyDescent="0.25">
      <c r="C357" s="744"/>
      <c r="D357" s="744"/>
      <c r="E357" s="744"/>
      <c r="F357" s="745"/>
      <c r="G357" s="744"/>
      <c r="H357" s="744"/>
      <c r="I357" s="744"/>
      <c r="J357" s="745"/>
      <c r="K357" s="744"/>
      <c r="L357" s="744"/>
      <c r="M357" s="744"/>
      <c r="N357" s="745"/>
      <c r="O357" s="744"/>
      <c r="P357" s="744"/>
      <c r="Q357" s="744"/>
      <c r="R357" s="745"/>
      <c r="S357" s="985"/>
      <c r="T357" s="744"/>
      <c r="U357" s="744"/>
      <c r="V357" s="744"/>
      <c r="W357" s="985"/>
      <c r="X357" s="744"/>
      <c r="Y357" s="792"/>
      <c r="Z357" s="744"/>
      <c r="AA357" s="744"/>
      <c r="AB357" s="744"/>
      <c r="AC357" s="744"/>
      <c r="AD357" s="744"/>
      <c r="AE357" s="744"/>
      <c r="AF357" s="744"/>
      <c r="AG357" s="744"/>
      <c r="AH357" s="744"/>
      <c r="AI357" s="744"/>
      <c r="AJ357" s="744"/>
      <c r="AK357" s="792"/>
      <c r="AL357" s="744"/>
      <c r="AM357" s="744"/>
    </row>
    <row r="358" spans="1:39" x14ac:dyDescent="0.25">
      <c r="C358" s="744"/>
      <c r="D358" s="744"/>
      <c r="E358" s="744"/>
      <c r="F358" s="745"/>
      <c r="G358" s="744"/>
      <c r="H358" s="744"/>
      <c r="I358" s="744"/>
      <c r="J358" s="745"/>
      <c r="K358" s="744"/>
      <c r="L358" s="744"/>
      <c r="M358" s="744"/>
      <c r="N358" s="745"/>
      <c r="O358" s="744"/>
      <c r="P358" s="744"/>
      <c r="Q358" s="744"/>
      <c r="R358" s="745"/>
      <c r="S358" s="985"/>
      <c r="T358" s="744"/>
      <c r="U358" s="744"/>
      <c r="V358" s="744"/>
      <c r="W358" s="985"/>
      <c r="X358" s="744"/>
      <c r="Y358" s="792"/>
      <c r="Z358" s="744"/>
      <c r="AA358" s="744"/>
      <c r="AB358" s="744"/>
      <c r="AC358" s="744"/>
      <c r="AD358" s="744"/>
      <c r="AE358" s="744"/>
      <c r="AF358" s="744"/>
      <c r="AG358" s="744"/>
      <c r="AH358" s="744"/>
      <c r="AI358" s="744"/>
      <c r="AJ358" s="744"/>
      <c r="AK358" s="792"/>
      <c r="AL358" s="744"/>
      <c r="AM358" s="744"/>
    </row>
    <row r="359" spans="1:39" x14ac:dyDescent="0.25">
      <c r="C359" s="744"/>
      <c r="D359" s="744"/>
      <c r="E359" s="744"/>
      <c r="F359" s="745"/>
      <c r="G359" s="744"/>
      <c r="H359" s="744"/>
      <c r="I359" s="744"/>
      <c r="J359" s="745"/>
      <c r="K359" s="744"/>
      <c r="L359" s="744"/>
      <c r="M359" s="744"/>
      <c r="N359" s="745"/>
      <c r="O359" s="744"/>
      <c r="P359" s="744"/>
      <c r="Q359" s="744"/>
      <c r="R359" s="745"/>
      <c r="S359" s="985"/>
      <c r="T359" s="744"/>
      <c r="U359" s="744"/>
      <c r="V359" s="744"/>
      <c r="W359" s="985"/>
      <c r="X359" s="744"/>
      <c r="Y359" s="792"/>
      <c r="Z359" s="744"/>
      <c r="AA359" s="744"/>
      <c r="AB359" s="744"/>
      <c r="AC359" s="744"/>
      <c r="AD359" s="744"/>
      <c r="AE359" s="744"/>
      <c r="AF359" s="744"/>
      <c r="AG359" s="744"/>
      <c r="AH359" s="744"/>
      <c r="AI359" s="744"/>
      <c r="AJ359" s="744"/>
      <c r="AK359" s="792"/>
      <c r="AL359" s="744"/>
      <c r="AM359" s="744"/>
    </row>
    <row r="360" spans="1:39" x14ac:dyDescent="0.25">
      <c r="C360" s="744"/>
      <c r="D360" s="744"/>
      <c r="E360" s="744"/>
      <c r="F360" s="745"/>
      <c r="G360" s="744"/>
      <c r="H360" s="744"/>
      <c r="I360" s="744"/>
      <c r="J360" s="745"/>
      <c r="K360" s="744"/>
      <c r="L360" s="744"/>
      <c r="M360" s="744"/>
      <c r="N360" s="745"/>
      <c r="O360" s="744"/>
      <c r="P360" s="744"/>
      <c r="Q360" s="744"/>
      <c r="R360" s="745"/>
      <c r="S360" s="985"/>
      <c r="T360" s="744"/>
      <c r="U360" s="744"/>
      <c r="V360" s="744"/>
      <c r="W360" s="985"/>
      <c r="X360" s="744"/>
      <c r="Y360" s="792"/>
      <c r="Z360" s="744"/>
      <c r="AA360" s="744"/>
      <c r="AB360" s="744"/>
      <c r="AC360" s="744"/>
      <c r="AD360" s="744"/>
      <c r="AE360" s="744"/>
      <c r="AF360" s="744"/>
      <c r="AG360" s="744"/>
      <c r="AH360" s="744"/>
      <c r="AI360" s="744"/>
      <c r="AJ360" s="744"/>
      <c r="AK360" s="792"/>
      <c r="AL360" s="744"/>
      <c r="AM360" s="744"/>
    </row>
    <row r="361" spans="1:39" x14ac:dyDescent="0.25">
      <c r="C361" s="744"/>
      <c r="D361" s="744"/>
      <c r="E361" s="744"/>
      <c r="F361" s="745"/>
      <c r="G361" s="744"/>
      <c r="H361" s="744"/>
      <c r="I361" s="744"/>
      <c r="J361" s="745"/>
      <c r="K361" s="744"/>
      <c r="L361" s="744"/>
      <c r="M361" s="744"/>
      <c r="N361" s="745"/>
      <c r="O361" s="744"/>
      <c r="P361" s="744"/>
      <c r="Q361" s="744"/>
      <c r="R361" s="745"/>
      <c r="S361" s="985"/>
      <c r="T361" s="744"/>
      <c r="U361" s="744"/>
      <c r="V361" s="744"/>
      <c r="W361" s="985"/>
      <c r="X361" s="744"/>
      <c r="Y361" s="792"/>
      <c r="Z361" s="744"/>
      <c r="AA361" s="744"/>
      <c r="AB361" s="744"/>
      <c r="AC361" s="744"/>
      <c r="AD361" s="744"/>
      <c r="AE361" s="744"/>
      <c r="AF361" s="744"/>
      <c r="AG361" s="744"/>
      <c r="AH361" s="744"/>
      <c r="AI361" s="744"/>
      <c r="AJ361" s="744"/>
      <c r="AK361" s="792"/>
      <c r="AL361" s="744"/>
      <c r="AM361" s="744"/>
    </row>
    <row r="362" spans="1:39" x14ac:dyDescent="0.25">
      <c r="C362" s="744"/>
      <c r="D362" s="744"/>
      <c r="E362" s="744"/>
      <c r="F362" s="745"/>
      <c r="G362" s="744"/>
      <c r="H362" s="744"/>
      <c r="I362" s="744"/>
      <c r="J362" s="745"/>
      <c r="K362" s="744"/>
      <c r="L362" s="744"/>
      <c r="M362" s="744"/>
      <c r="N362" s="745"/>
      <c r="O362" s="744"/>
      <c r="P362" s="744"/>
      <c r="Q362" s="744"/>
      <c r="R362" s="745"/>
      <c r="S362" s="985"/>
      <c r="T362" s="744"/>
      <c r="U362" s="744"/>
      <c r="V362" s="744"/>
      <c r="W362" s="985"/>
      <c r="X362" s="744"/>
      <c r="Y362" s="792"/>
      <c r="Z362" s="744"/>
      <c r="AA362" s="744"/>
      <c r="AB362" s="744"/>
      <c r="AC362" s="744"/>
      <c r="AD362" s="744"/>
      <c r="AE362" s="744"/>
      <c r="AF362" s="744"/>
      <c r="AG362" s="744"/>
      <c r="AH362" s="744"/>
      <c r="AI362" s="744"/>
      <c r="AJ362" s="744"/>
      <c r="AK362" s="792"/>
      <c r="AL362" s="744"/>
      <c r="AM362" s="744"/>
    </row>
    <row r="363" spans="1:39" x14ac:dyDescent="0.25">
      <c r="C363" s="744"/>
      <c r="D363" s="744"/>
      <c r="E363" s="744"/>
      <c r="F363" s="745"/>
      <c r="G363" s="744"/>
      <c r="H363" s="744"/>
      <c r="I363" s="744"/>
      <c r="J363" s="745"/>
      <c r="K363" s="744"/>
      <c r="L363" s="744"/>
      <c r="M363" s="744"/>
      <c r="N363" s="745"/>
      <c r="O363" s="744"/>
      <c r="P363" s="744"/>
      <c r="Q363" s="744"/>
      <c r="R363" s="745"/>
      <c r="S363" s="985"/>
      <c r="T363" s="744"/>
      <c r="U363" s="744"/>
      <c r="V363" s="744"/>
      <c r="W363" s="985"/>
      <c r="X363" s="744"/>
      <c r="Y363" s="792"/>
      <c r="Z363" s="744"/>
      <c r="AA363" s="744"/>
      <c r="AB363" s="744"/>
      <c r="AC363" s="744"/>
      <c r="AD363" s="744"/>
      <c r="AE363" s="744"/>
      <c r="AK363" s="1093"/>
    </row>
    <row r="364" spans="1:39" x14ac:dyDescent="0.25">
      <c r="A364" s="789"/>
      <c r="B364" s="789"/>
      <c r="C364" s="869"/>
      <c r="D364" s="869"/>
      <c r="E364" s="869"/>
      <c r="F364" s="744"/>
      <c r="G364" s="744"/>
      <c r="H364" s="744"/>
      <c r="I364" s="744"/>
      <c r="J364" s="744"/>
      <c r="K364" s="744"/>
      <c r="L364" s="744"/>
      <c r="M364" s="744"/>
      <c r="N364" s="744"/>
      <c r="O364" s="744"/>
      <c r="P364" s="744"/>
      <c r="Q364" s="744"/>
      <c r="R364" s="744"/>
      <c r="S364" s="744"/>
      <c r="T364" s="744"/>
      <c r="U364" s="744"/>
      <c r="V364" s="744"/>
      <c r="W364" s="985"/>
      <c r="X364" s="744"/>
      <c r="Y364" s="792"/>
      <c r="Z364" s="744"/>
      <c r="AA364" s="744"/>
      <c r="AB364" s="744"/>
      <c r="AC364" s="744"/>
      <c r="AD364" s="744"/>
      <c r="AE364" s="744"/>
      <c r="AF364" s="744"/>
      <c r="AG364" s="744"/>
      <c r="AH364" s="744"/>
      <c r="AI364" s="744"/>
      <c r="AJ364" s="744"/>
      <c r="AK364" s="792"/>
      <c r="AL364" s="744"/>
      <c r="AM364" s="744"/>
    </row>
    <row r="365" spans="1:39" x14ac:dyDescent="0.25">
      <c r="C365" s="957"/>
      <c r="D365" s="744"/>
      <c r="E365" s="744"/>
      <c r="F365" s="744"/>
      <c r="G365" s="744"/>
      <c r="H365" s="744"/>
      <c r="I365" s="744"/>
      <c r="J365" s="744"/>
      <c r="K365" s="744"/>
      <c r="L365" s="744"/>
      <c r="M365" s="744"/>
      <c r="N365" s="744"/>
      <c r="O365" s="744"/>
      <c r="P365" s="744"/>
      <c r="Q365" s="744"/>
      <c r="R365" s="744"/>
      <c r="S365" s="744"/>
      <c r="T365" s="744"/>
      <c r="U365" s="744"/>
      <c r="V365" s="744"/>
      <c r="W365" s="985"/>
      <c r="X365" s="744"/>
      <c r="Y365" s="792"/>
      <c r="Z365" s="744"/>
      <c r="AA365" s="744"/>
      <c r="AB365" s="744"/>
      <c r="AC365" s="744"/>
      <c r="AD365" s="744"/>
      <c r="AE365" s="744"/>
      <c r="AF365" s="744"/>
      <c r="AG365" s="744"/>
      <c r="AH365" s="744"/>
      <c r="AI365" s="744"/>
      <c r="AJ365" s="744"/>
      <c r="AK365" s="792"/>
      <c r="AL365" s="744"/>
      <c r="AM365" s="744"/>
    </row>
    <row r="366" spans="1:39" x14ac:dyDescent="0.25">
      <c r="C366" s="957"/>
      <c r="D366" s="958"/>
      <c r="E366" s="744"/>
      <c r="F366" s="744"/>
      <c r="G366" s="744"/>
      <c r="H366" s="744"/>
      <c r="I366" s="744"/>
      <c r="J366" s="744"/>
      <c r="K366" s="744"/>
      <c r="L366" s="744"/>
      <c r="M366" s="744"/>
      <c r="N366" s="744"/>
      <c r="O366" s="744"/>
      <c r="P366" s="744"/>
      <c r="Q366" s="744"/>
      <c r="R366" s="744"/>
      <c r="S366" s="744"/>
      <c r="T366" s="744"/>
      <c r="U366" s="744"/>
      <c r="V366" s="744"/>
      <c r="W366" s="985"/>
      <c r="X366" s="744"/>
      <c r="Y366" s="792"/>
      <c r="Z366" s="744"/>
      <c r="AA366" s="744"/>
      <c r="AB366" s="744"/>
      <c r="AC366" s="744"/>
      <c r="AD366" s="744"/>
      <c r="AE366" s="744"/>
      <c r="AF366" s="744"/>
      <c r="AG366" s="744"/>
      <c r="AH366" s="744"/>
      <c r="AI366" s="744"/>
      <c r="AJ366" s="744"/>
      <c r="AK366" s="792"/>
      <c r="AL366" s="744"/>
      <c r="AM366" s="744"/>
    </row>
    <row r="367" spans="1:39" x14ac:dyDescent="0.25">
      <c r="C367" s="957"/>
      <c r="D367" s="744"/>
      <c r="E367" s="744"/>
      <c r="F367" s="744"/>
      <c r="G367" s="744"/>
      <c r="H367" s="744"/>
      <c r="I367" s="744"/>
      <c r="J367" s="744"/>
      <c r="K367" s="744"/>
      <c r="L367" s="744"/>
      <c r="M367" s="744"/>
      <c r="N367" s="744"/>
      <c r="O367" s="744"/>
      <c r="P367" s="744"/>
      <c r="Q367" s="744"/>
      <c r="R367" s="744"/>
      <c r="S367" s="744"/>
      <c r="T367" s="744"/>
      <c r="U367" s="744"/>
      <c r="V367" s="744"/>
      <c r="W367" s="985"/>
      <c r="X367" s="744"/>
      <c r="Y367" s="792"/>
      <c r="Z367" s="744"/>
      <c r="AA367" s="744"/>
      <c r="AB367" s="744"/>
      <c r="AC367" s="744"/>
      <c r="AD367" s="744"/>
      <c r="AE367" s="744"/>
      <c r="AF367" s="744"/>
      <c r="AG367" s="744"/>
      <c r="AH367" s="744"/>
      <c r="AI367" s="744"/>
      <c r="AJ367" s="744"/>
      <c r="AK367" s="792"/>
      <c r="AL367" s="744"/>
      <c r="AM367" s="744"/>
    </row>
    <row r="368" spans="1:39" x14ac:dyDescent="0.25">
      <c r="C368" s="957"/>
      <c r="D368" s="744"/>
      <c r="E368" s="744"/>
      <c r="F368" s="744"/>
      <c r="G368" s="744"/>
      <c r="H368" s="744"/>
      <c r="I368" s="744"/>
      <c r="J368" s="744"/>
      <c r="K368" s="744"/>
      <c r="L368" s="744"/>
      <c r="M368" s="744"/>
      <c r="N368" s="744"/>
      <c r="O368" s="744"/>
      <c r="P368" s="744"/>
      <c r="Q368" s="744"/>
      <c r="R368" s="744"/>
      <c r="S368" s="744"/>
      <c r="T368" s="744"/>
      <c r="U368" s="744"/>
      <c r="V368" s="744"/>
      <c r="W368" s="985"/>
      <c r="X368" s="744"/>
      <c r="Y368" s="792"/>
      <c r="Z368" s="744"/>
      <c r="AA368" s="744"/>
      <c r="AB368" s="744"/>
      <c r="AC368" s="744"/>
      <c r="AD368" s="744"/>
      <c r="AE368" s="744"/>
      <c r="AF368" s="744"/>
      <c r="AG368" s="744"/>
      <c r="AH368" s="744"/>
      <c r="AI368" s="744"/>
      <c r="AJ368" s="744"/>
      <c r="AK368" s="792"/>
      <c r="AL368" s="744"/>
      <c r="AM368" s="744"/>
    </row>
    <row r="369" spans="3:39" x14ac:dyDescent="0.25">
      <c r="C369" s="744"/>
      <c r="D369" s="744"/>
      <c r="E369" s="744"/>
      <c r="F369" s="744"/>
      <c r="G369" s="744"/>
      <c r="H369" s="744"/>
      <c r="I369" s="744"/>
      <c r="J369" s="744"/>
      <c r="K369" s="744"/>
      <c r="L369" s="744"/>
      <c r="M369" s="744"/>
      <c r="N369" s="744"/>
      <c r="O369" s="744"/>
      <c r="P369" s="744"/>
      <c r="Q369" s="744"/>
      <c r="R369" s="744"/>
      <c r="S369" s="744"/>
      <c r="T369" s="744"/>
      <c r="U369" s="744"/>
      <c r="V369" s="744"/>
      <c r="W369" s="985"/>
      <c r="X369" s="744"/>
      <c r="Y369" s="792"/>
      <c r="Z369" s="744"/>
      <c r="AA369" s="744"/>
      <c r="AB369" s="744"/>
      <c r="AC369" s="744"/>
      <c r="AD369" s="744"/>
      <c r="AE369" s="744"/>
      <c r="AF369" s="744"/>
      <c r="AG369" s="744"/>
      <c r="AH369" s="744"/>
      <c r="AI369" s="744"/>
      <c r="AJ369" s="744"/>
      <c r="AK369" s="792"/>
      <c r="AL369" s="744"/>
      <c r="AM369" s="744"/>
    </row>
    <row r="370" spans="3:39" x14ac:dyDescent="0.25">
      <c r="C370" s="744"/>
      <c r="D370" s="744"/>
      <c r="E370" s="744"/>
      <c r="F370" s="744"/>
      <c r="G370" s="744"/>
      <c r="H370" s="744"/>
      <c r="I370" s="744"/>
      <c r="J370" s="744"/>
      <c r="K370" s="744"/>
      <c r="L370" s="744"/>
      <c r="M370" s="744"/>
      <c r="N370" s="744"/>
      <c r="O370" s="744"/>
      <c r="P370" s="744"/>
      <c r="Q370" s="744"/>
      <c r="R370" s="744"/>
      <c r="S370" s="744"/>
      <c r="T370" s="744"/>
      <c r="U370" s="744"/>
      <c r="V370" s="744"/>
      <c r="W370" s="985"/>
      <c r="X370" s="744"/>
      <c r="Y370" s="792"/>
      <c r="Z370" s="744"/>
      <c r="AA370" s="744"/>
      <c r="AB370" s="744"/>
      <c r="AC370" s="744"/>
      <c r="AD370" s="744"/>
      <c r="AE370" s="744"/>
      <c r="AF370" s="744"/>
      <c r="AG370" s="744"/>
      <c r="AH370" s="744"/>
      <c r="AI370" s="744"/>
      <c r="AJ370" s="744"/>
      <c r="AK370" s="792"/>
      <c r="AL370" s="744"/>
      <c r="AM370" s="744"/>
    </row>
    <row r="371" spans="3:39" x14ac:dyDescent="0.25">
      <c r="C371" s="744"/>
      <c r="D371" s="744"/>
      <c r="E371" s="744"/>
      <c r="F371" s="744"/>
      <c r="G371" s="744"/>
      <c r="H371" s="744"/>
      <c r="I371" s="744"/>
      <c r="J371" s="744"/>
      <c r="K371" s="744"/>
      <c r="L371" s="744"/>
      <c r="M371" s="744"/>
      <c r="N371" s="744"/>
      <c r="O371" s="744"/>
      <c r="P371" s="744"/>
      <c r="Q371" s="744"/>
      <c r="R371" s="744"/>
      <c r="S371" s="744"/>
      <c r="T371" s="744"/>
      <c r="U371" s="744"/>
      <c r="V371" s="744"/>
      <c r="W371" s="985"/>
      <c r="X371" s="744"/>
      <c r="Y371" s="792"/>
      <c r="Z371" s="744"/>
      <c r="AA371" s="744"/>
      <c r="AB371" s="744"/>
      <c r="AC371" s="744"/>
      <c r="AD371" s="744"/>
      <c r="AE371" s="744"/>
      <c r="AF371" s="744"/>
      <c r="AG371" s="744"/>
      <c r="AH371" s="744"/>
      <c r="AI371" s="744"/>
      <c r="AJ371" s="744"/>
      <c r="AK371" s="792"/>
      <c r="AL371" s="744"/>
      <c r="AM371" s="744"/>
    </row>
    <row r="372" spans="3:39" x14ac:dyDescent="0.25">
      <c r="C372" s="744"/>
      <c r="D372" s="744"/>
      <c r="E372" s="744"/>
      <c r="F372" s="744"/>
      <c r="G372" s="744"/>
      <c r="H372" s="744"/>
      <c r="I372" s="744"/>
      <c r="J372" s="744"/>
      <c r="K372" s="744"/>
      <c r="L372" s="744"/>
      <c r="M372" s="744"/>
      <c r="N372" s="744"/>
      <c r="O372" s="744"/>
      <c r="P372" s="744"/>
      <c r="Q372" s="744"/>
      <c r="R372" s="744"/>
      <c r="S372" s="744"/>
      <c r="T372" s="744"/>
      <c r="U372" s="744"/>
      <c r="V372" s="744"/>
      <c r="W372" s="985"/>
      <c r="X372" s="744"/>
      <c r="Y372" s="792"/>
      <c r="Z372" s="744"/>
      <c r="AA372" s="744"/>
      <c r="AB372" s="744"/>
      <c r="AC372" s="744"/>
      <c r="AD372" s="744"/>
      <c r="AE372" s="744"/>
      <c r="AF372" s="744"/>
      <c r="AG372" s="744"/>
      <c r="AH372" s="744"/>
      <c r="AI372" s="744"/>
      <c r="AJ372" s="744"/>
      <c r="AK372" s="792"/>
      <c r="AL372" s="744"/>
      <c r="AM372" s="744"/>
    </row>
    <row r="373" spans="3:39" x14ac:dyDescent="0.25">
      <c r="C373" s="744"/>
      <c r="D373" s="744"/>
      <c r="E373" s="744"/>
      <c r="F373" s="744"/>
      <c r="G373" s="744"/>
      <c r="H373" s="744"/>
      <c r="I373" s="744"/>
      <c r="J373" s="744"/>
      <c r="K373" s="744"/>
      <c r="L373" s="744"/>
      <c r="M373" s="744"/>
      <c r="N373" s="744"/>
      <c r="O373" s="744"/>
      <c r="P373" s="744"/>
      <c r="Q373" s="744"/>
      <c r="R373" s="744"/>
      <c r="S373" s="744"/>
      <c r="T373" s="744"/>
      <c r="U373" s="744"/>
      <c r="V373" s="744"/>
      <c r="W373" s="985"/>
      <c r="X373" s="744"/>
      <c r="Y373" s="792"/>
      <c r="Z373" s="744"/>
      <c r="AA373" s="744"/>
      <c r="AB373" s="744"/>
      <c r="AC373" s="744"/>
      <c r="AD373" s="744"/>
      <c r="AE373" s="744"/>
      <c r="AF373" s="744"/>
      <c r="AG373" s="744"/>
      <c r="AH373" s="744"/>
      <c r="AI373" s="744"/>
      <c r="AJ373" s="744"/>
      <c r="AK373" s="792"/>
      <c r="AL373" s="744"/>
      <c r="AM373" s="744"/>
    </row>
    <row r="374" spans="3:39" x14ac:dyDescent="0.25">
      <c r="C374" s="744"/>
      <c r="D374" s="744"/>
      <c r="E374" s="744"/>
      <c r="F374" s="744"/>
      <c r="G374" s="744"/>
      <c r="H374" s="744"/>
      <c r="I374" s="744"/>
      <c r="J374" s="744"/>
      <c r="K374" s="744"/>
      <c r="L374" s="744"/>
      <c r="M374" s="744"/>
      <c r="N374" s="744"/>
      <c r="O374" s="744"/>
      <c r="P374" s="744"/>
      <c r="Q374" s="744"/>
      <c r="R374" s="744"/>
      <c r="S374" s="744"/>
      <c r="T374" s="744"/>
      <c r="U374" s="744"/>
      <c r="V374" s="744"/>
      <c r="W374" s="985"/>
      <c r="X374" s="744"/>
      <c r="Y374" s="792"/>
      <c r="Z374" s="744"/>
      <c r="AA374" s="744"/>
      <c r="AB374" s="744"/>
      <c r="AC374" s="744"/>
      <c r="AD374" s="744"/>
      <c r="AE374" s="744"/>
      <c r="AF374" s="744"/>
      <c r="AG374" s="744"/>
      <c r="AH374" s="744"/>
      <c r="AI374" s="744"/>
      <c r="AJ374" s="744"/>
      <c r="AK374" s="792"/>
      <c r="AL374" s="744"/>
      <c r="AM374" s="744"/>
    </row>
    <row r="375" spans="3:39" x14ac:dyDescent="0.25">
      <c r="C375" s="744"/>
      <c r="D375" s="744"/>
      <c r="E375" s="744"/>
      <c r="F375" s="744"/>
      <c r="G375" s="744"/>
      <c r="H375" s="744"/>
      <c r="I375" s="744"/>
      <c r="J375" s="744"/>
      <c r="K375" s="744"/>
      <c r="L375" s="744"/>
      <c r="M375" s="744"/>
      <c r="N375" s="744"/>
      <c r="O375" s="744"/>
      <c r="P375" s="744"/>
      <c r="Q375" s="744"/>
      <c r="R375" s="744"/>
      <c r="S375" s="744"/>
      <c r="T375" s="744"/>
      <c r="U375" s="744"/>
      <c r="V375" s="744"/>
      <c r="W375" s="985"/>
      <c r="X375" s="744"/>
      <c r="Y375" s="792"/>
      <c r="Z375" s="744"/>
      <c r="AA375" s="744"/>
      <c r="AB375" s="744"/>
      <c r="AC375" s="744"/>
      <c r="AD375" s="744"/>
      <c r="AE375" s="744"/>
      <c r="AF375" s="744"/>
      <c r="AG375" s="744"/>
      <c r="AH375" s="744"/>
      <c r="AI375" s="744"/>
      <c r="AJ375" s="744"/>
      <c r="AK375" s="792"/>
      <c r="AL375" s="744"/>
      <c r="AM375" s="744"/>
    </row>
    <row r="376" spans="3:39" x14ac:dyDescent="0.25">
      <c r="C376" s="744"/>
      <c r="D376" s="744"/>
      <c r="E376" s="744"/>
      <c r="F376" s="744"/>
      <c r="G376" s="744"/>
      <c r="H376" s="744"/>
      <c r="I376" s="744"/>
      <c r="J376" s="744"/>
      <c r="K376" s="744"/>
      <c r="L376" s="744"/>
      <c r="M376" s="744"/>
      <c r="N376" s="744"/>
      <c r="O376" s="744"/>
      <c r="P376" s="744"/>
      <c r="Q376" s="744"/>
      <c r="R376" s="744"/>
      <c r="S376" s="744"/>
      <c r="T376" s="744"/>
      <c r="U376" s="744"/>
      <c r="V376" s="744"/>
      <c r="W376" s="985"/>
      <c r="X376" s="744"/>
      <c r="Y376" s="792"/>
      <c r="Z376" s="744"/>
      <c r="AA376" s="744"/>
      <c r="AB376" s="744"/>
      <c r="AC376" s="744"/>
      <c r="AD376" s="744"/>
      <c r="AE376" s="744"/>
      <c r="AF376" s="744"/>
      <c r="AG376" s="744"/>
      <c r="AH376" s="744"/>
      <c r="AI376" s="744"/>
      <c r="AJ376" s="744"/>
      <c r="AK376" s="792"/>
      <c r="AL376" s="744"/>
      <c r="AM376" s="744"/>
    </row>
    <row r="377" spans="3:39" x14ac:dyDescent="0.25">
      <c r="C377" s="744"/>
      <c r="D377" s="744"/>
      <c r="E377" s="744"/>
      <c r="F377" s="744"/>
      <c r="G377" s="744"/>
      <c r="H377" s="744"/>
      <c r="I377" s="744"/>
      <c r="J377" s="744"/>
      <c r="K377" s="744"/>
      <c r="L377" s="744"/>
      <c r="M377" s="744"/>
      <c r="N377" s="744"/>
      <c r="O377" s="744"/>
      <c r="P377" s="744"/>
      <c r="Q377" s="744"/>
      <c r="R377" s="744"/>
      <c r="S377" s="744"/>
      <c r="T377" s="744"/>
      <c r="U377" s="744"/>
      <c r="V377" s="744"/>
      <c r="W377" s="985"/>
      <c r="X377" s="744"/>
      <c r="Y377" s="792"/>
      <c r="Z377" s="744"/>
      <c r="AA377" s="744"/>
      <c r="AB377" s="744"/>
      <c r="AC377" s="744"/>
      <c r="AD377" s="744"/>
      <c r="AE377" s="744"/>
      <c r="AF377" s="744"/>
      <c r="AG377" s="744"/>
      <c r="AH377" s="744"/>
      <c r="AI377" s="744"/>
      <c r="AJ377" s="744"/>
      <c r="AK377" s="792"/>
      <c r="AL377" s="744"/>
      <c r="AM377" s="744"/>
    </row>
    <row r="378" spans="3:39" x14ac:dyDescent="0.25">
      <c r="C378" s="744"/>
      <c r="D378" s="744"/>
      <c r="E378" s="744"/>
      <c r="F378" s="744"/>
      <c r="G378" s="744"/>
      <c r="H378" s="744"/>
      <c r="I378" s="744"/>
      <c r="J378" s="744"/>
      <c r="K378" s="744"/>
      <c r="L378" s="744"/>
      <c r="M378" s="744"/>
      <c r="N378" s="744"/>
      <c r="O378" s="744"/>
      <c r="P378" s="744"/>
      <c r="Q378" s="744"/>
      <c r="R378" s="744"/>
      <c r="S378" s="744"/>
      <c r="T378" s="744"/>
      <c r="U378" s="744"/>
      <c r="V378" s="744"/>
      <c r="W378" s="985"/>
      <c r="X378" s="744"/>
      <c r="Y378" s="792"/>
      <c r="Z378" s="744"/>
      <c r="AA378" s="744"/>
      <c r="AB378" s="744"/>
      <c r="AC378" s="744"/>
      <c r="AD378" s="744"/>
      <c r="AE378" s="744"/>
      <c r="AF378" s="744"/>
      <c r="AG378" s="744"/>
      <c r="AH378" s="744"/>
      <c r="AI378" s="744"/>
      <c r="AJ378" s="744"/>
      <c r="AK378" s="792"/>
      <c r="AL378" s="744"/>
      <c r="AM378" s="744"/>
    </row>
    <row r="379" spans="3:39" x14ac:dyDescent="0.25">
      <c r="C379" s="744"/>
      <c r="D379" s="744"/>
      <c r="E379" s="744"/>
      <c r="F379" s="744"/>
      <c r="G379" s="744"/>
      <c r="H379" s="744"/>
      <c r="I379" s="744"/>
      <c r="J379" s="744"/>
      <c r="K379" s="744"/>
      <c r="L379" s="744"/>
      <c r="M379" s="744"/>
      <c r="N379" s="744"/>
      <c r="O379" s="744"/>
      <c r="P379" s="744"/>
      <c r="Q379" s="744"/>
      <c r="R379" s="744"/>
      <c r="S379" s="744"/>
      <c r="T379" s="744"/>
      <c r="U379" s="744"/>
      <c r="V379" s="744"/>
      <c r="W379" s="985"/>
      <c r="X379" s="744"/>
      <c r="Y379" s="792"/>
      <c r="Z379" s="744"/>
      <c r="AA379" s="744"/>
      <c r="AB379" s="744"/>
      <c r="AC379" s="744"/>
      <c r="AD379" s="744"/>
      <c r="AE379" s="744"/>
      <c r="AF379" s="744"/>
      <c r="AG379" s="744"/>
      <c r="AH379" s="744"/>
      <c r="AI379" s="744"/>
      <c r="AJ379" s="744"/>
      <c r="AK379" s="792"/>
      <c r="AL379" s="744"/>
      <c r="AM379" s="744"/>
    </row>
    <row r="380" spans="3:39" x14ac:dyDescent="0.25">
      <c r="C380" s="744"/>
      <c r="D380" s="744"/>
      <c r="E380" s="744"/>
      <c r="F380" s="744"/>
      <c r="G380" s="744"/>
      <c r="H380" s="744"/>
      <c r="I380" s="744"/>
      <c r="J380" s="744"/>
      <c r="K380" s="744"/>
      <c r="L380" s="744"/>
      <c r="M380" s="744"/>
      <c r="N380" s="744"/>
      <c r="O380" s="744"/>
      <c r="P380" s="744"/>
      <c r="Q380" s="744"/>
      <c r="R380" s="744"/>
      <c r="S380" s="744"/>
      <c r="T380" s="744"/>
      <c r="U380" s="744"/>
      <c r="V380" s="744"/>
      <c r="W380" s="985"/>
      <c r="X380" s="744"/>
      <c r="Y380" s="792"/>
      <c r="Z380" s="744"/>
      <c r="AA380" s="744"/>
      <c r="AB380" s="744"/>
      <c r="AC380" s="744"/>
      <c r="AD380" s="744"/>
      <c r="AE380" s="744"/>
      <c r="AF380" s="744"/>
      <c r="AG380" s="744"/>
      <c r="AH380" s="744"/>
      <c r="AI380" s="744"/>
      <c r="AJ380" s="744"/>
      <c r="AK380" s="744"/>
      <c r="AL380" s="744"/>
      <c r="AM380" s="744"/>
    </row>
    <row r="381" spans="3:39" x14ac:dyDescent="0.25">
      <c r="C381" s="744"/>
      <c r="D381" s="744"/>
      <c r="E381" s="744"/>
      <c r="F381" s="744"/>
      <c r="G381" s="744"/>
      <c r="H381" s="744"/>
      <c r="I381" s="744"/>
      <c r="J381" s="744"/>
      <c r="K381" s="744"/>
      <c r="L381" s="744"/>
      <c r="M381" s="744"/>
      <c r="N381" s="744"/>
      <c r="O381" s="744"/>
      <c r="P381" s="744"/>
      <c r="Q381" s="744"/>
      <c r="R381" s="744"/>
      <c r="S381" s="744"/>
      <c r="T381" s="744"/>
      <c r="U381" s="744"/>
      <c r="V381" s="744"/>
      <c r="W381" s="985"/>
      <c r="X381" s="744"/>
      <c r="Y381" s="792"/>
      <c r="Z381" s="744"/>
      <c r="AA381" s="744"/>
      <c r="AB381" s="744"/>
      <c r="AC381" s="744"/>
      <c r="AD381" s="744"/>
      <c r="AE381" s="744"/>
      <c r="AF381" s="744"/>
      <c r="AG381" s="744"/>
      <c r="AH381" s="744"/>
      <c r="AI381" s="744"/>
      <c r="AJ381" s="744"/>
      <c r="AK381" s="744"/>
      <c r="AL381" s="744"/>
      <c r="AM381" s="744"/>
    </row>
    <row r="382" spans="3:39" x14ac:dyDescent="0.25">
      <c r="C382" s="744"/>
      <c r="D382" s="744"/>
      <c r="E382" s="744"/>
      <c r="F382" s="744"/>
      <c r="G382" s="744"/>
      <c r="H382" s="744"/>
      <c r="I382" s="744"/>
      <c r="J382" s="744"/>
      <c r="K382" s="744"/>
      <c r="L382" s="744"/>
      <c r="M382" s="744"/>
      <c r="N382" s="744"/>
      <c r="O382" s="744"/>
      <c r="P382" s="744"/>
      <c r="Q382" s="744"/>
      <c r="R382" s="744"/>
      <c r="S382" s="744"/>
      <c r="T382" s="744"/>
      <c r="U382" s="744"/>
      <c r="V382" s="744"/>
      <c r="W382" s="985"/>
      <c r="X382" s="744"/>
      <c r="Y382" s="792"/>
      <c r="Z382" s="744"/>
      <c r="AA382" s="744"/>
      <c r="AB382" s="744"/>
      <c r="AC382" s="744"/>
      <c r="AD382" s="744"/>
      <c r="AE382" s="744"/>
      <c r="AF382" s="744"/>
      <c r="AG382" s="744"/>
      <c r="AH382" s="744"/>
      <c r="AI382" s="744"/>
      <c r="AJ382" s="744"/>
      <c r="AK382" s="744"/>
      <c r="AL382" s="744"/>
      <c r="AM382" s="744"/>
    </row>
    <row r="383" spans="3:39" x14ac:dyDescent="0.25">
      <c r="C383" s="744"/>
      <c r="D383" s="744"/>
      <c r="E383" s="744"/>
      <c r="F383" s="744"/>
      <c r="G383" s="744"/>
      <c r="H383" s="744"/>
      <c r="I383" s="744"/>
      <c r="J383" s="744"/>
      <c r="K383" s="744"/>
      <c r="L383" s="744"/>
      <c r="M383" s="744"/>
      <c r="N383" s="744"/>
      <c r="O383" s="744"/>
      <c r="P383" s="744"/>
      <c r="Q383" s="744"/>
      <c r="R383" s="744"/>
      <c r="S383" s="744"/>
      <c r="T383" s="744"/>
      <c r="U383" s="744"/>
      <c r="V383" s="744"/>
      <c r="W383" s="985"/>
      <c r="X383" s="744"/>
      <c r="Y383" s="792"/>
      <c r="Z383" s="744"/>
      <c r="AA383" s="744"/>
      <c r="AB383" s="744"/>
      <c r="AC383" s="744"/>
      <c r="AD383" s="744"/>
      <c r="AE383" s="744"/>
      <c r="AF383" s="744"/>
      <c r="AG383" s="744"/>
      <c r="AH383" s="744"/>
      <c r="AI383" s="744"/>
      <c r="AJ383" s="744"/>
      <c r="AK383" s="744"/>
      <c r="AL383" s="744"/>
      <c r="AM383" s="744"/>
    </row>
    <row r="384" spans="3:39" x14ac:dyDescent="0.25">
      <c r="C384" s="744"/>
      <c r="D384" s="744"/>
      <c r="E384" s="744"/>
      <c r="F384" s="744"/>
      <c r="G384" s="744"/>
      <c r="H384" s="744"/>
      <c r="I384" s="744"/>
      <c r="J384" s="744"/>
      <c r="K384" s="744"/>
      <c r="L384" s="744"/>
      <c r="M384" s="744"/>
      <c r="N384" s="744"/>
      <c r="O384" s="744"/>
      <c r="P384" s="744"/>
      <c r="Q384" s="744"/>
      <c r="R384" s="744"/>
      <c r="S384" s="744"/>
      <c r="T384" s="744"/>
      <c r="U384" s="744"/>
      <c r="V384" s="744"/>
      <c r="W384" s="985"/>
      <c r="X384" s="744"/>
      <c r="Y384" s="792"/>
      <c r="Z384" s="744"/>
      <c r="AA384" s="744"/>
      <c r="AB384" s="744"/>
      <c r="AC384" s="744"/>
      <c r="AD384" s="744"/>
      <c r="AE384" s="744"/>
      <c r="AF384" s="744"/>
      <c r="AG384" s="744"/>
      <c r="AH384" s="744"/>
      <c r="AI384" s="744"/>
      <c r="AJ384" s="744"/>
      <c r="AK384" s="744"/>
      <c r="AL384" s="744"/>
      <c r="AM384" s="744"/>
    </row>
    <row r="385" spans="3:39" x14ac:dyDescent="0.25">
      <c r="C385" s="744"/>
      <c r="D385" s="744"/>
      <c r="E385" s="744"/>
      <c r="F385" s="744"/>
      <c r="G385" s="744"/>
      <c r="H385" s="744"/>
      <c r="I385" s="744"/>
      <c r="J385" s="744"/>
      <c r="K385" s="744"/>
      <c r="L385" s="744"/>
      <c r="M385" s="744"/>
      <c r="N385" s="744"/>
      <c r="O385" s="744"/>
      <c r="P385" s="744"/>
      <c r="Q385" s="744"/>
      <c r="R385" s="744"/>
      <c r="S385" s="744"/>
      <c r="T385" s="744"/>
      <c r="U385" s="744"/>
      <c r="V385" s="744"/>
      <c r="W385" s="985"/>
      <c r="X385" s="744"/>
      <c r="Y385" s="792"/>
      <c r="Z385" s="744"/>
      <c r="AA385" s="744"/>
      <c r="AB385" s="744"/>
      <c r="AC385" s="744"/>
      <c r="AD385" s="744"/>
      <c r="AE385" s="744"/>
      <c r="AF385" s="744"/>
      <c r="AG385" s="744"/>
      <c r="AH385" s="744"/>
      <c r="AI385" s="744"/>
      <c r="AJ385" s="744"/>
      <c r="AK385" s="744"/>
      <c r="AL385" s="744"/>
      <c r="AM385" s="744"/>
    </row>
    <row r="386" spans="3:39" x14ac:dyDescent="0.25">
      <c r="C386" s="744"/>
      <c r="D386" s="744"/>
      <c r="E386" s="744"/>
      <c r="F386" s="744"/>
      <c r="G386" s="744"/>
      <c r="H386" s="744"/>
      <c r="I386" s="744"/>
      <c r="J386" s="744"/>
      <c r="K386" s="744"/>
      <c r="L386" s="744"/>
      <c r="M386" s="744"/>
      <c r="N386" s="744"/>
      <c r="O386" s="744"/>
      <c r="P386" s="744"/>
      <c r="Q386" s="744"/>
      <c r="R386" s="744"/>
      <c r="S386" s="744"/>
      <c r="T386" s="744"/>
      <c r="U386" s="744"/>
      <c r="V386" s="744"/>
      <c r="W386" s="985"/>
      <c r="X386" s="744"/>
      <c r="Y386" s="792"/>
      <c r="Z386" s="744"/>
      <c r="AA386" s="744"/>
      <c r="AB386" s="744"/>
      <c r="AC386" s="744"/>
      <c r="AD386" s="744"/>
      <c r="AE386" s="744"/>
      <c r="AF386" s="744"/>
      <c r="AG386" s="744"/>
      <c r="AH386" s="744"/>
      <c r="AI386" s="744"/>
      <c r="AJ386" s="744"/>
      <c r="AK386" s="744"/>
      <c r="AL386" s="744"/>
      <c r="AM386" s="744"/>
    </row>
    <row r="387" spans="3:39" x14ac:dyDescent="0.25">
      <c r="C387" s="744"/>
      <c r="D387" s="744"/>
      <c r="E387" s="744"/>
      <c r="F387" s="744"/>
      <c r="G387" s="744"/>
      <c r="H387" s="744"/>
      <c r="I387" s="744"/>
      <c r="J387" s="744"/>
      <c r="K387" s="744"/>
      <c r="L387" s="744"/>
      <c r="M387" s="744"/>
      <c r="N387" s="744"/>
      <c r="O387" s="744"/>
      <c r="P387" s="744"/>
      <c r="Q387" s="744"/>
      <c r="R387" s="744"/>
      <c r="S387" s="744"/>
      <c r="T387" s="744"/>
      <c r="U387" s="744"/>
      <c r="V387" s="744"/>
      <c r="W387" s="985"/>
      <c r="X387" s="744"/>
      <c r="Y387" s="792"/>
      <c r="Z387" s="744"/>
      <c r="AA387" s="744"/>
      <c r="AB387" s="744"/>
      <c r="AC387" s="744"/>
      <c r="AD387" s="744"/>
      <c r="AE387" s="744"/>
      <c r="AF387" s="744"/>
      <c r="AG387" s="744"/>
      <c r="AH387" s="744"/>
      <c r="AI387" s="744"/>
      <c r="AJ387" s="744"/>
      <c r="AK387" s="744"/>
      <c r="AL387" s="744"/>
      <c r="AM387" s="744"/>
    </row>
    <row r="388" spans="3:39" x14ac:dyDescent="0.25">
      <c r="C388" s="744"/>
      <c r="D388" s="744"/>
      <c r="E388" s="744"/>
      <c r="F388" s="744"/>
      <c r="G388" s="744"/>
      <c r="H388" s="744"/>
      <c r="I388" s="744"/>
      <c r="J388" s="744"/>
      <c r="K388" s="744"/>
      <c r="L388" s="744"/>
      <c r="M388" s="744"/>
      <c r="N388" s="744"/>
      <c r="O388" s="744"/>
      <c r="P388" s="744"/>
      <c r="Q388" s="744"/>
      <c r="R388" s="744"/>
      <c r="S388" s="744"/>
      <c r="T388" s="744"/>
      <c r="U388" s="744"/>
      <c r="V388" s="744"/>
      <c r="W388" s="985"/>
      <c r="X388" s="744"/>
      <c r="Y388" s="792"/>
      <c r="Z388" s="744"/>
      <c r="AA388" s="744"/>
      <c r="AB388" s="744"/>
      <c r="AC388" s="744"/>
      <c r="AD388" s="744"/>
      <c r="AE388" s="744"/>
      <c r="AF388" s="744"/>
      <c r="AG388" s="744"/>
      <c r="AH388" s="744"/>
      <c r="AI388" s="744"/>
      <c r="AJ388" s="744"/>
      <c r="AK388" s="744"/>
      <c r="AL388" s="744"/>
      <c r="AM388" s="744"/>
    </row>
    <row r="389" spans="3:39" x14ac:dyDescent="0.25">
      <c r="C389" s="744"/>
      <c r="D389" s="744"/>
      <c r="E389" s="744"/>
      <c r="F389" s="744"/>
      <c r="G389" s="744"/>
      <c r="H389" s="744"/>
      <c r="I389" s="744"/>
      <c r="J389" s="744"/>
      <c r="K389" s="744"/>
      <c r="L389" s="744"/>
      <c r="M389" s="744"/>
      <c r="N389" s="744"/>
      <c r="O389" s="744"/>
      <c r="P389" s="744"/>
      <c r="Q389" s="744"/>
      <c r="R389" s="744"/>
      <c r="S389" s="744"/>
      <c r="T389" s="744"/>
      <c r="U389" s="744"/>
      <c r="V389" s="744"/>
      <c r="W389" s="985"/>
      <c r="X389" s="744"/>
      <c r="Y389" s="792"/>
      <c r="Z389" s="744"/>
      <c r="AA389" s="744"/>
      <c r="AB389" s="744"/>
      <c r="AC389" s="744"/>
      <c r="AD389" s="744"/>
      <c r="AE389" s="744"/>
      <c r="AF389" s="744"/>
      <c r="AG389" s="744"/>
      <c r="AH389" s="744"/>
      <c r="AI389" s="744"/>
      <c r="AJ389" s="744"/>
      <c r="AK389" s="744"/>
      <c r="AL389" s="744"/>
      <c r="AM389" s="744"/>
    </row>
    <row r="390" spans="3:39" x14ac:dyDescent="0.25">
      <c r="C390" s="744"/>
      <c r="D390" s="744"/>
      <c r="E390" s="744"/>
      <c r="F390" s="744"/>
      <c r="G390" s="744"/>
      <c r="H390" s="744"/>
      <c r="I390" s="744"/>
      <c r="J390" s="744"/>
      <c r="K390" s="744"/>
      <c r="L390" s="744"/>
      <c r="M390" s="744"/>
      <c r="N390" s="744"/>
      <c r="O390" s="744"/>
      <c r="P390" s="744"/>
      <c r="Q390" s="744"/>
      <c r="R390" s="744"/>
      <c r="S390" s="744"/>
      <c r="T390" s="744"/>
      <c r="U390" s="744"/>
      <c r="V390" s="744"/>
      <c r="W390" s="985"/>
      <c r="X390" s="744"/>
      <c r="Y390" s="792"/>
      <c r="Z390" s="744"/>
      <c r="AA390" s="744"/>
      <c r="AB390" s="744"/>
      <c r="AC390" s="744"/>
      <c r="AD390" s="744"/>
      <c r="AE390" s="744"/>
      <c r="AF390" s="744"/>
      <c r="AG390" s="744"/>
      <c r="AH390" s="744"/>
      <c r="AI390" s="744"/>
      <c r="AJ390" s="744"/>
      <c r="AK390" s="744"/>
      <c r="AL390" s="744"/>
      <c r="AM390" s="744"/>
    </row>
    <row r="391" spans="3:39" x14ac:dyDescent="0.25">
      <c r="C391" s="744"/>
      <c r="D391" s="744"/>
      <c r="E391" s="744"/>
      <c r="F391" s="744"/>
      <c r="G391" s="744"/>
      <c r="H391" s="744"/>
      <c r="I391" s="744"/>
      <c r="J391" s="744"/>
      <c r="K391" s="744"/>
      <c r="L391" s="744"/>
      <c r="M391" s="744"/>
      <c r="N391" s="744"/>
      <c r="O391" s="744"/>
      <c r="P391" s="744"/>
      <c r="Q391" s="744"/>
      <c r="R391" s="744"/>
      <c r="S391" s="744"/>
      <c r="T391" s="744"/>
      <c r="U391" s="744"/>
      <c r="V391" s="744"/>
      <c r="W391" s="985"/>
      <c r="X391" s="744"/>
      <c r="Y391" s="792"/>
      <c r="Z391" s="744"/>
      <c r="AA391" s="744"/>
      <c r="AB391" s="744"/>
      <c r="AC391" s="744"/>
      <c r="AD391" s="744"/>
      <c r="AE391" s="744"/>
      <c r="AF391" s="744"/>
      <c r="AG391" s="744"/>
      <c r="AH391" s="744"/>
      <c r="AI391" s="744"/>
      <c r="AJ391" s="744"/>
      <c r="AK391" s="744"/>
      <c r="AL391" s="744"/>
      <c r="AM391" s="744"/>
    </row>
    <row r="392" spans="3:39" x14ac:dyDescent="0.25">
      <c r="C392" s="744"/>
      <c r="D392" s="744"/>
      <c r="E392" s="744"/>
      <c r="F392" s="744"/>
      <c r="G392" s="744"/>
      <c r="H392" s="744"/>
      <c r="I392" s="744"/>
      <c r="J392" s="744"/>
      <c r="K392" s="744"/>
      <c r="L392" s="744"/>
      <c r="M392" s="744"/>
      <c r="N392" s="744"/>
      <c r="O392" s="744"/>
      <c r="P392" s="744"/>
      <c r="Q392" s="744"/>
      <c r="R392" s="744"/>
      <c r="S392" s="744"/>
      <c r="T392" s="744"/>
      <c r="U392" s="744"/>
      <c r="V392" s="744"/>
      <c r="W392" s="985"/>
      <c r="X392" s="744"/>
      <c r="Y392" s="792"/>
      <c r="Z392" s="744"/>
      <c r="AA392" s="744"/>
      <c r="AB392" s="744"/>
      <c r="AC392" s="744"/>
      <c r="AD392" s="744"/>
      <c r="AE392" s="744"/>
      <c r="AF392" s="744"/>
      <c r="AG392" s="744"/>
      <c r="AH392" s="744"/>
      <c r="AI392" s="744"/>
      <c r="AJ392" s="744"/>
      <c r="AK392" s="744"/>
      <c r="AL392" s="744"/>
      <c r="AM392" s="744"/>
    </row>
    <row r="393" spans="3:39" x14ac:dyDescent="0.25">
      <c r="C393" s="744"/>
      <c r="D393" s="744"/>
      <c r="E393" s="744"/>
      <c r="F393" s="744"/>
      <c r="G393" s="744"/>
      <c r="H393" s="744"/>
      <c r="I393" s="744"/>
      <c r="J393" s="744"/>
      <c r="K393" s="744"/>
      <c r="L393" s="744"/>
      <c r="M393" s="744"/>
      <c r="N393" s="744"/>
      <c r="O393" s="744"/>
      <c r="P393" s="744"/>
      <c r="Q393" s="744"/>
      <c r="R393" s="744"/>
      <c r="S393" s="744"/>
      <c r="T393" s="744"/>
      <c r="U393" s="744"/>
      <c r="V393" s="744"/>
      <c r="W393" s="985"/>
      <c r="X393" s="744"/>
      <c r="Y393" s="792"/>
      <c r="Z393" s="744"/>
      <c r="AA393" s="744"/>
      <c r="AB393" s="744"/>
      <c r="AC393" s="744"/>
      <c r="AD393" s="744"/>
      <c r="AE393" s="744"/>
      <c r="AF393" s="744"/>
      <c r="AG393" s="744"/>
      <c r="AH393" s="744"/>
      <c r="AI393" s="744"/>
      <c r="AJ393" s="744"/>
      <c r="AK393" s="744"/>
      <c r="AL393" s="744"/>
      <c r="AM393" s="744"/>
    </row>
    <row r="394" spans="3:39" x14ac:dyDescent="0.25">
      <c r="C394" s="744"/>
      <c r="D394" s="744"/>
      <c r="E394" s="744"/>
      <c r="F394" s="744"/>
      <c r="G394" s="744"/>
      <c r="H394" s="744"/>
      <c r="I394" s="744"/>
      <c r="J394" s="744"/>
      <c r="K394" s="744"/>
      <c r="L394" s="744"/>
      <c r="M394" s="744"/>
      <c r="N394" s="744"/>
      <c r="O394" s="744"/>
      <c r="P394" s="744"/>
      <c r="Q394" s="744"/>
      <c r="R394" s="744"/>
      <c r="S394" s="744"/>
      <c r="T394" s="744"/>
      <c r="U394" s="744"/>
      <c r="V394" s="744"/>
      <c r="W394" s="985"/>
      <c r="X394" s="744"/>
      <c r="Y394" s="792"/>
      <c r="Z394" s="744"/>
      <c r="AA394" s="744"/>
      <c r="AB394" s="744"/>
      <c r="AC394" s="744"/>
      <c r="AD394" s="744"/>
      <c r="AE394" s="744"/>
      <c r="AF394" s="744"/>
      <c r="AG394" s="744"/>
      <c r="AH394" s="744"/>
      <c r="AI394" s="744"/>
      <c r="AJ394" s="744"/>
      <c r="AK394" s="744"/>
      <c r="AL394" s="744"/>
      <c r="AM394" s="744"/>
    </row>
    <row r="395" spans="3:39" x14ac:dyDescent="0.25">
      <c r="C395" s="744"/>
      <c r="D395" s="744"/>
      <c r="E395" s="744"/>
      <c r="F395" s="744"/>
      <c r="G395" s="744"/>
      <c r="H395" s="744"/>
      <c r="I395" s="744"/>
      <c r="J395" s="744"/>
      <c r="K395" s="744"/>
      <c r="L395" s="744"/>
      <c r="M395" s="744"/>
      <c r="N395" s="744"/>
      <c r="O395" s="744"/>
      <c r="P395" s="744"/>
      <c r="Q395" s="744"/>
      <c r="R395" s="744"/>
      <c r="S395" s="744"/>
      <c r="T395" s="744"/>
      <c r="U395" s="744"/>
      <c r="V395" s="744"/>
      <c r="W395" s="985"/>
      <c r="X395" s="744"/>
      <c r="Y395" s="792"/>
      <c r="Z395" s="744"/>
      <c r="AA395" s="744"/>
      <c r="AB395" s="744"/>
      <c r="AC395" s="744"/>
      <c r="AD395" s="744"/>
      <c r="AE395" s="744"/>
      <c r="AF395" s="744"/>
      <c r="AG395" s="744"/>
      <c r="AH395" s="744"/>
      <c r="AI395" s="744"/>
      <c r="AJ395" s="744"/>
      <c r="AK395" s="744"/>
      <c r="AL395" s="744"/>
      <c r="AM395" s="744"/>
    </row>
    <row r="396" spans="3:39" x14ac:dyDescent="0.25">
      <c r="C396" s="744"/>
      <c r="D396" s="744"/>
      <c r="E396" s="744"/>
      <c r="F396" s="744"/>
      <c r="G396" s="744"/>
      <c r="H396" s="744"/>
      <c r="I396" s="744"/>
      <c r="J396" s="744"/>
      <c r="K396" s="744"/>
      <c r="L396" s="744"/>
      <c r="M396" s="744"/>
      <c r="N396" s="744"/>
      <c r="O396" s="744"/>
      <c r="P396" s="744"/>
      <c r="Q396" s="744"/>
      <c r="R396" s="744"/>
      <c r="S396" s="744"/>
      <c r="T396" s="744"/>
      <c r="U396" s="744"/>
      <c r="V396" s="744"/>
      <c r="W396" s="985"/>
      <c r="X396" s="744"/>
      <c r="Y396" s="792"/>
      <c r="Z396" s="744"/>
      <c r="AA396" s="744"/>
      <c r="AB396" s="744"/>
      <c r="AC396" s="744"/>
      <c r="AD396" s="744"/>
      <c r="AE396" s="744"/>
      <c r="AF396" s="744"/>
      <c r="AG396" s="744"/>
      <c r="AH396" s="744"/>
      <c r="AI396" s="744"/>
      <c r="AJ396" s="744"/>
      <c r="AK396" s="744"/>
      <c r="AL396" s="744"/>
      <c r="AM396" s="744"/>
    </row>
    <row r="397" spans="3:39" x14ac:dyDescent="0.25">
      <c r="C397" s="744"/>
      <c r="D397" s="744"/>
      <c r="E397" s="744"/>
      <c r="F397" s="744"/>
      <c r="G397" s="744"/>
      <c r="H397" s="744"/>
      <c r="I397" s="744"/>
      <c r="J397" s="744"/>
      <c r="K397" s="744"/>
      <c r="L397" s="744"/>
      <c r="M397" s="744"/>
      <c r="N397" s="744"/>
      <c r="O397" s="744"/>
      <c r="P397" s="744"/>
      <c r="Q397" s="744"/>
      <c r="R397" s="744"/>
      <c r="S397" s="744"/>
      <c r="T397" s="744"/>
      <c r="U397" s="744"/>
      <c r="V397" s="744"/>
      <c r="W397" s="985"/>
      <c r="X397" s="744"/>
      <c r="Y397" s="792"/>
      <c r="Z397" s="744"/>
      <c r="AA397" s="744"/>
      <c r="AB397" s="744"/>
      <c r="AC397" s="744"/>
      <c r="AD397" s="744"/>
      <c r="AE397" s="744"/>
      <c r="AF397" s="744"/>
      <c r="AG397" s="744"/>
      <c r="AH397" s="744"/>
      <c r="AI397" s="744"/>
      <c r="AJ397" s="744"/>
      <c r="AK397" s="744"/>
      <c r="AL397" s="744"/>
      <c r="AM397" s="744"/>
    </row>
    <row r="398" spans="3:39" x14ac:dyDescent="0.25">
      <c r="C398" s="744"/>
      <c r="D398" s="744"/>
      <c r="E398" s="744"/>
      <c r="F398" s="744"/>
      <c r="G398" s="744"/>
      <c r="H398" s="744"/>
      <c r="I398" s="744"/>
      <c r="J398" s="744"/>
      <c r="K398" s="744"/>
      <c r="L398" s="744"/>
      <c r="M398" s="744"/>
      <c r="N398" s="744"/>
      <c r="O398" s="744"/>
      <c r="P398" s="744"/>
      <c r="Q398" s="744"/>
      <c r="R398" s="744"/>
      <c r="S398" s="744"/>
      <c r="T398" s="744"/>
      <c r="U398" s="744"/>
      <c r="V398" s="744"/>
      <c r="W398" s="985"/>
      <c r="X398" s="744"/>
      <c r="Y398" s="792"/>
      <c r="Z398" s="744"/>
      <c r="AA398" s="744"/>
      <c r="AB398" s="744"/>
      <c r="AC398" s="744"/>
      <c r="AD398" s="744"/>
      <c r="AE398" s="744"/>
      <c r="AF398" s="744"/>
      <c r="AG398" s="744"/>
      <c r="AH398" s="744"/>
      <c r="AI398" s="744"/>
      <c r="AJ398" s="744"/>
      <c r="AK398" s="744"/>
      <c r="AL398" s="744"/>
      <c r="AM398" s="744"/>
    </row>
    <row r="399" spans="3:39" x14ac:dyDescent="0.25">
      <c r="C399" s="744"/>
      <c r="D399" s="744"/>
      <c r="E399" s="744"/>
      <c r="F399" s="744"/>
      <c r="G399" s="744"/>
      <c r="H399" s="744"/>
      <c r="I399" s="744"/>
      <c r="J399" s="744"/>
      <c r="K399" s="744"/>
      <c r="L399" s="744"/>
      <c r="M399" s="744"/>
      <c r="N399" s="744"/>
      <c r="O399" s="744"/>
      <c r="P399" s="744"/>
      <c r="Q399" s="744"/>
      <c r="R399" s="744"/>
      <c r="S399" s="744"/>
      <c r="T399" s="744"/>
      <c r="U399" s="744"/>
      <c r="V399" s="744"/>
      <c r="W399" s="985"/>
      <c r="X399" s="744"/>
      <c r="Y399" s="792"/>
      <c r="Z399" s="744"/>
      <c r="AA399" s="744"/>
      <c r="AB399" s="744"/>
      <c r="AC399" s="744"/>
      <c r="AD399" s="744"/>
      <c r="AE399" s="744"/>
      <c r="AF399" s="744"/>
      <c r="AG399" s="744"/>
      <c r="AH399" s="744"/>
      <c r="AI399" s="744"/>
      <c r="AJ399" s="744"/>
      <c r="AK399" s="744"/>
      <c r="AL399" s="744"/>
      <c r="AM399" s="744"/>
    </row>
    <row r="400" spans="3:39" x14ac:dyDescent="0.25">
      <c r="C400" s="744"/>
      <c r="D400" s="744"/>
      <c r="E400" s="744"/>
      <c r="F400" s="744"/>
      <c r="G400" s="744"/>
      <c r="H400" s="744"/>
      <c r="I400" s="744"/>
      <c r="J400" s="744"/>
      <c r="K400" s="744"/>
      <c r="L400" s="744"/>
      <c r="M400" s="744"/>
      <c r="N400" s="744"/>
      <c r="O400" s="744"/>
      <c r="P400" s="744"/>
      <c r="Q400" s="744"/>
      <c r="R400" s="744"/>
      <c r="S400" s="744"/>
      <c r="T400" s="744"/>
      <c r="U400" s="744"/>
      <c r="V400" s="744"/>
      <c r="W400" s="985"/>
      <c r="X400" s="744"/>
      <c r="Y400" s="792"/>
      <c r="Z400" s="744"/>
      <c r="AA400" s="744"/>
      <c r="AB400" s="744"/>
      <c r="AC400" s="744"/>
      <c r="AD400" s="744"/>
      <c r="AE400" s="744"/>
      <c r="AF400" s="744"/>
      <c r="AG400" s="744"/>
      <c r="AH400" s="744"/>
      <c r="AI400" s="744"/>
      <c r="AJ400" s="744"/>
      <c r="AK400" s="744"/>
      <c r="AL400" s="744"/>
      <c r="AM400" s="744"/>
    </row>
    <row r="401" spans="3:39" x14ac:dyDescent="0.25">
      <c r="C401" s="744"/>
      <c r="D401" s="744"/>
      <c r="E401" s="744"/>
      <c r="F401" s="744"/>
      <c r="G401" s="744"/>
      <c r="H401" s="744"/>
      <c r="I401" s="744"/>
      <c r="J401" s="744"/>
      <c r="K401" s="744"/>
      <c r="L401" s="744"/>
      <c r="M401" s="744"/>
      <c r="N401" s="744"/>
      <c r="O401" s="744"/>
      <c r="P401" s="744"/>
      <c r="Q401" s="744"/>
      <c r="R401" s="744"/>
      <c r="S401" s="744"/>
      <c r="T401" s="744"/>
      <c r="U401" s="744"/>
      <c r="V401" s="744"/>
      <c r="W401" s="985"/>
      <c r="X401" s="744"/>
      <c r="Y401" s="792"/>
      <c r="Z401" s="744"/>
      <c r="AA401" s="744"/>
      <c r="AB401" s="744"/>
      <c r="AC401" s="744"/>
      <c r="AD401" s="744"/>
      <c r="AE401" s="744"/>
      <c r="AF401" s="744"/>
      <c r="AG401" s="744"/>
      <c r="AH401" s="744"/>
      <c r="AI401" s="744"/>
      <c r="AJ401" s="744"/>
      <c r="AK401" s="744"/>
      <c r="AL401" s="744"/>
      <c r="AM401" s="744"/>
    </row>
    <row r="402" spans="3:39" x14ac:dyDescent="0.25">
      <c r="C402" s="744"/>
      <c r="D402" s="744"/>
      <c r="E402" s="744"/>
      <c r="F402" s="744"/>
      <c r="G402" s="744"/>
      <c r="H402" s="744"/>
      <c r="I402" s="744"/>
      <c r="J402" s="744"/>
      <c r="K402" s="744"/>
      <c r="L402" s="744"/>
      <c r="M402" s="744"/>
      <c r="N402" s="744"/>
      <c r="O402" s="744"/>
      <c r="P402" s="744"/>
      <c r="Q402" s="744"/>
      <c r="R402" s="744"/>
      <c r="S402" s="744"/>
      <c r="T402" s="744"/>
      <c r="U402" s="744"/>
      <c r="V402" s="744"/>
      <c r="W402" s="985"/>
      <c r="X402" s="744"/>
      <c r="Y402" s="792"/>
      <c r="Z402" s="744"/>
      <c r="AA402" s="744"/>
      <c r="AB402" s="744"/>
      <c r="AC402" s="744"/>
      <c r="AD402" s="744"/>
      <c r="AE402" s="744"/>
      <c r="AF402" s="744"/>
      <c r="AG402" s="744"/>
      <c r="AH402" s="744"/>
      <c r="AI402" s="744"/>
      <c r="AJ402" s="744"/>
      <c r="AK402" s="744"/>
      <c r="AL402" s="744"/>
      <c r="AM402" s="744"/>
    </row>
    <row r="403" spans="3:39" x14ac:dyDescent="0.25">
      <c r="C403" s="744"/>
      <c r="D403" s="744"/>
      <c r="E403" s="744"/>
      <c r="F403" s="744"/>
      <c r="G403" s="744"/>
      <c r="H403" s="744"/>
      <c r="I403" s="744"/>
      <c r="J403" s="744"/>
      <c r="K403" s="744"/>
      <c r="L403" s="744"/>
      <c r="M403" s="744"/>
      <c r="N403" s="744"/>
      <c r="O403" s="744"/>
      <c r="P403" s="744"/>
      <c r="Q403" s="744"/>
      <c r="R403" s="744"/>
      <c r="S403" s="744"/>
      <c r="T403" s="744"/>
      <c r="U403" s="744"/>
      <c r="V403" s="744"/>
      <c r="W403" s="985"/>
      <c r="X403" s="744"/>
      <c r="Y403" s="792"/>
      <c r="Z403" s="744"/>
      <c r="AA403" s="744"/>
      <c r="AB403" s="744"/>
      <c r="AC403" s="744"/>
      <c r="AD403" s="744"/>
      <c r="AE403" s="744"/>
      <c r="AF403" s="744"/>
      <c r="AG403" s="744"/>
      <c r="AH403" s="744"/>
      <c r="AI403" s="744"/>
      <c r="AJ403" s="744"/>
      <c r="AK403" s="744"/>
      <c r="AL403" s="744"/>
      <c r="AM403" s="744"/>
    </row>
    <row r="404" spans="3:39" x14ac:dyDescent="0.25">
      <c r="C404" s="744"/>
      <c r="D404" s="744"/>
      <c r="E404" s="744"/>
      <c r="F404" s="744"/>
      <c r="G404" s="744"/>
      <c r="H404" s="744"/>
      <c r="I404" s="744"/>
      <c r="J404" s="744"/>
      <c r="K404" s="744"/>
      <c r="L404" s="744"/>
      <c r="M404" s="744"/>
      <c r="N404" s="744"/>
      <c r="O404" s="744"/>
      <c r="P404" s="744"/>
      <c r="Q404" s="744"/>
      <c r="R404" s="744"/>
      <c r="S404" s="744"/>
      <c r="T404" s="744"/>
      <c r="U404" s="744"/>
      <c r="V404" s="744"/>
      <c r="W404" s="985"/>
      <c r="X404" s="744"/>
      <c r="Y404" s="792"/>
      <c r="Z404" s="744"/>
      <c r="AA404" s="744"/>
      <c r="AB404" s="744"/>
      <c r="AC404" s="744"/>
      <c r="AD404" s="744"/>
      <c r="AE404" s="744"/>
      <c r="AF404" s="744"/>
      <c r="AG404" s="744"/>
      <c r="AH404" s="744"/>
      <c r="AI404" s="744"/>
      <c r="AJ404" s="744"/>
      <c r="AK404" s="744"/>
      <c r="AL404" s="744"/>
      <c r="AM404" s="744"/>
    </row>
    <row r="405" spans="3:39" x14ac:dyDescent="0.25">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92"/>
      <c r="Z405" s="744"/>
      <c r="AA405" s="744"/>
      <c r="AB405" s="744"/>
      <c r="AC405" s="744"/>
      <c r="AD405" s="744"/>
      <c r="AE405" s="744"/>
      <c r="AF405" s="744"/>
      <c r="AG405" s="744"/>
      <c r="AH405" s="744"/>
      <c r="AI405" s="744"/>
      <c r="AJ405" s="744"/>
      <c r="AK405" s="744"/>
      <c r="AL405" s="744"/>
      <c r="AM405" s="744"/>
    </row>
    <row r="406" spans="3:39" x14ac:dyDescent="0.25">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92"/>
      <c r="Z406" s="744"/>
      <c r="AA406" s="744"/>
      <c r="AB406" s="744"/>
      <c r="AC406" s="744"/>
      <c r="AD406" s="744"/>
      <c r="AE406" s="744"/>
      <c r="AF406" s="744"/>
      <c r="AG406" s="744"/>
      <c r="AH406" s="744"/>
      <c r="AI406" s="744"/>
      <c r="AJ406" s="744"/>
      <c r="AK406" s="744"/>
      <c r="AL406" s="744"/>
      <c r="AM406" s="744"/>
    </row>
    <row r="407" spans="3:39" x14ac:dyDescent="0.25">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c r="AA407" s="744"/>
      <c r="AB407" s="744"/>
      <c r="AC407" s="744"/>
      <c r="AD407" s="744"/>
      <c r="AE407" s="744"/>
      <c r="AF407" s="744"/>
      <c r="AG407" s="744"/>
      <c r="AH407" s="744"/>
      <c r="AI407" s="744"/>
      <c r="AJ407" s="744"/>
      <c r="AK407" s="744"/>
      <c r="AL407" s="744"/>
      <c r="AM407" s="744"/>
    </row>
    <row r="408" spans="3:39" x14ac:dyDescent="0.25">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c r="AA408" s="744"/>
      <c r="AB408" s="744"/>
      <c r="AC408" s="744"/>
      <c r="AD408" s="744"/>
      <c r="AE408" s="744"/>
      <c r="AF408" s="744"/>
      <c r="AG408" s="744"/>
      <c r="AH408" s="744"/>
      <c r="AI408" s="744"/>
      <c r="AJ408" s="744"/>
      <c r="AK408" s="744"/>
      <c r="AL408" s="744"/>
      <c r="AM408" s="744"/>
    </row>
    <row r="409" spans="3:39" x14ac:dyDescent="0.25">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c r="AA409" s="744"/>
      <c r="AB409" s="744"/>
      <c r="AC409" s="744"/>
      <c r="AD409" s="744"/>
      <c r="AE409" s="744"/>
      <c r="AF409" s="744"/>
      <c r="AG409" s="744"/>
      <c r="AH409" s="744"/>
      <c r="AI409" s="744"/>
      <c r="AJ409" s="744"/>
      <c r="AK409" s="744"/>
      <c r="AL409" s="744"/>
      <c r="AM409" s="744"/>
    </row>
    <row r="410" spans="3:39" x14ac:dyDescent="0.25">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c r="AA410" s="744"/>
      <c r="AB410" s="744"/>
      <c r="AC410" s="744"/>
      <c r="AD410" s="744"/>
      <c r="AE410" s="744"/>
      <c r="AF410" s="744"/>
      <c r="AG410" s="744"/>
      <c r="AH410" s="744"/>
      <c r="AI410" s="744"/>
      <c r="AJ410" s="744"/>
      <c r="AK410" s="744"/>
      <c r="AL410" s="744"/>
      <c r="AM410" s="744"/>
    </row>
    <row r="411" spans="3:39" x14ac:dyDescent="0.25">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c r="AA411" s="744"/>
      <c r="AB411" s="744"/>
      <c r="AC411" s="744"/>
      <c r="AD411" s="744"/>
      <c r="AE411" s="744"/>
      <c r="AF411" s="744"/>
      <c r="AG411" s="744"/>
      <c r="AH411" s="744"/>
      <c r="AI411" s="744"/>
      <c r="AJ411" s="744"/>
      <c r="AK411" s="744"/>
      <c r="AL411" s="744"/>
      <c r="AM411" s="744"/>
    </row>
    <row r="412" spans="3:39" x14ac:dyDescent="0.25">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c r="AA412" s="744"/>
      <c r="AB412" s="744"/>
      <c r="AC412" s="744"/>
      <c r="AD412" s="744"/>
      <c r="AE412" s="744"/>
      <c r="AF412" s="744"/>
      <c r="AG412" s="744"/>
      <c r="AH412" s="744"/>
      <c r="AI412" s="744"/>
      <c r="AJ412" s="744"/>
      <c r="AK412" s="744"/>
      <c r="AL412" s="744"/>
      <c r="AM412" s="744"/>
    </row>
    <row r="413" spans="3:39" x14ac:dyDescent="0.25">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c r="AA413" s="744"/>
      <c r="AB413" s="744"/>
      <c r="AC413" s="744"/>
      <c r="AD413" s="744"/>
      <c r="AE413" s="744"/>
      <c r="AF413" s="744"/>
      <c r="AG413" s="744"/>
      <c r="AH413" s="744"/>
      <c r="AI413" s="744"/>
      <c r="AJ413" s="744"/>
      <c r="AK413" s="744"/>
      <c r="AL413" s="744"/>
      <c r="AM413" s="744"/>
    </row>
    <row r="414" spans="3:39" x14ac:dyDescent="0.25">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c r="AA414" s="744"/>
      <c r="AB414" s="744"/>
      <c r="AC414" s="744"/>
      <c r="AD414" s="744"/>
      <c r="AE414" s="744"/>
      <c r="AF414" s="744"/>
      <c r="AG414" s="744"/>
      <c r="AH414" s="744"/>
      <c r="AI414" s="744"/>
      <c r="AJ414" s="744"/>
      <c r="AK414" s="744"/>
      <c r="AL414" s="744"/>
      <c r="AM414" s="744"/>
    </row>
    <row r="415" spans="3:39" x14ac:dyDescent="0.25">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c r="AA415" s="744"/>
      <c r="AB415" s="744"/>
      <c r="AC415" s="744"/>
      <c r="AD415" s="744"/>
      <c r="AE415" s="744"/>
      <c r="AF415" s="744"/>
      <c r="AG415" s="744"/>
      <c r="AH415" s="744"/>
      <c r="AI415" s="744"/>
      <c r="AJ415" s="744"/>
      <c r="AK415" s="744"/>
      <c r="AL415" s="744"/>
      <c r="AM415" s="744"/>
    </row>
    <row r="416" spans="3:39" x14ac:dyDescent="0.25">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c r="AA416" s="744"/>
      <c r="AB416" s="744"/>
      <c r="AC416" s="744"/>
      <c r="AD416" s="744"/>
      <c r="AE416" s="744"/>
      <c r="AF416" s="744"/>
      <c r="AG416" s="744"/>
      <c r="AH416" s="744"/>
      <c r="AI416" s="744"/>
      <c r="AJ416" s="744"/>
      <c r="AK416" s="744"/>
      <c r="AL416" s="744"/>
      <c r="AM416" s="744"/>
    </row>
    <row r="417" spans="3:39" x14ac:dyDescent="0.25">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c r="AA417" s="744"/>
      <c r="AB417" s="744"/>
      <c r="AC417" s="744"/>
      <c r="AD417" s="744"/>
      <c r="AE417" s="744"/>
      <c r="AF417" s="744"/>
      <c r="AG417" s="744"/>
      <c r="AH417" s="744"/>
      <c r="AI417" s="744"/>
      <c r="AJ417" s="744"/>
      <c r="AK417" s="744"/>
      <c r="AL417" s="744"/>
      <c r="AM417" s="744"/>
    </row>
    <row r="418" spans="3:39" x14ac:dyDescent="0.25">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c r="AA418" s="744"/>
      <c r="AB418" s="744"/>
      <c r="AC418" s="744"/>
      <c r="AD418" s="744"/>
      <c r="AE418" s="744"/>
      <c r="AF418" s="744"/>
      <c r="AG418" s="744"/>
      <c r="AH418" s="744"/>
      <c r="AI418" s="744"/>
      <c r="AJ418" s="744"/>
      <c r="AK418" s="744"/>
      <c r="AL418" s="744"/>
      <c r="AM418" s="744"/>
    </row>
    <row r="419" spans="3:39" x14ac:dyDescent="0.25">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c r="AA419" s="744"/>
      <c r="AB419" s="744"/>
      <c r="AC419" s="744"/>
      <c r="AD419" s="744"/>
      <c r="AE419" s="744"/>
      <c r="AF419" s="744"/>
      <c r="AG419" s="744"/>
      <c r="AH419" s="744"/>
      <c r="AI419" s="744"/>
      <c r="AJ419" s="744"/>
      <c r="AK419" s="744"/>
      <c r="AL419" s="744"/>
      <c r="AM419" s="744"/>
    </row>
    <row r="420" spans="3:39" x14ac:dyDescent="0.25">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c r="AA420" s="744"/>
      <c r="AB420" s="744"/>
      <c r="AC420" s="744"/>
      <c r="AD420" s="744"/>
      <c r="AE420" s="744"/>
      <c r="AF420" s="744"/>
      <c r="AG420" s="744"/>
      <c r="AH420" s="744"/>
      <c r="AI420" s="744"/>
      <c r="AJ420" s="744"/>
      <c r="AK420" s="744"/>
      <c r="AL420" s="744"/>
      <c r="AM420" s="744"/>
    </row>
    <row r="421" spans="3:39" x14ac:dyDescent="0.25">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c r="AA421" s="744"/>
      <c r="AB421" s="744"/>
      <c r="AC421" s="744"/>
      <c r="AD421" s="744"/>
      <c r="AE421" s="744"/>
      <c r="AF421" s="744"/>
      <c r="AG421" s="744"/>
      <c r="AH421" s="744"/>
      <c r="AI421" s="744"/>
      <c r="AJ421" s="744"/>
      <c r="AK421" s="744"/>
      <c r="AL421" s="744"/>
      <c r="AM421" s="744"/>
    </row>
    <row r="422" spans="3:39" x14ac:dyDescent="0.25">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c r="AA422" s="744"/>
      <c r="AB422" s="744"/>
      <c r="AC422" s="744"/>
      <c r="AD422" s="744"/>
      <c r="AE422" s="744"/>
      <c r="AF422" s="744"/>
      <c r="AG422" s="744"/>
      <c r="AH422" s="744"/>
      <c r="AI422" s="744"/>
      <c r="AJ422" s="744"/>
      <c r="AK422" s="744"/>
      <c r="AL422" s="744"/>
      <c r="AM422" s="744"/>
    </row>
    <row r="423" spans="3:39" x14ac:dyDescent="0.25">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c r="AA423" s="744"/>
      <c r="AB423" s="744"/>
      <c r="AC423" s="744"/>
      <c r="AD423" s="744"/>
      <c r="AE423" s="744"/>
      <c r="AF423" s="744"/>
      <c r="AG423" s="744"/>
      <c r="AH423" s="744"/>
      <c r="AI423" s="744"/>
      <c r="AJ423" s="744"/>
      <c r="AK423" s="744"/>
      <c r="AL423" s="744"/>
      <c r="AM423" s="744"/>
    </row>
    <row r="424" spans="3:39" x14ac:dyDescent="0.25">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c r="AA424" s="744"/>
      <c r="AB424" s="744"/>
      <c r="AC424" s="744"/>
      <c r="AD424" s="744"/>
      <c r="AE424" s="744"/>
      <c r="AF424" s="744"/>
      <c r="AG424" s="744"/>
      <c r="AH424" s="744"/>
      <c r="AI424" s="744"/>
      <c r="AJ424" s="744"/>
      <c r="AK424" s="744"/>
      <c r="AL424" s="744"/>
      <c r="AM424" s="744"/>
    </row>
    <row r="425" spans="3:39" x14ac:dyDescent="0.25">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c r="AA425" s="744"/>
      <c r="AB425" s="744"/>
      <c r="AC425" s="744"/>
      <c r="AD425" s="744"/>
      <c r="AE425" s="744"/>
      <c r="AF425" s="744"/>
      <c r="AG425" s="744"/>
      <c r="AH425" s="744"/>
      <c r="AI425" s="744"/>
      <c r="AJ425" s="744"/>
      <c r="AK425" s="744"/>
      <c r="AL425" s="744"/>
      <c r="AM425" s="744"/>
    </row>
    <row r="426" spans="3:39" x14ac:dyDescent="0.25">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c r="AA426" s="744"/>
      <c r="AB426" s="744"/>
      <c r="AC426" s="744"/>
      <c r="AD426" s="744"/>
      <c r="AE426" s="744"/>
      <c r="AF426" s="744"/>
      <c r="AG426" s="744"/>
      <c r="AH426" s="744"/>
      <c r="AI426" s="744"/>
      <c r="AJ426" s="744"/>
      <c r="AK426" s="744"/>
      <c r="AL426" s="744"/>
      <c r="AM426" s="744"/>
    </row>
    <row r="427" spans="3:39" x14ac:dyDescent="0.25">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c r="AA427" s="744"/>
      <c r="AB427" s="744"/>
      <c r="AC427" s="744"/>
      <c r="AD427" s="744"/>
      <c r="AE427" s="744"/>
      <c r="AF427" s="744"/>
      <c r="AG427" s="744"/>
      <c r="AH427" s="744"/>
      <c r="AI427" s="744"/>
      <c r="AJ427" s="744"/>
      <c r="AK427" s="744"/>
      <c r="AL427" s="744"/>
      <c r="AM427" s="744"/>
    </row>
    <row r="428" spans="3:39" x14ac:dyDescent="0.25">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c r="AA428" s="744"/>
      <c r="AB428" s="744"/>
      <c r="AC428" s="744"/>
      <c r="AD428" s="744"/>
      <c r="AE428" s="744"/>
      <c r="AF428" s="744"/>
      <c r="AG428" s="744"/>
      <c r="AH428" s="744"/>
      <c r="AI428" s="744"/>
      <c r="AJ428" s="744"/>
      <c r="AK428" s="744"/>
      <c r="AL428" s="744"/>
      <c r="AM428" s="744"/>
    </row>
    <row r="429" spans="3:39" x14ac:dyDescent="0.25">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c r="AA429" s="744"/>
      <c r="AB429" s="744"/>
      <c r="AC429" s="744"/>
      <c r="AD429" s="744"/>
      <c r="AE429" s="744"/>
      <c r="AF429" s="744"/>
      <c r="AG429" s="744"/>
      <c r="AH429" s="744"/>
      <c r="AI429" s="744"/>
      <c r="AJ429" s="744"/>
      <c r="AK429" s="744"/>
      <c r="AL429" s="744"/>
      <c r="AM429" s="744"/>
    </row>
    <row r="430" spans="3:39" x14ac:dyDescent="0.25">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c r="AA430" s="744"/>
      <c r="AB430" s="744"/>
      <c r="AC430" s="744"/>
      <c r="AD430" s="744"/>
      <c r="AE430" s="744"/>
      <c r="AF430" s="744"/>
      <c r="AG430" s="744"/>
      <c r="AH430" s="744"/>
      <c r="AI430" s="744"/>
      <c r="AJ430" s="744"/>
      <c r="AK430" s="744"/>
      <c r="AL430" s="744"/>
      <c r="AM430" s="744"/>
    </row>
    <row r="431" spans="3:39" x14ac:dyDescent="0.25">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c r="AA431" s="744"/>
      <c r="AB431" s="744"/>
      <c r="AC431" s="744"/>
      <c r="AD431" s="744"/>
      <c r="AE431" s="744"/>
      <c r="AF431" s="744"/>
      <c r="AG431" s="744"/>
      <c r="AH431" s="744"/>
      <c r="AI431" s="744"/>
      <c r="AJ431" s="744"/>
      <c r="AK431" s="744"/>
      <c r="AL431" s="744"/>
      <c r="AM431" s="744"/>
    </row>
    <row r="432" spans="3:39" x14ac:dyDescent="0.25">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c r="AA432" s="744"/>
      <c r="AB432" s="744"/>
      <c r="AC432" s="744"/>
      <c r="AD432" s="744"/>
      <c r="AE432" s="744"/>
      <c r="AF432" s="744"/>
      <c r="AG432" s="744"/>
      <c r="AH432" s="744"/>
      <c r="AI432" s="744"/>
      <c r="AJ432" s="744"/>
      <c r="AK432" s="744"/>
      <c r="AL432" s="744"/>
      <c r="AM432" s="744"/>
    </row>
    <row r="433" spans="3:39" x14ac:dyDescent="0.25">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c r="AA433" s="744"/>
      <c r="AB433" s="744"/>
      <c r="AC433" s="744"/>
      <c r="AD433" s="744"/>
      <c r="AE433" s="744"/>
      <c r="AF433" s="744"/>
      <c r="AG433" s="744"/>
      <c r="AH433" s="744"/>
      <c r="AI433" s="744"/>
      <c r="AJ433" s="744"/>
      <c r="AK433" s="744"/>
      <c r="AL433" s="744"/>
      <c r="AM433" s="744"/>
    </row>
    <row r="434" spans="3:39" x14ac:dyDescent="0.25">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c r="AA434" s="744"/>
      <c r="AB434" s="744"/>
      <c r="AC434" s="744"/>
      <c r="AD434" s="744"/>
      <c r="AE434" s="744"/>
      <c r="AF434" s="744"/>
      <c r="AG434" s="744"/>
      <c r="AH434" s="744"/>
      <c r="AI434" s="744"/>
      <c r="AJ434" s="744"/>
      <c r="AK434" s="744"/>
      <c r="AL434" s="744"/>
      <c r="AM434" s="744"/>
    </row>
    <row r="435" spans="3:39" x14ac:dyDescent="0.25">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c r="AA435" s="744"/>
      <c r="AB435" s="744"/>
      <c r="AC435" s="744"/>
      <c r="AD435" s="744"/>
      <c r="AE435" s="744"/>
      <c r="AF435" s="744"/>
      <c r="AG435" s="744"/>
      <c r="AH435" s="744"/>
      <c r="AI435" s="744"/>
      <c r="AJ435" s="744"/>
      <c r="AK435" s="744"/>
      <c r="AL435" s="744"/>
      <c r="AM435" s="744"/>
    </row>
    <row r="436" spans="3:39" x14ac:dyDescent="0.25">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c r="AA436" s="744"/>
      <c r="AB436" s="744"/>
      <c r="AC436" s="744"/>
      <c r="AD436" s="744"/>
      <c r="AE436" s="744"/>
      <c r="AF436" s="744"/>
      <c r="AG436" s="744"/>
      <c r="AH436" s="744"/>
      <c r="AI436" s="744"/>
      <c r="AJ436" s="744"/>
      <c r="AK436" s="744"/>
      <c r="AL436" s="744"/>
      <c r="AM436" s="744"/>
    </row>
    <row r="437" spans="3:39" x14ac:dyDescent="0.25">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c r="AA437" s="744"/>
      <c r="AB437" s="744"/>
      <c r="AC437" s="744"/>
      <c r="AD437" s="744"/>
      <c r="AE437" s="744"/>
      <c r="AF437" s="744"/>
      <c r="AG437" s="744"/>
      <c r="AH437" s="744"/>
      <c r="AI437" s="744"/>
      <c r="AJ437" s="744"/>
      <c r="AK437" s="744"/>
      <c r="AL437" s="744"/>
      <c r="AM437" s="744"/>
    </row>
    <row r="438" spans="3:39" x14ac:dyDescent="0.25">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c r="AA438" s="744"/>
      <c r="AB438" s="744"/>
      <c r="AC438" s="744"/>
      <c r="AD438" s="744"/>
      <c r="AE438" s="744"/>
      <c r="AF438" s="744"/>
      <c r="AG438" s="744"/>
      <c r="AH438" s="744"/>
      <c r="AI438" s="744"/>
      <c r="AJ438" s="744"/>
      <c r="AK438" s="744"/>
      <c r="AL438" s="744"/>
      <c r="AM438" s="744"/>
    </row>
    <row r="439" spans="3:39" x14ac:dyDescent="0.25">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c r="AA439" s="744"/>
      <c r="AB439" s="744"/>
      <c r="AC439" s="744"/>
      <c r="AD439" s="744"/>
      <c r="AE439" s="744"/>
      <c r="AF439" s="744"/>
      <c r="AG439" s="744"/>
      <c r="AH439" s="744"/>
      <c r="AI439" s="744"/>
      <c r="AJ439" s="744"/>
      <c r="AK439" s="744"/>
      <c r="AL439" s="744"/>
      <c r="AM439" s="744"/>
    </row>
    <row r="440" spans="3:39" x14ac:dyDescent="0.25">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c r="AA440" s="744"/>
      <c r="AB440" s="744"/>
      <c r="AC440" s="744"/>
      <c r="AD440" s="744"/>
      <c r="AE440" s="744"/>
      <c r="AF440" s="744"/>
      <c r="AG440" s="744"/>
      <c r="AH440" s="744"/>
      <c r="AI440" s="744"/>
      <c r="AJ440" s="744"/>
      <c r="AK440" s="744"/>
      <c r="AL440" s="744"/>
      <c r="AM440" s="744"/>
    </row>
    <row r="441" spans="3:39" x14ac:dyDescent="0.25">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c r="AA441" s="744"/>
      <c r="AB441" s="744"/>
      <c r="AC441" s="744"/>
      <c r="AD441" s="744"/>
      <c r="AE441" s="744"/>
      <c r="AF441" s="744"/>
      <c r="AG441" s="744"/>
      <c r="AH441" s="744"/>
      <c r="AI441" s="744"/>
      <c r="AJ441" s="744"/>
      <c r="AK441" s="744"/>
      <c r="AL441" s="744"/>
      <c r="AM441" s="744"/>
    </row>
    <row r="442" spans="3:39" x14ac:dyDescent="0.25">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c r="AA442" s="744"/>
      <c r="AB442" s="744"/>
      <c r="AC442" s="744"/>
      <c r="AD442" s="744"/>
      <c r="AE442" s="744"/>
      <c r="AF442" s="744"/>
      <c r="AG442" s="744"/>
      <c r="AH442" s="744"/>
      <c r="AI442" s="744"/>
      <c r="AJ442" s="744"/>
      <c r="AK442" s="744"/>
      <c r="AL442" s="744"/>
      <c r="AM442" s="744"/>
    </row>
    <row r="443" spans="3:39" x14ac:dyDescent="0.25">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c r="AA443" s="744"/>
      <c r="AB443" s="744"/>
      <c r="AC443" s="744"/>
      <c r="AD443" s="744"/>
      <c r="AE443" s="744"/>
      <c r="AF443" s="744"/>
      <c r="AG443" s="744"/>
      <c r="AH443" s="744"/>
      <c r="AI443" s="744"/>
      <c r="AJ443" s="744"/>
      <c r="AK443" s="744"/>
      <c r="AL443" s="744"/>
      <c r="AM443" s="744"/>
    </row>
    <row r="444" spans="3:39" x14ac:dyDescent="0.25">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c r="AA444" s="744"/>
      <c r="AB444" s="744"/>
      <c r="AC444" s="744"/>
      <c r="AD444" s="744"/>
      <c r="AE444" s="744"/>
      <c r="AF444" s="744"/>
      <c r="AG444" s="744"/>
      <c r="AH444" s="744"/>
      <c r="AI444" s="744"/>
      <c r="AJ444" s="744"/>
      <c r="AK444" s="744"/>
      <c r="AL444" s="744"/>
      <c r="AM444" s="744"/>
    </row>
    <row r="445" spans="3:39" x14ac:dyDescent="0.25">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c r="AA445" s="744"/>
      <c r="AB445" s="744"/>
      <c r="AC445" s="744"/>
      <c r="AD445" s="744"/>
      <c r="AE445" s="744"/>
      <c r="AF445" s="744"/>
      <c r="AG445" s="744"/>
      <c r="AH445" s="744"/>
      <c r="AI445" s="744"/>
      <c r="AJ445" s="744"/>
      <c r="AK445" s="744"/>
      <c r="AL445" s="744"/>
      <c r="AM445" s="744"/>
    </row>
    <row r="446" spans="3:39" x14ac:dyDescent="0.25">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c r="AA446" s="744"/>
      <c r="AB446" s="744"/>
      <c r="AC446" s="744"/>
      <c r="AD446" s="744"/>
      <c r="AE446" s="744"/>
      <c r="AF446" s="744"/>
      <c r="AG446" s="744"/>
      <c r="AH446" s="744"/>
      <c r="AI446" s="744"/>
      <c r="AJ446" s="744"/>
      <c r="AK446" s="744"/>
      <c r="AL446" s="744"/>
      <c r="AM446" s="744"/>
    </row>
    <row r="447" spans="3:39" x14ac:dyDescent="0.25">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c r="AA447" s="744"/>
      <c r="AB447" s="744"/>
      <c r="AC447" s="744"/>
      <c r="AD447" s="744"/>
      <c r="AE447" s="744"/>
      <c r="AF447" s="744"/>
      <c r="AG447" s="744"/>
      <c r="AH447" s="744"/>
      <c r="AI447" s="744"/>
      <c r="AJ447" s="744"/>
      <c r="AK447" s="744"/>
      <c r="AL447" s="744"/>
      <c r="AM447" s="744"/>
    </row>
    <row r="448" spans="3:39" x14ac:dyDescent="0.25">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c r="AA448" s="744"/>
      <c r="AB448" s="744"/>
      <c r="AC448" s="744"/>
      <c r="AD448" s="744"/>
      <c r="AE448" s="744"/>
      <c r="AF448" s="744"/>
      <c r="AG448" s="744"/>
      <c r="AH448" s="744"/>
      <c r="AI448" s="744"/>
      <c r="AJ448" s="744"/>
      <c r="AK448" s="744"/>
      <c r="AL448" s="744"/>
      <c r="AM448" s="744"/>
    </row>
    <row r="449" spans="3:39" x14ac:dyDescent="0.25">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c r="AA449" s="744"/>
      <c r="AB449" s="744"/>
      <c r="AC449" s="744"/>
      <c r="AD449" s="744"/>
      <c r="AE449" s="744"/>
      <c r="AF449" s="744"/>
      <c r="AG449" s="744"/>
      <c r="AH449" s="744"/>
      <c r="AI449" s="744"/>
      <c r="AJ449" s="744"/>
      <c r="AK449" s="744"/>
      <c r="AL449" s="744"/>
      <c r="AM449" s="744"/>
    </row>
    <row r="450" spans="3:39" x14ac:dyDescent="0.25">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c r="AA450" s="744"/>
      <c r="AB450" s="744"/>
      <c r="AC450" s="744"/>
      <c r="AD450" s="744"/>
      <c r="AE450" s="744"/>
      <c r="AF450" s="744"/>
      <c r="AG450" s="744"/>
      <c r="AH450" s="744"/>
      <c r="AI450" s="744"/>
      <c r="AJ450" s="744"/>
      <c r="AK450" s="744"/>
      <c r="AL450" s="744"/>
      <c r="AM450" s="744"/>
    </row>
    <row r="451" spans="3:39" x14ac:dyDescent="0.25">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c r="AA451" s="744"/>
      <c r="AB451" s="744"/>
      <c r="AC451" s="744"/>
      <c r="AD451" s="744"/>
      <c r="AE451" s="744"/>
      <c r="AF451" s="744"/>
      <c r="AG451" s="744"/>
      <c r="AH451" s="744"/>
      <c r="AI451" s="744"/>
      <c r="AJ451" s="744"/>
      <c r="AK451" s="744"/>
      <c r="AL451" s="744"/>
      <c r="AM451" s="744"/>
    </row>
    <row r="452" spans="3:39" x14ac:dyDescent="0.25">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c r="AA452" s="744"/>
      <c r="AB452" s="744"/>
      <c r="AC452" s="744"/>
      <c r="AD452" s="744"/>
      <c r="AE452" s="744"/>
      <c r="AF452" s="744"/>
      <c r="AG452" s="744"/>
      <c r="AH452" s="744"/>
      <c r="AI452" s="744"/>
      <c r="AJ452" s="744"/>
      <c r="AK452" s="744"/>
      <c r="AL452" s="744"/>
      <c r="AM452" s="744"/>
    </row>
    <row r="453" spans="3:39" x14ac:dyDescent="0.25">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c r="AA453" s="744"/>
      <c r="AB453" s="744"/>
      <c r="AC453" s="744"/>
      <c r="AD453" s="744"/>
      <c r="AE453" s="744"/>
      <c r="AF453" s="744"/>
      <c r="AG453" s="744"/>
      <c r="AH453" s="744"/>
      <c r="AI453" s="744"/>
      <c r="AJ453" s="744"/>
      <c r="AK453" s="744"/>
      <c r="AL453" s="744"/>
      <c r="AM453" s="744"/>
    </row>
    <row r="454" spans="3:39" x14ac:dyDescent="0.25">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c r="AA454" s="744"/>
      <c r="AB454" s="744"/>
      <c r="AC454" s="744"/>
      <c r="AD454" s="744"/>
      <c r="AE454" s="744"/>
      <c r="AF454" s="744"/>
      <c r="AG454" s="744"/>
      <c r="AH454" s="744"/>
      <c r="AI454" s="744"/>
      <c r="AJ454" s="744"/>
      <c r="AK454" s="744"/>
      <c r="AL454" s="744"/>
      <c r="AM454" s="744"/>
    </row>
    <row r="455" spans="3:39" x14ac:dyDescent="0.25">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c r="AA455" s="744"/>
      <c r="AB455" s="744"/>
      <c r="AC455" s="744"/>
      <c r="AD455" s="744"/>
      <c r="AE455" s="744"/>
      <c r="AF455" s="744"/>
      <c r="AG455" s="744"/>
      <c r="AH455" s="744"/>
      <c r="AI455" s="744"/>
      <c r="AJ455" s="744"/>
      <c r="AK455" s="744"/>
      <c r="AL455" s="744"/>
      <c r="AM455" s="744"/>
    </row>
    <row r="456" spans="3:39" x14ac:dyDescent="0.25">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c r="AA456" s="744"/>
      <c r="AB456" s="744"/>
      <c r="AC456" s="744"/>
      <c r="AD456" s="744"/>
      <c r="AE456" s="744"/>
      <c r="AF456" s="744"/>
      <c r="AG456" s="744"/>
      <c r="AH456" s="744"/>
      <c r="AI456" s="744"/>
      <c r="AJ456" s="744"/>
      <c r="AK456" s="744"/>
      <c r="AL456" s="744"/>
      <c r="AM456" s="744"/>
    </row>
    <row r="457" spans="3:39" x14ac:dyDescent="0.25">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c r="AA457" s="744"/>
      <c r="AB457" s="744"/>
      <c r="AC457" s="744"/>
      <c r="AD457" s="744"/>
      <c r="AE457" s="744"/>
      <c r="AF457" s="744"/>
      <c r="AG457" s="744"/>
      <c r="AH457" s="744"/>
      <c r="AI457" s="744"/>
      <c r="AJ457" s="744"/>
      <c r="AK457" s="744"/>
      <c r="AL457" s="744"/>
      <c r="AM457" s="744"/>
    </row>
    <row r="458" spans="3:39" x14ac:dyDescent="0.25">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c r="AA458" s="744"/>
      <c r="AB458" s="744"/>
      <c r="AC458" s="744"/>
      <c r="AD458" s="744"/>
      <c r="AE458" s="744"/>
      <c r="AF458" s="744"/>
      <c r="AG458" s="744"/>
      <c r="AH458" s="744"/>
      <c r="AI458" s="744"/>
      <c r="AJ458" s="744"/>
      <c r="AK458" s="744"/>
      <c r="AL458" s="744"/>
      <c r="AM458" s="744"/>
    </row>
    <row r="459" spans="3:39" x14ac:dyDescent="0.25">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c r="AA459" s="744"/>
      <c r="AB459" s="744"/>
      <c r="AC459" s="744"/>
      <c r="AD459" s="744"/>
      <c r="AE459" s="744"/>
      <c r="AF459" s="744"/>
      <c r="AG459" s="744"/>
      <c r="AH459" s="744"/>
      <c r="AI459" s="744"/>
      <c r="AJ459" s="744"/>
      <c r="AK459" s="744"/>
      <c r="AL459" s="744"/>
      <c r="AM459" s="744"/>
    </row>
    <row r="460" spans="3:39" x14ac:dyDescent="0.25">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c r="AA460" s="744"/>
      <c r="AB460" s="744"/>
      <c r="AC460" s="744"/>
      <c r="AD460" s="744"/>
      <c r="AE460" s="744"/>
      <c r="AF460" s="744"/>
      <c r="AG460" s="744"/>
      <c r="AH460" s="744"/>
      <c r="AI460" s="744"/>
      <c r="AJ460" s="744"/>
      <c r="AK460" s="744"/>
      <c r="AL460" s="744"/>
      <c r="AM460" s="744"/>
    </row>
    <row r="461" spans="3:39" x14ac:dyDescent="0.25">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c r="AA461" s="744"/>
      <c r="AB461" s="744"/>
      <c r="AC461" s="744"/>
      <c r="AD461" s="744"/>
      <c r="AE461" s="744"/>
      <c r="AF461" s="744"/>
      <c r="AG461" s="744"/>
      <c r="AH461" s="744"/>
      <c r="AI461" s="744"/>
      <c r="AJ461" s="744"/>
      <c r="AK461" s="744"/>
      <c r="AL461" s="744"/>
      <c r="AM461" s="744"/>
    </row>
    <row r="462" spans="3:39" x14ac:dyDescent="0.25">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c r="AA462" s="744"/>
      <c r="AB462" s="744"/>
      <c r="AC462" s="744"/>
      <c r="AD462" s="744"/>
      <c r="AE462" s="744"/>
      <c r="AF462" s="744"/>
      <c r="AG462" s="744"/>
      <c r="AH462" s="744"/>
      <c r="AI462" s="744"/>
      <c r="AJ462" s="744"/>
      <c r="AK462" s="744"/>
      <c r="AL462" s="744"/>
      <c r="AM462" s="744"/>
    </row>
    <row r="463" spans="3:39" x14ac:dyDescent="0.25">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c r="AA463" s="744"/>
      <c r="AB463" s="744"/>
      <c r="AC463" s="744"/>
      <c r="AD463" s="744"/>
      <c r="AE463" s="744"/>
      <c r="AF463" s="744"/>
      <c r="AG463" s="744"/>
      <c r="AH463" s="744"/>
      <c r="AI463" s="744"/>
      <c r="AJ463" s="744"/>
      <c r="AK463" s="744"/>
      <c r="AL463" s="744"/>
      <c r="AM463" s="744"/>
    </row>
    <row r="464" spans="3:39" x14ac:dyDescent="0.25">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c r="AA464" s="744"/>
      <c r="AB464" s="744"/>
      <c r="AC464" s="744"/>
      <c r="AD464" s="744"/>
      <c r="AE464" s="744"/>
      <c r="AF464" s="744"/>
      <c r="AG464" s="744"/>
      <c r="AH464" s="744"/>
      <c r="AI464" s="744"/>
      <c r="AJ464" s="744"/>
      <c r="AK464" s="744"/>
      <c r="AL464" s="744"/>
      <c r="AM464" s="744"/>
    </row>
    <row r="465" spans="3:39" x14ac:dyDescent="0.25">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c r="AA465" s="744"/>
      <c r="AB465" s="744"/>
      <c r="AC465" s="744"/>
      <c r="AD465" s="744"/>
      <c r="AE465" s="744"/>
      <c r="AF465" s="744"/>
      <c r="AG465" s="744"/>
      <c r="AH465" s="744"/>
      <c r="AI465" s="744"/>
      <c r="AJ465" s="744"/>
      <c r="AK465" s="744"/>
      <c r="AL465" s="744"/>
      <c r="AM465" s="744"/>
    </row>
    <row r="466" spans="3:39" x14ac:dyDescent="0.25">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c r="AA466" s="744"/>
      <c r="AB466" s="744"/>
      <c r="AC466" s="744"/>
      <c r="AD466" s="744"/>
      <c r="AE466" s="744"/>
      <c r="AF466" s="744"/>
      <c r="AG466" s="744"/>
      <c r="AH466" s="744"/>
      <c r="AI466" s="744"/>
      <c r="AJ466" s="744"/>
      <c r="AK466" s="744"/>
      <c r="AL466" s="744"/>
      <c r="AM466" s="744"/>
    </row>
    <row r="467" spans="3:39" x14ac:dyDescent="0.25">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c r="AA467" s="744"/>
      <c r="AB467" s="744"/>
      <c r="AC467" s="744"/>
      <c r="AD467" s="744"/>
      <c r="AE467" s="744"/>
      <c r="AF467" s="744"/>
      <c r="AG467" s="744"/>
      <c r="AH467" s="744"/>
      <c r="AI467" s="744"/>
      <c r="AJ467" s="744"/>
      <c r="AK467" s="744"/>
      <c r="AL467" s="744"/>
      <c r="AM467" s="744"/>
    </row>
    <row r="468" spans="3:39" x14ac:dyDescent="0.25">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c r="AA468" s="744"/>
      <c r="AB468" s="744"/>
      <c r="AC468" s="744"/>
      <c r="AD468" s="744"/>
      <c r="AE468" s="744"/>
      <c r="AF468" s="744"/>
      <c r="AG468" s="744"/>
      <c r="AH468" s="744"/>
      <c r="AI468" s="744"/>
      <c r="AJ468" s="744"/>
      <c r="AK468" s="744"/>
      <c r="AL468" s="744"/>
      <c r="AM468" s="744"/>
    </row>
    <row r="469" spans="3:39" x14ac:dyDescent="0.25">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c r="AA469" s="744"/>
      <c r="AB469" s="744"/>
      <c r="AC469" s="744"/>
      <c r="AD469" s="744"/>
      <c r="AE469" s="744"/>
      <c r="AF469" s="744"/>
      <c r="AG469" s="744"/>
      <c r="AH469" s="744"/>
      <c r="AI469" s="744"/>
      <c r="AJ469" s="744"/>
      <c r="AK469" s="744"/>
      <c r="AL469" s="744"/>
      <c r="AM469" s="744"/>
    </row>
    <row r="470" spans="3:39" x14ac:dyDescent="0.25">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c r="AA470" s="744"/>
      <c r="AB470" s="744"/>
      <c r="AC470" s="744"/>
      <c r="AD470" s="744"/>
      <c r="AE470" s="744"/>
      <c r="AF470" s="744"/>
      <c r="AG470" s="744"/>
      <c r="AH470" s="744"/>
      <c r="AI470" s="744"/>
      <c r="AJ470" s="744"/>
      <c r="AK470" s="744"/>
      <c r="AL470" s="744"/>
      <c r="AM470" s="744"/>
    </row>
    <row r="471" spans="3:39" x14ac:dyDescent="0.25">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c r="AA471" s="744"/>
      <c r="AB471" s="744"/>
      <c r="AC471" s="744"/>
      <c r="AD471" s="744"/>
      <c r="AE471" s="744"/>
      <c r="AF471" s="744"/>
      <c r="AG471" s="744"/>
      <c r="AH471" s="744"/>
      <c r="AI471" s="744"/>
      <c r="AJ471" s="744"/>
      <c r="AK471" s="744"/>
      <c r="AL471" s="744"/>
      <c r="AM471" s="744"/>
    </row>
    <row r="472" spans="3:39" x14ac:dyDescent="0.25">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c r="AA472" s="744"/>
      <c r="AB472" s="744"/>
      <c r="AC472" s="744"/>
      <c r="AD472" s="744"/>
      <c r="AE472" s="744"/>
      <c r="AF472" s="744"/>
      <c r="AG472" s="744"/>
      <c r="AH472" s="744"/>
      <c r="AI472" s="744"/>
      <c r="AJ472" s="744"/>
      <c r="AK472" s="744"/>
      <c r="AL472" s="744"/>
      <c r="AM472" s="744"/>
    </row>
    <row r="473" spans="3:39" x14ac:dyDescent="0.25">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c r="AA473" s="744"/>
      <c r="AB473" s="744"/>
      <c r="AC473" s="744"/>
      <c r="AD473" s="744"/>
      <c r="AE473" s="744"/>
      <c r="AF473" s="744"/>
      <c r="AG473" s="744"/>
      <c r="AH473" s="744"/>
      <c r="AI473" s="744"/>
      <c r="AJ473" s="744"/>
      <c r="AK473" s="744"/>
      <c r="AL473" s="744"/>
      <c r="AM473" s="744"/>
    </row>
    <row r="474" spans="3:39" x14ac:dyDescent="0.25">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c r="AA474" s="744"/>
      <c r="AB474" s="744"/>
      <c r="AC474" s="744"/>
      <c r="AD474" s="744"/>
      <c r="AE474" s="744"/>
      <c r="AF474" s="744"/>
      <c r="AG474" s="744"/>
      <c r="AH474" s="744"/>
      <c r="AI474" s="744"/>
      <c r="AJ474" s="744"/>
      <c r="AK474" s="744"/>
      <c r="AL474" s="744"/>
      <c r="AM474" s="744"/>
    </row>
    <row r="475" spans="3:39" x14ac:dyDescent="0.25">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c r="AA475" s="744"/>
      <c r="AB475" s="744"/>
      <c r="AC475" s="744"/>
      <c r="AD475" s="744"/>
      <c r="AE475" s="744"/>
      <c r="AF475" s="744"/>
      <c r="AG475" s="744"/>
      <c r="AH475" s="744"/>
      <c r="AI475" s="744"/>
      <c r="AJ475" s="744"/>
      <c r="AK475" s="744"/>
      <c r="AL475" s="744"/>
      <c r="AM475" s="744"/>
    </row>
    <row r="476" spans="3:39" x14ac:dyDescent="0.25">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c r="AA476" s="744"/>
      <c r="AB476" s="744"/>
      <c r="AC476" s="744"/>
      <c r="AD476" s="744"/>
      <c r="AE476" s="744"/>
      <c r="AF476" s="744"/>
      <c r="AG476" s="744"/>
      <c r="AH476" s="744"/>
      <c r="AI476" s="744"/>
      <c r="AJ476" s="744"/>
      <c r="AK476" s="744"/>
      <c r="AL476" s="744"/>
      <c r="AM476" s="744"/>
    </row>
    <row r="477" spans="3:39" x14ac:dyDescent="0.25">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c r="AA477" s="744"/>
      <c r="AB477" s="744"/>
      <c r="AC477" s="744"/>
      <c r="AD477" s="744"/>
      <c r="AE477" s="744"/>
      <c r="AF477" s="744"/>
      <c r="AG477" s="744"/>
      <c r="AH477" s="744"/>
      <c r="AI477" s="744"/>
      <c r="AJ477" s="744"/>
      <c r="AK477" s="744"/>
      <c r="AL477" s="744"/>
      <c r="AM477" s="744"/>
    </row>
    <row r="478" spans="3:39" x14ac:dyDescent="0.25">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c r="AA478" s="744"/>
      <c r="AB478" s="744"/>
      <c r="AC478" s="744"/>
      <c r="AD478" s="744"/>
      <c r="AE478" s="744"/>
      <c r="AF478" s="744"/>
      <c r="AG478" s="744"/>
      <c r="AH478" s="744"/>
      <c r="AI478" s="744"/>
      <c r="AJ478" s="744"/>
      <c r="AK478" s="744"/>
      <c r="AL478" s="744"/>
      <c r="AM478" s="744"/>
    </row>
    <row r="479" spans="3:39" x14ac:dyDescent="0.25">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c r="AA479" s="744"/>
      <c r="AB479" s="744"/>
      <c r="AC479" s="744"/>
      <c r="AD479" s="744"/>
      <c r="AE479" s="744"/>
      <c r="AF479" s="744"/>
      <c r="AG479" s="744"/>
      <c r="AH479" s="744"/>
      <c r="AI479" s="744"/>
      <c r="AJ479" s="744"/>
      <c r="AK479" s="744"/>
      <c r="AL479" s="744"/>
      <c r="AM479" s="744"/>
    </row>
    <row r="480" spans="3:39" x14ac:dyDescent="0.25">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c r="AA480" s="744"/>
      <c r="AB480" s="744"/>
      <c r="AC480" s="744"/>
      <c r="AD480" s="744"/>
      <c r="AE480" s="744"/>
      <c r="AF480" s="744"/>
      <c r="AG480" s="744"/>
      <c r="AH480" s="744"/>
      <c r="AI480" s="744"/>
      <c r="AJ480" s="744"/>
      <c r="AK480" s="744"/>
      <c r="AL480" s="744"/>
      <c r="AM480" s="744"/>
    </row>
    <row r="481" spans="3:39" x14ac:dyDescent="0.25">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c r="AA481" s="744"/>
      <c r="AB481" s="744"/>
      <c r="AC481" s="744"/>
      <c r="AD481" s="744"/>
      <c r="AE481" s="744"/>
      <c r="AF481" s="744"/>
      <c r="AG481" s="744"/>
      <c r="AH481" s="744"/>
      <c r="AI481" s="744"/>
      <c r="AJ481" s="744"/>
      <c r="AK481" s="744"/>
      <c r="AL481" s="744"/>
      <c r="AM481" s="744"/>
    </row>
    <row r="482" spans="3:39" x14ac:dyDescent="0.25">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c r="AA482" s="744"/>
      <c r="AB482" s="744"/>
      <c r="AC482" s="744"/>
      <c r="AD482" s="744"/>
      <c r="AE482" s="744"/>
      <c r="AF482" s="744"/>
      <c r="AG482" s="744"/>
      <c r="AH482" s="744"/>
      <c r="AI482" s="744"/>
      <c r="AJ482" s="744"/>
      <c r="AK482" s="744"/>
      <c r="AL482" s="744"/>
      <c r="AM482" s="744"/>
    </row>
    <row r="483" spans="3:39" x14ac:dyDescent="0.25">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c r="AA483" s="744"/>
      <c r="AB483" s="744"/>
      <c r="AC483" s="744"/>
      <c r="AD483" s="744"/>
      <c r="AE483" s="744"/>
      <c r="AF483" s="744"/>
      <c r="AG483" s="744"/>
      <c r="AH483" s="744"/>
      <c r="AI483" s="744"/>
      <c r="AJ483" s="744"/>
      <c r="AK483" s="744"/>
      <c r="AL483" s="744"/>
      <c r="AM483" s="744"/>
    </row>
    <row r="484" spans="3:39" x14ac:dyDescent="0.25">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c r="AA484" s="744"/>
      <c r="AB484" s="744"/>
      <c r="AC484" s="744"/>
      <c r="AD484" s="744"/>
      <c r="AE484" s="744"/>
      <c r="AF484" s="744"/>
      <c r="AG484" s="744"/>
      <c r="AH484" s="744"/>
      <c r="AI484" s="744"/>
      <c r="AJ484" s="744"/>
      <c r="AK484" s="744"/>
      <c r="AL484" s="744"/>
      <c r="AM484" s="744"/>
    </row>
    <row r="485" spans="3:39" x14ac:dyDescent="0.25">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c r="AA485" s="744"/>
      <c r="AB485" s="744"/>
      <c r="AC485" s="744"/>
      <c r="AD485" s="744"/>
      <c r="AE485" s="744"/>
      <c r="AF485" s="744"/>
      <c r="AG485" s="744"/>
      <c r="AH485" s="744"/>
      <c r="AI485" s="744"/>
      <c r="AJ485" s="744"/>
      <c r="AK485" s="744"/>
      <c r="AL485" s="744"/>
      <c r="AM485" s="744"/>
    </row>
    <row r="486" spans="3:39" x14ac:dyDescent="0.25">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c r="AA486" s="744"/>
      <c r="AB486" s="744"/>
      <c r="AC486" s="744"/>
      <c r="AD486" s="744"/>
      <c r="AE486" s="744"/>
      <c r="AF486" s="744"/>
      <c r="AG486" s="744"/>
      <c r="AH486" s="744"/>
      <c r="AI486" s="744"/>
      <c r="AJ486" s="744"/>
      <c r="AK486" s="744"/>
      <c r="AL486" s="744"/>
      <c r="AM486" s="744"/>
    </row>
    <row r="487" spans="3:39" x14ac:dyDescent="0.25">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c r="AA487" s="744"/>
      <c r="AB487" s="744"/>
      <c r="AC487" s="744"/>
      <c r="AD487" s="744"/>
      <c r="AE487" s="744"/>
      <c r="AF487" s="744"/>
      <c r="AG487" s="744"/>
      <c r="AH487" s="744"/>
      <c r="AI487" s="744"/>
      <c r="AJ487" s="744"/>
      <c r="AK487" s="744"/>
      <c r="AL487" s="744"/>
      <c r="AM487" s="744"/>
    </row>
    <row r="488" spans="3:39" x14ac:dyDescent="0.25">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c r="AA488" s="744"/>
      <c r="AB488" s="744"/>
      <c r="AC488" s="744"/>
      <c r="AD488" s="744"/>
      <c r="AE488" s="744"/>
      <c r="AF488" s="744"/>
      <c r="AG488" s="744"/>
      <c r="AH488" s="744"/>
      <c r="AI488" s="744"/>
      <c r="AJ488" s="744"/>
      <c r="AK488" s="744"/>
      <c r="AL488" s="744"/>
      <c r="AM488" s="744"/>
    </row>
    <row r="489" spans="3:39" x14ac:dyDescent="0.25">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c r="AA489" s="744"/>
      <c r="AB489" s="744"/>
      <c r="AC489" s="744"/>
      <c r="AD489" s="744"/>
      <c r="AE489" s="744"/>
      <c r="AF489" s="744"/>
      <c r="AG489" s="744"/>
      <c r="AH489" s="744"/>
      <c r="AI489" s="744"/>
      <c r="AJ489" s="744"/>
      <c r="AK489" s="744"/>
      <c r="AL489" s="744"/>
      <c r="AM489" s="744"/>
    </row>
    <row r="490" spans="3:39" x14ac:dyDescent="0.25">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c r="AA490" s="744"/>
      <c r="AB490" s="744"/>
      <c r="AC490" s="744"/>
      <c r="AD490" s="744"/>
      <c r="AE490" s="744"/>
      <c r="AF490" s="744"/>
      <c r="AG490" s="744"/>
      <c r="AH490" s="744"/>
      <c r="AI490" s="744"/>
      <c r="AJ490" s="744"/>
      <c r="AK490" s="744"/>
      <c r="AL490" s="744"/>
      <c r="AM490" s="744"/>
    </row>
    <row r="491" spans="3:39" x14ac:dyDescent="0.25">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c r="AA491" s="744"/>
      <c r="AB491" s="744"/>
      <c r="AC491" s="744"/>
      <c r="AD491" s="744"/>
      <c r="AE491" s="744"/>
      <c r="AF491" s="744"/>
      <c r="AG491" s="744"/>
      <c r="AH491" s="744"/>
      <c r="AI491" s="744"/>
      <c r="AJ491" s="744"/>
      <c r="AK491" s="744"/>
      <c r="AL491" s="744"/>
      <c r="AM491" s="744"/>
    </row>
    <row r="492" spans="3:39" x14ac:dyDescent="0.25">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c r="AA492" s="744"/>
      <c r="AB492" s="744"/>
      <c r="AC492" s="744"/>
      <c r="AD492" s="744"/>
      <c r="AE492" s="744"/>
      <c r="AF492" s="744"/>
      <c r="AG492" s="744"/>
      <c r="AH492" s="744"/>
      <c r="AI492" s="744"/>
      <c r="AJ492" s="744"/>
      <c r="AK492" s="744"/>
      <c r="AL492" s="744"/>
      <c r="AM492" s="744"/>
    </row>
    <row r="493" spans="3:39" x14ac:dyDescent="0.25">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c r="AA493" s="744"/>
      <c r="AB493" s="744"/>
      <c r="AC493" s="744"/>
      <c r="AD493" s="744"/>
      <c r="AE493" s="744"/>
      <c r="AF493" s="744"/>
      <c r="AG493" s="744"/>
      <c r="AH493" s="744"/>
      <c r="AI493" s="744"/>
      <c r="AJ493" s="744"/>
      <c r="AK493" s="744"/>
      <c r="AL493" s="744"/>
      <c r="AM493" s="744"/>
    </row>
    <row r="494" spans="3:39" x14ac:dyDescent="0.25">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c r="AA494" s="744"/>
      <c r="AB494" s="744"/>
      <c r="AC494" s="744"/>
      <c r="AD494" s="744"/>
      <c r="AE494" s="744"/>
      <c r="AF494" s="744"/>
      <c r="AG494" s="744"/>
      <c r="AH494" s="744"/>
      <c r="AI494" s="744"/>
      <c r="AJ494" s="744"/>
      <c r="AK494" s="744"/>
      <c r="AL494" s="744"/>
      <c r="AM494" s="744"/>
    </row>
    <row r="495" spans="3:39" x14ac:dyDescent="0.25">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c r="AA495" s="744"/>
      <c r="AB495" s="744"/>
      <c r="AC495" s="744"/>
      <c r="AD495" s="744"/>
      <c r="AE495" s="744"/>
      <c r="AF495" s="744"/>
      <c r="AG495" s="744"/>
      <c r="AH495" s="744"/>
      <c r="AI495" s="744"/>
      <c r="AJ495" s="744"/>
      <c r="AK495" s="744"/>
      <c r="AL495" s="744"/>
      <c r="AM495" s="744"/>
    </row>
    <row r="496" spans="3:39" x14ac:dyDescent="0.25">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c r="AA496" s="744"/>
      <c r="AB496" s="744"/>
      <c r="AC496" s="744"/>
      <c r="AD496" s="744"/>
      <c r="AE496" s="744"/>
      <c r="AF496" s="744"/>
      <c r="AG496" s="744"/>
      <c r="AH496" s="744"/>
      <c r="AI496" s="744"/>
      <c r="AJ496" s="744"/>
      <c r="AK496" s="744"/>
      <c r="AL496" s="744"/>
      <c r="AM496" s="744"/>
    </row>
    <row r="497" spans="3:39" x14ac:dyDescent="0.25">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c r="AA497" s="744"/>
      <c r="AB497" s="744"/>
      <c r="AC497" s="744"/>
      <c r="AD497" s="744"/>
      <c r="AE497" s="744"/>
      <c r="AF497" s="744"/>
      <c r="AG497" s="744"/>
      <c r="AH497" s="744"/>
      <c r="AI497" s="744"/>
      <c r="AJ497" s="744"/>
      <c r="AK497" s="744"/>
      <c r="AL497" s="744"/>
      <c r="AM497" s="744"/>
    </row>
    <row r="498" spans="3:39" x14ac:dyDescent="0.25">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c r="AA498" s="744"/>
      <c r="AB498" s="744"/>
      <c r="AC498" s="744"/>
      <c r="AD498" s="744"/>
      <c r="AE498" s="744"/>
      <c r="AF498" s="744"/>
      <c r="AG498" s="744"/>
      <c r="AH498" s="744"/>
      <c r="AI498" s="744"/>
      <c r="AJ498" s="744"/>
      <c r="AK498" s="744"/>
      <c r="AL498" s="744"/>
      <c r="AM498" s="744"/>
    </row>
    <row r="499" spans="3:39" x14ac:dyDescent="0.25">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c r="AA499" s="744"/>
      <c r="AB499" s="744"/>
      <c r="AC499" s="744"/>
      <c r="AD499" s="744"/>
      <c r="AE499" s="744"/>
      <c r="AF499" s="744"/>
      <c r="AG499" s="744"/>
      <c r="AH499" s="744"/>
      <c r="AI499" s="744"/>
      <c r="AJ499" s="744"/>
      <c r="AK499" s="744"/>
      <c r="AL499" s="744"/>
      <c r="AM499" s="744"/>
    </row>
    <row r="500" spans="3:39" x14ac:dyDescent="0.25">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c r="AA500" s="744"/>
      <c r="AB500" s="744"/>
      <c r="AC500" s="744"/>
      <c r="AD500" s="744"/>
      <c r="AE500" s="744"/>
      <c r="AF500" s="744"/>
      <c r="AG500" s="744"/>
      <c r="AH500" s="744"/>
      <c r="AI500" s="744"/>
      <c r="AJ500" s="744"/>
      <c r="AK500" s="744"/>
      <c r="AL500" s="744"/>
      <c r="AM500" s="744"/>
    </row>
    <row r="501" spans="3:39" x14ac:dyDescent="0.25">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c r="AA501" s="744"/>
      <c r="AB501" s="744"/>
      <c r="AC501" s="744"/>
      <c r="AD501" s="744"/>
      <c r="AE501" s="744"/>
      <c r="AF501" s="744"/>
      <c r="AG501" s="744"/>
      <c r="AH501" s="744"/>
      <c r="AI501" s="744"/>
      <c r="AJ501" s="744"/>
      <c r="AK501" s="744"/>
      <c r="AL501" s="744"/>
      <c r="AM501" s="744"/>
    </row>
    <row r="502" spans="3:39" x14ac:dyDescent="0.25">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c r="AA502" s="744"/>
      <c r="AB502" s="744"/>
      <c r="AC502" s="744"/>
      <c r="AD502" s="744"/>
      <c r="AE502" s="744"/>
      <c r="AF502" s="744"/>
      <c r="AG502" s="744"/>
      <c r="AH502" s="744"/>
      <c r="AI502" s="744"/>
      <c r="AJ502" s="744"/>
      <c r="AK502" s="744"/>
      <c r="AL502" s="744"/>
      <c r="AM502" s="744"/>
    </row>
    <row r="503" spans="3:39" x14ac:dyDescent="0.25">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c r="AA503" s="744"/>
      <c r="AB503" s="744"/>
      <c r="AC503" s="744"/>
      <c r="AD503" s="744"/>
      <c r="AE503" s="744"/>
      <c r="AF503" s="744"/>
      <c r="AG503" s="744"/>
      <c r="AH503" s="744"/>
      <c r="AI503" s="744"/>
      <c r="AJ503" s="744"/>
      <c r="AK503" s="744"/>
      <c r="AL503" s="744"/>
      <c r="AM503" s="744"/>
    </row>
    <row r="504" spans="3:39" x14ac:dyDescent="0.25">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c r="AA504" s="744"/>
      <c r="AB504" s="744"/>
      <c r="AC504" s="744"/>
      <c r="AD504" s="744"/>
      <c r="AE504" s="744"/>
      <c r="AF504" s="744"/>
      <c r="AG504" s="744"/>
      <c r="AH504" s="744"/>
      <c r="AI504" s="744"/>
      <c r="AJ504" s="744"/>
      <c r="AK504" s="744"/>
      <c r="AL504" s="744"/>
      <c r="AM504" s="744"/>
    </row>
    <row r="505" spans="3:39" x14ac:dyDescent="0.25">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c r="AA505" s="744"/>
      <c r="AB505" s="744"/>
      <c r="AC505" s="744"/>
      <c r="AD505" s="744"/>
      <c r="AE505" s="744"/>
      <c r="AF505" s="744"/>
      <c r="AG505" s="744"/>
      <c r="AH505" s="744"/>
      <c r="AI505" s="744"/>
      <c r="AJ505" s="744"/>
      <c r="AK505" s="744"/>
      <c r="AL505" s="744"/>
      <c r="AM505" s="744"/>
    </row>
    <row r="506" spans="3:39" x14ac:dyDescent="0.25">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c r="AA506" s="744"/>
      <c r="AB506" s="744"/>
      <c r="AC506" s="744"/>
      <c r="AD506" s="744"/>
      <c r="AE506" s="744"/>
      <c r="AF506" s="744"/>
      <c r="AG506" s="744"/>
      <c r="AH506" s="744"/>
      <c r="AI506" s="744"/>
      <c r="AJ506" s="744"/>
      <c r="AK506" s="744"/>
      <c r="AL506" s="744"/>
      <c r="AM506" s="744"/>
    </row>
    <row r="507" spans="3:39" x14ac:dyDescent="0.25">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c r="AA507" s="744"/>
      <c r="AB507" s="744"/>
      <c r="AC507" s="744"/>
      <c r="AD507" s="744"/>
      <c r="AE507" s="744"/>
      <c r="AF507" s="744"/>
      <c r="AG507" s="744"/>
      <c r="AH507" s="744"/>
      <c r="AI507" s="744"/>
      <c r="AJ507" s="744"/>
      <c r="AK507" s="744"/>
      <c r="AL507" s="744"/>
      <c r="AM507" s="744"/>
    </row>
    <row r="508" spans="3:39" x14ac:dyDescent="0.25">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c r="AA508" s="744"/>
      <c r="AB508" s="744"/>
      <c r="AC508" s="744"/>
      <c r="AD508" s="744"/>
      <c r="AE508" s="744"/>
      <c r="AF508" s="744"/>
      <c r="AG508" s="744"/>
      <c r="AH508" s="744"/>
      <c r="AI508" s="744"/>
      <c r="AJ508" s="744"/>
      <c r="AK508" s="744"/>
      <c r="AL508" s="744"/>
      <c r="AM508" s="744"/>
    </row>
    <row r="509" spans="3:39" x14ac:dyDescent="0.25">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c r="AA509" s="744"/>
      <c r="AB509" s="744"/>
      <c r="AC509" s="744"/>
      <c r="AD509" s="744"/>
      <c r="AE509" s="744"/>
      <c r="AF509" s="744"/>
      <c r="AG509" s="744"/>
      <c r="AH509" s="744"/>
      <c r="AI509" s="744"/>
      <c r="AJ509" s="744"/>
      <c r="AK509" s="744"/>
      <c r="AL509" s="744"/>
      <c r="AM509" s="744"/>
    </row>
    <row r="510" spans="3:39" x14ac:dyDescent="0.25">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c r="AA510" s="744"/>
      <c r="AB510" s="744"/>
      <c r="AC510" s="744"/>
      <c r="AD510" s="744"/>
      <c r="AE510" s="744"/>
      <c r="AF510" s="744"/>
      <c r="AG510" s="744"/>
      <c r="AH510" s="744"/>
      <c r="AI510" s="744"/>
      <c r="AJ510" s="744"/>
      <c r="AK510" s="744"/>
      <c r="AL510" s="744"/>
      <c r="AM510" s="744"/>
    </row>
    <row r="511" spans="3:39" x14ac:dyDescent="0.25">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c r="AA511" s="744"/>
      <c r="AB511" s="744"/>
      <c r="AC511" s="744"/>
      <c r="AD511" s="744"/>
      <c r="AE511" s="744"/>
      <c r="AF511" s="744"/>
      <c r="AG511" s="744"/>
      <c r="AH511" s="744"/>
      <c r="AI511" s="744"/>
      <c r="AJ511" s="744"/>
      <c r="AK511" s="744"/>
      <c r="AL511" s="744"/>
      <c r="AM511" s="744"/>
    </row>
    <row r="512" spans="3:39" x14ac:dyDescent="0.25">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c r="AA512" s="744"/>
      <c r="AB512" s="744"/>
      <c r="AC512" s="744"/>
      <c r="AD512" s="744"/>
      <c r="AE512" s="744"/>
      <c r="AF512" s="744"/>
      <c r="AG512" s="744"/>
      <c r="AH512" s="744"/>
      <c r="AI512" s="744"/>
      <c r="AJ512" s="744"/>
      <c r="AK512" s="744"/>
      <c r="AL512" s="744"/>
      <c r="AM512" s="744"/>
    </row>
    <row r="513" spans="3:39" x14ac:dyDescent="0.25">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c r="AA513" s="744"/>
      <c r="AB513" s="744"/>
      <c r="AC513" s="744"/>
      <c r="AD513" s="744"/>
      <c r="AE513" s="744"/>
      <c r="AF513" s="744"/>
      <c r="AG513" s="744"/>
      <c r="AH513" s="744"/>
      <c r="AI513" s="744"/>
      <c r="AJ513" s="744"/>
      <c r="AK513" s="744"/>
      <c r="AL513" s="744"/>
      <c r="AM513" s="744"/>
    </row>
    <row r="514" spans="3:39" x14ac:dyDescent="0.25">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c r="AA514" s="744"/>
      <c r="AB514" s="744"/>
      <c r="AC514" s="744"/>
      <c r="AD514" s="744"/>
      <c r="AE514" s="744"/>
      <c r="AF514" s="744"/>
      <c r="AG514" s="744"/>
      <c r="AH514" s="744"/>
      <c r="AI514" s="744"/>
      <c r="AJ514" s="744"/>
      <c r="AK514" s="744"/>
      <c r="AL514" s="744"/>
      <c r="AM514" s="744"/>
    </row>
    <row r="515" spans="3:39" x14ac:dyDescent="0.25">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c r="AA515" s="744"/>
      <c r="AB515" s="744"/>
      <c r="AC515" s="744"/>
      <c r="AD515" s="744"/>
      <c r="AE515" s="744"/>
      <c r="AF515" s="744"/>
      <c r="AG515" s="744"/>
      <c r="AH515" s="744"/>
      <c r="AI515" s="744"/>
      <c r="AJ515" s="744"/>
      <c r="AK515" s="744"/>
      <c r="AL515" s="744"/>
      <c r="AM515" s="744"/>
    </row>
    <row r="516" spans="3:39" x14ac:dyDescent="0.25">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c r="AA516" s="744"/>
      <c r="AB516" s="744"/>
      <c r="AC516" s="744"/>
      <c r="AD516" s="744"/>
      <c r="AE516" s="744"/>
      <c r="AF516" s="744"/>
      <c r="AG516" s="744"/>
      <c r="AH516" s="744"/>
      <c r="AI516" s="744"/>
      <c r="AJ516" s="744"/>
      <c r="AK516" s="744"/>
      <c r="AL516" s="744"/>
      <c r="AM516" s="744"/>
    </row>
    <row r="517" spans="3:39" x14ac:dyDescent="0.25">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c r="AA517" s="744"/>
      <c r="AB517" s="744"/>
      <c r="AC517" s="744"/>
      <c r="AD517" s="744"/>
      <c r="AE517" s="744"/>
      <c r="AF517" s="744"/>
      <c r="AG517" s="744"/>
      <c r="AH517" s="744"/>
      <c r="AI517" s="744"/>
      <c r="AJ517" s="744"/>
      <c r="AK517" s="744"/>
      <c r="AL517" s="744"/>
      <c r="AM517" s="744"/>
    </row>
    <row r="518" spans="3:39" x14ac:dyDescent="0.25">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c r="AA518" s="744"/>
      <c r="AB518" s="744"/>
      <c r="AC518" s="744"/>
      <c r="AD518" s="744"/>
      <c r="AE518" s="744"/>
      <c r="AF518" s="744"/>
      <c r="AG518" s="744"/>
      <c r="AH518" s="744"/>
      <c r="AI518" s="744"/>
      <c r="AJ518" s="744"/>
      <c r="AK518" s="744"/>
      <c r="AL518" s="744"/>
      <c r="AM518" s="744"/>
    </row>
    <row r="519" spans="3:39" x14ac:dyDescent="0.25">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c r="AA519" s="744"/>
      <c r="AB519" s="744"/>
      <c r="AC519" s="744"/>
      <c r="AD519" s="744"/>
      <c r="AE519" s="744"/>
      <c r="AF519" s="744"/>
      <c r="AG519" s="744"/>
      <c r="AH519" s="744"/>
      <c r="AI519" s="744"/>
      <c r="AJ519" s="744"/>
      <c r="AK519" s="744"/>
      <c r="AL519" s="744"/>
      <c r="AM519" s="744"/>
    </row>
    <row r="520" spans="3:39" x14ac:dyDescent="0.25">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c r="AA520" s="744"/>
      <c r="AB520" s="744"/>
      <c r="AC520" s="744"/>
      <c r="AD520" s="744"/>
      <c r="AE520" s="744"/>
      <c r="AF520" s="744"/>
      <c r="AG520" s="744"/>
      <c r="AH520" s="744"/>
      <c r="AI520" s="744"/>
      <c r="AJ520" s="744"/>
      <c r="AK520" s="744"/>
      <c r="AL520" s="744"/>
      <c r="AM520" s="744"/>
    </row>
    <row r="521" spans="3:39" x14ac:dyDescent="0.25">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c r="AA521" s="744"/>
      <c r="AB521" s="744"/>
      <c r="AC521" s="744"/>
      <c r="AD521" s="744"/>
      <c r="AE521" s="744"/>
      <c r="AF521" s="744"/>
      <c r="AG521" s="744"/>
      <c r="AH521" s="744"/>
      <c r="AI521" s="744"/>
      <c r="AJ521" s="744"/>
      <c r="AK521" s="744"/>
      <c r="AL521" s="744"/>
      <c r="AM521" s="744"/>
    </row>
    <row r="522" spans="3:39" x14ac:dyDescent="0.25">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c r="AA522" s="744"/>
      <c r="AB522" s="744"/>
      <c r="AC522" s="744"/>
      <c r="AD522" s="744"/>
      <c r="AE522" s="744"/>
      <c r="AF522" s="744"/>
      <c r="AG522" s="744"/>
      <c r="AH522" s="744"/>
      <c r="AI522" s="744"/>
      <c r="AJ522" s="744"/>
      <c r="AK522" s="744"/>
      <c r="AL522" s="744"/>
      <c r="AM522" s="744"/>
    </row>
    <row r="523" spans="3:39" x14ac:dyDescent="0.25">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c r="AA523" s="744"/>
      <c r="AB523" s="744"/>
      <c r="AC523" s="744"/>
      <c r="AD523" s="744"/>
      <c r="AE523" s="744"/>
      <c r="AF523" s="744"/>
      <c r="AG523" s="744"/>
      <c r="AH523" s="744"/>
      <c r="AI523" s="744"/>
      <c r="AJ523" s="744"/>
      <c r="AK523" s="744"/>
      <c r="AL523" s="744"/>
      <c r="AM523" s="744"/>
    </row>
    <row r="524" spans="3:39" x14ac:dyDescent="0.25">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c r="AA524" s="744"/>
      <c r="AB524" s="744"/>
      <c r="AC524" s="744"/>
      <c r="AD524" s="744"/>
      <c r="AE524" s="744"/>
      <c r="AF524" s="744"/>
      <c r="AG524" s="744"/>
      <c r="AH524" s="744"/>
      <c r="AI524" s="744"/>
      <c r="AJ524" s="744"/>
      <c r="AK524" s="744"/>
      <c r="AL524" s="744"/>
      <c r="AM524" s="744"/>
    </row>
    <row r="525" spans="3:39" x14ac:dyDescent="0.25">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c r="AA525" s="744"/>
      <c r="AB525" s="744"/>
      <c r="AC525" s="744"/>
      <c r="AD525" s="744"/>
      <c r="AE525" s="744"/>
      <c r="AF525" s="744"/>
      <c r="AG525" s="744"/>
      <c r="AH525" s="744"/>
      <c r="AI525" s="744"/>
      <c r="AJ525" s="744"/>
      <c r="AK525" s="744"/>
      <c r="AL525" s="744"/>
      <c r="AM525" s="744"/>
    </row>
    <row r="526" spans="3:39" x14ac:dyDescent="0.25">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c r="AA526" s="744"/>
      <c r="AB526" s="744"/>
      <c r="AC526" s="744"/>
      <c r="AD526" s="744"/>
      <c r="AE526" s="744"/>
      <c r="AF526" s="744"/>
      <c r="AG526" s="744"/>
      <c r="AH526" s="744"/>
      <c r="AI526" s="744"/>
      <c r="AJ526" s="744"/>
      <c r="AK526" s="744"/>
      <c r="AL526" s="744"/>
      <c r="AM526" s="744"/>
    </row>
    <row r="527" spans="3:39" x14ac:dyDescent="0.25">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c r="AA527" s="744"/>
      <c r="AB527" s="744"/>
      <c r="AC527" s="744"/>
      <c r="AD527" s="744"/>
      <c r="AE527" s="744"/>
      <c r="AF527" s="744"/>
      <c r="AG527" s="744"/>
      <c r="AH527" s="744"/>
      <c r="AI527" s="744"/>
      <c r="AJ527" s="744"/>
      <c r="AK527" s="744"/>
      <c r="AL527" s="744"/>
      <c r="AM527" s="744"/>
    </row>
    <row r="528" spans="3:39" x14ac:dyDescent="0.25">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c r="AA528" s="744"/>
      <c r="AB528" s="744"/>
      <c r="AC528" s="744"/>
      <c r="AD528" s="744"/>
      <c r="AE528" s="744"/>
      <c r="AF528" s="744"/>
      <c r="AG528" s="744"/>
      <c r="AH528" s="744"/>
      <c r="AI528" s="744"/>
      <c r="AJ528" s="744"/>
      <c r="AK528" s="744"/>
      <c r="AL528" s="744"/>
      <c r="AM528" s="744"/>
    </row>
    <row r="529" spans="3:39" x14ac:dyDescent="0.25">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c r="AA529" s="744"/>
      <c r="AB529" s="744"/>
      <c r="AC529" s="744"/>
      <c r="AD529" s="744"/>
      <c r="AE529" s="744"/>
      <c r="AF529" s="744"/>
      <c r="AG529" s="744"/>
      <c r="AH529" s="744"/>
      <c r="AI529" s="744"/>
      <c r="AJ529" s="744"/>
      <c r="AK529" s="744"/>
      <c r="AL529" s="744"/>
      <c r="AM529" s="744"/>
    </row>
    <row r="530" spans="3:39" x14ac:dyDescent="0.25">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c r="AA530" s="744"/>
      <c r="AB530" s="744"/>
      <c r="AC530" s="744"/>
      <c r="AD530" s="744"/>
      <c r="AE530" s="744"/>
      <c r="AF530" s="744"/>
      <c r="AG530" s="744"/>
      <c r="AH530" s="744"/>
      <c r="AI530" s="744"/>
      <c r="AJ530" s="744"/>
      <c r="AK530" s="744"/>
      <c r="AL530" s="744"/>
      <c r="AM530" s="744"/>
    </row>
    <row r="531" spans="3:39" x14ac:dyDescent="0.25">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c r="AA531" s="744"/>
      <c r="AB531" s="744"/>
      <c r="AC531" s="744"/>
      <c r="AD531" s="744"/>
      <c r="AE531" s="744"/>
      <c r="AF531" s="744"/>
      <c r="AG531" s="744"/>
      <c r="AH531" s="744"/>
      <c r="AI531" s="744"/>
      <c r="AJ531" s="744"/>
      <c r="AK531" s="744"/>
      <c r="AL531" s="744"/>
      <c r="AM531" s="744"/>
    </row>
    <row r="532" spans="3:39" x14ac:dyDescent="0.25">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c r="AA532" s="744"/>
      <c r="AB532" s="744"/>
      <c r="AC532" s="744"/>
      <c r="AD532" s="744"/>
      <c r="AE532" s="744"/>
      <c r="AF532" s="744"/>
      <c r="AG532" s="744"/>
      <c r="AH532" s="744"/>
      <c r="AI532" s="744"/>
      <c r="AJ532" s="744"/>
      <c r="AK532" s="744"/>
      <c r="AL532" s="744"/>
      <c r="AM532" s="744"/>
    </row>
    <row r="533" spans="3:39" x14ac:dyDescent="0.25">
      <c r="C533" s="959"/>
      <c r="D533" s="959"/>
      <c r="E533" s="959"/>
      <c r="F533" s="959"/>
      <c r="G533" s="959"/>
      <c r="H533" s="959"/>
      <c r="I533" s="959"/>
      <c r="J533" s="959"/>
      <c r="K533" s="959"/>
      <c r="L533" s="959"/>
      <c r="M533" s="959"/>
      <c r="N533" s="959"/>
      <c r="O533" s="959"/>
      <c r="P533" s="959"/>
      <c r="Q533" s="959"/>
      <c r="R533" s="959"/>
      <c r="S533" s="959"/>
      <c r="T533" s="959"/>
      <c r="U533" s="959"/>
      <c r="V533" s="959"/>
      <c r="W533" s="959"/>
      <c r="X533" s="959"/>
      <c r="Y533" s="959"/>
      <c r="Z533" s="959"/>
      <c r="AA533" s="959"/>
      <c r="AB533" s="959"/>
      <c r="AC533" s="959"/>
      <c r="AD533" s="959"/>
      <c r="AE533" s="959"/>
      <c r="AF533" s="959"/>
      <c r="AG533" s="959"/>
      <c r="AH533" s="959"/>
      <c r="AI533" s="959"/>
      <c r="AJ533" s="959"/>
      <c r="AK533" s="959"/>
      <c r="AL533" s="959"/>
      <c r="AM533" s="959"/>
    </row>
    <row r="534" spans="3:39" x14ac:dyDescent="0.25">
      <c r="C534" s="959"/>
      <c r="D534" s="959"/>
      <c r="E534" s="959"/>
      <c r="F534" s="959"/>
      <c r="G534" s="959"/>
      <c r="H534" s="959"/>
      <c r="I534" s="959"/>
      <c r="J534" s="959"/>
      <c r="K534" s="959"/>
      <c r="L534" s="959"/>
      <c r="M534" s="959"/>
      <c r="N534" s="959"/>
      <c r="O534" s="959"/>
      <c r="P534" s="959"/>
      <c r="Q534" s="959"/>
      <c r="R534" s="959"/>
      <c r="S534" s="959"/>
      <c r="T534" s="959"/>
      <c r="U534" s="959"/>
      <c r="V534" s="959"/>
      <c r="W534" s="959"/>
      <c r="X534" s="959"/>
      <c r="Y534" s="959"/>
      <c r="Z534" s="959"/>
      <c r="AA534" s="959"/>
      <c r="AB534" s="959"/>
      <c r="AC534" s="959"/>
      <c r="AD534" s="959"/>
      <c r="AE534" s="959"/>
      <c r="AF534" s="959"/>
      <c r="AG534" s="959"/>
      <c r="AH534" s="959"/>
      <c r="AI534" s="959"/>
      <c r="AJ534" s="959"/>
      <c r="AK534" s="959"/>
      <c r="AL534" s="959"/>
      <c r="AM534" s="959"/>
    </row>
    <row r="535" spans="3:39" x14ac:dyDescent="0.25">
      <c r="C535" s="959"/>
      <c r="D535" s="959"/>
      <c r="E535" s="959"/>
      <c r="F535" s="959"/>
      <c r="G535" s="959"/>
      <c r="H535" s="959"/>
      <c r="I535" s="959"/>
      <c r="J535" s="959"/>
      <c r="K535" s="959"/>
      <c r="L535" s="959"/>
      <c r="M535" s="959"/>
      <c r="N535" s="959"/>
      <c r="O535" s="959"/>
      <c r="P535" s="959"/>
      <c r="Q535" s="959"/>
      <c r="R535" s="959"/>
      <c r="S535" s="959"/>
      <c r="T535" s="959"/>
      <c r="U535" s="959"/>
      <c r="V535" s="959"/>
      <c r="W535" s="959"/>
      <c r="X535" s="959"/>
      <c r="Y535" s="959"/>
      <c r="Z535" s="959"/>
      <c r="AA535" s="959"/>
      <c r="AB535" s="959"/>
      <c r="AC535" s="959"/>
      <c r="AD535" s="959"/>
      <c r="AE535" s="959"/>
      <c r="AF535" s="959"/>
      <c r="AG535" s="959"/>
      <c r="AH535" s="959"/>
      <c r="AI535" s="959"/>
      <c r="AJ535" s="959"/>
      <c r="AK535" s="959"/>
      <c r="AL535" s="959"/>
      <c r="AM535" s="959"/>
    </row>
    <row r="536" spans="3:39" x14ac:dyDescent="0.25">
      <c r="C536" s="959"/>
      <c r="D536" s="959"/>
      <c r="E536" s="959"/>
      <c r="F536" s="959"/>
      <c r="G536" s="959"/>
      <c r="H536" s="959"/>
      <c r="I536" s="959"/>
      <c r="J536" s="959"/>
      <c r="K536" s="959"/>
      <c r="L536" s="959"/>
      <c r="M536" s="959"/>
      <c r="N536" s="959"/>
      <c r="O536" s="959"/>
      <c r="P536" s="959"/>
      <c r="Q536" s="959"/>
      <c r="R536" s="959"/>
      <c r="S536" s="959"/>
      <c r="T536" s="959"/>
      <c r="U536" s="959"/>
      <c r="V536" s="959"/>
      <c r="W536" s="959"/>
      <c r="X536" s="959"/>
      <c r="Y536" s="959"/>
      <c r="Z536" s="959"/>
      <c r="AA536" s="959"/>
      <c r="AB536" s="959"/>
      <c r="AC536" s="959"/>
      <c r="AD536" s="959"/>
      <c r="AE536" s="959"/>
      <c r="AF536" s="959"/>
      <c r="AG536" s="959"/>
      <c r="AH536" s="959"/>
      <c r="AI536" s="959"/>
      <c r="AJ536" s="959"/>
      <c r="AK536" s="959"/>
      <c r="AL536" s="959"/>
      <c r="AM536" s="959"/>
    </row>
    <row r="537" spans="3:39" x14ac:dyDescent="0.25">
      <c r="C537" s="959"/>
      <c r="D537" s="959"/>
      <c r="E537" s="959"/>
      <c r="F537" s="959"/>
      <c r="G537" s="959"/>
      <c r="H537" s="959"/>
      <c r="I537" s="959"/>
      <c r="J537" s="959"/>
      <c r="K537" s="959"/>
      <c r="L537" s="959"/>
      <c r="M537" s="959"/>
      <c r="N537" s="959"/>
      <c r="O537" s="959"/>
      <c r="P537" s="959"/>
      <c r="Q537" s="959"/>
      <c r="R537" s="959"/>
      <c r="S537" s="959"/>
      <c r="T537" s="959"/>
      <c r="U537" s="959"/>
      <c r="V537" s="959"/>
      <c r="W537" s="959"/>
      <c r="X537" s="959"/>
      <c r="Y537" s="959"/>
      <c r="Z537" s="959"/>
      <c r="AA537" s="959"/>
      <c r="AB537" s="959"/>
      <c r="AC537" s="959"/>
      <c r="AD537" s="959"/>
      <c r="AE537" s="959"/>
      <c r="AF537" s="959"/>
      <c r="AG537" s="959"/>
      <c r="AH537" s="959"/>
      <c r="AI537" s="959"/>
      <c r="AJ537" s="959"/>
      <c r="AK537" s="959"/>
      <c r="AL537" s="959"/>
      <c r="AM537" s="959"/>
    </row>
    <row r="538" spans="3:39" x14ac:dyDescent="0.25">
      <c r="C538" s="959"/>
      <c r="D538" s="959"/>
      <c r="E538" s="959"/>
      <c r="F538" s="959"/>
      <c r="G538" s="959"/>
      <c r="H538" s="959"/>
      <c r="I538" s="959"/>
      <c r="J538" s="959"/>
      <c r="K538" s="959"/>
      <c r="L538" s="959"/>
      <c r="M538" s="959"/>
      <c r="N538" s="959"/>
      <c r="O538" s="959"/>
      <c r="P538" s="959"/>
      <c r="Q538" s="959"/>
      <c r="R538" s="959"/>
      <c r="S538" s="959"/>
      <c r="T538" s="959"/>
      <c r="U538" s="959"/>
      <c r="V538" s="959"/>
      <c r="W538" s="959"/>
      <c r="X538" s="959"/>
      <c r="Y538" s="959"/>
      <c r="Z538" s="959"/>
      <c r="AA538" s="959"/>
      <c r="AB538" s="959"/>
      <c r="AC538" s="959"/>
      <c r="AD538" s="959"/>
      <c r="AE538" s="959"/>
      <c r="AF538" s="959"/>
      <c r="AG538" s="959"/>
      <c r="AH538" s="959"/>
      <c r="AI538" s="959"/>
      <c r="AJ538" s="959"/>
      <c r="AK538" s="959"/>
      <c r="AL538" s="959"/>
      <c r="AM538" s="959"/>
    </row>
    <row r="539" spans="3:39" x14ac:dyDescent="0.25">
      <c r="C539" s="959"/>
      <c r="D539" s="959"/>
      <c r="E539" s="959"/>
      <c r="F539" s="959"/>
      <c r="G539" s="959"/>
      <c r="H539" s="959"/>
      <c r="I539" s="959"/>
      <c r="J539" s="959"/>
      <c r="K539" s="959"/>
      <c r="L539" s="959"/>
      <c r="M539" s="959"/>
      <c r="N539" s="959"/>
      <c r="O539" s="959"/>
      <c r="P539" s="959"/>
      <c r="Q539" s="959"/>
      <c r="R539" s="959"/>
      <c r="S539" s="959"/>
      <c r="T539" s="959"/>
      <c r="U539" s="959"/>
      <c r="V539" s="959"/>
      <c r="W539" s="959"/>
      <c r="X539" s="959"/>
      <c r="Y539" s="959"/>
      <c r="Z539" s="959"/>
      <c r="AA539" s="959"/>
      <c r="AB539" s="959"/>
      <c r="AC539" s="959"/>
      <c r="AD539" s="959"/>
      <c r="AE539" s="959"/>
      <c r="AF539" s="959"/>
      <c r="AG539" s="959"/>
      <c r="AH539" s="959"/>
      <c r="AI539" s="959"/>
      <c r="AJ539" s="959"/>
      <c r="AK539" s="959"/>
      <c r="AL539" s="959"/>
      <c r="AM539" s="959"/>
    </row>
    <row r="540" spans="3:39" x14ac:dyDescent="0.25">
      <c r="C540" s="959"/>
      <c r="D540" s="959"/>
      <c r="E540" s="959"/>
      <c r="F540" s="959"/>
      <c r="G540" s="959"/>
      <c r="H540" s="959"/>
      <c r="I540" s="959"/>
      <c r="J540" s="959"/>
      <c r="K540" s="959"/>
      <c r="L540" s="959"/>
      <c r="M540" s="959"/>
      <c r="N540" s="959"/>
      <c r="O540" s="959"/>
      <c r="P540" s="959"/>
      <c r="Q540" s="959"/>
      <c r="R540" s="959"/>
      <c r="S540" s="959"/>
      <c r="T540" s="959"/>
      <c r="U540" s="959"/>
      <c r="V540" s="959"/>
      <c r="W540" s="959"/>
      <c r="X540" s="959"/>
      <c r="Y540" s="959"/>
      <c r="Z540" s="959"/>
      <c r="AA540" s="959"/>
      <c r="AB540" s="959"/>
      <c r="AC540" s="959"/>
      <c r="AD540" s="959"/>
      <c r="AE540" s="959"/>
      <c r="AF540" s="959"/>
      <c r="AG540" s="959"/>
      <c r="AH540" s="959"/>
      <c r="AI540" s="959"/>
      <c r="AJ540" s="959"/>
      <c r="AK540" s="959"/>
      <c r="AL540" s="959"/>
      <c r="AM540" s="959"/>
    </row>
    <row r="541" spans="3:39" x14ac:dyDescent="0.25">
      <c r="C541" s="959"/>
      <c r="D541" s="959"/>
      <c r="E541" s="959"/>
      <c r="F541" s="959"/>
      <c r="G541" s="959"/>
      <c r="H541" s="959"/>
      <c r="I541" s="959"/>
      <c r="J541" s="959"/>
      <c r="K541" s="959"/>
      <c r="L541" s="959"/>
      <c r="M541" s="959"/>
      <c r="N541" s="959"/>
      <c r="O541" s="959"/>
      <c r="P541" s="959"/>
      <c r="Q541" s="959"/>
      <c r="R541" s="959"/>
      <c r="S541" s="959"/>
      <c r="T541" s="959"/>
      <c r="U541" s="959"/>
      <c r="V541" s="959"/>
      <c r="W541" s="959"/>
      <c r="X541" s="959"/>
      <c r="Y541" s="959"/>
      <c r="Z541" s="959"/>
      <c r="AA541" s="959"/>
      <c r="AB541" s="959"/>
      <c r="AC541" s="959"/>
      <c r="AD541" s="959"/>
      <c r="AE541" s="959"/>
      <c r="AF541" s="959"/>
      <c r="AG541" s="959"/>
      <c r="AH541" s="959"/>
      <c r="AI541" s="959"/>
      <c r="AJ541" s="959"/>
      <c r="AK541" s="959"/>
      <c r="AL541" s="959"/>
      <c r="AM541" s="959"/>
    </row>
    <row r="542" spans="3:39" x14ac:dyDescent="0.25">
      <c r="C542" s="959"/>
      <c r="D542" s="959"/>
      <c r="E542" s="959"/>
      <c r="F542" s="959"/>
      <c r="G542" s="959"/>
      <c r="H542" s="959"/>
      <c r="I542" s="959"/>
      <c r="J542" s="959"/>
      <c r="K542" s="959"/>
      <c r="L542" s="959"/>
      <c r="M542" s="959"/>
      <c r="N542" s="959"/>
      <c r="O542" s="959"/>
      <c r="P542" s="959"/>
      <c r="Q542" s="959"/>
      <c r="R542" s="959"/>
      <c r="S542" s="959"/>
      <c r="T542" s="959"/>
      <c r="U542" s="959"/>
      <c r="V542" s="959"/>
      <c r="W542" s="959"/>
      <c r="X542" s="959"/>
      <c r="Y542" s="959"/>
      <c r="Z542" s="959"/>
      <c r="AA542" s="959"/>
      <c r="AB542" s="959"/>
      <c r="AC542" s="959"/>
      <c r="AD542" s="959"/>
      <c r="AE542" s="959"/>
      <c r="AF542" s="959"/>
      <c r="AG542" s="959"/>
      <c r="AH542" s="959"/>
      <c r="AI542" s="959"/>
      <c r="AJ542" s="959"/>
      <c r="AK542" s="959"/>
      <c r="AL542" s="959"/>
      <c r="AM542" s="959"/>
    </row>
    <row r="543" spans="3:39" x14ac:dyDescent="0.25">
      <c r="C543" s="959"/>
      <c r="D543" s="959"/>
      <c r="E543" s="959"/>
      <c r="F543" s="959"/>
      <c r="G543" s="959"/>
      <c r="H543" s="959"/>
      <c r="I543" s="959"/>
      <c r="J543" s="959"/>
      <c r="K543" s="959"/>
      <c r="L543" s="959"/>
      <c r="M543" s="959"/>
      <c r="N543" s="959"/>
      <c r="O543" s="959"/>
      <c r="P543" s="959"/>
      <c r="Q543" s="959"/>
      <c r="R543" s="959"/>
      <c r="S543" s="959"/>
      <c r="T543" s="959"/>
      <c r="U543" s="959"/>
      <c r="V543" s="959"/>
      <c r="W543" s="959"/>
      <c r="X543" s="959"/>
      <c r="Y543" s="959"/>
      <c r="Z543" s="959"/>
      <c r="AA543" s="959"/>
      <c r="AB543" s="959"/>
      <c r="AC543" s="959"/>
      <c r="AD543" s="959"/>
      <c r="AE543" s="959"/>
      <c r="AF543" s="959"/>
      <c r="AG543" s="959"/>
      <c r="AH543" s="959"/>
      <c r="AI543" s="959"/>
      <c r="AJ543" s="959"/>
      <c r="AK543" s="959"/>
      <c r="AL543" s="959"/>
      <c r="AM543" s="959"/>
    </row>
    <row r="544" spans="3:39" x14ac:dyDescent="0.25">
      <c r="C544" s="959"/>
      <c r="D544" s="959"/>
      <c r="E544" s="959"/>
      <c r="F544" s="959"/>
      <c r="G544" s="959"/>
      <c r="H544" s="959"/>
      <c r="I544" s="959"/>
      <c r="J544" s="959"/>
      <c r="K544" s="959"/>
      <c r="L544" s="959"/>
      <c r="M544" s="959"/>
      <c r="N544" s="959"/>
      <c r="O544" s="959"/>
      <c r="P544" s="959"/>
      <c r="Q544" s="959"/>
      <c r="R544" s="959"/>
      <c r="S544" s="959"/>
      <c r="T544" s="959"/>
      <c r="U544" s="959"/>
      <c r="V544" s="959"/>
      <c r="W544" s="959"/>
      <c r="X544" s="959"/>
      <c r="Y544" s="959"/>
      <c r="Z544" s="959"/>
      <c r="AA544" s="959"/>
      <c r="AB544" s="959"/>
      <c r="AC544" s="959"/>
      <c r="AD544" s="959"/>
      <c r="AE544" s="959"/>
      <c r="AF544" s="959"/>
      <c r="AG544" s="959"/>
      <c r="AH544" s="959"/>
      <c r="AI544" s="959"/>
      <c r="AJ544" s="959"/>
      <c r="AK544" s="959"/>
      <c r="AL544" s="959"/>
      <c r="AM544" s="959"/>
    </row>
    <row r="545" spans="3:39" x14ac:dyDescent="0.25">
      <c r="C545" s="959"/>
      <c r="D545" s="959"/>
      <c r="E545" s="959"/>
      <c r="F545" s="959"/>
      <c r="G545" s="959"/>
      <c r="H545" s="959"/>
      <c r="I545" s="959"/>
      <c r="J545" s="959"/>
      <c r="K545" s="959"/>
      <c r="L545" s="959"/>
      <c r="M545" s="959"/>
      <c r="N545" s="959"/>
      <c r="O545" s="959"/>
      <c r="P545" s="959"/>
      <c r="Q545" s="959"/>
      <c r="R545" s="959"/>
      <c r="S545" s="959"/>
      <c r="T545" s="959"/>
      <c r="U545" s="959"/>
      <c r="V545" s="959"/>
      <c r="W545" s="959"/>
      <c r="X545" s="959"/>
      <c r="Y545" s="959"/>
      <c r="Z545" s="959"/>
      <c r="AA545" s="959"/>
      <c r="AB545" s="959"/>
      <c r="AC545" s="959"/>
      <c r="AD545" s="959"/>
      <c r="AE545" s="959"/>
      <c r="AF545" s="959"/>
      <c r="AG545" s="959"/>
      <c r="AH545" s="959"/>
      <c r="AI545" s="959"/>
      <c r="AJ545" s="959"/>
      <c r="AK545" s="959"/>
      <c r="AL545" s="959"/>
      <c r="AM545" s="959"/>
    </row>
    <row r="546" spans="3:39" x14ac:dyDescent="0.25">
      <c r="C546" s="959"/>
      <c r="D546" s="959"/>
      <c r="E546" s="959"/>
      <c r="F546" s="959"/>
      <c r="G546" s="959"/>
      <c r="H546" s="959"/>
      <c r="I546" s="959"/>
      <c r="J546" s="959"/>
      <c r="K546" s="959"/>
      <c r="L546" s="959"/>
      <c r="M546" s="959"/>
      <c r="N546" s="959"/>
      <c r="O546" s="959"/>
      <c r="P546" s="959"/>
      <c r="Q546" s="959"/>
      <c r="R546" s="959"/>
      <c r="S546" s="959"/>
      <c r="T546" s="959"/>
      <c r="U546" s="959"/>
      <c r="V546" s="959"/>
      <c r="W546" s="959"/>
      <c r="X546" s="959"/>
      <c r="Y546" s="959"/>
      <c r="Z546" s="959"/>
      <c r="AA546" s="959"/>
      <c r="AB546" s="959"/>
      <c r="AC546" s="959"/>
      <c r="AD546" s="959"/>
      <c r="AE546" s="959"/>
      <c r="AF546" s="959"/>
      <c r="AG546" s="959"/>
      <c r="AH546" s="959"/>
      <c r="AI546" s="959"/>
      <c r="AJ546" s="959"/>
      <c r="AK546" s="959"/>
      <c r="AL546" s="959"/>
      <c r="AM546" s="959"/>
    </row>
    <row r="547" spans="3:39" x14ac:dyDescent="0.25">
      <c r="C547" s="959"/>
      <c r="D547" s="959"/>
      <c r="E547" s="959"/>
      <c r="F547" s="959"/>
      <c r="G547" s="959"/>
      <c r="H547" s="959"/>
      <c r="I547" s="959"/>
      <c r="J547" s="959"/>
      <c r="K547" s="959"/>
      <c r="L547" s="959"/>
      <c r="M547" s="959"/>
      <c r="N547" s="959"/>
      <c r="O547" s="959"/>
      <c r="P547" s="959"/>
      <c r="Q547" s="959"/>
      <c r="R547" s="959"/>
      <c r="S547" s="959"/>
      <c r="T547" s="959"/>
      <c r="U547" s="959"/>
      <c r="V547" s="959"/>
      <c r="W547" s="959"/>
      <c r="X547" s="959"/>
      <c r="Y547" s="959"/>
      <c r="Z547" s="959"/>
      <c r="AA547" s="959"/>
      <c r="AB547" s="959"/>
      <c r="AC547" s="959"/>
      <c r="AD547" s="959"/>
      <c r="AE547" s="959"/>
      <c r="AF547" s="959"/>
      <c r="AG547" s="959"/>
      <c r="AH547" s="959"/>
      <c r="AI547" s="959"/>
      <c r="AJ547" s="959"/>
      <c r="AK547" s="959"/>
      <c r="AL547" s="959"/>
      <c r="AM547" s="959"/>
    </row>
    <row r="548" spans="3:39" x14ac:dyDescent="0.25">
      <c r="C548" s="959"/>
      <c r="D548" s="959"/>
      <c r="E548" s="959"/>
      <c r="F548" s="959"/>
      <c r="G548" s="959"/>
      <c r="H548" s="959"/>
      <c r="I548" s="959"/>
      <c r="J548" s="959"/>
      <c r="K548" s="959"/>
      <c r="L548" s="959"/>
      <c r="M548" s="959"/>
      <c r="N548" s="959"/>
      <c r="O548" s="959"/>
      <c r="P548" s="959"/>
      <c r="Q548" s="959"/>
      <c r="R548" s="959"/>
      <c r="S548" s="959"/>
      <c r="T548" s="959"/>
      <c r="U548" s="959"/>
      <c r="V548" s="959"/>
      <c r="W548" s="959"/>
      <c r="X548" s="959"/>
      <c r="Y548" s="959"/>
      <c r="Z548" s="959"/>
      <c r="AA548" s="959"/>
      <c r="AB548" s="959"/>
      <c r="AC548" s="959"/>
      <c r="AD548" s="959"/>
      <c r="AE548" s="959"/>
      <c r="AF548" s="959"/>
      <c r="AG548" s="959"/>
      <c r="AH548" s="959"/>
      <c r="AI548" s="959"/>
      <c r="AJ548" s="959"/>
      <c r="AK548" s="959"/>
      <c r="AL548" s="959"/>
      <c r="AM548" s="959"/>
    </row>
    <row r="549" spans="3:39" x14ac:dyDescent="0.25">
      <c r="C549" s="959"/>
      <c r="D549" s="959"/>
      <c r="E549" s="959"/>
      <c r="F549" s="959"/>
      <c r="G549" s="959"/>
      <c r="H549" s="959"/>
      <c r="I549" s="959"/>
      <c r="J549" s="959"/>
      <c r="K549" s="959"/>
      <c r="L549" s="959"/>
      <c r="M549" s="959"/>
      <c r="N549" s="959"/>
      <c r="O549" s="959"/>
      <c r="P549" s="959"/>
      <c r="Q549" s="959"/>
      <c r="R549" s="959"/>
      <c r="S549" s="959"/>
      <c r="T549" s="959"/>
      <c r="U549" s="959"/>
      <c r="V549" s="959"/>
      <c r="W549" s="959"/>
      <c r="X549" s="959"/>
      <c r="Y549" s="959"/>
      <c r="Z549" s="959"/>
      <c r="AA549" s="959"/>
      <c r="AB549" s="959"/>
      <c r="AC549" s="959"/>
      <c r="AD549" s="959"/>
      <c r="AE549" s="959"/>
      <c r="AF549" s="959"/>
      <c r="AG549" s="959"/>
      <c r="AH549" s="959"/>
      <c r="AI549" s="959"/>
      <c r="AJ549" s="959"/>
      <c r="AK549" s="959"/>
      <c r="AL549" s="959"/>
      <c r="AM549" s="959"/>
    </row>
    <row r="550" spans="3:39" x14ac:dyDescent="0.25">
      <c r="C550" s="959"/>
      <c r="D550" s="959"/>
      <c r="E550" s="959"/>
      <c r="F550" s="959"/>
      <c r="G550" s="959"/>
      <c r="H550" s="959"/>
      <c r="I550" s="959"/>
      <c r="J550" s="959"/>
      <c r="K550" s="959"/>
      <c r="L550" s="959"/>
      <c r="M550" s="959"/>
      <c r="N550" s="959"/>
      <c r="O550" s="959"/>
      <c r="P550" s="959"/>
      <c r="Q550" s="959"/>
      <c r="R550" s="959"/>
      <c r="S550" s="959"/>
      <c r="T550" s="959"/>
      <c r="U550" s="959"/>
      <c r="V550" s="959"/>
      <c r="W550" s="959"/>
      <c r="X550" s="959"/>
      <c r="Y550" s="959"/>
      <c r="Z550" s="959"/>
      <c r="AA550" s="959"/>
      <c r="AB550" s="959"/>
      <c r="AC550" s="959"/>
      <c r="AD550" s="959"/>
      <c r="AE550" s="959"/>
      <c r="AF550" s="959"/>
      <c r="AG550" s="959"/>
      <c r="AH550" s="959"/>
      <c r="AI550" s="959"/>
      <c r="AJ550" s="959"/>
      <c r="AK550" s="959"/>
      <c r="AL550" s="959"/>
      <c r="AM550" s="959"/>
    </row>
    <row r="551" spans="3:39" x14ac:dyDescent="0.25">
      <c r="C551" s="959"/>
      <c r="D551" s="959"/>
      <c r="E551" s="959"/>
      <c r="F551" s="959"/>
      <c r="G551" s="959"/>
      <c r="H551" s="959"/>
      <c r="I551" s="959"/>
      <c r="J551" s="959"/>
      <c r="K551" s="959"/>
      <c r="L551" s="959"/>
      <c r="M551" s="959"/>
      <c r="N551" s="959"/>
      <c r="O551" s="959"/>
      <c r="P551" s="959"/>
      <c r="Q551" s="959"/>
      <c r="R551" s="959"/>
      <c r="S551" s="959"/>
      <c r="T551" s="959"/>
      <c r="U551" s="959"/>
      <c r="V551" s="959"/>
      <c r="W551" s="959"/>
      <c r="X551" s="959"/>
      <c r="Y551" s="959"/>
      <c r="Z551" s="959"/>
      <c r="AA551" s="959"/>
      <c r="AB551" s="959"/>
      <c r="AC551" s="959"/>
      <c r="AD551" s="959"/>
      <c r="AE551" s="959"/>
      <c r="AF551" s="959"/>
      <c r="AG551" s="959"/>
      <c r="AH551" s="959"/>
      <c r="AI551" s="959"/>
      <c r="AJ551" s="959"/>
      <c r="AK551" s="959"/>
      <c r="AL551" s="959"/>
      <c r="AM551" s="959"/>
    </row>
    <row r="552" spans="3:39" x14ac:dyDescent="0.25">
      <c r="C552" s="959"/>
      <c r="D552" s="959"/>
      <c r="E552" s="959"/>
      <c r="F552" s="959"/>
      <c r="G552" s="959"/>
      <c r="H552" s="959"/>
      <c r="I552" s="959"/>
      <c r="J552" s="959"/>
      <c r="K552" s="959"/>
      <c r="L552" s="959"/>
      <c r="M552" s="959"/>
      <c r="N552" s="959"/>
      <c r="O552" s="959"/>
      <c r="P552" s="959"/>
      <c r="Q552" s="959"/>
      <c r="R552" s="959"/>
      <c r="S552" s="959"/>
      <c r="T552" s="959"/>
      <c r="U552" s="959"/>
      <c r="V552" s="959"/>
      <c r="W552" s="959"/>
      <c r="X552" s="959"/>
      <c r="Y552" s="959"/>
      <c r="Z552" s="959"/>
      <c r="AA552" s="959"/>
      <c r="AB552" s="959"/>
      <c r="AC552" s="959"/>
      <c r="AD552" s="959"/>
      <c r="AE552" s="959"/>
      <c r="AF552" s="959"/>
      <c r="AG552" s="959"/>
      <c r="AH552" s="959"/>
      <c r="AI552" s="959"/>
      <c r="AJ552" s="959"/>
      <c r="AK552" s="959"/>
      <c r="AL552" s="959"/>
      <c r="AM552" s="959"/>
    </row>
    <row r="553" spans="3:39" x14ac:dyDescent="0.25">
      <c r="C553" s="959"/>
      <c r="D553" s="959"/>
      <c r="E553" s="959"/>
      <c r="F553" s="959"/>
      <c r="G553" s="959"/>
      <c r="H553" s="959"/>
      <c r="I553" s="959"/>
      <c r="J553" s="959"/>
      <c r="K553" s="959"/>
      <c r="L553" s="959"/>
      <c r="M553" s="959"/>
      <c r="N553" s="959"/>
      <c r="O553" s="959"/>
      <c r="P553" s="959"/>
      <c r="Q553" s="959"/>
      <c r="R553" s="959"/>
      <c r="S553" s="959"/>
      <c r="T553" s="959"/>
      <c r="U553" s="959"/>
      <c r="V553" s="959"/>
      <c r="W553" s="959"/>
      <c r="X553" s="959"/>
      <c r="Y553" s="959"/>
      <c r="Z553" s="959"/>
      <c r="AA553" s="959"/>
      <c r="AB553" s="959"/>
      <c r="AC553" s="959"/>
      <c r="AD553" s="959"/>
      <c r="AE553" s="959"/>
      <c r="AF553" s="959"/>
      <c r="AG553" s="959"/>
      <c r="AH553" s="959"/>
      <c r="AI553" s="959"/>
      <c r="AJ553" s="959"/>
      <c r="AK553" s="959"/>
      <c r="AL553" s="959"/>
      <c r="AM553" s="959"/>
    </row>
    <row r="554" spans="3:39" x14ac:dyDescent="0.25">
      <c r="C554" s="959"/>
      <c r="D554" s="959"/>
      <c r="E554" s="959"/>
      <c r="F554" s="959"/>
      <c r="G554" s="959"/>
      <c r="H554" s="959"/>
      <c r="I554" s="959"/>
      <c r="J554" s="959"/>
      <c r="K554" s="959"/>
      <c r="L554" s="959"/>
      <c r="M554" s="959"/>
      <c r="N554" s="959"/>
      <c r="O554" s="959"/>
      <c r="P554" s="959"/>
      <c r="Q554" s="959"/>
      <c r="R554" s="959"/>
      <c r="S554" s="959"/>
      <c r="T554" s="959"/>
      <c r="U554" s="959"/>
      <c r="V554" s="959"/>
      <c r="W554" s="959"/>
      <c r="X554" s="959"/>
      <c r="Y554" s="959"/>
      <c r="Z554" s="959"/>
      <c r="AA554" s="959"/>
      <c r="AB554" s="959"/>
      <c r="AC554" s="959"/>
      <c r="AD554" s="959"/>
      <c r="AE554" s="959"/>
      <c r="AF554" s="959"/>
      <c r="AG554" s="959"/>
      <c r="AH554" s="959"/>
      <c r="AI554" s="959"/>
      <c r="AJ554" s="959"/>
      <c r="AK554" s="959"/>
      <c r="AL554" s="959"/>
      <c r="AM554" s="959"/>
    </row>
    <row r="555" spans="3:39" x14ac:dyDescent="0.25">
      <c r="C555" s="959"/>
      <c r="D555" s="959"/>
      <c r="E555" s="959"/>
      <c r="F555" s="959"/>
      <c r="G555" s="959"/>
      <c r="H555" s="959"/>
      <c r="I555" s="959"/>
      <c r="J555" s="959"/>
      <c r="K555" s="959"/>
      <c r="L555" s="959"/>
      <c r="M555" s="959"/>
      <c r="N555" s="959"/>
      <c r="O555" s="959"/>
      <c r="P555" s="959"/>
      <c r="Q555" s="959"/>
      <c r="R555" s="959"/>
      <c r="S555" s="959"/>
      <c r="T555" s="959"/>
      <c r="U555" s="959"/>
      <c r="V555" s="959"/>
      <c r="W555" s="959"/>
      <c r="X555" s="959"/>
      <c r="Y555" s="959"/>
      <c r="Z555" s="959"/>
      <c r="AA555" s="959"/>
      <c r="AB555" s="959"/>
      <c r="AC555" s="959"/>
      <c r="AD555" s="959"/>
      <c r="AE555" s="959"/>
      <c r="AF555" s="959"/>
      <c r="AG555" s="959"/>
      <c r="AH555" s="959"/>
      <c r="AI555" s="959"/>
      <c r="AJ555" s="959"/>
      <c r="AK555" s="959"/>
      <c r="AL555" s="959"/>
      <c r="AM555" s="959"/>
    </row>
    <row r="556" spans="3:39" x14ac:dyDescent="0.25">
      <c r="C556" s="959"/>
      <c r="D556" s="959"/>
      <c r="E556" s="959"/>
      <c r="F556" s="959"/>
      <c r="G556" s="959"/>
      <c r="H556" s="959"/>
      <c r="I556" s="959"/>
      <c r="J556" s="959"/>
      <c r="K556" s="959"/>
      <c r="L556" s="959"/>
      <c r="M556" s="959"/>
      <c r="N556" s="959"/>
      <c r="O556" s="959"/>
      <c r="P556" s="959"/>
      <c r="Q556" s="959"/>
      <c r="R556" s="959"/>
      <c r="S556" s="959"/>
      <c r="T556" s="959"/>
      <c r="U556" s="959"/>
      <c r="V556" s="959"/>
      <c r="W556" s="959"/>
      <c r="X556" s="959"/>
      <c r="Y556" s="959"/>
      <c r="Z556" s="959"/>
      <c r="AA556" s="959"/>
      <c r="AB556" s="959"/>
      <c r="AC556" s="959"/>
      <c r="AD556" s="959"/>
      <c r="AE556" s="959"/>
      <c r="AF556" s="959"/>
      <c r="AG556" s="959"/>
      <c r="AH556" s="959"/>
      <c r="AI556" s="959"/>
      <c r="AJ556" s="959"/>
      <c r="AK556" s="959"/>
      <c r="AL556" s="959"/>
      <c r="AM556" s="959"/>
    </row>
    <row r="557" spans="3:39" x14ac:dyDescent="0.25">
      <c r="C557" s="959"/>
      <c r="D557" s="959"/>
      <c r="E557" s="959"/>
      <c r="F557" s="959"/>
      <c r="G557" s="959"/>
      <c r="H557" s="959"/>
      <c r="I557" s="959"/>
      <c r="J557" s="959"/>
      <c r="K557" s="959"/>
      <c r="L557" s="959"/>
      <c r="M557" s="959"/>
      <c r="N557" s="959"/>
      <c r="O557" s="959"/>
      <c r="P557" s="959"/>
      <c r="Q557" s="959"/>
      <c r="R557" s="959"/>
      <c r="S557" s="959"/>
      <c r="T557" s="959"/>
      <c r="U557" s="959"/>
      <c r="V557" s="959"/>
      <c r="W557" s="959"/>
      <c r="X557" s="959"/>
      <c r="Y557" s="959"/>
      <c r="Z557" s="959"/>
      <c r="AA557" s="959"/>
      <c r="AB557" s="959"/>
      <c r="AC557" s="959"/>
      <c r="AD557" s="959"/>
      <c r="AE557" s="959"/>
      <c r="AF557" s="959"/>
      <c r="AG557" s="959"/>
      <c r="AH557" s="959"/>
      <c r="AI557" s="959"/>
      <c r="AJ557" s="959"/>
      <c r="AK557" s="959"/>
      <c r="AL557" s="959"/>
      <c r="AM557" s="959"/>
    </row>
    <row r="558" spans="3:39" x14ac:dyDescent="0.25">
      <c r="C558" s="959"/>
      <c r="D558" s="959"/>
      <c r="E558" s="959"/>
      <c r="F558" s="959"/>
      <c r="G558" s="959"/>
      <c r="H558" s="959"/>
      <c r="I558" s="959"/>
      <c r="J558" s="959"/>
      <c r="K558" s="959"/>
      <c r="L558" s="959"/>
      <c r="M558" s="959"/>
      <c r="N558" s="959"/>
      <c r="O558" s="959"/>
      <c r="P558" s="959"/>
      <c r="Q558" s="959"/>
      <c r="R558" s="959"/>
      <c r="S558" s="959"/>
      <c r="T558" s="959"/>
      <c r="U558" s="959"/>
      <c r="V558" s="959"/>
      <c r="W558" s="959"/>
      <c r="X558" s="959"/>
      <c r="Y558" s="959"/>
      <c r="Z558" s="959"/>
      <c r="AA558" s="959"/>
      <c r="AB558" s="959"/>
      <c r="AC558" s="959"/>
      <c r="AD558" s="959"/>
      <c r="AE558" s="959"/>
      <c r="AF558" s="959"/>
      <c r="AG558" s="959"/>
      <c r="AH558" s="959"/>
      <c r="AI558" s="959"/>
      <c r="AJ558" s="959"/>
      <c r="AK558" s="959"/>
      <c r="AL558" s="959"/>
      <c r="AM558" s="959"/>
    </row>
    <row r="559" spans="3:39" x14ac:dyDescent="0.25">
      <c r="C559" s="959"/>
      <c r="D559" s="959"/>
      <c r="E559" s="959"/>
      <c r="F559" s="959"/>
      <c r="G559" s="959"/>
      <c r="H559" s="959"/>
      <c r="I559" s="959"/>
      <c r="J559" s="959"/>
      <c r="K559" s="959"/>
      <c r="L559" s="959"/>
      <c r="M559" s="959"/>
      <c r="N559" s="959"/>
      <c r="O559" s="959"/>
      <c r="P559" s="959"/>
      <c r="Q559" s="959"/>
      <c r="R559" s="959"/>
      <c r="S559" s="959"/>
      <c r="T559" s="959"/>
      <c r="U559" s="959"/>
      <c r="V559" s="959"/>
      <c r="W559" s="959"/>
      <c r="X559" s="959"/>
      <c r="Y559" s="959"/>
      <c r="Z559" s="959"/>
      <c r="AA559" s="959"/>
      <c r="AB559" s="959"/>
      <c r="AC559" s="959"/>
      <c r="AD559" s="959"/>
      <c r="AE559" s="959"/>
      <c r="AF559" s="959"/>
      <c r="AG559" s="959"/>
      <c r="AH559" s="959"/>
      <c r="AI559" s="959"/>
      <c r="AJ559" s="959"/>
      <c r="AK559" s="959"/>
      <c r="AL559" s="959"/>
      <c r="AM559" s="959"/>
    </row>
    <row r="560" spans="3:39" x14ac:dyDescent="0.25">
      <c r="C560" s="959"/>
      <c r="D560" s="959"/>
      <c r="E560" s="959"/>
      <c r="F560" s="959"/>
      <c r="G560" s="959"/>
      <c r="H560" s="959"/>
      <c r="I560" s="959"/>
      <c r="J560" s="959"/>
      <c r="K560" s="959"/>
      <c r="L560" s="959"/>
      <c r="M560" s="959"/>
      <c r="N560" s="959"/>
      <c r="O560" s="959"/>
      <c r="P560" s="959"/>
      <c r="Q560" s="959"/>
      <c r="R560" s="959"/>
      <c r="S560" s="959"/>
      <c r="T560" s="959"/>
      <c r="U560" s="959"/>
      <c r="V560" s="959"/>
      <c r="W560" s="959"/>
      <c r="X560" s="959"/>
      <c r="Y560" s="959"/>
      <c r="Z560" s="959"/>
      <c r="AA560" s="959"/>
      <c r="AB560" s="959"/>
      <c r="AC560" s="959"/>
      <c r="AD560" s="959"/>
      <c r="AE560" s="959"/>
      <c r="AF560" s="959"/>
      <c r="AG560" s="959"/>
      <c r="AH560" s="959"/>
      <c r="AI560" s="959"/>
      <c r="AJ560" s="959"/>
      <c r="AK560" s="959"/>
      <c r="AL560" s="959"/>
      <c r="AM560" s="959"/>
    </row>
    <row r="561" spans="3:39" x14ac:dyDescent="0.25">
      <c r="C561" s="959"/>
      <c r="D561" s="959"/>
      <c r="E561" s="959"/>
      <c r="F561" s="959"/>
      <c r="G561" s="959"/>
      <c r="H561" s="959"/>
      <c r="I561" s="959"/>
      <c r="J561" s="959"/>
      <c r="K561" s="959"/>
      <c r="L561" s="959"/>
      <c r="M561" s="959"/>
      <c r="N561" s="959"/>
      <c r="O561" s="959"/>
      <c r="P561" s="959"/>
      <c r="Q561" s="959"/>
      <c r="R561" s="959"/>
      <c r="S561" s="959"/>
      <c r="T561" s="959"/>
      <c r="U561" s="959"/>
      <c r="V561" s="959"/>
      <c r="W561" s="959"/>
      <c r="X561" s="959"/>
      <c r="Y561" s="959"/>
      <c r="Z561" s="959"/>
      <c r="AA561" s="959"/>
      <c r="AB561" s="959"/>
      <c r="AC561" s="959"/>
      <c r="AD561" s="959"/>
      <c r="AE561" s="959"/>
      <c r="AF561" s="959"/>
      <c r="AG561" s="959"/>
      <c r="AH561" s="959"/>
      <c r="AI561" s="959"/>
      <c r="AJ561" s="959"/>
      <c r="AK561" s="959"/>
      <c r="AL561" s="959"/>
      <c r="AM561" s="959"/>
    </row>
    <row r="562" spans="3:39" x14ac:dyDescent="0.25">
      <c r="C562" s="959"/>
      <c r="D562" s="959"/>
      <c r="E562" s="959"/>
      <c r="F562" s="959"/>
      <c r="G562" s="959"/>
      <c r="H562" s="959"/>
      <c r="I562" s="959"/>
      <c r="J562" s="959"/>
      <c r="K562" s="959"/>
      <c r="L562" s="959"/>
      <c r="M562" s="959"/>
      <c r="N562" s="959"/>
      <c r="O562" s="959"/>
      <c r="P562" s="959"/>
      <c r="Q562" s="959"/>
      <c r="R562" s="959"/>
      <c r="S562" s="959"/>
      <c r="T562" s="959"/>
      <c r="U562" s="959"/>
      <c r="V562" s="959"/>
      <c r="W562" s="959"/>
      <c r="X562" s="959"/>
      <c r="Y562" s="959"/>
      <c r="Z562" s="959"/>
      <c r="AA562" s="959"/>
      <c r="AB562" s="959"/>
      <c r="AC562" s="959"/>
      <c r="AD562" s="959"/>
      <c r="AE562" s="959"/>
      <c r="AF562" s="959"/>
      <c r="AG562" s="959"/>
      <c r="AH562" s="959"/>
      <c r="AI562" s="959"/>
      <c r="AJ562" s="959"/>
      <c r="AK562" s="959"/>
      <c r="AL562" s="959"/>
      <c r="AM562" s="959"/>
    </row>
    <row r="563" spans="3:39" x14ac:dyDescent="0.25">
      <c r="C563" s="959"/>
      <c r="D563" s="959"/>
      <c r="E563" s="959"/>
      <c r="F563" s="959"/>
      <c r="G563" s="959"/>
      <c r="H563" s="959"/>
      <c r="I563" s="959"/>
      <c r="J563" s="959"/>
      <c r="K563" s="959"/>
      <c r="L563" s="959"/>
      <c r="M563" s="959"/>
      <c r="N563" s="959"/>
      <c r="O563" s="959"/>
      <c r="P563" s="959"/>
      <c r="Q563" s="959"/>
      <c r="R563" s="959"/>
      <c r="S563" s="959"/>
      <c r="T563" s="959"/>
      <c r="U563" s="959"/>
      <c r="V563" s="959"/>
      <c r="W563" s="959"/>
      <c r="X563" s="959"/>
      <c r="Y563" s="959"/>
      <c r="Z563" s="959"/>
      <c r="AA563" s="959"/>
      <c r="AB563" s="959"/>
      <c r="AC563" s="959"/>
      <c r="AD563" s="959"/>
      <c r="AE563" s="959"/>
      <c r="AF563" s="959"/>
      <c r="AG563" s="959"/>
      <c r="AH563" s="959"/>
      <c r="AI563" s="959"/>
      <c r="AJ563" s="959"/>
      <c r="AK563" s="959"/>
      <c r="AL563" s="959"/>
      <c r="AM563" s="959"/>
    </row>
    <row r="564" spans="3:39" x14ac:dyDescent="0.25">
      <c r="C564" s="959"/>
      <c r="D564" s="959"/>
      <c r="E564" s="959"/>
      <c r="F564" s="959"/>
      <c r="G564" s="959"/>
      <c r="H564" s="959"/>
      <c r="I564" s="959"/>
      <c r="J564" s="959"/>
      <c r="K564" s="959"/>
      <c r="L564" s="959"/>
      <c r="M564" s="959"/>
      <c r="N564" s="959"/>
      <c r="O564" s="959"/>
      <c r="P564" s="959"/>
      <c r="Q564" s="959"/>
      <c r="R564" s="959"/>
      <c r="S564" s="959"/>
      <c r="T564" s="959"/>
      <c r="U564" s="959"/>
      <c r="V564" s="959"/>
      <c r="W564" s="959"/>
      <c r="X564" s="959"/>
      <c r="Y564" s="959"/>
      <c r="Z564" s="959"/>
      <c r="AA564" s="959"/>
      <c r="AB564" s="959"/>
      <c r="AC564" s="959"/>
      <c r="AD564" s="959"/>
      <c r="AE564" s="959"/>
      <c r="AF564" s="959"/>
      <c r="AG564" s="959"/>
      <c r="AH564" s="959"/>
      <c r="AI564" s="959"/>
      <c r="AJ564" s="959"/>
      <c r="AK564" s="959"/>
      <c r="AL564" s="959"/>
      <c r="AM564" s="959"/>
    </row>
    <row r="565" spans="3:39" x14ac:dyDescent="0.25">
      <c r="C565" s="959"/>
      <c r="D565" s="959"/>
      <c r="E565" s="959"/>
      <c r="F565" s="959"/>
      <c r="G565" s="959"/>
      <c r="H565" s="959"/>
      <c r="I565" s="959"/>
      <c r="J565" s="959"/>
      <c r="K565" s="959"/>
      <c r="L565" s="959"/>
      <c r="M565" s="959"/>
      <c r="N565" s="959"/>
      <c r="O565" s="959"/>
      <c r="P565" s="959"/>
      <c r="Q565" s="959"/>
      <c r="R565" s="959"/>
      <c r="S565" s="959"/>
      <c r="T565" s="959"/>
      <c r="U565" s="959"/>
      <c r="V565" s="959"/>
      <c r="W565" s="959"/>
      <c r="X565" s="959"/>
      <c r="Y565" s="959"/>
      <c r="Z565" s="959"/>
      <c r="AA565" s="959"/>
      <c r="AB565" s="959"/>
      <c r="AC565" s="959"/>
      <c r="AD565" s="959"/>
      <c r="AE565" s="959"/>
      <c r="AF565" s="959"/>
      <c r="AG565" s="959"/>
      <c r="AH565" s="959"/>
      <c r="AI565" s="959"/>
      <c r="AJ565" s="959"/>
      <c r="AK565" s="959"/>
      <c r="AL565" s="959"/>
      <c r="AM565" s="959"/>
    </row>
    <row r="566" spans="3:39" x14ac:dyDescent="0.25">
      <c r="C566" s="959"/>
      <c r="D566" s="959"/>
      <c r="E566" s="959"/>
      <c r="F566" s="959"/>
      <c r="G566" s="959"/>
      <c r="H566" s="959"/>
      <c r="I566" s="959"/>
      <c r="J566" s="959"/>
      <c r="K566" s="959"/>
      <c r="L566" s="959"/>
      <c r="M566" s="959"/>
      <c r="N566" s="959"/>
      <c r="O566" s="959"/>
      <c r="P566" s="959"/>
      <c r="Q566" s="959"/>
      <c r="R566" s="959"/>
      <c r="S566" s="959"/>
      <c r="T566" s="959"/>
      <c r="U566" s="959"/>
      <c r="V566" s="959"/>
      <c r="W566" s="959"/>
      <c r="X566" s="959"/>
      <c r="Y566" s="959"/>
      <c r="Z566" s="959"/>
      <c r="AA566" s="959"/>
      <c r="AB566" s="959"/>
      <c r="AC566" s="959"/>
      <c r="AD566" s="959"/>
      <c r="AE566" s="959"/>
      <c r="AF566" s="959"/>
      <c r="AG566" s="959"/>
      <c r="AH566" s="959"/>
      <c r="AI566" s="959"/>
      <c r="AJ566" s="959"/>
      <c r="AK566" s="959"/>
      <c r="AL566" s="959"/>
      <c r="AM566" s="959"/>
    </row>
    <row r="567" spans="3:39" x14ac:dyDescent="0.25">
      <c r="C567" s="959"/>
      <c r="D567" s="959"/>
      <c r="E567" s="959"/>
      <c r="F567" s="959"/>
      <c r="G567" s="959"/>
      <c r="H567" s="959"/>
      <c r="I567" s="959"/>
      <c r="J567" s="959"/>
      <c r="K567" s="959"/>
      <c r="L567" s="959"/>
      <c r="M567" s="959"/>
      <c r="N567" s="959"/>
      <c r="O567" s="959"/>
      <c r="P567" s="959"/>
      <c r="Q567" s="959"/>
      <c r="R567" s="959"/>
      <c r="S567" s="959"/>
      <c r="T567" s="959"/>
      <c r="U567" s="959"/>
      <c r="V567" s="959"/>
      <c r="W567" s="959"/>
      <c r="X567" s="959"/>
      <c r="Y567" s="959"/>
      <c r="Z567" s="959"/>
      <c r="AA567" s="959"/>
      <c r="AB567" s="959"/>
      <c r="AC567" s="959"/>
      <c r="AD567" s="959"/>
      <c r="AE567" s="959"/>
      <c r="AF567" s="959"/>
      <c r="AG567" s="959"/>
      <c r="AH567" s="959"/>
      <c r="AI567" s="959"/>
      <c r="AJ567" s="959"/>
      <c r="AK567" s="959"/>
      <c r="AL567" s="959"/>
      <c r="AM567" s="959"/>
    </row>
    <row r="568" spans="3:39" x14ac:dyDescent="0.25">
      <c r="C568" s="959"/>
      <c r="D568" s="959"/>
      <c r="E568" s="959"/>
      <c r="F568" s="959"/>
      <c r="G568" s="959"/>
      <c r="H568" s="959"/>
      <c r="I568" s="959"/>
      <c r="J568" s="959"/>
      <c r="K568" s="959"/>
      <c r="L568" s="959"/>
      <c r="M568" s="959"/>
      <c r="N568" s="959"/>
      <c r="O568" s="959"/>
      <c r="P568" s="959"/>
      <c r="Q568" s="959"/>
      <c r="R568" s="959"/>
      <c r="S568" s="959"/>
      <c r="T568" s="959"/>
      <c r="U568" s="959"/>
      <c r="V568" s="959"/>
      <c r="W568" s="959"/>
      <c r="X568" s="959"/>
      <c r="Y568" s="959"/>
      <c r="Z568" s="959"/>
      <c r="AA568" s="959"/>
      <c r="AB568" s="959"/>
      <c r="AC568" s="959"/>
      <c r="AD568" s="959"/>
      <c r="AE568" s="959"/>
      <c r="AF568" s="959"/>
      <c r="AG568" s="959"/>
      <c r="AH568" s="959"/>
      <c r="AI568" s="959"/>
      <c r="AJ568" s="959"/>
      <c r="AK568" s="959"/>
      <c r="AL568" s="959"/>
      <c r="AM568" s="959"/>
    </row>
    <row r="569" spans="3:39" x14ac:dyDescent="0.25">
      <c r="C569" s="959"/>
      <c r="D569" s="959"/>
      <c r="E569" s="959"/>
      <c r="F569" s="959"/>
      <c r="G569" s="959"/>
      <c r="H569" s="959"/>
      <c r="I569" s="959"/>
      <c r="J569" s="959"/>
      <c r="K569" s="959"/>
      <c r="L569" s="959"/>
      <c r="M569" s="959"/>
      <c r="N569" s="959"/>
      <c r="O569" s="959"/>
      <c r="P569" s="959"/>
      <c r="Q569" s="959"/>
      <c r="R569" s="959"/>
      <c r="S569" s="959"/>
      <c r="T569" s="959"/>
      <c r="U569" s="959"/>
      <c r="V569" s="959"/>
      <c r="W569" s="959"/>
      <c r="X569" s="959"/>
      <c r="Y569" s="959"/>
      <c r="Z569" s="959"/>
      <c r="AA569" s="959"/>
      <c r="AB569" s="959"/>
      <c r="AC569" s="959"/>
      <c r="AD569" s="959"/>
      <c r="AE569" s="959"/>
      <c r="AF569" s="959"/>
      <c r="AG569" s="959"/>
      <c r="AH569" s="959"/>
      <c r="AI569" s="959"/>
      <c r="AJ569" s="959"/>
      <c r="AK569" s="959"/>
      <c r="AL569" s="959"/>
      <c r="AM569" s="959"/>
    </row>
    <row r="570" spans="3:39" x14ac:dyDescent="0.25">
      <c r="C570" s="959"/>
      <c r="D570" s="959"/>
      <c r="E570" s="959"/>
      <c r="F570" s="959"/>
      <c r="G570" s="959"/>
      <c r="H570" s="959"/>
      <c r="I570" s="959"/>
      <c r="J570" s="959"/>
      <c r="K570" s="959"/>
      <c r="L570" s="959"/>
      <c r="M570" s="959"/>
      <c r="N570" s="959"/>
      <c r="O570" s="959"/>
      <c r="P570" s="959"/>
      <c r="Q570" s="959"/>
      <c r="R570" s="959"/>
      <c r="S570" s="959"/>
      <c r="T570" s="959"/>
      <c r="U570" s="959"/>
      <c r="V570" s="959"/>
      <c r="W570" s="959"/>
      <c r="X570" s="959"/>
      <c r="Y570" s="959"/>
      <c r="Z570" s="959"/>
      <c r="AA570" s="959"/>
      <c r="AB570" s="959"/>
      <c r="AC570" s="959"/>
      <c r="AD570" s="959"/>
      <c r="AE570" s="959"/>
      <c r="AF570" s="959"/>
      <c r="AG570" s="959"/>
      <c r="AH570" s="959"/>
      <c r="AI570" s="959"/>
      <c r="AJ570" s="959"/>
      <c r="AK570" s="959"/>
      <c r="AL570" s="959"/>
      <c r="AM570" s="959"/>
    </row>
    <row r="571" spans="3:39" x14ac:dyDescent="0.25">
      <c r="C571" s="959"/>
      <c r="D571" s="959"/>
      <c r="E571" s="959"/>
      <c r="F571" s="959"/>
      <c r="G571" s="959"/>
      <c r="H571" s="959"/>
      <c r="I571" s="959"/>
      <c r="J571" s="959"/>
      <c r="K571" s="959"/>
      <c r="L571" s="959"/>
      <c r="M571" s="959"/>
      <c r="N571" s="959"/>
      <c r="O571" s="959"/>
      <c r="P571" s="959"/>
      <c r="Q571" s="959"/>
      <c r="R571" s="959"/>
      <c r="S571" s="959"/>
      <c r="T571" s="959"/>
      <c r="U571" s="959"/>
      <c r="V571" s="959"/>
      <c r="W571" s="959"/>
      <c r="X571" s="959"/>
      <c r="Y571" s="959"/>
      <c r="Z571" s="959"/>
      <c r="AA571" s="959"/>
      <c r="AB571" s="959"/>
      <c r="AC571" s="959"/>
      <c r="AD571" s="959"/>
      <c r="AE571" s="959"/>
      <c r="AF571" s="959"/>
      <c r="AG571" s="959"/>
      <c r="AH571" s="959"/>
      <c r="AI571" s="959"/>
      <c r="AJ571" s="959"/>
      <c r="AK571" s="959"/>
      <c r="AL571" s="959"/>
      <c r="AM571" s="959"/>
    </row>
    <row r="572" spans="3:39" x14ac:dyDescent="0.25">
      <c r="C572" s="959"/>
      <c r="D572" s="959"/>
      <c r="E572" s="959"/>
      <c r="F572" s="959"/>
      <c r="G572" s="959"/>
      <c r="H572" s="959"/>
      <c r="I572" s="959"/>
      <c r="J572" s="959"/>
      <c r="K572" s="959"/>
      <c r="L572" s="959"/>
      <c r="M572" s="959"/>
      <c r="N572" s="959"/>
      <c r="O572" s="959"/>
      <c r="P572" s="959"/>
      <c r="Q572" s="959"/>
      <c r="R572" s="959"/>
      <c r="S572" s="959"/>
      <c r="T572" s="959"/>
      <c r="U572" s="959"/>
      <c r="V572" s="959"/>
      <c r="W572" s="959"/>
      <c r="X572" s="959"/>
      <c r="Y572" s="959"/>
      <c r="Z572" s="959"/>
      <c r="AA572" s="959"/>
      <c r="AB572" s="959"/>
      <c r="AC572" s="959"/>
      <c r="AD572" s="959"/>
      <c r="AE572" s="959"/>
      <c r="AF572" s="959"/>
      <c r="AG572" s="959"/>
      <c r="AH572" s="959"/>
      <c r="AI572" s="959"/>
      <c r="AJ572" s="959"/>
      <c r="AK572" s="959"/>
      <c r="AL572" s="959"/>
      <c r="AM572" s="959"/>
    </row>
    <row r="573" spans="3:39" x14ac:dyDescent="0.25">
      <c r="C573" s="959"/>
      <c r="D573" s="959"/>
      <c r="E573" s="959"/>
      <c r="F573" s="959"/>
      <c r="G573" s="959"/>
      <c r="H573" s="959"/>
      <c r="I573" s="959"/>
      <c r="J573" s="959"/>
      <c r="K573" s="959"/>
      <c r="L573" s="959"/>
      <c r="M573" s="959"/>
      <c r="N573" s="959"/>
      <c r="O573" s="959"/>
      <c r="P573" s="959"/>
      <c r="Q573" s="959"/>
      <c r="R573" s="959"/>
      <c r="S573" s="959"/>
      <c r="T573" s="959"/>
      <c r="U573" s="959"/>
      <c r="V573" s="959"/>
      <c r="W573" s="959"/>
      <c r="X573" s="959"/>
      <c r="Y573" s="959"/>
      <c r="Z573" s="959"/>
      <c r="AA573" s="959"/>
      <c r="AB573" s="959"/>
      <c r="AC573" s="959"/>
      <c r="AD573" s="959"/>
      <c r="AE573" s="959"/>
      <c r="AF573" s="959"/>
      <c r="AG573" s="959"/>
      <c r="AH573" s="959"/>
      <c r="AI573" s="959"/>
      <c r="AJ573" s="959"/>
      <c r="AK573" s="959"/>
      <c r="AL573" s="959"/>
      <c r="AM573" s="959"/>
    </row>
    <row r="574" spans="3:39" x14ac:dyDescent="0.25">
      <c r="C574" s="959"/>
      <c r="D574" s="959"/>
      <c r="E574" s="959"/>
      <c r="F574" s="959"/>
      <c r="G574" s="959"/>
      <c r="H574" s="959"/>
      <c r="I574" s="959"/>
      <c r="J574" s="959"/>
      <c r="K574" s="959"/>
      <c r="L574" s="959"/>
      <c r="M574" s="959"/>
      <c r="N574" s="959"/>
      <c r="O574" s="959"/>
      <c r="P574" s="959"/>
      <c r="Q574" s="959"/>
      <c r="R574" s="959"/>
      <c r="S574" s="959"/>
      <c r="T574" s="959"/>
      <c r="U574" s="959"/>
      <c r="V574" s="959"/>
      <c r="W574" s="959"/>
      <c r="X574" s="959"/>
      <c r="Y574" s="959"/>
      <c r="Z574" s="959"/>
      <c r="AA574" s="959"/>
      <c r="AB574" s="959"/>
      <c r="AC574" s="959"/>
      <c r="AD574" s="959"/>
      <c r="AE574" s="959"/>
      <c r="AF574" s="959"/>
      <c r="AG574" s="959"/>
      <c r="AH574" s="959"/>
      <c r="AI574" s="959"/>
      <c r="AJ574" s="959"/>
      <c r="AK574" s="959"/>
      <c r="AL574" s="959"/>
      <c r="AM574" s="959"/>
    </row>
    <row r="575" spans="3:39" x14ac:dyDescent="0.25">
      <c r="C575" s="959"/>
      <c r="D575" s="959"/>
      <c r="E575" s="959"/>
      <c r="F575" s="959"/>
      <c r="G575" s="959"/>
      <c r="H575" s="959"/>
      <c r="I575" s="959"/>
      <c r="J575" s="959"/>
      <c r="K575" s="959"/>
      <c r="L575" s="959"/>
      <c r="M575" s="959"/>
      <c r="N575" s="959"/>
      <c r="O575" s="959"/>
      <c r="P575" s="959"/>
      <c r="Q575" s="959"/>
      <c r="R575" s="959"/>
      <c r="S575" s="959"/>
      <c r="T575" s="959"/>
      <c r="U575" s="959"/>
      <c r="V575" s="959"/>
      <c r="W575" s="959"/>
      <c r="X575" s="959"/>
      <c r="Y575" s="959"/>
      <c r="Z575" s="959"/>
      <c r="AA575" s="959"/>
      <c r="AB575" s="959"/>
      <c r="AC575" s="959"/>
      <c r="AD575" s="959"/>
      <c r="AE575" s="959"/>
      <c r="AF575" s="959"/>
      <c r="AG575" s="959"/>
      <c r="AH575" s="959"/>
      <c r="AI575" s="959"/>
      <c r="AJ575" s="959"/>
      <c r="AK575" s="959"/>
      <c r="AL575" s="959"/>
      <c r="AM575" s="959"/>
    </row>
    <row r="576" spans="3:39" x14ac:dyDescent="0.25">
      <c r="C576" s="959"/>
      <c r="D576" s="959"/>
      <c r="E576" s="959"/>
      <c r="F576" s="959"/>
      <c r="G576" s="959"/>
      <c r="H576" s="959"/>
      <c r="I576" s="959"/>
      <c r="J576" s="959"/>
      <c r="K576" s="959"/>
      <c r="L576" s="959"/>
      <c r="M576" s="959"/>
      <c r="N576" s="959"/>
      <c r="O576" s="959"/>
      <c r="P576" s="959"/>
      <c r="Q576" s="959"/>
      <c r="R576" s="959"/>
      <c r="S576" s="959"/>
      <c r="T576" s="959"/>
      <c r="U576" s="959"/>
      <c r="V576" s="959"/>
      <c r="W576" s="959"/>
      <c r="X576" s="959"/>
      <c r="Y576" s="959"/>
      <c r="Z576" s="959"/>
      <c r="AA576" s="959"/>
      <c r="AB576" s="959"/>
      <c r="AC576" s="959"/>
      <c r="AD576" s="959"/>
      <c r="AE576" s="959"/>
      <c r="AF576" s="959"/>
      <c r="AG576" s="959"/>
      <c r="AH576" s="959"/>
      <c r="AI576" s="959"/>
      <c r="AJ576" s="959"/>
      <c r="AK576" s="959"/>
      <c r="AL576" s="959"/>
      <c r="AM576" s="959"/>
    </row>
    <row r="577" spans="3:39" x14ac:dyDescent="0.25">
      <c r="C577" s="959"/>
      <c r="D577" s="959"/>
      <c r="E577" s="959"/>
      <c r="F577" s="959"/>
      <c r="G577" s="959"/>
      <c r="H577" s="959"/>
      <c r="I577" s="959"/>
      <c r="J577" s="959"/>
      <c r="K577" s="959"/>
      <c r="L577" s="959"/>
      <c r="M577" s="959"/>
      <c r="N577" s="959"/>
      <c r="O577" s="959"/>
      <c r="P577" s="959"/>
      <c r="Q577" s="959"/>
      <c r="R577" s="959"/>
      <c r="S577" s="959"/>
      <c r="T577" s="959"/>
      <c r="U577" s="959"/>
      <c r="V577" s="959"/>
      <c r="W577" s="959"/>
      <c r="X577" s="959"/>
      <c r="Y577" s="959"/>
      <c r="Z577" s="959"/>
      <c r="AA577" s="959"/>
      <c r="AB577" s="959"/>
      <c r="AC577" s="959"/>
      <c r="AD577" s="959"/>
      <c r="AE577" s="959"/>
      <c r="AF577" s="959"/>
      <c r="AG577" s="959"/>
      <c r="AH577" s="959"/>
      <c r="AI577" s="959"/>
      <c r="AJ577" s="959"/>
      <c r="AK577" s="959"/>
      <c r="AL577" s="959"/>
      <c r="AM577" s="959"/>
    </row>
    <row r="578" spans="3:39" x14ac:dyDescent="0.25">
      <c r="C578" s="959"/>
      <c r="D578" s="959"/>
      <c r="E578" s="959"/>
      <c r="F578" s="959"/>
      <c r="G578" s="959"/>
      <c r="H578" s="959"/>
      <c r="I578" s="959"/>
      <c r="J578" s="959"/>
      <c r="K578" s="959"/>
      <c r="L578" s="959"/>
      <c r="M578" s="959"/>
      <c r="N578" s="959"/>
      <c r="O578" s="959"/>
      <c r="P578" s="959"/>
      <c r="Q578" s="959"/>
      <c r="R578" s="959"/>
      <c r="S578" s="959"/>
      <c r="T578" s="959"/>
      <c r="U578" s="959"/>
      <c r="V578" s="959"/>
      <c r="W578" s="959"/>
      <c r="X578" s="959"/>
      <c r="Y578" s="959"/>
      <c r="Z578" s="959"/>
      <c r="AA578" s="959"/>
      <c r="AB578" s="959"/>
      <c r="AC578" s="959"/>
      <c r="AD578" s="959"/>
      <c r="AE578" s="959"/>
      <c r="AF578" s="959"/>
      <c r="AG578" s="959"/>
      <c r="AH578" s="959"/>
      <c r="AI578" s="959"/>
      <c r="AJ578" s="959"/>
      <c r="AK578" s="959"/>
      <c r="AL578" s="959"/>
      <c r="AM578" s="959"/>
    </row>
    <row r="579" spans="3:39" x14ac:dyDescent="0.25">
      <c r="C579" s="959"/>
      <c r="D579" s="959"/>
      <c r="E579" s="959"/>
      <c r="F579" s="959"/>
      <c r="G579" s="959"/>
      <c r="H579" s="959"/>
      <c r="I579" s="959"/>
      <c r="J579" s="959"/>
      <c r="K579" s="959"/>
      <c r="L579" s="959"/>
      <c r="M579" s="959"/>
      <c r="N579" s="959"/>
      <c r="O579" s="959"/>
      <c r="P579" s="959"/>
      <c r="Q579" s="959"/>
      <c r="R579" s="959"/>
      <c r="S579" s="959"/>
      <c r="T579" s="959"/>
      <c r="U579" s="959"/>
      <c r="V579" s="959"/>
      <c r="W579" s="959"/>
      <c r="X579" s="959"/>
      <c r="Y579" s="959"/>
      <c r="Z579" s="959"/>
      <c r="AA579" s="959"/>
      <c r="AB579" s="959"/>
      <c r="AC579" s="959"/>
      <c r="AD579" s="959"/>
      <c r="AE579" s="959"/>
      <c r="AF579" s="959"/>
      <c r="AG579" s="959"/>
      <c r="AH579" s="959"/>
      <c r="AI579" s="959"/>
      <c r="AJ579" s="959"/>
      <c r="AK579" s="959"/>
      <c r="AL579" s="959"/>
      <c r="AM579" s="959"/>
    </row>
    <row r="580" spans="3:39" x14ac:dyDescent="0.25">
      <c r="C580" s="959"/>
      <c r="D580" s="959"/>
      <c r="E580" s="959"/>
      <c r="F580" s="959"/>
      <c r="G580" s="959"/>
      <c r="H580" s="959"/>
      <c r="I580" s="959"/>
      <c r="J580" s="959"/>
      <c r="K580" s="959"/>
      <c r="L580" s="959"/>
      <c r="M580" s="959"/>
      <c r="N580" s="959"/>
      <c r="O580" s="959"/>
      <c r="P580" s="959"/>
      <c r="Q580" s="959"/>
      <c r="R580" s="959"/>
      <c r="S580" s="959"/>
      <c r="T580" s="959"/>
      <c r="U580" s="959"/>
      <c r="V580" s="959"/>
      <c r="W580" s="959"/>
      <c r="X580" s="959"/>
      <c r="Y580" s="959"/>
      <c r="Z580" s="959"/>
      <c r="AA580" s="959"/>
      <c r="AB580" s="959"/>
      <c r="AC580" s="959"/>
      <c r="AD580" s="959"/>
      <c r="AE580" s="959"/>
      <c r="AF580" s="959"/>
      <c r="AG580" s="959"/>
      <c r="AH580" s="959"/>
      <c r="AI580" s="959"/>
      <c r="AJ580" s="959"/>
      <c r="AK580" s="959"/>
      <c r="AL580" s="959"/>
      <c r="AM580" s="959"/>
    </row>
    <row r="581" spans="3:39" x14ac:dyDescent="0.25">
      <c r="C581" s="959"/>
      <c r="D581" s="959"/>
      <c r="E581" s="959"/>
      <c r="F581" s="959"/>
      <c r="G581" s="959"/>
      <c r="H581" s="959"/>
      <c r="I581" s="959"/>
      <c r="J581" s="959"/>
      <c r="K581" s="959"/>
      <c r="L581" s="959"/>
      <c r="M581" s="959"/>
      <c r="N581" s="959"/>
      <c r="O581" s="959"/>
      <c r="P581" s="959"/>
      <c r="Q581" s="959"/>
      <c r="R581" s="959"/>
      <c r="S581" s="959"/>
      <c r="T581" s="959"/>
      <c r="U581" s="959"/>
      <c r="V581" s="959"/>
      <c r="W581" s="959"/>
      <c r="X581" s="959"/>
      <c r="Y581" s="959"/>
      <c r="Z581" s="959"/>
      <c r="AA581" s="959"/>
      <c r="AB581" s="959"/>
      <c r="AC581" s="959"/>
      <c r="AD581" s="959"/>
      <c r="AE581" s="959"/>
      <c r="AF581" s="959"/>
      <c r="AG581" s="959"/>
      <c r="AH581" s="959"/>
      <c r="AI581" s="959"/>
      <c r="AJ581" s="959"/>
      <c r="AK581" s="959"/>
      <c r="AL581" s="959"/>
      <c r="AM581" s="959"/>
    </row>
    <row r="582" spans="3:39" x14ac:dyDescent="0.25">
      <c r="C582" s="959"/>
      <c r="D582" s="959"/>
      <c r="E582" s="959"/>
      <c r="F582" s="959"/>
      <c r="G582" s="959"/>
      <c r="H582" s="959"/>
      <c r="I582" s="959"/>
      <c r="J582" s="959"/>
      <c r="K582" s="959"/>
      <c r="L582" s="959"/>
      <c r="M582" s="959"/>
      <c r="N582" s="959"/>
      <c r="O582" s="959"/>
      <c r="P582" s="959"/>
      <c r="Q582" s="959"/>
      <c r="R582" s="959"/>
      <c r="S582" s="959"/>
      <c r="T582" s="959"/>
      <c r="U582" s="959"/>
      <c r="V582" s="959"/>
      <c r="W582" s="959"/>
      <c r="X582" s="959"/>
      <c r="Y582" s="959"/>
      <c r="Z582" s="959"/>
      <c r="AA582" s="959"/>
      <c r="AB582" s="959"/>
      <c r="AC582" s="959"/>
      <c r="AD582" s="959"/>
      <c r="AE582" s="959"/>
      <c r="AF582" s="959"/>
      <c r="AG582" s="959"/>
      <c r="AH582" s="959"/>
      <c r="AI582" s="959"/>
      <c r="AJ582" s="959"/>
      <c r="AK582" s="959"/>
      <c r="AL582" s="959"/>
      <c r="AM582" s="959"/>
    </row>
    <row r="583" spans="3:39" x14ac:dyDescent="0.25">
      <c r="C583" s="959"/>
      <c r="D583" s="959"/>
      <c r="E583" s="959"/>
      <c r="F583" s="959"/>
      <c r="G583" s="959"/>
      <c r="H583" s="959"/>
      <c r="I583" s="959"/>
      <c r="J583" s="959"/>
      <c r="K583" s="959"/>
      <c r="L583" s="959"/>
      <c r="M583" s="959"/>
      <c r="N583" s="959"/>
      <c r="O583" s="959"/>
      <c r="P583" s="959"/>
      <c r="Q583" s="959"/>
      <c r="R583" s="959"/>
      <c r="S583" s="959"/>
      <c r="T583" s="959"/>
      <c r="U583" s="959"/>
      <c r="V583" s="959"/>
      <c r="W583" s="959"/>
      <c r="X583" s="959"/>
      <c r="Y583" s="959"/>
      <c r="Z583" s="959"/>
      <c r="AA583" s="959"/>
      <c r="AB583" s="959"/>
      <c r="AC583" s="959"/>
      <c r="AD583" s="959"/>
      <c r="AE583" s="959"/>
      <c r="AF583" s="959"/>
      <c r="AG583" s="959"/>
      <c r="AH583" s="959"/>
      <c r="AI583" s="959"/>
      <c r="AJ583" s="959"/>
      <c r="AK583" s="959"/>
      <c r="AL583" s="959"/>
      <c r="AM583" s="959"/>
    </row>
    <row r="584" spans="3:39" x14ac:dyDescent="0.25">
      <c r="C584" s="959"/>
      <c r="D584" s="959"/>
      <c r="E584" s="959"/>
      <c r="F584" s="959"/>
      <c r="G584" s="959"/>
      <c r="H584" s="959"/>
      <c r="I584" s="959"/>
      <c r="J584" s="959"/>
      <c r="K584" s="959"/>
      <c r="L584" s="959"/>
      <c r="M584" s="959"/>
      <c r="N584" s="959"/>
      <c r="O584" s="959"/>
      <c r="P584" s="959"/>
      <c r="Q584" s="959"/>
      <c r="R584" s="959"/>
      <c r="S584" s="959"/>
      <c r="T584" s="959"/>
      <c r="U584" s="959"/>
      <c r="V584" s="959"/>
      <c r="W584" s="959"/>
      <c r="X584" s="959"/>
      <c r="Y584" s="959"/>
      <c r="Z584" s="959"/>
      <c r="AA584" s="959"/>
      <c r="AB584" s="959"/>
      <c r="AC584" s="959"/>
      <c r="AD584" s="959"/>
      <c r="AE584" s="959"/>
      <c r="AF584" s="959"/>
      <c r="AG584" s="959"/>
      <c r="AH584" s="959"/>
      <c r="AI584" s="959"/>
      <c r="AJ584" s="959"/>
      <c r="AK584" s="959"/>
      <c r="AL584" s="959"/>
      <c r="AM584" s="959"/>
    </row>
    <row r="585" spans="3:39" x14ac:dyDescent="0.25">
      <c r="C585" s="959"/>
      <c r="D585" s="959"/>
      <c r="E585" s="959"/>
      <c r="F585" s="959"/>
      <c r="G585" s="959"/>
      <c r="H585" s="959"/>
      <c r="I585" s="959"/>
      <c r="J585" s="959"/>
      <c r="K585" s="959"/>
      <c r="L585" s="959"/>
      <c r="M585" s="959"/>
      <c r="N585" s="959"/>
      <c r="O585" s="959"/>
      <c r="P585" s="959"/>
      <c r="Q585" s="959"/>
      <c r="R585" s="959"/>
      <c r="S585" s="959"/>
      <c r="T585" s="959"/>
      <c r="U585" s="959"/>
      <c r="V585" s="959"/>
      <c r="W585" s="959"/>
      <c r="X585" s="959"/>
      <c r="Y585" s="959"/>
      <c r="Z585" s="959"/>
      <c r="AA585" s="959"/>
      <c r="AB585" s="959"/>
      <c r="AC585" s="959"/>
      <c r="AD585" s="959"/>
      <c r="AE585" s="959"/>
      <c r="AF585" s="959"/>
      <c r="AG585" s="959"/>
      <c r="AH585" s="959"/>
      <c r="AI585" s="959"/>
      <c r="AJ585" s="959"/>
      <c r="AK585" s="959"/>
      <c r="AL585" s="959"/>
      <c r="AM585" s="959"/>
    </row>
    <row r="586" spans="3:39" x14ac:dyDescent="0.25">
      <c r="C586" s="959"/>
      <c r="D586" s="959"/>
      <c r="E586" s="959"/>
      <c r="F586" s="959"/>
      <c r="G586" s="959"/>
      <c r="H586" s="959"/>
      <c r="I586" s="959"/>
      <c r="J586" s="959"/>
      <c r="K586" s="959"/>
      <c r="L586" s="959"/>
      <c r="M586" s="959"/>
      <c r="N586" s="959"/>
      <c r="O586" s="959"/>
      <c r="P586" s="959"/>
      <c r="Q586" s="959"/>
      <c r="R586" s="959"/>
      <c r="S586" s="959"/>
      <c r="T586" s="959"/>
      <c r="U586" s="959"/>
      <c r="V586" s="959"/>
      <c r="W586" s="959"/>
      <c r="X586" s="959"/>
      <c r="Y586" s="959"/>
      <c r="Z586" s="959"/>
      <c r="AA586" s="959"/>
      <c r="AB586" s="959"/>
      <c r="AC586" s="959"/>
      <c r="AD586" s="959"/>
      <c r="AE586" s="959"/>
      <c r="AF586" s="959"/>
      <c r="AG586" s="959"/>
      <c r="AH586" s="959"/>
      <c r="AI586" s="959"/>
      <c r="AJ586" s="959"/>
      <c r="AK586" s="959"/>
      <c r="AL586" s="959"/>
      <c r="AM586" s="959"/>
    </row>
    <row r="587" spans="3:39" x14ac:dyDescent="0.25">
      <c r="C587" s="959"/>
      <c r="D587" s="959"/>
      <c r="E587" s="959"/>
      <c r="F587" s="959"/>
      <c r="G587" s="959"/>
      <c r="H587" s="959"/>
      <c r="I587" s="959"/>
      <c r="J587" s="959"/>
      <c r="K587" s="959"/>
      <c r="L587" s="959"/>
      <c r="M587" s="959"/>
      <c r="N587" s="959"/>
      <c r="O587" s="959"/>
      <c r="P587" s="959"/>
      <c r="Q587" s="959"/>
      <c r="R587" s="959"/>
      <c r="S587" s="959"/>
      <c r="T587" s="959"/>
      <c r="U587" s="959"/>
      <c r="V587" s="959"/>
      <c r="W587" s="959"/>
      <c r="X587" s="959"/>
      <c r="Y587" s="959"/>
      <c r="Z587" s="959"/>
      <c r="AA587" s="959"/>
      <c r="AB587" s="959"/>
      <c r="AC587" s="959"/>
      <c r="AD587" s="959"/>
      <c r="AE587" s="959"/>
      <c r="AF587" s="959"/>
      <c r="AG587" s="959"/>
      <c r="AH587" s="959"/>
      <c r="AI587" s="959"/>
      <c r="AJ587" s="959"/>
      <c r="AK587" s="959"/>
      <c r="AL587" s="959"/>
      <c r="AM587" s="959"/>
    </row>
    <row r="588" spans="3:39" x14ac:dyDescent="0.25">
      <c r="C588" s="959"/>
      <c r="D588" s="959"/>
      <c r="E588" s="959"/>
      <c r="F588" s="959"/>
      <c r="G588" s="959"/>
      <c r="H588" s="959"/>
      <c r="I588" s="959"/>
      <c r="J588" s="959"/>
      <c r="K588" s="959"/>
      <c r="L588" s="959"/>
      <c r="M588" s="959"/>
      <c r="N588" s="959"/>
      <c r="O588" s="959"/>
      <c r="P588" s="959"/>
      <c r="Q588" s="959"/>
      <c r="R588" s="959"/>
      <c r="S588" s="959"/>
      <c r="T588" s="959"/>
      <c r="U588" s="959"/>
      <c r="V588" s="959"/>
      <c r="W588" s="959"/>
      <c r="X588" s="959"/>
      <c r="Y588" s="959"/>
      <c r="Z588" s="959"/>
      <c r="AA588" s="959"/>
      <c r="AB588" s="959"/>
      <c r="AC588" s="959"/>
      <c r="AD588" s="959"/>
      <c r="AE588" s="959"/>
      <c r="AF588" s="959"/>
      <c r="AG588" s="959"/>
      <c r="AH588" s="959"/>
      <c r="AI588" s="959"/>
      <c r="AJ588" s="959"/>
      <c r="AK588" s="959"/>
      <c r="AL588" s="959"/>
      <c r="AM588" s="959"/>
    </row>
    <row r="589" spans="3:39" x14ac:dyDescent="0.25">
      <c r="C589" s="959"/>
      <c r="D589" s="959"/>
      <c r="E589" s="959"/>
      <c r="F589" s="959"/>
      <c r="G589" s="959"/>
      <c r="H589" s="959"/>
      <c r="I589" s="959"/>
      <c r="J589" s="959"/>
      <c r="K589" s="959"/>
      <c r="L589" s="959"/>
      <c r="M589" s="959"/>
      <c r="N589" s="959"/>
      <c r="O589" s="959"/>
      <c r="P589" s="959"/>
      <c r="Q589" s="959"/>
      <c r="R589" s="959"/>
      <c r="S589" s="959"/>
      <c r="T589" s="959"/>
      <c r="U589" s="959"/>
      <c r="V589" s="959"/>
      <c r="W589" s="959"/>
      <c r="X589" s="959"/>
      <c r="Y589" s="959"/>
      <c r="Z589" s="959"/>
      <c r="AA589" s="959"/>
      <c r="AB589" s="959"/>
      <c r="AC589" s="959"/>
      <c r="AD589" s="959"/>
      <c r="AE589" s="959"/>
      <c r="AF589" s="959"/>
      <c r="AG589" s="959"/>
      <c r="AH589" s="959"/>
      <c r="AI589" s="959"/>
      <c r="AJ589" s="959"/>
      <c r="AK589" s="959"/>
      <c r="AL589" s="959"/>
      <c r="AM589" s="959"/>
    </row>
    <row r="590" spans="3:39" x14ac:dyDescent="0.25">
      <c r="C590" s="959"/>
      <c r="D590" s="959"/>
      <c r="E590" s="959"/>
      <c r="F590" s="959"/>
      <c r="G590" s="959"/>
      <c r="H590" s="959"/>
      <c r="I590" s="959"/>
      <c r="J590" s="959"/>
      <c r="K590" s="959"/>
      <c r="L590" s="959"/>
      <c r="M590" s="959"/>
      <c r="N590" s="959"/>
      <c r="O590" s="959"/>
      <c r="P590" s="959"/>
      <c r="Q590" s="959"/>
      <c r="R590" s="959"/>
      <c r="S590" s="959"/>
      <c r="T590" s="959"/>
      <c r="U590" s="959"/>
      <c r="V590" s="959"/>
      <c r="W590" s="959"/>
      <c r="X590" s="959"/>
      <c r="Y590" s="959"/>
      <c r="Z590" s="959"/>
      <c r="AA590" s="959"/>
      <c r="AB590" s="959"/>
      <c r="AC590" s="959"/>
      <c r="AD590" s="959"/>
      <c r="AE590" s="959"/>
      <c r="AF590" s="959"/>
      <c r="AG590" s="959"/>
      <c r="AH590" s="959"/>
      <c r="AI590" s="959"/>
      <c r="AJ590" s="959"/>
      <c r="AK590" s="959"/>
      <c r="AL590" s="959"/>
      <c r="AM590" s="959"/>
    </row>
    <row r="591" spans="3:39" x14ac:dyDescent="0.25">
      <c r="C591" s="959"/>
      <c r="D591" s="959"/>
      <c r="E591" s="959"/>
      <c r="F591" s="959"/>
      <c r="G591" s="959"/>
      <c r="H591" s="959"/>
      <c r="I591" s="959"/>
      <c r="J591" s="959"/>
      <c r="K591" s="959"/>
      <c r="L591" s="959"/>
      <c r="M591" s="959"/>
      <c r="N591" s="959"/>
      <c r="O591" s="959"/>
      <c r="P591" s="959"/>
      <c r="Q591" s="959"/>
      <c r="R591" s="959"/>
      <c r="S591" s="959"/>
      <c r="T591" s="959"/>
      <c r="U591" s="959"/>
      <c r="V591" s="959"/>
      <c r="W591" s="959"/>
      <c r="X591" s="959"/>
      <c r="Y591" s="959"/>
      <c r="Z591" s="959"/>
      <c r="AA591" s="959"/>
      <c r="AB591" s="959"/>
      <c r="AC591" s="959"/>
      <c r="AD591" s="959"/>
      <c r="AE591" s="959"/>
      <c r="AF591" s="959"/>
      <c r="AG591" s="959"/>
      <c r="AH591" s="959"/>
      <c r="AI591" s="959"/>
      <c r="AJ591" s="959"/>
      <c r="AK591" s="959"/>
      <c r="AL591" s="959"/>
      <c r="AM591" s="959"/>
    </row>
    <row r="592" spans="3:39" x14ac:dyDescent="0.25">
      <c r="C592" s="959"/>
      <c r="D592" s="959"/>
      <c r="E592" s="959"/>
      <c r="F592" s="959"/>
      <c r="G592" s="959"/>
      <c r="H592" s="959"/>
      <c r="I592" s="959"/>
      <c r="J592" s="959"/>
      <c r="K592" s="959"/>
      <c r="L592" s="959"/>
      <c r="M592" s="959"/>
      <c r="N592" s="959"/>
      <c r="O592" s="959"/>
      <c r="P592" s="959"/>
      <c r="Q592" s="959"/>
      <c r="R592" s="959"/>
      <c r="S592" s="959"/>
      <c r="T592" s="959"/>
      <c r="U592" s="959"/>
      <c r="V592" s="959"/>
      <c r="W592" s="959"/>
      <c r="X592" s="959"/>
      <c r="Y592" s="959"/>
      <c r="Z592" s="959"/>
      <c r="AA592" s="959"/>
      <c r="AB592" s="959"/>
      <c r="AC592" s="959"/>
      <c r="AD592" s="959"/>
      <c r="AE592" s="959"/>
      <c r="AF592" s="959"/>
      <c r="AG592" s="959"/>
      <c r="AH592" s="959"/>
      <c r="AI592" s="959"/>
      <c r="AJ592" s="959"/>
      <c r="AK592" s="959"/>
      <c r="AL592" s="959"/>
      <c r="AM592" s="959"/>
    </row>
    <row r="593" spans="3:39" x14ac:dyDescent="0.25">
      <c r="C593" s="959"/>
      <c r="D593" s="959"/>
      <c r="E593" s="959"/>
      <c r="F593" s="959"/>
      <c r="G593" s="959"/>
      <c r="H593" s="959"/>
      <c r="I593" s="959"/>
      <c r="J593" s="959"/>
      <c r="K593" s="959"/>
      <c r="L593" s="959"/>
      <c r="M593" s="959"/>
      <c r="N593" s="959"/>
      <c r="O593" s="959"/>
      <c r="P593" s="959"/>
      <c r="Q593" s="959"/>
      <c r="R593" s="959"/>
      <c r="S593" s="959"/>
      <c r="T593" s="959"/>
      <c r="U593" s="959"/>
      <c r="V593" s="959"/>
      <c r="W593" s="959"/>
      <c r="X593" s="959"/>
      <c r="Y593" s="959"/>
      <c r="Z593" s="959"/>
      <c r="AA593" s="959"/>
      <c r="AB593" s="959"/>
      <c r="AC593" s="959"/>
      <c r="AD593" s="959"/>
      <c r="AE593" s="959"/>
      <c r="AF593" s="959"/>
      <c r="AG593" s="959"/>
      <c r="AH593" s="959"/>
      <c r="AI593" s="959"/>
      <c r="AJ593" s="959"/>
      <c r="AK593" s="959"/>
      <c r="AL593" s="959"/>
      <c r="AM593" s="959"/>
    </row>
    <row r="594" spans="3:39" x14ac:dyDescent="0.25">
      <c r="C594" s="959"/>
      <c r="D594" s="959"/>
      <c r="E594" s="959"/>
      <c r="F594" s="959"/>
      <c r="G594" s="959"/>
      <c r="H594" s="959"/>
      <c r="I594" s="959"/>
      <c r="J594" s="959"/>
      <c r="K594" s="959"/>
      <c r="L594" s="959"/>
      <c r="M594" s="959"/>
      <c r="N594" s="959"/>
      <c r="O594" s="959"/>
      <c r="P594" s="959"/>
      <c r="Q594" s="959"/>
      <c r="R594" s="959"/>
      <c r="S594" s="959"/>
      <c r="T594" s="959"/>
      <c r="U594" s="959"/>
      <c r="V594" s="959"/>
      <c r="W594" s="959"/>
      <c r="X594" s="959"/>
      <c r="Y594" s="959"/>
      <c r="Z594" s="959"/>
      <c r="AA594" s="959"/>
      <c r="AB594" s="959"/>
      <c r="AC594" s="959"/>
      <c r="AD594" s="959"/>
      <c r="AE594" s="959"/>
      <c r="AF594" s="959"/>
      <c r="AG594" s="959"/>
      <c r="AH594" s="959"/>
      <c r="AI594" s="959"/>
      <c r="AJ594" s="959"/>
      <c r="AK594" s="959"/>
      <c r="AL594" s="959"/>
      <c r="AM594" s="959"/>
    </row>
    <row r="595" spans="3:39" x14ac:dyDescent="0.25">
      <c r="C595" s="959"/>
      <c r="D595" s="959"/>
      <c r="E595" s="959"/>
      <c r="F595" s="959"/>
      <c r="G595" s="959"/>
      <c r="H595" s="959"/>
      <c r="I595" s="959"/>
      <c r="J595" s="959"/>
      <c r="K595" s="959"/>
      <c r="L595" s="959"/>
      <c r="M595" s="959"/>
      <c r="N595" s="959"/>
      <c r="O595" s="959"/>
      <c r="P595" s="959"/>
      <c r="Q595" s="959"/>
      <c r="R595" s="959"/>
      <c r="S595" s="959"/>
      <c r="T595" s="959"/>
      <c r="U595" s="959"/>
      <c r="V595" s="959"/>
      <c r="W595" s="959"/>
      <c r="X595" s="959"/>
      <c r="Y595" s="959"/>
      <c r="Z595" s="959"/>
      <c r="AA595" s="959"/>
      <c r="AB595" s="959"/>
      <c r="AC595" s="959"/>
      <c r="AD595" s="959"/>
      <c r="AE595" s="959"/>
      <c r="AF595" s="959"/>
      <c r="AG595" s="959"/>
      <c r="AH595" s="959"/>
      <c r="AI595" s="959"/>
      <c r="AJ595" s="959"/>
      <c r="AK595" s="959"/>
      <c r="AL595" s="959"/>
      <c r="AM595" s="959"/>
    </row>
    <row r="596" spans="3:39" x14ac:dyDescent="0.25">
      <c r="C596" s="959"/>
      <c r="D596" s="959"/>
      <c r="E596" s="959"/>
      <c r="F596" s="959"/>
      <c r="G596" s="959"/>
      <c r="H596" s="959"/>
      <c r="I596" s="959"/>
      <c r="J596" s="959"/>
      <c r="K596" s="959"/>
      <c r="L596" s="959"/>
      <c r="M596" s="959"/>
      <c r="N596" s="959"/>
      <c r="O596" s="959"/>
      <c r="P596" s="959"/>
      <c r="Q596" s="959"/>
      <c r="R596" s="959"/>
      <c r="S596" s="959"/>
      <c r="T596" s="959"/>
      <c r="U596" s="959"/>
      <c r="V596" s="959"/>
      <c r="W596" s="959"/>
      <c r="X596" s="959"/>
      <c r="Y596" s="959"/>
      <c r="Z596" s="959"/>
      <c r="AA596" s="959"/>
      <c r="AB596" s="959"/>
      <c r="AC596" s="959"/>
      <c r="AD596" s="959"/>
      <c r="AE596" s="959"/>
      <c r="AF596" s="959"/>
      <c r="AG596" s="959"/>
      <c r="AH596" s="959"/>
      <c r="AI596" s="959"/>
      <c r="AJ596" s="959"/>
      <c r="AK596" s="959"/>
      <c r="AL596" s="959"/>
      <c r="AM596" s="959"/>
    </row>
    <row r="597" spans="3:39" x14ac:dyDescent="0.25">
      <c r="C597" s="959"/>
      <c r="D597" s="959"/>
      <c r="E597" s="959"/>
      <c r="F597" s="959"/>
      <c r="G597" s="959"/>
      <c r="H597" s="959"/>
      <c r="I597" s="959"/>
      <c r="J597" s="959"/>
      <c r="K597" s="959"/>
      <c r="L597" s="959"/>
      <c r="M597" s="959"/>
      <c r="N597" s="959"/>
      <c r="O597" s="959"/>
      <c r="P597" s="959"/>
      <c r="Q597" s="959"/>
      <c r="R597" s="959"/>
      <c r="S597" s="959"/>
      <c r="T597" s="959"/>
      <c r="U597" s="959"/>
      <c r="V597" s="959"/>
      <c r="W597" s="959"/>
      <c r="X597" s="959"/>
      <c r="Y597" s="959"/>
      <c r="Z597" s="959"/>
      <c r="AA597" s="959"/>
      <c r="AB597" s="959"/>
      <c r="AC597" s="959"/>
      <c r="AD597" s="959"/>
      <c r="AE597" s="959"/>
      <c r="AF597" s="959"/>
      <c r="AG597" s="959"/>
      <c r="AH597" s="959"/>
      <c r="AI597" s="959"/>
      <c r="AJ597" s="959"/>
      <c r="AK597" s="959"/>
      <c r="AL597" s="959"/>
      <c r="AM597" s="959"/>
    </row>
    <row r="598" spans="3:39" x14ac:dyDescent="0.25">
      <c r="C598" s="959"/>
      <c r="D598" s="959"/>
      <c r="E598" s="959"/>
      <c r="F598" s="959"/>
      <c r="G598" s="959"/>
      <c r="H598" s="959"/>
      <c r="I598" s="959"/>
      <c r="J598" s="959"/>
      <c r="K598" s="959"/>
      <c r="L598" s="959"/>
      <c r="M598" s="959"/>
      <c r="N598" s="959"/>
      <c r="O598" s="959"/>
      <c r="P598" s="959"/>
      <c r="Q598" s="959"/>
      <c r="R598" s="959"/>
      <c r="S598" s="959"/>
      <c r="T598" s="959"/>
      <c r="U598" s="959"/>
      <c r="V598" s="959"/>
      <c r="W598" s="959"/>
      <c r="X598" s="959"/>
      <c r="Y598" s="959"/>
      <c r="Z598" s="959"/>
      <c r="AA598" s="959"/>
      <c r="AB598" s="959"/>
      <c r="AC598" s="959"/>
      <c r="AD598" s="959"/>
      <c r="AE598" s="959"/>
      <c r="AF598" s="959"/>
      <c r="AG598" s="959"/>
      <c r="AH598" s="959"/>
      <c r="AI598" s="959"/>
      <c r="AJ598" s="959"/>
      <c r="AK598" s="959"/>
      <c r="AL598" s="959"/>
      <c r="AM598" s="959"/>
    </row>
    <row r="599" spans="3:39" x14ac:dyDescent="0.25">
      <c r="C599" s="959"/>
      <c r="D599" s="959"/>
      <c r="E599" s="959"/>
      <c r="F599" s="959"/>
      <c r="G599" s="959"/>
      <c r="H599" s="959"/>
      <c r="I599" s="959"/>
      <c r="J599" s="959"/>
      <c r="K599" s="959"/>
      <c r="L599" s="959"/>
      <c r="M599" s="959"/>
      <c r="N599" s="959"/>
      <c r="O599" s="959"/>
      <c r="P599" s="959"/>
      <c r="Q599" s="959"/>
      <c r="R599" s="959"/>
      <c r="S599" s="959"/>
      <c r="T599" s="959"/>
      <c r="U599" s="959"/>
      <c r="V599" s="959"/>
      <c r="W599" s="959"/>
      <c r="X599" s="959"/>
      <c r="Y599" s="959"/>
      <c r="Z599" s="959"/>
      <c r="AA599" s="959"/>
      <c r="AB599" s="959"/>
      <c r="AC599" s="959"/>
      <c r="AD599" s="959"/>
      <c r="AE599" s="959"/>
      <c r="AF599" s="959"/>
      <c r="AG599" s="959"/>
      <c r="AH599" s="959"/>
      <c r="AI599" s="959"/>
      <c r="AJ599" s="959"/>
      <c r="AK599" s="959"/>
      <c r="AL599" s="959"/>
      <c r="AM599" s="959"/>
    </row>
    <row r="600" spans="3:39" x14ac:dyDescent="0.25">
      <c r="C600" s="959"/>
      <c r="D600" s="959"/>
      <c r="E600" s="959"/>
      <c r="F600" s="959"/>
      <c r="G600" s="959"/>
      <c r="H600" s="959"/>
      <c r="I600" s="959"/>
      <c r="J600" s="959"/>
      <c r="K600" s="959"/>
      <c r="L600" s="959"/>
      <c r="M600" s="959"/>
      <c r="N600" s="959"/>
      <c r="O600" s="959"/>
      <c r="P600" s="959"/>
      <c r="Q600" s="959"/>
      <c r="R600" s="959"/>
      <c r="S600" s="959"/>
      <c r="T600" s="959"/>
      <c r="U600" s="959"/>
      <c r="V600" s="959"/>
      <c r="W600" s="959"/>
      <c r="X600" s="959"/>
      <c r="Y600" s="959"/>
      <c r="Z600" s="959"/>
      <c r="AA600" s="959"/>
      <c r="AB600" s="959"/>
      <c r="AC600" s="959"/>
      <c r="AD600" s="959"/>
      <c r="AE600" s="959"/>
      <c r="AF600" s="959"/>
      <c r="AG600" s="959"/>
      <c r="AH600" s="959"/>
      <c r="AI600" s="959"/>
      <c r="AJ600" s="959"/>
      <c r="AK600" s="959"/>
      <c r="AL600" s="959"/>
      <c r="AM600" s="959"/>
    </row>
    <row r="601" spans="3:39" x14ac:dyDescent="0.25">
      <c r="C601" s="959"/>
      <c r="D601" s="959"/>
      <c r="E601" s="959"/>
      <c r="F601" s="959"/>
      <c r="G601" s="959"/>
      <c r="H601" s="959"/>
      <c r="I601" s="959"/>
      <c r="J601" s="959"/>
      <c r="K601" s="959"/>
      <c r="L601" s="959"/>
      <c r="M601" s="959"/>
      <c r="N601" s="959"/>
      <c r="O601" s="959"/>
      <c r="P601" s="959"/>
      <c r="Q601" s="959"/>
      <c r="R601" s="959"/>
      <c r="S601" s="959"/>
      <c r="T601" s="959"/>
      <c r="U601" s="959"/>
      <c r="V601" s="959"/>
      <c r="W601" s="959"/>
      <c r="X601" s="959"/>
      <c r="Y601" s="959"/>
      <c r="Z601" s="959"/>
      <c r="AA601" s="959"/>
      <c r="AB601" s="959"/>
      <c r="AC601" s="959"/>
      <c r="AD601" s="959"/>
      <c r="AE601" s="959"/>
      <c r="AF601" s="959"/>
      <c r="AG601" s="959"/>
      <c r="AH601" s="959"/>
      <c r="AI601" s="959"/>
      <c r="AJ601" s="959"/>
      <c r="AK601" s="959"/>
      <c r="AL601" s="959"/>
      <c r="AM601" s="959"/>
    </row>
    <row r="602" spans="3:39" x14ac:dyDescent="0.25">
      <c r="C602" s="959"/>
      <c r="D602" s="959"/>
      <c r="E602" s="959"/>
      <c r="F602" s="959"/>
      <c r="G602" s="959"/>
      <c r="H602" s="959"/>
      <c r="I602" s="959"/>
      <c r="J602" s="959"/>
      <c r="K602" s="959"/>
      <c r="L602" s="959"/>
      <c r="M602" s="959"/>
      <c r="N602" s="959"/>
      <c r="O602" s="959"/>
      <c r="P602" s="959"/>
      <c r="Q602" s="959"/>
      <c r="R602" s="959"/>
      <c r="S602" s="959"/>
      <c r="T602" s="959"/>
      <c r="U602" s="959"/>
      <c r="V602" s="959"/>
      <c r="W602" s="959"/>
      <c r="X602" s="959"/>
      <c r="Y602" s="959"/>
      <c r="Z602" s="959"/>
      <c r="AA602" s="959"/>
      <c r="AB602" s="959"/>
      <c r="AC602" s="959"/>
      <c r="AD602" s="959"/>
      <c r="AE602" s="959"/>
      <c r="AF602" s="959"/>
      <c r="AG602" s="959"/>
      <c r="AH602" s="959"/>
      <c r="AI602" s="959"/>
      <c r="AJ602" s="959"/>
      <c r="AK602" s="959"/>
      <c r="AL602" s="959"/>
      <c r="AM602" s="959"/>
    </row>
    <row r="603" spans="3:39" x14ac:dyDescent="0.25">
      <c r="C603" s="959"/>
      <c r="D603" s="959"/>
      <c r="E603" s="959"/>
      <c r="F603" s="959"/>
      <c r="G603" s="959"/>
      <c r="H603" s="959"/>
      <c r="I603" s="959"/>
      <c r="J603" s="959"/>
      <c r="K603" s="959"/>
      <c r="L603" s="959"/>
      <c r="M603" s="959"/>
      <c r="N603" s="959"/>
      <c r="O603" s="959"/>
      <c r="P603" s="959"/>
      <c r="Q603" s="959"/>
      <c r="R603" s="959"/>
      <c r="S603" s="959"/>
      <c r="T603" s="959"/>
      <c r="U603" s="959"/>
      <c r="V603" s="959"/>
      <c r="W603" s="959"/>
      <c r="X603" s="959"/>
      <c r="Y603" s="959"/>
      <c r="Z603" s="959"/>
      <c r="AA603" s="959"/>
      <c r="AB603" s="959"/>
      <c r="AC603" s="959"/>
      <c r="AD603" s="959"/>
      <c r="AE603" s="959"/>
      <c r="AF603" s="959"/>
      <c r="AG603" s="959"/>
      <c r="AH603" s="959"/>
      <c r="AI603" s="959"/>
      <c r="AJ603" s="959"/>
      <c r="AK603" s="959"/>
      <c r="AL603" s="959"/>
      <c r="AM603" s="959"/>
    </row>
    <row r="604" spans="3:39" x14ac:dyDescent="0.25">
      <c r="C604" s="959"/>
      <c r="D604" s="959"/>
      <c r="E604" s="959"/>
      <c r="F604" s="959"/>
      <c r="G604" s="959"/>
      <c r="H604" s="959"/>
      <c r="I604" s="959"/>
      <c r="J604" s="959"/>
      <c r="K604" s="959"/>
      <c r="L604" s="959"/>
      <c r="M604" s="959"/>
      <c r="N604" s="959"/>
      <c r="O604" s="959"/>
      <c r="P604" s="959"/>
      <c r="Q604" s="959"/>
      <c r="R604" s="959"/>
      <c r="S604" s="959"/>
      <c r="T604" s="959"/>
      <c r="U604" s="959"/>
      <c r="V604" s="959"/>
      <c r="W604" s="959"/>
      <c r="X604" s="959"/>
      <c r="Y604" s="959"/>
      <c r="Z604" s="959"/>
      <c r="AA604" s="959"/>
      <c r="AB604" s="959"/>
      <c r="AC604" s="959"/>
      <c r="AD604" s="959"/>
      <c r="AE604" s="959"/>
      <c r="AF604" s="959"/>
      <c r="AG604" s="959"/>
      <c r="AH604" s="959"/>
      <c r="AI604" s="959"/>
      <c r="AJ604" s="959"/>
      <c r="AK604" s="959"/>
      <c r="AL604" s="959"/>
      <c r="AM604" s="959"/>
    </row>
    <row r="605" spans="3:39" x14ac:dyDescent="0.25">
      <c r="C605" s="959"/>
      <c r="D605" s="959"/>
      <c r="E605" s="959"/>
      <c r="F605" s="959"/>
      <c r="G605" s="959"/>
      <c r="H605" s="959"/>
      <c r="I605" s="959"/>
      <c r="J605" s="959"/>
      <c r="K605" s="959"/>
      <c r="L605" s="959"/>
      <c r="M605" s="959"/>
      <c r="N605" s="959"/>
      <c r="O605" s="959"/>
      <c r="P605" s="959"/>
      <c r="Q605" s="959"/>
      <c r="R605" s="959"/>
      <c r="S605" s="959"/>
      <c r="T605" s="959"/>
      <c r="U605" s="959"/>
      <c r="V605" s="959"/>
      <c r="W605" s="959"/>
      <c r="X605" s="959"/>
      <c r="Y605" s="959"/>
      <c r="Z605" s="959"/>
      <c r="AA605" s="959"/>
      <c r="AB605" s="959"/>
      <c r="AC605" s="959"/>
      <c r="AD605" s="959"/>
      <c r="AE605" s="959"/>
      <c r="AF605" s="959"/>
      <c r="AG605" s="959"/>
      <c r="AH605" s="959"/>
      <c r="AI605" s="959"/>
      <c r="AJ605" s="959"/>
      <c r="AK605" s="959"/>
      <c r="AL605" s="959"/>
      <c r="AM605" s="959"/>
    </row>
    <row r="606" spans="3:39" x14ac:dyDescent="0.25">
      <c r="C606" s="959"/>
      <c r="D606" s="959"/>
      <c r="E606" s="959"/>
      <c r="F606" s="959"/>
      <c r="G606" s="959"/>
      <c r="H606" s="959"/>
      <c r="I606" s="959"/>
      <c r="J606" s="959"/>
      <c r="K606" s="959"/>
      <c r="L606" s="959"/>
      <c r="M606" s="959"/>
      <c r="N606" s="959"/>
      <c r="O606" s="959"/>
      <c r="P606" s="959"/>
      <c r="Q606" s="959"/>
      <c r="R606" s="959"/>
      <c r="S606" s="959"/>
      <c r="T606" s="959"/>
      <c r="U606" s="959"/>
      <c r="V606" s="959"/>
      <c r="W606" s="959"/>
      <c r="X606" s="959"/>
      <c r="Y606" s="959"/>
      <c r="Z606" s="959"/>
      <c r="AA606" s="959"/>
      <c r="AB606" s="959"/>
      <c r="AC606" s="959"/>
      <c r="AD606" s="959"/>
      <c r="AE606" s="959"/>
      <c r="AF606" s="959"/>
      <c r="AG606" s="959"/>
      <c r="AH606" s="959"/>
      <c r="AI606" s="959"/>
      <c r="AJ606" s="959"/>
      <c r="AK606" s="959"/>
      <c r="AL606" s="959"/>
      <c r="AM606" s="959"/>
    </row>
    <row r="607" spans="3:39" x14ac:dyDescent="0.25">
      <c r="C607" s="959"/>
      <c r="D607" s="959"/>
      <c r="E607" s="959"/>
      <c r="F607" s="959"/>
      <c r="G607" s="959"/>
      <c r="H607" s="959"/>
      <c r="I607" s="959"/>
      <c r="J607" s="959"/>
      <c r="K607" s="959"/>
      <c r="L607" s="959"/>
      <c r="M607" s="959"/>
      <c r="N607" s="959"/>
      <c r="O607" s="959"/>
      <c r="P607" s="959"/>
      <c r="Q607" s="959"/>
      <c r="R607" s="959"/>
      <c r="S607" s="959"/>
      <c r="T607" s="959"/>
      <c r="U607" s="959"/>
      <c r="V607" s="959"/>
      <c r="W607" s="959"/>
      <c r="X607" s="959"/>
      <c r="Y607" s="959"/>
      <c r="Z607" s="959"/>
      <c r="AA607" s="959"/>
      <c r="AB607" s="959"/>
      <c r="AC607" s="959"/>
      <c r="AD607" s="959"/>
      <c r="AE607" s="959"/>
      <c r="AF607" s="959"/>
      <c r="AG607" s="959"/>
      <c r="AH607" s="959"/>
      <c r="AI607" s="959"/>
      <c r="AJ607" s="959"/>
      <c r="AK607" s="959"/>
      <c r="AL607" s="959"/>
      <c r="AM607" s="959"/>
    </row>
    <row r="608" spans="3:39" x14ac:dyDescent="0.25">
      <c r="C608" s="959"/>
      <c r="D608" s="959"/>
      <c r="E608" s="959"/>
      <c r="F608" s="959"/>
      <c r="G608" s="959"/>
      <c r="H608" s="959"/>
      <c r="I608" s="959"/>
      <c r="J608" s="959"/>
      <c r="K608" s="959"/>
      <c r="L608" s="959"/>
      <c r="M608" s="959"/>
      <c r="N608" s="959"/>
      <c r="O608" s="959"/>
      <c r="P608" s="959"/>
      <c r="Q608" s="959"/>
      <c r="R608" s="959"/>
      <c r="S608" s="959"/>
      <c r="T608" s="959"/>
      <c r="U608" s="959"/>
      <c r="V608" s="959"/>
      <c r="W608" s="959"/>
      <c r="X608" s="959"/>
      <c r="Y608" s="959"/>
      <c r="Z608" s="959"/>
      <c r="AA608" s="959"/>
      <c r="AB608" s="959"/>
      <c r="AC608" s="959"/>
      <c r="AD608" s="959"/>
      <c r="AE608" s="959"/>
      <c r="AF608" s="959"/>
      <c r="AG608" s="959"/>
      <c r="AH608" s="959"/>
      <c r="AI608" s="959"/>
      <c r="AJ608" s="959"/>
      <c r="AK608" s="959"/>
      <c r="AL608" s="959"/>
      <c r="AM608" s="959"/>
    </row>
    <row r="609" spans="3:39" x14ac:dyDescent="0.25">
      <c r="C609" s="959"/>
      <c r="D609" s="959"/>
      <c r="E609" s="959"/>
      <c r="F609" s="959"/>
      <c r="G609" s="959"/>
      <c r="H609" s="959"/>
      <c r="I609" s="959"/>
      <c r="J609" s="959"/>
      <c r="K609" s="959"/>
      <c r="L609" s="959"/>
      <c r="M609" s="959"/>
      <c r="N609" s="959"/>
      <c r="O609" s="959"/>
      <c r="P609" s="959"/>
      <c r="Q609" s="959"/>
      <c r="R609" s="959"/>
      <c r="S609" s="959"/>
      <c r="T609" s="959"/>
      <c r="U609" s="959"/>
      <c r="V609" s="959"/>
      <c r="W609" s="959"/>
      <c r="X609" s="959"/>
      <c r="Y609" s="959"/>
      <c r="Z609" s="959"/>
      <c r="AA609" s="959"/>
      <c r="AB609" s="959"/>
      <c r="AC609" s="959"/>
      <c r="AD609" s="959"/>
      <c r="AE609" s="959"/>
      <c r="AF609" s="959"/>
      <c r="AG609" s="959"/>
      <c r="AH609" s="959"/>
      <c r="AI609" s="959"/>
      <c r="AJ609" s="959"/>
      <c r="AK609" s="959"/>
      <c r="AL609" s="959"/>
      <c r="AM609" s="959"/>
    </row>
    <row r="610" spans="3:39" x14ac:dyDescent="0.25">
      <c r="C610" s="959"/>
      <c r="D610" s="959"/>
      <c r="E610" s="959"/>
      <c r="F610" s="959"/>
      <c r="G610" s="959"/>
      <c r="H610" s="959"/>
      <c r="I610" s="959"/>
      <c r="J610" s="959"/>
      <c r="K610" s="959"/>
      <c r="L610" s="959"/>
      <c r="M610" s="959"/>
      <c r="N610" s="959"/>
      <c r="O610" s="959"/>
      <c r="P610" s="959"/>
      <c r="Q610" s="959"/>
      <c r="R610" s="959"/>
      <c r="S610" s="959"/>
      <c r="T610" s="959"/>
      <c r="U610" s="959"/>
      <c r="V610" s="959"/>
      <c r="W610" s="959"/>
      <c r="X610" s="959"/>
      <c r="Y610" s="959"/>
      <c r="Z610" s="959"/>
      <c r="AA610" s="959"/>
      <c r="AB610" s="959"/>
      <c r="AC610" s="959"/>
      <c r="AD610" s="959"/>
      <c r="AE610" s="959"/>
      <c r="AF610" s="959"/>
      <c r="AG610" s="959"/>
      <c r="AH610" s="959"/>
      <c r="AI610" s="959"/>
      <c r="AJ610" s="959"/>
      <c r="AK610" s="959"/>
      <c r="AL610" s="959"/>
      <c r="AM610" s="959"/>
    </row>
    <row r="611" spans="3:39" x14ac:dyDescent="0.25">
      <c r="C611" s="959"/>
      <c r="D611" s="959"/>
      <c r="E611" s="959"/>
      <c r="F611" s="959"/>
      <c r="G611" s="959"/>
      <c r="H611" s="959"/>
      <c r="I611" s="959"/>
      <c r="J611" s="959"/>
      <c r="K611" s="959"/>
      <c r="L611" s="959"/>
      <c r="M611" s="959"/>
      <c r="N611" s="959"/>
      <c r="O611" s="959"/>
      <c r="P611" s="959"/>
      <c r="Q611" s="959"/>
      <c r="R611" s="959"/>
      <c r="S611" s="959"/>
      <c r="T611" s="959"/>
      <c r="U611" s="959"/>
      <c r="V611" s="959"/>
      <c r="W611" s="959"/>
      <c r="X611" s="959"/>
      <c r="Y611" s="959"/>
      <c r="Z611" s="959"/>
      <c r="AA611" s="959"/>
      <c r="AB611" s="959"/>
      <c r="AC611" s="959"/>
      <c r="AD611" s="959"/>
      <c r="AE611" s="959"/>
      <c r="AF611" s="959"/>
      <c r="AG611" s="959"/>
      <c r="AH611" s="959"/>
      <c r="AI611" s="959"/>
      <c r="AJ611" s="959"/>
      <c r="AK611" s="959"/>
      <c r="AL611" s="959"/>
      <c r="AM611" s="959"/>
    </row>
    <row r="612" spans="3:39" x14ac:dyDescent="0.25">
      <c r="C612" s="959"/>
      <c r="D612" s="959"/>
      <c r="E612" s="959"/>
      <c r="F612" s="959"/>
      <c r="G612" s="959"/>
      <c r="H612" s="959"/>
      <c r="I612" s="959"/>
      <c r="J612" s="959"/>
      <c r="K612" s="959"/>
      <c r="L612" s="959"/>
      <c r="M612" s="959"/>
      <c r="N612" s="959"/>
      <c r="O612" s="959"/>
      <c r="P612" s="959"/>
      <c r="Q612" s="959"/>
      <c r="R612" s="959"/>
      <c r="S612" s="959"/>
      <c r="T612" s="959"/>
      <c r="U612" s="959"/>
      <c r="V612" s="959"/>
      <c r="W612" s="959"/>
      <c r="X612" s="959"/>
      <c r="Y612" s="959"/>
      <c r="Z612" s="959"/>
      <c r="AA612" s="959"/>
      <c r="AB612" s="959"/>
      <c r="AC612" s="959"/>
      <c r="AD612" s="959"/>
      <c r="AE612" s="959"/>
      <c r="AF612" s="959"/>
      <c r="AG612" s="959"/>
      <c r="AH612" s="959"/>
      <c r="AI612" s="959"/>
      <c r="AJ612" s="959"/>
      <c r="AK612" s="959"/>
      <c r="AL612" s="959"/>
      <c r="AM612" s="959"/>
    </row>
    <row r="613" spans="3:39" x14ac:dyDescent="0.25">
      <c r="C613" s="959"/>
      <c r="D613" s="959"/>
      <c r="E613" s="959"/>
      <c r="F613" s="959"/>
      <c r="G613" s="959"/>
      <c r="H613" s="959"/>
      <c r="I613" s="959"/>
      <c r="J613" s="959"/>
      <c r="K613" s="959"/>
      <c r="L613" s="959"/>
      <c r="M613" s="959"/>
      <c r="N613" s="959"/>
      <c r="O613" s="959"/>
      <c r="P613" s="959"/>
      <c r="Q613" s="959"/>
      <c r="R613" s="959"/>
      <c r="S613" s="959"/>
      <c r="T613" s="959"/>
      <c r="U613" s="959"/>
      <c r="V613" s="959"/>
      <c r="W613" s="959"/>
      <c r="X613" s="959"/>
      <c r="Y613" s="959"/>
      <c r="Z613" s="959"/>
      <c r="AA613" s="959"/>
      <c r="AB613" s="959"/>
      <c r="AC613" s="959"/>
      <c r="AD613" s="959"/>
      <c r="AE613" s="959"/>
      <c r="AF613" s="959"/>
      <c r="AG613" s="959"/>
      <c r="AH613" s="959"/>
      <c r="AI613" s="959"/>
      <c r="AJ613" s="959"/>
      <c r="AK613" s="959"/>
      <c r="AL613" s="959"/>
      <c r="AM613" s="959"/>
    </row>
    <row r="614" spans="3:39" x14ac:dyDescent="0.25">
      <c r="C614" s="959"/>
      <c r="D614" s="959"/>
      <c r="E614" s="959"/>
      <c r="F614" s="959"/>
      <c r="G614" s="959"/>
      <c r="H614" s="959"/>
      <c r="I614" s="959"/>
      <c r="J614" s="959"/>
      <c r="K614" s="959"/>
      <c r="L614" s="959"/>
      <c r="M614" s="959"/>
      <c r="N614" s="959"/>
      <c r="O614" s="959"/>
      <c r="P614" s="959"/>
      <c r="Q614" s="959"/>
      <c r="R614" s="959"/>
      <c r="S614" s="959"/>
      <c r="T614" s="959"/>
      <c r="U614" s="959"/>
      <c r="V614" s="959"/>
      <c r="W614" s="959"/>
      <c r="X614" s="959"/>
      <c r="Y614" s="959"/>
      <c r="Z614" s="959"/>
      <c r="AA614" s="959"/>
      <c r="AB614" s="959"/>
      <c r="AC614" s="959"/>
      <c r="AD614" s="959"/>
      <c r="AE614" s="959"/>
      <c r="AF614" s="959"/>
      <c r="AG614" s="959"/>
      <c r="AH614" s="959"/>
      <c r="AI614" s="959"/>
      <c r="AJ614" s="959"/>
      <c r="AK614" s="959"/>
      <c r="AL614" s="959"/>
      <c r="AM614" s="959"/>
    </row>
    <row r="615" spans="3:39" x14ac:dyDescent="0.25">
      <c r="C615" s="959"/>
      <c r="D615" s="959"/>
      <c r="E615" s="959"/>
      <c r="F615" s="959"/>
      <c r="G615" s="959"/>
      <c r="H615" s="959"/>
      <c r="I615" s="959"/>
      <c r="J615" s="959"/>
      <c r="K615" s="959"/>
      <c r="L615" s="959"/>
      <c r="M615" s="959"/>
      <c r="N615" s="959"/>
      <c r="O615" s="959"/>
      <c r="P615" s="959"/>
      <c r="Q615" s="959"/>
      <c r="R615" s="959"/>
      <c r="S615" s="959"/>
      <c r="T615" s="959"/>
      <c r="U615" s="959"/>
      <c r="V615" s="959"/>
      <c r="W615" s="959"/>
      <c r="X615" s="959"/>
      <c r="Y615" s="959"/>
      <c r="Z615" s="959"/>
      <c r="AA615" s="959"/>
      <c r="AB615" s="959"/>
      <c r="AC615" s="959"/>
      <c r="AD615" s="959"/>
      <c r="AE615" s="959"/>
      <c r="AF615" s="959"/>
      <c r="AG615" s="959"/>
      <c r="AH615" s="959"/>
      <c r="AI615" s="959"/>
      <c r="AJ615" s="959"/>
      <c r="AK615" s="959"/>
      <c r="AL615" s="959"/>
      <c r="AM615" s="959"/>
    </row>
    <row r="616" spans="3:39" x14ac:dyDescent="0.25">
      <c r="C616" s="959"/>
      <c r="D616" s="959"/>
      <c r="E616" s="959"/>
      <c r="F616" s="959"/>
      <c r="G616" s="959"/>
      <c r="H616" s="959"/>
      <c r="I616" s="959"/>
      <c r="J616" s="959"/>
      <c r="K616" s="959"/>
      <c r="L616" s="959"/>
      <c r="M616" s="959"/>
      <c r="N616" s="959"/>
      <c r="O616" s="959"/>
      <c r="P616" s="959"/>
      <c r="Q616" s="959"/>
      <c r="R616" s="959"/>
      <c r="S616" s="959"/>
      <c r="T616" s="959"/>
      <c r="U616" s="959"/>
      <c r="V616" s="959"/>
      <c r="W616" s="959"/>
      <c r="X616" s="959"/>
      <c r="Y616" s="959"/>
      <c r="Z616" s="959"/>
      <c r="AA616" s="959"/>
      <c r="AB616" s="959"/>
      <c r="AC616" s="959"/>
      <c r="AD616" s="959"/>
      <c r="AE616" s="959"/>
      <c r="AF616" s="959"/>
      <c r="AG616" s="959"/>
      <c r="AH616" s="959"/>
      <c r="AI616" s="959"/>
      <c r="AJ616" s="959"/>
      <c r="AK616" s="959"/>
      <c r="AL616" s="959"/>
      <c r="AM616" s="959"/>
    </row>
    <row r="617" spans="3:39" x14ac:dyDescent="0.25">
      <c r="C617" s="959"/>
      <c r="D617" s="959"/>
      <c r="E617" s="959"/>
      <c r="F617" s="959"/>
      <c r="G617" s="959"/>
      <c r="H617" s="959"/>
      <c r="I617" s="959"/>
      <c r="J617" s="959"/>
      <c r="K617" s="959"/>
      <c r="L617" s="959"/>
      <c r="M617" s="959"/>
      <c r="N617" s="959"/>
      <c r="O617" s="959"/>
      <c r="P617" s="959"/>
      <c r="Q617" s="959"/>
      <c r="R617" s="959"/>
      <c r="S617" s="959"/>
      <c r="T617" s="959"/>
      <c r="U617" s="959"/>
      <c r="V617" s="959"/>
      <c r="W617" s="959"/>
      <c r="X617" s="959"/>
      <c r="Y617" s="959"/>
      <c r="Z617" s="959"/>
      <c r="AA617" s="959"/>
      <c r="AB617" s="959"/>
      <c r="AC617" s="959"/>
      <c r="AD617" s="959"/>
      <c r="AE617" s="959"/>
      <c r="AF617" s="959"/>
      <c r="AG617" s="959"/>
      <c r="AH617" s="959"/>
      <c r="AI617" s="959"/>
      <c r="AJ617" s="959"/>
      <c r="AK617" s="959"/>
      <c r="AL617" s="959"/>
      <c r="AM617" s="959"/>
    </row>
    <row r="618" spans="3:39" x14ac:dyDescent="0.25">
      <c r="C618" s="959"/>
      <c r="D618" s="959"/>
      <c r="E618" s="959"/>
      <c r="F618" s="959"/>
      <c r="G618" s="959"/>
      <c r="H618" s="959"/>
      <c r="I618" s="959"/>
      <c r="J618" s="959"/>
      <c r="K618" s="959"/>
      <c r="L618" s="959"/>
      <c r="M618" s="959"/>
      <c r="N618" s="959"/>
      <c r="O618" s="959"/>
      <c r="P618" s="959"/>
      <c r="Q618" s="959"/>
      <c r="R618" s="959"/>
      <c r="S618" s="959"/>
      <c r="T618" s="959"/>
      <c r="U618" s="959"/>
      <c r="V618" s="959"/>
      <c r="W618" s="959"/>
      <c r="X618" s="959"/>
      <c r="Y618" s="959"/>
      <c r="Z618" s="959"/>
      <c r="AA618" s="959"/>
      <c r="AB618" s="959"/>
      <c r="AC618" s="959"/>
      <c r="AD618" s="959"/>
      <c r="AE618" s="959"/>
      <c r="AF618" s="959"/>
      <c r="AG618" s="959"/>
      <c r="AH618" s="959"/>
      <c r="AI618" s="959"/>
      <c r="AJ618" s="959"/>
      <c r="AK618" s="959"/>
      <c r="AL618" s="959"/>
      <c r="AM618" s="959"/>
    </row>
    <row r="619" spans="3:39" x14ac:dyDescent="0.25">
      <c r="C619" s="959"/>
      <c r="D619" s="959"/>
      <c r="E619" s="959"/>
      <c r="F619" s="959"/>
      <c r="G619" s="959"/>
      <c r="H619" s="959"/>
      <c r="I619" s="959"/>
      <c r="J619" s="959"/>
      <c r="K619" s="959"/>
      <c r="L619" s="959"/>
      <c r="M619" s="959"/>
      <c r="N619" s="959"/>
      <c r="O619" s="959"/>
      <c r="P619" s="959"/>
      <c r="Q619" s="959"/>
      <c r="R619" s="959"/>
      <c r="S619" s="959"/>
      <c r="T619" s="959"/>
      <c r="U619" s="959"/>
      <c r="V619" s="959"/>
      <c r="W619" s="959"/>
      <c r="X619" s="959"/>
      <c r="Y619" s="959"/>
      <c r="Z619" s="959"/>
      <c r="AA619" s="959"/>
      <c r="AB619" s="959"/>
      <c r="AC619" s="959"/>
      <c r="AD619" s="959"/>
      <c r="AE619" s="959"/>
      <c r="AF619" s="959"/>
      <c r="AG619" s="959"/>
      <c r="AH619" s="959"/>
      <c r="AI619" s="959"/>
      <c r="AJ619" s="959"/>
      <c r="AK619" s="959"/>
      <c r="AL619" s="959"/>
      <c r="AM619" s="959"/>
    </row>
    <row r="620" spans="3:39" x14ac:dyDescent="0.25">
      <c r="C620" s="959"/>
      <c r="D620" s="959"/>
      <c r="E620" s="959"/>
      <c r="F620" s="959"/>
      <c r="G620" s="959"/>
      <c r="H620" s="959"/>
      <c r="I620" s="959"/>
      <c r="J620" s="959"/>
      <c r="K620" s="959"/>
      <c r="L620" s="959"/>
      <c r="M620" s="959"/>
      <c r="N620" s="959"/>
      <c r="O620" s="959"/>
      <c r="P620" s="959"/>
      <c r="Q620" s="959"/>
      <c r="R620" s="959"/>
      <c r="S620" s="959"/>
      <c r="T620" s="959"/>
      <c r="U620" s="959"/>
      <c r="V620" s="959"/>
      <c r="W620" s="959"/>
      <c r="X620" s="959"/>
      <c r="Y620" s="959"/>
      <c r="Z620" s="959"/>
      <c r="AA620" s="959"/>
      <c r="AB620" s="959"/>
      <c r="AC620" s="959"/>
      <c r="AD620" s="959"/>
      <c r="AE620" s="959"/>
      <c r="AF620" s="959"/>
      <c r="AG620" s="959"/>
      <c r="AH620" s="959"/>
      <c r="AI620" s="959"/>
      <c r="AJ620" s="959"/>
      <c r="AK620" s="959"/>
      <c r="AL620" s="959"/>
      <c r="AM620" s="959"/>
    </row>
    <row r="621" spans="3:39" x14ac:dyDescent="0.25">
      <c r="C621" s="959"/>
      <c r="D621" s="959"/>
      <c r="E621" s="959"/>
      <c r="F621" s="959"/>
      <c r="G621" s="959"/>
      <c r="H621" s="959"/>
      <c r="I621" s="959"/>
      <c r="J621" s="959"/>
      <c r="K621" s="959"/>
      <c r="L621" s="959"/>
      <c r="M621" s="959"/>
      <c r="N621" s="959"/>
      <c r="O621" s="959"/>
      <c r="P621" s="959"/>
      <c r="Q621" s="959"/>
      <c r="R621" s="959"/>
      <c r="S621" s="959"/>
      <c r="T621" s="959"/>
      <c r="U621" s="959"/>
      <c r="V621" s="959"/>
      <c r="W621" s="959"/>
      <c r="X621" s="959"/>
      <c r="Y621" s="959"/>
      <c r="Z621" s="959"/>
      <c r="AA621" s="959"/>
      <c r="AB621" s="959"/>
      <c r="AC621" s="959"/>
      <c r="AD621" s="959"/>
      <c r="AE621" s="959"/>
      <c r="AF621" s="959"/>
      <c r="AG621" s="959"/>
      <c r="AH621" s="959"/>
      <c r="AI621" s="959"/>
      <c r="AJ621" s="959"/>
      <c r="AK621" s="959"/>
      <c r="AL621" s="959"/>
      <c r="AM621" s="959"/>
    </row>
    <row r="622" spans="3:39" x14ac:dyDescent="0.25">
      <c r="C622" s="959"/>
      <c r="D622" s="959"/>
      <c r="E622" s="959"/>
      <c r="F622" s="959"/>
      <c r="G622" s="959"/>
      <c r="H622" s="959"/>
      <c r="I622" s="959"/>
      <c r="J622" s="959"/>
      <c r="K622" s="959"/>
      <c r="L622" s="959"/>
      <c r="M622" s="959"/>
      <c r="N622" s="959"/>
      <c r="O622" s="959"/>
      <c r="P622" s="959"/>
      <c r="Q622" s="959"/>
      <c r="R622" s="959"/>
      <c r="S622" s="959"/>
      <c r="T622" s="959"/>
      <c r="U622" s="959"/>
      <c r="V622" s="959"/>
      <c r="W622" s="959"/>
      <c r="X622" s="959"/>
      <c r="Y622" s="959"/>
      <c r="Z622" s="959"/>
      <c r="AA622" s="959"/>
      <c r="AB622" s="959"/>
      <c r="AC622" s="959"/>
      <c r="AD622" s="959"/>
      <c r="AE622" s="959"/>
      <c r="AF622" s="959"/>
      <c r="AG622" s="959"/>
      <c r="AH622" s="959"/>
      <c r="AI622" s="959"/>
      <c r="AJ622" s="959"/>
      <c r="AK622" s="959"/>
      <c r="AL622" s="959"/>
      <c r="AM622" s="959"/>
    </row>
    <row r="623" spans="3:39" x14ac:dyDescent="0.25">
      <c r="C623" s="959"/>
      <c r="D623" s="959"/>
      <c r="E623" s="959"/>
      <c r="F623" s="959"/>
      <c r="G623" s="959"/>
      <c r="H623" s="959"/>
      <c r="I623" s="959"/>
      <c r="J623" s="959"/>
      <c r="K623" s="959"/>
      <c r="L623" s="959"/>
      <c r="M623" s="959"/>
      <c r="N623" s="959"/>
      <c r="O623" s="959"/>
      <c r="P623" s="959"/>
      <c r="Q623" s="959"/>
      <c r="R623" s="959"/>
      <c r="S623" s="959"/>
      <c r="T623" s="959"/>
      <c r="U623" s="959"/>
      <c r="V623" s="959"/>
      <c r="W623" s="959"/>
      <c r="X623" s="959"/>
      <c r="Y623" s="959"/>
      <c r="Z623" s="959"/>
      <c r="AA623" s="959"/>
      <c r="AB623" s="959"/>
      <c r="AC623" s="959"/>
      <c r="AD623" s="959"/>
      <c r="AE623" s="959"/>
      <c r="AF623" s="959"/>
      <c r="AG623" s="959"/>
      <c r="AH623" s="959"/>
      <c r="AI623" s="959"/>
      <c r="AJ623" s="959"/>
      <c r="AK623" s="959"/>
      <c r="AL623" s="959"/>
      <c r="AM623" s="959"/>
    </row>
    <row r="624" spans="3:39" x14ac:dyDescent="0.25">
      <c r="C624" s="959"/>
      <c r="D624" s="959"/>
      <c r="E624" s="959"/>
      <c r="F624" s="959"/>
      <c r="G624" s="959"/>
      <c r="H624" s="959"/>
      <c r="I624" s="959"/>
      <c r="J624" s="959"/>
      <c r="K624" s="959"/>
      <c r="L624" s="959"/>
      <c r="M624" s="959"/>
      <c r="N624" s="959"/>
      <c r="O624" s="959"/>
      <c r="P624" s="959"/>
      <c r="Q624" s="959"/>
      <c r="R624" s="959"/>
      <c r="S624" s="959"/>
      <c r="T624" s="959"/>
      <c r="U624" s="959"/>
      <c r="V624" s="959"/>
      <c r="W624" s="959"/>
      <c r="X624" s="959"/>
      <c r="Y624" s="959"/>
      <c r="Z624" s="959"/>
      <c r="AA624" s="959"/>
      <c r="AB624" s="959"/>
      <c r="AC624" s="959"/>
      <c r="AD624" s="959"/>
      <c r="AE624" s="959"/>
      <c r="AF624" s="959"/>
      <c r="AG624" s="959"/>
      <c r="AH624" s="959"/>
      <c r="AI624" s="959"/>
      <c r="AJ624" s="959"/>
      <c r="AK624" s="959"/>
      <c r="AL624" s="959"/>
      <c r="AM624" s="959"/>
    </row>
    <row r="625" spans="3:39" x14ac:dyDescent="0.25">
      <c r="C625" s="959"/>
      <c r="D625" s="959"/>
      <c r="E625" s="959"/>
      <c r="F625" s="959"/>
      <c r="G625" s="959"/>
      <c r="H625" s="959"/>
      <c r="I625" s="959"/>
      <c r="J625" s="959"/>
      <c r="K625" s="959"/>
      <c r="L625" s="959"/>
      <c r="M625" s="959"/>
      <c r="N625" s="959"/>
      <c r="O625" s="959"/>
      <c r="P625" s="959"/>
      <c r="Q625" s="959"/>
      <c r="R625" s="959"/>
      <c r="S625" s="959"/>
      <c r="T625" s="959"/>
      <c r="U625" s="959"/>
      <c r="V625" s="959"/>
      <c r="W625" s="959"/>
      <c r="X625" s="959"/>
      <c r="Y625" s="959"/>
      <c r="Z625" s="959"/>
      <c r="AA625" s="959"/>
      <c r="AB625" s="959"/>
      <c r="AC625" s="959"/>
      <c r="AD625" s="959"/>
      <c r="AE625" s="959"/>
      <c r="AF625" s="959"/>
      <c r="AG625" s="959"/>
      <c r="AH625" s="959"/>
      <c r="AI625" s="959"/>
      <c r="AJ625" s="959"/>
      <c r="AK625" s="959"/>
      <c r="AL625" s="959"/>
      <c r="AM625" s="959"/>
    </row>
    <row r="626" spans="3:39" x14ac:dyDescent="0.25">
      <c r="C626" s="959"/>
      <c r="D626" s="959"/>
      <c r="E626" s="959"/>
      <c r="F626" s="959"/>
      <c r="G626" s="959"/>
      <c r="H626" s="959"/>
      <c r="I626" s="959"/>
      <c r="J626" s="959"/>
      <c r="K626" s="959"/>
      <c r="L626" s="959"/>
      <c r="M626" s="959"/>
      <c r="N626" s="959"/>
      <c r="O626" s="959"/>
      <c r="P626" s="959"/>
      <c r="Q626" s="959"/>
      <c r="R626" s="959"/>
      <c r="S626" s="959"/>
      <c r="T626" s="959"/>
      <c r="U626" s="959"/>
      <c r="V626" s="959"/>
      <c r="W626" s="959"/>
      <c r="X626" s="959"/>
      <c r="Y626" s="959"/>
      <c r="Z626" s="959"/>
      <c r="AA626" s="959"/>
      <c r="AB626" s="959"/>
      <c r="AC626" s="959"/>
      <c r="AD626" s="959"/>
      <c r="AE626" s="959"/>
      <c r="AF626" s="959"/>
      <c r="AG626" s="959"/>
      <c r="AH626" s="959"/>
      <c r="AI626" s="959"/>
      <c r="AJ626" s="959"/>
      <c r="AK626" s="959"/>
      <c r="AL626" s="959"/>
      <c r="AM626" s="959"/>
    </row>
    <row r="627" spans="3:39" x14ac:dyDescent="0.25">
      <c r="C627" s="959"/>
      <c r="D627" s="959"/>
      <c r="E627" s="959"/>
      <c r="F627" s="959"/>
      <c r="G627" s="959"/>
      <c r="H627" s="959"/>
      <c r="I627" s="959"/>
      <c r="J627" s="959"/>
      <c r="K627" s="959"/>
      <c r="L627" s="959"/>
      <c r="M627" s="959"/>
      <c r="N627" s="959"/>
      <c r="O627" s="959"/>
      <c r="P627" s="959"/>
      <c r="Q627" s="959"/>
      <c r="R627" s="959"/>
      <c r="S627" s="959"/>
      <c r="T627" s="959"/>
      <c r="U627" s="959"/>
      <c r="V627" s="959"/>
      <c r="W627" s="959"/>
      <c r="X627" s="959"/>
      <c r="Y627" s="959"/>
      <c r="Z627" s="959"/>
      <c r="AA627" s="959"/>
      <c r="AB627" s="959"/>
      <c r="AC627" s="959"/>
      <c r="AD627" s="959"/>
      <c r="AE627" s="959"/>
      <c r="AF627" s="959"/>
      <c r="AG627" s="959"/>
      <c r="AH627" s="959"/>
      <c r="AI627" s="959"/>
      <c r="AJ627" s="959"/>
      <c r="AK627" s="959"/>
      <c r="AL627" s="959"/>
      <c r="AM627" s="959"/>
    </row>
    <row r="628" spans="3:39" x14ac:dyDescent="0.25">
      <c r="C628" s="959"/>
      <c r="D628" s="959"/>
      <c r="E628" s="959"/>
      <c r="F628" s="959"/>
      <c r="G628" s="959"/>
      <c r="H628" s="959"/>
      <c r="I628" s="959"/>
      <c r="J628" s="959"/>
      <c r="K628" s="959"/>
      <c r="L628" s="959"/>
      <c r="M628" s="959"/>
      <c r="N628" s="959"/>
      <c r="O628" s="959"/>
      <c r="P628" s="959"/>
      <c r="Q628" s="959"/>
      <c r="R628" s="959"/>
      <c r="S628" s="959"/>
      <c r="T628" s="959"/>
      <c r="U628" s="959"/>
      <c r="V628" s="959"/>
      <c r="W628" s="959"/>
      <c r="X628" s="959"/>
      <c r="Y628" s="959"/>
      <c r="Z628" s="959"/>
      <c r="AA628" s="959"/>
      <c r="AB628" s="959"/>
      <c r="AC628" s="959"/>
      <c r="AD628" s="959"/>
      <c r="AE628" s="959"/>
      <c r="AF628" s="959"/>
      <c r="AG628" s="959"/>
      <c r="AH628" s="959"/>
      <c r="AI628" s="959"/>
      <c r="AJ628" s="959"/>
      <c r="AK628" s="959"/>
      <c r="AL628" s="959"/>
      <c r="AM628" s="959"/>
    </row>
    <row r="629" spans="3:39" x14ac:dyDescent="0.25">
      <c r="C629" s="959"/>
      <c r="D629" s="959"/>
      <c r="E629" s="959"/>
      <c r="F629" s="959"/>
      <c r="G629" s="959"/>
      <c r="H629" s="959"/>
      <c r="I629" s="959"/>
      <c r="J629" s="959"/>
      <c r="K629" s="959"/>
      <c r="L629" s="959"/>
      <c r="M629" s="959"/>
      <c r="N629" s="959"/>
      <c r="O629" s="959"/>
      <c r="P629" s="959"/>
      <c r="Q629" s="959"/>
      <c r="R629" s="959"/>
      <c r="S629" s="959"/>
      <c r="T629" s="959"/>
      <c r="U629" s="959"/>
      <c r="V629" s="959"/>
      <c r="W629" s="959"/>
      <c r="X629" s="959"/>
      <c r="Y629" s="959"/>
      <c r="Z629" s="959"/>
      <c r="AA629" s="959"/>
      <c r="AB629" s="959"/>
      <c r="AC629" s="959"/>
      <c r="AD629" s="959"/>
      <c r="AE629" s="959"/>
      <c r="AF629" s="959"/>
      <c r="AG629" s="959"/>
      <c r="AH629" s="959"/>
      <c r="AI629" s="959"/>
      <c r="AJ629" s="959"/>
      <c r="AK629" s="959"/>
      <c r="AL629" s="959"/>
      <c r="AM629" s="959"/>
    </row>
    <row r="630" spans="3:39" x14ac:dyDescent="0.25">
      <c r="C630" s="959"/>
      <c r="D630" s="959"/>
      <c r="E630" s="959"/>
      <c r="F630" s="959"/>
      <c r="G630" s="959"/>
      <c r="H630" s="959"/>
      <c r="I630" s="959"/>
      <c r="J630" s="959"/>
      <c r="K630" s="959"/>
      <c r="L630" s="959"/>
      <c r="M630" s="959"/>
      <c r="N630" s="959"/>
      <c r="O630" s="959"/>
      <c r="P630" s="959"/>
      <c r="Q630" s="959"/>
      <c r="R630" s="959"/>
      <c r="S630" s="959"/>
      <c r="T630" s="959"/>
      <c r="U630" s="959"/>
      <c r="V630" s="959"/>
      <c r="W630" s="959"/>
      <c r="X630" s="959"/>
      <c r="Y630" s="959"/>
      <c r="Z630" s="959"/>
      <c r="AA630" s="959"/>
      <c r="AB630" s="959"/>
      <c r="AC630" s="959"/>
      <c r="AD630" s="959"/>
      <c r="AE630" s="959"/>
      <c r="AF630" s="959"/>
      <c r="AG630" s="959"/>
      <c r="AH630" s="959"/>
      <c r="AI630" s="959"/>
      <c r="AJ630" s="959"/>
      <c r="AK630" s="959"/>
      <c r="AL630" s="959"/>
      <c r="AM630" s="959"/>
    </row>
    <row r="631" spans="3:39" x14ac:dyDescent="0.25">
      <c r="C631" s="959"/>
      <c r="D631" s="959"/>
      <c r="E631" s="959"/>
      <c r="F631" s="959"/>
      <c r="G631" s="959"/>
      <c r="H631" s="959"/>
      <c r="I631" s="959"/>
      <c r="J631" s="959"/>
      <c r="K631" s="959"/>
      <c r="L631" s="959"/>
      <c r="M631" s="959"/>
      <c r="N631" s="959"/>
      <c r="O631" s="959"/>
      <c r="P631" s="959"/>
      <c r="Q631" s="959"/>
      <c r="R631" s="959"/>
      <c r="S631" s="959"/>
      <c r="T631" s="959"/>
      <c r="U631" s="959"/>
      <c r="V631" s="959"/>
      <c r="W631" s="959"/>
      <c r="X631" s="959"/>
      <c r="Y631" s="959"/>
      <c r="Z631" s="959"/>
      <c r="AA631" s="959"/>
      <c r="AB631" s="959"/>
      <c r="AC631" s="959"/>
      <c r="AD631" s="959"/>
      <c r="AE631" s="959"/>
      <c r="AF631" s="959"/>
      <c r="AG631" s="959"/>
      <c r="AH631" s="959"/>
      <c r="AI631" s="959"/>
      <c r="AJ631" s="959"/>
      <c r="AK631" s="959"/>
      <c r="AL631" s="959"/>
      <c r="AM631" s="959"/>
    </row>
    <row r="632" spans="3:39" x14ac:dyDescent="0.25">
      <c r="C632" s="959"/>
      <c r="D632" s="959"/>
      <c r="E632" s="959"/>
      <c r="F632" s="959"/>
      <c r="G632" s="959"/>
      <c r="H632" s="959"/>
      <c r="I632" s="959"/>
      <c r="J632" s="959"/>
      <c r="K632" s="959"/>
      <c r="L632" s="959"/>
      <c r="M632" s="959"/>
      <c r="N632" s="959"/>
      <c r="O632" s="959"/>
      <c r="P632" s="959"/>
      <c r="Q632" s="959"/>
      <c r="R632" s="959"/>
      <c r="S632" s="959"/>
      <c r="T632" s="959"/>
      <c r="U632" s="959"/>
      <c r="V632" s="959"/>
      <c r="W632" s="959"/>
      <c r="X632" s="959"/>
      <c r="Y632" s="959"/>
      <c r="Z632" s="959"/>
      <c r="AA632" s="959"/>
      <c r="AB632" s="959"/>
      <c r="AC632" s="959"/>
      <c r="AD632" s="959"/>
      <c r="AE632" s="959"/>
      <c r="AF632" s="959"/>
      <c r="AG632" s="959"/>
      <c r="AH632" s="959"/>
      <c r="AI632" s="959"/>
      <c r="AJ632" s="959"/>
      <c r="AK632" s="959"/>
      <c r="AL632" s="959"/>
      <c r="AM632" s="959"/>
    </row>
    <row r="633" spans="3:39" x14ac:dyDescent="0.25">
      <c r="C633" s="959"/>
      <c r="D633" s="959"/>
      <c r="E633" s="959"/>
      <c r="F633" s="959"/>
      <c r="G633" s="959"/>
      <c r="H633" s="959"/>
      <c r="I633" s="959"/>
      <c r="J633" s="959"/>
      <c r="K633" s="959"/>
      <c r="L633" s="959"/>
      <c r="M633" s="959"/>
      <c r="N633" s="959"/>
      <c r="O633" s="959"/>
      <c r="P633" s="959"/>
      <c r="Q633" s="959"/>
      <c r="R633" s="959"/>
      <c r="S633" s="959"/>
      <c r="T633" s="959"/>
      <c r="U633" s="959"/>
      <c r="V633" s="959"/>
      <c r="W633" s="959"/>
      <c r="X633" s="959"/>
      <c r="Y633" s="959"/>
      <c r="Z633" s="959"/>
      <c r="AA633" s="959"/>
      <c r="AB633" s="959"/>
      <c r="AC633" s="959"/>
      <c r="AD633" s="959"/>
      <c r="AE633" s="959"/>
      <c r="AF633" s="959"/>
      <c r="AG633" s="959"/>
      <c r="AH633" s="959"/>
      <c r="AI633" s="959"/>
      <c r="AJ633" s="959"/>
      <c r="AK633" s="959"/>
      <c r="AL633" s="959"/>
      <c r="AM633" s="959"/>
    </row>
    <row r="634" spans="3:39" x14ac:dyDescent="0.25">
      <c r="C634" s="959"/>
      <c r="D634" s="959"/>
      <c r="E634" s="959"/>
      <c r="F634" s="959"/>
      <c r="G634" s="959"/>
      <c r="H634" s="959"/>
      <c r="I634" s="959"/>
      <c r="J634" s="959"/>
      <c r="K634" s="959"/>
      <c r="L634" s="959"/>
      <c r="M634" s="959"/>
      <c r="N634" s="959"/>
      <c r="O634" s="959"/>
      <c r="P634" s="959"/>
      <c r="Q634" s="959"/>
      <c r="R634" s="959"/>
      <c r="S634" s="959"/>
      <c r="T634" s="959"/>
      <c r="U634" s="959"/>
      <c r="V634" s="959"/>
      <c r="W634" s="959"/>
      <c r="X634" s="959"/>
      <c r="Y634" s="959"/>
      <c r="Z634" s="959"/>
      <c r="AA634" s="959"/>
      <c r="AB634" s="959"/>
      <c r="AC634" s="959"/>
      <c r="AD634" s="959"/>
      <c r="AE634" s="959"/>
      <c r="AF634" s="959"/>
      <c r="AG634" s="959"/>
      <c r="AH634" s="959"/>
      <c r="AI634" s="959"/>
      <c r="AJ634" s="959"/>
      <c r="AK634" s="959"/>
      <c r="AL634" s="959"/>
      <c r="AM634" s="959"/>
    </row>
    <row r="635" spans="3:39" x14ac:dyDescent="0.25">
      <c r="C635" s="959"/>
      <c r="D635" s="959"/>
      <c r="E635" s="959"/>
      <c r="F635" s="959"/>
      <c r="G635" s="959"/>
      <c r="H635" s="959"/>
      <c r="I635" s="959"/>
      <c r="J635" s="959"/>
      <c r="K635" s="959"/>
      <c r="L635" s="959"/>
      <c r="M635" s="959"/>
      <c r="N635" s="959"/>
      <c r="O635" s="959"/>
      <c r="P635" s="959"/>
      <c r="Q635" s="959"/>
      <c r="R635" s="959"/>
      <c r="S635" s="959"/>
      <c r="T635" s="959"/>
      <c r="U635" s="959"/>
      <c r="V635" s="959"/>
      <c r="W635" s="959"/>
      <c r="X635" s="959"/>
      <c r="Y635" s="959"/>
      <c r="Z635" s="959"/>
      <c r="AA635" s="959"/>
      <c r="AB635" s="959"/>
      <c r="AC635" s="959"/>
      <c r="AD635" s="959"/>
      <c r="AE635" s="959"/>
      <c r="AF635" s="959"/>
      <c r="AG635" s="959"/>
      <c r="AH635" s="959"/>
      <c r="AI635" s="959"/>
      <c r="AJ635" s="959"/>
      <c r="AK635" s="959"/>
      <c r="AL635" s="959"/>
      <c r="AM635" s="959"/>
    </row>
    <row r="636" spans="3:39" x14ac:dyDescent="0.25">
      <c r="C636" s="959"/>
      <c r="D636" s="959"/>
      <c r="E636" s="959"/>
      <c r="F636" s="959"/>
      <c r="G636" s="959"/>
      <c r="H636" s="959"/>
      <c r="I636" s="959"/>
      <c r="J636" s="959"/>
      <c r="K636" s="959"/>
      <c r="L636" s="959"/>
      <c r="M636" s="959"/>
      <c r="N636" s="959"/>
      <c r="O636" s="959"/>
      <c r="P636" s="959"/>
      <c r="Q636" s="959"/>
      <c r="R636" s="959"/>
      <c r="S636" s="959"/>
      <c r="T636" s="959"/>
      <c r="U636" s="959"/>
      <c r="V636" s="959"/>
      <c r="W636" s="959"/>
      <c r="X636" s="959"/>
      <c r="Y636" s="959"/>
      <c r="Z636" s="959"/>
      <c r="AA636" s="959"/>
      <c r="AB636" s="959"/>
      <c r="AC636" s="959"/>
      <c r="AD636" s="959"/>
      <c r="AE636" s="959"/>
      <c r="AF636" s="959"/>
      <c r="AG636" s="959"/>
      <c r="AH636" s="959"/>
      <c r="AI636" s="959"/>
      <c r="AJ636" s="959"/>
      <c r="AK636" s="959"/>
      <c r="AL636" s="959"/>
      <c r="AM636" s="959"/>
    </row>
    <row r="637" spans="3:39" x14ac:dyDescent="0.25">
      <c r="C637" s="959"/>
      <c r="D637" s="959"/>
      <c r="E637" s="959"/>
      <c r="F637" s="959"/>
      <c r="G637" s="959"/>
      <c r="H637" s="959"/>
      <c r="I637" s="959"/>
      <c r="J637" s="959"/>
      <c r="K637" s="959"/>
      <c r="L637" s="959"/>
      <c r="M637" s="959"/>
      <c r="N637" s="959"/>
      <c r="O637" s="959"/>
      <c r="P637" s="959"/>
      <c r="Q637" s="959"/>
      <c r="R637" s="959"/>
      <c r="S637" s="959"/>
      <c r="T637" s="959"/>
      <c r="U637" s="959"/>
      <c r="V637" s="959"/>
      <c r="W637" s="959"/>
      <c r="X637" s="959"/>
      <c r="Y637" s="959"/>
      <c r="Z637" s="959"/>
      <c r="AA637" s="959"/>
      <c r="AB637" s="959"/>
      <c r="AC637" s="959"/>
      <c r="AD637" s="959"/>
      <c r="AE637" s="959"/>
      <c r="AF637" s="959"/>
      <c r="AG637" s="959"/>
      <c r="AH637" s="959"/>
      <c r="AI637" s="959"/>
      <c r="AJ637" s="959"/>
      <c r="AK637" s="959"/>
      <c r="AL637" s="959"/>
      <c r="AM637" s="959"/>
    </row>
    <row r="638" spans="3:39" x14ac:dyDescent="0.25">
      <c r="C638" s="959"/>
      <c r="D638" s="959"/>
      <c r="E638" s="959"/>
      <c r="F638" s="959"/>
      <c r="G638" s="959"/>
      <c r="H638" s="959"/>
      <c r="I638" s="959"/>
      <c r="J638" s="959"/>
      <c r="K638" s="959"/>
      <c r="L638" s="959"/>
      <c r="M638" s="959"/>
      <c r="N638" s="959"/>
      <c r="O638" s="959"/>
      <c r="P638" s="959"/>
      <c r="Q638" s="959"/>
      <c r="R638" s="959"/>
      <c r="S638" s="959"/>
      <c r="T638" s="959"/>
      <c r="U638" s="959"/>
      <c r="V638" s="959"/>
      <c r="W638" s="959"/>
      <c r="X638" s="959"/>
      <c r="Y638" s="959"/>
      <c r="Z638" s="959"/>
      <c r="AA638" s="959"/>
      <c r="AB638" s="959"/>
      <c r="AC638" s="959"/>
      <c r="AD638" s="959"/>
      <c r="AE638" s="959"/>
      <c r="AF638" s="959"/>
      <c r="AG638" s="959"/>
      <c r="AH638" s="959"/>
      <c r="AI638" s="959"/>
      <c r="AJ638" s="959"/>
      <c r="AK638" s="959"/>
      <c r="AL638" s="959"/>
      <c r="AM638" s="959"/>
    </row>
    <row r="639" spans="3:39" x14ac:dyDescent="0.25">
      <c r="C639" s="959"/>
      <c r="D639" s="959"/>
      <c r="E639" s="959"/>
      <c r="F639" s="959"/>
      <c r="G639" s="959"/>
      <c r="H639" s="959"/>
      <c r="I639" s="959"/>
      <c r="J639" s="959"/>
      <c r="K639" s="959"/>
      <c r="L639" s="959"/>
      <c r="M639" s="959"/>
      <c r="N639" s="959"/>
      <c r="O639" s="959"/>
      <c r="P639" s="959"/>
      <c r="Q639" s="959"/>
      <c r="R639" s="959"/>
      <c r="S639" s="959"/>
      <c r="T639" s="959"/>
      <c r="U639" s="959"/>
      <c r="V639" s="959"/>
      <c r="W639" s="959"/>
      <c r="X639" s="959"/>
      <c r="Y639" s="959"/>
      <c r="Z639" s="959"/>
      <c r="AA639" s="959"/>
      <c r="AB639" s="959"/>
      <c r="AC639" s="959"/>
      <c r="AD639" s="959"/>
      <c r="AE639" s="959"/>
      <c r="AF639" s="959"/>
      <c r="AG639" s="959"/>
      <c r="AH639" s="959"/>
      <c r="AI639" s="959"/>
      <c r="AJ639" s="959"/>
      <c r="AK639" s="959"/>
      <c r="AL639" s="959"/>
      <c r="AM639" s="959"/>
    </row>
    <row r="640" spans="3:39" x14ac:dyDescent="0.25">
      <c r="C640" s="959"/>
      <c r="D640" s="959"/>
      <c r="E640" s="959"/>
      <c r="F640" s="959"/>
      <c r="G640" s="959"/>
      <c r="H640" s="959"/>
      <c r="I640" s="959"/>
      <c r="J640" s="959"/>
      <c r="K640" s="959"/>
      <c r="L640" s="959"/>
      <c r="M640" s="959"/>
      <c r="N640" s="959"/>
      <c r="O640" s="959"/>
      <c r="P640" s="959"/>
      <c r="Q640" s="959"/>
      <c r="R640" s="959"/>
      <c r="S640" s="959"/>
      <c r="T640" s="959"/>
      <c r="U640" s="959"/>
      <c r="V640" s="959"/>
      <c r="W640" s="959"/>
      <c r="X640" s="959"/>
      <c r="Y640" s="959"/>
      <c r="Z640" s="959"/>
      <c r="AA640" s="959"/>
      <c r="AB640" s="959"/>
      <c r="AC640" s="959"/>
      <c r="AD640" s="959"/>
      <c r="AE640" s="959"/>
      <c r="AF640" s="959"/>
      <c r="AG640" s="959"/>
      <c r="AH640" s="959"/>
      <c r="AI640" s="959"/>
      <c r="AJ640" s="959"/>
      <c r="AK640" s="959"/>
      <c r="AL640" s="959"/>
      <c r="AM640" s="959"/>
    </row>
    <row r="641" spans="3:39" x14ac:dyDescent="0.25">
      <c r="C641" s="959"/>
      <c r="D641" s="959"/>
      <c r="E641" s="959"/>
      <c r="F641" s="959"/>
      <c r="G641" s="959"/>
      <c r="H641" s="959"/>
      <c r="I641" s="959"/>
      <c r="J641" s="959"/>
      <c r="K641" s="959"/>
      <c r="L641" s="959"/>
      <c r="M641" s="959"/>
      <c r="N641" s="959"/>
      <c r="O641" s="959"/>
      <c r="P641" s="959"/>
      <c r="Q641" s="959"/>
      <c r="R641" s="959"/>
      <c r="S641" s="959"/>
      <c r="T641" s="959"/>
      <c r="U641" s="959"/>
      <c r="V641" s="959"/>
      <c r="W641" s="959"/>
      <c r="X641" s="959"/>
      <c r="Y641" s="959"/>
      <c r="Z641" s="959"/>
      <c r="AA641" s="959"/>
      <c r="AB641" s="959"/>
      <c r="AC641" s="959"/>
      <c r="AD641" s="959"/>
      <c r="AE641" s="959"/>
      <c r="AF641" s="959"/>
      <c r="AG641" s="959"/>
      <c r="AH641" s="959"/>
      <c r="AI641" s="959"/>
      <c r="AJ641" s="959"/>
      <c r="AK641" s="959"/>
      <c r="AL641" s="959"/>
      <c r="AM641" s="959"/>
    </row>
    <row r="642" spans="3:39" x14ac:dyDescent="0.25">
      <c r="C642" s="959"/>
      <c r="D642" s="959"/>
      <c r="E642" s="959"/>
      <c r="F642" s="959"/>
      <c r="G642" s="959"/>
      <c r="H642" s="959"/>
      <c r="I642" s="959"/>
      <c r="J642" s="959"/>
      <c r="K642" s="959"/>
      <c r="L642" s="959"/>
      <c r="M642" s="959"/>
      <c r="N642" s="959"/>
      <c r="O642" s="959"/>
      <c r="P642" s="959"/>
      <c r="Q642" s="959"/>
      <c r="R642" s="959"/>
      <c r="S642" s="959"/>
      <c r="T642" s="959"/>
      <c r="U642" s="959"/>
      <c r="V642" s="959"/>
      <c r="W642" s="959"/>
      <c r="X642" s="959"/>
      <c r="Y642" s="959"/>
      <c r="Z642" s="959"/>
      <c r="AA642" s="959"/>
      <c r="AB642" s="959"/>
      <c r="AC642" s="959"/>
      <c r="AD642" s="959"/>
      <c r="AE642" s="959"/>
      <c r="AF642" s="959"/>
      <c r="AG642" s="959"/>
      <c r="AH642" s="959"/>
      <c r="AI642" s="959"/>
      <c r="AJ642" s="959"/>
      <c r="AK642" s="959"/>
      <c r="AL642" s="959"/>
      <c r="AM642" s="959"/>
    </row>
    <row r="643" spans="3:39" x14ac:dyDescent="0.25">
      <c r="C643" s="959"/>
      <c r="D643" s="959"/>
      <c r="E643" s="959"/>
      <c r="F643" s="959"/>
      <c r="G643" s="959"/>
      <c r="H643" s="959"/>
      <c r="I643" s="959"/>
      <c r="J643" s="959"/>
      <c r="K643" s="959"/>
      <c r="L643" s="959"/>
      <c r="M643" s="959"/>
      <c r="N643" s="959"/>
      <c r="O643" s="959"/>
      <c r="P643" s="959"/>
      <c r="Q643" s="959"/>
      <c r="R643" s="959"/>
      <c r="S643" s="959"/>
      <c r="T643" s="959"/>
      <c r="U643" s="959"/>
      <c r="V643" s="959"/>
      <c r="W643" s="959"/>
      <c r="X643" s="959"/>
      <c r="Y643" s="959"/>
      <c r="Z643" s="959"/>
      <c r="AA643" s="959"/>
      <c r="AB643" s="959"/>
      <c r="AC643" s="959"/>
      <c r="AD643" s="959"/>
      <c r="AE643" s="959"/>
      <c r="AF643" s="959"/>
      <c r="AG643" s="959"/>
      <c r="AH643" s="959"/>
      <c r="AI643" s="959"/>
      <c r="AJ643" s="959"/>
      <c r="AK643" s="959"/>
      <c r="AL643" s="959"/>
      <c r="AM643" s="959"/>
    </row>
    <row r="644" spans="3:39" x14ac:dyDescent="0.25">
      <c r="C644" s="959"/>
      <c r="D644" s="959"/>
      <c r="E644" s="959"/>
      <c r="F644" s="959"/>
      <c r="G644" s="959"/>
      <c r="H644" s="959"/>
      <c r="I644" s="959"/>
      <c r="J644" s="959"/>
      <c r="K644" s="959"/>
      <c r="L644" s="959"/>
      <c r="M644" s="959"/>
      <c r="N644" s="959"/>
      <c r="O644" s="959"/>
      <c r="P644" s="959"/>
      <c r="Q644" s="959"/>
      <c r="R644" s="959"/>
      <c r="S644" s="959"/>
      <c r="T644" s="959"/>
      <c r="U644" s="959"/>
      <c r="V644" s="959"/>
      <c r="W644" s="959"/>
      <c r="X644" s="959"/>
      <c r="Y644" s="959"/>
      <c r="Z644" s="959"/>
      <c r="AA644" s="959"/>
      <c r="AB644" s="959"/>
      <c r="AC644" s="959"/>
      <c r="AD644" s="959"/>
      <c r="AE644" s="959"/>
      <c r="AF644" s="959"/>
      <c r="AG644" s="959"/>
      <c r="AH644" s="959"/>
      <c r="AI644" s="959"/>
      <c r="AJ644" s="959"/>
      <c r="AK644" s="959"/>
      <c r="AL644" s="959"/>
      <c r="AM644" s="959"/>
    </row>
    <row r="645" spans="3:39" x14ac:dyDescent="0.25">
      <c r="C645" s="959"/>
      <c r="D645" s="959"/>
      <c r="E645" s="959"/>
      <c r="F645" s="959"/>
      <c r="G645" s="959"/>
      <c r="H645" s="959"/>
      <c r="I645" s="959"/>
      <c r="J645" s="959"/>
      <c r="K645" s="959"/>
      <c r="L645" s="959"/>
      <c r="M645" s="959"/>
      <c r="N645" s="959"/>
      <c r="O645" s="959"/>
      <c r="P645" s="959"/>
      <c r="Q645" s="959"/>
      <c r="R645" s="959"/>
      <c r="S645" s="959"/>
      <c r="T645" s="959"/>
      <c r="U645" s="959"/>
      <c r="V645" s="959"/>
      <c r="W645" s="959"/>
      <c r="X645" s="959"/>
      <c r="Y645" s="959"/>
      <c r="Z645" s="959"/>
      <c r="AA645" s="959"/>
      <c r="AB645" s="959"/>
      <c r="AC645" s="959"/>
      <c r="AD645" s="959"/>
      <c r="AE645" s="959"/>
      <c r="AF645" s="959"/>
      <c r="AG645" s="959"/>
      <c r="AH645" s="959"/>
      <c r="AI645" s="959"/>
      <c r="AJ645" s="959"/>
      <c r="AK645" s="959"/>
      <c r="AL645" s="959"/>
      <c r="AM645" s="959"/>
    </row>
    <row r="646" spans="3:39" x14ac:dyDescent="0.25">
      <c r="C646" s="959"/>
      <c r="D646" s="959"/>
      <c r="E646" s="959"/>
      <c r="F646" s="959"/>
      <c r="G646" s="959"/>
      <c r="H646" s="959"/>
      <c r="I646" s="959"/>
      <c r="J646" s="959"/>
      <c r="K646" s="959"/>
      <c r="L646" s="959"/>
      <c r="M646" s="959"/>
      <c r="N646" s="959"/>
      <c r="O646" s="959"/>
      <c r="P646" s="959"/>
      <c r="Q646" s="959"/>
      <c r="R646" s="959"/>
      <c r="S646" s="959"/>
      <c r="T646" s="959"/>
      <c r="U646" s="959"/>
      <c r="V646" s="959"/>
      <c r="W646" s="959"/>
      <c r="X646" s="959"/>
      <c r="Y646" s="959"/>
      <c r="Z646" s="959"/>
      <c r="AA646" s="959"/>
      <c r="AB646" s="959"/>
      <c r="AC646" s="959"/>
      <c r="AD646" s="959"/>
      <c r="AE646" s="959"/>
      <c r="AF646" s="959"/>
      <c r="AG646" s="959"/>
      <c r="AH646" s="959"/>
      <c r="AI646" s="959"/>
      <c r="AJ646" s="959"/>
      <c r="AK646" s="959"/>
      <c r="AL646" s="959"/>
      <c r="AM646" s="959"/>
    </row>
    <row r="647" spans="3:39" x14ac:dyDescent="0.25">
      <c r="C647" s="959"/>
      <c r="D647" s="959"/>
      <c r="E647" s="959"/>
      <c r="F647" s="959"/>
      <c r="G647" s="959"/>
      <c r="H647" s="959"/>
      <c r="I647" s="959"/>
      <c r="J647" s="959"/>
      <c r="K647" s="959"/>
      <c r="L647" s="959"/>
      <c r="M647" s="959"/>
      <c r="N647" s="959"/>
      <c r="O647" s="959"/>
      <c r="P647" s="959"/>
      <c r="Q647" s="959"/>
      <c r="R647" s="959"/>
      <c r="S647" s="959"/>
      <c r="T647" s="959"/>
      <c r="U647" s="959"/>
      <c r="V647" s="959"/>
      <c r="W647" s="959"/>
      <c r="X647" s="959"/>
      <c r="Y647" s="959"/>
      <c r="Z647" s="959"/>
      <c r="AA647" s="959"/>
      <c r="AB647" s="959"/>
      <c r="AC647" s="959"/>
      <c r="AD647" s="959"/>
      <c r="AE647" s="959"/>
      <c r="AF647" s="959"/>
      <c r="AG647" s="959"/>
      <c r="AH647" s="959"/>
      <c r="AI647" s="959"/>
      <c r="AJ647" s="959"/>
      <c r="AK647" s="959"/>
      <c r="AL647" s="959"/>
      <c r="AM647" s="959"/>
    </row>
    <row r="648" spans="3:39" x14ac:dyDescent="0.25">
      <c r="C648" s="959"/>
      <c r="D648" s="959"/>
      <c r="E648" s="959"/>
      <c r="F648" s="959"/>
      <c r="G648" s="959"/>
      <c r="H648" s="959"/>
      <c r="I648" s="959"/>
      <c r="J648" s="959"/>
      <c r="K648" s="959"/>
      <c r="L648" s="959"/>
      <c r="M648" s="959"/>
      <c r="N648" s="959"/>
      <c r="O648" s="959"/>
      <c r="P648" s="959"/>
      <c r="Q648" s="959"/>
      <c r="R648" s="959"/>
      <c r="S648" s="959"/>
      <c r="T648" s="959"/>
      <c r="U648" s="959"/>
      <c r="V648" s="959"/>
      <c r="W648" s="959"/>
      <c r="X648" s="959"/>
      <c r="Y648" s="959"/>
      <c r="Z648" s="959"/>
      <c r="AA648" s="959"/>
      <c r="AB648" s="959"/>
      <c r="AC648" s="959"/>
      <c r="AD648" s="959"/>
      <c r="AE648" s="959"/>
      <c r="AF648" s="959"/>
      <c r="AG648" s="959"/>
      <c r="AH648" s="959"/>
      <c r="AI648" s="959"/>
      <c r="AJ648" s="959"/>
      <c r="AK648" s="959"/>
      <c r="AL648" s="959"/>
      <c r="AM648" s="959"/>
    </row>
    <row r="649" spans="3:39" x14ac:dyDescent="0.25">
      <c r="C649" s="959"/>
      <c r="D649" s="959"/>
      <c r="E649" s="959"/>
      <c r="F649" s="959"/>
      <c r="G649" s="959"/>
      <c r="H649" s="959"/>
      <c r="I649" s="959"/>
      <c r="J649" s="959"/>
      <c r="K649" s="959"/>
      <c r="L649" s="959"/>
      <c r="M649" s="959"/>
      <c r="N649" s="959"/>
      <c r="O649" s="959"/>
      <c r="P649" s="959"/>
      <c r="Q649" s="959"/>
      <c r="R649" s="959"/>
      <c r="S649" s="959"/>
      <c r="T649" s="959"/>
      <c r="U649" s="959"/>
      <c r="V649" s="959"/>
      <c r="W649" s="959"/>
      <c r="X649" s="959"/>
      <c r="Y649" s="959"/>
      <c r="Z649" s="959"/>
      <c r="AA649" s="959"/>
      <c r="AB649" s="959"/>
      <c r="AC649" s="959"/>
      <c r="AD649" s="959"/>
      <c r="AE649" s="959"/>
      <c r="AF649" s="959"/>
      <c r="AG649" s="959"/>
      <c r="AH649" s="959"/>
      <c r="AI649" s="959"/>
      <c r="AJ649" s="959"/>
      <c r="AK649" s="959"/>
      <c r="AL649" s="959"/>
      <c r="AM649" s="959"/>
    </row>
    <row r="650" spans="3:39" x14ac:dyDescent="0.25">
      <c r="C650" s="959"/>
      <c r="D650" s="959"/>
      <c r="E650" s="959"/>
      <c r="F650" s="959"/>
      <c r="G650" s="959"/>
      <c r="H650" s="959"/>
      <c r="I650" s="959"/>
      <c r="J650" s="959"/>
      <c r="K650" s="959"/>
      <c r="L650" s="959"/>
      <c r="M650" s="959"/>
      <c r="N650" s="959"/>
      <c r="O650" s="959"/>
      <c r="P650" s="959"/>
      <c r="Q650" s="959"/>
      <c r="R650" s="959"/>
      <c r="S650" s="959"/>
      <c r="T650" s="959"/>
      <c r="U650" s="959"/>
      <c r="V650" s="959"/>
      <c r="W650" s="959"/>
      <c r="X650" s="959"/>
      <c r="Y650" s="959"/>
      <c r="Z650" s="959"/>
      <c r="AA650" s="959"/>
      <c r="AB650" s="959"/>
      <c r="AC650" s="959"/>
      <c r="AD650" s="959"/>
      <c r="AE650" s="959"/>
      <c r="AF650" s="959"/>
      <c r="AG650" s="959"/>
      <c r="AH650" s="959"/>
      <c r="AI650" s="959"/>
      <c r="AJ650" s="959"/>
      <c r="AK650" s="959"/>
      <c r="AL650" s="959"/>
      <c r="AM650" s="959"/>
    </row>
    <row r="651" spans="3:39" x14ac:dyDescent="0.25">
      <c r="C651" s="959"/>
      <c r="D651" s="959"/>
      <c r="E651" s="959"/>
      <c r="F651" s="959"/>
      <c r="G651" s="959"/>
      <c r="H651" s="959"/>
      <c r="I651" s="959"/>
      <c r="J651" s="959"/>
      <c r="K651" s="959"/>
      <c r="L651" s="959"/>
      <c r="M651" s="959"/>
      <c r="N651" s="959"/>
      <c r="O651" s="959"/>
      <c r="P651" s="959"/>
      <c r="Q651" s="959"/>
      <c r="R651" s="959"/>
      <c r="S651" s="959"/>
      <c r="T651" s="959"/>
      <c r="U651" s="959"/>
      <c r="V651" s="959"/>
      <c r="W651" s="959"/>
      <c r="X651" s="959"/>
      <c r="Y651" s="959"/>
      <c r="Z651" s="959"/>
      <c r="AA651" s="959"/>
      <c r="AB651" s="959"/>
      <c r="AC651" s="959"/>
      <c r="AD651" s="959"/>
      <c r="AE651" s="959"/>
      <c r="AF651" s="959"/>
      <c r="AG651" s="959"/>
      <c r="AH651" s="959"/>
      <c r="AI651" s="959"/>
      <c r="AJ651" s="959"/>
      <c r="AK651" s="959"/>
      <c r="AL651" s="959"/>
      <c r="AM651" s="959"/>
    </row>
    <row r="652" spans="3:39" x14ac:dyDescent="0.25">
      <c r="C652" s="959"/>
      <c r="D652" s="959"/>
      <c r="E652" s="959"/>
      <c r="F652" s="959"/>
      <c r="G652" s="959"/>
      <c r="H652" s="959"/>
      <c r="I652" s="959"/>
      <c r="J652" s="959"/>
      <c r="K652" s="959"/>
      <c r="L652" s="959"/>
      <c r="M652" s="959"/>
      <c r="N652" s="959"/>
      <c r="O652" s="959"/>
      <c r="P652" s="959"/>
      <c r="Q652" s="959"/>
      <c r="R652" s="959"/>
      <c r="S652" s="959"/>
      <c r="T652" s="959"/>
      <c r="U652" s="959"/>
      <c r="V652" s="959"/>
      <c r="W652" s="959"/>
      <c r="X652" s="959"/>
      <c r="Y652" s="959"/>
      <c r="Z652" s="959"/>
      <c r="AA652" s="959"/>
      <c r="AB652" s="959"/>
      <c r="AC652" s="959"/>
      <c r="AD652" s="959"/>
      <c r="AE652" s="959"/>
      <c r="AF652" s="959"/>
      <c r="AG652" s="959"/>
      <c r="AH652" s="959"/>
      <c r="AI652" s="959"/>
      <c r="AJ652" s="959"/>
      <c r="AK652" s="959"/>
      <c r="AL652" s="959"/>
      <c r="AM652" s="959"/>
    </row>
    <row r="653" spans="3:39" x14ac:dyDescent="0.25">
      <c r="C653" s="959"/>
      <c r="D653" s="959"/>
      <c r="E653" s="959"/>
      <c r="F653" s="959"/>
      <c r="G653" s="959"/>
      <c r="H653" s="959"/>
      <c r="I653" s="959"/>
      <c r="J653" s="959"/>
      <c r="K653" s="959"/>
      <c r="L653" s="959"/>
      <c r="M653" s="959"/>
      <c r="N653" s="959"/>
      <c r="O653" s="959"/>
      <c r="P653" s="959"/>
      <c r="Q653" s="959"/>
      <c r="R653" s="959"/>
      <c r="S653" s="959"/>
      <c r="T653" s="959"/>
      <c r="U653" s="959"/>
      <c r="V653" s="959"/>
      <c r="W653" s="959"/>
      <c r="X653" s="959"/>
      <c r="Y653" s="959"/>
      <c r="Z653" s="959"/>
      <c r="AA653" s="959"/>
      <c r="AB653" s="959"/>
      <c r="AC653" s="959"/>
      <c r="AD653" s="959"/>
      <c r="AE653" s="959"/>
      <c r="AF653" s="959"/>
      <c r="AG653" s="959"/>
      <c r="AH653" s="959"/>
      <c r="AI653" s="959"/>
      <c r="AJ653" s="959"/>
      <c r="AK653" s="959"/>
      <c r="AL653" s="959"/>
      <c r="AM653" s="959"/>
    </row>
    <row r="654" spans="3:39" x14ac:dyDescent="0.25">
      <c r="C654" s="959"/>
      <c r="D654" s="959"/>
      <c r="E654" s="959"/>
      <c r="F654" s="959"/>
      <c r="G654" s="959"/>
      <c r="H654" s="959"/>
      <c r="I654" s="959"/>
      <c r="J654" s="959"/>
      <c r="K654" s="959"/>
      <c r="L654" s="959"/>
      <c r="M654" s="959"/>
      <c r="N654" s="959"/>
      <c r="O654" s="959"/>
      <c r="P654" s="959"/>
      <c r="Q654" s="959"/>
      <c r="R654" s="959"/>
      <c r="S654" s="959"/>
      <c r="T654" s="959"/>
      <c r="U654" s="959"/>
      <c r="V654" s="959"/>
      <c r="W654" s="959"/>
      <c r="X654" s="959"/>
      <c r="Y654" s="959"/>
      <c r="Z654" s="959"/>
      <c r="AA654" s="959"/>
      <c r="AB654" s="959"/>
      <c r="AC654" s="959"/>
      <c r="AD654" s="959"/>
      <c r="AE654" s="959"/>
      <c r="AF654" s="959"/>
      <c r="AG654" s="959"/>
      <c r="AH654" s="959"/>
      <c r="AI654" s="959"/>
      <c r="AJ654" s="959"/>
      <c r="AK654" s="959"/>
      <c r="AL654" s="959"/>
      <c r="AM654" s="959"/>
    </row>
    <row r="655" spans="3:39" x14ac:dyDescent="0.25">
      <c r="C655" s="959"/>
      <c r="D655" s="959"/>
      <c r="E655" s="959"/>
      <c r="F655" s="959"/>
      <c r="G655" s="959"/>
      <c r="H655" s="959"/>
      <c r="I655" s="959"/>
      <c r="J655" s="959"/>
      <c r="K655" s="959"/>
      <c r="L655" s="959"/>
      <c r="M655" s="959"/>
      <c r="N655" s="959"/>
      <c r="O655" s="959"/>
      <c r="P655" s="959"/>
      <c r="Q655" s="959"/>
      <c r="R655" s="959"/>
      <c r="S655" s="959"/>
      <c r="T655" s="959"/>
      <c r="U655" s="959"/>
      <c r="V655" s="959"/>
      <c r="W655" s="959"/>
      <c r="X655" s="959"/>
      <c r="Y655" s="959"/>
      <c r="Z655" s="959"/>
      <c r="AA655" s="959"/>
      <c r="AB655" s="959"/>
      <c r="AC655" s="959"/>
      <c r="AD655" s="959"/>
      <c r="AE655" s="959"/>
      <c r="AF655" s="959"/>
      <c r="AG655" s="959"/>
      <c r="AH655" s="959"/>
      <c r="AI655" s="959"/>
      <c r="AJ655" s="959"/>
      <c r="AK655" s="959"/>
      <c r="AL655" s="959"/>
      <c r="AM655" s="959"/>
    </row>
    <row r="656" spans="3:39" x14ac:dyDescent="0.25">
      <c r="C656" s="959"/>
      <c r="D656" s="959"/>
      <c r="E656" s="959"/>
      <c r="F656" s="959"/>
      <c r="G656" s="959"/>
      <c r="H656" s="959"/>
      <c r="I656" s="959"/>
      <c r="J656" s="959"/>
      <c r="K656" s="959"/>
      <c r="L656" s="959"/>
      <c r="M656" s="959"/>
      <c r="N656" s="959"/>
      <c r="O656" s="959"/>
      <c r="P656" s="959"/>
      <c r="Q656" s="959"/>
      <c r="R656" s="959"/>
      <c r="S656" s="959"/>
      <c r="T656" s="959"/>
      <c r="U656" s="959"/>
      <c r="V656" s="959"/>
      <c r="W656" s="959"/>
      <c r="X656" s="959"/>
      <c r="Y656" s="959"/>
      <c r="Z656" s="959"/>
      <c r="AA656" s="959"/>
      <c r="AB656" s="959"/>
      <c r="AC656" s="959"/>
      <c r="AD656" s="959"/>
      <c r="AE656" s="959"/>
      <c r="AF656" s="959"/>
      <c r="AG656" s="959"/>
      <c r="AH656" s="959"/>
      <c r="AI656" s="959"/>
      <c r="AJ656" s="959"/>
      <c r="AK656" s="959"/>
      <c r="AL656" s="959"/>
      <c r="AM656" s="959"/>
    </row>
    <row r="657" spans="3:39" x14ac:dyDescent="0.25">
      <c r="C657" s="959"/>
      <c r="D657" s="959"/>
      <c r="E657" s="959"/>
      <c r="F657" s="959"/>
      <c r="G657" s="959"/>
      <c r="H657" s="959"/>
      <c r="I657" s="959"/>
      <c r="J657" s="959"/>
      <c r="K657" s="959"/>
      <c r="L657" s="959"/>
      <c r="M657" s="959"/>
      <c r="N657" s="959"/>
      <c r="O657" s="959"/>
      <c r="P657" s="959"/>
      <c r="Q657" s="959"/>
      <c r="R657" s="959"/>
      <c r="S657" s="959"/>
      <c r="T657" s="959"/>
      <c r="U657" s="959"/>
      <c r="V657" s="959"/>
      <c r="W657" s="959"/>
      <c r="X657" s="959"/>
      <c r="Y657" s="959"/>
      <c r="Z657" s="959"/>
      <c r="AA657" s="959"/>
      <c r="AB657" s="959"/>
      <c r="AC657" s="959"/>
      <c r="AD657" s="959"/>
      <c r="AE657" s="959"/>
      <c r="AF657" s="959"/>
      <c r="AG657" s="959"/>
      <c r="AH657" s="959"/>
      <c r="AI657" s="959"/>
      <c r="AJ657" s="959"/>
      <c r="AK657" s="959"/>
      <c r="AL657" s="959"/>
      <c r="AM657" s="959"/>
    </row>
    <row r="658" spans="3:39" x14ac:dyDescent="0.25">
      <c r="C658" s="959"/>
      <c r="D658" s="959"/>
      <c r="E658" s="959"/>
      <c r="F658" s="959"/>
      <c r="G658" s="959"/>
      <c r="H658" s="959"/>
      <c r="I658" s="959"/>
      <c r="J658" s="959"/>
      <c r="K658" s="959"/>
      <c r="L658" s="959"/>
      <c r="M658" s="959"/>
      <c r="N658" s="959"/>
      <c r="O658" s="959"/>
      <c r="P658" s="959"/>
      <c r="Q658" s="959"/>
      <c r="R658" s="959"/>
      <c r="S658" s="959"/>
      <c r="T658" s="959"/>
      <c r="U658" s="959"/>
      <c r="V658" s="959"/>
      <c r="W658" s="959"/>
      <c r="X658" s="959"/>
      <c r="Y658" s="959"/>
      <c r="Z658" s="959"/>
      <c r="AA658" s="959"/>
      <c r="AB658" s="959"/>
      <c r="AC658" s="959"/>
      <c r="AD658" s="959"/>
      <c r="AE658" s="959"/>
      <c r="AF658" s="959"/>
      <c r="AG658" s="959"/>
      <c r="AH658" s="959"/>
      <c r="AI658" s="959"/>
      <c r="AJ658" s="959"/>
      <c r="AK658" s="959"/>
      <c r="AL658" s="959"/>
      <c r="AM658" s="959"/>
    </row>
    <row r="659" spans="3:39" x14ac:dyDescent="0.25">
      <c r="C659" s="959"/>
      <c r="D659" s="959"/>
      <c r="E659" s="959"/>
      <c r="F659" s="959"/>
      <c r="G659" s="959"/>
      <c r="H659" s="959"/>
      <c r="I659" s="959"/>
      <c r="J659" s="959"/>
      <c r="K659" s="959"/>
      <c r="L659" s="959"/>
      <c r="M659" s="959"/>
      <c r="N659" s="959"/>
      <c r="O659" s="959"/>
      <c r="P659" s="959"/>
      <c r="Q659" s="959"/>
      <c r="R659" s="959"/>
      <c r="S659" s="959"/>
      <c r="T659" s="959"/>
      <c r="U659" s="959"/>
      <c r="V659" s="959"/>
      <c r="W659" s="959"/>
      <c r="X659" s="959"/>
      <c r="Y659" s="959"/>
      <c r="Z659" s="959"/>
      <c r="AA659" s="959"/>
      <c r="AB659" s="959"/>
      <c r="AC659" s="959"/>
      <c r="AD659" s="959"/>
      <c r="AE659" s="959"/>
      <c r="AF659" s="959"/>
      <c r="AG659" s="959"/>
      <c r="AH659" s="959"/>
      <c r="AI659" s="959"/>
      <c r="AJ659" s="959"/>
      <c r="AK659" s="959"/>
      <c r="AL659" s="959"/>
      <c r="AM659" s="959"/>
    </row>
    <row r="660" spans="3:39" x14ac:dyDescent="0.25">
      <c r="C660" s="959"/>
      <c r="D660" s="959"/>
      <c r="E660" s="959"/>
      <c r="F660" s="959"/>
      <c r="G660" s="959"/>
      <c r="H660" s="959"/>
      <c r="I660" s="959"/>
      <c r="J660" s="959"/>
      <c r="K660" s="959"/>
      <c r="L660" s="959"/>
      <c r="M660" s="959"/>
      <c r="N660" s="959"/>
      <c r="O660" s="959"/>
      <c r="P660" s="959"/>
      <c r="Q660" s="959"/>
      <c r="R660" s="959"/>
      <c r="S660" s="959"/>
      <c r="T660" s="959"/>
      <c r="U660" s="959"/>
      <c r="V660" s="959"/>
      <c r="W660" s="959"/>
      <c r="X660" s="959"/>
      <c r="Y660" s="959"/>
      <c r="Z660" s="959"/>
      <c r="AA660" s="959"/>
      <c r="AB660" s="959"/>
      <c r="AC660" s="959"/>
      <c r="AD660" s="959"/>
      <c r="AE660" s="959"/>
      <c r="AF660" s="959"/>
      <c r="AG660" s="959"/>
      <c r="AH660" s="959"/>
      <c r="AI660" s="959"/>
      <c r="AJ660" s="959"/>
      <c r="AK660" s="959"/>
      <c r="AL660" s="959"/>
      <c r="AM660" s="959"/>
    </row>
    <row r="661" spans="3:39" x14ac:dyDescent="0.25">
      <c r="C661" s="959"/>
      <c r="D661" s="959"/>
      <c r="E661" s="959"/>
      <c r="F661" s="959"/>
      <c r="G661" s="959"/>
      <c r="H661" s="959"/>
      <c r="I661" s="959"/>
      <c r="J661" s="959"/>
      <c r="K661" s="959"/>
      <c r="L661" s="959"/>
      <c r="M661" s="959"/>
      <c r="N661" s="959"/>
      <c r="O661" s="959"/>
      <c r="P661" s="959"/>
      <c r="Q661" s="959"/>
      <c r="R661" s="959"/>
      <c r="S661" s="959"/>
      <c r="T661" s="959"/>
      <c r="U661" s="959"/>
      <c r="V661" s="959"/>
      <c r="W661" s="959"/>
      <c r="X661" s="959"/>
      <c r="Y661" s="959"/>
      <c r="Z661" s="959"/>
      <c r="AA661" s="959"/>
      <c r="AB661" s="959"/>
      <c r="AC661" s="959"/>
      <c r="AD661" s="959"/>
      <c r="AE661" s="959"/>
      <c r="AF661" s="959"/>
      <c r="AG661" s="959"/>
      <c r="AH661" s="959"/>
      <c r="AI661" s="959"/>
      <c r="AJ661" s="959"/>
      <c r="AK661" s="959"/>
      <c r="AL661" s="959"/>
      <c r="AM661" s="959"/>
    </row>
    <row r="662" spans="3:39" x14ac:dyDescent="0.25">
      <c r="C662" s="959"/>
      <c r="D662" s="959"/>
      <c r="E662" s="959"/>
      <c r="F662" s="959"/>
      <c r="G662" s="959"/>
      <c r="H662" s="959"/>
      <c r="I662" s="959"/>
      <c r="J662" s="959"/>
      <c r="K662" s="959"/>
      <c r="L662" s="959"/>
      <c r="M662" s="959"/>
      <c r="N662" s="959"/>
      <c r="O662" s="959"/>
      <c r="P662" s="959"/>
      <c r="Q662" s="959"/>
      <c r="R662" s="959"/>
      <c r="S662" s="959"/>
      <c r="T662" s="959"/>
      <c r="U662" s="959"/>
      <c r="V662" s="959"/>
      <c r="W662" s="959"/>
      <c r="X662" s="959"/>
      <c r="Y662" s="959"/>
      <c r="Z662" s="959"/>
      <c r="AA662" s="959"/>
      <c r="AB662" s="959"/>
      <c r="AC662" s="959"/>
      <c r="AD662" s="959"/>
      <c r="AE662" s="959"/>
      <c r="AF662" s="959"/>
      <c r="AG662" s="959"/>
      <c r="AH662" s="959"/>
      <c r="AI662" s="959"/>
      <c r="AJ662" s="959"/>
      <c r="AK662" s="959"/>
      <c r="AL662" s="959"/>
      <c r="AM662" s="959"/>
    </row>
    <row r="663" spans="3:39" x14ac:dyDescent="0.25">
      <c r="C663" s="959"/>
      <c r="D663" s="959"/>
      <c r="E663" s="959"/>
      <c r="F663" s="959"/>
      <c r="G663" s="959"/>
      <c r="H663" s="959"/>
      <c r="I663" s="959"/>
      <c r="J663" s="959"/>
      <c r="K663" s="959"/>
      <c r="L663" s="959"/>
      <c r="M663" s="959"/>
      <c r="N663" s="959"/>
      <c r="O663" s="959"/>
      <c r="P663" s="959"/>
      <c r="Q663" s="959"/>
      <c r="R663" s="959"/>
      <c r="S663" s="959"/>
      <c r="T663" s="959"/>
      <c r="U663" s="959"/>
      <c r="V663" s="959"/>
      <c r="W663" s="959"/>
      <c r="X663" s="959"/>
      <c r="Y663" s="959"/>
      <c r="Z663" s="959"/>
      <c r="AA663" s="959"/>
      <c r="AB663" s="959"/>
      <c r="AC663" s="959"/>
      <c r="AD663" s="959"/>
      <c r="AE663" s="959"/>
      <c r="AF663" s="959"/>
      <c r="AG663" s="959"/>
      <c r="AH663" s="959"/>
      <c r="AI663" s="959"/>
      <c r="AJ663" s="959"/>
      <c r="AK663" s="959"/>
      <c r="AL663" s="959"/>
      <c r="AM663" s="959"/>
    </row>
    <row r="664" spans="3:39" x14ac:dyDescent="0.25">
      <c r="C664" s="959"/>
      <c r="D664" s="959"/>
      <c r="E664" s="959"/>
      <c r="F664" s="959"/>
      <c r="G664" s="959"/>
      <c r="H664" s="959"/>
      <c r="I664" s="959"/>
      <c r="J664" s="959"/>
      <c r="K664" s="959"/>
      <c r="L664" s="959"/>
      <c r="M664" s="959"/>
      <c r="N664" s="959"/>
      <c r="O664" s="959"/>
      <c r="P664" s="959"/>
      <c r="Q664" s="959"/>
      <c r="R664" s="959"/>
      <c r="S664" s="959"/>
      <c r="T664" s="959"/>
      <c r="U664" s="959"/>
      <c r="V664" s="959"/>
      <c r="W664" s="959"/>
      <c r="X664" s="959"/>
      <c r="Y664" s="959"/>
      <c r="Z664" s="959"/>
      <c r="AA664" s="959"/>
      <c r="AB664" s="959"/>
      <c r="AC664" s="959"/>
      <c r="AD664" s="959"/>
      <c r="AE664" s="959"/>
      <c r="AF664" s="959"/>
      <c r="AG664" s="959"/>
      <c r="AH664" s="959"/>
      <c r="AI664" s="959"/>
      <c r="AJ664" s="959"/>
      <c r="AK664" s="959"/>
      <c r="AL664" s="959"/>
      <c r="AM664" s="959"/>
    </row>
    <row r="665" spans="3:39" x14ac:dyDescent="0.25">
      <c r="C665" s="959"/>
      <c r="D665" s="959"/>
      <c r="E665" s="959"/>
      <c r="F665" s="959"/>
      <c r="G665" s="959"/>
      <c r="H665" s="959"/>
      <c r="I665" s="959"/>
      <c r="J665" s="959"/>
      <c r="K665" s="959"/>
      <c r="L665" s="959"/>
      <c r="M665" s="959"/>
      <c r="N665" s="959"/>
      <c r="O665" s="959"/>
      <c r="P665" s="959"/>
      <c r="Q665" s="959"/>
      <c r="R665" s="959"/>
      <c r="S665" s="959"/>
      <c r="T665" s="959"/>
      <c r="U665" s="959"/>
      <c r="V665" s="959"/>
      <c r="W665" s="959"/>
      <c r="X665" s="959"/>
      <c r="Y665" s="959"/>
      <c r="Z665" s="959"/>
      <c r="AA665" s="959"/>
      <c r="AB665" s="959"/>
      <c r="AC665" s="959"/>
      <c r="AD665" s="959"/>
      <c r="AE665" s="959"/>
      <c r="AF665" s="959"/>
      <c r="AG665" s="959"/>
      <c r="AH665" s="959"/>
      <c r="AI665" s="959"/>
      <c r="AJ665" s="959"/>
      <c r="AK665" s="959"/>
      <c r="AL665" s="959"/>
      <c r="AM665" s="959"/>
    </row>
    <row r="666" spans="3:39" x14ac:dyDescent="0.25">
      <c r="C666" s="959"/>
      <c r="D666" s="959"/>
      <c r="E666" s="959"/>
      <c r="F666" s="959"/>
      <c r="G666" s="959"/>
      <c r="H666" s="959"/>
      <c r="I666" s="959"/>
      <c r="J666" s="959"/>
      <c r="K666" s="959"/>
      <c r="L666" s="959"/>
      <c r="M666" s="959"/>
      <c r="N666" s="959"/>
      <c r="O666" s="959"/>
      <c r="P666" s="959"/>
      <c r="Q666" s="959"/>
      <c r="R666" s="959"/>
      <c r="S666" s="959"/>
      <c r="T666" s="959"/>
      <c r="U666" s="959"/>
      <c r="V666" s="959"/>
      <c r="W666" s="959"/>
      <c r="X666" s="959"/>
      <c r="Y666" s="959"/>
      <c r="Z666" s="959"/>
      <c r="AA666" s="959"/>
      <c r="AB666" s="959"/>
      <c r="AC666" s="959"/>
      <c r="AD666" s="959"/>
      <c r="AE666" s="959"/>
      <c r="AF666" s="959"/>
      <c r="AG666" s="959"/>
      <c r="AH666" s="959"/>
      <c r="AI666" s="959"/>
      <c r="AJ666" s="959"/>
      <c r="AK666" s="959"/>
      <c r="AL666" s="959"/>
      <c r="AM666" s="959"/>
    </row>
    <row r="667" spans="3:39" x14ac:dyDescent="0.25">
      <c r="C667" s="959"/>
      <c r="D667" s="959"/>
      <c r="E667" s="959"/>
      <c r="F667" s="959"/>
      <c r="G667" s="959"/>
      <c r="H667" s="959"/>
      <c r="I667" s="959"/>
      <c r="J667" s="959"/>
      <c r="K667" s="959"/>
      <c r="L667" s="959"/>
      <c r="M667" s="959"/>
      <c r="N667" s="959"/>
      <c r="O667" s="959"/>
      <c r="P667" s="959"/>
      <c r="Q667" s="959"/>
      <c r="R667" s="959"/>
      <c r="S667" s="959"/>
      <c r="T667" s="959"/>
      <c r="U667" s="959"/>
      <c r="V667" s="959"/>
      <c r="W667" s="959"/>
      <c r="X667" s="959"/>
      <c r="Y667" s="959"/>
      <c r="Z667" s="959"/>
      <c r="AA667" s="959"/>
      <c r="AB667" s="959"/>
      <c r="AC667" s="959"/>
      <c r="AD667" s="959"/>
      <c r="AE667" s="959"/>
      <c r="AF667" s="959"/>
      <c r="AG667" s="959"/>
      <c r="AH667" s="959"/>
      <c r="AI667" s="959"/>
      <c r="AJ667" s="959"/>
      <c r="AK667" s="959"/>
      <c r="AL667" s="959"/>
      <c r="AM667" s="959"/>
    </row>
    <row r="668" spans="3:39" x14ac:dyDescent="0.25">
      <c r="C668" s="959"/>
      <c r="D668" s="959"/>
      <c r="E668" s="959"/>
      <c r="F668" s="959"/>
      <c r="G668" s="959"/>
      <c r="H668" s="959"/>
      <c r="I668" s="959"/>
      <c r="J668" s="959"/>
      <c r="K668" s="959"/>
      <c r="L668" s="959"/>
      <c r="M668" s="959"/>
      <c r="N668" s="959"/>
      <c r="O668" s="959"/>
      <c r="P668" s="959"/>
      <c r="Q668" s="959"/>
      <c r="R668" s="959"/>
      <c r="S668" s="959"/>
      <c r="T668" s="959"/>
      <c r="U668" s="959"/>
      <c r="V668" s="959"/>
      <c r="W668" s="959"/>
      <c r="X668" s="959"/>
      <c r="Y668" s="959"/>
      <c r="Z668" s="959"/>
      <c r="AA668" s="959"/>
      <c r="AB668" s="959"/>
      <c r="AC668" s="959"/>
      <c r="AD668" s="959"/>
      <c r="AE668" s="959"/>
      <c r="AF668" s="959"/>
      <c r="AG668" s="959"/>
      <c r="AH668" s="959"/>
      <c r="AI668" s="959"/>
      <c r="AJ668" s="959"/>
      <c r="AK668" s="959"/>
      <c r="AL668" s="959"/>
      <c r="AM668" s="959"/>
    </row>
    <row r="669" spans="3:39" x14ac:dyDescent="0.25">
      <c r="C669" s="959"/>
      <c r="D669" s="959"/>
      <c r="E669" s="959"/>
      <c r="F669" s="959"/>
      <c r="G669" s="959"/>
      <c r="H669" s="959"/>
      <c r="I669" s="959"/>
      <c r="J669" s="959"/>
      <c r="K669" s="959"/>
      <c r="L669" s="959"/>
      <c r="M669" s="959"/>
      <c r="N669" s="959"/>
      <c r="O669" s="959"/>
      <c r="P669" s="959"/>
      <c r="Q669" s="959"/>
      <c r="R669" s="959"/>
      <c r="S669" s="959"/>
      <c r="T669" s="959"/>
      <c r="U669" s="959"/>
      <c r="V669" s="959"/>
      <c r="W669" s="959"/>
      <c r="X669" s="959"/>
      <c r="Y669" s="959"/>
      <c r="Z669" s="959"/>
      <c r="AA669" s="959"/>
      <c r="AB669" s="959"/>
      <c r="AC669" s="959"/>
      <c r="AD669" s="959"/>
      <c r="AE669" s="959"/>
      <c r="AF669" s="959"/>
      <c r="AG669" s="959"/>
      <c r="AH669" s="959"/>
      <c r="AI669" s="959"/>
      <c r="AJ669" s="959"/>
      <c r="AK669" s="959"/>
      <c r="AL669" s="959"/>
      <c r="AM669" s="959"/>
    </row>
    <row r="670" spans="3:39" x14ac:dyDescent="0.25">
      <c r="C670" s="959"/>
      <c r="D670" s="959"/>
      <c r="E670" s="959"/>
      <c r="F670" s="959"/>
      <c r="G670" s="959"/>
      <c r="H670" s="959"/>
      <c r="I670" s="959"/>
      <c r="J670" s="959"/>
      <c r="K670" s="959"/>
      <c r="L670" s="959"/>
      <c r="M670" s="959"/>
      <c r="N670" s="959"/>
      <c r="O670" s="959"/>
      <c r="P670" s="959"/>
      <c r="Q670" s="959"/>
      <c r="R670" s="959"/>
      <c r="S670" s="959"/>
      <c r="T670" s="959"/>
      <c r="U670" s="959"/>
      <c r="V670" s="959"/>
      <c r="W670" s="959"/>
      <c r="X670" s="959"/>
      <c r="Y670" s="959"/>
      <c r="Z670" s="959"/>
      <c r="AA670" s="959"/>
      <c r="AB670" s="959"/>
      <c r="AC670" s="959"/>
      <c r="AD670" s="959"/>
      <c r="AE670" s="959"/>
      <c r="AF670" s="959"/>
      <c r="AG670" s="959"/>
      <c r="AH670" s="959"/>
      <c r="AI670" s="959"/>
      <c r="AJ670" s="959"/>
      <c r="AK670" s="959"/>
      <c r="AL670" s="959"/>
      <c r="AM670" s="959"/>
    </row>
    <row r="671" spans="3:39" x14ac:dyDescent="0.25">
      <c r="C671" s="959"/>
      <c r="D671" s="959"/>
      <c r="E671" s="959"/>
      <c r="F671" s="959"/>
      <c r="G671" s="959"/>
      <c r="H671" s="959"/>
      <c r="I671" s="959"/>
      <c r="J671" s="959"/>
      <c r="K671" s="959"/>
      <c r="L671" s="959"/>
      <c r="M671" s="959"/>
      <c r="N671" s="959"/>
      <c r="O671" s="959"/>
      <c r="P671" s="959"/>
      <c r="Q671" s="959"/>
      <c r="R671" s="959"/>
      <c r="S671" s="959"/>
      <c r="T671" s="959"/>
      <c r="U671" s="959"/>
      <c r="V671" s="959"/>
      <c r="W671" s="959"/>
      <c r="X671" s="959"/>
      <c r="Y671" s="959"/>
      <c r="Z671" s="959"/>
      <c r="AA671" s="959"/>
      <c r="AB671" s="959"/>
      <c r="AC671" s="959"/>
      <c r="AD671" s="959"/>
      <c r="AE671" s="959"/>
      <c r="AF671" s="959"/>
      <c r="AG671" s="959"/>
      <c r="AH671" s="959"/>
      <c r="AI671" s="959"/>
      <c r="AJ671" s="959"/>
      <c r="AK671" s="959"/>
      <c r="AL671" s="959"/>
      <c r="AM671" s="959"/>
    </row>
    <row r="672" spans="3:39" x14ac:dyDescent="0.25">
      <c r="C672" s="959"/>
      <c r="D672" s="959"/>
      <c r="E672" s="959"/>
      <c r="F672" s="959"/>
      <c r="G672" s="959"/>
      <c r="H672" s="959"/>
      <c r="I672" s="959"/>
      <c r="J672" s="959"/>
      <c r="K672" s="959"/>
      <c r="L672" s="959"/>
      <c r="M672" s="959"/>
      <c r="N672" s="959"/>
      <c r="O672" s="959"/>
      <c r="P672" s="959"/>
      <c r="Q672" s="959"/>
      <c r="R672" s="959"/>
      <c r="S672" s="959"/>
      <c r="T672" s="959"/>
      <c r="U672" s="959"/>
      <c r="V672" s="959"/>
      <c r="W672" s="959"/>
      <c r="X672" s="959"/>
      <c r="Y672" s="959"/>
      <c r="Z672" s="959"/>
      <c r="AA672" s="959"/>
      <c r="AB672" s="959"/>
      <c r="AC672" s="959"/>
      <c r="AD672" s="959"/>
      <c r="AE672" s="959"/>
      <c r="AF672" s="959"/>
      <c r="AG672" s="959"/>
      <c r="AH672" s="959"/>
      <c r="AI672" s="959"/>
      <c r="AJ672" s="959"/>
      <c r="AK672" s="959"/>
      <c r="AL672" s="959"/>
      <c r="AM672" s="959"/>
    </row>
    <row r="673" spans="3:39" x14ac:dyDescent="0.25">
      <c r="C673" s="959"/>
      <c r="D673" s="959"/>
      <c r="E673" s="959"/>
      <c r="F673" s="959"/>
      <c r="G673" s="959"/>
      <c r="H673" s="959"/>
      <c r="I673" s="959"/>
      <c r="J673" s="959"/>
      <c r="K673" s="959"/>
      <c r="L673" s="959"/>
      <c r="M673" s="959"/>
      <c r="N673" s="959"/>
      <c r="O673" s="959"/>
      <c r="P673" s="959"/>
      <c r="Q673" s="959"/>
      <c r="R673" s="959"/>
      <c r="S673" s="959"/>
      <c r="T673" s="959"/>
      <c r="U673" s="959"/>
      <c r="V673" s="959"/>
      <c r="W673" s="959"/>
      <c r="X673" s="959"/>
      <c r="Y673" s="959"/>
      <c r="Z673" s="959"/>
      <c r="AA673" s="959"/>
      <c r="AB673" s="959"/>
      <c r="AC673" s="959"/>
      <c r="AD673" s="959"/>
      <c r="AE673" s="959"/>
      <c r="AF673" s="959"/>
      <c r="AG673" s="959"/>
      <c r="AH673" s="959"/>
      <c r="AI673" s="959"/>
      <c r="AJ673" s="959"/>
      <c r="AK673" s="959"/>
      <c r="AL673" s="959"/>
      <c r="AM673" s="959"/>
    </row>
    <row r="674" spans="3:39" x14ac:dyDescent="0.25">
      <c r="C674" s="959"/>
      <c r="D674" s="959"/>
      <c r="E674" s="959"/>
      <c r="F674" s="959"/>
      <c r="G674" s="959"/>
      <c r="H674" s="959"/>
      <c r="I674" s="959"/>
      <c r="J674" s="959"/>
      <c r="K674" s="959"/>
      <c r="L674" s="959"/>
      <c r="M674" s="959"/>
      <c r="N674" s="959"/>
      <c r="O674" s="959"/>
      <c r="P674" s="959"/>
      <c r="Q674" s="959"/>
      <c r="R674" s="959"/>
      <c r="S674" s="959"/>
      <c r="T674" s="959"/>
      <c r="U674" s="959"/>
      <c r="V674" s="959"/>
      <c r="W674" s="959"/>
      <c r="X674" s="959"/>
      <c r="Y674" s="959"/>
      <c r="Z674" s="959"/>
      <c r="AA674" s="959"/>
      <c r="AB674" s="959"/>
      <c r="AC674" s="959"/>
      <c r="AD674" s="959"/>
      <c r="AE674" s="959"/>
      <c r="AF674" s="959"/>
      <c r="AG674" s="959"/>
      <c r="AH674" s="959"/>
      <c r="AI674" s="959"/>
      <c r="AJ674" s="959"/>
      <c r="AK674" s="959"/>
      <c r="AL674" s="959"/>
      <c r="AM674" s="959"/>
    </row>
    <row r="675" spans="3:39" x14ac:dyDescent="0.25">
      <c r="C675" s="959"/>
      <c r="D675" s="959"/>
      <c r="E675" s="959"/>
      <c r="F675" s="959"/>
      <c r="G675" s="959"/>
      <c r="H675" s="959"/>
      <c r="I675" s="959"/>
      <c r="J675" s="959"/>
      <c r="K675" s="959"/>
      <c r="L675" s="959"/>
      <c r="M675" s="959"/>
      <c r="N675" s="959"/>
      <c r="O675" s="959"/>
      <c r="P675" s="959"/>
      <c r="Q675" s="959"/>
      <c r="R675" s="959"/>
      <c r="S675" s="959"/>
      <c r="T675" s="959"/>
      <c r="U675" s="959"/>
      <c r="V675" s="959"/>
      <c r="W675" s="959"/>
      <c r="X675" s="959"/>
      <c r="Y675" s="959"/>
      <c r="Z675" s="959"/>
      <c r="AA675" s="959"/>
      <c r="AB675" s="959"/>
      <c r="AC675" s="959"/>
      <c r="AD675" s="959"/>
      <c r="AE675" s="959"/>
      <c r="AF675" s="959"/>
      <c r="AG675" s="959"/>
      <c r="AH675" s="959"/>
      <c r="AI675" s="959"/>
      <c r="AJ675" s="959"/>
      <c r="AK675" s="959"/>
      <c r="AL675" s="959"/>
      <c r="AM675" s="959"/>
    </row>
    <row r="676" spans="3:39" x14ac:dyDescent="0.25">
      <c r="C676" s="959"/>
      <c r="D676" s="959"/>
      <c r="E676" s="959"/>
      <c r="F676" s="959"/>
      <c r="G676" s="959"/>
      <c r="H676" s="959"/>
      <c r="I676" s="959"/>
      <c r="J676" s="959"/>
      <c r="K676" s="959"/>
      <c r="L676" s="959"/>
      <c r="M676" s="959"/>
      <c r="N676" s="959"/>
      <c r="O676" s="959"/>
      <c r="P676" s="959"/>
      <c r="Q676" s="959"/>
      <c r="R676" s="959"/>
      <c r="S676" s="959"/>
      <c r="T676" s="959"/>
      <c r="U676" s="959"/>
      <c r="V676" s="959"/>
      <c r="W676" s="959"/>
      <c r="X676" s="959"/>
      <c r="Y676" s="959"/>
      <c r="Z676" s="959"/>
      <c r="AA676" s="959"/>
      <c r="AB676" s="959"/>
      <c r="AC676" s="959"/>
      <c r="AD676" s="959"/>
      <c r="AE676" s="959"/>
      <c r="AF676" s="959"/>
      <c r="AG676" s="959"/>
      <c r="AH676" s="959"/>
      <c r="AI676" s="959"/>
      <c r="AJ676" s="959"/>
      <c r="AK676" s="959"/>
      <c r="AL676" s="959"/>
      <c r="AM676" s="959"/>
    </row>
    <row r="677" spans="3:39" x14ac:dyDescent="0.25">
      <c r="C677" s="959"/>
      <c r="D677" s="959"/>
      <c r="E677" s="959"/>
      <c r="F677" s="959"/>
      <c r="G677" s="959"/>
      <c r="H677" s="959"/>
      <c r="I677" s="959"/>
      <c r="J677" s="959"/>
      <c r="K677" s="959"/>
      <c r="L677" s="959"/>
      <c r="M677" s="959"/>
      <c r="N677" s="959"/>
      <c r="O677" s="959"/>
      <c r="P677" s="959"/>
      <c r="Q677" s="959"/>
      <c r="R677" s="959"/>
      <c r="S677" s="959"/>
      <c r="T677" s="959"/>
      <c r="U677" s="959"/>
      <c r="V677" s="959"/>
      <c r="W677" s="959"/>
      <c r="X677" s="959"/>
      <c r="Y677" s="959"/>
      <c r="Z677" s="959"/>
      <c r="AA677" s="959"/>
      <c r="AB677" s="959"/>
      <c r="AC677" s="959"/>
      <c r="AD677" s="959"/>
      <c r="AE677" s="959"/>
      <c r="AF677" s="959"/>
      <c r="AG677" s="959"/>
      <c r="AH677" s="959"/>
      <c r="AI677" s="959"/>
      <c r="AJ677" s="959"/>
      <c r="AK677" s="959"/>
      <c r="AL677" s="959"/>
      <c r="AM677" s="959"/>
    </row>
    <row r="678" spans="3:39" x14ac:dyDescent="0.25">
      <c r="C678" s="959"/>
      <c r="D678" s="959"/>
      <c r="E678" s="959"/>
      <c r="F678" s="959"/>
      <c r="G678" s="959"/>
      <c r="H678" s="959"/>
      <c r="I678" s="959"/>
      <c r="J678" s="959"/>
      <c r="K678" s="959"/>
      <c r="L678" s="959"/>
      <c r="M678" s="959"/>
      <c r="N678" s="959"/>
      <c r="O678" s="959"/>
      <c r="P678" s="959"/>
      <c r="Q678" s="959"/>
      <c r="R678" s="959"/>
      <c r="S678" s="959"/>
      <c r="T678" s="959"/>
      <c r="U678" s="959"/>
      <c r="V678" s="959"/>
      <c r="W678" s="959"/>
      <c r="X678" s="959"/>
      <c r="Y678" s="959"/>
      <c r="Z678" s="959"/>
      <c r="AA678" s="959"/>
      <c r="AB678" s="959"/>
      <c r="AC678" s="959"/>
      <c r="AD678" s="959"/>
      <c r="AE678" s="959"/>
      <c r="AF678" s="959"/>
      <c r="AG678" s="959"/>
      <c r="AH678" s="959"/>
      <c r="AI678" s="959"/>
      <c r="AJ678" s="959"/>
      <c r="AK678" s="959"/>
      <c r="AL678" s="959"/>
      <c r="AM678" s="959"/>
    </row>
    <row r="679" spans="3:39" x14ac:dyDescent="0.25">
      <c r="C679" s="959"/>
      <c r="D679" s="959"/>
      <c r="E679" s="959"/>
      <c r="F679" s="959"/>
      <c r="G679" s="959"/>
      <c r="H679" s="959"/>
      <c r="I679" s="959"/>
      <c r="J679" s="959"/>
      <c r="K679" s="959"/>
      <c r="L679" s="959"/>
      <c r="M679" s="959"/>
      <c r="N679" s="959"/>
      <c r="O679" s="959"/>
      <c r="P679" s="959"/>
      <c r="Q679" s="959"/>
      <c r="R679" s="959"/>
      <c r="S679" s="959"/>
      <c r="T679" s="959"/>
      <c r="U679" s="959"/>
      <c r="V679" s="959"/>
      <c r="W679" s="959"/>
      <c r="X679" s="959"/>
      <c r="Y679" s="959"/>
      <c r="Z679" s="959"/>
      <c r="AA679" s="959"/>
      <c r="AB679" s="959"/>
      <c r="AC679" s="959"/>
      <c r="AD679" s="959"/>
      <c r="AE679" s="959"/>
      <c r="AF679" s="959"/>
      <c r="AG679" s="959"/>
      <c r="AH679" s="959"/>
      <c r="AI679" s="959"/>
      <c r="AJ679" s="959"/>
      <c r="AK679" s="959"/>
      <c r="AL679" s="959"/>
      <c r="AM679" s="959"/>
    </row>
    <row r="680" spans="3:39" x14ac:dyDescent="0.25">
      <c r="C680" s="959"/>
      <c r="D680" s="959"/>
      <c r="E680" s="959"/>
      <c r="F680" s="959"/>
      <c r="G680" s="959"/>
      <c r="H680" s="959"/>
      <c r="I680" s="959"/>
      <c r="J680" s="959"/>
      <c r="K680" s="959"/>
      <c r="L680" s="959"/>
      <c r="M680" s="959"/>
      <c r="N680" s="959"/>
      <c r="O680" s="959"/>
      <c r="P680" s="959"/>
      <c r="Q680" s="959"/>
      <c r="R680" s="959"/>
      <c r="S680" s="959"/>
      <c r="T680" s="959"/>
      <c r="U680" s="959"/>
      <c r="V680" s="959"/>
      <c r="W680" s="959"/>
      <c r="X680" s="959"/>
      <c r="Y680" s="959"/>
      <c r="Z680" s="959"/>
      <c r="AA680" s="959"/>
      <c r="AB680" s="959"/>
      <c r="AC680" s="959"/>
      <c r="AD680" s="959"/>
      <c r="AE680" s="959"/>
      <c r="AF680" s="959"/>
      <c r="AG680" s="959"/>
      <c r="AH680" s="959"/>
      <c r="AI680" s="959"/>
      <c r="AJ680" s="959"/>
      <c r="AK680" s="959"/>
      <c r="AL680" s="959"/>
      <c r="AM680" s="959"/>
    </row>
    <row r="681" spans="3:39" x14ac:dyDescent="0.25">
      <c r="C681" s="959"/>
      <c r="D681" s="959"/>
      <c r="E681" s="959"/>
      <c r="F681" s="959"/>
      <c r="G681" s="959"/>
      <c r="H681" s="959"/>
      <c r="I681" s="959"/>
      <c r="J681" s="959"/>
      <c r="K681" s="959"/>
      <c r="L681" s="959"/>
      <c r="M681" s="959"/>
      <c r="N681" s="959"/>
      <c r="O681" s="959"/>
      <c r="P681" s="959"/>
      <c r="Q681" s="959"/>
      <c r="R681" s="959"/>
      <c r="S681" s="959"/>
      <c r="T681" s="959"/>
      <c r="U681" s="959"/>
      <c r="V681" s="959"/>
      <c r="W681" s="959"/>
      <c r="X681" s="959"/>
      <c r="Y681" s="959"/>
      <c r="Z681" s="959"/>
      <c r="AA681" s="959"/>
      <c r="AB681" s="959"/>
      <c r="AC681" s="959"/>
      <c r="AD681" s="959"/>
      <c r="AE681" s="959"/>
      <c r="AF681" s="959"/>
      <c r="AG681" s="959"/>
      <c r="AH681" s="959"/>
      <c r="AI681" s="959"/>
      <c r="AJ681" s="959"/>
      <c r="AK681" s="959"/>
      <c r="AL681" s="959"/>
      <c r="AM681" s="959"/>
    </row>
    <row r="682" spans="3:39" x14ac:dyDescent="0.25">
      <c r="C682" s="959"/>
      <c r="D682" s="959"/>
      <c r="E682" s="959"/>
      <c r="F682" s="959"/>
      <c r="G682" s="959"/>
      <c r="H682" s="959"/>
      <c r="I682" s="959"/>
      <c r="J682" s="959"/>
      <c r="K682" s="959"/>
      <c r="L682" s="959"/>
      <c r="M682" s="959"/>
      <c r="N682" s="959"/>
      <c r="O682" s="959"/>
      <c r="P682" s="959"/>
      <c r="Q682" s="959"/>
      <c r="R682" s="959"/>
      <c r="S682" s="959"/>
      <c r="T682" s="959"/>
      <c r="U682" s="959"/>
      <c r="V682" s="959"/>
      <c r="W682" s="959"/>
      <c r="X682" s="959"/>
      <c r="Y682" s="959"/>
      <c r="Z682" s="959"/>
      <c r="AA682" s="959"/>
      <c r="AB682" s="959"/>
      <c r="AC682" s="959"/>
      <c r="AD682" s="959"/>
      <c r="AE682" s="959"/>
      <c r="AF682" s="959"/>
      <c r="AG682" s="959"/>
      <c r="AH682" s="959"/>
      <c r="AI682" s="959"/>
      <c r="AJ682" s="959"/>
      <c r="AK682" s="959"/>
      <c r="AL682" s="959"/>
      <c r="AM682" s="959"/>
    </row>
    <row r="683" spans="3:39" x14ac:dyDescent="0.25">
      <c r="C683" s="959"/>
      <c r="D683" s="959"/>
      <c r="E683" s="959"/>
      <c r="F683" s="959"/>
      <c r="G683" s="959"/>
      <c r="H683" s="959"/>
      <c r="I683" s="959"/>
      <c r="J683" s="959"/>
      <c r="K683" s="959"/>
      <c r="L683" s="959"/>
      <c r="M683" s="959"/>
      <c r="N683" s="959"/>
      <c r="O683" s="959"/>
      <c r="P683" s="959"/>
      <c r="Q683" s="959"/>
      <c r="R683" s="959"/>
      <c r="S683" s="959"/>
      <c r="T683" s="959"/>
      <c r="U683" s="959"/>
      <c r="V683" s="959"/>
      <c r="W683" s="959"/>
      <c r="X683" s="959"/>
      <c r="Y683" s="959"/>
      <c r="Z683" s="959"/>
      <c r="AA683" s="959"/>
      <c r="AB683" s="959"/>
      <c r="AC683" s="959"/>
      <c r="AD683" s="959"/>
      <c r="AE683" s="959"/>
      <c r="AF683" s="959"/>
      <c r="AG683" s="959"/>
      <c r="AH683" s="959"/>
      <c r="AI683" s="959"/>
      <c r="AJ683" s="959"/>
      <c r="AK683" s="959"/>
      <c r="AL683" s="959"/>
      <c r="AM683" s="959"/>
    </row>
    <row r="684" spans="3:39" x14ac:dyDescent="0.25">
      <c r="C684" s="959"/>
      <c r="D684" s="959"/>
      <c r="E684" s="959"/>
      <c r="F684" s="959"/>
      <c r="G684" s="959"/>
      <c r="H684" s="959"/>
      <c r="I684" s="959"/>
      <c r="J684" s="959"/>
      <c r="K684" s="959"/>
      <c r="L684" s="959"/>
      <c r="M684" s="959"/>
      <c r="N684" s="959"/>
      <c r="O684" s="959"/>
      <c r="P684" s="959"/>
      <c r="Q684" s="959"/>
      <c r="R684" s="959"/>
      <c r="S684" s="959"/>
      <c r="T684" s="959"/>
      <c r="U684" s="959"/>
      <c r="V684" s="959"/>
      <c r="W684" s="959"/>
      <c r="X684" s="959"/>
      <c r="Y684" s="959"/>
      <c r="Z684" s="959"/>
      <c r="AA684" s="959"/>
      <c r="AB684" s="959"/>
      <c r="AC684" s="959"/>
      <c r="AD684" s="959"/>
      <c r="AE684" s="959"/>
      <c r="AF684" s="959"/>
      <c r="AG684" s="959"/>
      <c r="AH684" s="959"/>
      <c r="AI684" s="959"/>
      <c r="AJ684" s="959"/>
      <c r="AK684" s="959"/>
      <c r="AL684" s="959"/>
      <c r="AM684" s="959"/>
    </row>
    <row r="685" spans="3:39" x14ac:dyDescent="0.25">
      <c r="C685" s="959"/>
      <c r="D685" s="959"/>
      <c r="E685" s="959"/>
      <c r="F685" s="959"/>
      <c r="G685" s="959"/>
      <c r="H685" s="959"/>
      <c r="I685" s="959"/>
      <c r="J685" s="959"/>
      <c r="K685" s="959"/>
      <c r="L685" s="959"/>
      <c r="M685" s="959"/>
      <c r="N685" s="959"/>
      <c r="O685" s="959"/>
      <c r="P685" s="959"/>
      <c r="Q685" s="959"/>
      <c r="R685" s="959"/>
      <c r="S685" s="959"/>
      <c r="T685" s="959"/>
      <c r="U685" s="959"/>
      <c r="V685" s="959"/>
      <c r="W685" s="959"/>
      <c r="X685" s="959"/>
      <c r="Y685" s="959"/>
      <c r="Z685" s="959"/>
      <c r="AA685" s="959"/>
      <c r="AB685" s="959"/>
      <c r="AC685" s="959"/>
      <c r="AD685" s="959"/>
      <c r="AE685" s="959"/>
      <c r="AF685" s="959"/>
      <c r="AG685" s="959"/>
      <c r="AH685" s="959"/>
      <c r="AI685" s="959"/>
      <c r="AJ685" s="959"/>
      <c r="AK685" s="959"/>
      <c r="AL685" s="959"/>
      <c r="AM685" s="959"/>
    </row>
    <row r="686" spans="3:39" x14ac:dyDescent="0.25">
      <c r="C686" s="959"/>
      <c r="D686" s="959"/>
      <c r="E686" s="959"/>
      <c r="F686" s="959"/>
      <c r="G686" s="959"/>
      <c r="H686" s="959"/>
      <c r="I686" s="959"/>
      <c r="J686" s="959"/>
      <c r="K686" s="959"/>
      <c r="L686" s="959"/>
      <c r="M686" s="959"/>
      <c r="N686" s="959"/>
      <c r="O686" s="959"/>
      <c r="P686" s="959"/>
      <c r="Q686" s="959"/>
      <c r="R686" s="959"/>
      <c r="S686" s="959"/>
      <c r="T686" s="959"/>
      <c r="U686" s="959"/>
      <c r="V686" s="959"/>
      <c r="W686" s="959"/>
      <c r="X686" s="959"/>
      <c r="Y686" s="959"/>
      <c r="Z686" s="959"/>
      <c r="AA686" s="959"/>
      <c r="AB686" s="959"/>
      <c r="AC686" s="959"/>
      <c r="AD686" s="959"/>
      <c r="AE686" s="959"/>
      <c r="AF686" s="959"/>
      <c r="AG686" s="959"/>
      <c r="AH686" s="959"/>
      <c r="AI686" s="959"/>
      <c r="AJ686" s="959"/>
      <c r="AK686" s="959"/>
      <c r="AL686" s="959"/>
      <c r="AM686" s="959"/>
    </row>
    <row r="687" spans="3:39" x14ac:dyDescent="0.25">
      <c r="C687" s="959"/>
      <c r="D687" s="959"/>
      <c r="E687" s="959"/>
      <c r="F687" s="959"/>
      <c r="G687" s="959"/>
      <c r="H687" s="959"/>
      <c r="I687" s="959"/>
      <c r="J687" s="959"/>
      <c r="K687" s="959"/>
      <c r="L687" s="959"/>
      <c r="M687" s="959"/>
      <c r="N687" s="959"/>
      <c r="O687" s="959"/>
      <c r="P687" s="959"/>
      <c r="Q687" s="959"/>
      <c r="R687" s="959"/>
      <c r="S687" s="959"/>
      <c r="T687" s="959"/>
      <c r="U687" s="959"/>
      <c r="V687" s="959"/>
      <c r="W687" s="959"/>
      <c r="X687" s="959"/>
      <c r="Y687" s="959"/>
      <c r="Z687" s="959"/>
      <c r="AA687" s="959"/>
      <c r="AB687" s="959"/>
      <c r="AC687" s="959"/>
      <c r="AD687" s="959"/>
      <c r="AE687" s="959"/>
      <c r="AF687" s="959"/>
      <c r="AG687" s="959"/>
      <c r="AH687" s="959"/>
      <c r="AI687" s="959"/>
      <c r="AJ687" s="959"/>
      <c r="AK687" s="959"/>
      <c r="AL687" s="959"/>
      <c r="AM687" s="959"/>
    </row>
    <row r="688" spans="3:39" x14ac:dyDescent="0.25">
      <c r="C688" s="959"/>
      <c r="D688" s="959"/>
      <c r="E688" s="959"/>
      <c r="F688" s="959"/>
      <c r="G688" s="959"/>
      <c r="H688" s="959"/>
      <c r="I688" s="959"/>
      <c r="J688" s="959"/>
      <c r="K688" s="959"/>
      <c r="L688" s="959"/>
      <c r="M688" s="959"/>
      <c r="N688" s="959"/>
      <c r="O688" s="959"/>
      <c r="P688" s="959"/>
      <c r="Q688" s="959"/>
      <c r="R688" s="959"/>
      <c r="S688" s="959"/>
      <c r="T688" s="959"/>
      <c r="U688" s="959"/>
      <c r="V688" s="959"/>
      <c r="W688" s="959"/>
      <c r="X688" s="959"/>
      <c r="Y688" s="959"/>
      <c r="Z688" s="959"/>
      <c r="AA688" s="959"/>
      <c r="AB688" s="959"/>
      <c r="AC688" s="959"/>
      <c r="AD688" s="959"/>
      <c r="AE688" s="959"/>
      <c r="AF688" s="959"/>
      <c r="AG688" s="959"/>
      <c r="AH688" s="959"/>
      <c r="AI688" s="959"/>
      <c r="AJ688" s="959"/>
      <c r="AK688" s="959"/>
      <c r="AL688" s="959"/>
      <c r="AM688" s="959"/>
    </row>
    <row r="689" spans="3:39" x14ac:dyDescent="0.25">
      <c r="C689" s="959"/>
      <c r="D689" s="959"/>
      <c r="E689" s="959"/>
      <c r="F689" s="959"/>
      <c r="G689" s="959"/>
      <c r="H689" s="959"/>
      <c r="I689" s="959"/>
      <c r="J689" s="959"/>
      <c r="K689" s="959"/>
      <c r="L689" s="959"/>
      <c r="M689" s="959"/>
      <c r="N689" s="959"/>
      <c r="O689" s="959"/>
      <c r="P689" s="959"/>
      <c r="Q689" s="959"/>
      <c r="R689" s="959"/>
      <c r="S689" s="959"/>
      <c r="T689" s="959"/>
      <c r="U689" s="959"/>
      <c r="V689" s="959"/>
      <c r="W689" s="959"/>
      <c r="X689" s="959"/>
      <c r="Y689" s="959"/>
      <c r="Z689" s="959"/>
      <c r="AA689" s="959"/>
      <c r="AB689" s="959"/>
      <c r="AC689" s="959"/>
      <c r="AD689" s="959"/>
      <c r="AE689" s="959"/>
      <c r="AF689" s="959"/>
      <c r="AG689" s="959"/>
      <c r="AH689" s="959"/>
      <c r="AI689" s="959"/>
      <c r="AJ689" s="959"/>
      <c r="AK689" s="959"/>
      <c r="AL689" s="959"/>
      <c r="AM689" s="959"/>
    </row>
    <row r="690" spans="3:39" x14ac:dyDescent="0.25">
      <c r="C690" s="959"/>
      <c r="D690" s="959"/>
      <c r="E690" s="959"/>
      <c r="F690" s="959"/>
      <c r="G690" s="959"/>
      <c r="H690" s="959"/>
      <c r="I690" s="959"/>
      <c r="J690" s="959"/>
      <c r="K690" s="959"/>
      <c r="L690" s="959"/>
      <c r="M690" s="959"/>
      <c r="N690" s="959"/>
      <c r="O690" s="959"/>
      <c r="P690" s="959"/>
      <c r="Q690" s="959"/>
      <c r="R690" s="959"/>
      <c r="S690" s="959"/>
      <c r="T690" s="959"/>
      <c r="U690" s="959"/>
      <c r="V690" s="959"/>
      <c r="W690" s="959"/>
      <c r="X690" s="959"/>
      <c r="Y690" s="959"/>
      <c r="Z690" s="959"/>
      <c r="AA690" s="959"/>
      <c r="AB690" s="959"/>
      <c r="AC690" s="959"/>
      <c r="AD690" s="959"/>
      <c r="AE690" s="959"/>
      <c r="AF690" s="959"/>
      <c r="AG690" s="959"/>
      <c r="AH690" s="959"/>
      <c r="AI690" s="959"/>
      <c r="AJ690" s="959"/>
      <c r="AK690" s="959"/>
      <c r="AL690" s="959"/>
      <c r="AM690" s="959"/>
    </row>
    <row r="691" spans="3:39" x14ac:dyDescent="0.25">
      <c r="C691" s="959"/>
      <c r="D691" s="959"/>
      <c r="E691" s="959"/>
      <c r="F691" s="959"/>
      <c r="G691" s="959"/>
      <c r="H691" s="959"/>
      <c r="I691" s="959"/>
      <c r="J691" s="959"/>
      <c r="K691" s="959"/>
      <c r="L691" s="959"/>
      <c r="M691" s="959"/>
      <c r="N691" s="959"/>
      <c r="O691" s="959"/>
      <c r="P691" s="959"/>
      <c r="Q691" s="959"/>
      <c r="R691" s="959"/>
      <c r="S691" s="959"/>
      <c r="T691" s="959"/>
      <c r="U691" s="959"/>
      <c r="V691" s="959"/>
      <c r="W691" s="959"/>
      <c r="X691" s="959"/>
      <c r="Y691" s="959"/>
      <c r="Z691" s="959"/>
      <c r="AA691" s="959"/>
      <c r="AB691" s="959"/>
      <c r="AC691" s="959"/>
      <c r="AD691" s="959"/>
      <c r="AE691" s="959"/>
      <c r="AF691" s="959"/>
      <c r="AG691" s="959"/>
      <c r="AH691" s="959"/>
      <c r="AI691" s="959"/>
      <c r="AJ691" s="959"/>
      <c r="AK691" s="959"/>
      <c r="AL691" s="959"/>
      <c r="AM691" s="959"/>
    </row>
    <row r="692" spans="3:39" x14ac:dyDescent="0.25">
      <c r="C692" s="959"/>
      <c r="D692" s="959"/>
      <c r="E692" s="959"/>
      <c r="F692" s="959"/>
      <c r="G692" s="959"/>
      <c r="H692" s="959"/>
      <c r="I692" s="959"/>
      <c r="J692" s="959"/>
      <c r="K692" s="959"/>
      <c r="L692" s="959"/>
      <c r="M692" s="959"/>
      <c r="N692" s="959"/>
      <c r="O692" s="959"/>
      <c r="P692" s="959"/>
      <c r="Q692" s="959"/>
      <c r="R692" s="959"/>
      <c r="S692" s="959"/>
      <c r="T692" s="959"/>
      <c r="U692" s="959"/>
      <c r="V692" s="959"/>
      <c r="W692" s="959"/>
      <c r="X692" s="959"/>
      <c r="Y692" s="959"/>
      <c r="Z692" s="959"/>
      <c r="AA692" s="959"/>
      <c r="AB692" s="959"/>
      <c r="AC692" s="959"/>
      <c r="AD692" s="959"/>
      <c r="AE692" s="959"/>
      <c r="AF692" s="959"/>
      <c r="AG692" s="959"/>
      <c r="AH692" s="959"/>
      <c r="AI692" s="959"/>
      <c r="AJ692" s="959"/>
      <c r="AK692" s="959"/>
      <c r="AL692" s="959"/>
      <c r="AM692" s="959"/>
    </row>
    <row r="693" spans="3:39" x14ac:dyDescent="0.25">
      <c r="C693" s="959"/>
      <c r="D693" s="959"/>
      <c r="E693" s="959"/>
      <c r="F693" s="959"/>
      <c r="G693" s="959"/>
      <c r="H693" s="959"/>
      <c r="I693" s="959"/>
      <c r="J693" s="959"/>
      <c r="K693" s="959"/>
      <c r="L693" s="959"/>
      <c r="M693" s="959"/>
      <c r="N693" s="959"/>
      <c r="O693" s="959"/>
      <c r="P693" s="959"/>
      <c r="Q693" s="959"/>
      <c r="R693" s="959"/>
      <c r="S693" s="959"/>
      <c r="T693" s="959"/>
      <c r="U693" s="959"/>
      <c r="V693" s="959"/>
      <c r="W693" s="959"/>
      <c r="X693" s="959"/>
      <c r="Y693" s="959"/>
      <c r="Z693" s="959"/>
      <c r="AA693" s="959"/>
      <c r="AB693" s="959"/>
      <c r="AC693" s="959"/>
      <c r="AD693" s="959"/>
      <c r="AE693" s="959"/>
      <c r="AF693" s="959"/>
      <c r="AG693" s="959"/>
      <c r="AH693" s="959"/>
      <c r="AI693" s="959"/>
      <c r="AJ693" s="959"/>
      <c r="AK693" s="959"/>
      <c r="AL693" s="959"/>
      <c r="AM693" s="959"/>
    </row>
    <row r="694" spans="3:39" x14ac:dyDescent="0.25">
      <c r="C694" s="959"/>
      <c r="D694" s="959"/>
      <c r="E694" s="959"/>
      <c r="F694" s="959"/>
      <c r="G694" s="959"/>
      <c r="H694" s="959"/>
      <c r="I694" s="959"/>
      <c r="J694" s="959"/>
      <c r="K694" s="959"/>
      <c r="L694" s="959"/>
      <c r="M694" s="959"/>
      <c r="N694" s="959"/>
      <c r="O694" s="959"/>
      <c r="P694" s="959"/>
      <c r="Q694" s="959"/>
      <c r="R694" s="959"/>
      <c r="S694" s="959"/>
      <c r="T694" s="959"/>
      <c r="U694" s="959"/>
      <c r="V694" s="959"/>
      <c r="W694" s="959"/>
      <c r="X694" s="959"/>
      <c r="Y694" s="959"/>
      <c r="Z694" s="959"/>
      <c r="AA694" s="959"/>
      <c r="AB694" s="959"/>
      <c r="AC694" s="959"/>
      <c r="AD694" s="959"/>
      <c r="AE694" s="959"/>
      <c r="AF694" s="959"/>
      <c r="AG694" s="959"/>
      <c r="AH694" s="959"/>
      <c r="AI694" s="959"/>
      <c r="AJ694" s="959"/>
      <c r="AK694" s="959"/>
      <c r="AL694" s="959"/>
      <c r="AM694" s="959"/>
    </row>
    <row r="695" spans="3:39" x14ac:dyDescent="0.25">
      <c r="C695" s="959"/>
      <c r="D695" s="959"/>
      <c r="E695" s="959"/>
      <c r="F695" s="959"/>
      <c r="G695" s="959"/>
      <c r="H695" s="959"/>
      <c r="I695" s="959"/>
      <c r="J695" s="959"/>
      <c r="K695" s="959"/>
      <c r="L695" s="959"/>
      <c r="M695" s="959"/>
      <c r="N695" s="959"/>
      <c r="O695" s="959"/>
      <c r="P695" s="959"/>
      <c r="Q695" s="959"/>
      <c r="R695" s="959"/>
      <c r="S695" s="959"/>
      <c r="T695" s="959"/>
      <c r="U695" s="959"/>
      <c r="V695" s="959"/>
      <c r="W695" s="959"/>
      <c r="X695" s="959"/>
      <c r="Y695" s="959"/>
      <c r="Z695" s="959"/>
      <c r="AA695" s="959"/>
      <c r="AB695" s="959"/>
      <c r="AC695" s="959"/>
      <c r="AD695" s="959"/>
      <c r="AE695" s="959"/>
      <c r="AF695" s="959"/>
      <c r="AG695" s="959"/>
      <c r="AH695" s="959"/>
      <c r="AI695" s="959"/>
      <c r="AJ695" s="959"/>
      <c r="AK695" s="959"/>
      <c r="AL695" s="959"/>
      <c r="AM695" s="959"/>
    </row>
    <row r="696" spans="3:39" x14ac:dyDescent="0.25">
      <c r="C696" s="959"/>
      <c r="D696" s="959"/>
      <c r="E696" s="959"/>
      <c r="F696" s="959"/>
      <c r="G696" s="959"/>
      <c r="H696" s="959"/>
      <c r="I696" s="959"/>
      <c r="J696" s="959"/>
      <c r="K696" s="959"/>
      <c r="L696" s="959"/>
      <c r="M696" s="959"/>
      <c r="N696" s="959"/>
      <c r="O696" s="959"/>
      <c r="P696" s="959"/>
      <c r="Q696" s="959"/>
      <c r="R696" s="959"/>
      <c r="S696" s="959"/>
      <c r="T696" s="959"/>
      <c r="U696" s="959"/>
      <c r="V696" s="959"/>
      <c r="W696" s="959"/>
      <c r="X696" s="959"/>
      <c r="Y696" s="959"/>
      <c r="Z696" s="959"/>
      <c r="AA696" s="959"/>
      <c r="AB696" s="959"/>
      <c r="AC696" s="959"/>
      <c r="AD696" s="959"/>
      <c r="AE696" s="959"/>
      <c r="AF696" s="959"/>
      <c r="AG696" s="959"/>
      <c r="AH696" s="959"/>
      <c r="AI696" s="959"/>
      <c r="AJ696" s="959"/>
      <c r="AK696" s="959"/>
      <c r="AL696" s="959"/>
      <c r="AM696" s="959"/>
    </row>
    <row r="697" spans="3:39" x14ac:dyDescent="0.25">
      <c r="C697" s="959"/>
      <c r="D697" s="959"/>
      <c r="E697" s="959"/>
      <c r="F697" s="959"/>
      <c r="G697" s="959"/>
      <c r="H697" s="959"/>
      <c r="I697" s="959"/>
      <c r="J697" s="959"/>
      <c r="K697" s="959"/>
      <c r="L697" s="959"/>
      <c r="M697" s="959"/>
      <c r="N697" s="959"/>
      <c r="O697" s="959"/>
      <c r="P697" s="959"/>
      <c r="Q697" s="959"/>
      <c r="R697" s="959"/>
      <c r="S697" s="959"/>
      <c r="T697" s="959"/>
      <c r="U697" s="959"/>
      <c r="V697" s="959"/>
      <c r="W697" s="959"/>
      <c r="X697" s="959"/>
      <c r="Y697" s="959"/>
      <c r="Z697" s="959"/>
      <c r="AA697" s="959"/>
      <c r="AB697" s="959"/>
      <c r="AC697" s="959"/>
      <c r="AD697" s="959"/>
      <c r="AE697" s="959"/>
      <c r="AF697" s="959"/>
      <c r="AG697" s="959"/>
      <c r="AH697" s="959"/>
      <c r="AI697" s="959"/>
      <c r="AJ697" s="959"/>
      <c r="AK697" s="959"/>
      <c r="AL697" s="959"/>
      <c r="AM697" s="959"/>
    </row>
    <row r="698" spans="3:39" x14ac:dyDescent="0.25">
      <c r="C698" s="959"/>
      <c r="D698" s="959"/>
      <c r="E698" s="959"/>
      <c r="F698" s="959"/>
      <c r="G698" s="959"/>
      <c r="H698" s="959"/>
      <c r="I698" s="959"/>
      <c r="J698" s="959"/>
      <c r="K698" s="959"/>
      <c r="L698" s="959"/>
      <c r="M698" s="959"/>
      <c r="N698" s="959"/>
      <c r="O698" s="959"/>
      <c r="P698" s="959"/>
      <c r="Q698" s="959"/>
      <c r="R698" s="959"/>
      <c r="S698" s="959"/>
      <c r="T698" s="959"/>
      <c r="U698" s="959"/>
      <c r="V698" s="959"/>
      <c r="W698" s="959"/>
      <c r="X698" s="959"/>
      <c r="Y698" s="959"/>
      <c r="Z698" s="959"/>
      <c r="AA698" s="959"/>
      <c r="AB698" s="959"/>
      <c r="AC698" s="959"/>
      <c r="AD698" s="959"/>
      <c r="AE698" s="959"/>
      <c r="AF698" s="959"/>
      <c r="AG698" s="959"/>
      <c r="AH698" s="959"/>
      <c r="AI698" s="959"/>
      <c r="AJ698" s="959"/>
      <c r="AK698" s="959"/>
      <c r="AL698" s="959"/>
      <c r="AM698" s="959"/>
    </row>
    <row r="699" spans="3:39" x14ac:dyDescent="0.25">
      <c r="C699" s="959"/>
      <c r="D699" s="959"/>
      <c r="E699" s="959"/>
      <c r="F699" s="959"/>
      <c r="G699" s="959"/>
      <c r="H699" s="959"/>
      <c r="I699" s="959"/>
      <c r="J699" s="959"/>
      <c r="K699" s="959"/>
      <c r="L699" s="959"/>
      <c r="M699" s="959"/>
      <c r="N699" s="959"/>
      <c r="O699" s="959"/>
      <c r="P699" s="959"/>
      <c r="Q699" s="959"/>
      <c r="R699" s="959"/>
      <c r="S699" s="959"/>
      <c r="T699" s="959"/>
      <c r="U699" s="959"/>
      <c r="V699" s="959"/>
      <c r="W699" s="959"/>
      <c r="X699" s="959"/>
      <c r="Y699" s="959"/>
      <c r="Z699" s="959"/>
      <c r="AA699" s="959"/>
      <c r="AB699" s="959"/>
      <c r="AC699" s="959"/>
      <c r="AD699" s="959"/>
      <c r="AE699" s="959"/>
      <c r="AF699" s="959"/>
      <c r="AG699" s="959"/>
      <c r="AH699" s="959"/>
      <c r="AI699" s="959"/>
      <c r="AJ699" s="959"/>
      <c r="AK699" s="959"/>
      <c r="AL699" s="959"/>
      <c r="AM699" s="959"/>
    </row>
    <row r="700" spans="3:39" x14ac:dyDescent="0.25">
      <c r="C700" s="959"/>
      <c r="D700" s="959"/>
      <c r="E700" s="959"/>
      <c r="F700" s="959"/>
      <c r="G700" s="959"/>
      <c r="H700" s="959"/>
      <c r="I700" s="959"/>
      <c r="J700" s="959"/>
      <c r="K700" s="959"/>
      <c r="L700" s="959"/>
      <c r="M700" s="959"/>
      <c r="N700" s="959"/>
      <c r="O700" s="959"/>
      <c r="P700" s="959"/>
      <c r="Q700" s="959"/>
      <c r="R700" s="959"/>
      <c r="S700" s="959"/>
      <c r="T700" s="959"/>
      <c r="U700" s="959"/>
      <c r="V700" s="959"/>
      <c r="W700" s="959"/>
      <c r="X700" s="959"/>
      <c r="Y700" s="959"/>
      <c r="Z700" s="959"/>
      <c r="AA700" s="959"/>
      <c r="AB700" s="959"/>
      <c r="AC700" s="959"/>
      <c r="AD700" s="959"/>
      <c r="AE700" s="959"/>
      <c r="AF700" s="959"/>
      <c r="AG700" s="959"/>
      <c r="AH700" s="959"/>
      <c r="AI700" s="959"/>
      <c r="AJ700" s="959"/>
      <c r="AK700" s="959"/>
      <c r="AL700" s="959"/>
      <c r="AM700" s="959"/>
    </row>
    <row r="701" spans="3:39" x14ac:dyDescent="0.25">
      <c r="C701" s="959"/>
      <c r="D701" s="959"/>
      <c r="E701" s="959"/>
      <c r="F701" s="959"/>
      <c r="G701" s="959"/>
      <c r="H701" s="959"/>
      <c r="I701" s="959"/>
      <c r="J701" s="959"/>
      <c r="K701" s="959"/>
      <c r="L701" s="959"/>
      <c r="M701" s="959"/>
      <c r="N701" s="959"/>
      <c r="O701" s="959"/>
      <c r="P701" s="959"/>
      <c r="Q701" s="959"/>
      <c r="R701" s="959"/>
      <c r="S701" s="959"/>
      <c r="T701" s="959"/>
      <c r="U701" s="959"/>
      <c r="V701" s="959"/>
      <c r="W701" s="959"/>
      <c r="X701" s="959"/>
      <c r="Y701" s="959"/>
      <c r="Z701" s="959"/>
      <c r="AA701" s="959"/>
      <c r="AB701" s="959"/>
      <c r="AC701" s="959"/>
      <c r="AD701" s="959"/>
      <c r="AE701" s="959"/>
      <c r="AF701" s="959"/>
      <c r="AG701" s="959"/>
      <c r="AH701" s="959"/>
      <c r="AI701" s="959"/>
      <c r="AJ701" s="959"/>
      <c r="AK701" s="959"/>
      <c r="AL701" s="959"/>
      <c r="AM701" s="959"/>
    </row>
    <row r="702" spans="3:39" x14ac:dyDescent="0.25">
      <c r="C702" s="959"/>
      <c r="D702" s="959"/>
      <c r="E702" s="959"/>
      <c r="F702" s="959"/>
      <c r="G702" s="959"/>
      <c r="H702" s="959"/>
      <c r="I702" s="959"/>
      <c r="J702" s="959"/>
      <c r="K702" s="959"/>
      <c r="L702" s="959"/>
      <c r="M702" s="959"/>
      <c r="N702" s="959"/>
      <c r="O702" s="959"/>
      <c r="P702" s="959"/>
      <c r="Q702" s="959"/>
      <c r="R702" s="959"/>
      <c r="S702" s="959"/>
      <c r="T702" s="959"/>
      <c r="U702" s="959"/>
      <c r="V702" s="959"/>
      <c r="W702" s="959"/>
      <c r="X702" s="959"/>
      <c r="Y702" s="959"/>
      <c r="Z702" s="959"/>
      <c r="AA702" s="959"/>
      <c r="AB702" s="959"/>
      <c r="AC702" s="959"/>
      <c r="AD702" s="959"/>
      <c r="AE702" s="959"/>
      <c r="AF702" s="959"/>
      <c r="AG702" s="959"/>
      <c r="AH702" s="959"/>
      <c r="AI702" s="959"/>
      <c r="AJ702" s="959"/>
      <c r="AK702" s="959"/>
      <c r="AL702" s="959"/>
      <c r="AM702" s="959"/>
    </row>
    <row r="703" spans="3:39" x14ac:dyDescent="0.25">
      <c r="C703" s="959"/>
      <c r="D703" s="959"/>
      <c r="E703" s="959"/>
      <c r="F703" s="959"/>
      <c r="G703" s="959"/>
      <c r="H703" s="959"/>
      <c r="I703" s="959"/>
      <c r="J703" s="959"/>
      <c r="K703" s="959"/>
      <c r="L703" s="959"/>
      <c r="M703" s="959"/>
      <c r="N703" s="959"/>
      <c r="O703" s="959"/>
      <c r="P703" s="959"/>
      <c r="Q703" s="959"/>
      <c r="R703" s="959"/>
      <c r="S703" s="959"/>
      <c r="T703" s="959"/>
      <c r="U703" s="959"/>
      <c r="V703" s="959"/>
      <c r="W703" s="959"/>
      <c r="X703" s="959"/>
      <c r="Y703" s="959"/>
      <c r="Z703" s="959"/>
      <c r="AA703" s="959"/>
      <c r="AB703" s="959"/>
      <c r="AC703" s="959"/>
      <c r="AD703" s="959"/>
      <c r="AE703" s="959"/>
      <c r="AF703" s="959"/>
      <c r="AG703" s="959"/>
      <c r="AH703" s="959"/>
      <c r="AI703" s="959"/>
      <c r="AJ703" s="959"/>
      <c r="AK703" s="959"/>
      <c r="AL703" s="959"/>
      <c r="AM703" s="959"/>
    </row>
    <row r="704" spans="3:39" x14ac:dyDescent="0.25">
      <c r="C704" s="959"/>
      <c r="D704" s="959"/>
      <c r="E704" s="959"/>
      <c r="F704" s="959"/>
      <c r="G704" s="959"/>
      <c r="H704" s="959"/>
      <c r="I704" s="959"/>
      <c r="J704" s="959"/>
      <c r="K704" s="959"/>
      <c r="L704" s="959"/>
      <c r="M704" s="959"/>
      <c r="N704" s="959"/>
      <c r="O704" s="959"/>
      <c r="P704" s="959"/>
      <c r="Q704" s="959"/>
      <c r="R704" s="959"/>
      <c r="S704" s="959"/>
      <c r="T704" s="959"/>
      <c r="U704" s="959"/>
      <c r="V704" s="959"/>
      <c r="W704" s="959"/>
      <c r="X704" s="959"/>
      <c r="Y704" s="959"/>
      <c r="Z704" s="959"/>
      <c r="AA704" s="959"/>
      <c r="AB704" s="959"/>
      <c r="AC704" s="959"/>
      <c r="AD704" s="959"/>
      <c r="AE704" s="959"/>
      <c r="AF704" s="959"/>
      <c r="AG704" s="959"/>
      <c r="AH704" s="959"/>
      <c r="AI704" s="959"/>
      <c r="AJ704" s="959"/>
      <c r="AK704" s="959"/>
      <c r="AL704" s="959"/>
      <c r="AM704" s="959"/>
    </row>
    <row r="705" spans="3:39" x14ac:dyDescent="0.25">
      <c r="C705" s="959"/>
      <c r="D705" s="959"/>
      <c r="E705" s="959"/>
      <c r="F705" s="959"/>
      <c r="G705" s="959"/>
      <c r="H705" s="959"/>
      <c r="I705" s="959"/>
      <c r="J705" s="959"/>
      <c r="K705" s="959"/>
      <c r="L705" s="959"/>
      <c r="M705" s="959"/>
      <c r="N705" s="959"/>
      <c r="O705" s="959"/>
      <c r="P705" s="959"/>
      <c r="Q705" s="959"/>
      <c r="R705" s="959"/>
      <c r="S705" s="959"/>
      <c r="T705" s="959"/>
      <c r="U705" s="959"/>
      <c r="V705" s="959"/>
      <c r="W705" s="959"/>
      <c r="X705" s="959"/>
      <c r="Y705" s="959"/>
      <c r="Z705" s="959"/>
      <c r="AA705" s="959"/>
      <c r="AB705" s="959"/>
      <c r="AC705" s="959"/>
      <c r="AD705" s="959"/>
      <c r="AE705" s="959"/>
      <c r="AF705" s="959"/>
      <c r="AG705" s="959"/>
      <c r="AH705" s="959"/>
      <c r="AI705" s="959"/>
      <c r="AJ705" s="959"/>
      <c r="AK705" s="959"/>
      <c r="AL705" s="959"/>
      <c r="AM705" s="959"/>
    </row>
    <row r="706" spans="3:39" x14ac:dyDescent="0.25">
      <c r="C706" s="959"/>
      <c r="D706" s="959"/>
      <c r="E706" s="959"/>
      <c r="F706" s="959"/>
      <c r="G706" s="959"/>
      <c r="H706" s="959"/>
      <c r="I706" s="959"/>
      <c r="J706" s="959"/>
      <c r="K706" s="959"/>
      <c r="L706" s="959"/>
      <c r="M706" s="959"/>
      <c r="N706" s="959"/>
      <c r="O706" s="959"/>
      <c r="P706" s="959"/>
      <c r="Q706" s="959"/>
      <c r="R706" s="959"/>
      <c r="S706" s="959"/>
      <c r="T706" s="959"/>
      <c r="U706" s="959"/>
      <c r="V706" s="959"/>
      <c r="W706" s="959"/>
      <c r="X706" s="959"/>
      <c r="Y706" s="959"/>
      <c r="Z706" s="959"/>
      <c r="AA706" s="959"/>
      <c r="AB706" s="959"/>
      <c r="AC706" s="959"/>
      <c r="AD706" s="959"/>
      <c r="AE706" s="959"/>
      <c r="AF706" s="959"/>
      <c r="AG706" s="959"/>
      <c r="AH706" s="959"/>
      <c r="AI706" s="959"/>
      <c r="AJ706" s="959"/>
      <c r="AK706" s="959"/>
      <c r="AL706" s="959"/>
      <c r="AM706" s="959"/>
    </row>
    <row r="707" spans="3:39" x14ac:dyDescent="0.25">
      <c r="C707" s="959"/>
      <c r="D707" s="959"/>
      <c r="E707" s="959"/>
      <c r="F707" s="959"/>
      <c r="G707" s="959"/>
      <c r="H707" s="959"/>
      <c r="I707" s="959"/>
      <c r="J707" s="959"/>
      <c r="K707" s="959"/>
      <c r="L707" s="959"/>
      <c r="M707" s="959"/>
      <c r="N707" s="959"/>
      <c r="O707" s="959"/>
      <c r="P707" s="959"/>
      <c r="Q707" s="959"/>
      <c r="R707" s="959"/>
      <c r="S707" s="959"/>
      <c r="T707" s="959"/>
      <c r="U707" s="959"/>
      <c r="V707" s="959"/>
      <c r="W707" s="959"/>
      <c r="X707" s="959"/>
      <c r="Y707" s="959"/>
      <c r="Z707" s="959"/>
      <c r="AA707" s="959"/>
      <c r="AB707" s="959"/>
      <c r="AC707" s="959"/>
      <c r="AD707" s="959"/>
      <c r="AE707" s="959"/>
      <c r="AF707" s="959"/>
      <c r="AG707" s="959"/>
      <c r="AH707" s="959"/>
      <c r="AI707" s="959"/>
      <c r="AJ707" s="959"/>
      <c r="AK707" s="959"/>
      <c r="AL707" s="959"/>
      <c r="AM707" s="959"/>
    </row>
    <row r="708" spans="3:39" x14ac:dyDescent="0.25">
      <c r="C708" s="959"/>
      <c r="D708" s="959"/>
      <c r="E708" s="959"/>
      <c r="F708" s="959"/>
      <c r="G708" s="959"/>
      <c r="H708" s="959"/>
      <c r="I708" s="959"/>
      <c r="J708" s="959"/>
      <c r="K708" s="959"/>
      <c r="L708" s="959"/>
      <c r="M708" s="959"/>
      <c r="N708" s="959"/>
      <c r="O708" s="959"/>
      <c r="P708" s="959"/>
      <c r="Q708" s="959"/>
      <c r="R708" s="959"/>
      <c r="S708" s="959"/>
      <c r="T708" s="959"/>
      <c r="U708" s="959"/>
      <c r="V708" s="959"/>
      <c r="W708" s="959"/>
      <c r="X708" s="959"/>
      <c r="Y708" s="959"/>
      <c r="Z708" s="959"/>
      <c r="AA708" s="959"/>
      <c r="AB708" s="959"/>
      <c r="AC708" s="959"/>
      <c r="AD708" s="959"/>
      <c r="AE708" s="959"/>
      <c r="AF708" s="959"/>
      <c r="AG708" s="959"/>
      <c r="AH708" s="959"/>
      <c r="AI708" s="959"/>
      <c r="AJ708" s="959"/>
      <c r="AK708" s="959"/>
      <c r="AL708" s="959"/>
      <c r="AM708" s="959"/>
    </row>
    <row r="709" spans="3:39" x14ac:dyDescent="0.25">
      <c r="C709" s="959"/>
      <c r="D709" s="959"/>
      <c r="E709" s="959"/>
      <c r="F709" s="959"/>
      <c r="G709" s="959"/>
      <c r="H709" s="959"/>
      <c r="I709" s="959"/>
      <c r="J709" s="959"/>
      <c r="K709" s="959"/>
      <c r="L709" s="959"/>
      <c r="M709" s="959"/>
      <c r="N709" s="959"/>
      <c r="O709" s="959"/>
      <c r="P709" s="959"/>
      <c r="Q709" s="959"/>
      <c r="R709" s="959"/>
      <c r="S709" s="959"/>
      <c r="T709" s="959"/>
      <c r="U709" s="959"/>
      <c r="V709" s="959"/>
      <c r="W709" s="959"/>
      <c r="X709" s="959"/>
      <c r="Y709" s="959"/>
      <c r="Z709" s="959"/>
      <c r="AA709" s="959"/>
      <c r="AB709" s="959"/>
      <c r="AC709" s="959"/>
      <c r="AD709" s="959"/>
      <c r="AE709" s="959"/>
      <c r="AF709" s="959"/>
      <c r="AG709" s="959"/>
      <c r="AH709" s="959"/>
      <c r="AI709" s="959"/>
      <c r="AJ709" s="959"/>
      <c r="AK709" s="959"/>
      <c r="AL709" s="959"/>
      <c r="AM709" s="959"/>
    </row>
    <row r="710" spans="3:39" x14ac:dyDescent="0.25">
      <c r="C710" s="959"/>
      <c r="D710" s="959"/>
      <c r="E710" s="959"/>
      <c r="F710" s="959"/>
      <c r="G710" s="959"/>
      <c r="H710" s="959"/>
      <c r="I710" s="959"/>
      <c r="J710" s="959"/>
      <c r="K710" s="959"/>
      <c r="L710" s="959"/>
      <c r="M710" s="959"/>
      <c r="N710" s="959"/>
      <c r="O710" s="959"/>
      <c r="P710" s="959"/>
      <c r="Q710" s="959"/>
      <c r="R710" s="959"/>
      <c r="S710" s="959"/>
      <c r="T710" s="959"/>
      <c r="U710" s="959"/>
      <c r="V710" s="959"/>
      <c r="W710" s="959"/>
      <c r="X710" s="959"/>
      <c r="Y710" s="959"/>
      <c r="Z710" s="959"/>
      <c r="AA710" s="959"/>
      <c r="AB710" s="959"/>
      <c r="AC710" s="959"/>
      <c r="AD710" s="959"/>
      <c r="AE710" s="959"/>
      <c r="AF710" s="959"/>
      <c r="AG710" s="959"/>
      <c r="AH710" s="959"/>
      <c r="AI710" s="959"/>
      <c r="AJ710" s="959"/>
      <c r="AK710" s="959"/>
      <c r="AL710" s="959"/>
      <c r="AM710" s="959"/>
    </row>
    <row r="711" spans="3:39" x14ac:dyDescent="0.25">
      <c r="C711" s="959"/>
      <c r="D711" s="959"/>
      <c r="E711" s="959"/>
      <c r="F711" s="959"/>
      <c r="G711" s="959"/>
      <c r="H711" s="959"/>
      <c r="I711" s="959"/>
      <c r="J711" s="959"/>
      <c r="K711" s="959"/>
      <c r="L711" s="959"/>
      <c r="M711" s="959"/>
      <c r="N711" s="959"/>
      <c r="O711" s="959"/>
      <c r="P711" s="959"/>
      <c r="Q711" s="959"/>
      <c r="R711" s="959"/>
      <c r="S711" s="959"/>
      <c r="T711" s="959"/>
      <c r="U711" s="959"/>
      <c r="V711" s="959"/>
      <c r="W711" s="959"/>
      <c r="X711" s="959"/>
      <c r="Y711" s="959"/>
      <c r="Z711" s="959"/>
      <c r="AA711" s="959"/>
      <c r="AB711" s="959"/>
      <c r="AC711" s="959"/>
      <c r="AD711" s="959"/>
      <c r="AE711" s="959"/>
      <c r="AF711" s="959"/>
      <c r="AG711" s="959"/>
      <c r="AH711" s="959"/>
      <c r="AI711" s="959"/>
      <c r="AJ711" s="959"/>
      <c r="AK711" s="959"/>
      <c r="AL711" s="959"/>
      <c r="AM711" s="959"/>
    </row>
    <row r="712" spans="3:39" x14ac:dyDescent="0.25">
      <c r="C712" s="959"/>
      <c r="D712" s="959"/>
      <c r="E712" s="959"/>
      <c r="F712" s="959"/>
      <c r="G712" s="959"/>
      <c r="H712" s="959"/>
      <c r="I712" s="959"/>
      <c r="J712" s="959"/>
      <c r="K712" s="959"/>
      <c r="L712" s="959"/>
      <c r="M712" s="959"/>
      <c r="N712" s="959"/>
      <c r="O712" s="959"/>
      <c r="P712" s="959"/>
      <c r="Q712" s="959"/>
      <c r="R712" s="959"/>
      <c r="S712" s="959"/>
      <c r="T712" s="959"/>
      <c r="U712" s="959"/>
      <c r="V712" s="959"/>
      <c r="W712" s="959"/>
      <c r="X712" s="959"/>
      <c r="Y712" s="959"/>
      <c r="Z712" s="959"/>
      <c r="AA712" s="959"/>
      <c r="AB712" s="959"/>
      <c r="AC712" s="959"/>
      <c r="AD712" s="959"/>
      <c r="AE712" s="959"/>
      <c r="AF712" s="959"/>
      <c r="AG712" s="959"/>
      <c r="AH712" s="959"/>
      <c r="AI712" s="959"/>
      <c r="AJ712" s="959"/>
      <c r="AK712" s="959"/>
      <c r="AL712" s="959"/>
      <c r="AM712" s="959"/>
    </row>
    <row r="713" spans="3:39" x14ac:dyDescent="0.25">
      <c r="C713" s="959"/>
      <c r="D713" s="959"/>
      <c r="E713" s="959"/>
      <c r="F713" s="959"/>
      <c r="G713" s="959"/>
      <c r="H713" s="959"/>
      <c r="I713" s="959"/>
      <c r="J713" s="959"/>
      <c r="K713" s="959"/>
      <c r="L713" s="959"/>
      <c r="M713" s="959"/>
      <c r="N713" s="959"/>
      <c r="O713" s="959"/>
      <c r="P713" s="959"/>
      <c r="Q713" s="959"/>
      <c r="R713" s="959"/>
      <c r="S713" s="959"/>
      <c r="T713" s="959"/>
      <c r="U713" s="959"/>
      <c r="V713" s="959"/>
      <c r="W713" s="959"/>
      <c r="X713" s="959"/>
      <c r="Y713" s="959"/>
      <c r="Z713" s="959"/>
      <c r="AA713" s="959"/>
      <c r="AB713" s="959"/>
      <c r="AC713" s="959"/>
      <c r="AD713" s="959"/>
      <c r="AE713" s="959"/>
      <c r="AF713" s="959"/>
      <c r="AG713" s="959"/>
      <c r="AH713" s="959"/>
      <c r="AI713" s="959"/>
      <c r="AJ713" s="959"/>
      <c r="AK713" s="959"/>
      <c r="AL713" s="959"/>
      <c r="AM713" s="959"/>
    </row>
    <row r="714" spans="3:39" x14ac:dyDescent="0.25">
      <c r="C714" s="959"/>
      <c r="D714" s="959"/>
      <c r="E714" s="959"/>
      <c r="F714" s="959"/>
      <c r="G714" s="959"/>
      <c r="H714" s="959"/>
      <c r="I714" s="959"/>
      <c r="J714" s="959"/>
      <c r="K714" s="959"/>
      <c r="L714" s="959"/>
      <c r="M714" s="959"/>
      <c r="N714" s="959"/>
      <c r="O714" s="959"/>
      <c r="P714" s="959"/>
      <c r="Q714" s="959"/>
      <c r="R714" s="959"/>
      <c r="S714" s="959"/>
      <c r="T714" s="959"/>
      <c r="U714" s="959"/>
      <c r="V714" s="959"/>
      <c r="W714" s="959"/>
      <c r="X714" s="959"/>
      <c r="Y714" s="959"/>
      <c r="Z714" s="959"/>
      <c r="AA714" s="959"/>
      <c r="AB714" s="959"/>
      <c r="AC714" s="959"/>
      <c r="AD714" s="959"/>
      <c r="AE714" s="959"/>
      <c r="AF714" s="959"/>
      <c r="AG714" s="959"/>
      <c r="AH714" s="959"/>
      <c r="AI714" s="959"/>
      <c r="AJ714" s="959"/>
      <c r="AK714" s="959"/>
      <c r="AL714" s="959"/>
      <c r="AM714" s="959"/>
    </row>
    <row r="715" spans="3:39" x14ac:dyDescent="0.25">
      <c r="C715" s="959"/>
      <c r="D715" s="959"/>
      <c r="E715" s="959"/>
      <c r="F715" s="959"/>
      <c r="G715" s="959"/>
      <c r="H715" s="959"/>
      <c r="I715" s="959"/>
      <c r="J715" s="959"/>
      <c r="K715" s="959"/>
      <c r="L715" s="959"/>
      <c r="M715" s="959"/>
      <c r="N715" s="959"/>
      <c r="O715" s="959"/>
      <c r="P715" s="959"/>
      <c r="Q715" s="959"/>
      <c r="R715" s="959"/>
      <c r="S715" s="959"/>
      <c r="T715" s="959"/>
      <c r="U715" s="959"/>
      <c r="V715" s="959"/>
      <c r="W715" s="959"/>
      <c r="X715" s="959"/>
      <c r="Y715" s="959"/>
      <c r="Z715" s="959"/>
      <c r="AA715" s="959"/>
      <c r="AB715" s="959"/>
      <c r="AC715" s="959"/>
      <c r="AD715" s="959"/>
      <c r="AE715" s="959"/>
      <c r="AF715" s="959"/>
      <c r="AG715" s="959"/>
      <c r="AH715" s="959"/>
      <c r="AI715" s="959"/>
      <c r="AJ715" s="959"/>
      <c r="AK715" s="959"/>
      <c r="AL715" s="959"/>
      <c r="AM715" s="959"/>
    </row>
    <row r="716" spans="3:39" x14ac:dyDescent="0.25">
      <c r="C716" s="959"/>
      <c r="D716" s="959"/>
      <c r="E716" s="959"/>
      <c r="F716" s="959"/>
      <c r="G716" s="959"/>
      <c r="H716" s="959"/>
      <c r="I716" s="959"/>
      <c r="J716" s="959"/>
      <c r="K716" s="959"/>
      <c r="L716" s="959"/>
      <c r="M716" s="959"/>
      <c r="N716" s="959"/>
      <c r="O716" s="959"/>
      <c r="P716" s="959"/>
      <c r="Q716" s="959"/>
      <c r="R716" s="959"/>
      <c r="S716" s="959"/>
      <c r="T716" s="959"/>
      <c r="U716" s="959"/>
      <c r="V716" s="959"/>
      <c r="W716" s="959"/>
      <c r="X716" s="959"/>
      <c r="Y716" s="959"/>
      <c r="Z716" s="959"/>
      <c r="AA716" s="959"/>
      <c r="AB716" s="959"/>
      <c r="AC716" s="959"/>
      <c r="AD716" s="959"/>
      <c r="AE716" s="959"/>
      <c r="AF716" s="959"/>
      <c r="AG716" s="959"/>
      <c r="AH716" s="959"/>
      <c r="AI716" s="959"/>
      <c r="AJ716" s="959"/>
      <c r="AK716" s="959"/>
      <c r="AL716" s="959"/>
      <c r="AM716" s="959"/>
    </row>
    <row r="717" spans="3:39" x14ac:dyDescent="0.25">
      <c r="C717" s="959"/>
      <c r="D717" s="959"/>
      <c r="E717" s="959"/>
      <c r="F717" s="959"/>
      <c r="G717" s="959"/>
      <c r="H717" s="959"/>
      <c r="I717" s="959"/>
      <c r="J717" s="959"/>
      <c r="K717" s="959"/>
      <c r="L717" s="959"/>
      <c r="M717" s="959"/>
      <c r="N717" s="959"/>
      <c r="O717" s="959"/>
      <c r="P717" s="959"/>
      <c r="Q717" s="959"/>
      <c r="R717" s="959"/>
      <c r="S717" s="959"/>
      <c r="T717" s="959"/>
      <c r="U717" s="959"/>
      <c r="V717" s="959"/>
      <c r="W717" s="959"/>
      <c r="X717" s="959"/>
      <c r="Y717" s="959"/>
      <c r="Z717" s="959"/>
      <c r="AA717" s="959"/>
      <c r="AB717" s="959"/>
      <c r="AC717" s="959"/>
      <c r="AD717" s="959"/>
      <c r="AE717" s="959"/>
      <c r="AF717" s="959"/>
      <c r="AG717" s="959"/>
      <c r="AH717" s="959"/>
      <c r="AI717" s="959"/>
      <c r="AJ717" s="959"/>
      <c r="AK717" s="959"/>
      <c r="AL717" s="959"/>
      <c r="AM717" s="959"/>
    </row>
    <row r="718" spans="3:39" x14ac:dyDescent="0.25">
      <c r="C718" s="959"/>
      <c r="D718" s="959"/>
      <c r="E718" s="959"/>
      <c r="F718" s="959"/>
      <c r="G718" s="959"/>
      <c r="H718" s="959"/>
      <c r="I718" s="959"/>
      <c r="J718" s="959"/>
      <c r="K718" s="959"/>
      <c r="L718" s="959"/>
      <c r="M718" s="959"/>
      <c r="N718" s="959"/>
      <c r="O718" s="959"/>
      <c r="P718" s="959"/>
      <c r="Q718" s="959"/>
      <c r="R718" s="959"/>
      <c r="S718" s="959"/>
      <c r="T718" s="959"/>
      <c r="U718" s="959"/>
      <c r="V718" s="959"/>
      <c r="W718" s="959"/>
      <c r="X718" s="959"/>
      <c r="Y718" s="959"/>
      <c r="Z718" s="959"/>
      <c r="AA718" s="959"/>
      <c r="AB718" s="959"/>
      <c r="AC718" s="959"/>
      <c r="AD718" s="959"/>
      <c r="AE718" s="959"/>
      <c r="AF718" s="959"/>
      <c r="AG718" s="959"/>
      <c r="AH718" s="959"/>
      <c r="AI718" s="959"/>
      <c r="AJ718" s="959"/>
      <c r="AK718" s="959"/>
      <c r="AL718" s="959"/>
      <c r="AM718" s="959"/>
    </row>
    <row r="719" spans="3:39" x14ac:dyDescent="0.25">
      <c r="C719" s="959"/>
      <c r="D719" s="959"/>
      <c r="E719" s="959"/>
      <c r="F719" s="959"/>
      <c r="G719" s="959"/>
      <c r="H719" s="959"/>
      <c r="I719" s="959"/>
      <c r="J719" s="959"/>
      <c r="K719" s="959"/>
      <c r="L719" s="959"/>
      <c r="M719" s="959"/>
      <c r="N719" s="959"/>
      <c r="O719" s="959"/>
      <c r="P719" s="959"/>
      <c r="Q719" s="959"/>
      <c r="R719" s="959"/>
      <c r="S719" s="959"/>
      <c r="T719" s="959"/>
      <c r="U719" s="959"/>
      <c r="V719" s="959"/>
      <c r="W719" s="959"/>
      <c r="X719" s="959"/>
      <c r="Y719" s="959"/>
      <c r="Z719" s="959"/>
      <c r="AA719" s="959"/>
      <c r="AB719" s="959"/>
      <c r="AC719" s="959"/>
      <c r="AD719" s="959"/>
      <c r="AE719" s="959"/>
      <c r="AF719" s="959"/>
      <c r="AG719" s="959"/>
      <c r="AH719" s="959"/>
      <c r="AI719" s="959"/>
      <c r="AJ719" s="959"/>
      <c r="AK719" s="959"/>
      <c r="AL719" s="959"/>
      <c r="AM719" s="959"/>
    </row>
    <row r="720" spans="3:39" x14ac:dyDescent="0.25">
      <c r="C720" s="959"/>
      <c r="D720" s="959"/>
      <c r="E720" s="959"/>
      <c r="F720" s="959"/>
      <c r="G720" s="959"/>
      <c r="H720" s="959"/>
      <c r="I720" s="959"/>
      <c r="J720" s="959"/>
      <c r="K720" s="959"/>
      <c r="L720" s="959"/>
      <c r="M720" s="959"/>
      <c r="N720" s="959"/>
      <c r="O720" s="959"/>
      <c r="P720" s="959"/>
      <c r="Q720" s="959"/>
      <c r="R720" s="959"/>
      <c r="S720" s="959"/>
      <c r="T720" s="959"/>
      <c r="U720" s="959"/>
      <c r="V720" s="959"/>
      <c r="W720" s="959"/>
      <c r="X720" s="959"/>
      <c r="Y720" s="959"/>
      <c r="Z720" s="959"/>
      <c r="AA720" s="959"/>
      <c r="AB720" s="959"/>
      <c r="AC720" s="959"/>
      <c r="AD720" s="959"/>
      <c r="AE720" s="959"/>
      <c r="AF720" s="959"/>
      <c r="AG720" s="959"/>
      <c r="AH720" s="959"/>
      <c r="AI720" s="959"/>
      <c r="AJ720" s="959"/>
      <c r="AK720" s="959"/>
      <c r="AL720" s="959"/>
      <c r="AM720" s="959"/>
    </row>
    <row r="721" spans="3:39" x14ac:dyDescent="0.25">
      <c r="C721" s="959"/>
      <c r="D721" s="959"/>
      <c r="E721" s="959"/>
      <c r="F721" s="959"/>
      <c r="G721" s="959"/>
      <c r="H721" s="959"/>
      <c r="I721" s="959"/>
      <c r="J721" s="959"/>
      <c r="K721" s="959"/>
      <c r="L721" s="959"/>
      <c r="M721" s="959"/>
      <c r="N721" s="959"/>
      <c r="O721" s="959"/>
      <c r="P721" s="959"/>
      <c r="Q721" s="959"/>
      <c r="R721" s="959"/>
      <c r="S721" s="959"/>
      <c r="T721" s="959"/>
      <c r="U721" s="959"/>
      <c r="V721" s="959"/>
      <c r="W721" s="959"/>
      <c r="X721" s="959"/>
      <c r="Y721" s="959"/>
      <c r="Z721" s="959"/>
      <c r="AA721" s="959"/>
      <c r="AB721" s="959"/>
      <c r="AC721" s="959"/>
      <c r="AD721" s="959"/>
      <c r="AE721" s="959"/>
      <c r="AF721" s="959"/>
      <c r="AG721" s="959"/>
      <c r="AH721" s="959"/>
      <c r="AI721" s="959"/>
      <c r="AJ721" s="959"/>
      <c r="AK721" s="959"/>
      <c r="AL721" s="959"/>
      <c r="AM721" s="959"/>
    </row>
    <row r="722" spans="3:39" x14ac:dyDescent="0.25">
      <c r="C722" s="959"/>
      <c r="D722" s="959"/>
      <c r="E722" s="959"/>
      <c r="F722" s="959"/>
      <c r="G722" s="959"/>
      <c r="H722" s="959"/>
      <c r="I722" s="959"/>
      <c r="J722" s="959"/>
      <c r="K722" s="959"/>
      <c r="L722" s="959"/>
      <c r="M722" s="959"/>
      <c r="N722" s="959"/>
      <c r="O722" s="959"/>
      <c r="P722" s="959"/>
      <c r="Q722" s="959"/>
      <c r="R722" s="959"/>
      <c r="S722" s="959"/>
      <c r="T722" s="959"/>
      <c r="U722" s="959"/>
      <c r="V722" s="959"/>
      <c r="W722" s="959"/>
      <c r="X722" s="959"/>
      <c r="Y722" s="959"/>
      <c r="Z722" s="959"/>
      <c r="AA722" s="959"/>
      <c r="AB722" s="959"/>
      <c r="AC722" s="959"/>
      <c r="AD722" s="959"/>
      <c r="AE722" s="959"/>
      <c r="AF722" s="959"/>
      <c r="AG722" s="959"/>
      <c r="AH722" s="959"/>
      <c r="AI722" s="959"/>
      <c r="AJ722" s="959"/>
      <c r="AK722" s="959"/>
      <c r="AL722" s="959"/>
      <c r="AM722" s="959"/>
    </row>
    <row r="723" spans="3:39" x14ac:dyDescent="0.25">
      <c r="C723" s="959"/>
      <c r="D723" s="959"/>
      <c r="E723" s="959"/>
      <c r="F723" s="959"/>
      <c r="G723" s="959"/>
      <c r="H723" s="959"/>
      <c r="I723" s="959"/>
      <c r="J723" s="959"/>
      <c r="K723" s="959"/>
      <c r="L723" s="959"/>
      <c r="M723" s="959"/>
      <c r="N723" s="959"/>
      <c r="O723" s="959"/>
      <c r="P723" s="959"/>
      <c r="Q723" s="959"/>
      <c r="R723" s="959"/>
      <c r="S723" s="959"/>
      <c r="T723" s="959"/>
      <c r="U723" s="959"/>
      <c r="V723" s="959"/>
      <c r="W723" s="959"/>
      <c r="X723" s="959"/>
      <c r="Y723" s="959"/>
      <c r="Z723" s="959"/>
      <c r="AA723" s="959"/>
      <c r="AB723" s="959"/>
      <c r="AC723" s="959"/>
      <c r="AD723" s="959"/>
      <c r="AE723" s="959"/>
      <c r="AF723" s="959"/>
      <c r="AG723" s="959"/>
      <c r="AH723" s="959"/>
      <c r="AI723" s="959"/>
      <c r="AJ723" s="959"/>
      <c r="AK723" s="959"/>
      <c r="AL723" s="959"/>
      <c r="AM723" s="959"/>
    </row>
    <row r="724" spans="3:39" x14ac:dyDescent="0.25">
      <c r="C724" s="959"/>
      <c r="D724" s="959"/>
      <c r="E724" s="959"/>
      <c r="F724" s="959"/>
      <c r="G724" s="959"/>
      <c r="H724" s="959"/>
      <c r="I724" s="959"/>
      <c r="J724" s="959"/>
      <c r="K724" s="959"/>
      <c r="L724" s="959"/>
      <c r="M724" s="959"/>
      <c r="N724" s="959"/>
      <c r="O724" s="959"/>
      <c r="P724" s="959"/>
      <c r="Q724" s="959"/>
      <c r="R724" s="959"/>
      <c r="S724" s="959"/>
      <c r="T724" s="959"/>
      <c r="U724" s="959"/>
      <c r="V724" s="959"/>
      <c r="W724" s="959"/>
      <c r="X724" s="959"/>
      <c r="Y724" s="959"/>
      <c r="Z724" s="959"/>
      <c r="AA724" s="959"/>
      <c r="AB724" s="959"/>
      <c r="AC724" s="959"/>
      <c r="AD724" s="959"/>
      <c r="AE724" s="959"/>
      <c r="AF724" s="959"/>
      <c r="AG724" s="959"/>
      <c r="AH724" s="959"/>
      <c r="AI724" s="959"/>
      <c r="AJ724" s="959"/>
      <c r="AK724" s="959"/>
      <c r="AL724" s="959"/>
      <c r="AM724" s="959"/>
    </row>
    <row r="725" spans="3:39" x14ac:dyDescent="0.25">
      <c r="C725" s="959"/>
      <c r="D725" s="959"/>
      <c r="E725" s="959"/>
      <c r="F725" s="959"/>
      <c r="G725" s="959"/>
      <c r="H725" s="959"/>
      <c r="I725" s="959"/>
      <c r="J725" s="959"/>
      <c r="K725" s="959"/>
      <c r="L725" s="959"/>
      <c r="M725" s="959"/>
      <c r="N725" s="959"/>
      <c r="O725" s="959"/>
      <c r="P725" s="959"/>
      <c r="Q725" s="959"/>
      <c r="R725" s="959"/>
      <c r="S725" s="959"/>
      <c r="T725" s="959"/>
      <c r="U725" s="959"/>
      <c r="V725" s="959"/>
      <c r="W725" s="959"/>
      <c r="X725" s="959"/>
      <c r="Y725" s="959"/>
      <c r="Z725" s="959"/>
      <c r="AA725" s="959"/>
      <c r="AB725" s="959"/>
      <c r="AC725" s="959"/>
      <c r="AD725" s="959"/>
      <c r="AE725" s="959"/>
      <c r="AF725" s="959"/>
      <c r="AG725" s="959"/>
      <c r="AH725" s="959"/>
      <c r="AI725" s="959"/>
      <c r="AJ725" s="959"/>
      <c r="AK725" s="959"/>
      <c r="AL725" s="959"/>
      <c r="AM725" s="959"/>
    </row>
    <row r="726" spans="3:39" x14ac:dyDescent="0.25">
      <c r="C726" s="959"/>
      <c r="D726" s="959"/>
      <c r="E726" s="959"/>
      <c r="F726" s="959"/>
      <c r="G726" s="959"/>
      <c r="H726" s="959"/>
      <c r="I726" s="959"/>
      <c r="J726" s="959"/>
      <c r="K726" s="959"/>
      <c r="L726" s="959"/>
      <c r="M726" s="959"/>
      <c r="N726" s="959"/>
      <c r="O726" s="959"/>
      <c r="P726" s="959"/>
      <c r="Q726" s="959"/>
      <c r="R726" s="959"/>
      <c r="S726" s="959"/>
      <c r="T726" s="959"/>
      <c r="U726" s="959"/>
      <c r="V726" s="959"/>
      <c r="W726" s="959"/>
      <c r="X726" s="959"/>
      <c r="Y726" s="959"/>
      <c r="Z726" s="959"/>
      <c r="AA726" s="959"/>
      <c r="AB726" s="959"/>
      <c r="AC726" s="959"/>
      <c r="AD726" s="959"/>
      <c r="AE726" s="959"/>
      <c r="AF726" s="959"/>
      <c r="AG726" s="959"/>
      <c r="AH726" s="959"/>
      <c r="AI726" s="959"/>
      <c r="AJ726" s="959"/>
      <c r="AK726" s="959"/>
      <c r="AL726" s="959"/>
      <c r="AM726" s="959"/>
    </row>
    <row r="727" spans="3:39" x14ac:dyDescent="0.25">
      <c r="C727" s="959"/>
      <c r="D727" s="959"/>
      <c r="E727" s="959"/>
      <c r="F727" s="959"/>
      <c r="G727" s="959"/>
      <c r="H727" s="959"/>
      <c r="I727" s="959"/>
      <c r="J727" s="959"/>
      <c r="K727" s="959"/>
      <c r="L727" s="959"/>
      <c r="M727" s="959"/>
      <c r="N727" s="959"/>
      <c r="O727" s="959"/>
      <c r="P727" s="959"/>
      <c r="Q727" s="959"/>
      <c r="R727" s="959"/>
      <c r="S727" s="959"/>
      <c r="T727" s="959"/>
      <c r="U727" s="959"/>
      <c r="V727" s="959"/>
      <c r="W727" s="959"/>
      <c r="X727" s="959"/>
      <c r="Y727" s="959"/>
      <c r="Z727" s="959"/>
      <c r="AA727" s="959"/>
      <c r="AB727" s="959"/>
      <c r="AC727" s="959"/>
      <c r="AD727" s="959"/>
      <c r="AE727" s="959"/>
      <c r="AF727" s="959"/>
      <c r="AG727" s="959"/>
      <c r="AH727" s="959"/>
      <c r="AI727" s="959"/>
      <c r="AJ727" s="959"/>
      <c r="AK727" s="959"/>
      <c r="AL727" s="959"/>
      <c r="AM727" s="959"/>
    </row>
    <row r="728" spans="3:39" x14ac:dyDescent="0.25">
      <c r="C728" s="959"/>
      <c r="D728" s="959"/>
      <c r="E728" s="959"/>
      <c r="F728" s="959"/>
      <c r="G728" s="959"/>
      <c r="H728" s="959"/>
      <c r="I728" s="959"/>
      <c r="J728" s="959"/>
      <c r="K728" s="959"/>
      <c r="L728" s="959"/>
      <c r="M728" s="959"/>
      <c r="N728" s="959"/>
      <c r="O728" s="959"/>
      <c r="P728" s="959"/>
      <c r="Q728" s="959"/>
      <c r="R728" s="959"/>
      <c r="S728" s="959"/>
      <c r="T728" s="959"/>
      <c r="U728" s="959"/>
      <c r="V728" s="959"/>
      <c r="W728" s="959"/>
      <c r="X728" s="959"/>
      <c r="Y728" s="959"/>
      <c r="Z728" s="959"/>
      <c r="AA728" s="959"/>
      <c r="AB728" s="959"/>
      <c r="AC728" s="959"/>
      <c r="AD728" s="959"/>
      <c r="AE728" s="959"/>
      <c r="AF728" s="959"/>
      <c r="AG728" s="959"/>
      <c r="AH728" s="959"/>
      <c r="AI728" s="959"/>
      <c r="AJ728" s="959"/>
      <c r="AK728" s="959"/>
      <c r="AL728" s="959"/>
      <c r="AM728" s="959"/>
    </row>
    <row r="729" spans="3:39" x14ac:dyDescent="0.25">
      <c r="C729" s="959"/>
      <c r="D729" s="959"/>
      <c r="E729" s="959"/>
      <c r="F729" s="959"/>
      <c r="G729" s="959"/>
      <c r="H729" s="959"/>
      <c r="I729" s="959"/>
      <c r="J729" s="959"/>
      <c r="K729" s="959"/>
      <c r="L729" s="959"/>
      <c r="M729" s="959"/>
      <c r="N729" s="959"/>
      <c r="O729" s="959"/>
      <c r="P729" s="959"/>
      <c r="Q729" s="959"/>
      <c r="R729" s="959"/>
      <c r="S729" s="959"/>
      <c r="T729" s="959"/>
      <c r="U729" s="959"/>
      <c r="V729" s="959"/>
      <c r="W729" s="959"/>
      <c r="X729" s="959"/>
      <c r="Y729" s="959"/>
      <c r="Z729" s="959"/>
      <c r="AA729" s="959"/>
      <c r="AB729" s="959"/>
      <c r="AC729" s="959"/>
      <c r="AD729" s="959"/>
      <c r="AE729" s="959"/>
      <c r="AF729" s="959"/>
      <c r="AG729" s="959"/>
      <c r="AH729" s="959"/>
      <c r="AI729" s="959"/>
      <c r="AJ729" s="959"/>
      <c r="AK729" s="959"/>
      <c r="AL729" s="959"/>
      <c r="AM729" s="959"/>
    </row>
    <row r="730" spans="3:39" x14ac:dyDescent="0.25">
      <c r="C730" s="959"/>
      <c r="D730" s="959"/>
      <c r="E730" s="959"/>
      <c r="F730" s="959"/>
      <c r="G730" s="959"/>
      <c r="H730" s="959"/>
      <c r="I730" s="959"/>
      <c r="J730" s="959"/>
      <c r="K730" s="959"/>
      <c r="L730" s="959"/>
      <c r="M730" s="959"/>
      <c r="N730" s="959"/>
      <c r="O730" s="959"/>
      <c r="P730" s="959"/>
      <c r="Q730" s="959"/>
      <c r="R730" s="959"/>
      <c r="S730" s="959"/>
      <c r="T730" s="959"/>
      <c r="U730" s="959"/>
      <c r="V730" s="959"/>
      <c r="W730" s="959"/>
      <c r="X730" s="959"/>
      <c r="Y730" s="959"/>
      <c r="Z730" s="959"/>
      <c r="AA730" s="959"/>
      <c r="AB730" s="959"/>
      <c r="AC730" s="959"/>
      <c r="AD730" s="959"/>
      <c r="AE730" s="959"/>
      <c r="AF730" s="959"/>
      <c r="AG730" s="959"/>
      <c r="AH730" s="959"/>
      <c r="AI730" s="959"/>
      <c r="AJ730" s="959"/>
      <c r="AK730" s="959"/>
      <c r="AL730" s="959"/>
      <c r="AM730" s="959"/>
    </row>
    <row r="731" spans="3:39" x14ac:dyDescent="0.25">
      <c r="C731" s="959"/>
      <c r="D731" s="959"/>
      <c r="E731" s="959"/>
      <c r="F731" s="959"/>
      <c r="G731" s="959"/>
      <c r="H731" s="959"/>
      <c r="I731" s="959"/>
      <c r="J731" s="959"/>
      <c r="K731" s="959"/>
      <c r="L731" s="959"/>
      <c r="M731" s="959"/>
      <c r="N731" s="959"/>
      <c r="O731" s="959"/>
      <c r="P731" s="959"/>
      <c r="Q731" s="959"/>
      <c r="R731" s="959"/>
      <c r="S731" s="959"/>
      <c r="T731" s="959"/>
      <c r="U731" s="959"/>
      <c r="V731" s="959"/>
      <c r="W731" s="959"/>
      <c r="X731" s="959"/>
      <c r="Y731" s="959"/>
      <c r="Z731" s="959"/>
      <c r="AA731" s="959"/>
      <c r="AB731" s="959"/>
      <c r="AC731" s="959"/>
      <c r="AD731" s="959"/>
      <c r="AE731" s="959"/>
      <c r="AF731" s="959"/>
      <c r="AG731" s="959"/>
      <c r="AH731" s="959"/>
      <c r="AI731" s="959"/>
      <c r="AJ731" s="959"/>
      <c r="AK731" s="959"/>
      <c r="AL731" s="959"/>
      <c r="AM731" s="959"/>
    </row>
    <row r="732" spans="3:39" x14ac:dyDescent="0.25">
      <c r="C732" s="959"/>
      <c r="D732" s="959"/>
      <c r="E732" s="959"/>
      <c r="F732" s="959"/>
      <c r="G732" s="959"/>
      <c r="H732" s="959"/>
      <c r="I732" s="959"/>
      <c r="J732" s="959"/>
      <c r="K732" s="959"/>
      <c r="L732" s="959"/>
      <c r="M732" s="959"/>
      <c r="N732" s="959"/>
      <c r="O732" s="959"/>
      <c r="P732" s="959"/>
      <c r="Q732" s="959"/>
      <c r="R732" s="959"/>
      <c r="S732" s="959"/>
      <c r="T732" s="959"/>
      <c r="U732" s="959"/>
      <c r="V732" s="959"/>
      <c r="W732" s="959"/>
      <c r="X732" s="959"/>
      <c r="Y732" s="959"/>
      <c r="Z732" s="959"/>
      <c r="AA732" s="959"/>
      <c r="AB732" s="959"/>
      <c r="AC732" s="959"/>
      <c r="AD732" s="959"/>
      <c r="AE732" s="959"/>
      <c r="AF732" s="959"/>
      <c r="AG732" s="959"/>
      <c r="AH732" s="959"/>
      <c r="AI732" s="959"/>
      <c r="AJ732" s="959"/>
      <c r="AK732" s="959"/>
      <c r="AL732" s="959"/>
      <c r="AM732" s="959"/>
    </row>
    <row r="733" spans="3:39" x14ac:dyDescent="0.25">
      <c r="C733" s="959"/>
      <c r="D733" s="959"/>
      <c r="E733" s="959"/>
      <c r="F733" s="959"/>
      <c r="G733" s="959"/>
      <c r="H733" s="959"/>
      <c r="I733" s="959"/>
      <c r="J733" s="959"/>
      <c r="K733" s="959"/>
      <c r="L733" s="959"/>
      <c r="M733" s="959"/>
      <c r="N733" s="959"/>
      <c r="O733" s="959"/>
      <c r="P733" s="959"/>
      <c r="Q733" s="959"/>
      <c r="R733" s="959"/>
      <c r="S733" s="959"/>
      <c r="T733" s="959"/>
      <c r="U733" s="959"/>
      <c r="V733" s="959"/>
      <c r="W733" s="959"/>
      <c r="X733" s="959"/>
      <c r="Y733" s="959"/>
      <c r="Z733" s="959"/>
      <c r="AA733" s="959"/>
      <c r="AB733" s="959"/>
      <c r="AC733" s="959"/>
      <c r="AD733" s="959"/>
      <c r="AE733" s="959"/>
      <c r="AF733" s="959"/>
      <c r="AG733" s="959"/>
      <c r="AH733" s="959"/>
      <c r="AI733" s="959"/>
      <c r="AJ733" s="959"/>
      <c r="AK733" s="959"/>
      <c r="AL733" s="959"/>
      <c r="AM733" s="959"/>
    </row>
    <row r="734" spans="3:39" x14ac:dyDescent="0.25">
      <c r="C734" s="959"/>
      <c r="D734" s="959"/>
      <c r="E734" s="959"/>
      <c r="F734" s="959"/>
      <c r="G734" s="959"/>
      <c r="H734" s="959"/>
      <c r="I734" s="959"/>
      <c r="J734" s="959"/>
      <c r="K734" s="959"/>
      <c r="L734" s="959"/>
      <c r="M734" s="959"/>
      <c r="N734" s="959"/>
      <c r="O734" s="959"/>
      <c r="P734" s="959"/>
      <c r="Q734" s="959"/>
      <c r="R734" s="959"/>
      <c r="S734" s="959"/>
      <c r="T734" s="959"/>
      <c r="U734" s="959"/>
      <c r="V734" s="959"/>
      <c r="W734" s="959"/>
      <c r="X734" s="959"/>
      <c r="Y734" s="959"/>
      <c r="Z734" s="959"/>
      <c r="AA734" s="959"/>
      <c r="AB734" s="959"/>
      <c r="AC734" s="959"/>
      <c r="AD734" s="959"/>
      <c r="AE734" s="959"/>
      <c r="AF734" s="959"/>
      <c r="AG734" s="959"/>
      <c r="AH734" s="959"/>
      <c r="AI734" s="959"/>
      <c r="AJ734" s="959"/>
      <c r="AK734" s="959"/>
      <c r="AL734" s="959"/>
      <c r="AM734" s="959"/>
    </row>
    <row r="735" spans="3:39" x14ac:dyDescent="0.25">
      <c r="C735" s="959"/>
      <c r="D735" s="959"/>
      <c r="E735" s="959"/>
      <c r="F735" s="959"/>
      <c r="G735" s="959"/>
      <c r="H735" s="959"/>
      <c r="I735" s="959"/>
      <c r="J735" s="959"/>
      <c r="K735" s="959"/>
      <c r="L735" s="959"/>
      <c r="M735" s="959"/>
      <c r="N735" s="959"/>
      <c r="O735" s="959"/>
      <c r="P735" s="959"/>
      <c r="Q735" s="959"/>
      <c r="R735" s="959"/>
      <c r="S735" s="959"/>
      <c r="T735" s="959"/>
      <c r="U735" s="959"/>
      <c r="V735" s="959"/>
      <c r="W735" s="959"/>
      <c r="X735" s="959"/>
      <c r="Y735" s="959"/>
      <c r="Z735" s="959"/>
      <c r="AA735" s="959"/>
      <c r="AB735" s="959"/>
      <c r="AC735" s="959"/>
      <c r="AD735" s="959"/>
      <c r="AE735" s="959"/>
      <c r="AF735" s="959"/>
      <c r="AG735" s="959"/>
      <c r="AH735" s="959"/>
      <c r="AI735" s="959"/>
      <c r="AJ735" s="959"/>
      <c r="AK735" s="959"/>
      <c r="AL735" s="959"/>
      <c r="AM735" s="959"/>
    </row>
    <row r="736" spans="3:39" x14ac:dyDescent="0.25">
      <c r="C736" s="959"/>
      <c r="D736" s="959"/>
      <c r="E736" s="959"/>
      <c r="F736" s="959"/>
      <c r="G736" s="959"/>
      <c r="H736" s="959"/>
      <c r="I736" s="959"/>
      <c r="J736" s="959"/>
      <c r="K736" s="959"/>
      <c r="L736" s="959"/>
      <c r="M736" s="959"/>
      <c r="N736" s="959"/>
      <c r="O736" s="959"/>
      <c r="P736" s="959"/>
      <c r="Q736" s="959"/>
      <c r="R736" s="959"/>
      <c r="S736" s="959"/>
      <c r="T736" s="959"/>
      <c r="U736" s="959"/>
      <c r="V736" s="959"/>
      <c r="W736" s="959"/>
      <c r="X736" s="959"/>
      <c r="Y736" s="959"/>
      <c r="Z736" s="959"/>
      <c r="AA736" s="959"/>
      <c r="AB736" s="959"/>
      <c r="AC736" s="959"/>
      <c r="AD736" s="959"/>
      <c r="AE736" s="959"/>
      <c r="AF736" s="959"/>
      <c r="AG736" s="959"/>
      <c r="AH736" s="959"/>
      <c r="AI736" s="959"/>
      <c r="AJ736" s="959"/>
      <c r="AK736" s="959"/>
      <c r="AL736" s="959"/>
      <c r="AM736" s="959"/>
    </row>
    <row r="737" spans="3:39" x14ac:dyDescent="0.25">
      <c r="C737" s="959"/>
      <c r="D737" s="959"/>
      <c r="E737" s="959"/>
      <c r="F737" s="959"/>
      <c r="G737" s="959"/>
      <c r="H737" s="959"/>
      <c r="I737" s="959"/>
      <c r="J737" s="959"/>
      <c r="K737" s="959"/>
      <c r="L737" s="959"/>
      <c r="M737" s="959"/>
      <c r="N737" s="959"/>
      <c r="O737" s="959"/>
      <c r="P737" s="959"/>
      <c r="Q737" s="959"/>
      <c r="R737" s="959"/>
      <c r="S737" s="959"/>
      <c r="T737" s="959"/>
      <c r="U737" s="959"/>
      <c r="V737" s="959"/>
      <c r="W737" s="959"/>
      <c r="X737" s="959"/>
      <c r="Y737" s="959"/>
      <c r="Z737" s="959"/>
      <c r="AA737" s="959"/>
      <c r="AB737" s="959"/>
      <c r="AC737" s="959"/>
      <c r="AD737" s="959"/>
      <c r="AE737" s="959"/>
      <c r="AF737" s="959"/>
      <c r="AG737" s="959"/>
      <c r="AH737" s="959"/>
      <c r="AI737" s="959"/>
      <c r="AJ737" s="959"/>
      <c r="AK737" s="959"/>
      <c r="AL737" s="959"/>
      <c r="AM737" s="959"/>
    </row>
    <row r="738" spans="3:39" x14ac:dyDescent="0.25">
      <c r="C738" s="959"/>
      <c r="D738" s="959"/>
      <c r="E738" s="959"/>
      <c r="F738" s="959"/>
      <c r="G738" s="959"/>
      <c r="H738" s="959"/>
      <c r="I738" s="959"/>
      <c r="J738" s="959"/>
      <c r="K738" s="959"/>
      <c r="L738" s="959"/>
      <c r="M738" s="959"/>
      <c r="N738" s="959"/>
      <c r="O738" s="959"/>
      <c r="P738" s="959"/>
      <c r="Q738" s="959"/>
      <c r="R738" s="959"/>
      <c r="S738" s="959"/>
      <c r="T738" s="959"/>
      <c r="U738" s="959"/>
      <c r="V738" s="959"/>
      <c r="W738" s="959"/>
      <c r="X738" s="959"/>
      <c r="Y738" s="959"/>
      <c r="Z738" s="959"/>
      <c r="AA738" s="959"/>
      <c r="AB738" s="959"/>
      <c r="AC738" s="959"/>
      <c r="AD738" s="959"/>
      <c r="AE738" s="959"/>
      <c r="AF738" s="959"/>
      <c r="AG738" s="959"/>
      <c r="AH738" s="959"/>
      <c r="AI738" s="959"/>
      <c r="AJ738" s="959"/>
      <c r="AK738" s="959"/>
      <c r="AL738" s="959"/>
      <c r="AM738" s="959"/>
    </row>
    <row r="739" spans="3:39" x14ac:dyDescent="0.25">
      <c r="C739" s="959"/>
      <c r="D739" s="959"/>
      <c r="E739" s="959"/>
      <c r="F739" s="959"/>
      <c r="G739" s="959"/>
      <c r="H739" s="959"/>
      <c r="I739" s="959"/>
      <c r="J739" s="959"/>
      <c r="K739" s="959"/>
      <c r="L739" s="959"/>
      <c r="M739" s="959"/>
      <c r="N739" s="959"/>
      <c r="O739" s="959"/>
      <c r="P739" s="959"/>
      <c r="Q739" s="959"/>
      <c r="R739" s="959"/>
      <c r="S739" s="959"/>
      <c r="T739" s="959"/>
      <c r="U739" s="959"/>
      <c r="V739" s="959"/>
      <c r="W739" s="959"/>
      <c r="X739" s="959"/>
      <c r="Y739" s="959"/>
      <c r="Z739" s="959"/>
      <c r="AA739" s="959"/>
      <c r="AB739" s="959"/>
      <c r="AC739" s="959"/>
      <c r="AD739" s="959"/>
      <c r="AE739" s="959"/>
      <c r="AF739" s="959"/>
      <c r="AG739" s="959"/>
      <c r="AH739" s="959"/>
      <c r="AI739" s="959"/>
      <c r="AJ739" s="959"/>
      <c r="AK739" s="959"/>
      <c r="AL739" s="959"/>
      <c r="AM739" s="959"/>
    </row>
    <row r="740" spans="3:39" x14ac:dyDescent="0.25">
      <c r="C740" s="959"/>
      <c r="D740" s="959"/>
      <c r="E740" s="959"/>
      <c r="F740" s="959"/>
      <c r="G740" s="959"/>
      <c r="H740" s="959"/>
      <c r="I740" s="959"/>
      <c r="J740" s="959"/>
      <c r="K740" s="959"/>
      <c r="L740" s="959"/>
      <c r="M740" s="959"/>
      <c r="N740" s="959"/>
      <c r="O740" s="959"/>
      <c r="P740" s="959"/>
      <c r="Q740" s="959"/>
      <c r="R740" s="959"/>
      <c r="S740" s="959"/>
      <c r="T740" s="959"/>
      <c r="U740" s="959"/>
      <c r="V740" s="959"/>
      <c r="W740" s="959"/>
      <c r="X740" s="959"/>
      <c r="Y740" s="959"/>
      <c r="Z740" s="959"/>
      <c r="AA740" s="959"/>
      <c r="AB740" s="959"/>
      <c r="AC740" s="959"/>
      <c r="AD740" s="959"/>
      <c r="AE740" s="959"/>
      <c r="AF740" s="959"/>
      <c r="AG740" s="959"/>
      <c r="AH740" s="959"/>
      <c r="AI740" s="959"/>
      <c r="AJ740" s="959"/>
      <c r="AK740" s="959"/>
      <c r="AL740" s="959"/>
      <c r="AM740" s="959"/>
    </row>
    <row r="741" spans="3:39" x14ac:dyDescent="0.25">
      <c r="C741" s="959"/>
      <c r="D741" s="959"/>
      <c r="E741" s="959"/>
      <c r="F741" s="959"/>
      <c r="G741" s="959"/>
      <c r="H741" s="959"/>
      <c r="I741" s="959"/>
      <c r="J741" s="959"/>
      <c r="K741" s="959"/>
      <c r="L741" s="959"/>
      <c r="M741" s="959"/>
      <c r="N741" s="959"/>
      <c r="O741" s="959"/>
      <c r="P741" s="959"/>
      <c r="Q741" s="959"/>
      <c r="R741" s="959"/>
      <c r="S741" s="959"/>
      <c r="T741" s="959"/>
      <c r="U741" s="959"/>
      <c r="V741" s="959"/>
      <c r="W741" s="959"/>
      <c r="X741" s="959"/>
      <c r="Y741" s="959"/>
      <c r="Z741" s="959"/>
      <c r="AA741" s="959"/>
      <c r="AB741" s="959"/>
      <c r="AC741" s="959"/>
      <c r="AD741" s="959"/>
      <c r="AE741" s="959"/>
      <c r="AF741" s="959"/>
      <c r="AG741" s="959"/>
      <c r="AH741" s="959"/>
      <c r="AI741" s="959"/>
      <c r="AJ741" s="959"/>
      <c r="AK741" s="959"/>
      <c r="AL741" s="959"/>
      <c r="AM741" s="959"/>
    </row>
    <row r="742" spans="3:39" x14ac:dyDescent="0.25">
      <c r="C742" s="959"/>
      <c r="D742" s="959"/>
      <c r="E742" s="959"/>
      <c r="F742" s="959"/>
      <c r="G742" s="959"/>
      <c r="H742" s="959"/>
      <c r="I742" s="959"/>
      <c r="J742" s="959"/>
      <c r="K742" s="959"/>
      <c r="L742" s="959"/>
      <c r="M742" s="959"/>
      <c r="N742" s="959"/>
      <c r="O742" s="959"/>
      <c r="P742" s="959"/>
      <c r="Q742" s="959"/>
      <c r="R742" s="959"/>
      <c r="S742" s="959"/>
      <c r="T742" s="959"/>
      <c r="U742" s="959"/>
      <c r="V742" s="959"/>
      <c r="W742" s="959"/>
      <c r="X742" s="959"/>
      <c r="Y742" s="959"/>
      <c r="Z742" s="959"/>
      <c r="AA742" s="959"/>
      <c r="AB742" s="959"/>
      <c r="AC742" s="959"/>
      <c r="AD742" s="959"/>
      <c r="AE742" s="959"/>
      <c r="AF742" s="959"/>
      <c r="AG742" s="959"/>
      <c r="AH742" s="959"/>
      <c r="AI742" s="959"/>
      <c r="AJ742" s="959"/>
      <c r="AK742" s="959"/>
      <c r="AL742" s="959"/>
      <c r="AM742" s="959"/>
    </row>
    <row r="743" spans="3:39" x14ac:dyDescent="0.25">
      <c r="C743" s="959"/>
      <c r="D743" s="959"/>
      <c r="E743" s="959"/>
      <c r="F743" s="959"/>
      <c r="G743" s="959"/>
      <c r="H743" s="959"/>
      <c r="I743" s="959"/>
      <c r="J743" s="959"/>
      <c r="K743" s="959"/>
      <c r="L743" s="959"/>
      <c r="M743" s="959"/>
      <c r="N743" s="959"/>
      <c r="O743" s="959"/>
      <c r="P743" s="959"/>
      <c r="Q743" s="959"/>
      <c r="R743" s="959"/>
      <c r="S743" s="959"/>
      <c r="T743" s="959"/>
      <c r="U743" s="959"/>
      <c r="V743" s="959"/>
      <c r="W743" s="959"/>
      <c r="X743" s="959"/>
      <c r="Y743" s="959"/>
      <c r="Z743" s="959"/>
      <c r="AA743" s="959"/>
      <c r="AB743" s="959"/>
      <c r="AC743" s="959"/>
      <c r="AD743" s="959"/>
      <c r="AE743" s="959"/>
      <c r="AF743" s="959"/>
      <c r="AG743" s="959"/>
      <c r="AH743" s="959"/>
      <c r="AI743" s="959"/>
      <c r="AJ743" s="959"/>
      <c r="AK743" s="959"/>
      <c r="AL743" s="959"/>
      <c r="AM743" s="959"/>
    </row>
    <row r="744" spans="3:39" x14ac:dyDescent="0.25">
      <c r="C744" s="959"/>
      <c r="D744" s="959"/>
      <c r="E744" s="959"/>
      <c r="F744" s="959"/>
      <c r="G744" s="959"/>
      <c r="H744" s="959"/>
      <c r="I744" s="959"/>
      <c r="J744" s="959"/>
      <c r="K744" s="959"/>
      <c r="L744" s="959"/>
      <c r="M744" s="959"/>
      <c r="N744" s="959"/>
      <c r="O744" s="959"/>
      <c r="P744" s="959"/>
      <c r="Q744" s="959"/>
      <c r="R744" s="959"/>
      <c r="S744" s="959"/>
      <c r="T744" s="959"/>
      <c r="U744" s="959"/>
      <c r="V744" s="959"/>
      <c r="W744" s="959"/>
      <c r="X744" s="959"/>
      <c r="Y744" s="959"/>
      <c r="Z744" s="959"/>
      <c r="AA744" s="959"/>
      <c r="AB744" s="959"/>
      <c r="AC744" s="959"/>
      <c r="AD744" s="959"/>
      <c r="AE744" s="959"/>
      <c r="AF744" s="959"/>
      <c r="AG744" s="959"/>
      <c r="AH744" s="959"/>
      <c r="AI744" s="959"/>
      <c r="AJ744" s="959"/>
      <c r="AK744" s="959"/>
      <c r="AL744" s="959"/>
      <c r="AM744" s="959"/>
    </row>
    <row r="745" spans="3:39" x14ac:dyDescent="0.25">
      <c r="C745" s="959"/>
      <c r="D745" s="959"/>
      <c r="E745" s="959"/>
      <c r="F745" s="959"/>
      <c r="G745" s="959"/>
      <c r="H745" s="959"/>
      <c r="I745" s="959"/>
      <c r="J745" s="959"/>
      <c r="K745" s="959"/>
      <c r="L745" s="959"/>
      <c r="M745" s="959"/>
      <c r="N745" s="959"/>
      <c r="O745" s="959"/>
      <c r="P745" s="959"/>
      <c r="Q745" s="959"/>
      <c r="R745" s="959"/>
      <c r="S745" s="959"/>
      <c r="T745" s="959"/>
      <c r="U745" s="959"/>
      <c r="V745" s="959"/>
      <c r="W745" s="959"/>
      <c r="X745" s="959"/>
      <c r="Y745" s="959"/>
      <c r="Z745" s="959"/>
      <c r="AA745" s="959"/>
      <c r="AB745" s="959"/>
      <c r="AC745" s="959"/>
      <c r="AD745" s="959"/>
      <c r="AE745" s="959"/>
      <c r="AF745" s="959"/>
      <c r="AG745" s="959"/>
      <c r="AH745" s="959"/>
      <c r="AI745" s="959"/>
      <c r="AJ745" s="959"/>
      <c r="AK745" s="959"/>
      <c r="AL745" s="959"/>
      <c r="AM745" s="959"/>
    </row>
    <row r="746" spans="3:39" x14ac:dyDescent="0.25">
      <c r="C746" s="959"/>
      <c r="D746" s="959"/>
      <c r="E746" s="959"/>
      <c r="F746" s="959"/>
      <c r="G746" s="959"/>
      <c r="H746" s="959"/>
      <c r="I746" s="959"/>
      <c r="J746" s="959"/>
      <c r="K746" s="959"/>
      <c r="L746" s="959"/>
      <c r="M746" s="959"/>
      <c r="N746" s="959"/>
      <c r="O746" s="959"/>
      <c r="P746" s="959"/>
      <c r="Q746" s="959"/>
      <c r="R746" s="959"/>
      <c r="S746" s="959"/>
      <c r="T746" s="959"/>
      <c r="U746" s="959"/>
      <c r="V746" s="959"/>
      <c r="W746" s="959"/>
      <c r="X746" s="959"/>
      <c r="Y746" s="959"/>
      <c r="Z746" s="959"/>
      <c r="AA746" s="959"/>
      <c r="AB746" s="959"/>
      <c r="AC746" s="959"/>
      <c r="AD746" s="959"/>
      <c r="AE746" s="959"/>
      <c r="AF746" s="959"/>
      <c r="AG746" s="959"/>
      <c r="AH746" s="959"/>
      <c r="AI746" s="959"/>
      <c r="AJ746" s="959"/>
      <c r="AK746" s="959"/>
      <c r="AL746" s="959"/>
      <c r="AM746" s="959"/>
    </row>
    <row r="747" spans="3:39" x14ac:dyDescent="0.25">
      <c r="C747" s="959"/>
      <c r="D747" s="959"/>
      <c r="E747" s="959"/>
      <c r="F747" s="959"/>
      <c r="G747" s="959"/>
      <c r="H747" s="959"/>
      <c r="I747" s="959"/>
      <c r="J747" s="959"/>
      <c r="K747" s="959"/>
      <c r="L747" s="959"/>
      <c r="M747" s="959"/>
      <c r="N747" s="959"/>
      <c r="O747" s="959"/>
      <c r="P747" s="959"/>
      <c r="Q747" s="959"/>
      <c r="R747" s="959"/>
      <c r="S747" s="959"/>
      <c r="T747" s="959"/>
      <c r="U747" s="959"/>
      <c r="V747" s="959"/>
      <c r="W747" s="959"/>
      <c r="X747" s="959"/>
      <c r="Y747" s="959"/>
      <c r="Z747" s="959"/>
      <c r="AA747" s="959"/>
      <c r="AB747" s="959"/>
      <c r="AC747" s="959"/>
      <c r="AD747" s="959"/>
      <c r="AE747" s="959"/>
      <c r="AF747" s="959"/>
      <c r="AG747" s="959"/>
      <c r="AH747" s="959"/>
      <c r="AI747" s="959"/>
      <c r="AJ747" s="959"/>
      <c r="AK747" s="959"/>
      <c r="AL747" s="959"/>
      <c r="AM747" s="959"/>
    </row>
    <row r="748" spans="3:39" x14ac:dyDescent="0.25">
      <c r="C748" s="959"/>
      <c r="D748" s="959"/>
      <c r="E748" s="959"/>
      <c r="F748" s="959"/>
      <c r="G748" s="959"/>
      <c r="H748" s="959"/>
      <c r="I748" s="959"/>
      <c r="J748" s="959"/>
      <c r="K748" s="959"/>
      <c r="L748" s="959"/>
      <c r="M748" s="959"/>
      <c r="N748" s="959"/>
      <c r="O748" s="959"/>
      <c r="P748" s="959"/>
      <c r="Q748" s="959"/>
      <c r="R748" s="959"/>
      <c r="S748" s="959"/>
      <c r="T748" s="959"/>
      <c r="U748" s="959"/>
      <c r="V748" s="959"/>
      <c r="W748" s="959"/>
      <c r="X748" s="959"/>
      <c r="Y748" s="959"/>
      <c r="Z748" s="959"/>
      <c r="AA748" s="959"/>
      <c r="AB748" s="959"/>
      <c r="AC748" s="959"/>
      <c r="AD748" s="959"/>
      <c r="AE748" s="959"/>
      <c r="AF748" s="959"/>
      <c r="AG748" s="959"/>
      <c r="AH748" s="959"/>
      <c r="AI748" s="959"/>
      <c r="AJ748" s="959"/>
      <c r="AK748" s="959"/>
      <c r="AL748" s="959"/>
      <c r="AM748" s="959"/>
    </row>
    <row r="749" spans="3:39" x14ac:dyDescent="0.25">
      <c r="C749" s="959"/>
      <c r="D749" s="959"/>
      <c r="E749" s="959"/>
      <c r="F749" s="959"/>
      <c r="G749" s="959"/>
      <c r="H749" s="959"/>
      <c r="I749" s="959"/>
      <c r="J749" s="959"/>
      <c r="K749" s="959"/>
      <c r="L749" s="959"/>
      <c r="M749" s="959"/>
      <c r="N749" s="959"/>
      <c r="O749" s="959"/>
      <c r="P749" s="959"/>
      <c r="Q749" s="959"/>
      <c r="R749" s="959"/>
      <c r="S749" s="959"/>
      <c r="T749" s="959"/>
      <c r="U749" s="959"/>
      <c r="V749" s="959"/>
      <c r="W749" s="959"/>
      <c r="X749" s="959"/>
      <c r="Y749" s="959"/>
      <c r="Z749" s="959"/>
      <c r="AA749" s="959"/>
      <c r="AB749" s="959"/>
      <c r="AC749" s="959"/>
      <c r="AD749" s="959"/>
      <c r="AE749" s="959"/>
      <c r="AF749" s="959"/>
      <c r="AG749" s="959"/>
      <c r="AH749" s="959"/>
      <c r="AI749" s="959"/>
      <c r="AJ749" s="959"/>
      <c r="AK749" s="959"/>
      <c r="AL749" s="959"/>
      <c r="AM749" s="959"/>
    </row>
    <row r="750" spans="3:39" x14ac:dyDescent="0.25">
      <c r="C750" s="959"/>
      <c r="D750" s="959"/>
      <c r="E750" s="959"/>
      <c r="F750" s="959"/>
      <c r="G750" s="959"/>
      <c r="H750" s="959"/>
      <c r="I750" s="959"/>
      <c r="J750" s="959"/>
      <c r="K750" s="959"/>
      <c r="L750" s="959"/>
      <c r="M750" s="959"/>
      <c r="N750" s="959"/>
      <c r="O750" s="959"/>
      <c r="P750" s="959"/>
      <c r="Q750" s="959"/>
      <c r="R750" s="959"/>
      <c r="S750" s="959"/>
      <c r="T750" s="959"/>
      <c r="U750" s="959"/>
      <c r="V750" s="959"/>
      <c r="W750" s="959"/>
      <c r="X750" s="959"/>
      <c r="Y750" s="959"/>
      <c r="Z750" s="959"/>
      <c r="AA750" s="959"/>
      <c r="AB750" s="959"/>
      <c r="AC750" s="959"/>
      <c r="AD750" s="959"/>
      <c r="AE750" s="959"/>
      <c r="AF750" s="959"/>
      <c r="AG750" s="959"/>
      <c r="AH750" s="959"/>
      <c r="AI750" s="959"/>
      <c r="AJ750" s="959"/>
      <c r="AK750" s="959"/>
      <c r="AL750" s="959"/>
      <c r="AM750" s="959"/>
    </row>
    <row r="751" spans="3:39" x14ac:dyDescent="0.25">
      <c r="C751" s="959"/>
      <c r="D751" s="959"/>
      <c r="E751" s="959"/>
      <c r="F751" s="959"/>
      <c r="G751" s="959"/>
      <c r="H751" s="959"/>
      <c r="I751" s="959"/>
      <c r="J751" s="959"/>
      <c r="K751" s="959"/>
      <c r="L751" s="959"/>
      <c r="M751" s="959"/>
      <c r="N751" s="959"/>
      <c r="O751" s="959"/>
      <c r="P751" s="959"/>
      <c r="Q751" s="959"/>
      <c r="R751" s="959"/>
      <c r="S751" s="959"/>
      <c r="T751" s="959"/>
      <c r="U751" s="959"/>
      <c r="V751" s="959"/>
      <c r="W751" s="959"/>
      <c r="X751" s="959"/>
      <c r="Y751" s="959"/>
      <c r="Z751" s="959"/>
      <c r="AA751" s="959"/>
      <c r="AB751" s="959"/>
      <c r="AC751" s="959"/>
      <c r="AD751" s="959"/>
      <c r="AE751" s="959"/>
      <c r="AF751" s="959"/>
      <c r="AG751" s="959"/>
      <c r="AH751" s="959"/>
      <c r="AI751" s="959"/>
      <c r="AJ751" s="959"/>
      <c r="AK751" s="959"/>
      <c r="AL751" s="959"/>
      <c r="AM751" s="959"/>
    </row>
    <row r="752" spans="3:39" x14ac:dyDescent="0.25">
      <c r="C752" s="959"/>
      <c r="D752" s="959"/>
      <c r="E752" s="959"/>
      <c r="F752" s="959"/>
      <c r="G752" s="959"/>
      <c r="H752" s="959"/>
      <c r="I752" s="959"/>
      <c r="J752" s="959"/>
      <c r="K752" s="959"/>
      <c r="L752" s="959"/>
      <c r="M752" s="959"/>
      <c r="N752" s="959"/>
      <c r="O752" s="959"/>
      <c r="P752" s="959"/>
      <c r="Q752" s="959"/>
      <c r="R752" s="959"/>
      <c r="S752" s="959"/>
      <c r="T752" s="959"/>
      <c r="U752" s="959"/>
      <c r="V752" s="959"/>
      <c r="W752" s="959"/>
      <c r="X752" s="959"/>
      <c r="Y752" s="959"/>
      <c r="Z752" s="959"/>
      <c r="AA752" s="959"/>
      <c r="AB752" s="959"/>
      <c r="AC752" s="959"/>
      <c r="AD752" s="959"/>
      <c r="AE752" s="959"/>
      <c r="AF752" s="959"/>
      <c r="AG752" s="959"/>
      <c r="AH752" s="959"/>
      <c r="AI752" s="959"/>
      <c r="AJ752" s="959"/>
      <c r="AK752" s="959"/>
      <c r="AL752" s="959"/>
      <c r="AM752" s="959"/>
    </row>
    <row r="753" spans="3:39" x14ac:dyDescent="0.25">
      <c r="C753" s="959"/>
      <c r="D753" s="959"/>
      <c r="E753" s="959"/>
      <c r="F753" s="959"/>
      <c r="G753" s="959"/>
      <c r="H753" s="959"/>
      <c r="I753" s="959"/>
      <c r="J753" s="959"/>
      <c r="K753" s="959"/>
      <c r="L753" s="959"/>
      <c r="M753" s="959"/>
      <c r="N753" s="959"/>
      <c r="O753" s="959"/>
      <c r="P753" s="959"/>
      <c r="Q753" s="959"/>
      <c r="R753" s="959"/>
      <c r="S753" s="959"/>
      <c r="T753" s="959"/>
      <c r="U753" s="959"/>
      <c r="V753" s="959"/>
      <c r="W753" s="959"/>
      <c r="X753" s="959"/>
      <c r="Y753" s="959"/>
      <c r="Z753" s="959"/>
      <c r="AA753" s="959"/>
      <c r="AB753" s="959"/>
      <c r="AC753" s="959"/>
      <c r="AD753" s="959"/>
      <c r="AE753" s="959"/>
      <c r="AF753" s="959"/>
      <c r="AG753" s="959"/>
      <c r="AH753" s="959"/>
      <c r="AI753" s="959"/>
      <c r="AJ753" s="959"/>
      <c r="AK753" s="959"/>
      <c r="AL753" s="959"/>
      <c r="AM753" s="959"/>
    </row>
    <row r="754" spans="3:39" x14ac:dyDescent="0.25">
      <c r="C754" s="959"/>
      <c r="D754" s="959"/>
      <c r="E754" s="959"/>
      <c r="F754" s="959"/>
      <c r="G754" s="959"/>
      <c r="H754" s="959"/>
      <c r="I754" s="959"/>
      <c r="J754" s="959"/>
      <c r="K754" s="959"/>
      <c r="L754" s="959"/>
      <c r="M754" s="959"/>
      <c r="N754" s="959"/>
      <c r="O754" s="959"/>
      <c r="P754" s="959"/>
      <c r="Q754" s="959"/>
      <c r="R754" s="959"/>
      <c r="S754" s="959"/>
      <c r="T754" s="959"/>
      <c r="U754" s="959"/>
      <c r="V754" s="959"/>
      <c r="W754" s="959"/>
      <c r="X754" s="959"/>
      <c r="Y754" s="959"/>
      <c r="Z754" s="959"/>
      <c r="AA754" s="959"/>
      <c r="AB754" s="959"/>
      <c r="AC754" s="959"/>
      <c r="AD754" s="959"/>
      <c r="AE754" s="959"/>
      <c r="AF754" s="959"/>
      <c r="AG754" s="959"/>
      <c r="AH754" s="959"/>
      <c r="AI754" s="959"/>
      <c r="AJ754" s="959"/>
      <c r="AK754" s="959"/>
      <c r="AL754" s="959"/>
      <c r="AM754" s="959"/>
    </row>
    <row r="755" spans="3:39" x14ac:dyDescent="0.25">
      <c r="C755" s="959"/>
      <c r="D755" s="959"/>
      <c r="E755" s="959"/>
      <c r="F755" s="959"/>
      <c r="G755" s="959"/>
      <c r="H755" s="959"/>
      <c r="I755" s="959"/>
      <c r="J755" s="959"/>
      <c r="K755" s="959"/>
      <c r="L755" s="959"/>
      <c r="M755" s="959"/>
      <c r="N755" s="959"/>
      <c r="O755" s="959"/>
      <c r="P755" s="959"/>
      <c r="Q755" s="959"/>
      <c r="R755" s="959"/>
      <c r="S755" s="959"/>
      <c r="T755" s="959"/>
      <c r="U755" s="959"/>
      <c r="V755" s="959"/>
      <c r="W755" s="959"/>
      <c r="X755" s="959"/>
      <c r="Y755" s="959"/>
      <c r="Z755" s="959"/>
      <c r="AA755" s="959"/>
      <c r="AB755" s="959"/>
      <c r="AC755" s="959"/>
      <c r="AD755" s="959"/>
      <c r="AE755" s="959"/>
      <c r="AF755" s="959"/>
      <c r="AG755" s="959"/>
      <c r="AH755" s="959"/>
      <c r="AI755" s="959"/>
      <c r="AJ755" s="959"/>
      <c r="AK755" s="959"/>
      <c r="AL755" s="959"/>
      <c r="AM755" s="959"/>
    </row>
    <row r="756" spans="3:39" x14ac:dyDescent="0.25">
      <c r="C756" s="959"/>
      <c r="D756" s="959"/>
      <c r="E756" s="959"/>
      <c r="F756" s="959"/>
      <c r="G756" s="959"/>
      <c r="H756" s="959"/>
      <c r="I756" s="959"/>
      <c r="J756" s="959"/>
      <c r="K756" s="959"/>
      <c r="L756" s="959"/>
      <c r="M756" s="959"/>
      <c r="N756" s="959"/>
      <c r="O756" s="959"/>
      <c r="P756" s="959"/>
      <c r="Q756" s="959"/>
      <c r="R756" s="959"/>
      <c r="S756" s="959"/>
      <c r="T756" s="959"/>
      <c r="U756" s="959"/>
      <c r="V756" s="959"/>
      <c r="W756" s="959"/>
      <c r="X756" s="959"/>
      <c r="Y756" s="959"/>
      <c r="Z756" s="959"/>
      <c r="AA756" s="959"/>
      <c r="AB756" s="959"/>
      <c r="AC756" s="959"/>
      <c r="AD756" s="959"/>
      <c r="AE756" s="959"/>
      <c r="AF756" s="959"/>
      <c r="AG756" s="959"/>
      <c r="AH756" s="959"/>
      <c r="AI756" s="959"/>
      <c r="AJ756" s="959"/>
      <c r="AK756" s="959"/>
      <c r="AL756" s="959"/>
      <c r="AM756" s="959"/>
    </row>
    <row r="757" spans="3:39" x14ac:dyDescent="0.25">
      <c r="C757" s="959"/>
      <c r="D757" s="959"/>
      <c r="E757" s="959"/>
      <c r="F757" s="959"/>
      <c r="G757" s="959"/>
      <c r="H757" s="959"/>
      <c r="I757" s="959"/>
      <c r="J757" s="959"/>
      <c r="K757" s="959"/>
      <c r="L757" s="959"/>
      <c r="M757" s="959"/>
      <c r="N757" s="959"/>
      <c r="O757" s="959"/>
      <c r="P757" s="959"/>
      <c r="Q757" s="959"/>
      <c r="R757" s="959"/>
      <c r="S757" s="959"/>
      <c r="T757" s="959"/>
      <c r="U757" s="959"/>
      <c r="V757" s="959"/>
      <c r="W757" s="959"/>
      <c r="X757" s="959"/>
      <c r="Y757" s="959"/>
      <c r="Z757" s="959"/>
      <c r="AA757" s="959"/>
      <c r="AB757" s="959"/>
      <c r="AC757" s="959"/>
      <c r="AD757" s="959"/>
      <c r="AE757" s="959"/>
      <c r="AF757" s="959"/>
      <c r="AG757" s="959"/>
      <c r="AH757" s="959"/>
      <c r="AI757" s="959"/>
      <c r="AJ757" s="959"/>
      <c r="AK757" s="959"/>
      <c r="AL757" s="959"/>
      <c r="AM757" s="959"/>
    </row>
    <row r="758" spans="3:39" x14ac:dyDescent="0.25">
      <c r="C758" s="959"/>
      <c r="D758" s="959"/>
      <c r="E758" s="959"/>
      <c r="F758" s="959"/>
      <c r="G758" s="959"/>
      <c r="H758" s="959"/>
      <c r="I758" s="959"/>
      <c r="J758" s="959"/>
      <c r="K758" s="959"/>
      <c r="L758" s="959"/>
      <c r="M758" s="959"/>
      <c r="N758" s="959"/>
      <c r="O758" s="959"/>
      <c r="P758" s="959"/>
      <c r="Q758" s="959"/>
      <c r="R758" s="959"/>
      <c r="S758" s="959"/>
      <c r="T758" s="959"/>
      <c r="U758" s="959"/>
      <c r="V758" s="959"/>
      <c r="W758" s="959"/>
      <c r="X758" s="959"/>
      <c r="Y758" s="959"/>
      <c r="Z758" s="959"/>
      <c r="AA758" s="959"/>
      <c r="AB758" s="959"/>
      <c r="AC758" s="959"/>
      <c r="AD758" s="959"/>
      <c r="AE758" s="959"/>
      <c r="AF758" s="959"/>
      <c r="AG758" s="959"/>
      <c r="AH758" s="959"/>
      <c r="AI758" s="959"/>
      <c r="AJ758" s="959"/>
      <c r="AK758" s="959"/>
      <c r="AL758" s="959"/>
      <c r="AM758" s="959"/>
    </row>
    <row r="759" spans="3:39" x14ac:dyDescent="0.25">
      <c r="C759" s="959"/>
      <c r="D759" s="959"/>
      <c r="E759" s="959"/>
      <c r="F759" s="959"/>
      <c r="G759" s="959"/>
      <c r="H759" s="959"/>
      <c r="I759" s="959"/>
      <c r="J759" s="959"/>
      <c r="K759" s="959"/>
      <c r="L759" s="959"/>
      <c r="M759" s="959"/>
      <c r="N759" s="959"/>
      <c r="O759" s="959"/>
      <c r="P759" s="959"/>
      <c r="Q759" s="959"/>
      <c r="R759" s="959"/>
      <c r="S759" s="959"/>
      <c r="T759" s="959"/>
      <c r="U759" s="959"/>
      <c r="V759" s="959"/>
      <c r="W759" s="959"/>
      <c r="X759" s="959"/>
      <c r="Y759" s="959"/>
      <c r="Z759" s="959"/>
      <c r="AA759" s="959"/>
      <c r="AB759" s="959"/>
      <c r="AC759" s="959"/>
      <c r="AD759" s="959"/>
      <c r="AE759" s="959"/>
      <c r="AF759" s="959"/>
      <c r="AG759" s="959"/>
      <c r="AH759" s="959"/>
      <c r="AI759" s="959"/>
      <c r="AJ759" s="959"/>
      <c r="AK759" s="959"/>
      <c r="AL759" s="959"/>
      <c r="AM759" s="959"/>
    </row>
    <row r="760" spans="3:39" x14ac:dyDescent="0.25">
      <c r="C760" s="959"/>
      <c r="D760" s="959"/>
      <c r="E760" s="959"/>
      <c r="F760" s="959"/>
      <c r="G760" s="959"/>
      <c r="H760" s="959"/>
      <c r="I760" s="959"/>
      <c r="J760" s="959"/>
      <c r="K760" s="959"/>
      <c r="L760" s="959"/>
      <c r="M760" s="959"/>
      <c r="N760" s="959"/>
      <c r="O760" s="959"/>
      <c r="P760" s="959"/>
      <c r="Q760" s="959"/>
      <c r="R760" s="959"/>
      <c r="S760" s="959"/>
      <c r="T760" s="959"/>
      <c r="U760" s="959"/>
      <c r="V760" s="959"/>
      <c r="W760" s="959"/>
      <c r="X760" s="959"/>
      <c r="Y760" s="959"/>
      <c r="Z760" s="959"/>
      <c r="AA760" s="959"/>
      <c r="AB760" s="959"/>
      <c r="AC760" s="959"/>
      <c r="AD760" s="959"/>
      <c r="AE760" s="959"/>
      <c r="AF760" s="959"/>
      <c r="AG760" s="959"/>
      <c r="AH760" s="959"/>
      <c r="AI760" s="959"/>
      <c r="AJ760" s="959"/>
      <c r="AK760" s="959"/>
      <c r="AL760" s="959"/>
      <c r="AM760" s="959"/>
    </row>
    <row r="761" spans="3:39" x14ac:dyDescent="0.25">
      <c r="C761" s="959"/>
      <c r="D761" s="959"/>
      <c r="E761" s="959"/>
      <c r="F761" s="959"/>
      <c r="G761" s="959"/>
      <c r="H761" s="959"/>
      <c r="I761" s="959"/>
      <c r="J761" s="959"/>
      <c r="K761" s="959"/>
      <c r="L761" s="959"/>
      <c r="M761" s="959"/>
      <c r="N761" s="959"/>
      <c r="O761" s="959"/>
      <c r="P761" s="959"/>
      <c r="Q761" s="959"/>
      <c r="R761" s="959"/>
      <c r="S761" s="959"/>
      <c r="T761" s="959"/>
      <c r="U761" s="959"/>
      <c r="V761" s="959"/>
      <c r="W761" s="959"/>
      <c r="X761" s="959"/>
      <c r="Y761" s="959"/>
      <c r="Z761" s="959"/>
      <c r="AA761" s="959"/>
      <c r="AB761" s="959"/>
      <c r="AC761" s="959"/>
      <c r="AD761" s="959"/>
      <c r="AE761" s="959"/>
      <c r="AF761" s="959"/>
      <c r="AG761" s="959"/>
      <c r="AH761" s="959"/>
      <c r="AI761" s="959"/>
      <c r="AJ761" s="959"/>
      <c r="AK761" s="959"/>
      <c r="AL761" s="959"/>
      <c r="AM761" s="959"/>
    </row>
    <row r="762" spans="3:39" x14ac:dyDescent="0.25">
      <c r="C762" s="959"/>
      <c r="D762" s="959"/>
      <c r="E762" s="959"/>
      <c r="F762" s="959"/>
      <c r="G762" s="959"/>
      <c r="H762" s="959"/>
      <c r="I762" s="959"/>
      <c r="J762" s="959"/>
      <c r="K762" s="959"/>
      <c r="L762" s="959"/>
      <c r="M762" s="959"/>
      <c r="N762" s="959"/>
      <c r="O762" s="959"/>
      <c r="P762" s="959"/>
      <c r="Q762" s="959"/>
      <c r="R762" s="959"/>
      <c r="S762" s="959"/>
      <c r="T762" s="959"/>
      <c r="U762" s="959"/>
      <c r="V762" s="959"/>
      <c r="W762" s="959"/>
      <c r="X762" s="959"/>
      <c r="Y762" s="959"/>
      <c r="Z762" s="959"/>
      <c r="AA762" s="959"/>
      <c r="AB762" s="959"/>
      <c r="AC762" s="959"/>
      <c r="AD762" s="959"/>
      <c r="AE762" s="959"/>
      <c r="AF762" s="959"/>
      <c r="AG762" s="959"/>
      <c r="AH762" s="959"/>
      <c r="AI762" s="959"/>
      <c r="AJ762" s="959"/>
      <c r="AK762" s="959"/>
      <c r="AL762" s="959"/>
      <c r="AM762" s="959"/>
    </row>
    <row r="763" spans="3:39" x14ac:dyDescent="0.25">
      <c r="C763" s="959"/>
      <c r="D763" s="959"/>
      <c r="E763" s="959"/>
      <c r="F763" s="959"/>
      <c r="G763" s="959"/>
      <c r="H763" s="959"/>
      <c r="I763" s="959"/>
      <c r="J763" s="959"/>
      <c r="K763" s="959"/>
      <c r="L763" s="959"/>
      <c r="M763" s="959"/>
      <c r="N763" s="959"/>
      <c r="O763" s="959"/>
      <c r="P763" s="959"/>
      <c r="Q763" s="959"/>
      <c r="R763" s="959"/>
      <c r="S763" s="959"/>
      <c r="T763" s="959"/>
      <c r="U763" s="959"/>
      <c r="V763" s="959"/>
      <c r="W763" s="959"/>
      <c r="X763" s="959"/>
      <c r="Y763" s="959"/>
      <c r="Z763" s="959"/>
      <c r="AA763" s="959"/>
      <c r="AB763" s="959"/>
      <c r="AC763" s="959"/>
      <c r="AD763" s="959"/>
      <c r="AE763" s="959"/>
      <c r="AF763" s="959"/>
      <c r="AG763" s="959"/>
      <c r="AH763" s="959"/>
      <c r="AI763" s="959"/>
      <c r="AJ763" s="959"/>
      <c r="AK763" s="959"/>
      <c r="AL763" s="959"/>
      <c r="AM763" s="959"/>
    </row>
    <row r="764" spans="3:39" x14ac:dyDescent="0.25">
      <c r="C764" s="959"/>
      <c r="D764" s="959"/>
      <c r="E764" s="959"/>
      <c r="F764" s="959"/>
      <c r="G764" s="959"/>
      <c r="H764" s="959"/>
      <c r="I764" s="959"/>
      <c r="J764" s="959"/>
      <c r="K764" s="959"/>
      <c r="L764" s="959"/>
      <c r="M764" s="959"/>
      <c r="N764" s="959"/>
      <c r="O764" s="959"/>
      <c r="P764" s="959"/>
      <c r="Q764" s="959"/>
      <c r="R764" s="959"/>
      <c r="S764" s="959"/>
      <c r="T764" s="959"/>
      <c r="U764" s="959"/>
      <c r="V764" s="959"/>
      <c r="W764" s="959"/>
      <c r="X764" s="959"/>
      <c r="Y764" s="959"/>
      <c r="Z764" s="959"/>
      <c r="AA764" s="959"/>
      <c r="AB764" s="959"/>
      <c r="AC764" s="959"/>
      <c r="AD764" s="959"/>
      <c r="AE764" s="959"/>
      <c r="AF764" s="959"/>
      <c r="AG764" s="959"/>
      <c r="AH764" s="959"/>
      <c r="AI764" s="959"/>
      <c r="AJ764" s="959"/>
      <c r="AK764" s="959"/>
      <c r="AL764" s="959"/>
      <c r="AM764" s="959"/>
    </row>
    <row r="765" spans="3:39" x14ac:dyDescent="0.25">
      <c r="C765" s="959"/>
      <c r="D765" s="959"/>
      <c r="E765" s="959"/>
      <c r="F765" s="959"/>
      <c r="G765" s="959"/>
      <c r="H765" s="959"/>
      <c r="I765" s="959"/>
      <c r="J765" s="959"/>
      <c r="K765" s="959"/>
      <c r="L765" s="959"/>
      <c r="M765" s="959"/>
      <c r="N765" s="959"/>
      <c r="O765" s="959"/>
      <c r="P765" s="959"/>
      <c r="Q765" s="959"/>
      <c r="R765" s="959"/>
      <c r="S765" s="959"/>
      <c r="T765" s="959"/>
      <c r="U765" s="959"/>
      <c r="V765" s="959"/>
      <c r="W765" s="959"/>
      <c r="X765" s="959"/>
      <c r="Y765" s="959"/>
      <c r="Z765" s="959"/>
      <c r="AA765" s="959"/>
      <c r="AB765" s="959"/>
      <c r="AC765" s="959"/>
      <c r="AD765" s="959"/>
      <c r="AE765" s="959"/>
      <c r="AF765" s="959"/>
      <c r="AG765" s="959"/>
      <c r="AH765" s="959"/>
      <c r="AI765" s="959"/>
      <c r="AJ765" s="959"/>
      <c r="AK765" s="959"/>
      <c r="AL765" s="959"/>
      <c r="AM765" s="959"/>
    </row>
    <row r="766" spans="3:39" x14ac:dyDescent="0.25">
      <c r="C766" s="959"/>
      <c r="D766" s="959"/>
      <c r="E766" s="959"/>
      <c r="F766" s="959"/>
      <c r="G766" s="959"/>
      <c r="H766" s="959"/>
      <c r="I766" s="959"/>
      <c r="J766" s="959"/>
      <c r="K766" s="959"/>
      <c r="L766" s="959"/>
      <c r="M766" s="959"/>
      <c r="N766" s="959"/>
      <c r="O766" s="959"/>
      <c r="P766" s="959"/>
      <c r="Q766" s="959"/>
      <c r="R766" s="959"/>
      <c r="S766" s="959"/>
      <c r="T766" s="959"/>
      <c r="U766" s="959"/>
      <c r="V766" s="959"/>
      <c r="W766" s="959"/>
      <c r="X766" s="959"/>
      <c r="Y766" s="959"/>
      <c r="Z766" s="959"/>
      <c r="AA766" s="959"/>
      <c r="AB766" s="959"/>
      <c r="AC766" s="959"/>
      <c r="AD766" s="959"/>
      <c r="AE766" s="959"/>
      <c r="AF766" s="959"/>
      <c r="AG766" s="959"/>
      <c r="AH766" s="959"/>
      <c r="AI766" s="959"/>
      <c r="AJ766" s="959"/>
      <c r="AK766" s="959"/>
      <c r="AL766" s="959"/>
      <c r="AM766" s="959"/>
    </row>
    <row r="767" spans="3:39" x14ac:dyDescent="0.25">
      <c r="C767" s="959"/>
      <c r="D767" s="959"/>
      <c r="E767" s="959"/>
      <c r="F767" s="959"/>
      <c r="G767" s="959"/>
      <c r="H767" s="959"/>
      <c r="I767" s="959"/>
      <c r="J767" s="959"/>
      <c r="K767" s="959"/>
      <c r="L767" s="959"/>
      <c r="M767" s="959"/>
      <c r="N767" s="959"/>
      <c r="O767" s="959"/>
      <c r="P767" s="959"/>
      <c r="Q767" s="959"/>
      <c r="R767" s="959"/>
      <c r="S767" s="959"/>
      <c r="T767" s="959"/>
      <c r="U767" s="959"/>
      <c r="V767" s="959"/>
      <c r="W767" s="959"/>
      <c r="X767" s="959"/>
      <c r="Y767" s="959"/>
      <c r="Z767" s="959"/>
      <c r="AA767" s="959"/>
      <c r="AB767" s="959"/>
      <c r="AC767" s="959"/>
      <c r="AD767" s="959"/>
      <c r="AE767" s="959"/>
      <c r="AF767" s="959"/>
      <c r="AG767" s="959"/>
      <c r="AH767" s="959"/>
      <c r="AI767" s="959"/>
      <c r="AJ767" s="959"/>
      <c r="AK767" s="959"/>
      <c r="AL767" s="959"/>
      <c r="AM767" s="959"/>
    </row>
    <row r="768" spans="3:39" x14ac:dyDescent="0.25">
      <c r="C768" s="959"/>
      <c r="D768" s="959"/>
      <c r="E768" s="959"/>
      <c r="F768" s="959"/>
      <c r="G768" s="959"/>
      <c r="H768" s="959"/>
      <c r="I768" s="959"/>
      <c r="J768" s="959"/>
      <c r="K768" s="959"/>
      <c r="L768" s="959"/>
      <c r="M768" s="959"/>
      <c r="N768" s="959"/>
      <c r="O768" s="959"/>
      <c r="P768" s="959"/>
      <c r="Q768" s="959"/>
      <c r="R768" s="959"/>
      <c r="S768" s="959"/>
      <c r="T768" s="959"/>
      <c r="U768" s="959"/>
      <c r="V768" s="959"/>
      <c r="W768" s="959"/>
      <c r="X768" s="959"/>
      <c r="Y768" s="959"/>
      <c r="Z768" s="959"/>
      <c r="AA768" s="959"/>
      <c r="AB768" s="959"/>
      <c r="AC768" s="959"/>
      <c r="AD768" s="959"/>
      <c r="AE768" s="959"/>
      <c r="AF768" s="959"/>
      <c r="AG768" s="959"/>
      <c r="AH768" s="959"/>
      <c r="AI768" s="959"/>
      <c r="AJ768" s="959"/>
      <c r="AK768" s="959"/>
      <c r="AL768" s="959"/>
      <c r="AM768" s="959"/>
    </row>
    <row r="769" spans="3:39" x14ac:dyDescent="0.25">
      <c r="C769" s="959"/>
      <c r="D769" s="959"/>
      <c r="E769" s="959"/>
      <c r="F769" s="959"/>
      <c r="G769" s="959"/>
      <c r="H769" s="959"/>
      <c r="I769" s="959"/>
      <c r="J769" s="959"/>
      <c r="K769" s="959"/>
      <c r="L769" s="959"/>
      <c r="M769" s="959"/>
      <c r="N769" s="959"/>
      <c r="O769" s="959"/>
      <c r="P769" s="959"/>
      <c r="Q769" s="959"/>
      <c r="R769" s="959"/>
      <c r="S769" s="959"/>
      <c r="T769" s="959"/>
      <c r="U769" s="959"/>
      <c r="V769" s="959"/>
      <c r="W769" s="959"/>
      <c r="X769" s="959"/>
      <c r="Y769" s="959"/>
      <c r="Z769" s="959"/>
      <c r="AA769" s="959"/>
      <c r="AB769" s="959"/>
      <c r="AC769" s="959"/>
      <c r="AD769" s="959"/>
      <c r="AE769" s="959"/>
      <c r="AF769" s="959"/>
      <c r="AG769" s="959"/>
      <c r="AH769" s="959"/>
      <c r="AI769" s="959"/>
      <c r="AJ769" s="959"/>
      <c r="AK769" s="959"/>
      <c r="AL769" s="959"/>
      <c r="AM769" s="959"/>
    </row>
    <row r="770" spans="3:39" x14ac:dyDescent="0.25">
      <c r="C770" s="959"/>
      <c r="D770" s="959"/>
      <c r="E770" s="959"/>
      <c r="F770" s="959"/>
      <c r="G770" s="959"/>
      <c r="H770" s="959"/>
      <c r="I770" s="959"/>
      <c r="J770" s="959"/>
      <c r="K770" s="959"/>
      <c r="L770" s="959"/>
      <c r="M770" s="959"/>
      <c r="N770" s="959"/>
      <c r="O770" s="959"/>
      <c r="P770" s="959"/>
      <c r="Q770" s="959"/>
      <c r="R770" s="959"/>
      <c r="S770" s="959"/>
      <c r="T770" s="959"/>
      <c r="U770" s="959"/>
      <c r="V770" s="959"/>
      <c r="W770" s="959"/>
      <c r="X770" s="959"/>
      <c r="Y770" s="959"/>
      <c r="Z770" s="959"/>
      <c r="AA770" s="959"/>
      <c r="AB770" s="959"/>
      <c r="AC770" s="959"/>
      <c r="AD770" s="959"/>
      <c r="AE770" s="959"/>
      <c r="AF770" s="959"/>
      <c r="AG770" s="959"/>
      <c r="AH770" s="959"/>
      <c r="AI770" s="959"/>
      <c r="AJ770" s="959"/>
      <c r="AK770" s="959"/>
      <c r="AL770" s="959"/>
      <c r="AM770" s="959"/>
    </row>
    <row r="771" spans="3:39" x14ac:dyDescent="0.25">
      <c r="C771" s="959"/>
      <c r="D771" s="959"/>
      <c r="E771" s="959"/>
      <c r="F771" s="959"/>
      <c r="G771" s="959"/>
      <c r="H771" s="959"/>
      <c r="I771" s="959"/>
      <c r="J771" s="959"/>
      <c r="K771" s="959"/>
      <c r="L771" s="959"/>
      <c r="M771" s="959"/>
      <c r="N771" s="959"/>
      <c r="O771" s="959"/>
      <c r="P771" s="959"/>
      <c r="Q771" s="959"/>
      <c r="R771" s="959"/>
      <c r="S771" s="959"/>
      <c r="T771" s="959"/>
      <c r="U771" s="959"/>
      <c r="V771" s="959"/>
      <c r="W771" s="959"/>
      <c r="X771" s="959"/>
      <c r="Y771" s="959"/>
      <c r="Z771" s="959"/>
      <c r="AA771" s="959"/>
      <c r="AB771" s="959"/>
      <c r="AC771" s="959"/>
      <c r="AD771" s="959"/>
      <c r="AE771" s="959"/>
      <c r="AF771" s="959"/>
      <c r="AG771" s="959"/>
      <c r="AH771" s="959"/>
      <c r="AI771" s="959"/>
      <c r="AJ771" s="959"/>
      <c r="AK771" s="959"/>
      <c r="AL771" s="959"/>
      <c r="AM771" s="959"/>
    </row>
    <row r="772" spans="3:39" x14ac:dyDescent="0.25">
      <c r="C772" s="959"/>
      <c r="D772" s="959"/>
      <c r="E772" s="959"/>
      <c r="F772" s="959"/>
      <c r="G772" s="959"/>
      <c r="H772" s="959"/>
      <c r="I772" s="959"/>
      <c r="J772" s="959"/>
      <c r="K772" s="959"/>
      <c r="L772" s="959"/>
      <c r="M772" s="959"/>
      <c r="N772" s="959"/>
      <c r="O772" s="959"/>
      <c r="P772" s="959"/>
      <c r="Q772" s="959"/>
      <c r="R772" s="959"/>
      <c r="S772" s="959"/>
      <c r="T772" s="959"/>
      <c r="U772" s="959"/>
      <c r="V772" s="959"/>
      <c r="W772" s="959"/>
      <c r="X772" s="959"/>
      <c r="Y772" s="959"/>
      <c r="Z772" s="959"/>
      <c r="AA772" s="959"/>
      <c r="AB772" s="959"/>
      <c r="AC772" s="959"/>
      <c r="AD772" s="959"/>
      <c r="AE772" s="959"/>
      <c r="AF772" s="959"/>
      <c r="AG772" s="959"/>
      <c r="AH772" s="959"/>
      <c r="AI772" s="959"/>
      <c r="AJ772" s="959"/>
      <c r="AK772" s="959"/>
      <c r="AL772" s="959"/>
      <c r="AM772" s="959"/>
    </row>
    <row r="773" spans="3:39" x14ac:dyDescent="0.25">
      <c r="C773" s="959"/>
      <c r="D773" s="959"/>
      <c r="E773" s="959"/>
      <c r="F773" s="959"/>
      <c r="G773" s="959"/>
      <c r="H773" s="959"/>
      <c r="I773" s="959"/>
      <c r="J773" s="959"/>
      <c r="K773" s="959"/>
      <c r="L773" s="959"/>
      <c r="M773" s="959"/>
      <c r="N773" s="959"/>
      <c r="O773" s="959"/>
      <c r="P773" s="959"/>
      <c r="Q773" s="959"/>
      <c r="R773" s="959"/>
      <c r="S773" s="959"/>
      <c r="T773" s="959"/>
      <c r="U773" s="959"/>
      <c r="V773" s="959"/>
      <c r="W773" s="959"/>
      <c r="X773" s="959"/>
      <c r="Y773" s="959"/>
      <c r="Z773" s="959"/>
      <c r="AA773" s="959"/>
      <c r="AB773" s="959"/>
      <c r="AC773" s="959"/>
      <c r="AD773" s="959"/>
      <c r="AE773" s="959"/>
      <c r="AF773" s="959"/>
      <c r="AG773" s="959"/>
      <c r="AH773" s="959"/>
      <c r="AI773" s="959"/>
      <c r="AJ773" s="959"/>
      <c r="AK773" s="959"/>
      <c r="AL773" s="959"/>
      <c r="AM773" s="959"/>
    </row>
    <row r="774" spans="3:39" x14ac:dyDescent="0.25">
      <c r="C774" s="959"/>
      <c r="D774" s="959"/>
      <c r="E774" s="959"/>
      <c r="F774" s="959"/>
      <c r="G774" s="959"/>
      <c r="H774" s="959"/>
      <c r="I774" s="959"/>
      <c r="J774" s="959"/>
      <c r="K774" s="959"/>
      <c r="L774" s="959"/>
      <c r="M774" s="959"/>
      <c r="N774" s="959"/>
      <c r="O774" s="959"/>
      <c r="P774" s="959"/>
      <c r="Q774" s="959"/>
      <c r="R774" s="959"/>
      <c r="S774" s="959"/>
      <c r="T774" s="959"/>
      <c r="U774" s="959"/>
      <c r="V774" s="959"/>
      <c r="W774" s="959"/>
      <c r="X774" s="959"/>
      <c r="Y774" s="959"/>
      <c r="Z774" s="959"/>
      <c r="AA774" s="959"/>
      <c r="AB774" s="959"/>
      <c r="AC774" s="959"/>
      <c r="AD774" s="959"/>
      <c r="AE774" s="959"/>
      <c r="AF774" s="959"/>
      <c r="AG774" s="959"/>
      <c r="AH774" s="959"/>
      <c r="AI774" s="959"/>
      <c r="AJ774" s="959"/>
      <c r="AK774" s="959"/>
      <c r="AL774" s="959"/>
      <c r="AM774" s="959"/>
    </row>
    <row r="775" spans="3:39" x14ac:dyDescent="0.25">
      <c r="C775" s="959"/>
      <c r="D775" s="959"/>
      <c r="E775" s="959"/>
      <c r="F775" s="959"/>
      <c r="G775" s="959"/>
      <c r="H775" s="959"/>
      <c r="I775" s="959"/>
      <c r="J775" s="959"/>
      <c r="K775" s="959"/>
      <c r="L775" s="959"/>
      <c r="M775" s="959"/>
      <c r="N775" s="959"/>
      <c r="O775" s="959"/>
      <c r="P775" s="959"/>
      <c r="Q775" s="959"/>
      <c r="R775" s="959"/>
      <c r="S775" s="959"/>
      <c r="T775" s="959"/>
      <c r="U775" s="959"/>
      <c r="V775" s="959"/>
      <c r="W775" s="959"/>
      <c r="X775" s="959"/>
      <c r="Y775" s="959"/>
      <c r="Z775" s="959"/>
      <c r="AA775" s="959"/>
      <c r="AB775" s="959"/>
      <c r="AC775" s="959"/>
      <c r="AD775" s="959"/>
      <c r="AE775" s="959"/>
      <c r="AF775" s="959"/>
      <c r="AG775" s="959"/>
      <c r="AH775" s="959"/>
      <c r="AI775" s="959"/>
      <c r="AJ775" s="959"/>
      <c r="AK775" s="959"/>
      <c r="AL775" s="959"/>
      <c r="AM775" s="959"/>
    </row>
    <row r="776" spans="3:39" x14ac:dyDescent="0.25">
      <c r="C776" s="959"/>
      <c r="D776" s="959"/>
      <c r="E776" s="959"/>
      <c r="F776" s="959"/>
      <c r="G776" s="959"/>
      <c r="H776" s="959"/>
      <c r="I776" s="959"/>
      <c r="J776" s="959"/>
      <c r="K776" s="959"/>
      <c r="L776" s="959"/>
      <c r="M776" s="959"/>
      <c r="N776" s="959"/>
      <c r="O776" s="959"/>
      <c r="P776" s="959"/>
      <c r="Q776" s="959"/>
      <c r="R776" s="959"/>
      <c r="S776" s="959"/>
      <c r="T776" s="959"/>
      <c r="U776" s="959"/>
      <c r="V776" s="959"/>
      <c r="W776" s="959"/>
      <c r="X776" s="959"/>
      <c r="Y776" s="959"/>
      <c r="Z776" s="959"/>
      <c r="AA776" s="959"/>
      <c r="AB776" s="959"/>
      <c r="AC776" s="959"/>
      <c r="AD776" s="959"/>
      <c r="AE776" s="959"/>
      <c r="AF776" s="959"/>
      <c r="AG776" s="959"/>
      <c r="AH776" s="959"/>
      <c r="AI776" s="959"/>
      <c r="AJ776" s="959"/>
      <c r="AK776" s="959"/>
      <c r="AL776" s="959"/>
      <c r="AM776" s="959"/>
    </row>
    <row r="777" spans="3:39" x14ac:dyDescent="0.25">
      <c r="C777" s="959"/>
      <c r="D777" s="959"/>
      <c r="E777" s="959"/>
      <c r="F777" s="959"/>
      <c r="G777" s="959"/>
      <c r="H777" s="959"/>
      <c r="I777" s="959"/>
      <c r="J777" s="959"/>
      <c r="K777" s="959"/>
      <c r="L777" s="959"/>
      <c r="M777" s="959"/>
      <c r="N777" s="959"/>
      <c r="O777" s="959"/>
      <c r="P777" s="959"/>
      <c r="Q777" s="959"/>
      <c r="R777" s="959"/>
      <c r="S777" s="959"/>
      <c r="T777" s="959"/>
      <c r="U777" s="959"/>
      <c r="V777" s="959"/>
      <c r="W777" s="959"/>
      <c r="X777" s="959"/>
      <c r="Y777" s="959"/>
      <c r="Z777" s="959"/>
      <c r="AA777" s="959"/>
      <c r="AB777" s="959"/>
      <c r="AC777" s="959"/>
      <c r="AD777" s="959"/>
      <c r="AE777" s="959"/>
      <c r="AF777" s="959"/>
      <c r="AG777" s="959"/>
      <c r="AH777" s="959"/>
      <c r="AI777" s="959"/>
      <c r="AJ777" s="959"/>
      <c r="AK777" s="959"/>
      <c r="AL777" s="959"/>
      <c r="AM777" s="959"/>
    </row>
    <row r="778" spans="3:39" x14ac:dyDescent="0.25">
      <c r="C778" s="959"/>
      <c r="D778" s="959"/>
      <c r="E778" s="959"/>
      <c r="F778" s="959"/>
      <c r="G778" s="959"/>
      <c r="H778" s="959"/>
      <c r="I778" s="959"/>
      <c r="J778" s="959"/>
      <c r="K778" s="959"/>
      <c r="L778" s="959"/>
      <c r="M778" s="959"/>
      <c r="N778" s="959"/>
      <c r="O778" s="959"/>
      <c r="P778" s="959"/>
      <c r="Q778" s="959"/>
      <c r="R778" s="959"/>
      <c r="S778" s="959"/>
      <c r="T778" s="959"/>
      <c r="U778" s="959"/>
      <c r="V778" s="959"/>
      <c r="W778" s="959"/>
      <c r="X778" s="959"/>
      <c r="Y778" s="959"/>
      <c r="Z778" s="959"/>
      <c r="AA778" s="959"/>
      <c r="AB778" s="959"/>
      <c r="AC778" s="959"/>
      <c r="AD778" s="959"/>
      <c r="AE778" s="959"/>
      <c r="AF778" s="959"/>
      <c r="AG778" s="959"/>
      <c r="AH778" s="959"/>
      <c r="AI778" s="959"/>
      <c r="AJ778" s="959"/>
      <c r="AK778" s="959"/>
      <c r="AL778" s="959"/>
      <c r="AM778" s="959"/>
    </row>
    <row r="779" spans="3:39" x14ac:dyDescent="0.25">
      <c r="C779" s="959"/>
      <c r="D779" s="959"/>
      <c r="E779" s="959"/>
      <c r="F779" s="959"/>
      <c r="G779" s="959"/>
      <c r="H779" s="959"/>
      <c r="I779" s="959"/>
      <c r="J779" s="959"/>
      <c r="K779" s="959"/>
      <c r="L779" s="959"/>
      <c r="M779" s="959"/>
      <c r="N779" s="959"/>
      <c r="O779" s="959"/>
      <c r="P779" s="959"/>
      <c r="Q779" s="959"/>
      <c r="R779" s="959"/>
      <c r="S779" s="959"/>
      <c r="T779" s="959"/>
      <c r="U779" s="959"/>
      <c r="V779" s="959"/>
      <c r="W779" s="959"/>
      <c r="X779" s="959"/>
      <c r="Y779" s="959"/>
      <c r="Z779" s="959"/>
      <c r="AA779" s="959"/>
      <c r="AB779" s="959"/>
      <c r="AC779" s="959"/>
      <c r="AD779" s="959"/>
      <c r="AE779" s="959"/>
      <c r="AF779" s="959"/>
      <c r="AG779" s="959"/>
      <c r="AH779" s="959"/>
      <c r="AI779" s="959"/>
      <c r="AJ779" s="959"/>
      <c r="AK779" s="959"/>
      <c r="AL779" s="959"/>
      <c r="AM779" s="959"/>
    </row>
    <row r="780" spans="3:39" x14ac:dyDescent="0.25">
      <c r="C780" s="959"/>
      <c r="D780" s="959"/>
      <c r="E780" s="959"/>
      <c r="F780" s="959"/>
      <c r="G780" s="959"/>
      <c r="H780" s="959"/>
      <c r="I780" s="959"/>
      <c r="J780" s="959"/>
      <c r="K780" s="959"/>
      <c r="L780" s="959"/>
      <c r="M780" s="959"/>
      <c r="N780" s="959"/>
      <c r="O780" s="959"/>
      <c r="P780" s="959"/>
      <c r="Q780" s="959"/>
      <c r="R780" s="959"/>
      <c r="S780" s="959"/>
      <c r="T780" s="959"/>
      <c r="U780" s="959"/>
      <c r="V780" s="959"/>
      <c r="W780" s="959"/>
      <c r="X780" s="959"/>
      <c r="Y780" s="959"/>
      <c r="Z780" s="959"/>
      <c r="AA780" s="959"/>
      <c r="AB780" s="959"/>
      <c r="AC780" s="959"/>
      <c r="AD780" s="959"/>
      <c r="AE780" s="959"/>
      <c r="AF780" s="959"/>
      <c r="AG780" s="959"/>
      <c r="AH780" s="959"/>
      <c r="AI780" s="959"/>
      <c r="AJ780" s="959"/>
      <c r="AK780" s="959"/>
      <c r="AL780" s="959"/>
      <c r="AM780" s="959"/>
    </row>
    <row r="781" spans="3:39" x14ac:dyDescent="0.25">
      <c r="C781" s="959"/>
      <c r="D781" s="959"/>
      <c r="E781" s="959"/>
      <c r="F781" s="959"/>
      <c r="G781" s="959"/>
      <c r="H781" s="959"/>
      <c r="I781" s="959"/>
      <c r="J781" s="959"/>
      <c r="K781" s="959"/>
      <c r="L781" s="959"/>
      <c r="M781" s="959"/>
      <c r="N781" s="959"/>
      <c r="O781" s="959"/>
      <c r="P781" s="959"/>
      <c r="Q781" s="959"/>
      <c r="R781" s="959"/>
      <c r="S781" s="959"/>
      <c r="T781" s="959"/>
      <c r="U781" s="959"/>
      <c r="V781" s="959"/>
      <c r="W781" s="959"/>
      <c r="X781" s="959"/>
      <c r="Y781" s="959"/>
      <c r="Z781" s="959"/>
      <c r="AA781" s="959"/>
      <c r="AB781" s="959"/>
      <c r="AC781" s="959"/>
      <c r="AD781" s="959"/>
      <c r="AE781" s="959"/>
      <c r="AF781" s="959"/>
      <c r="AG781" s="959"/>
      <c r="AH781" s="959"/>
      <c r="AI781" s="959"/>
      <c r="AJ781" s="959"/>
      <c r="AK781" s="959"/>
      <c r="AL781" s="959"/>
      <c r="AM781" s="959"/>
    </row>
    <row r="782" spans="3:39" x14ac:dyDescent="0.25">
      <c r="C782" s="959"/>
      <c r="D782" s="959"/>
      <c r="E782" s="959"/>
      <c r="F782" s="959"/>
      <c r="G782" s="959"/>
      <c r="H782" s="959"/>
      <c r="I782" s="959"/>
      <c r="J782" s="959"/>
      <c r="K782" s="959"/>
      <c r="L782" s="959"/>
      <c r="M782" s="959"/>
      <c r="N782" s="959"/>
      <c r="O782" s="959"/>
      <c r="P782" s="959"/>
      <c r="Q782" s="959"/>
      <c r="R782" s="959"/>
      <c r="S782" s="959"/>
      <c r="T782" s="959"/>
      <c r="U782" s="959"/>
      <c r="V782" s="959"/>
      <c r="W782" s="959"/>
      <c r="X782" s="959"/>
      <c r="Y782" s="959"/>
      <c r="Z782" s="959"/>
      <c r="AA782" s="959"/>
      <c r="AB782" s="959"/>
      <c r="AC782" s="959"/>
      <c r="AD782" s="959"/>
      <c r="AE782" s="959"/>
      <c r="AF782" s="959"/>
      <c r="AG782" s="959"/>
      <c r="AH782" s="959"/>
      <c r="AI782" s="959"/>
      <c r="AJ782" s="959"/>
      <c r="AK782" s="959"/>
      <c r="AL782" s="959"/>
      <c r="AM782" s="959"/>
    </row>
    <row r="783" spans="3:39" x14ac:dyDescent="0.25">
      <c r="C783" s="959"/>
      <c r="D783" s="959"/>
      <c r="E783" s="959"/>
      <c r="F783" s="959"/>
      <c r="G783" s="959"/>
      <c r="H783" s="959"/>
      <c r="I783" s="959"/>
      <c r="J783" s="959"/>
      <c r="K783" s="959"/>
      <c r="L783" s="959"/>
      <c r="M783" s="959"/>
      <c r="N783" s="959"/>
      <c r="O783" s="959"/>
      <c r="P783" s="959"/>
      <c r="Q783" s="959"/>
      <c r="R783" s="959"/>
      <c r="S783" s="959"/>
      <c r="T783" s="959"/>
      <c r="U783" s="959"/>
      <c r="V783" s="959"/>
      <c r="W783" s="959"/>
      <c r="X783" s="959"/>
      <c r="Y783" s="959"/>
      <c r="Z783" s="959"/>
      <c r="AA783" s="959"/>
      <c r="AB783" s="959"/>
      <c r="AC783" s="959"/>
      <c r="AD783" s="959"/>
      <c r="AE783" s="959"/>
      <c r="AF783" s="959"/>
      <c r="AG783" s="959"/>
      <c r="AH783" s="959"/>
      <c r="AI783" s="959"/>
      <c r="AJ783" s="959"/>
      <c r="AK783" s="959"/>
      <c r="AL783" s="959"/>
      <c r="AM783" s="959"/>
    </row>
    <row r="784" spans="3:39" x14ac:dyDescent="0.25">
      <c r="C784" s="959"/>
      <c r="D784" s="959"/>
      <c r="E784" s="959"/>
      <c r="F784" s="959"/>
      <c r="G784" s="959"/>
      <c r="H784" s="959"/>
      <c r="I784" s="959"/>
      <c r="J784" s="959"/>
      <c r="K784" s="959"/>
      <c r="L784" s="959"/>
      <c r="M784" s="959"/>
      <c r="N784" s="959"/>
      <c r="O784" s="959"/>
      <c r="P784" s="959"/>
      <c r="Q784" s="959"/>
      <c r="R784" s="959"/>
      <c r="S784" s="959"/>
      <c r="T784" s="959"/>
      <c r="U784" s="959"/>
      <c r="V784" s="959"/>
      <c r="W784" s="959"/>
      <c r="X784" s="959"/>
      <c r="Y784" s="959"/>
      <c r="Z784" s="959"/>
      <c r="AA784" s="959"/>
      <c r="AB784" s="959"/>
      <c r="AC784" s="959"/>
      <c r="AD784" s="959"/>
      <c r="AE784" s="959"/>
      <c r="AF784" s="959"/>
      <c r="AG784" s="959"/>
      <c r="AH784" s="959"/>
      <c r="AI784" s="959"/>
      <c r="AJ784" s="959"/>
      <c r="AK784" s="959"/>
      <c r="AL784" s="959"/>
      <c r="AM784" s="959"/>
    </row>
    <row r="785" spans="3:39" x14ac:dyDescent="0.25">
      <c r="C785" s="959"/>
      <c r="D785" s="959"/>
      <c r="E785" s="959"/>
      <c r="F785" s="959"/>
      <c r="G785" s="959"/>
      <c r="H785" s="959"/>
      <c r="I785" s="959"/>
      <c r="J785" s="959"/>
      <c r="K785" s="959"/>
      <c r="L785" s="959"/>
      <c r="M785" s="959"/>
      <c r="N785" s="959"/>
      <c r="O785" s="959"/>
      <c r="P785" s="959"/>
      <c r="Q785" s="959"/>
      <c r="R785" s="959"/>
      <c r="S785" s="959"/>
      <c r="T785" s="959"/>
      <c r="U785" s="959"/>
      <c r="V785" s="959"/>
      <c r="W785" s="959"/>
      <c r="X785" s="959"/>
      <c r="Y785" s="959"/>
      <c r="Z785" s="959"/>
      <c r="AA785" s="959"/>
      <c r="AB785" s="959"/>
      <c r="AC785" s="959"/>
      <c r="AD785" s="959"/>
      <c r="AE785" s="959"/>
      <c r="AF785" s="959"/>
      <c r="AG785" s="959"/>
      <c r="AH785" s="959"/>
      <c r="AI785" s="959"/>
      <c r="AJ785" s="959"/>
      <c r="AK785" s="959"/>
      <c r="AL785" s="959"/>
      <c r="AM785" s="959"/>
    </row>
    <row r="786" spans="3:39" x14ac:dyDescent="0.25">
      <c r="C786" s="959"/>
      <c r="D786" s="959"/>
      <c r="E786" s="959"/>
      <c r="F786" s="959"/>
      <c r="G786" s="959"/>
      <c r="H786" s="959"/>
      <c r="I786" s="959"/>
      <c r="J786" s="959"/>
      <c r="K786" s="959"/>
      <c r="L786" s="959"/>
      <c r="M786" s="959"/>
      <c r="N786" s="959"/>
      <c r="O786" s="959"/>
      <c r="P786" s="959"/>
      <c r="Q786" s="959"/>
      <c r="R786" s="959"/>
      <c r="S786" s="959"/>
      <c r="T786" s="959"/>
      <c r="U786" s="959"/>
      <c r="V786" s="959"/>
      <c r="W786" s="959"/>
      <c r="X786" s="959"/>
      <c r="Y786" s="959"/>
      <c r="Z786" s="959"/>
      <c r="AA786" s="959"/>
      <c r="AB786" s="959"/>
      <c r="AC786" s="959"/>
      <c r="AD786" s="959"/>
      <c r="AE786" s="959"/>
      <c r="AF786" s="959"/>
      <c r="AG786" s="959"/>
      <c r="AH786" s="959"/>
      <c r="AI786" s="959"/>
      <c r="AJ786" s="959"/>
      <c r="AK786" s="959"/>
      <c r="AL786" s="959"/>
      <c r="AM786" s="959"/>
    </row>
    <row r="787" spans="3:39" x14ac:dyDescent="0.25">
      <c r="C787" s="959"/>
      <c r="D787" s="959"/>
      <c r="E787" s="959"/>
      <c r="F787" s="959"/>
      <c r="G787" s="959"/>
      <c r="H787" s="959"/>
      <c r="I787" s="959"/>
      <c r="J787" s="959"/>
      <c r="K787" s="959"/>
      <c r="L787" s="959"/>
      <c r="M787" s="959"/>
      <c r="N787" s="959"/>
      <c r="O787" s="959"/>
      <c r="P787" s="959"/>
      <c r="Q787" s="959"/>
      <c r="R787" s="959"/>
      <c r="S787" s="959"/>
      <c r="T787" s="959"/>
      <c r="U787" s="959"/>
      <c r="V787" s="959"/>
      <c r="W787" s="959"/>
      <c r="X787" s="959"/>
      <c r="Y787" s="959"/>
      <c r="Z787" s="959"/>
      <c r="AA787" s="959"/>
      <c r="AB787" s="959"/>
      <c r="AC787" s="959"/>
      <c r="AD787" s="959"/>
      <c r="AE787" s="959"/>
      <c r="AF787" s="959"/>
      <c r="AG787" s="959"/>
      <c r="AH787" s="959"/>
      <c r="AI787" s="959"/>
      <c r="AJ787" s="959"/>
      <c r="AK787" s="959"/>
      <c r="AL787" s="959"/>
      <c r="AM787" s="959"/>
    </row>
    <row r="788" spans="3:39" x14ac:dyDescent="0.25">
      <c r="C788" s="959"/>
      <c r="D788" s="959"/>
      <c r="E788" s="959"/>
      <c r="F788" s="959"/>
      <c r="G788" s="959"/>
      <c r="H788" s="959"/>
      <c r="I788" s="959"/>
      <c r="J788" s="959"/>
      <c r="K788" s="959"/>
      <c r="L788" s="959"/>
      <c r="M788" s="959"/>
      <c r="N788" s="959"/>
      <c r="O788" s="959"/>
      <c r="P788" s="959"/>
      <c r="Q788" s="959"/>
      <c r="R788" s="959"/>
      <c r="S788" s="959"/>
      <c r="T788" s="959"/>
      <c r="U788" s="959"/>
      <c r="V788" s="959"/>
      <c r="W788" s="959"/>
      <c r="X788" s="959"/>
      <c r="Y788" s="959"/>
      <c r="Z788" s="959"/>
      <c r="AA788" s="959"/>
      <c r="AB788" s="959"/>
      <c r="AC788" s="959"/>
      <c r="AD788" s="959"/>
      <c r="AE788" s="959"/>
      <c r="AF788" s="959"/>
      <c r="AG788" s="959"/>
      <c r="AH788" s="959"/>
      <c r="AI788" s="959"/>
      <c r="AJ788" s="959"/>
      <c r="AK788" s="959"/>
      <c r="AL788" s="959"/>
      <c r="AM788" s="959"/>
    </row>
    <row r="789" spans="3:39" x14ac:dyDescent="0.25">
      <c r="C789" s="959"/>
      <c r="D789" s="959"/>
      <c r="E789" s="959"/>
      <c r="F789" s="959"/>
      <c r="G789" s="959"/>
      <c r="H789" s="959"/>
      <c r="I789" s="959"/>
      <c r="J789" s="959"/>
      <c r="K789" s="959"/>
      <c r="L789" s="959"/>
      <c r="M789" s="959"/>
      <c r="N789" s="959"/>
      <c r="O789" s="959"/>
      <c r="P789" s="959"/>
      <c r="Q789" s="959"/>
      <c r="R789" s="959"/>
      <c r="S789" s="959"/>
      <c r="T789" s="959"/>
      <c r="U789" s="959"/>
      <c r="V789" s="959"/>
      <c r="W789" s="959"/>
      <c r="X789" s="959"/>
      <c r="Y789" s="959"/>
      <c r="Z789" s="959"/>
      <c r="AA789" s="959"/>
      <c r="AB789" s="959"/>
      <c r="AC789" s="959"/>
      <c r="AD789" s="959"/>
      <c r="AE789" s="959"/>
      <c r="AF789" s="959"/>
      <c r="AG789" s="959"/>
      <c r="AH789" s="959"/>
      <c r="AI789" s="959"/>
      <c r="AJ789" s="959"/>
      <c r="AK789" s="959"/>
      <c r="AL789" s="959"/>
      <c r="AM789" s="959"/>
    </row>
    <row r="790" spans="3:39" x14ac:dyDescent="0.25">
      <c r="C790" s="959"/>
      <c r="D790" s="959"/>
      <c r="E790" s="959"/>
      <c r="F790" s="959"/>
      <c r="G790" s="959"/>
      <c r="H790" s="959"/>
      <c r="I790" s="959"/>
      <c r="J790" s="959"/>
      <c r="K790" s="959"/>
      <c r="L790" s="959"/>
      <c r="M790" s="959"/>
      <c r="N790" s="959"/>
      <c r="O790" s="959"/>
      <c r="P790" s="959"/>
      <c r="Q790" s="959"/>
      <c r="R790" s="959"/>
      <c r="S790" s="959"/>
      <c r="T790" s="959"/>
      <c r="U790" s="959"/>
      <c r="V790" s="959"/>
      <c r="W790" s="959"/>
      <c r="X790" s="959"/>
      <c r="Y790" s="959"/>
      <c r="Z790" s="959"/>
      <c r="AA790" s="959"/>
      <c r="AB790" s="959"/>
      <c r="AC790" s="959"/>
      <c r="AD790" s="959"/>
      <c r="AE790" s="959"/>
      <c r="AF790" s="959"/>
      <c r="AG790" s="959"/>
      <c r="AH790" s="959"/>
      <c r="AI790" s="959"/>
      <c r="AJ790" s="959"/>
      <c r="AK790" s="959"/>
      <c r="AL790" s="959"/>
      <c r="AM790" s="959"/>
    </row>
    <row r="791" spans="3:39" x14ac:dyDescent="0.25">
      <c r="C791" s="959"/>
      <c r="D791" s="959"/>
      <c r="E791" s="959"/>
      <c r="F791" s="959"/>
      <c r="G791" s="959"/>
      <c r="H791" s="959"/>
      <c r="I791" s="959"/>
      <c r="J791" s="959"/>
      <c r="K791" s="959"/>
      <c r="L791" s="959"/>
      <c r="M791" s="959"/>
      <c r="N791" s="959"/>
      <c r="O791" s="959"/>
      <c r="P791" s="959"/>
      <c r="Q791" s="959"/>
      <c r="R791" s="959"/>
      <c r="S791" s="959"/>
      <c r="T791" s="959"/>
      <c r="U791" s="959"/>
      <c r="V791" s="959"/>
      <c r="W791" s="959"/>
      <c r="X791" s="959"/>
      <c r="Y791" s="959"/>
      <c r="Z791" s="959"/>
      <c r="AA791" s="959"/>
      <c r="AB791" s="959"/>
      <c r="AC791" s="959"/>
      <c r="AD791" s="959"/>
      <c r="AE791" s="959"/>
      <c r="AF791" s="959"/>
      <c r="AG791" s="959"/>
      <c r="AH791" s="959"/>
      <c r="AI791" s="959"/>
      <c r="AJ791" s="959"/>
      <c r="AK791" s="959"/>
      <c r="AL791" s="959"/>
      <c r="AM791" s="959"/>
    </row>
    <row r="792" spans="3:39" x14ac:dyDescent="0.25">
      <c r="C792" s="959"/>
      <c r="D792" s="959"/>
      <c r="E792" s="959"/>
      <c r="F792" s="959"/>
      <c r="G792" s="959"/>
      <c r="H792" s="959"/>
      <c r="I792" s="959"/>
      <c r="J792" s="959"/>
      <c r="K792" s="959"/>
      <c r="L792" s="959"/>
      <c r="M792" s="959"/>
      <c r="N792" s="959"/>
      <c r="O792" s="959"/>
      <c r="P792" s="959"/>
      <c r="Q792" s="959"/>
      <c r="R792" s="959"/>
      <c r="S792" s="959"/>
      <c r="T792" s="959"/>
      <c r="U792" s="959"/>
      <c r="V792" s="959"/>
      <c r="W792" s="959"/>
      <c r="X792" s="959"/>
      <c r="Y792" s="959"/>
      <c r="Z792" s="959"/>
      <c r="AA792" s="959"/>
      <c r="AB792" s="959"/>
      <c r="AC792" s="959"/>
      <c r="AD792" s="959"/>
      <c r="AE792" s="959"/>
      <c r="AF792" s="959"/>
      <c r="AG792" s="959"/>
      <c r="AH792" s="959"/>
      <c r="AI792" s="959"/>
      <c r="AJ792" s="959"/>
      <c r="AK792" s="959"/>
      <c r="AL792" s="959"/>
      <c r="AM792" s="959"/>
    </row>
    <row r="793" spans="3:39" x14ac:dyDescent="0.25">
      <c r="C793" s="959"/>
      <c r="D793" s="959"/>
      <c r="E793" s="959"/>
      <c r="F793" s="959"/>
      <c r="G793" s="959"/>
      <c r="H793" s="959"/>
      <c r="I793" s="959"/>
      <c r="J793" s="959"/>
      <c r="K793" s="959"/>
      <c r="L793" s="959"/>
      <c r="M793" s="959"/>
      <c r="N793" s="959"/>
      <c r="O793" s="959"/>
      <c r="P793" s="959"/>
      <c r="Q793" s="959"/>
      <c r="R793" s="959"/>
      <c r="S793" s="959"/>
      <c r="T793" s="959"/>
      <c r="U793" s="959"/>
      <c r="V793" s="959"/>
      <c r="W793" s="959"/>
      <c r="X793" s="959"/>
      <c r="Y793" s="959"/>
      <c r="Z793" s="959"/>
      <c r="AA793" s="959"/>
      <c r="AB793" s="959"/>
      <c r="AC793" s="959"/>
      <c r="AD793" s="959"/>
      <c r="AE793" s="959"/>
      <c r="AF793" s="959"/>
      <c r="AG793" s="959"/>
      <c r="AH793" s="959"/>
      <c r="AI793" s="959"/>
      <c r="AJ793" s="959"/>
      <c r="AK793" s="959"/>
      <c r="AL793" s="959"/>
      <c r="AM793" s="959"/>
    </row>
    <row r="794" spans="3:39" x14ac:dyDescent="0.25">
      <c r="C794" s="959"/>
      <c r="D794" s="959"/>
      <c r="E794" s="959"/>
      <c r="F794" s="959"/>
      <c r="G794" s="959"/>
      <c r="H794" s="959"/>
      <c r="I794" s="959"/>
      <c r="J794" s="959"/>
      <c r="K794" s="959"/>
      <c r="L794" s="959"/>
      <c r="M794" s="959"/>
      <c r="N794" s="959"/>
      <c r="O794" s="959"/>
      <c r="P794" s="959"/>
      <c r="Q794" s="959"/>
      <c r="R794" s="959"/>
      <c r="S794" s="959"/>
      <c r="T794" s="959"/>
      <c r="U794" s="959"/>
      <c r="V794" s="959"/>
      <c r="W794" s="959"/>
      <c r="X794" s="959"/>
      <c r="Y794" s="959"/>
      <c r="Z794" s="959"/>
      <c r="AA794" s="959"/>
      <c r="AB794" s="959"/>
      <c r="AC794" s="959"/>
      <c r="AD794" s="959"/>
      <c r="AE794" s="959"/>
      <c r="AF794" s="959"/>
      <c r="AG794" s="959"/>
      <c r="AH794" s="959"/>
      <c r="AI794" s="959"/>
      <c r="AJ794" s="959"/>
      <c r="AK794" s="959"/>
      <c r="AL794" s="959"/>
      <c r="AM794" s="959"/>
    </row>
    <row r="795" spans="3:39" x14ac:dyDescent="0.25">
      <c r="C795" s="959"/>
      <c r="D795" s="959"/>
      <c r="E795" s="959"/>
      <c r="F795" s="959"/>
      <c r="G795" s="959"/>
      <c r="H795" s="959"/>
      <c r="I795" s="959"/>
      <c r="J795" s="959"/>
      <c r="K795" s="959"/>
      <c r="L795" s="959"/>
      <c r="M795" s="959"/>
      <c r="N795" s="959"/>
      <c r="O795" s="959"/>
      <c r="P795" s="959"/>
      <c r="Q795" s="959"/>
      <c r="R795" s="959"/>
      <c r="S795" s="959"/>
      <c r="T795" s="959"/>
      <c r="U795" s="959"/>
      <c r="V795" s="959"/>
      <c r="W795" s="959"/>
      <c r="X795" s="959"/>
      <c r="Y795" s="959"/>
      <c r="Z795" s="959"/>
      <c r="AA795" s="959"/>
      <c r="AB795" s="959"/>
      <c r="AC795" s="959"/>
      <c r="AD795" s="959"/>
      <c r="AE795" s="959"/>
      <c r="AF795" s="959"/>
      <c r="AG795" s="959"/>
      <c r="AH795" s="959"/>
      <c r="AI795" s="959"/>
      <c r="AJ795" s="959"/>
      <c r="AK795" s="959"/>
      <c r="AL795" s="959"/>
      <c r="AM795" s="959"/>
    </row>
    <row r="796" spans="3:39" x14ac:dyDescent="0.25">
      <c r="C796" s="959"/>
      <c r="D796" s="959"/>
      <c r="E796" s="959"/>
      <c r="F796" s="959"/>
      <c r="G796" s="959"/>
      <c r="H796" s="959"/>
      <c r="I796" s="959"/>
      <c r="J796" s="959"/>
      <c r="K796" s="959"/>
      <c r="L796" s="959"/>
      <c r="M796" s="959"/>
      <c r="N796" s="959"/>
      <c r="O796" s="959"/>
      <c r="P796" s="959"/>
      <c r="Q796" s="959"/>
      <c r="R796" s="959"/>
      <c r="S796" s="959"/>
      <c r="T796" s="959"/>
      <c r="U796" s="959"/>
      <c r="V796" s="959"/>
      <c r="W796" s="959"/>
      <c r="X796" s="959"/>
      <c r="Y796" s="959"/>
      <c r="Z796" s="959"/>
      <c r="AA796" s="959"/>
      <c r="AB796" s="959"/>
      <c r="AC796" s="959"/>
      <c r="AD796" s="959"/>
      <c r="AE796" s="959"/>
      <c r="AF796" s="959"/>
      <c r="AG796" s="959"/>
      <c r="AH796" s="959"/>
      <c r="AI796" s="959"/>
      <c r="AJ796" s="959"/>
      <c r="AK796" s="959"/>
      <c r="AL796" s="959"/>
      <c r="AM796" s="959"/>
    </row>
    <row r="797" spans="3:39" x14ac:dyDescent="0.25">
      <c r="C797" s="959"/>
      <c r="D797" s="959"/>
      <c r="E797" s="959"/>
      <c r="F797" s="959"/>
      <c r="G797" s="959"/>
      <c r="H797" s="959"/>
      <c r="I797" s="959"/>
      <c r="J797" s="959"/>
      <c r="K797" s="959"/>
      <c r="L797" s="959"/>
      <c r="M797" s="959"/>
      <c r="N797" s="959"/>
      <c r="O797" s="959"/>
      <c r="P797" s="959"/>
      <c r="Q797" s="959"/>
      <c r="R797" s="959"/>
      <c r="S797" s="959"/>
      <c r="T797" s="959"/>
      <c r="U797" s="959"/>
      <c r="V797" s="959"/>
      <c r="W797" s="959"/>
      <c r="X797" s="959"/>
      <c r="Y797" s="959"/>
      <c r="Z797" s="959"/>
      <c r="AA797" s="959"/>
      <c r="AB797" s="959"/>
      <c r="AC797" s="959"/>
      <c r="AD797" s="959"/>
      <c r="AE797" s="959"/>
      <c r="AF797" s="959"/>
      <c r="AG797" s="959"/>
      <c r="AH797" s="959"/>
      <c r="AI797" s="959"/>
      <c r="AJ797" s="959"/>
      <c r="AK797" s="959"/>
      <c r="AL797" s="959"/>
      <c r="AM797" s="959"/>
    </row>
    <row r="798" spans="3:39" x14ac:dyDescent="0.25">
      <c r="C798" s="959"/>
      <c r="D798" s="959"/>
      <c r="E798" s="959"/>
      <c r="F798" s="959"/>
      <c r="G798" s="959"/>
      <c r="H798" s="959"/>
      <c r="I798" s="959"/>
      <c r="J798" s="959"/>
      <c r="K798" s="959"/>
      <c r="L798" s="959"/>
      <c r="M798" s="959"/>
      <c r="N798" s="959"/>
      <c r="O798" s="959"/>
      <c r="P798" s="959"/>
      <c r="Q798" s="959"/>
      <c r="R798" s="959"/>
      <c r="S798" s="959"/>
      <c r="T798" s="959"/>
      <c r="U798" s="959"/>
      <c r="V798" s="959"/>
      <c r="W798" s="959"/>
      <c r="X798" s="959"/>
      <c r="Y798" s="959"/>
      <c r="Z798" s="959"/>
      <c r="AA798" s="959"/>
      <c r="AB798" s="959"/>
      <c r="AC798" s="959"/>
      <c r="AD798" s="959"/>
      <c r="AE798" s="959"/>
      <c r="AF798" s="959"/>
      <c r="AG798" s="959"/>
      <c r="AH798" s="959"/>
      <c r="AI798" s="959"/>
      <c r="AJ798" s="959"/>
      <c r="AK798" s="959"/>
      <c r="AL798" s="959"/>
      <c r="AM798" s="959"/>
    </row>
    <row r="799" spans="3:39" x14ac:dyDescent="0.25">
      <c r="C799" s="959"/>
      <c r="D799" s="959"/>
      <c r="E799" s="959"/>
      <c r="F799" s="959"/>
      <c r="G799" s="959"/>
      <c r="H799" s="959"/>
      <c r="I799" s="959"/>
      <c r="J799" s="959"/>
      <c r="K799" s="959"/>
      <c r="L799" s="959"/>
      <c r="M799" s="959"/>
      <c r="N799" s="959"/>
      <c r="O799" s="959"/>
      <c r="P799" s="959"/>
      <c r="Q799" s="959"/>
      <c r="R799" s="959"/>
      <c r="S799" s="959"/>
      <c r="T799" s="959"/>
      <c r="U799" s="959"/>
      <c r="V799" s="959"/>
      <c r="W799" s="959"/>
      <c r="X799" s="959"/>
      <c r="Y799" s="959"/>
      <c r="Z799" s="959"/>
      <c r="AA799" s="959"/>
      <c r="AB799" s="959"/>
      <c r="AC799" s="959"/>
      <c r="AD799" s="959"/>
      <c r="AE799" s="959"/>
      <c r="AF799" s="959"/>
      <c r="AG799" s="959"/>
      <c r="AH799" s="959"/>
      <c r="AI799" s="959"/>
      <c r="AJ799" s="959"/>
      <c r="AK799" s="959"/>
      <c r="AL799" s="959"/>
      <c r="AM799" s="959"/>
    </row>
    <row r="800" spans="3:39" x14ac:dyDescent="0.25">
      <c r="C800" s="959"/>
      <c r="D800" s="959"/>
      <c r="E800" s="959"/>
      <c r="F800" s="959"/>
      <c r="G800" s="959"/>
      <c r="H800" s="959"/>
      <c r="I800" s="959"/>
      <c r="J800" s="959"/>
      <c r="K800" s="959"/>
      <c r="L800" s="959"/>
      <c r="M800" s="959"/>
      <c r="N800" s="959"/>
      <c r="O800" s="959"/>
      <c r="P800" s="959"/>
      <c r="Q800" s="959"/>
      <c r="R800" s="959"/>
      <c r="S800" s="959"/>
      <c r="T800" s="959"/>
      <c r="U800" s="959"/>
      <c r="V800" s="959"/>
      <c r="W800" s="959"/>
      <c r="X800" s="959"/>
      <c r="Y800" s="959"/>
      <c r="Z800" s="959"/>
      <c r="AA800" s="959"/>
      <c r="AB800" s="959"/>
      <c r="AC800" s="959"/>
      <c r="AD800" s="959"/>
      <c r="AE800" s="959"/>
      <c r="AF800" s="959"/>
      <c r="AG800" s="959"/>
      <c r="AH800" s="959"/>
      <c r="AI800" s="959"/>
      <c r="AJ800" s="959"/>
      <c r="AK800" s="959"/>
      <c r="AL800" s="959"/>
      <c r="AM800" s="959"/>
    </row>
    <row r="801" spans="3:39" x14ac:dyDescent="0.25">
      <c r="C801" s="959"/>
      <c r="D801" s="959"/>
      <c r="E801" s="959"/>
      <c r="F801" s="959"/>
      <c r="G801" s="959"/>
      <c r="H801" s="959"/>
      <c r="I801" s="959"/>
      <c r="J801" s="959"/>
      <c r="K801" s="959"/>
      <c r="L801" s="959"/>
      <c r="M801" s="959"/>
      <c r="N801" s="959"/>
      <c r="O801" s="959"/>
      <c r="P801" s="959"/>
      <c r="Q801" s="959"/>
      <c r="R801" s="959"/>
      <c r="S801" s="959"/>
      <c r="T801" s="959"/>
      <c r="U801" s="959"/>
      <c r="V801" s="959"/>
      <c r="W801" s="959"/>
      <c r="X801" s="959"/>
      <c r="Y801" s="959"/>
      <c r="Z801" s="959"/>
      <c r="AA801" s="959"/>
      <c r="AB801" s="959"/>
      <c r="AC801" s="959"/>
      <c r="AD801" s="959"/>
      <c r="AE801" s="959"/>
      <c r="AF801" s="959"/>
      <c r="AG801" s="959"/>
      <c r="AH801" s="959"/>
      <c r="AI801" s="959"/>
      <c r="AJ801" s="959"/>
      <c r="AK801" s="959"/>
      <c r="AL801" s="959"/>
      <c r="AM801" s="959"/>
    </row>
    <row r="802" spans="3:39" x14ac:dyDescent="0.25">
      <c r="C802" s="959"/>
      <c r="D802" s="959"/>
      <c r="E802" s="959"/>
      <c r="F802" s="959"/>
      <c r="G802" s="959"/>
      <c r="H802" s="959"/>
      <c r="I802" s="959"/>
      <c r="J802" s="959"/>
      <c r="K802" s="959"/>
      <c r="L802" s="959"/>
      <c r="M802" s="959"/>
      <c r="N802" s="959"/>
      <c r="O802" s="959"/>
      <c r="P802" s="959"/>
      <c r="Q802" s="959"/>
      <c r="R802" s="959"/>
      <c r="S802" s="959"/>
      <c r="T802" s="959"/>
      <c r="U802" s="959"/>
      <c r="V802" s="959"/>
      <c r="W802" s="959"/>
      <c r="X802" s="959"/>
      <c r="Y802" s="959"/>
      <c r="Z802" s="959"/>
      <c r="AA802" s="959"/>
      <c r="AB802" s="959"/>
      <c r="AC802" s="959"/>
      <c r="AD802" s="959"/>
      <c r="AE802" s="959"/>
      <c r="AF802" s="959"/>
      <c r="AG802" s="959"/>
      <c r="AH802" s="959"/>
      <c r="AI802" s="959"/>
      <c r="AJ802" s="959"/>
      <c r="AK802" s="959"/>
      <c r="AL802" s="959"/>
      <c r="AM802" s="959"/>
    </row>
    <row r="803" spans="3:39" x14ac:dyDescent="0.25">
      <c r="C803" s="959"/>
      <c r="D803" s="959"/>
      <c r="E803" s="959"/>
      <c r="F803" s="959"/>
      <c r="G803" s="959"/>
      <c r="H803" s="959"/>
      <c r="I803" s="959"/>
      <c r="J803" s="959"/>
      <c r="K803" s="959"/>
      <c r="L803" s="959"/>
      <c r="M803" s="959"/>
      <c r="N803" s="959"/>
      <c r="O803" s="959"/>
      <c r="P803" s="959"/>
      <c r="Q803" s="959"/>
      <c r="R803" s="959"/>
      <c r="S803" s="959"/>
      <c r="T803" s="959"/>
      <c r="U803" s="959"/>
      <c r="V803" s="959"/>
      <c r="W803" s="959"/>
      <c r="X803" s="959"/>
      <c r="Y803" s="959"/>
      <c r="Z803" s="959"/>
      <c r="AA803" s="959"/>
      <c r="AB803" s="959"/>
      <c r="AC803" s="959"/>
      <c r="AD803" s="959"/>
      <c r="AE803" s="959"/>
      <c r="AF803" s="959"/>
      <c r="AG803" s="959"/>
      <c r="AH803" s="959"/>
      <c r="AI803" s="959"/>
      <c r="AJ803" s="959"/>
      <c r="AK803" s="959"/>
      <c r="AL803" s="959"/>
      <c r="AM803" s="959"/>
    </row>
    <row r="804" spans="3:39" x14ac:dyDescent="0.25">
      <c r="C804" s="959"/>
      <c r="D804" s="959"/>
      <c r="E804" s="959"/>
      <c r="F804" s="959"/>
      <c r="G804" s="959"/>
      <c r="H804" s="959"/>
      <c r="I804" s="959"/>
      <c r="J804" s="959"/>
      <c r="K804" s="959"/>
      <c r="L804" s="959"/>
      <c r="M804" s="959"/>
      <c r="N804" s="959"/>
      <c r="O804" s="959"/>
      <c r="P804" s="959"/>
      <c r="Q804" s="959"/>
      <c r="R804" s="959"/>
      <c r="S804" s="959"/>
      <c r="T804" s="959"/>
      <c r="U804" s="959"/>
      <c r="V804" s="959"/>
      <c r="W804" s="959"/>
      <c r="X804" s="959"/>
      <c r="Y804" s="959"/>
      <c r="Z804" s="959"/>
      <c r="AA804" s="959"/>
      <c r="AB804" s="959"/>
      <c r="AC804" s="959"/>
      <c r="AD804" s="959"/>
      <c r="AE804" s="959"/>
      <c r="AF804" s="959"/>
      <c r="AG804" s="959"/>
      <c r="AH804" s="959"/>
      <c r="AI804" s="959"/>
      <c r="AJ804" s="959"/>
      <c r="AK804" s="959"/>
      <c r="AL804" s="959"/>
      <c r="AM804" s="959"/>
    </row>
    <row r="805" spans="3:39" x14ac:dyDescent="0.25">
      <c r="C805" s="959"/>
      <c r="D805" s="959"/>
      <c r="E805" s="959"/>
      <c r="F805" s="959"/>
      <c r="G805" s="959"/>
      <c r="H805" s="959"/>
      <c r="I805" s="959"/>
      <c r="J805" s="959"/>
      <c r="K805" s="959"/>
      <c r="L805" s="959"/>
      <c r="M805" s="959"/>
      <c r="N805" s="959"/>
      <c r="O805" s="959"/>
      <c r="P805" s="959"/>
      <c r="Q805" s="959"/>
      <c r="R805" s="959"/>
      <c r="S805" s="959"/>
      <c r="T805" s="959"/>
      <c r="U805" s="959"/>
      <c r="V805" s="959"/>
      <c r="W805" s="959"/>
      <c r="X805" s="959"/>
      <c r="Y805" s="959"/>
      <c r="Z805" s="959"/>
      <c r="AA805" s="959"/>
      <c r="AB805" s="959"/>
      <c r="AC805" s="959"/>
      <c r="AD805" s="959"/>
      <c r="AE805" s="959"/>
      <c r="AF805" s="959"/>
      <c r="AG805" s="959"/>
      <c r="AH805" s="959"/>
      <c r="AI805" s="959"/>
      <c r="AJ805" s="959"/>
      <c r="AK805" s="959"/>
      <c r="AL805" s="959"/>
      <c r="AM805" s="959"/>
    </row>
    <row r="806" spans="3:39" x14ac:dyDescent="0.25">
      <c r="C806" s="959"/>
      <c r="D806" s="959"/>
      <c r="E806" s="959"/>
      <c r="F806" s="959"/>
      <c r="G806" s="959"/>
      <c r="H806" s="959"/>
      <c r="I806" s="959"/>
      <c r="J806" s="959"/>
      <c r="K806" s="959"/>
      <c r="L806" s="959"/>
      <c r="M806" s="959"/>
      <c r="N806" s="959"/>
      <c r="O806" s="959"/>
      <c r="P806" s="959"/>
      <c r="Q806" s="959"/>
      <c r="R806" s="959"/>
      <c r="S806" s="959"/>
      <c r="T806" s="959"/>
      <c r="U806" s="959"/>
      <c r="V806" s="959"/>
      <c r="W806" s="959"/>
      <c r="X806" s="959"/>
      <c r="Y806" s="959"/>
      <c r="Z806" s="959"/>
      <c r="AA806" s="959"/>
      <c r="AB806" s="959"/>
      <c r="AC806" s="959"/>
      <c r="AD806" s="959"/>
      <c r="AE806" s="959"/>
      <c r="AF806" s="959"/>
      <c r="AG806" s="959"/>
      <c r="AH806" s="959"/>
      <c r="AI806" s="959"/>
      <c r="AJ806" s="959"/>
      <c r="AK806" s="959"/>
      <c r="AL806" s="959"/>
      <c r="AM806" s="959"/>
    </row>
    <row r="807" spans="3:39" x14ac:dyDescent="0.25">
      <c r="C807" s="959"/>
      <c r="D807" s="959"/>
      <c r="E807" s="959"/>
      <c r="F807" s="959"/>
      <c r="G807" s="959"/>
      <c r="H807" s="959"/>
      <c r="I807" s="959"/>
      <c r="J807" s="959"/>
      <c r="K807" s="959"/>
      <c r="L807" s="959"/>
      <c r="M807" s="959"/>
      <c r="N807" s="959"/>
      <c r="O807" s="959"/>
      <c r="P807" s="959"/>
      <c r="Q807" s="959"/>
      <c r="R807" s="959"/>
      <c r="S807" s="959"/>
      <c r="T807" s="959"/>
      <c r="U807" s="959"/>
      <c r="V807" s="959"/>
      <c r="W807" s="959"/>
      <c r="X807" s="959"/>
      <c r="Y807" s="959"/>
      <c r="Z807" s="959"/>
      <c r="AA807" s="959"/>
      <c r="AB807" s="959"/>
      <c r="AC807" s="959"/>
      <c r="AD807" s="959"/>
      <c r="AE807" s="959"/>
      <c r="AF807" s="959"/>
      <c r="AG807" s="959"/>
      <c r="AH807" s="959"/>
      <c r="AI807" s="959"/>
      <c r="AJ807" s="959"/>
      <c r="AK807" s="959"/>
      <c r="AL807" s="959"/>
      <c r="AM807" s="959"/>
    </row>
    <row r="808" spans="3:39" x14ac:dyDescent="0.25">
      <c r="C808" s="959"/>
      <c r="D808" s="959"/>
      <c r="E808" s="959"/>
      <c r="F808" s="959"/>
      <c r="G808" s="959"/>
      <c r="H808" s="959"/>
      <c r="I808" s="959"/>
      <c r="J808" s="959"/>
      <c r="K808" s="959"/>
      <c r="L808" s="959"/>
      <c r="M808" s="959"/>
      <c r="N808" s="959"/>
      <c r="O808" s="959"/>
      <c r="P808" s="959"/>
      <c r="Q808" s="959"/>
      <c r="R808" s="959"/>
      <c r="S808" s="959"/>
      <c r="T808" s="959"/>
      <c r="U808" s="959"/>
      <c r="V808" s="959"/>
      <c r="W808" s="959"/>
      <c r="X808" s="959"/>
      <c r="Y808" s="959"/>
      <c r="Z808" s="959"/>
      <c r="AA808" s="959"/>
      <c r="AB808" s="959"/>
      <c r="AC808" s="959"/>
      <c r="AD808" s="959"/>
      <c r="AE808" s="959"/>
      <c r="AF808" s="959"/>
      <c r="AG808" s="959"/>
      <c r="AH808" s="959"/>
      <c r="AI808" s="959"/>
      <c r="AJ808" s="959"/>
      <c r="AK808" s="959"/>
      <c r="AL808" s="959"/>
      <c r="AM808" s="959"/>
    </row>
    <row r="809" spans="3:39" x14ac:dyDescent="0.25">
      <c r="C809" s="959"/>
      <c r="D809" s="959"/>
      <c r="E809" s="959"/>
      <c r="F809" s="959"/>
      <c r="G809" s="959"/>
      <c r="H809" s="959"/>
      <c r="I809" s="959"/>
      <c r="J809" s="959"/>
      <c r="K809" s="959"/>
      <c r="L809" s="959"/>
      <c r="M809" s="959"/>
      <c r="N809" s="959"/>
      <c r="O809" s="959"/>
      <c r="P809" s="959"/>
      <c r="Q809" s="959"/>
      <c r="R809" s="959"/>
      <c r="S809" s="959"/>
      <c r="T809" s="959"/>
      <c r="U809" s="959"/>
      <c r="V809" s="959"/>
      <c r="W809" s="959"/>
      <c r="X809" s="959"/>
      <c r="Y809" s="959"/>
      <c r="Z809" s="959"/>
      <c r="AA809" s="959"/>
      <c r="AB809" s="959"/>
      <c r="AC809" s="959"/>
      <c r="AD809" s="959"/>
      <c r="AE809" s="959"/>
      <c r="AF809" s="959"/>
      <c r="AG809" s="959"/>
      <c r="AH809" s="959"/>
      <c r="AI809" s="959"/>
      <c r="AJ809" s="959"/>
      <c r="AK809" s="959"/>
      <c r="AL809" s="959"/>
      <c r="AM809" s="959"/>
    </row>
    <row r="810" spans="3:39" x14ac:dyDescent="0.25">
      <c r="C810" s="959"/>
      <c r="D810" s="959"/>
      <c r="E810" s="959"/>
      <c r="F810" s="959"/>
      <c r="G810" s="959"/>
      <c r="H810" s="959"/>
      <c r="I810" s="959"/>
      <c r="J810" s="959"/>
      <c r="K810" s="959"/>
      <c r="L810" s="959"/>
      <c r="M810" s="959"/>
      <c r="N810" s="959"/>
      <c r="O810" s="959"/>
      <c r="P810" s="959"/>
      <c r="Q810" s="959"/>
      <c r="R810" s="959"/>
      <c r="S810" s="959"/>
      <c r="T810" s="959"/>
      <c r="U810" s="959"/>
      <c r="V810" s="959"/>
      <c r="W810" s="959"/>
      <c r="X810" s="959"/>
      <c r="Y810" s="959"/>
      <c r="Z810" s="959"/>
      <c r="AA810" s="959"/>
      <c r="AB810" s="959"/>
      <c r="AC810" s="959"/>
      <c r="AD810" s="959"/>
      <c r="AE810" s="959"/>
      <c r="AF810" s="959"/>
      <c r="AG810" s="959"/>
      <c r="AH810" s="959"/>
      <c r="AI810" s="959"/>
      <c r="AJ810" s="959"/>
      <c r="AK810" s="959"/>
      <c r="AL810" s="959"/>
      <c r="AM810" s="959"/>
    </row>
    <row r="811" spans="3:39" x14ac:dyDescent="0.25">
      <c r="C811" s="959"/>
      <c r="D811" s="959"/>
      <c r="E811" s="959"/>
      <c r="F811" s="959"/>
      <c r="G811" s="959"/>
      <c r="H811" s="959"/>
      <c r="I811" s="959"/>
      <c r="J811" s="959"/>
      <c r="K811" s="959"/>
      <c r="L811" s="959"/>
      <c r="M811" s="959"/>
      <c r="N811" s="959"/>
      <c r="O811" s="959"/>
      <c r="P811" s="959"/>
      <c r="Q811" s="959"/>
      <c r="R811" s="959"/>
      <c r="S811" s="959"/>
      <c r="T811" s="959"/>
      <c r="U811" s="959"/>
      <c r="V811" s="959"/>
      <c r="W811" s="959"/>
      <c r="X811" s="959"/>
      <c r="Y811" s="959"/>
      <c r="Z811" s="959"/>
      <c r="AA811" s="959"/>
      <c r="AB811" s="959"/>
      <c r="AC811" s="959"/>
      <c r="AD811" s="959"/>
      <c r="AE811" s="959"/>
      <c r="AF811" s="959"/>
      <c r="AG811" s="959"/>
      <c r="AH811" s="959"/>
      <c r="AI811" s="959"/>
      <c r="AJ811" s="959"/>
      <c r="AK811" s="959"/>
      <c r="AL811" s="959"/>
      <c r="AM811" s="959"/>
    </row>
    <row r="812" spans="3:39" x14ac:dyDescent="0.25">
      <c r="C812" s="959"/>
      <c r="D812" s="959"/>
      <c r="E812" s="959"/>
      <c r="F812" s="959"/>
      <c r="G812" s="959"/>
      <c r="H812" s="959"/>
      <c r="I812" s="959"/>
      <c r="J812" s="959"/>
      <c r="K812" s="959"/>
      <c r="L812" s="959"/>
      <c r="M812" s="959"/>
      <c r="N812" s="959"/>
      <c r="O812" s="959"/>
      <c r="P812" s="959"/>
      <c r="Q812" s="959"/>
      <c r="R812" s="959"/>
      <c r="S812" s="959"/>
      <c r="T812" s="959"/>
      <c r="U812" s="959"/>
      <c r="V812" s="959"/>
      <c r="W812" s="959"/>
      <c r="X812" s="959"/>
      <c r="Y812" s="959"/>
      <c r="Z812" s="959"/>
      <c r="AA812" s="959"/>
      <c r="AB812" s="959"/>
      <c r="AC812" s="959"/>
      <c r="AD812" s="959"/>
      <c r="AE812" s="959"/>
      <c r="AF812" s="959"/>
      <c r="AG812" s="959"/>
      <c r="AH812" s="959"/>
      <c r="AI812" s="959"/>
      <c r="AJ812" s="959"/>
      <c r="AK812" s="959"/>
      <c r="AL812" s="959"/>
      <c r="AM812" s="959"/>
    </row>
    <row r="813" spans="3:39" x14ac:dyDescent="0.25">
      <c r="C813" s="959"/>
      <c r="D813" s="959"/>
      <c r="E813" s="959"/>
      <c r="F813" s="959"/>
      <c r="G813" s="959"/>
      <c r="H813" s="959"/>
      <c r="I813" s="959"/>
      <c r="J813" s="959"/>
      <c r="K813" s="959"/>
      <c r="L813" s="959"/>
      <c r="M813" s="959"/>
      <c r="N813" s="959"/>
      <c r="O813" s="959"/>
      <c r="P813" s="959"/>
      <c r="Q813" s="959"/>
      <c r="R813" s="959"/>
      <c r="S813" s="959"/>
      <c r="T813" s="959"/>
      <c r="U813" s="959"/>
      <c r="V813" s="959"/>
      <c r="W813" s="959"/>
      <c r="X813" s="959"/>
      <c r="Y813" s="959"/>
      <c r="Z813" s="959"/>
      <c r="AA813" s="959"/>
      <c r="AB813" s="959"/>
      <c r="AC813" s="959"/>
      <c r="AD813" s="959"/>
      <c r="AE813" s="959"/>
      <c r="AF813" s="959"/>
      <c r="AG813" s="959"/>
      <c r="AH813" s="959"/>
      <c r="AI813" s="959"/>
      <c r="AJ813" s="959"/>
      <c r="AK813" s="959"/>
      <c r="AL813" s="959"/>
      <c r="AM813" s="959"/>
    </row>
    <row r="814" spans="3:39" x14ac:dyDescent="0.25">
      <c r="C814" s="959"/>
      <c r="D814" s="959"/>
      <c r="E814" s="959"/>
      <c r="F814" s="959"/>
      <c r="G814" s="959"/>
      <c r="H814" s="959"/>
      <c r="I814" s="959"/>
      <c r="J814" s="959"/>
      <c r="K814" s="959"/>
      <c r="L814" s="959"/>
      <c r="M814" s="959"/>
      <c r="N814" s="959"/>
      <c r="O814" s="959"/>
      <c r="P814" s="959"/>
      <c r="Q814" s="959"/>
      <c r="R814" s="959"/>
      <c r="S814" s="959"/>
      <c r="T814" s="959"/>
      <c r="U814" s="959"/>
      <c r="V814" s="959"/>
      <c r="W814" s="959"/>
      <c r="X814" s="959"/>
      <c r="Y814" s="959"/>
      <c r="Z814" s="959"/>
      <c r="AA814" s="959"/>
      <c r="AB814" s="959"/>
      <c r="AC814" s="959"/>
      <c r="AD814" s="959"/>
      <c r="AE814" s="959"/>
      <c r="AF814" s="959"/>
      <c r="AG814" s="959"/>
      <c r="AH814" s="959"/>
      <c r="AI814" s="959"/>
      <c r="AJ814" s="959"/>
      <c r="AK814" s="959"/>
      <c r="AL814" s="959"/>
      <c r="AM814" s="959"/>
    </row>
    <row r="815" spans="3:39" x14ac:dyDescent="0.25">
      <c r="C815" s="959"/>
      <c r="D815" s="959"/>
      <c r="E815" s="959"/>
      <c r="F815" s="959"/>
      <c r="G815" s="959"/>
      <c r="H815" s="959"/>
      <c r="I815" s="959"/>
      <c r="J815" s="959"/>
      <c r="K815" s="959"/>
      <c r="L815" s="959"/>
      <c r="M815" s="959"/>
      <c r="N815" s="959"/>
      <c r="O815" s="959"/>
      <c r="P815" s="959"/>
      <c r="Q815" s="959"/>
      <c r="R815" s="959"/>
      <c r="S815" s="959"/>
      <c r="T815" s="959"/>
      <c r="U815" s="959"/>
      <c r="V815" s="959"/>
      <c r="W815" s="959"/>
      <c r="X815" s="959"/>
      <c r="Y815" s="959"/>
      <c r="Z815" s="959"/>
      <c r="AA815" s="959"/>
      <c r="AB815" s="959"/>
      <c r="AC815" s="959"/>
      <c r="AD815" s="959"/>
      <c r="AE815" s="959"/>
      <c r="AF815" s="959"/>
      <c r="AG815" s="959"/>
      <c r="AH815" s="959"/>
      <c r="AI815" s="959"/>
      <c r="AJ815" s="959"/>
      <c r="AK815" s="959"/>
      <c r="AL815" s="959"/>
      <c r="AM815" s="959"/>
    </row>
    <row r="816" spans="3:39" x14ac:dyDescent="0.25">
      <c r="C816" s="959"/>
      <c r="D816" s="959"/>
      <c r="E816" s="959"/>
      <c r="F816" s="959"/>
      <c r="G816" s="959"/>
      <c r="H816" s="959"/>
      <c r="I816" s="959"/>
      <c r="J816" s="959"/>
      <c r="K816" s="959"/>
      <c r="L816" s="959"/>
      <c r="M816" s="959"/>
      <c r="N816" s="959"/>
      <c r="O816" s="959"/>
      <c r="P816" s="959"/>
      <c r="Q816" s="959"/>
      <c r="R816" s="959"/>
      <c r="S816" s="959"/>
      <c r="T816" s="959"/>
      <c r="U816" s="959"/>
      <c r="V816" s="959"/>
      <c r="W816" s="959"/>
      <c r="X816" s="959"/>
      <c r="Y816" s="959"/>
      <c r="Z816" s="959"/>
      <c r="AA816" s="959"/>
      <c r="AB816" s="959"/>
      <c r="AC816" s="959"/>
      <c r="AD816" s="959"/>
      <c r="AE816" s="959"/>
      <c r="AF816" s="959"/>
      <c r="AG816" s="959"/>
      <c r="AH816" s="959"/>
      <c r="AI816" s="959"/>
      <c r="AJ816" s="959"/>
      <c r="AK816" s="959"/>
      <c r="AL816" s="959"/>
      <c r="AM816" s="959"/>
    </row>
    <row r="817" spans="3:39" x14ac:dyDescent="0.25">
      <c r="C817" s="959"/>
      <c r="D817" s="959"/>
      <c r="E817" s="959"/>
      <c r="F817" s="959"/>
      <c r="G817" s="959"/>
      <c r="H817" s="959"/>
      <c r="I817" s="959"/>
      <c r="J817" s="959"/>
      <c r="K817" s="959"/>
      <c r="L817" s="959"/>
      <c r="M817" s="959"/>
      <c r="N817" s="959"/>
      <c r="O817" s="959"/>
      <c r="P817" s="959"/>
      <c r="Q817" s="959"/>
      <c r="R817" s="959"/>
      <c r="S817" s="959"/>
      <c r="T817" s="959"/>
      <c r="U817" s="959"/>
      <c r="V817" s="959"/>
      <c r="W817" s="959"/>
      <c r="X817" s="959"/>
      <c r="Y817" s="959"/>
      <c r="Z817" s="959"/>
      <c r="AA817" s="959"/>
      <c r="AB817" s="959"/>
      <c r="AC817" s="959"/>
      <c r="AD817" s="959"/>
      <c r="AE817" s="959"/>
      <c r="AF817" s="959"/>
      <c r="AG817" s="959"/>
      <c r="AH817" s="959"/>
      <c r="AI817" s="959"/>
      <c r="AJ817" s="959"/>
      <c r="AK817" s="959"/>
      <c r="AL817" s="959"/>
      <c r="AM817" s="959"/>
    </row>
    <row r="818" spans="3:39" x14ac:dyDescent="0.25">
      <c r="C818" s="959"/>
      <c r="D818" s="959"/>
      <c r="E818" s="959"/>
      <c r="F818" s="959"/>
      <c r="G818" s="959"/>
      <c r="H818" s="959"/>
      <c r="I818" s="959"/>
      <c r="J818" s="959"/>
      <c r="K818" s="959"/>
      <c r="L818" s="959"/>
      <c r="M818" s="959"/>
      <c r="N818" s="959"/>
      <c r="O818" s="959"/>
      <c r="P818" s="959"/>
      <c r="Q818" s="959"/>
      <c r="R818" s="959"/>
      <c r="S818" s="959"/>
      <c r="T818" s="959"/>
      <c r="U818" s="959"/>
      <c r="V818" s="959"/>
      <c r="W818" s="959"/>
      <c r="X818" s="959"/>
      <c r="Y818" s="959"/>
      <c r="Z818" s="959"/>
      <c r="AA818" s="959"/>
      <c r="AB818" s="959"/>
      <c r="AC818" s="959"/>
      <c r="AD818" s="959"/>
      <c r="AE818" s="959"/>
      <c r="AF818" s="959"/>
      <c r="AG818" s="959"/>
      <c r="AH818" s="959"/>
      <c r="AI818" s="959"/>
      <c r="AJ818" s="959"/>
      <c r="AK818" s="959"/>
      <c r="AL818" s="959"/>
      <c r="AM818" s="959"/>
    </row>
    <row r="819" spans="3:39" x14ac:dyDescent="0.25">
      <c r="C819" s="959"/>
      <c r="D819" s="959"/>
      <c r="E819" s="959"/>
      <c r="F819" s="959"/>
      <c r="G819" s="959"/>
      <c r="H819" s="959"/>
      <c r="I819" s="959"/>
      <c r="J819" s="959"/>
      <c r="K819" s="959"/>
      <c r="L819" s="959"/>
      <c r="M819" s="959"/>
      <c r="N819" s="959"/>
      <c r="O819" s="959"/>
      <c r="P819" s="959"/>
      <c r="Q819" s="959"/>
      <c r="R819" s="959"/>
      <c r="S819" s="959"/>
      <c r="T819" s="959"/>
      <c r="U819" s="959"/>
      <c r="V819" s="959"/>
      <c r="W819" s="959"/>
      <c r="X819" s="959"/>
      <c r="Y819" s="959"/>
      <c r="Z819" s="959"/>
      <c r="AA819" s="959"/>
      <c r="AB819" s="959"/>
      <c r="AC819" s="959"/>
      <c r="AD819" s="959"/>
      <c r="AE819" s="959"/>
      <c r="AF819" s="959"/>
      <c r="AG819" s="959"/>
      <c r="AH819" s="959"/>
      <c r="AI819" s="959"/>
      <c r="AJ819" s="959"/>
      <c r="AK819" s="959"/>
      <c r="AL819" s="959"/>
      <c r="AM819" s="959"/>
    </row>
    <row r="820" spans="3:39" x14ac:dyDescent="0.25">
      <c r="C820" s="959"/>
      <c r="D820" s="959"/>
      <c r="E820" s="959"/>
      <c r="F820" s="959"/>
      <c r="G820" s="959"/>
      <c r="H820" s="959"/>
      <c r="I820" s="959"/>
      <c r="J820" s="959"/>
      <c r="K820" s="959"/>
      <c r="L820" s="959"/>
      <c r="M820" s="959"/>
      <c r="N820" s="959"/>
      <c r="O820" s="959"/>
      <c r="P820" s="959"/>
      <c r="Q820" s="959"/>
      <c r="R820" s="959"/>
      <c r="S820" s="959"/>
      <c r="T820" s="959"/>
      <c r="U820" s="959"/>
      <c r="V820" s="959"/>
      <c r="W820" s="959"/>
      <c r="X820" s="959"/>
      <c r="Y820" s="959"/>
      <c r="Z820" s="959"/>
      <c r="AA820" s="959"/>
      <c r="AB820" s="959"/>
      <c r="AC820" s="959"/>
      <c r="AD820" s="959"/>
      <c r="AE820" s="959"/>
      <c r="AF820" s="959"/>
      <c r="AG820" s="959"/>
      <c r="AH820" s="959"/>
      <c r="AI820" s="959"/>
      <c r="AJ820" s="959"/>
      <c r="AK820" s="959"/>
      <c r="AL820" s="959"/>
      <c r="AM820" s="959"/>
    </row>
    <row r="821" spans="3:39" x14ac:dyDescent="0.25">
      <c r="C821" s="959"/>
      <c r="D821" s="959"/>
      <c r="E821" s="959"/>
      <c r="F821" s="959"/>
      <c r="G821" s="959"/>
      <c r="H821" s="959"/>
      <c r="I821" s="959"/>
      <c r="J821" s="959"/>
      <c r="K821" s="959"/>
      <c r="L821" s="959"/>
      <c r="M821" s="959"/>
      <c r="N821" s="959"/>
      <c r="O821" s="959"/>
      <c r="P821" s="959"/>
      <c r="Q821" s="959"/>
      <c r="R821" s="959"/>
      <c r="S821" s="959"/>
      <c r="T821" s="959"/>
      <c r="U821" s="959"/>
      <c r="V821" s="959"/>
      <c r="W821" s="959"/>
      <c r="X821" s="959"/>
      <c r="Y821" s="959"/>
      <c r="Z821" s="959"/>
      <c r="AA821" s="959"/>
      <c r="AB821" s="959"/>
      <c r="AC821" s="959"/>
      <c r="AD821" s="959"/>
      <c r="AE821" s="959"/>
      <c r="AF821" s="959"/>
      <c r="AG821" s="959"/>
      <c r="AH821" s="959"/>
      <c r="AI821" s="959"/>
      <c r="AJ821" s="959"/>
      <c r="AK821" s="959"/>
      <c r="AL821" s="959"/>
      <c r="AM821" s="959"/>
    </row>
    <row r="822" spans="3:39" x14ac:dyDescent="0.25">
      <c r="C822" s="959"/>
      <c r="D822" s="959"/>
      <c r="E822" s="959"/>
      <c r="F822" s="959"/>
      <c r="G822" s="959"/>
      <c r="H822" s="959"/>
      <c r="I822" s="959"/>
      <c r="J822" s="959"/>
      <c r="K822" s="959"/>
      <c r="L822" s="959"/>
      <c r="M822" s="959"/>
      <c r="N822" s="959"/>
      <c r="O822" s="959"/>
      <c r="P822" s="959"/>
      <c r="Q822" s="959"/>
      <c r="R822" s="959"/>
      <c r="S822" s="959"/>
      <c r="T822" s="959"/>
      <c r="U822" s="959"/>
      <c r="V822" s="959"/>
      <c r="W822" s="959"/>
      <c r="X822" s="959"/>
      <c r="Y822" s="959"/>
      <c r="Z822" s="959"/>
      <c r="AA822" s="959"/>
      <c r="AB822" s="959"/>
      <c r="AC822" s="959"/>
      <c r="AD822" s="959"/>
      <c r="AE822" s="959"/>
      <c r="AF822" s="959"/>
      <c r="AG822" s="959"/>
      <c r="AH822" s="959"/>
      <c r="AI822" s="959"/>
      <c r="AJ822" s="959"/>
      <c r="AK822" s="959"/>
      <c r="AL822" s="959"/>
      <c r="AM822" s="959"/>
    </row>
    <row r="823" spans="3:39" x14ac:dyDescent="0.25">
      <c r="C823" s="959"/>
      <c r="D823" s="959"/>
      <c r="E823" s="959"/>
      <c r="F823" s="959"/>
      <c r="G823" s="959"/>
      <c r="H823" s="959"/>
      <c r="I823" s="959"/>
      <c r="J823" s="959"/>
      <c r="K823" s="959"/>
      <c r="L823" s="959"/>
      <c r="M823" s="959"/>
      <c r="N823" s="959"/>
      <c r="O823" s="959"/>
      <c r="P823" s="959"/>
      <c r="Q823" s="959"/>
      <c r="R823" s="959"/>
      <c r="S823" s="959"/>
      <c r="T823" s="959"/>
      <c r="U823" s="959"/>
      <c r="V823" s="959"/>
      <c r="W823" s="959"/>
      <c r="X823" s="959"/>
      <c r="Y823" s="959"/>
      <c r="Z823" s="959"/>
      <c r="AA823" s="959"/>
      <c r="AB823" s="959"/>
      <c r="AC823" s="959"/>
      <c r="AD823" s="959"/>
      <c r="AE823" s="959"/>
      <c r="AF823" s="959"/>
      <c r="AG823" s="959"/>
      <c r="AH823" s="959"/>
      <c r="AI823" s="959"/>
      <c r="AJ823" s="959"/>
      <c r="AK823" s="959"/>
      <c r="AL823" s="959"/>
      <c r="AM823" s="959"/>
    </row>
    <row r="824" spans="3:39" x14ac:dyDescent="0.25">
      <c r="C824" s="959"/>
      <c r="D824" s="959"/>
      <c r="E824" s="959"/>
      <c r="F824" s="959"/>
      <c r="G824" s="959"/>
      <c r="H824" s="959"/>
      <c r="I824" s="959"/>
      <c r="J824" s="959"/>
      <c r="K824" s="959"/>
      <c r="L824" s="959"/>
      <c r="M824" s="959"/>
      <c r="N824" s="959"/>
      <c r="O824" s="959"/>
      <c r="P824" s="959"/>
      <c r="Q824" s="959"/>
      <c r="R824" s="959"/>
      <c r="S824" s="959"/>
      <c r="T824" s="959"/>
      <c r="U824" s="959"/>
      <c r="V824" s="959"/>
      <c r="W824" s="959"/>
      <c r="X824" s="959"/>
      <c r="Y824" s="959"/>
      <c r="Z824" s="959"/>
      <c r="AA824" s="959"/>
      <c r="AB824" s="959"/>
      <c r="AC824" s="959"/>
      <c r="AD824" s="959"/>
      <c r="AE824" s="959"/>
      <c r="AF824" s="959"/>
      <c r="AG824" s="959"/>
      <c r="AH824" s="959"/>
      <c r="AI824" s="959"/>
      <c r="AJ824" s="959"/>
      <c r="AK824" s="959"/>
      <c r="AL824" s="959"/>
      <c r="AM824" s="959"/>
    </row>
    <row r="825" spans="3:39" x14ac:dyDescent="0.25">
      <c r="C825" s="959"/>
      <c r="D825" s="959"/>
      <c r="E825" s="959"/>
      <c r="F825" s="959"/>
      <c r="G825" s="959"/>
      <c r="H825" s="959"/>
      <c r="I825" s="959"/>
      <c r="J825" s="959"/>
      <c r="K825" s="959"/>
      <c r="L825" s="959"/>
      <c r="M825" s="959"/>
      <c r="N825" s="959"/>
      <c r="O825" s="959"/>
      <c r="P825" s="959"/>
      <c r="Q825" s="959"/>
      <c r="R825" s="959"/>
      <c r="S825" s="959"/>
      <c r="T825" s="959"/>
      <c r="U825" s="959"/>
      <c r="V825" s="959"/>
      <c r="W825" s="959"/>
      <c r="X825" s="959"/>
      <c r="Y825" s="959"/>
      <c r="Z825" s="959"/>
      <c r="AA825" s="959"/>
      <c r="AB825" s="959"/>
      <c r="AC825" s="959"/>
      <c r="AD825" s="959"/>
      <c r="AE825" s="959"/>
      <c r="AF825" s="959"/>
      <c r="AG825" s="959"/>
      <c r="AH825" s="959"/>
      <c r="AI825" s="959"/>
      <c r="AJ825" s="959"/>
      <c r="AK825" s="959"/>
      <c r="AL825" s="959"/>
      <c r="AM825" s="959"/>
    </row>
    <row r="826" spans="3:39" x14ac:dyDescent="0.25">
      <c r="C826" s="959"/>
      <c r="D826" s="959"/>
      <c r="E826" s="959"/>
      <c r="F826" s="959"/>
      <c r="G826" s="959"/>
      <c r="H826" s="959"/>
      <c r="I826" s="959"/>
      <c r="J826" s="959"/>
      <c r="K826" s="959"/>
      <c r="L826" s="959"/>
      <c r="M826" s="959"/>
      <c r="N826" s="959"/>
      <c r="O826" s="959"/>
      <c r="P826" s="959"/>
      <c r="Q826" s="959"/>
      <c r="R826" s="959"/>
      <c r="S826" s="959"/>
      <c r="T826" s="959"/>
      <c r="U826" s="959"/>
      <c r="V826" s="959"/>
      <c r="W826" s="959"/>
      <c r="X826" s="959"/>
      <c r="Y826" s="959"/>
      <c r="Z826" s="959"/>
      <c r="AA826" s="959"/>
      <c r="AB826" s="959"/>
      <c r="AC826" s="959"/>
      <c r="AD826" s="959"/>
      <c r="AE826" s="959"/>
      <c r="AF826" s="959"/>
      <c r="AG826" s="959"/>
      <c r="AH826" s="959"/>
      <c r="AI826" s="959"/>
      <c r="AJ826" s="959"/>
      <c r="AK826" s="959"/>
      <c r="AL826" s="959"/>
      <c r="AM826" s="959"/>
    </row>
    <row r="827" spans="3:39" x14ac:dyDescent="0.25">
      <c r="C827" s="959"/>
      <c r="D827" s="959"/>
      <c r="E827" s="959"/>
      <c r="F827" s="959"/>
      <c r="G827" s="959"/>
      <c r="H827" s="959"/>
      <c r="I827" s="959"/>
      <c r="J827" s="959"/>
      <c r="K827" s="959"/>
      <c r="L827" s="959"/>
      <c r="M827" s="959"/>
      <c r="N827" s="959"/>
      <c r="O827" s="959"/>
      <c r="P827" s="959"/>
      <c r="Q827" s="959"/>
      <c r="R827" s="959"/>
      <c r="S827" s="959"/>
      <c r="T827" s="959"/>
      <c r="U827" s="959"/>
      <c r="V827" s="959"/>
      <c r="W827" s="959"/>
      <c r="X827" s="959"/>
      <c r="Y827" s="959"/>
      <c r="Z827" s="959"/>
      <c r="AA827" s="959"/>
      <c r="AB827" s="959"/>
      <c r="AC827" s="959"/>
      <c r="AD827" s="959"/>
      <c r="AE827" s="959"/>
      <c r="AF827" s="959"/>
      <c r="AG827" s="959"/>
      <c r="AH827" s="959"/>
      <c r="AI827" s="959"/>
      <c r="AJ827" s="959"/>
      <c r="AK827" s="959"/>
      <c r="AL827" s="959"/>
      <c r="AM827" s="959"/>
    </row>
    <row r="828" spans="3:39" x14ac:dyDescent="0.25">
      <c r="C828" s="959"/>
      <c r="D828" s="959"/>
      <c r="E828" s="959"/>
      <c r="F828" s="959"/>
      <c r="G828" s="959"/>
      <c r="H828" s="959"/>
      <c r="I828" s="959"/>
      <c r="J828" s="959"/>
      <c r="K828" s="959"/>
      <c r="L828" s="959"/>
      <c r="M828" s="959"/>
      <c r="N828" s="959"/>
      <c r="O828" s="959"/>
      <c r="P828" s="959"/>
      <c r="Q828" s="959"/>
      <c r="R828" s="959"/>
      <c r="S828" s="959"/>
      <c r="T828" s="959"/>
      <c r="U828" s="959"/>
      <c r="V828" s="959"/>
      <c r="W828" s="959"/>
      <c r="X828" s="959"/>
      <c r="Y828" s="959"/>
      <c r="Z828" s="959"/>
      <c r="AA828" s="959"/>
      <c r="AB828" s="959"/>
      <c r="AC828" s="959"/>
      <c r="AD828" s="959"/>
      <c r="AE828" s="959"/>
      <c r="AF828" s="959"/>
      <c r="AG828" s="959"/>
      <c r="AH828" s="959"/>
      <c r="AI828" s="959"/>
      <c r="AJ828" s="959"/>
      <c r="AK828" s="959"/>
      <c r="AL828" s="959"/>
      <c r="AM828" s="959"/>
    </row>
    <row r="829" spans="3:39" x14ac:dyDescent="0.25">
      <c r="C829" s="959"/>
      <c r="D829" s="959"/>
      <c r="E829" s="959"/>
      <c r="F829" s="959"/>
      <c r="G829" s="959"/>
      <c r="H829" s="959"/>
      <c r="I829" s="959"/>
      <c r="J829" s="959"/>
      <c r="K829" s="959"/>
      <c r="L829" s="959"/>
      <c r="M829" s="959"/>
      <c r="N829" s="959"/>
      <c r="O829" s="959"/>
      <c r="P829" s="959"/>
      <c r="Q829" s="959"/>
      <c r="R829" s="959"/>
      <c r="S829" s="959"/>
      <c r="T829" s="959"/>
      <c r="U829" s="959"/>
      <c r="V829" s="959"/>
      <c r="W829" s="959"/>
      <c r="X829" s="959"/>
      <c r="Y829" s="959"/>
      <c r="Z829" s="959"/>
      <c r="AA829" s="959"/>
      <c r="AB829" s="959"/>
      <c r="AC829" s="959"/>
      <c r="AD829" s="959"/>
      <c r="AE829" s="959"/>
      <c r="AF829" s="959"/>
      <c r="AG829" s="959"/>
      <c r="AH829" s="959"/>
      <c r="AI829" s="959"/>
      <c r="AJ829" s="959"/>
      <c r="AK829" s="959"/>
      <c r="AL829" s="959"/>
      <c r="AM829" s="959"/>
    </row>
    <row r="830" spans="3:39" x14ac:dyDescent="0.25">
      <c r="C830" s="959"/>
      <c r="D830" s="959"/>
      <c r="E830" s="959"/>
      <c r="F830" s="959"/>
      <c r="G830" s="959"/>
      <c r="H830" s="959"/>
      <c r="I830" s="959"/>
      <c r="J830" s="959"/>
      <c r="K830" s="959"/>
      <c r="L830" s="959"/>
      <c r="M830" s="959"/>
      <c r="N830" s="959"/>
      <c r="O830" s="959"/>
      <c r="P830" s="959"/>
      <c r="Q830" s="959"/>
      <c r="R830" s="959"/>
      <c r="S830" s="959"/>
      <c r="T830" s="959"/>
      <c r="U830" s="959"/>
      <c r="V830" s="959"/>
      <c r="W830" s="959"/>
      <c r="X830" s="959"/>
      <c r="Y830" s="959"/>
      <c r="Z830" s="959"/>
      <c r="AA830" s="959"/>
      <c r="AB830" s="959"/>
      <c r="AC830" s="959"/>
      <c r="AD830" s="959"/>
      <c r="AE830" s="959"/>
      <c r="AF830" s="959"/>
      <c r="AG830" s="959"/>
      <c r="AH830" s="959"/>
      <c r="AI830" s="959"/>
      <c r="AJ830" s="959"/>
      <c r="AK830" s="959"/>
      <c r="AL830" s="959"/>
      <c r="AM830" s="959"/>
    </row>
    <row r="831" spans="3:39" x14ac:dyDescent="0.25">
      <c r="C831" s="959"/>
      <c r="D831" s="959"/>
      <c r="E831" s="959"/>
      <c r="F831" s="959"/>
      <c r="G831" s="959"/>
      <c r="H831" s="959"/>
      <c r="I831" s="959"/>
      <c r="J831" s="959"/>
      <c r="K831" s="959"/>
      <c r="L831" s="959"/>
      <c r="M831" s="959"/>
      <c r="N831" s="959"/>
      <c r="O831" s="959"/>
      <c r="P831" s="959"/>
      <c r="Q831" s="959"/>
      <c r="R831" s="959"/>
      <c r="S831" s="959"/>
      <c r="T831" s="959"/>
      <c r="U831" s="959"/>
      <c r="V831" s="959"/>
      <c r="W831" s="959"/>
      <c r="X831" s="959"/>
      <c r="Y831" s="959"/>
      <c r="Z831" s="959"/>
      <c r="AA831" s="959"/>
      <c r="AB831" s="959"/>
      <c r="AC831" s="959"/>
      <c r="AD831" s="959"/>
      <c r="AE831" s="959"/>
      <c r="AF831" s="959"/>
      <c r="AG831" s="959"/>
      <c r="AH831" s="959"/>
      <c r="AI831" s="959"/>
      <c r="AJ831" s="959"/>
      <c r="AK831" s="959"/>
      <c r="AL831" s="959"/>
      <c r="AM831" s="959"/>
    </row>
    <row r="832" spans="3:39" x14ac:dyDescent="0.25">
      <c r="C832" s="959"/>
      <c r="D832" s="959"/>
      <c r="E832" s="959"/>
      <c r="F832" s="959"/>
      <c r="G832" s="959"/>
      <c r="H832" s="959"/>
      <c r="I832" s="959"/>
      <c r="J832" s="959"/>
      <c r="K832" s="959"/>
      <c r="L832" s="959"/>
      <c r="M832" s="959"/>
      <c r="N832" s="959"/>
      <c r="O832" s="959"/>
      <c r="P832" s="959"/>
      <c r="Q832" s="959"/>
      <c r="R832" s="959"/>
      <c r="S832" s="959"/>
      <c r="T832" s="959"/>
      <c r="U832" s="959"/>
      <c r="V832" s="959"/>
      <c r="W832" s="959"/>
      <c r="X832" s="959"/>
      <c r="Y832" s="959"/>
      <c r="Z832" s="959"/>
      <c r="AA832" s="959"/>
      <c r="AB832" s="959"/>
      <c r="AC832" s="959"/>
      <c r="AD832" s="959"/>
      <c r="AE832" s="959"/>
      <c r="AF832" s="959"/>
      <c r="AG832" s="959"/>
      <c r="AH832" s="959"/>
      <c r="AI832" s="959"/>
      <c r="AJ832" s="959"/>
      <c r="AK832" s="959"/>
      <c r="AL832" s="959"/>
      <c r="AM832" s="959"/>
    </row>
    <row r="833" spans="3:39" x14ac:dyDescent="0.25">
      <c r="C833" s="959"/>
      <c r="D833" s="959"/>
      <c r="E833" s="959"/>
      <c r="F833" s="959"/>
      <c r="G833" s="959"/>
      <c r="H833" s="959"/>
      <c r="I833" s="959"/>
      <c r="J833" s="959"/>
      <c r="K833" s="959"/>
      <c r="L833" s="959"/>
      <c r="M833" s="959"/>
      <c r="N833" s="959"/>
      <c r="O833" s="959"/>
      <c r="P833" s="959"/>
      <c r="Q833" s="959"/>
      <c r="R833" s="959"/>
      <c r="S833" s="959"/>
      <c r="T833" s="959"/>
      <c r="U833" s="959"/>
      <c r="V833" s="959"/>
      <c r="W833" s="959"/>
      <c r="X833" s="959"/>
      <c r="Y833" s="959"/>
      <c r="Z833" s="959"/>
      <c r="AA833" s="959"/>
      <c r="AB833" s="959"/>
      <c r="AC833" s="959"/>
      <c r="AD833" s="959"/>
      <c r="AE833" s="959"/>
      <c r="AF833" s="959"/>
      <c r="AG833" s="959"/>
      <c r="AH833" s="959"/>
      <c r="AI833" s="959"/>
      <c r="AJ833" s="959"/>
      <c r="AK833" s="959"/>
      <c r="AL833" s="959"/>
      <c r="AM833" s="959"/>
    </row>
    <row r="834" spans="3:39" x14ac:dyDescent="0.25">
      <c r="C834" s="959"/>
      <c r="D834" s="959"/>
      <c r="E834" s="959"/>
      <c r="F834" s="959"/>
      <c r="G834" s="959"/>
      <c r="H834" s="959"/>
      <c r="I834" s="959"/>
      <c r="J834" s="959"/>
      <c r="K834" s="959"/>
      <c r="L834" s="959"/>
      <c r="M834" s="959"/>
      <c r="N834" s="959"/>
      <c r="O834" s="959"/>
      <c r="P834" s="959"/>
      <c r="Q834" s="959"/>
      <c r="R834" s="959"/>
      <c r="S834" s="959"/>
      <c r="T834" s="959"/>
      <c r="U834" s="959"/>
      <c r="V834" s="959"/>
      <c r="W834" s="959"/>
      <c r="X834" s="959"/>
      <c r="Y834" s="959"/>
      <c r="Z834" s="959"/>
      <c r="AA834" s="959"/>
      <c r="AB834" s="959"/>
      <c r="AC834" s="959"/>
      <c r="AD834" s="959"/>
      <c r="AE834" s="959"/>
      <c r="AF834" s="959"/>
      <c r="AG834" s="959"/>
      <c r="AH834" s="959"/>
      <c r="AI834" s="959"/>
      <c r="AJ834" s="959"/>
      <c r="AK834" s="959"/>
      <c r="AL834" s="959"/>
      <c r="AM834" s="959"/>
    </row>
    <row r="835" spans="3:39" x14ac:dyDescent="0.25">
      <c r="C835" s="959"/>
      <c r="D835" s="959"/>
      <c r="E835" s="959"/>
      <c r="F835" s="959"/>
      <c r="G835" s="959"/>
      <c r="H835" s="959"/>
      <c r="I835" s="959"/>
      <c r="J835" s="959"/>
      <c r="K835" s="959"/>
      <c r="L835" s="959"/>
      <c r="M835" s="959"/>
      <c r="N835" s="959"/>
      <c r="O835" s="959"/>
      <c r="P835" s="959"/>
      <c r="Q835" s="959"/>
      <c r="R835" s="959"/>
      <c r="S835" s="959"/>
      <c r="T835" s="959"/>
      <c r="U835" s="959"/>
      <c r="V835" s="959"/>
      <c r="W835" s="959"/>
      <c r="X835" s="959"/>
      <c r="Y835" s="959"/>
      <c r="Z835" s="959"/>
      <c r="AA835" s="959"/>
      <c r="AB835" s="959"/>
      <c r="AC835" s="959"/>
      <c r="AD835" s="959"/>
      <c r="AE835" s="959"/>
      <c r="AF835" s="959"/>
      <c r="AG835" s="959"/>
      <c r="AH835" s="959"/>
      <c r="AI835" s="959"/>
      <c r="AJ835" s="959"/>
      <c r="AK835" s="959"/>
      <c r="AL835" s="959"/>
      <c r="AM835" s="959"/>
    </row>
    <row r="836" spans="3:39" x14ac:dyDescent="0.25">
      <c r="C836" s="959"/>
      <c r="D836" s="959"/>
      <c r="E836" s="959"/>
      <c r="F836" s="959"/>
      <c r="G836" s="959"/>
      <c r="H836" s="959"/>
      <c r="I836" s="959"/>
      <c r="J836" s="959"/>
      <c r="K836" s="959"/>
      <c r="L836" s="959"/>
      <c r="M836" s="959"/>
      <c r="N836" s="959"/>
      <c r="O836" s="959"/>
      <c r="P836" s="959"/>
      <c r="Q836" s="959"/>
      <c r="R836" s="959"/>
      <c r="S836" s="959"/>
      <c r="T836" s="959"/>
      <c r="U836" s="959"/>
      <c r="V836" s="959"/>
      <c r="W836" s="959"/>
      <c r="X836" s="959"/>
      <c r="Y836" s="959"/>
      <c r="Z836" s="959"/>
      <c r="AA836" s="959"/>
      <c r="AB836" s="959"/>
      <c r="AC836" s="959"/>
      <c r="AD836" s="959"/>
      <c r="AE836" s="959"/>
      <c r="AF836" s="959"/>
      <c r="AG836" s="959"/>
      <c r="AH836" s="959"/>
      <c r="AI836" s="959"/>
      <c r="AJ836" s="959"/>
      <c r="AK836" s="959"/>
      <c r="AL836" s="959"/>
      <c r="AM836" s="959"/>
    </row>
    <row r="837" spans="3:39" x14ac:dyDescent="0.25">
      <c r="C837" s="959"/>
      <c r="D837" s="959"/>
      <c r="E837" s="959"/>
      <c r="F837" s="959"/>
      <c r="G837" s="959"/>
      <c r="H837" s="959"/>
      <c r="I837" s="959"/>
      <c r="J837" s="959"/>
      <c r="K837" s="959"/>
      <c r="L837" s="959"/>
      <c r="M837" s="959"/>
      <c r="N837" s="959"/>
      <c r="O837" s="959"/>
      <c r="P837" s="959"/>
      <c r="Q837" s="959"/>
      <c r="R837" s="959"/>
      <c r="S837" s="959"/>
      <c r="T837" s="959"/>
      <c r="U837" s="959"/>
      <c r="V837" s="959"/>
      <c r="W837" s="959"/>
      <c r="X837" s="959"/>
      <c r="Y837" s="959"/>
      <c r="Z837" s="959"/>
      <c r="AA837" s="959"/>
      <c r="AB837" s="959"/>
      <c r="AC837" s="959"/>
      <c r="AD837" s="959"/>
      <c r="AE837" s="959"/>
      <c r="AF837" s="959"/>
      <c r="AG837" s="959"/>
      <c r="AH837" s="959"/>
      <c r="AI837" s="959"/>
      <c r="AJ837" s="959"/>
      <c r="AK837" s="959"/>
      <c r="AL837" s="959"/>
      <c r="AM837" s="959"/>
    </row>
    <row r="838" spans="3:39" x14ac:dyDescent="0.25">
      <c r="C838" s="959"/>
      <c r="D838" s="959"/>
      <c r="E838" s="959"/>
      <c r="F838" s="959"/>
      <c r="G838" s="959"/>
      <c r="H838" s="959"/>
      <c r="I838" s="959"/>
      <c r="J838" s="959"/>
      <c r="K838" s="959"/>
      <c r="L838" s="959"/>
      <c r="M838" s="959"/>
      <c r="N838" s="959"/>
      <c r="O838" s="959"/>
      <c r="P838" s="959"/>
      <c r="Q838" s="959"/>
      <c r="R838" s="959"/>
      <c r="S838" s="959"/>
      <c r="T838" s="959"/>
      <c r="U838" s="959"/>
      <c r="V838" s="959"/>
      <c r="W838" s="959"/>
      <c r="X838" s="959"/>
      <c r="Y838" s="959"/>
      <c r="Z838" s="959"/>
      <c r="AA838" s="959"/>
      <c r="AB838" s="959"/>
      <c r="AC838" s="959"/>
      <c r="AD838" s="959"/>
      <c r="AE838" s="959"/>
      <c r="AF838" s="959"/>
      <c r="AG838" s="959"/>
      <c r="AH838" s="959"/>
      <c r="AI838" s="959"/>
      <c r="AJ838" s="959"/>
      <c r="AK838" s="959"/>
      <c r="AL838" s="959"/>
      <c r="AM838" s="959"/>
    </row>
    <row r="839" spans="3:39" x14ac:dyDescent="0.25">
      <c r="C839" s="959"/>
      <c r="D839" s="959"/>
      <c r="E839" s="959"/>
      <c r="F839" s="959"/>
      <c r="G839" s="959"/>
      <c r="H839" s="959"/>
      <c r="I839" s="959"/>
      <c r="J839" s="959"/>
      <c r="K839" s="959"/>
      <c r="L839" s="959"/>
      <c r="M839" s="959"/>
      <c r="N839" s="959"/>
      <c r="O839" s="959"/>
      <c r="P839" s="959"/>
      <c r="Q839" s="959"/>
      <c r="R839" s="959"/>
      <c r="S839" s="959"/>
      <c r="T839" s="959"/>
      <c r="U839" s="959"/>
      <c r="V839" s="959"/>
      <c r="W839" s="959"/>
      <c r="X839" s="959"/>
      <c r="Y839" s="959"/>
      <c r="Z839" s="959"/>
      <c r="AA839" s="959"/>
      <c r="AB839" s="959"/>
      <c r="AC839" s="959"/>
      <c r="AD839" s="959"/>
      <c r="AE839" s="959"/>
      <c r="AF839" s="959"/>
      <c r="AG839" s="959"/>
      <c r="AH839" s="959"/>
      <c r="AI839" s="959"/>
      <c r="AJ839" s="959"/>
      <c r="AK839" s="959"/>
      <c r="AL839" s="959"/>
      <c r="AM839" s="959"/>
    </row>
    <row r="840" spans="3:39" x14ac:dyDescent="0.25">
      <c r="C840" s="959"/>
      <c r="D840" s="959"/>
      <c r="E840" s="959"/>
      <c r="F840" s="959"/>
      <c r="G840" s="959"/>
      <c r="H840" s="959"/>
      <c r="I840" s="959"/>
      <c r="J840" s="959"/>
      <c r="K840" s="959"/>
      <c r="L840" s="959"/>
      <c r="M840" s="959"/>
      <c r="N840" s="959"/>
      <c r="O840" s="959"/>
      <c r="P840" s="959"/>
      <c r="Q840" s="959"/>
      <c r="R840" s="959"/>
      <c r="S840" s="959"/>
      <c r="T840" s="959"/>
      <c r="U840" s="959"/>
      <c r="V840" s="959"/>
      <c r="W840" s="959"/>
      <c r="X840" s="959"/>
      <c r="Y840" s="959"/>
      <c r="Z840" s="959"/>
      <c r="AA840" s="959"/>
      <c r="AB840" s="959"/>
      <c r="AC840" s="959"/>
      <c r="AD840" s="959"/>
      <c r="AE840" s="959"/>
      <c r="AF840" s="959"/>
      <c r="AG840" s="959"/>
      <c r="AH840" s="959"/>
      <c r="AI840" s="959"/>
      <c r="AJ840" s="959"/>
      <c r="AK840" s="959"/>
      <c r="AL840" s="959"/>
      <c r="AM840" s="959"/>
    </row>
    <row r="841" spans="3:39" x14ac:dyDescent="0.25">
      <c r="C841" s="959"/>
      <c r="D841" s="959"/>
      <c r="E841" s="959"/>
      <c r="F841" s="959"/>
      <c r="G841" s="959"/>
      <c r="H841" s="959"/>
      <c r="I841" s="959"/>
      <c r="J841" s="959"/>
      <c r="K841" s="959"/>
      <c r="L841" s="959"/>
      <c r="M841" s="959"/>
      <c r="N841" s="959"/>
      <c r="O841" s="959"/>
      <c r="P841" s="959"/>
      <c r="Q841" s="959"/>
      <c r="R841" s="959"/>
      <c r="S841" s="959"/>
      <c r="T841" s="959"/>
      <c r="U841" s="959"/>
      <c r="V841" s="959"/>
      <c r="W841" s="959"/>
      <c r="X841" s="959"/>
      <c r="Y841" s="959"/>
      <c r="Z841" s="959"/>
      <c r="AA841" s="959"/>
      <c r="AB841" s="959"/>
      <c r="AC841" s="959"/>
      <c r="AD841" s="959"/>
      <c r="AE841" s="959"/>
      <c r="AF841" s="959"/>
      <c r="AG841" s="959"/>
      <c r="AH841" s="959"/>
      <c r="AI841" s="959"/>
      <c r="AJ841" s="959"/>
      <c r="AK841" s="959"/>
      <c r="AL841" s="959"/>
      <c r="AM841" s="959"/>
    </row>
    <row r="842" spans="3:39" x14ac:dyDescent="0.25">
      <c r="C842" s="959"/>
      <c r="D842" s="959"/>
      <c r="E842" s="959"/>
      <c r="F842" s="959"/>
      <c r="G842" s="959"/>
      <c r="H842" s="959"/>
      <c r="I842" s="959"/>
      <c r="J842" s="959"/>
      <c r="K842" s="959"/>
      <c r="L842" s="959"/>
      <c r="M842" s="959"/>
      <c r="N842" s="959"/>
      <c r="O842" s="959"/>
      <c r="P842" s="959"/>
      <c r="Q842" s="959"/>
      <c r="R842" s="959"/>
      <c r="S842" s="959"/>
      <c r="T842" s="959"/>
      <c r="U842" s="959"/>
      <c r="V842" s="959"/>
      <c r="W842" s="959"/>
      <c r="X842" s="959"/>
      <c r="Y842" s="959"/>
      <c r="Z842" s="959"/>
      <c r="AA842" s="959"/>
      <c r="AB842" s="959"/>
      <c r="AC842" s="959"/>
      <c r="AD842" s="959"/>
      <c r="AE842" s="959"/>
      <c r="AF842" s="959"/>
      <c r="AG842" s="959"/>
      <c r="AH842" s="959"/>
      <c r="AI842" s="959"/>
      <c r="AJ842" s="959"/>
      <c r="AK842" s="959"/>
      <c r="AL842" s="959"/>
      <c r="AM842" s="959"/>
    </row>
    <row r="843" spans="3:39" x14ac:dyDescent="0.25">
      <c r="C843" s="959"/>
      <c r="D843" s="959"/>
      <c r="E843" s="959"/>
      <c r="F843" s="959"/>
      <c r="G843" s="959"/>
      <c r="H843" s="959"/>
      <c r="I843" s="959"/>
      <c r="J843" s="959"/>
      <c r="K843" s="959"/>
      <c r="L843" s="959"/>
      <c r="M843" s="959"/>
      <c r="N843" s="959"/>
      <c r="O843" s="959"/>
      <c r="P843" s="959"/>
      <c r="Q843" s="959"/>
      <c r="R843" s="959"/>
      <c r="S843" s="959"/>
      <c r="T843" s="959"/>
      <c r="U843" s="959"/>
      <c r="V843" s="959"/>
      <c r="W843" s="959"/>
      <c r="X843" s="959"/>
      <c r="Y843" s="959"/>
      <c r="Z843" s="959"/>
      <c r="AA843" s="959"/>
      <c r="AB843" s="959"/>
      <c r="AC843" s="959"/>
      <c r="AD843" s="959"/>
      <c r="AE843" s="959"/>
      <c r="AF843" s="959"/>
      <c r="AG843" s="959"/>
      <c r="AH843" s="959"/>
      <c r="AI843" s="959"/>
      <c r="AJ843" s="959"/>
      <c r="AK843" s="959"/>
      <c r="AL843" s="959"/>
      <c r="AM843" s="959"/>
    </row>
    <row r="844" spans="3:39" x14ac:dyDescent="0.25">
      <c r="C844" s="959"/>
      <c r="D844" s="959"/>
      <c r="E844" s="959"/>
      <c r="F844" s="959"/>
      <c r="G844" s="959"/>
      <c r="H844" s="959"/>
      <c r="I844" s="959"/>
      <c r="J844" s="959"/>
      <c r="K844" s="959"/>
      <c r="L844" s="959"/>
      <c r="M844" s="959"/>
      <c r="N844" s="959"/>
      <c r="O844" s="959"/>
      <c r="P844" s="959"/>
      <c r="Q844" s="959"/>
      <c r="R844" s="959"/>
      <c r="S844" s="959"/>
      <c r="T844" s="959"/>
      <c r="U844" s="959"/>
      <c r="V844" s="959"/>
      <c r="W844" s="959"/>
      <c r="X844" s="959"/>
      <c r="Y844" s="959"/>
      <c r="Z844" s="959"/>
      <c r="AA844" s="959"/>
      <c r="AB844" s="959"/>
      <c r="AC844" s="959"/>
      <c r="AD844" s="959"/>
      <c r="AE844" s="959"/>
      <c r="AF844" s="959"/>
      <c r="AG844" s="959"/>
      <c r="AH844" s="959"/>
      <c r="AI844" s="959"/>
      <c r="AJ844" s="959"/>
      <c r="AK844" s="959"/>
      <c r="AL844" s="959"/>
      <c r="AM844" s="959"/>
    </row>
    <row r="845" spans="3:39" x14ac:dyDescent="0.25">
      <c r="C845" s="959"/>
      <c r="D845" s="959"/>
      <c r="E845" s="959"/>
      <c r="F845" s="959"/>
      <c r="G845" s="959"/>
      <c r="H845" s="959"/>
      <c r="I845" s="959"/>
      <c r="J845" s="959"/>
      <c r="K845" s="959"/>
      <c r="L845" s="959"/>
      <c r="M845" s="959"/>
      <c r="N845" s="959"/>
      <c r="O845" s="959"/>
      <c r="P845" s="959"/>
      <c r="Q845" s="959"/>
      <c r="R845" s="959"/>
      <c r="S845" s="959"/>
      <c r="T845" s="959"/>
      <c r="U845" s="959"/>
      <c r="V845" s="959"/>
      <c r="W845" s="959"/>
      <c r="X845" s="959"/>
      <c r="Y845" s="959"/>
      <c r="Z845" s="959"/>
      <c r="AA845" s="959"/>
      <c r="AB845" s="959"/>
      <c r="AC845" s="959"/>
      <c r="AD845" s="959"/>
      <c r="AE845" s="959"/>
      <c r="AF845" s="959"/>
      <c r="AG845" s="959"/>
      <c r="AH845" s="959"/>
      <c r="AI845" s="959"/>
      <c r="AJ845" s="959"/>
      <c r="AK845" s="959"/>
      <c r="AL845" s="959"/>
      <c r="AM845" s="959"/>
    </row>
    <row r="846" spans="3:39" x14ac:dyDescent="0.25">
      <c r="C846" s="959"/>
      <c r="D846" s="959"/>
      <c r="E846" s="959"/>
      <c r="F846" s="959"/>
      <c r="G846" s="959"/>
      <c r="H846" s="959"/>
      <c r="I846" s="959"/>
      <c r="J846" s="959"/>
      <c r="K846" s="959"/>
      <c r="L846" s="959"/>
      <c r="M846" s="959"/>
      <c r="N846" s="959"/>
      <c r="O846" s="959"/>
      <c r="P846" s="959"/>
      <c r="Q846" s="959"/>
      <c r="R846" s="959"/>
      <c r="S846" s="959"/>
      <c r="T846" s="959"/>
      <c r="U846" s="959"/>
      <c r="V846" s="959"/>
      <c r="W846" s="959"/>
      <c r="X846" s="959"/>
      <c r="Y846" s="959"/>
      <c r="Z846" s="959"/>
      <c r="AA846" s="959"/>
      <c r="AB846" s="959"/>
      <c r="AC846" s="959"/>
      <c r="AD846" s="959"/>
      <c r="AE846" s="959"/>
      <c r="AF846" s="959"/>
      <c r="AG846" s="959"/>
      <c r="AH846" s="959"/>
      <c r="AI846" s="959"/>
      <c r="AJ846" s="959"/>
      <c r="AK846" s="959"/>
      <c r="AL846" s="959"/>
      <c r="AM846" s="959"/>
    </row>
    <row r="847" spans="3:39" x14ac:dyDescent="0.25">
      <c r="C847" s="959"/>
      <c r="D847" s="959"/>
      <c r="E847" s="959"/>
      <c r="F847" s="959"/>
      <c r="G847" s="959"/>
      <c r="H847" s="959"/>
      <c r="I847" s="959"/>
      <c r="J847" s="959"/>
      <c r="K847" s="959"/>
      <c r="L847" s="959"/>
      <c r="M847" s="959"/>
      <c r="N847" s="959"/>
      <c r="O847" s="959"/>
      <c r="P847" s="959"/>
      <c r="Q847" s="959"/>
      <c r="R847" s="959"/>
      <c r="S847" s="959"/>
      <c r="T847" s="959"/>
      <c r="U847" s="959"/>
      <c r="V847" s="959"/>
      <c r="W847" s="959"/>
      <c r="X847" s="959"/>
      <c r="Y847" s="959"/>
      <c r="Z847" s="959"/>
      <c r="AA847" s="959"/>
      <c r="AB847" s="959"/>
      <c r="AC847" s="959"/>
      <c r="AD847" s="959"/>
      <c r="AE847" s="959"/>
      <c r="AF847" s="959"/>
      <c r="AG847" s="959"/>
      <c r="AH847" s="959"/>
      <c r="AI847" s="959"/>
      <c r="AJ847" s="959"/>
      <c r="AK847" s="959"/>
      <c r="AL847" s="959"/>
      <c r="AM847" s="959"/>
    </row>
    <row r="848" spans="3:39" x14ac:dyDescent="0.25">
      <c r="C848" s="959"/>
      <c r="D848" s="959"/>
      <c r="E848" s="959"/>
      <c r="F848" s="959"/>
      <c r="G848" s="959"/>
      <c r="H848" s="959"/>
      <c r="I848" s="959"/>
      <c r="J848" s="959"/>
      <c r="K848" s="959"/>
      <c r="L848" s="959"/>
      <c r="M848" s="959"/>
      <c r="N848" s="959"/>
      <c r="O848" s="959"/>
      <c r="P848" s="959"/>
      <c r="Q848" s="959"/>
      <c r="R848" s="959"/>
      <c r="S848" s="959"/>
      <c r="T848" s="959"/>
      <c r="U848" s="959"/>
      <c r="V848" s="959"/>
      <c r="W848" s="959"/>
      <c r="X848" s="959"/>
      <c r="Y848" s="959"/>
      <c r="Z848" s="959"/>
      <c r="AA848" s="959"/>
      <c r="AB848" s="959"/>
      <c r="AC848" s="959"/>
      <c r="AD848" s="959"/>
      <c r="AE848" s="959"/>
      <c r="AF848" s="959"/>
      <c r="AG848" s="959"/>
      <c r="AH848" s="959"/>
      <c r="AI848" s="959"/>
      <c r="AJ848" s="959"/>
      <c r="AK848" s="959"/>
      <c r="AL848" s="959"/>
      <c r="AM848" s="959"/>
    </row>
    <row r="849" spans="3:39" x14ac:dyDescent="0.25">
      <c r="C849" s="959"/>
      <c r="D849" s="959"/>
      <c r="E849" s="959"/>
      <c r="F849" s="959"/>
      <c r="G849" s="959"/>
      <c r="H849" s="959"/>
      <c r="I849" s="959"/>
      <c r="J849" s="959"/>
      <c r="K849" s="959"/>
      <c r="L849" s="959"/>
      <c r="M849" s="959"/>
      <c r="N849" s="959"/>
      <c r="O849" s="959"/>
      <c r="P849" s="959"/>
      <c r="Q849" s="959"/>
      <c r="R849" s="959"/>
      <c r="S849" s="959"/>
      <c r="T849" s="959"/>
      <c r="U849" s="959"/>
      <c r="V849" s="959"/>
      <c r="W849" s="959"/>
      <c r="X849" s="959"/>
      <c r="Y849" s="959"/>
      <c r="Z849" s="959"/>
      <c r="AA849" s="959"/>
      <c r="AB849" s="959"/>
      <c r="AC849" s="959"/>
      <c r="AD849" s="959"/>
      <c r="AE849" s="959"/>
      <c r="AF849" s="959"/>
      <c r="AG849" s="959"/>
      <c r="AH849" s="959"/>
      <c r="AI849" s="959"/>
      <c r="AJ849" s="959"/>
      <c r="AK849" s="959"/>
      <c r="AL849" s="959"/>
      <c r="AM849" s="959"/>
    </row>
    <row r="850" spans="3:39" x14ac:dyDescent="0.25">
      <c r="C850" s="959"/>
      <c r="D850" s="959"/>
      <c r="E850" s="959"/>
      <c r="F850" s="959"/>
      <c r="G850" s="959"/>
      <c r="H850" s="959"/>
      <c r="I850" s="959"/>
      <c r="J850" s="959"/>
      <c r="K850" s="959"/>
      <c r="L850" s="959"/>
      <c r="M850" s="959"/>
      <c r="N850" s="959"/>
      <c r="O850" s="959"/>
      <c r="P850" s="959"/>
      <c r="Q850" s="959"/>
      <c r="R850" s="959"/>
      <c r="S850" s="959"/>
      <c r="T850" s="959"/>
      <c r="U850" s="959"/>
      <c r="V850" s="959"/>
      <c r="W850" s="959"/>
      <c r="X850" s="959"/>
      <c r="Y850" s="959"/>
      <c r="Z850" s="959"/>
      <c r="AA850" s="959"/>
      <c r="AB850" s="959"/>
      <c r="AC850" s="959"/>
      <c r="AD850" s="959"/>
      <c r="AE850" s="959"/>
      <c r="AF850" s="959"/>
      <c r="AG850" s="959"/>
      <c r="AH850" s="959"/>
      <c r="AI850" s="959"/>
      <c r="AJ850" s="959"/>
      <c r="AK850" s="959"/>
      <c r="AL850" s="959"/>
      <c r="AM850" s="959"/>
    </row>
    <row r="851" spans="3:39" x14ac:dyDescent="0.25">
      <c r="C851" s="959"/>
      <c r="D851" s="959"/>
      <c r="E851" s="959"/>
      <c r="F851" s="959"/>
      <c r="G851" s="959"/>
      <c r="H851" s="959"/>
      <c r="I851" s="959"/>
      <c r="J851" s="959"/>
      <c r="K851" s="959"/>
      <c r="L851" s="959"/>
      <c r="M851" s="959"/>
      <c r="N851" s="959"/>
      <c r="O851" s="959"/>
      <c r="P851" s="959"/>
      <c r="Q851" s="959"/>
      <c r="R851" s="959"/>
      <c r="S851" s="959"/>
      <c r="T851" s="959"/>
      <c r="U851" s="959"/>
      <c r="V851" s="959"/>
      <c r="W851" s="959"/>
      <c r="X851" s="959"/>
      <c r="Y851" s="959"/>
      <c r="Z851" s="959"/>
      <c r="AA851" s="959"/>
      <c r="AB851" s="959"/>
      <c r="AC851" s="959"/>
      <c r="AD851" s="959"/>
      <c r="AE851" s="959"/>
      <c r="AF851" s="959"/>
      <c r="AG851" s="959"/>
      <c r="AH851" s="959"/>
      <c r="AI851" s="959"/>
      <c r="AJ851" s="959"/>
      <c r="AK851" s="959"/>
      <c r="AL851" s="959"/>
      <c r="AM851" s="959"/>
    </row>
    <row r="852" spans="3:39" x14ac:dyDescent="0.25">
      <c r="C852" s="959"/>
      <c r="D852" s="959"/>
      <c r="E852" s="959"/>
      <c r="F852" s="959"/>
      <c r="G852" s="959"/>
      <c r="H852" s="959"/>
      <c r="I852" s="959"/>
      <c r="J852" s="959"/>
      <c r="K852" s="959"/>
      <c r="L852" s="959"/>
      <c r="M852" s="959"/>
      <c r="N852" s="959"/>
      <c r="O852" s="959"/>
      <c r="P852" s="959"/>
      <c r="Q852" s="959"/>
      <c r="R852" s="959"/>
      <c r="S852" s="959"/>
      <c r="T852" s="959"/>
      <c r="U852" s="959"/>
      <c r="V852" s="959"/>
      <c r="W852" s="959"/>
      <c r="X852" s="959"/>
      <c r="Y852" s="959"/>
      <c r="Z852" s="959"/>
      <c r="AA852" s="959"/>
      <c r="AB852" s="959"/>
      <c r="AC852" s="959"/>
      <c r="AD852" s="959"/>
      <c r="AE852" s="959"/>
      <c r="AF852" s="959"/>
      <c r="AG852" s="959"/>
      <c r="AH852" s="959"/>
      <c r="AI852" s="959"/>
      <c r="AJ852" s="959"/>
      <c r="AK852" s="959"/>
      <c r="AL852" s="959"/>
      <c r="AM852" s="959"/>
    </row>
    <row r="853" spans="3:39" x14ac:dyDescent="0.25">
      <c r="C853" s="959"/>
      <c r="D853" s="959"/>
      <c r="E853" s="959"/>
      <c r="F853" s="959"/>
      <c r="G853" s="959"/>
      <c r="H853" s="959"/>
      <c r="I853" s="959"/>
      <c r="J853" s="959"/>
      <c r="K853" s="959"/>
      <c r="L853" s="959"/>
      <c r="M853" s="959"/>
      <c r="N853" s="959"/>
      <c r="O853" s="959"/>
      <c r="P853" s="959"/>
      <c r="Q853" s="959"/>
      <c r="R853" s="959"/>
      <c r="S853" s="959"/>
      <c r="T853" s="959"/>
      <c r="U853" s="959"/>
      <c r="V853" s="959"/>
      <c r="W853" s="959"/>
      <c r="X853" s="959"/>
      <c r="Y853" s="959"/>
      <c r="Z853" s="959"/>
      <c r="AA853" s="959"/>
      <c r="AB853" s="959"/>
      <c r="AC853" s="959"/>
      <c r="AD853" s="959"/>
      <c r="AE853" s="959"/>
      <c r="AF853" s="959"/>
      <c r="AG853" s="959"/>
      <c r="AH853" s="959"/>
      <c r="AI853" s="959"/>
      <c r="AJ853" s="959"/>
      <c r="AK853" s="959"/>
      <c r="AL853" s="959"/>
      <c r="AM853" s="959"/>
    </row>
    <row r="854" spans="3:39" x14ac:dyDescent="0.25">
      <c r="C854" s="959"/>
      <c r="D854" s="959"/>
      <c r="E854" s="959"/>
      <c r="F854" s="959"/>
      <c r="G854" s="959"/>
      <c r="H854" s="959"/>
      <c r="I854" s="959"/>
      <c r="J854" s="959"/>
      <c r="K854" s="959"/>
      <c r="L854" s="959"/>
      <c r="M854" s="959"/>
      <c r="N854" s="959"/>
      <c r="O854" s="959"/>
      <c r="P854" s="959"/>
      <c r="Q854" s="959"/>
      <c r="R854" s="959"/>
      <c r="S854" s="959"/>
      <c r="T854" s="959"/>
      <c r="U854" s="959"/>
      <c r="V854" s="959"/>
      <c r="W854" s="959"/>
      <c r="X854" s="959"/>
      <c r="Y854" s="959"/>
      <c r="Z854" s="959"/>
      <c r="AA854" s="959"/>
      <c r="AB854" s="959"/>
      <c r="AC854" s="959"/>
      <c r="AD854" s="959"/>
      <c r="AE854" s="959"/>
      <c r="AF854" s="959"/>
      <c r="AG854" s="959"/>
      <c r="AH854" s="959"/>
      <c r="AI854" s="959"/>
      <c r="AJ854" s="959"/>
      <c r="AK854" s="959"/>
      <c r="AL854" s="959"/>
      <c r="AM854" s="959"/>
    </row>
    <row r="855" spans="3:39" x14ac:dyDescent="0.25">
      <c r="C855" s="959"/>
      <c r="D855" s="959"/>
      <c r="E855" s="959"/>
      <c r="F855" s="959"/>
      <c r="G855" s="959"/>
      <c r="H855" s="959"/>
      <c r="I855" s="959"/>
      <c r="J855" s="959"/>
      <c r="K855" s="959"/>
      <c r="L855" s="959"/>
      <c r="M855" s="959"/>
      <c r="N855" s="959"/>
      <c r="O855" s="959"/>
      <c r="P855" s="959"/>
      <c r="Q855" s="959"/>
      <c r="R855" s="959"/>
      <c r="S855" s="959"/>
      <c r="T855" s="959"/>
      <c r="U855" s="959"/>
      <c r="V855" s="959"/>
      <c r="W855" s="959"/>
      <c r="X855" s="959"/>
      <c r="Y855" s="959"/>
      <c r="Z855" s="959"/>
      <c r="AA855" s="959"/>
      <c r="AB855" s="959"/>
      <c r="AC855" s="959"/>
      <c r="AD855" s="959"/>
      <c r="AE855" s="959"/>
      <c r="AF855" s="959"/>
      <c r="AG855" s="959"/>
      <c r="AH855" s="959"/>
      <c r="AI855" s="959"/>
      <c r="AJ855" s="959"/>
      <c r="AK855" s="959"/>
      <c r="AL855" s="959"/>
      <c r="AM855" s="959"/>
    </row>
    <row r="856" spans="3:39" x14ac:dyDescent="0.25">
      <c r="C856" s="959"/>
      <c r="D856" s="959"/>
      <c r="E856" s="959"/>
      <c r="F856" s="959"/>
      <c r="G856" s="959"/>
      <c r="H856" s="959"/>
      <c r="I856" s="959"/>
      <c r="J856" s="959"/>
      <c r="K856" s="959"/>
      <c r="L856" s="959"/>
      <c r="M856" s="959"/>
      <c r="N856" s="959"/>
      <c r="O856" s="959"/>
      <c r="P856" s="959"/>
      <c r="Q856" s="959"/>
      <c r="R856" s="959"/>
      <c r="S856" s="959"/>
      <c r="T856" s="959"/>
      <c r="U856" s="959"/>
      <c r="V856" s="959"/>
      <c r="W856" s="959"/>
      <c r="X856" s="959"/>
      <c r="Y856" s="959"/>
      <c r="Z856" s="959"/>
      <c r="AA856" s="959"/>
      <c r="AB856" s="959"/>
      <c r="AC856" s="959"/>
      <c r="AD856" s="959"/>
      <c r="AE856" s="959"/>
      <c r="AF856" s="959"/>
      <c r="AG856" s="959"/>
      <c r="AH856" s="959"/>
      <c r="AI856" s="959"/>
      <c r="AJ856" s="959"/>
      <c r="AK856" s="959"/>
      <c r="AL856" s="959"/>
      <c r="AM856" s="959"/>
    </row>
    <row r="857" spans="3:39" x14ac:dyDescent="0.25">
      <c r="C857" s="959"/>
      <c r="D857" s="959"/>
      <c r="E857" s="959"/>
      <c r="F857" s="959"/>
      <c r="G857" s="959"/>
      <c r="H857" s="959"/>
      <c r="I857" s="959"/>
      <c r="J857" s="959"/>
      <c r="K857" s="959"/>
      <c r="L857" s="959"/>
      <c r="M857" s="959"/>
      <c r="N857" s="959"/>
      <c r="O857" s="959"/>
      <c r="P857" s="959"/>
      <c r="Q857" s="959"/>
      <c r="R857" s="959"/>
      <c r="S857" s="959"/>
      <c r="T857" s="959"/>
      <c r="U857" s="959"/>
      <c r="V857" s="959"/>
      <c r="W857" s="959"/>
      <c r="X857" s="959"/>
      <c r="Y857" s="959"/>
      <c r="Z857" s="959"/>
      <c r="AA857" s="959"/>
      <c r="AB857" s="959"/>
      <c r="AC857" s="959"/>
      <c r="AD857" s="959"/>
      <c r="AE857" s="959"/>
      <c r="AF857" s="959"/>
      <c r="AG857" s="959"/>
      <c r="AH857" s="959"/>
      <c r="AI857" s="959"/>
      <c r="AJ857" s="959"/>
      <c r="AK857" s="959"/>
      <c r="AL857" s="959"/>
      <c r="AM857" s="959"/>
    </row>
    <row r="858" spans="3:39" x14ac:dyDescent="0.25">
      <c r="C858" s="959"/>
      <c r="D858" s="959"/>
      <c r="E858" s="959"/>
      <c r="F858" s="959"/>
      <c r="G858" s="959"/>
      <c r="H858" s="959"/>
      <c r="I858" s="959"/>
      <c r="J858" s="959"/>
      <c r="K858" s="959"/>
      <c r="L858" s="959"/>
      <c r="M858" s="959"/>
      <c r="N858" s="959"/>
      <c r="O858" s="959"/>
      <c r="P858" s="959"/>
      <c r="Q858" s="959"/>
      <c r="R858" s="959"/>
      <c r="S858" s="959"/>
      <c r="T858" s="959"/>
      <c r="U858" s="959"/>
      <c r="V858" s="959"/>
      <c r="W858" s="959"/>
      <c r="X858" s="959"/>
      <c r="Y858" s="959"/>
      <c r="Z858" s="959"/>
      <c r="AA858" s="959"/>
      <c r="AB858" s="959"/>
      <c r="AC858" s="959"/>
      <c r="AD858" s="959"/>
      <c r="AE858" s="959"/>
      <c r="AF858" s="959"/>
      <c r="AG858" s="959"/>
      <c r="AH858" s="959"/>
      <c r="AI858" s="959"/>
      <c r="AJ858" s="959"/>
      <c r="AK858" s="959"/>
      <c r="AL858" s="959"/>
      <c r="AM858" s="959"/>
    </row>
    <row r="859" spans="3:39" x14ac:dyDescent="0.25">
      <c r="C859" s="959"/>
      <c r="D859" s="959"/>
      <c r="E859" s="959"/>
      <c r="F859" s="959"/>
      <c r="G859" s="959"/>
      <c r="H859" s="959"/>
      <c r="I859" s="959"/>
      <c r="J859" s="959"/>
      <c r="K859" s="959"/>
      <c r="L859" s="959"/>
      <c r="M859" s="959"/>
      <c r="N859" s="959"/>
      <c r="O859" s="959"/>
      <c r="P859" s="959"/>
      <c r="Q859" s="959"/>
      <c r="R859" s="959"/>
      <c r="S859" s="959"/>
      <c r="T859" s="959"/>
      <c r="U859" s="959"/>
      <c r="V859" s="959"/>
      <c r="W859" s="959"/>
      <c r="X859" s="959"/>
      <c r="Y859" s="959"/>
      <c r="Z859" s="959"/>
      <c r="AA859" s="959"/>
      <c r="AB859" s="959"/>
      <c r="AC859" s="959"/>
      <c r="AD859" s="959"/>
      <c r="AE859" s="959"/>
      <c r="AF859" s="959"/>
      <c r="AG859" s="959"/>
      <c r="AH859" s="959"/>
      <c r="AI859" s="959"/>
      <c r="AJ859" s="959"/>
      <c r="AK859" s="959"/>
      <c r="AL859" s="959"/>
      <c r="AM859" s="959"/>
    </row>
    <row r="860" spans="3:39" x14ac:dyDescent="0.25">
      <c r="C860" s="959"/>
      <c r="D860" s="959"/>
      <c r="E860" s="959"/>
      <c r="F860" s="959"/>
      <c r="G860" s="959"/>
      <c r="H860" s="959"/>
      <c r="I860" s="959"/>
      <c r="J860" s="959"/>
      <c r="K860" s="959"/>
      <c r="L860" s="959"/>
      <c r="M860" s="959"/>
      <c r="N860" s="959"/>
      <c r="O860" s="959"/>
      <c r="P860" s="959"/>
      <c r="Q860" s="959"/>
      <c r="R860" s="959"/>
      <c r="S860" s="959"/>
      <c r="T860" s="959"/>
      <c r="U860" s="959"/>
      <c r="V860" s="959"/>
      <c r="W860" s="959"/>
      <c r="X860" s="959"/>
      <c r="Y860" s="959"/>
      <c r="Z860" s="959"/>
      <c r="AA860" s="959"/>
      <c r="AB860" s="959"/>
      <c r="AC860" s="959"/>
      <c r="AD860" s="959"/>
      <c r="AE860" s="959"/>
      <c r="AF860" s="959"/>
      <c r="AG860" s="959"/>
      <c r="AH860" s="959"/>
      <c r="AI860" s="959"/>
      <c r="AJ860" s="959"/>
      <c r="AK860" s="959"/>
      <c r="AL860" s="959"/>
      <c r="AM860" s="959"/>
    </row>
    <row r="861" spans="3:39" x14ac:dyDescent="0.25">
      <c r="C861" s="959"/>
      <c r="D861" s="959"/>
      <c r="E861" s="959"/>
      <c r="F861" s="959"/>
      <c r="G861" s="959"/>
      <c r="H861" s="959"/>
      <c r="I861" s="959"/>
      <c r="J861" s="959"/>
      <c r="K861" s="959"/>
      <c r="L861" s="959"/>
      <c r="M861" s="959"/>
      <c r="N861" s="959"/>
      <c r="O861" s="959"/>
      <c r="P861" s="959"/>
      <c r="Q861" s="959"/>
      <c r="R861" s="959"/>
      <c r="S861" s="959"/>
      <c r="T861" s="959"/>
      <c r="U861" s="959"/>
      <c r="V861" s="959"/>
      <c r="W861" s="959"/>
      <c r="X861" s="959"/>
      <c r="Y861" s="959"/>
      <c r="Z861" s="959"/>
      <c r="AA861" s="959"/>
      <c r="AB861" s="959"/>
      <c r="AC861" s="959"/>
      <c r="AD861" s="959"/>
      <c r="AE861" s="959"/>
      <c r="AF861" s="959"/>
      <c r="AG861" s="959"/>
      <c r="AH861" s="959"/>
      <c r="AI861" s="959"/>
      <c r="AJ861" s="959"/>
      <c r="AK861" s="959"/>
      <c r="AL861" s="959"/>
      <c r="AM861" s="959"/>
    </row>
    <row r="862" spans="3:39" x14ac:dyDescent="0.25">
      <c r="C862" s="959"/>
      <c r="D862" s="959"/>
      <c r="E862" s="959"/>
      <c r="F862" s="959"/>
      <c r="G862" s="959"/>
      <c r="H862" s="959"/>
      <c r="I862" s="959"/>
      <c r="J862" s="959"/>
      <c r="K862" s="959"/>
      <c r="L862" s="959"/>
      <c r="M862" s="959"/>
      <c r="N862" s="959"/>
      <c r="O862" s="959"/>
      <c r="P862" s="959"/>
      <c r="Q862" s="959"/>
      <c r="R862" s="959"/>
      <c r="S862" s="959"/>
      <c r="T862" s="959"/>
      <c r="U862" s="959"/>
      <c r="V862" s="959"/>
      <c r="W862" s="959"/>
      <c r="X862" s="959"/>
      <c r="Y862" s="959"/>
      <c r="Z862" s="959"/>
      <c r="AA862" s="959"/>
      <c r="AB862" s="959"/>
      <c r="AC862" s="959"/>
      <c r="AD862" s="959"/>
      <c r="AE862" s="959"/>
      <c r="AF862" s="959"/>
      <c r="AG862" s="959"/>
      <c r="AH862" s="959"/>
      <c r="AI862" s="959"/>
      <c r="AJ862" s="959"/>
      <c r="AK862" s="959"/>
      <c r="AL862" s="959"/>
      <c r="AM862" s="959"/>
    </row>
    <row r="863" spans="3:39" x14ac:dyDescent="0.25">
      <c r="C863" s="959"/>
      <c r="D863" s="959"/>
      <c r="E863" s="959"/>
      <c r="F863" s="959"/>
      <c r="G863" s="959"/>
      <c r="H863" s="959"/>
      <c r="I863" s="959"/>
      <c r="J863" s="959"/>
      <c r="K863" s="959"/>
      <c r="L863" s="959"/>
      <c r="M863" s="959"/>
      <c r="N863" s="959"/>
      <c r="O863" s="959"/>
      <c r="P863" s="959"/>
      <c r="Q863" s="959"/>
      <c r="R863" s="959"/>
      <c r="S863" s="959"/>
      <c r="T863" s="959"/>
      <c r="U863" s="959"/>
      <c r="V863" s="959"/>
      <c r="W863" s="959"/>
      <c r="X863" s="959"/>
      <c r="Y863" s="959"/>
      <c r="Z863" s="959"/>
      <c r="AA863" s="959"/>
      <c r="AB863" s="959"/>
      <c r="AC863" s="959"/>
      <c r="AD863" s="959"/>
      <c r="AE863" s="959"/>
      <c r="AF863" s="959"/>
      <c r="AG863" s="959"/>
      <c r="AH863" s="959"/>
      <c r="AI863" s="959"/>
      <c r="AJ863" s="959"/>
      <c r="AK863" s="959"/>
      <c r="AL863" s="959"/>
      <c r="AM863" s="959"/>
    </row>
    <row r="864" spans="3:39" x14ac:dyDescent="0.25">
      <c r="C864" s="959"/>
      <c r="D864" s="959"/>
      <c r="E864" s="959"/>
      <c r="F864" s="959"/>
      <c r="G864" s="959"/>
      <c r="H864" s="959"/>
      <c r="I864" s="959"/>
      <c r="J864" s="959"/>
      <c r="K864" s="959"/>
      <c r="L864" s="959"/>
      <c r="M864" s="959"/>
      <c r="N864" s="959"/>
      <c r="O864" s="959"/>
      <c r="P864" s="959"/>
      <c r="Q864" s="959"/>
      <c r="R864" s="959"/>
      <c r="S864" s="959"/>
      <c r="T864" s="959"/>
      <c r="U864" s="959"/>
      <c r="V864" s="959"/>
      <c r="W864" s="959"/>
      <c r="X864" s="959"/>
      <c r="Y864" s="959"/>
      <c r="Z864" s="959"/>
      <c r="AA864" s="959"/>
      <c r="AB864" s="959"/>
      <c r="AC864" s="959"/>
      <c r="AD864" s="959"/>
      <c r="AE864" s="959"/>
      <c r="AF864" s="959"/>
      <c r="AG864" s="959"/>
      <c r="AH864" s="959"/>
      <c r="AI864" s="959"/>
      <c r="AJ864" s="959"/>
      <c r="AK864" s="959"/>
      <c r="AL864" s="959"/>
      <c r="AM864" s="959"/>
    </row>
    <row r="865" spans="3:39" x14ac:dyDescent="0.25">
      <c r="C865" s="959"/>
      <c r="D865" s="959"/>
      <c r="E865" s="959"/>
      <c r="F865" s="959"/>
      <c r="G865" s="959"/>
      <c r="H865" s="959"/>
      <c r="I865" s="959"/>
      <c r="J865" s="959"/>
      <c r="K865" s="959"/>
      <c r="L865" s="959"/>
      <c r="M865" s="959"/>
      <c r="N865" s="959"/>
      <c r="O865" s="959"/>
      <c r="P865" s="959"/>
      <c r="Q865" s="959"/>
      <c r="R865" s="959"/>
      <c r="S865" s="959"/>
      <c r="T865" s="959"/>
      <c r="U865" s="959"/>
      <c r="V865" s="959"/>
      <c r="W865" s="959"/>
      <c r="X865" s="959"/>
      <c r="Y865" s="959"/>
      <c r="Z865" s="959"/>
      <c r="AA865" s="959"/>
      <c r="AB865" s="959"/>
      <c r="AC865" s="959"/>
      <c r="AD865" s="959"/>
      <c r="AE865" s="959"/>
      <c r="AF865" s="959"/>
      <c r="AG865" s="959"/>
      <c r="AH865" s="959"/>
      <c r="AI865" s="959"/>
      <c r="AJ865" s="959"/>
      <c r="AK865" s="959"/>
      <c r="AL865" s="959"/>
      <c r="AM865" s="959"/>
    </row>
    <row r="866" spans="3:39" x14ac:dyDescent="0.25">
      <c r="C866" s="959"/>
      <c r="D866" s="959"/>
      <c r="E866" s="959"/>
      <c r="F866" s="959"/>
      <c r="G866" s="959"/>
      <c r="H866" s="959"/>
      <c r="I866" s="959"/>
      <c r="J866" s="959"/>
      <c r="K866" s="959"/>
      <c r="L866" s="959"/>
      <c r="M866" s="959"/>
      <c r="N866" s="959"/>
      <c r="O866" s="959"/>
      <c r="P866" s="959"/>
      <c r="Q866" s="959"/>
      <c r="R866" s="959"/>
      <c r="S866" s="959"/>
      <c r="T866" s="959"/>
      <c r="U866" s="959"/>
      <c r="V866" s="959"/>
      <c r="W866" s="959"/>
      <c r="X866" s="959"/>
      <c r="Y866" s="959"/>
      <c r="Z866" s="959"/>
      <c r="AA866" s="959"/>
      <c r="AB866" s="959"/>
      <c r="AC866" s="959"/>
      <c r="AD866" s="959"/>
      <c r="AE866" s="959"/>
      <c r="AF866" s="959"/>
      <c r="AG866" s="959"/>
      <c r="AH866" s="959"/>
      <c r="AI866" s="959"/>
      <c r="AJ866" s="959"/>
      <c r="AK866" s="959"/>
      <c r="AL866" s="959"/>
      <c r="AM866" s="959"/>
    </row>
    <row r="867" spans="3:39" x14ac:dyDescent="0.25">
      <c r="C867" s="959"/>
      <c r="D867" s="959"/>
      <c r="E867" s="959"/>
      <c r="F867" s="959"/>
      <c r="G867" s="959"/>
      <c r="H867" s="959"/>
      <c r="I867" s="959"/>
      <c r="J867" s="959"/>
      <c r="K867" s="959"/>
      <c r="L867" s="959"/>
      <c r="M867" s="959"/>
      <c r="N867" s="959"/>
      <c r="O867" s="959"/>
      <c r="P867" s="959"/>
      <c r="Q867" s="959"/>
      <c r="R867" s="959"/>
      <c r="S867" s="959"/>
      <c r="T867" s="959"/>
      <c r="U867" s="959"/>
      <c r="V867" s="959"/>
      <c r="W867" s="959"/>
      <c r="X867" s="959"/>
      <c r="Y867" s="959"/>
      <c r="Z867" s="959"/>
      <c r="AA867" s="959"/>
      <c r="AB867" s="959"/>
      <c r="AC867" s="959"/>
      <c r="AD867" s="959"/>
      <c r="AE867" s="959"/>
      <c r="AF867" s="959"/>
      <c r="AG867" s="959"/>
      <c r="AH867" s="959"/>
      <c r="AI867" s="959"/>
      <c r="AJ867" s="959"/>
      <c r="AK867" s="959"/>
      <c r="AL867" s="959"/>
      <c r="AM867" s="959"/>
    </row>
    <row r="868" spans="3:39" x14ac:dyDescent="0.25">
      <c r="C868" s="959"/>
      <c r="D868" s="959"/>
      <c r="E868" s="959"/>
      <c r="F868" s="959"/>
      <c r="G868" s="959"/>
      <c r="H868" s="959"/>
      <c r="I868" s="959"/>
      <c r="J868" s="959"/>
      <c r="K868" s="959"/>
      <c r="L868" s="959"/>
      <c r="M868" s="959"/>
      <c r="N868" s="959"/>
      <c r="O868" s="959"/>
      <c r="P868" s="959"/>
      <c r="Q868" s="959"/>
      <c r="R868" s="959"/>
      <c r="S868" s="959"/>
      <c r="T868" s="959"/>
      <c r="U868" s="959"/>
      <c r="V868" s="959"/>
      <c r="W868" s="959"/>
      <c r="X868" s="959"/>
      <c r="Y868" s="959"/>
      <c r="Z868" s="959"/>
      <c r="AA868" s="959"/>
      <c r="AB868" s="959"/>
      <c r="AC868" s="959"/>
      <c r="AD868" s="959"/>
      <c r="AE868" s="959"/>
      <c r="AF868" s="959"/>
      <c r="AG868" s="959"/>
      <c r="AH868" s="959"/>
      <c r="AI868" s="959"/>
      <c r="AJ868" s="959"/>
      <c r="AK868" s="959"/>
      <c r="AL868" s="959"/>
      <c r="AM868" s="959"/>
    </row>
    <row r="869" spans="3:39" x14ac:dyDescent="0.25">
      <c r="C869" s="959"/>
      <c r="D869" s="959"/>
      <c r="E869" s="959"/>
      <c r="F869" s="959"/>
      <c r="G869" s="959"/>
      <c r="H869" s="959"/>
      <c r="I869" s="959"/>
      <c r="J869" s="959"/>
      <c r="K869" s="959"/>
      <c r="L869" s="959"/>
      <c r="M869" s="959"/>
      <c r="N869" s="959"/>
      <c r="O869" s="959"/>
      <c r="P869" s="959"/>
      <c r="Q869" s="959"/>
      <c r="R869" s="959"/>
      <c r="S869" s="959"/>
      <c r="T869" s="959"/>
      <c r="U869" s="959"/>
      <c r="V869" s="959"/>
      <c r="W869" s="959"/>
      <c r="X869" s="959"/>
      <c r="Y869" s="959"/>
      <c r="Z869" s="959"/>
      <c r="AA869" s="959"/>
      <c r="AB869" s="959"/>
      <c r="AC869" s="959"/>
      <c r="AD869" s="959"/>
      <c r="AE869" s="959"/>
      <c r="AF869" s="959"/>
      <c r="AG869" s="959"/>
      <c r="AH869" s="959"/>
      <c r="AI869" s="959"/>
      <c r="AJ869" s="959"/>
      <c r="AK869" s="959"/>
      <c r="AL869" s="959"/>
      <c r="AM869" s="959"/>
    </row>
    <row r="870" spans="3:39" x14ac:dyDescent="0.25">
      <c r="C870" s="959"/>
      <c r="D870" s="959"/>
      <c r="E870" s="959"/>
      <c r="F870" s="959"/>
      <c r="G870" s="959"/>
      <c r="H870" s="959"/>
      <c r="I870" s="959"/>
      <c r="J870" s="959"/>
      <c r="K870" s="959"/>
      <c r="L870" s="959"/>
      <c r="M870" s="959"/>
      <c r="N870" s="959"/>
      <c r="O870" s="959"/>
      <c r="P870" s="959"/>
      <c r="Q870" s="959"/>
      <c r="R870" s="959"/>
      <c r="S870" s="959"/>
      <c r="T870" s="959"/>
      <c r="U870" s="959"/>
      <c r="V870" s="959"/>
      <c r="W870" s="959"/>
      <c r="X870" s="959"/>
      <c r="Y870" s="959"/>
      <c r="Z870" s="959"/>
      <c r="AA870" s="959"/>
      <c r="AB870" s="959"/>
      <c r="AC870" s="959"/>
      <c r="AD870" s="959"/>
      <c r="AE870" s="959"/>
      <c r="AF870" s="959"/>
      <c r="AG870" s="959"/>
      <c r="AH870" s="959"/>
      <c r="AI870" s="959"/>
      <c r="AJ870" s="959"/>
      <c r="AK870" s="959"/>
      <c r="AL870" s="959"/>
      <c r="AM870" s="959"/>
    </row>
    <row r="871" spans="3:39" x14ac:dyDescent="0.25">
      <c r="C871" s="959"/>
      <c r="D871" s="959"/>
      <c r="E871" s="959"/>
      <c r="F871" s="959"/>
      <c r="G871" s="959"/>
      <c r="H871" s="959"/>
      <c r="I871" s="959"/>
      <c r="J871" s="959"/>
      <c r="K871" s="959"/>
      <c r="L871" s="959"/>
      <c r="M871" s="959"/>
      <c r="N871" s="959"/>
      <c r="O871" s="959"/>
      <c r="P871" s="959"/>
      <c r="Q871" s="959"/>
      <c r="R871" s="959"/>
      <c r="S871" s="959"/>
      <c r="T871" s="959"/>
      <c r="U871" s="959"/>
      <c r="V871" s="959"/>
      <c r="W871" s="959"/>
      <c r="X871" s="959"/>
      <c r="Y871" s="959"/>
      <c r="Z871" s="959"/>
      <c r="AA871" s="959"/>
      <c r="AB871" s="959"/>
      <c r="AC871" s="959"/>
      <c r="AD871" s="959"/>
      <c r="AE871" s="959"/>
      <c r="AF871" s="959"/>
      <c r="AG871" s="959"/>
      <c r="AH871" s="959"/>
      <c r="AI871" s="959"/>
      <c r="AJ871" s="959"/>
      <c r="AK871" s="959"/>
      <c r="AL871" s="959"/>
      <c r="AM871" s="959"/>
    </row>
    <row r="872" spans="3:39" x14ac:dyDescent="0.25">
      <c r="C872" s="959"/>
      <c r="D872" s="959"/>
      <c r="E872" s="959"/>
      <c r="F872" s="959"/>
      <c r="G872" s="959"/>
      <c r="H872" s="959"/>
      <c r="I872" s="959"/>
      <c r="J872" s="959"/>
      <c r="K872" s="959"/>
      <c r="L872" s="959"/>
      <c r="M872" s="959"/>
      <c r="N872" s="959"/>
      <c r="O872" s="959"/>
      <c r="P872" s="959"/>
      <c r="Q872" s="959"/>
      <c r="R872" s="959"/>
      <c r="S872" s="959"/>
      <c r="T872" s="959"/>
      <c r="U872" s="959"/>
      <c r="V872" s="959"/>
      <c r="W872" s="959"/>
      <c r="X872" s="959"/>
      <c r="Y872" s="959"/>
      <c r="Z872" s="959"/>
      <c r="AA872" s="959"/>
      <c r="AB872" s="959"/>
      <c r="AC872" s="959"/>
      <c r="AD872" s="959"/>
      <c r="AE872" s="959"/>
      <c r="AF872" s="959"/>
      <c r="AG872" s="959"/>
      <c r="AH872" s="959"/>
      <c r="AI872" s="959"/>
      <c r="AJ872" s="959"/>
      <c r="AK872" s="959"/>
      <c r="AL872" s="959"/>
      <c r="AM872" s="959"/>
    </row>
    <row r="873" spans="3:39" x14ac:dyDescent="0.25">
      <c r="C873" s="959"/>
      <c r="D873" s="959"/>
      <c r="E873" s="959"/>
      <c r="F873" s="959"/>
      <c r="G873" s="959"/>
      <c r="H873" s="959"/>
      <c r="I873" s="959"/>
      <c r="J873" s="959"/>
      <c r="K873" s="959"/>
      <c r="L873" s="959"/>
      <c r="M873" s="959"/>
      <c r="N873" s="959"/>
      <c r="O873" s="959"/>
      <c r="P873" s="959"/>
      <c r="Q873" s="959"/>
      <c r="R873" s="959"/>
      <c r="S873" s="959"/>
      <c r="T873" s="959"/>
      <c r="U873" s="959"/>
      <c r="V873" s="959"/>
      <c r="W873" s="959"/>
      <c r="X873" s="959"/>
      <c r="Y873" s="959"/>
      <c r="Z873" s="959"/>
      <c r="AA873" s="959"/>
      <c r="AB873" s="959"/>
      <c r="AC873" s="959"/>
      <c r="AD873" s="959"/>
      <c r="AE873" s="959"/>
      <c r="AF873" s="959"/>
      <c r="AG873" s="959"/>
      <c r="AH873" s="959"/>
      <c r="AI873" s="959"/>
      <c r="AJ873" s="959"/>
      <c r="AK873" s="959"/>
      <c r="AL873" s="959"/>
      <c r="AM873" s="959"/>
    </row>
    <row r="874" spans="3:39" x14ac:dyDescent="0.25">
      <c r="C874" s="959"/>
      <c r="D874" s="959"/>
      <c r="E874" s="959"/>
      <c r="F874" s="959"/>
      <c r="G874" s="959"/>
      <c r="H874" s="959"/>
      <c r="I874" s="959"/>
      <c r="J874" s="959"/>
      <c r="K874" s="959"/>
      <c r="L874" s="959"/>
      <c r="M874" s="959"/>
      <c r="N874" s="959"/>
      <c r="O874" s="959"/>
      <c r="P874" s="959"/>
      <c r="Q874" s="959"/>
      <c r="R874" s="959"/>
      <c r="S874" s="959"/>
      <c r="T874" s="959"/>
      <c r="U874" s="959"/>
      <c r="V874" s="959"/>
      <c r="W874" s="959"/>
      <c r="X874" s="959"/>
      <c r="Y874" s="959"/>
      <c r="Z874" s="959"/>
      <c r="AA874" s="959"/>
      <c r="AB874" s="959"/>
      <c r="AC874" s="959"/>
      <c r="AD874" s="959"/>
      <c r="AE874" s="959"/>
      <c r="AF874" s="959"/>
      <c r="AG874" s="959"/>
      <c r="AH874" s="959"/>
      <c r="AI874" s="959"/>
      <c r="AJ874" s="959"/>
      <c r="AK874" s="959"/>
      <c r="AL874" s="959"/>
      <c r="AM874" s="959"/>
    </row>
    <row r="875" spans="3:39" x14ac:dyDescent="0.25">
      <c r="C875" s="959"/>
      <c r="D875" s="959"/>
      <c r="E875" s="959"/>
      <c r="F875" s="959"/>
      <c r="G875" s="959"/>
      <c r="H875" s="959"/>
      <c r="I875" s="959"/>
      <c r="J875" s="959"/>
      <c r="K875" s="959"/>
      <c r="L875" s="959"/>
      <c r="M875" s="959"/>
      <c r="N875" s="959"/>
      <c r="O875" s="959"/>
      <c r="P875" s="959"/>
      <c r="Q875" s="959"/>
      <c r="R875" s="959"/>
      <c r="S875" s="959"/>
      <c r="T875" s="959"/>
      <c r="U875" s="959"/>
      <c r="V875" s="959"/>
      <c r="W875" s="959"/>
      <c r="X875" s="959"/>
      <c r="Y875" s="959"/>
      <c r="Z875" s="959"/>
      <c r="AA875" s="959"/>
      <c r="AB875" s="959"/>
      <c r="AC875" s="959"/>
      <c r="AD875" s="959"/>
      <c r="AE875" s="959"/>
      <c r="AF875" s="959"/>
      <c r="AG875" s="959"/>
      <c r="AH875" s="959"/>
      <c r="AI875" s="959"/>
      <c r="AJ875" s="959"/>
      <c r="AK875" s="959"/>
      <c r="AL875" s="959"/>
      <c r="AM875" s="959"/>
    </row>
    <row r="876" spans="3:39" x14ac:dyDescent="0.25">
      <c r="C876" s="959"/>
      <c r="D876" s="959"/>
      <c r="E876" s="959"/>
      <c r="F876" s="959"/>
      <c r="G876" s="959"/>
      <c r="H876" s="959"/>
      <c r="I876" s="959"/>
      <c r="J876" s="959"/>
      <c r="K876" s="959"/>
      <c r="L876" s="959"/>
      <c r="M876" s="959"/>
      <c r="N876" s="959"/>
      <c r="O876" s="959"/>
      <c r="P876" s="959"/>
      <c r="Q876" s="959"/>
      <c r="R876" s="959"/>
      <c r="S876" s="959"/>
      <c r="T876" s="959"/>
      <c r="U876" s="959"/>
      <c r="V876" s="959"/>
      <c r="W876" s="959"/>
      <c r="X876" s="959"/>
      <c r="Y876" s="959"/>
      <c r="Z876" s="959"/>
      <c r="AA876" s="959"/>
      <c r="AB876" s="959"/>
      <c r="AC876" s="959"/>
      <c r="AD876" s="959"/>
      <c r="AE876" s="959"/>
      <c r="AF876" s="959"/>
      <c r="AG876" s="959"/>
      <c r="AH876" s="959"/>
      <c r="AI876" s="959"/>
      <c r="AJ876" s="959"/>
      <c r="AK876" s="959"/>
      <c r="AL876" s="959"/>
      <c r="AM876" s="959"/>
    </row>
    <row r="877" spans="3:39" x14ac:dyDescent="0.25">
      <c r="C877" s="959"/>
      <c r="D877" s="959"/>
      <c r="E877" s="959"/>
      <c r="F877" s="959"/>
      <c r="G877" s="959"/>
      <c r="H877" s="959"/>
      <c r="I877" s="959"/>
      <c r="J877" s="959"/>
      <c r="K877" s="959"/>
      <c r="L877" s="959"/>
      <c r="M877" s="959"/>
      <c r="N877" s="959"/>
      <c r="O877" s="959"/>
      <c r="P877" s="959"/>
      <c r="Q877" s="959"/>
      <c r="R877" s="959"/>
      <c r="S877" s="959"/>
      <c r="T877" s="959"/>
      <c r="U877" s="959"/>
      <c r="V877" s="959"/>
      <c r="W877" s="959"/>
      <c r="X877" s="959"/>
      <c r="Y877" s="959"/>
      <c r="Z877" s="959"/>
      <c r="AA877" s="959"/>
      <c r="AB877" s="959"/>
      <c r="AC877" s="959"/>
      <c r="AD877" s="959"/>
      <c r="AE877" s="959"/>
      <c r="AF877" s="959"/>
      <c r="AG877" s="959"/>
      <c r="AH877" s="959"/>
      <c r="AI877" s="959"/>
      <c r="AJ877" s="959"/>
      <c r="AK877" s="959"/>
      <c r="AL877" s="959"/>
      <c r="AM877" s="959"/>
    </row>
    <row r="878" spans="3:39" x14ac:dyDescent="0.25">
      <c r="C878" s="959"/>
      <c r="D878" s="959"/>
      <c r="E878" s="959"/>
      <c r="F878" s="959"/>
      <c r="G878" s="959"/>
      <c r="H878" s="959"/>
      <c r="I878" s="959"/>
      <c r="J878" s="959"/>
      <c r="K878" s="959"/>
      <c r="L878" s="959"/>
      <c r="M878" s="959"/>
      <c r="N878" s="959"/>
      <c r="O878" s="959"/>
      <c r="P878" s="959"/>
      <c r="Q878" s="959"/>
      <c r="R878" s="959"/>
      <c r="S878" s="959"/>
      <c r="T878" s="959"/>
      <c r="U878" s="959"/>
      <c r="V878" s="959"/>
      <c r="W878" s="959"/>
      <c r="X878" s="959"/>
      <c r="Y878" s="959"/>
      <c r="Z878" s="959"/>
      <c r="AA878" s="959"/>
      <c r="AB878" s="959"/>
      <c r="AC878" s="959"/>
      <c r="AD878" s="959"/>
      <c r="AE878" s="959"/>
      <c r="AF878" s="959"/>
      <c r="AG878" s="959"/>
      <c r="AH878" s="959"/>
      <c r="AI878" s="959"/>
      <c r="AJ878" s="959"/>
      <c r="AK878" s="959"/>
      <c r="AL878" s="959"/>
      <c r="AM878" s="959"/>
    </row>
    <row r="879" spans="3:39" x14ac:dyDescent="0.25">
      <c r="C879" s="959"/>
      <c r="D879" s="959"/>
      <c r="E879" s="959"/>
      <c r="F879" s="959"/>
      <c r="G879" s="959"/>
      <c r="H879" s="959"/>
      <c r="I879" s="959"/>
      <c r="J879" s="959"/>
      <c r="K879" s="959"/>
      <c r="L879" s="959"/>
      <c r="M879" s="959"/>
      <c r="N879" s="959"/>
      <c r="O879" s="959"/>
      <c r="P879" s="959"/>
      <c r="Q879" s="959"/>
      <c r="R879" s="959"/>
      <c r="S879" s="959"/>
      <c r="T879" s="959"/>
      <c r="U879" s="959"/>
      <c r="V879" s="959"/>
      <c r="W879" s="959"/>
      <c r="X879" s="959"/>
      <c r="Y879" s="959"/>
      <c r="Z879" s="959"/>
      <c r="AA879" s="959"/>
      <c r="AB879" s="959"/>
      <c r="AC879" s="959"/>
      <c r="AD879" s="959"/>
      <c r="AE879" s="959"/>
      <c r="AF879" s="959"/>
      <c r="AG879" s="959"/>
      <c r="AH879" s="959"/>
      <c r="AI879" s="959"/>
      <c r="AJ879" s="959"/>
      <c r="AK879" s="959"/>
      <c r="AL879" s="959"/>
      <c r="AM879" s="959"/>
    </row>
    <row r="880" spans="3:39" x14ac:dyDescent="0.25">
      <c r="C880" s="959"/>
      <c r="D880" s="959"/>
      <c r="E880" s="959"/>
      <c r="F880" s="959"/>
      <c r="G880" s="959"/>
      <c r="H880" s="959"/>
      <c r="I880" s="959"/>
      <c r="J880" s="959"/>
      <c r="K880" s="959"/>
      <c r="L880" s="959"/>
      <c r="M880" s="959"/>
      <c r="N880" s="959"/>
      <c r="O880" s="959"/>
      <c r="P880" s="959"/>
      <c r="Q880" s="959"/>
      <c r="R880" s="959"/>
      <c r="S880" s="959"/>
      <c r="T880" s="959"/>
      <c r="U880" s="959"/>
      <c r="V880" s="959"/>
      <c r="W880" s="959"/>
      <c r="X880" s="959"/>
      <c r="Y880" s="959"/>
      <c r="Z880" s="959"/>
      <c r="AA880" s="959"/>
      <c r="AB880" s="959"/>
      <c r="AC880" s="959"/>
      <c r="AD880" s="959"/>
      <c r="AE880" s="959"/>
      <c r="AF880" s="959"/>
      <c r="AG880" s="959"/>
      <c r="AH880" s="959"/>
      <c r="AI880" s="959"/>
      <c r="AJ880" s="959"/>
      <c r="AK880" s="959"/>
      <c r="AL880" s="959"/>
      <c r="AM880" s="959"/>
    </row>
    <row r="881" spans="3:39" x14ac:dyDescent="0.25">
      <c r="C881" s="959"/>
      <c r="D881" s="959"/>
      <c r="E881" s="959"/>
      <c r="F881" s="959"/>
      <c r="G881" s="959"/>
      <c r="H881" s="959"/>
      <c r="I881" s="959"/>
      <c r="J881" s="959"/>
      <c r="K881" s="959"/>
      <c r="L881" s="959"/>
      <c r="M881" s="959"/>
      <c r="N881" s="959"/>
      <c r="O881" s="959"/>
      <c r="P881" s="959"/>
      <c r="Q881" s="959"/>
      <c r="R881" s="959"/>
      <c r="S881" s="959"/>
      <c r="T881" s="959"/>
      <c r="U881" s="959"/>
      <c r="V881" s="959"/>
      <c r="W881" s="959"/>
      <c r="X881" s="959"/>
      <c r="Y881" s="959"/>
      <c r="Z881" s="959"/>
      <c r="AA881" s="959"/>
      <c r="AB881" s="959"/>
      <c r="AC881" s="959"/>
      <c r="AD881" s="959"/>
      <c r="AE881" s="959"/>
      <c r="AF881" s="959"/>
      <c r="AG881" s="959"/>
      <c r="AH881" s="959"/>
      <c r="AI881" s="959"/>
      <c r="AJ881" s="959"/>
      <c r="AK881" s="959"/>
      <c r="AL881" s="959"/>
      <c r="AM881" s="959"/>
    </row>
    <row r="882" spans="3:39" x14ac:dyDescent="0.25">
      <c r="C882" s="959"/>
      <c r="D882" s="959"/>
      <c r="E882" s="959"/>
      <c r="F882" s="959"/>
      <c r="G882" s="959"/>
      <c r="H882" s="959"/>
      <c r="I882" s="959"/>
      <c r="J882" s="959"/>
      <c r="K882" s="959"/>
      <c r="L882" s="959"/>
      <c r="M882" s="959"/>
      <c r="N882" s="959"/>
      <c r="O882" s="959"/>
      <c r="P882" s="959"/>
      <c r="Q882" s="959"/>
      <c r="R882" s="959"/>
      <c r="S882" s="959"/>
      <c r="T882" s="959"/>
      <c r="U882" s="959"/>
      <c r="V882" s="959"/>
      <c r="W882" s="959"/>
      <c r="X882" s="959"/>
      <c r="Y882" s="959"/>
      <c r="Z882" s="959"/>
      <c r="AA882" s="959"/>
      <c r="AB882" s="959"/>
      <c r="AC882" s="959"/>
      <c r="AD882" s="959"/>
      <c r="AE882" s="959"/>
      <c r="AF882" s="959"/>
      <c r="AG882" s="959"/>
      <c r="AH882" s="959"/>
      <c r="AI882" s="959"/>
      <c r="AJ882" s="959"/>
      <c r="AK882" s="959"/>
      <c r="AL882" s="959"/>
      <c r="AM882" s="959"/>
    </row>
    <row r="883" spans="3:39" x14ac:dyDescent="0.25">
      <c r="C883" s="959"/>
      <c r="D883" s="959"/>
      <c r="E883" s="959"/>
      <c r="F883" s="959"/>
      <c r="G883" s="959"/>
      <c r="H883" s="959"/>
      <c r="I883" s="959"/>
      <c r="J883" s="959"/>
      <c r="K883" s="959"/>
      <c r="L883" s="959"/>
      <c r="M883" s="959"/>
      <c r="N883" s="959"/>
      <c r="O883" s="959"/>
      <c r="P883" s="959"/>
      <c r="Q883" s="959"/>
      <c r="R883" s="959"/>
      <c r="S883" s="959"/>
      <c r="T883" s="959"/>
      <c r="U883" s="959"/>
      <c r="V883" s="959"/>
      <c r="W883" s="959"/>
      <c r="X883" s="959"/>
      <c r="Y883" s="959"/>
      <c r="Z883" s="959"/>
      <c r="AA883" s="959"/>
      <c r="AB883" s="959"/>
      <c r="AC883" s="959"/>
      <c r="AD883" s="959"/>
      <c r="AE883" s="959"/>
      <c r="AF883" s="959"/>
      <c r="AG883" s="959"/>
      <c r="AH883" s="959"/>
      <c r="AI883" s="959"/>
      <c r="AJ883" s="959"/>
      <c r="AK883" s="959"/>
      <c r="AL883" s="959"/>
      <c r="AM883" s="959"/>
    </row>
    <row r="884" spans="3:39" x14ac:dyDescent="0.25">
      <c r="C884" s="959"/>
      <c r="D884" s="959"/>
      <c r="E884" s="959"/>
      <c r="F884" s="959"/>
      <c r="G884" s="959"/>
      <c r="H884" s="959"/>
      <c r="I884" s="959"/>
      <c r="J884" s="959"/>
      <c r="K884" s="959"/>
      <c r="L884" s="959"/>
      <c r="M884" s="959"/>
      <c r="N884" s="959"/>
      <c r="O884" s="959"/>
      <c r="P884" s="959"/>
      <c r="Q884" s="959"/>
      <c r="R884" s="959"/>
      <c r="S884" s="959"/>
      <c r="T884" s="959"/>
      <c r="U884" s="959"/>
      <c r="V884" s="959"/>
      <c r="W884" s="959"/>
      <c r="X884" s="959"/>
      <c r="Y884" s="959"/>
      <c r="Z884" s="959"/>
      <c r="AA884" s="959"/>
      <c r="AB884" s="959"/>
      <c r="AC884" s="959"/>
      <c r="AD884" s="959"/>
      <c r="AE884" s="959"/>
      <c r="AF884" s="959"/>
      <c r="AG884" s="959"/>
      <c r="AH884" s="959"/>
      <c r="AI884" s="959"/>
      <c r="AJ884" s="959"/>
      <c r="AK884" s="959"/>
      <c r="AL884" s="959"/>
      <c r="AM884" s="959"/>
    </row>
    <row r="885" spans="3:39" x14ac:dyDescent="0.25">
      <c r="C885" s="959"/>
      <c r="D885" s="959"/>
      <c r="E885" s="959"/>
      <c r="F885" s="959"/>
      <c r="G885" s="959"/>
      <c r="H885" s="959"/>
      <c r="I885" s="959"/>
      <c r="J885" s="959"/>
      <c r="K885" s="959"/>
      <c r="L885" s="959"/>
      <c r="M885" s="959"/>
      <c r="N885" s="959"/>
      <c r="O885" s="959"/>
      <c r="P885" s="959"/>
      <c r="Q885" s="959"/>
      <c r="R885" s="959"/>
      <c r="S885" s="959"/>
      <c r="T885" s="959"/>
      <c r="U885" s="959"/>
      <c r="V885" s="959"/>
      <c r="W885" s="959"/>
      <c r="X885" s="959"/>
      <c r="Y885" s="959"/>
      <c r="Z885" s="959"/>
      <c r="AA885" s="959"/>
      <c r="AB885" s="959"/>
      <c r="AC885" s="959"/>
      <c r="AD885" s="959"/>
      <c r="AE885" s="959"/>
      <c r="AF885" s="959"/>
      <c r="AG885" s="959"/>
      <c r="AH885" s="959"/>
      <c r="AI885" s="959"/>
      <c r="AJ885" s="959"/>
      <c r="AK885" s="959"/>
      <c r="AL885" s="959"/>
      <c r="AM885" s="959"/>
    </row>
    <row r="886" spans="3:39" x14ac:dyDescent="0.25">
      <c r="C886" s="959"/>
      <c r="D886" s="959"/>
      <c r="E886" s="959"/>
      <c r="F886" s="959"/>
      <c r="G886" s="959"/>
      <c r="H886" s="959"/>
      <c r="I886" s="959"/>
      <c r="J886" s="959"/>
      <c r="K886" s="959"/>
      <c r="L886" s="959"/>
      <c r="M886" s="959"/>
      <c r="N886" s="959"/>
      <c r="O886" s="959"/>
      <c r="P886" s="959"/>
      <c r="Q886" s="959"/>
      <c r="R886" s="959"/>
      <c r="S886" s="959"/>
      <c r="T886" s="959"/>
      <c r="U886" s="959"/>
      <c r="V886" s="959"/>
      <c r="W886" s="959"/>
      <c r="X886" s="959"/>
      <c r="Y886" s="959"/>
      <c r="Z886" s="959"/>
      <c r="AA886" s="959"/>
      <c r="AB886" s="959"/>
      <c r="AC886" s="959"/>
      <c r="AD886" s="959"/>
      <c r="AE886" s="959"/>
      <c r="AF886" s="959"/>
      <c r="AG886" s="959"/>
      <c r="AH886" s="959"/>
      <c r="AI886" s="959"/>
      <c r="AJ886" s="959"/>
      <c r="AK886" s="959"/>
      <c r="AL886" s="959"/>
      <c r="AM886" s="959"/>
    </row>
    <row r="887" spans="3:39" x14ac:dyDescent="0.25">
      <c r="C887" s="959"/>
      <c r="D887" s="959"/>
      <c r="E887" s="959"/>
      <c r="F887" s="959"/>
      <c r="G887" s="959"/>
      <c r="H887" s="959"/>
      <c r="I887" s="959"/>
      <c r="J887" s="959"/>
      <c r="K887" s="959"/>
      <c r="L887" s="959"/>
      <c r="M887" s="959"/>
      <c r="N887" s="959"/>
      <c r="O887" s="959"/>
      <c r="P887" s="959"/>
      <c r="Q887" s="959"/>
      <c r="R887" s="959"/>
      <c r="S887" s="959"/>
      <c r="T887" s="959"/>
      <c r="U887" s="959"/>
      <c r="V887" s="959"/>
      <c r="W887" s="959"/>
      <c r="X887" s="959"/>
      <c r="Y887" s="959"/>
      <c r="Z887" s="959"/>
      <c r="AA887" s="959"/>
      <c r="AB887" s="959"/>
      <c r="AC887" s="959"/>
      <c r="AD887" s="959"/>
      <c r="AE887" s="959"/>
      <c r="AF887" s="959"/>
      <c r="AG887" s="959"/>
      <c r="AH887" s="959"/>
      <c r="AI887" s="959"/>
      <c r="AJ887" s="959"/>
      <c r="AK887" s="959"/>
      <c r="AL887" s="959"/>
      <c r="AM887" s="959"/>
    </row>
    <row r="888" spans="3:39" x14ac:dyDescent="0.25">
      <c r="C888" s="959"/>
      <c r="D888" s="959"/>
      <c r="E888" s="959"/>
      <c r="F888" s="959"/>
      <c r="G888" s="959"/>
      <c r="H888" s="959"/>
      <c r="I888" s="959"/>
      <c r="J888" s="959"/>
      <c r="K888" s="959"/>
      <c r="L888" s="959"/>
      <c r="M888" s="959"/>
      <c r="N888" s="959"/>
      <c r="O888" s="959"/>
      <c r="P888" s="959"/>
      <c r="Q888" s="959"/>
      <c r="R888" s="959"/>
      <c r="S888" s="959"/>
      <c r="T888" s="959"/>
      <c r="U888" s="959"/>
      <c r="V888" s="959"/>
      <c r="W888" s="959"/>
      <c r="X888" s="959"/>
      <c r="Y888" s="959"/>
      <c r="Z888" s="959"/>
      <c r="AA888" s="959"/>
      <c r="AB888" s="959"/>
      <c r="AC888" s="959"/>
      <c r="AD888" s="959"/>
      <c r="AE888" s="959"/>
      <c r="AF888" s="959"/>
      <c r="AG888" s="959"/>
      <c r="AH888" s="959"/>
      <c r="AI888" s="959"/>
      <c r="AJ888" s="959"/>
      <c r="AK888" s="959"/>
      <c r="AL888" s="959"/>
      <c r="AM888" s="959"/>
    </row>
    <row r="889" spans="3:39" x14ac:dyDescent="0.25">
      <c r="C889" s="959"/>
      <c r="D889" s="959"/>
      <c r="E889" s="959"/>
      <c r="F889" s="959"/>
      <c r="G889" s="959"/>
      <c r="H889" s="959"/>
      <c r="I889" s="959"/>
      <c r="J889" s="959"/>
      <c r="K889" s="959"/>
      <c r="L889" s="959"/>
      <c r="M889" s="959"/>
      <c r="N889" s="959"/>
      <c r="O889" s="959"/>
      <c r="P889" s="959"/>
      <c r="Q889" s="959"/>
      <c r="R889" s="959"/>
      <c r="S889" s="959"/>
      <c r="T889" s="959"/>
      <c r="U889" s="959"/>
      <c r="V889" s="959"/>
      <c r="W889" s="959"/>
      <c r="X889" s="959"/>
      <c r="Y889" s="959"/>
      <c r="Z889" s="959"/>
      <c r="AA889" s="959"/>
      <c r="AB889" s="959"/>
      <c r="AC889" s="959"/>
      <c r="AD889" s="959"/>
      <c r="AE889" s="959"/>
      <c r="AF889" s="959"/>
      <c r="AG889" s="959"/>
      <c r="AH889" s="959"/>
      <c r="AI889" s="959"/>
      <c r="AJ889" s="959"/>
      <c r="AK889" s="959"/>
      <c r="AL889" s="959"/>
      <c r="AM889" s="959"/>
    </row>
    <row r="890" spans="3:39" x14ac:dyDescent="0.25">
      <c r="C890" s="959"/>
      <c r="D890" s="959"/>
      <c r="E890" s="959"/>
      <c r="F890" s="959"/>
      <c r="G890" s="959"/>
      <c r="H890" s="959"/>
      <c r="I890" s="959"/>
      <c r="J890" s="959"/>
      <c r="K890" s="959"/>
      <c r="L890" s="959"/>
      <c r="M890" s="959"/>
      <c r="N890" s="959"/>
      <c r="O890" s="959"/>
      <c r="P890" s="959"/>
      <c r="Q890" s="959"/>
      <c r="R890" s="959"/>
      <c r="S890" s="959"/>
      <c r="T890" s="959"/>
      <c r="U890" s="959"/>
      <c r="V890" s="959"/>
      <c r="W890" s="959"/>
      <c r="X890" s="959"/>
      <c r="Y890" s="959"/>
      <c r="Z890" s="959"/>
      <c r="AA890" s="959"/>
      <c r="AB890" s="959"/>
      <c r="AC890" s="959"/>
      <c r="AD890" s="959"/>
      <c r="AE890" s="959"/>
      <c r="AF890" s="959"/>
      <c r="AG890" s="959"/>
      <c r="AH890" s="959"/>
      <c r="AI890" s="959"/>
      <c r="AJ890" s="959"/>
      <c r="AK890" s="959"/>
      <c r="AL890" s="959"/>
      <c r="AM890" s="959"/>
    </row>
    <row r="891" spans="3:39" x14ac:dyDescent="0.25">
      <c r="C891" s="959"/>
      <c r="D891" s="959"/>
      <c r="E891" s="959"/>
      <c r="F891" s="959"/>
      <c r="G891" s="959"/>
      <c r="H891" s="959"/>
      <c r="I891" s="959"/>
      <c r="J891" s="959"/>
      <c r="K891" s="959"/>
      <c r="L891" s="959"/>
      <c r="M891" s="959"/>
      <c r="N891" s="959"/>
      <c r="O891" s="959"/>
      <c r="P891" s="959"/>
      <c r="Q891" s="959"/>
      <c r="R891" s="959"/>
      <c r="S891" s="959"/>
      <c r="T891" s="959"/>
      <c r="U891" s="959"/>
      <c r="V891" s="959"/>
      <c r="W891" s="959"/>
      <c r="X891" s="959"/>
      <c r="Y891" s="959"/>
      <c r="Z891" s="959"/>
      <c r="AA891" s="959"/>
      <c r="AB891" s="959"/>
      <c r="AC891" s="959"/>
      <c r="AD891" s="959"/>
      <c r="AE891" s="959"/>
      <c r="AF891" s="959"/>
      <c r="AG891" s="959"/>
      <c r="AH891" s="959"/>
      <c r="AI891" s="959"/>
      <c r="AJ891" s="959"/>
      <c r="AK891" s="959"/>
      <c r="AL891" s="959"/>
      <c r="AM891" s="959"/>
    </row>
    <row r="892" spans="3:39" x14ac:dyDescent="0.25">
      <c r="C892" s="959"/>
      <c r="D892" s="959"/>
      <c r="E892" s="959"/>
      <c r="F892" s="959"/>
      <c r="G892" s="959"/>
      <c r="H892" s="959"/>
      <c r="I892" s="959"/>
      <c r="J892" s="959"/>
      <c r="K892" s="959"/>
      <c r="L892" s="959"/>
      <c r="M892" s="959"/>
      <c r="N892" s="959"/>
      <c r="O892" s="959"/>
      <c r="P892" s="959"/>
      <c r="Q892" s="959"/>
      <c r="R892" s="959"/>
      <c r="S892" s="959"/>
      <c r="T892" s="959"/>
      <c r="U892" s="959"/>
      <c r="V892" s="959"/>
      <c r="W892" s="959"/>
      <c r="X892" s="959"/>
      <c r="Y892" s="959"/>
      <c r="Z892" s="959"/>
      <c r="AA892" s="959"/>
      <c r="AB892" s="959"/>
      <c r="AC892" s="959"/>
      <c r="AD892" s="959"/>
      <c r="AE892" s="959"/>
      <c r="AF892" s="959"/>
      <c r="AG892" s="959"/>
      <c r="AH892" s="959"/>
      <c r="AI892" s="959"/>
      <c r="AJ892" s="959"/>
      <c r="AK892" s="959"/>
      <c r="AL892" s="959"/>
      <c r="AM892" s="959"/>
    </row>
    <row r="893" spans="3:39" x14ac:dyDescent="0.25">
      <c r="C893" s="959"/>
      <c r="D893" s="959"/>
      <c r="E893" s="959"/>
      <c r="F893" s="959"/>
      <c r="G893" s="959"/>
      <c r="H893" s="959"/>
      <c r="I893" s="959"/>
      <c r="J893" s="959"/>
      <c r="K893" s="959"/>
      <c r="L893" s="959"/>
      <c r="M893" s="959"/>
      <c r="N893" s="959"/>
      <c r="O893" s="959"/>
      <c r="P893" s="959"/>
      <c r="Q893" s="959"/>
      <c r="R893" s="959"/>
      <c r="S893" s="959"/>
      <c r="T893" s="959"/>
      <c r="U893" s="959"/>
      <c r="V893" s="959"/>
      <c r="W893" s="959"/>
      <c r="X893" s="959"/>
      <c r="Y893" s="959"/>
      <c r="Z893" s="959"/>
      <c r="AA893" s="959"/>
      <c r="AB893" s="959"/>
      <c r="AC893" s="959"/>
      <c r="AD893" s="959"/>
      <c r="AE893" s="959"/>
      <c r="AF893" s="959"/>
      <c r="AG893" s="959"/>
      <c r="AH893" s="959"/>
      <c r="AI893" s="959"/>
      <c r="AJ893" s="959"/>
      <c r="AK893" s="959"/>
      <c r="AL893" s="959"/>
      <c r="AM893" s="959"/>
    </row>
    <row r="894" spans="3:39" x14ac:dyDescent="0.25">
      <c r="C894" s="959"/>
      <c r="D894" s="959"/>
      <c r="E894" s="959"/>
      <c r="F894" s="959"/>
      <c r="G894" s="959"/>
      <c r="H894" s="959"/>
      <c r="I894" s="959"/>
      <c r="J894" s="959"/>
      <c r="K894" s="959"/>
      <c r="L894" s="959"/>
      <c r="M894" s="959"/>
      <c r="N894" s="959"/>
      <c r="O894" s="959"/>
      <c r="P894" s="959"/>
      <c r="Q894" s="959"/>
      <c r="R894" s="959"/>
      <c r="S894" s="959"/>
      <c r="T894" s="959"/>
      <c r="U894" s="959"/>
      <c r="V894" s="959"/>
      <c r="W894" s="959"/>
      <c r="X894" s="959"/>
      <c r="Y894" s="959"/>
      <c r="Z894" s="959"/>
      <c r="AA894" s="959"/>
      <c r="AB894" s="959"/>
      <c r="AC894" s="959"/>
      <c r="AD894" s="959"/>
      <c r="AE894" s="959"/>
      <c r="AF894" s="959"/>
      <c r="AG894" s="959"/>
      <c r="AH894" s="959"/>
      <c r="AI894" s="959"/>
      <c r="AJ894" s="959"/>
      <c r="AK894" s="959"/>
      <c r="AL894" s="959"/>
      <c r="AM894" s="959"/>
    </row>
    <row r="895" spans="3:39" x14ac:dyDescent="0.25">
      <c r="C895" s="959"/>
      <c r="D895" s="959"/>
      <c r="E895" s="959"/>
      <c r="F895" s="959"/>
      <c r="G895" s="959"/>
      <c r="H895" s="959"/>
      <c r="I895" s="959"/>
      <c r="J895" s="959"/>
      <c r="K895" s="959"/>
      <c r="L895" s="959"/>
      <c r="M895" s="959"/>
      <c r="N895" s="959"/>
      <c r="O895" s="959"/>
      <c r="P895" s="959"/>
      <c r="Q895" s="959"/>
      <c r="R895" s="959"/>
      <c r="S895" s="959"/>
      <c r="T895" s="959"/>
      <c r="U895" s="959"/>
      <c r="V895" s="959"/>
      <c r="W895" s="959"/>
      <c r="X895" s="959"/>
      <c r="Y895" s="959"/>
      <c r="Z895" s="959"/>
      <c r="AA895" s="959"/>
      <c r="AB895" s="959"/>
      <c r="AC895" s="959"/>
      <c r="AD895" s="959"/>
      <c r="AE895" s="959"/>
      <c r="AF895" s="959"/>
      <c r="AG895" s="959"/>
      <c r="AH895" s="959"/>
      <c r="AI895" s="959"/>
      <c r="AJ895" s="959"/>
      <c r="AK895" s="959"/>
      <c r="AL895" s="959"/>
      <c r="AM895" s="959"/>
    </row>
    <row r="896" spans="3:39" x14ac:dyDescent="0.25">
      <c r="C896" s="959"/>
      <c r="D896" s="959"/>
      <c r="E896" s="959"/>
      <c r="F896" s="959"/>
      <c r="G896" s="959"/>
      <c r="H896" s="959"/>
      <c r="I896" s="959"/>
      <c r="J896" s="959"/>
      <c r="K896" s="959"/>
      <c r="L896" s="959"/>
      <c r="M896" s="959"/>
      <c r="N896" s="959"/>
      <c r="O896" s="959"/>
      <c r="P896" s="959"/>
      <c r="Q896" s="959"/>
      <c r="R896" s="959"/>
      <c r="S896" s="959"/>
      <c r="T896" s="959"/>
      <c r="U896" s="959"/>
      <c r="V896" s="959"/>
      <c r="W896" s="959"/>
      <c r="X896" s="959"/>
      <c r="Y896" s="959"/>
      <c r="Z896" s="959"/>
      <c r="AA896" s="959"/>
      <c r="AB896" s="959"/>
      <c r="AC896" s="959"/>
      <c r="AD896" s="959"/>
      <c r="AE896" s="959"/>
      <c r="AF896" s="959"/>
      <c r="AG896" s="959"/>
      <c r="AH896" s="959"/>
      <c r="AI896" s="959"/>
      <c r="AJ896" s="959"/>
      <c r="AK896" s="959"/>
      <c r="AL896" s="959"/>
      <c r="AM896" s="959"/>
    </row>
    <row r="897" spans="3:39" x14ac:dyDescent="0.25">
      <c r="C897" s="959"/>
      <c r="D897" s="959"/>
      <c r="E897" s="959"/>
      <c r="F897" s="959"/>
      <c r="G897" s="959"/>
      <c r="H897" s="959"/>
      <c r="I897" s="959"/>
      <c r="J897" s="959"/>
      <c r="K897" s="959"/>
      <c r="L897" s="959"/>
      <c r="M897" s="959"/>
      <c r="N897" s="959"/>
      <c r="O897" s="959"/>
      <c r="P897" s="959"/>
      <c r="Q897" s="959"/>
      <c r="R897" s="959"/>
      <c r="S897" s="959"/>
      <c r="T897" s="959"/>
      <c r="U897" s="959"/>
      <c r="V897" s="959"/>
      <c r="W897" s="959"/>
      <c r="X897" s="959"/>
      <c r="Y897" s="959"/>
      <c r="Z897" s="959"/>
      <c r="AA897" s="959"/>
      <c r="AB897" s="959"/>
      <c r="AC897" s="959"/>
      <c r="AD897" s="959"/>
      <c r="AE897" s="959"/>
      <c r="AF897" s="959"/>
      <c r="AG897" s="959"/>
      <c r="AH897" s="959"/>
      <c r="AI897" s="959"/>
      <c r="AJ897" s="959"/>
      <c r="AK897" s="959"/>
      <c r="AL897" s="959"/>
      <c r="AM897" s="959"/>
    </row>
    <row r="898" spans="3:39" x14ac:dyDescent="0.25">
      <c r="C898" s="959"/>
      <c r="D898" s="959"/>
      <c r="E898" s="959"/>
      <c r="F898" s="959"/>
      <c r="G898" s="959"/>
      <c r="H898" s="959"/>
      <c r="I898" s="959"/>
      <c r="J898" s="959"/>
      <c r="K898" s="959"/>
      <c r="L898" s="959"/>
      <c r="M898" s="959"/>
      <c r="N898" s="959"/>
      <c r="O898" s="959"/>
      <c r="P898" s="959"/>
      <c r="Q898" s="959"/>
      <c r="R898" s="959"/>
      <c r="S898" s="959"/>
      <c r="T898" s="959"/>
      <c r="U898" s="959"/>
      <c r="V898" s="959"/>
      <c r="W898" s="959"/>
      <c r="X898" s="959"/>
      <c r="Y898" s="959"/>
      <c r="Z898" s="959"/>
      <c r="AA898" s="959"/>
      <c r="AB898" s="959"/>
      <c r="AC898" s="959"/>
      <c r="AD898" s="959"/>
      <c r="AE898" s="959"/>
      <c r="AF898" s="959"/>
      <c r="AG898" s="959"/>
      <c r="AH898" s="959"/>
      <c r="AI898" s="959"/>
      <c r="AJ898" s="959"/>
      <c r="AK898" s="959"/>
      <c r="AL898" s="959"/>
      <c r="AM898" s="959"/>
    </row>
    <row r="899" spans="3:39" x14ac:dyDescent="0.25">
      <c r="C899" s="959"/>
      <c r="D899" s="959"/>
      <c r="E899" s="959"/>
      <c r="F899" s="959"/>
      <c r="G899" s="959"/>
      <c r="H899" s="959"/>
      <c r="I899" s="959"/>
      <c r="J899" s="959"/>
      <c r="K899" s="959"/>
      <c r="L899" s="959"/>
      <c r="M899" s="959"/>
      <c r="N899" s="959"/>
      <c r="O899" s="959"/>
      <c r="P899" s="959"/>
      <c r="Q899" s="959"/>
      <c r="R899" s="959"/>
      <c r="S899" s="959"/>
      <c r="T899" s="959"/>
      <c r="U899" s="959"/>
      <c r="V899" s="959"/>
      <c r="W899" s="959"/>
      <c r="X899" s="959"/>
      <c r="Y899" s="959"/>
      <c r="Z899" s="959"/>
      <c r="AA899" s="959"/>
      <c r="AB899" s="959"/>
      <c r="AC899" s="959"/>
      <c r="AD899" s="959"/>
      <c r="AE899" s="959"/>
      <c r="AF899" s="959"/>
      <c r="AG899" s="959"/>
      <c r="AH899" s="959"/>
      <c r="AI899" s="959"/>
      <c r="AJ899" s="959"/>
      <c r="AK899" s="959"/>
      <c r="AL899" s="959"/>
      <c r="AM899" s="959"/>
    </row>
    <row r="900" spans="3:39" x14ac:dyDescent="0.25">
      <c r="C900" s="959"/>
      <c r="D900" s="959"/>
      <c r="E900" s="959"/>
      <c r="F900" s="959"/>
      <c r="G900" s="959"/>
      <c r="H900" s="959"/>
      <c r="I900" s="959"/>
      <c r="J900" s="959"/>
      <c r="K900" s="959"/>
      <c r="L900" s="959"/>
      <c r="M900" s="959"/>
      <c r="N900" s="959"/>
      <c r="O900" s="959"/>
      <c r="P900" s="959"/>
      <c r="Q900" s="959"/>
      <c r="R900" s="959"/>
      <c r="S900" s="959"/>
      <c r="T900" s="959"/>
      <c r="U900" s="959"/>
      <c r="V900" s="959"/>
      <c r="W900" s="959"/>
      <c r="X900" s="959"/>
      <c r="Y900" s="959"/>
      <c r="Z900" s="959"/>
      <c r="AA900" s="959"/>
      <c r="AB900" s="959"/>
      <c r="AC900" s="959"/>
      <c r="AD900" s="959"/>
      <c r="AE900" s="959"/>
      <c r="AF900" s="959"/>
      <c r="AG900" s="959"/>
      <c r="AH900" s="959"/>
      <c r="AI900" s="959"/>
      <c r="AJ900" s="959"/>
      <c r="AK900" s="959"/>
      <c r="AL900" s="959"/>
      <c r="AM900" s="959"/>
    </row>
    <row r="901" spans="3:39" x14ac:dyDescent="0.25">
      <c r="C901" s="959"/>
      <c r="D901" s="959"/>
      <c r="E901" s="959"/>
      <c r="F901" s="959"/>
      <c r="G901" s="959"/>
      <c r="H901" s="959"/>
      <c r="I901" s="959"/>
      <c r="J901" s="959"/>
      <c r="K901" s="959"/>
      <c r="L901" s="959"/>
      <c r="M901" s="959"/>
      <c r="N901" s="959"/>
      <c r="O901" s="959"/>
      <c r="P901" s="959"/>
      <c r="Q901" s="959"/>
      <c r="R901" s="959"/>
      <c r="S901" s="959"/>
      <c r="T901" s="959"/>
      <c r="U901" s="959"/>
      <c r="V901" s="959"/>
      <c r="W901" s="959"/>
      <c r="X901" s="959"/>
      <c r="Y901" s="959"/>
      <c r="Z901" s="959"/>
      <c r="AA901" s="959"/>
      <c r="AB901" s="959"/>
      <c r="AC901" s="959"/>
      <c r="AD901" s="959"/>
      <c r="AE901" s="959"/>
      <c r="AF901" s="959"/>
      <c r="AG901" s="959"/>
      <c r="AH901" s="959"/>
      <c r="AI901" s="959"/>
      <c r="AJ901" s="959"/>
      <c r="AK901" s="959"/>
      <c r="AL901" s="959"/>
      <c r="AM901" s="959"/>
    </row>
    <row r="902" spans="3:39" x14ac:dyDescent="0.25">
      <c r="C902" s="959"/>
      <c r="D902" s="959"/>
      <c r="E902" s="959"/>
      <c r="F902" s="959"/>
      <c r="G902" s="959"/>
      <c r="H902" s="959"/>
      <c r="I902" s="959"/>
      <c r="J902" s="959"/>
      <c r="K902" s="959"/>
      <c r="L902" s="959"/>
      <c r="M902" s="959"/>
      <c r="N902" s="959"/>
      <c r="O902" s="959"/>
      <c r="P902" s="959"/>
      <c r="Q902" s="959"/>
      <c r="R902" s="959"/>
      <c r="S902" s="959"/>
      <c r="T902" s="959"/>
      <c r="U902" s="959"/>
      <c r="V902" s="959"/>
      <c r="W902" s="959"/>
      <c r="X902" s="959"/>
      <c r="Y902" s="959"/>
      <c r="Z902" s="959"/>
      <c r="AA902" s="959"/>
      <c r="AB902" s="959"/>
      <c r="AC902" s="959"/>
      <c r="AD902" s="959"/>
      <c r="AE902" s="959"/>
      <c r="AF902" s="959"/>
      <c r="AG902" s="959"/>
      <c r="AH902" s="959"/>
      <c r="AI902" s="959"/>
      <c r="AJ902" s="959"/>
      <c r="AK902" s="959"/>
      <c r="AL902" s="959"/>
      <c r="AM902" s="959"/>
    </row>
    <row r="903" spans="3:39" x14ac:dyDescent="0.25">
      <c r="C903" s="959"/>
      <c r="D903" s="959"/>
      <c r="E903" s="959"/>
      <c r="F903" s="959"/>
      <c r="G903" s="959"/>
      <c r="H903" s="959"/>
      <c r="I903" s="959"/>
      <c r="J903" s="959"/>
      <c r="K903" s="959"/>
      <c r="L903" s="959"/>
      <c r="M903" s="959"/>
      <c r="N903" s="959"/>
      <c r="O903" s="959"/>
      <c r="P903" s="959"/>
      <c r="Q903" s="959"/>
      <c r="R903" s="959"/>
      <c r="S903" s="959"/>
      <c r="T903" s="959"/>
      <c r="U903" s="959"/>
      <c r="V903" s="959"/>
      <c r="W903" s="959"/>
      <c r="X903" s="959"/>
      <c r="Y903" s="959"/>
      <c r="Z903" s="959"/>
      <c r="AA903" s="959"/>
      <c r="AB903" s="959"/>
      <c r="AC903" s="959"/>
      <c r="AD903" s="959"/>
      <c r="AE903" s="959"/>
      <c r="AF903" s="959"/>
      <c r="AG903" s="959"/>
      <c r="AH903" s="959"/>
      <c r="AI903" s="959"/>
      <c r="AJ903" s="959"/>
      <c r="AK903" s="959"/>
      <c r="AL903" s="959"/>
      <c r="AM903" s="959"/>
    </row>
    <row r="904" spans="3:39" x14ac:dyDescent="0.25">
      <c r="C904" s="959"/>
      <c r="D904" s="959"/>
      <c r="E904" s="959"/>
      <c r="F904" s="959"/>
      <c r="G904" s="959"/>
      <c r="H904" s="959"/>
      <c r="I904" s="959"/>
      <c r="J904" s="959"/>
      <c r="K904" s="959"/>
      <c r="L904" s="959"/>
      <c r="M904" s="959"/>
      <c r="N904" s="959"/>
      <c r="O904" s="959"/>
      <c r="P904" s="959"/>
      <c r="Q904" s="959"/>
      <c r="R904" s="959"/>
      <c r="S904" s="959"/>
      <c r="T904" s="959"/>
      <c r="U904" s="959"/>
      <c r="V904" s="959"/>
      <c r="W904" s="959"/>
      <c r="X904" s="959"/>
      <c r="Y904" s="959"/>
      <c r="Z904" s="959"/>
      <c r="AA904" s="959"/>
      <c r="AB904" s="959"/>
      <c r="AC904" s="959"/>
      <c r="AD904" s="959"/>
      <c r="AE904" s="959"/>
      <c r="AF904" s="959"/>
      <c r="AG904" s="959"/>
      <c r="AH904" s="959"/>
      <c r="AI904" s="959"/>
      <c r="AJ904" s="959"/>
      <c r="AK904" s="959"/>
      <c r="AL904" s="959"/>
      <c r="AM904" s="959"/>
    </row>
    <row r="905" spans="3:39" x14ac:dyDescent="0.25">
      <c r="C905" s="959"/>
      <c r="D905" s="959"/>
      <c r="E905" s="959"/>
      <c r="F905" s="959"/>
      <c r="G905" s="959"/>
      <c r="H905" s="959"/>
      <c r="I905" s="959"/>
      <c r="J905" s="959"/>
      <c r="K905" s="959"/>
      <c r="L905" s="959"/>
      <c r="M905" s="959"/>
      <c r="N905" s="959"/>
      <c r="O905" s="959"/>
      <c r="P905" s="959"/>
      <c r="Q905" s="959"/>
      <c r="R905" s="959"/>
      <c r="S905" s="959"/>
      <c r="T905" s="959"/>
      <c r="U905" s="959"/>
      <c r="V905" s="959"/>
      <c r="W905" s="959"/>
      <c r="X905" s="959"/>
      <c r="Y905" s="959"/>
      <c r="Z905" s="959"/>
      <c r="AA905" s="959"/>
      <c r="AB905" s="959"/>
      <c r="AC905" s="959"/>
      <c r="AD905" s="959"/>
      <c r="AE905" s="959"/>
      <c r="AF905" s="959"/>
      <c r="AG905" s="959"/>
      <c r="AH905" s="959"/>
      <c r="AI905" s="959"/>
      <c r="AJ905" s="959"/>
      <c r="AK905" s="959"/>
      <c r="AL905" s="959"/>
      <c r="AM905" s="959"/>
    </row>
    <row r="906" spans="3:39" x14ac:dyDescent="0.25">
      <c r="C906" s="959"/>
      <c r="D906" s="959"/>
      <c r="E906" s="959"/>
      <c r="F906" s="959"/>
      <c r="G906" s="959"/>
      <c r="H906" s="959"/>
      <c r="I906" s="959"/>
      <c r="J906" s="959"/>
      <c r="K906" s="959"/>
      <c r="L906" s="959"/>
      <c r="M906" s="959"/>
      <c r="N906" s="959"/>
      <c r="O906" s="959"/>
      <c r="P906" s="959"/>
      <c r="Q906" s="959"/>
      <c r="R906" s="959"/>
      <c r="S906" s="959"/>
      <c r="T906" s="959"/>
      <c r="U906" s="959"/>
      <c r="V906" s="959"/>
      <c r="W906" s="959"/>
      <c r="X906" s="959"/>
      <c r="Y906" s="959"/>
      <c r="Z906" s="959"/>
      <c r="AA906" s="959"/>
      <c r="AB906" s="959"/>
      <c r="AC906" s="959"/>
      <c r="AD906" s="959"/>
      <c r="AE906" s="959"/>
      <c r="AF906" s="959"/>
      <c r="AG906" s="959"/>
      <c r="AH906" s="959"/>
      <c r="AI906" s="959"/>
      <c r="AJ906" s="959"/>
      <c r="AK906" s="959"/>
      <c r="AL906" s="959"/>
      <c r="AM906" s="959"/>
    </row>
    <row r="907" spans="3:39" x14ac:dyDescent="0.25">
      <c r="C907" s="959"/>
      <c r="D907" s="959"/>
      <c r="E907" s="959"/>
      <c r="F907" s="959"/>
      <c r="G907" s="959"/>
      <c r="H907" s="959"/>
      <c r="I907" s="959"/>
      <c r="J907" s="959"/>
      <c r="K907" s="959"/>
      <c r="L907" s="959"/>
      <c r="M907" s="959"/>
      <c r="N907" s="959"/>
      <c r="O907" s="959"/>
      <c r="P907" s="959"/>
      <c r="Q907" s="959"/>
      <c r="R907" s="959"/>
      <c r="S907" s="959"/>
      <c r="T907" s="959"/>
      <c r="U907" s="959"/>
      <c r="V907" s="959"/>
      <c r="W907" s="959"/>
      <c r="X907" s="959"/>
      <c r="Y907" s="959"/>
      <c r="Z907" s="959"/>
      <c r="AA907" s="959"/>
      <c r="AB907" s="959"/>
      <c r="AC907" s="959"/>
      <c r="AD907" s="959"/>
      <c r="AE907" s="959"/>
      <c r="AF907" s="959"/>
      <c r="AG907" s="959"/>
      <c r="AH907" s="959"/>
      <c r="AI907" s="959"/>
      <c r="AJ907" s="959"/>
      <c r="AK907" s="959"/>
      <c r="AL907" s="959"/>
      <c r="AM907" s="959"/>
    </row>
    <row r="908" spans="3:39" x14ac:dyDescent="0.25">
      <c r="C908" s="959"/>
      <c r="D908" s="959"/>
      <c r="E908" s="959"/>
      <c r="F908" s="959"/>
      <c r="G908" s="959"/>
      <c r="H908" s="959"/>
      <c r="I908" s="959"/>
      <c r="J908" s="959"/>
      <c r="K908" s="959"/>
      <c r="L908" s="959"/>
      <c r="M908" s="959"/>
      <c r="N908" s="959"/>
      <c r="O908" s="959"/>
      <c r="P908" s="959"/>
      <c r="Q908" s="959"/>
      <c r="R908" s="959"/>
      <c r="S908" s="959"/>
      <c r="T908" s="959"/>
      <c r="U908" s="959"/>
      <c r="V908" s="959"/>
      <c r="W908" s="959"/>
      <c r="X908" s="959"/>
      <c r="Y908" s="959"/>
      <c r="Z908" s="959"/>
      <c r="AA908" s="959"/>
      <c r="AB908" s="959"/>
      <c r="AC908" s="959"/>
      <c r="AD908" s="959"/>
      <c r="AE908" s="959"/>
      <c r="AF908" s="959"/>
      <c r="AG908" s="959"/>
      <c r="AH908" s="959"/>
      <c r="AI908" s="959"/>
      <c r="AJ908" s="959"/>
      <c r="AK908" s="959"/>
      <c r="AL908" s="959"/>
      <c r="AM908" s="959"/>
    </row>
    <row r="909" spans="3:39" x14ac:dyDescent="0.25">
      <c r="C909" s="959"/>
      <c r="D909" s="959"/>
      <c r="E909" s="959"/>
      <c r="F909" s="959"/>
      <c r="G909" s="959"/>
      <c r="H909" s="959"/>
      <c r="I909" s="959"/>
      <c r="J909" s="959"/>
      <c r="K909" s="959"/>
      <c r="L909" s="959"/>
      <c r="M909" s="959"/>
      <c r="N909" s="959"/>
      <c r="O909" s="959"/>
      <c r="P909" s="959"/>
      <c r="Q909" s="959"/>
      <c r="R909" s="959"/>
      <c r="S909" s="959"/>
      <c r="T909" s="959"/>
      <c r="U909" s="959"/>
      <c r="V909" s="959"/>
      <c r="W909" s="959"/>
      <c r="X909" s="959"/>
      <c r="Y909" s="959"/>
      <c r="Z909" s="959"/>
      <c r="AA909" s="959"/>
      <c r="AB909" s="959"/>
      <c r="AC909" s="959"/>
      <c r="AD909" s="959"/>
      <c r="AE909" s="959"/>
      <c r="AF909" s="959"/>
      <c r="AG909" s="959"/>
      <c r="AH909" s="959"/>
      <c r="AI909" s="959"/>
      <c r="AJ909" s="959"/>
      <c r="AK909" s="959"/>
      <c r="AL909" s="959"/>
      <c r="AM909" s="959"/>
    </row>
    <row r="910" spans="3:39" x14ac:dyDescent="0.25">
      <c r="C910" s="959"/>
      <c r="D910" s="959"/>
      <c r="E910" s="959"/>
      <c r="F910" s="959"/>
      <c r="G910" s="959"/>
      <c r="H910" s="959"/>
      <c r="I910" s="959"/>
      <c r="J910" s="959"/>
      <c r="K910" s="959"/>
      <c r="L910" s="959"/>
      <c r="M910" s="959"/>
      <c r="N910" s="959"/>
      <c r="O910" s="959"/>
      <c r="P910" s="959"/>
      <c r="Q910" s="959"/>
      <c r="R910" s="959"/>
      <c r="S910" s="959"/>
      <c r="T910" s="959"/>
      <c r="U910" s="959"/>
      <c r="V910" s="959"/>
      <c r="W910" s="959"/>
      <c r="X910" s="959"/>
      <c r="Y910" s="959"/>
      <c r="Z910" s="959"/>
      <c r="AA910" s="959"/>
      <c r="AB910" s="959"/>
      <c r="AC910" s="959"/>
      <c r="AD910" s="959"/>
      <c r="AE910" s="959"/>
      <c r="AF910" s="959"/>
      <c r="AG910" s="959"/>
      <c r="AH910" s="959"/>
      <c r="AI910" s="959"/>
      <c r="AJ910" s="959"/>
      <c r="AK910" s="959"/>
      <c r="AL910" s="959"/>
      <c r="AM910" s="959"/>
    </row>
    <row r="911" spans="3:39" x14ac:dyDescent="0.25">
      <c r="C911" s="959"/>
      <c r="D911" s="959"/>
      <c r="E911" s="959"/>
      <c r="F911" s="959"/>
      <c r="G911" s="959"/>
      <c r="H911" s="959"/>
      <c r="I911" s="959"/>
      <c r="J911" s="959"/>
      <c r="K911" s="959"/>
      <c r="L911" s="959"/>
      <c r="M911" s="959"/>
      <c r="N911" s="959"/>
      <c r="O911" s="959"/>
      <c r="P911" s="959"/>
      <c r="Q911" s="959"/>
      <c r="R911" s="959"/>
      <c r="S911" s="959"/>
      <c r="T911" s="959"/>
      <c r="U911" s="959"/>
      <c r="V911" s="959"/>
      <c r="W911" s="959"/>
      <c r="X911" s="959"/>
      <c r="Y911" s="959"/>
      <c r="Z911" s="959"/>
      <c r="AA911" s="959"/>
      <c r="AB911" s="959"/>
      <c r="AC911" s="959"/>
      <c r="AD911" s="959"/>
      <c r="AE911" s="959"/>
      <c r="AF911" s="959"/>
      <c r="AG911" s="959"/>
      <c r="AH911" s="959"/>
      <c r="AI911" s="959"/>
      <c r="AJ911" s="959"/>
      <c r="AK911" s="959"/>
      <c r="AL911" s="959"/>
      <c r="AM911" s="959"/>
    </row>
    <row r="912" spans="3:39" x14ac:dyDescent="0.25">
      <c r="C912" s="959"/>
      <c r="D912" s="959"/>
      <c r="E912" s="959"/>
      <c r="F912" s="959"/>
      <c r="G912" s="959"/>
      <c r="H912" s="959"/>
      <c r="I912" s="959"/>
      <c r="J912" s="959"/>
      <c r="K912" s="959"/>
      <c r="L912" s="959"/>
      <c r="M912" s="959"/>
      <c r="N912" s="959"/>
      <c r="O912" s="959"/>
      <c r="P912" s="959"/>
      <c r="Q912" s="959"/>
      <c r="R912" s="959"/>
      <c r="S912" s="959"/>
      <c r="T912" s="959"/>
      <c r="U912" s="959"/>
      <c r="V912" s="959"/>
      <c r="W912" s="959"/>
      <c r="X912" s="959"/>
      <c r="Y912" s="959"/>
      <c r="Z912" s="959"/>
      <c r="AA912" s="959"/>
      <c r="AB912" s="959"/>
      <c r="AC912" s="959"/>
      <c r="AD912" s="959"/>
      <c r="AE912" s="959"/>
      <c r="AF912" s="959"/>
      <c r="AG912" s="959"/>
      <c r="AH912" s="959"/>
      <c r="AI912" s="959"/>
      <c r="AJ912" s="959"/>
      <c r="AK912" s="959"/>
      <c r="AL912" s="959"/>
      <c r="AM912" s="959"/>
    </row>
    <row r="913" spans="3:39" x14ac:dyDescent="0.25">
      <c r="C913" s="959"/>
      <c r="D913" s="959"/>
      <c r="E913" s="959"/>
      <c r="F913" s="959"/>
      <c r="G913" s="959"/>
      <c r="H913" s="959"/>
      <c r="I913" s="959"/>
      <c r="J913" s="959"/>
      <c r="K913" s="959"/>
      <c r="L913" s="959"/>
      <c r="M913" s="959"/>
      <c r="N913" s="959"/>
      <c r="O913" s="959"/>
      <c r="P913" s="959"/>
      <c r="Q913" s="959"/>
      <c r="R913" s="959"/>
      <c r="S913" s="959"/>
      <c r="T913" s="959"/>
      <c r="U913" s="959"/>
      <c r="V913" s="959"/>
      <c r="W913" s="959"/>
      <c r="X913" s="959"/>
      <c r="Y913" s="959"/>
      <c r="Z913" s="959"/>
      <c r="AA913" s="959"/>
      <c r="AB913" s="959"/>
      <c r="AC913" s="959"/>
      <c r="AD913" s="959"/>
      <c r="AE913" s="959"/>
      <c r="AF913" s="959"/>
      <c r="AG913" s="959"/>
      <c r="AH913" s="959"/>
      <c r="AI913" s="959"/>
      <c r="AJ913" s="959"/>
      <c r="AK913" s="959"/>
      <c r="AL913" s="959"/>
      <c r="AM913" s="959"/>
    </row>
    <row r="914" spans="3:39" x14ac:dyDescent="0.25">
      <c r="C914" s="959"/>
      <c r="D914" s="959"/>
      <c r="E914" s="959"/>
      <c r="F914" s="959"/>
      <c r="G914" s="959"/>
      <c r="H914" s="959"/>
      <c r="I914" s="959"/>
      <c r="J914" s="959"/>
      <c r="K914" s="959"/>
      <c r="L914" s="959"/>
      <c r="M914" s="959"/>
      <c r="N914" s="959"/>
      <c r="O914" s="959"/>
      <c r="P914" s="959"/>
      <c r="Q914" s="959"/>
      <c r="R914" s="959"/>
      <c r="S914" s="959"/>
      <c r="T914" s="959"/>
      <c r="U914" s="959"/>
      <c r="V914" s="959"/>
      <c r="W914" s="959"/>
      <c r="X914" s="959"/>
      <c r="Y914" s="959"/>
      <c r="Z914" s="959"/>
      <c r="AA914" s="959"/>
      <c r="AB914" s="959"/>
      <c r="AC914" s="959"/>
      <c r="AD914" s="959"/>
      <c r="AE914" s="959"/>
      <c r="AF914" s="959"/>
      <c r="AG914" s="959"/>
      <c r="AH914" s="959"/>
      <c r="AI914" s="959"/>
      <c r="AJ914" s="959"/>
      <c r="AK914" s="959"/>
      <c r="AL914" s="959"/>
      <c r="AM914" s="959"/>
    </row>
    <row r="915" spans="3:39" x14ac:dyDescent="0.25">
      <c r="C915" s="959"/>
      <c r="D915" s="959"/>
      <c r="E915" s="959"/>
      <c r="F915" s="959"/>
      <c r="G915" s="959"/>
      <c r="H915" s="959"/>
      <c r="I915" s="959"/>
      <c r="J915" s="959"/>
      <c r="K915" s="959"/>
      <c r="L915" s="959"/>
      <c r="M915" s="959"/>
      <c r="N915" s="959"/>
      <c r="O915" s="959"/>
      <c r="P915" s="959"/>
      <c r="Q915" s="959"/>
      <c r="R915" s="959"/>
      <c r="S915" s="959"/>
      <c r="T915" s="959"/>
      <c r="U915" s="959"/>
      <c r="V915" s="959"/>
      <c r="W915" s="959"/>
      <c r="X915" s="959"/>
      <c r="Y915" s="959"/>
      <c r="Z915" s="959"/>
      <c r="AA915" s="959"/>
      <c r="AB915" s="959"/>
      <c r="AC915" s="959"/>
      <c r="AD915" s="959"/>
      <c r="AE915" s="959"/>
      <c r="AF915" s="959"/>
      <c r="AG915" s="959"/>
      <c r="AH915" s="959"/>
      <c r="AI915" s="959"/>
      <c r="AJ915" s="959"/>
      <c r="AK915" s="959"/>
      <c r="AL915" s="959"/>
      <c r="AM915" s="959"/>
    </row>
    <row r="916" spans="3:39" x14ac:dyDescent="0.25">
      <c r="C916" s="959"/>
      <c r="D916" s="959"/>
      <c r="E916" s="959"/>
      <c r="F916" s="959"/>
      <c r="G916" s="959"/>
      <c r="H916" s="959"/>
      <c r="I916" s="959"/>
      <c r="J916" s="959"/>
      <c r="K916" s="959"/>
      <c r="L916" s="959"/>
      <c r="M916" s="959"/>
      <c r="N916" s="959"/>
      <c r="O916" s="959"/>
      <c r="P916" s="959"/>
      <c r="Q916" s="959"/>
      <c r="R916" s="959"/>
      <c r="S916" s="959"/>
      <c r="T916" s="959"/>
      <c r="U916" s="959"/>
      <c r="V916" s="959"/>
      <c r="W916" s="959"/>
      <c r="X916" s="959"/>
      <c r="Y916" s="959"/>
      <c r="Z916" s="959"/>
      <c r="AA916" s="959"/>
      <c r="AB916" s="959"/>
      <c r="AC916" s="959"/>
      <c r="AD916" s="959"/>
      <c r="AE916" s="959"/>
      <c r="AF916" s="959"/>
      <c r="AG916" s="959"/>
      <c r="AH916" s="959"/>
      <c r="AI916" s="959"/>
      <c r="AJ916" s="959"/>
      <c r="AK916" s="959"/>
      <c r="AL916" s="959"/>
      <c r="AM916" s="959"/>
    </row>
    <row r="917" spans="3:39" x14ac:dyDescent="0.25">
      <c r="C917" s="959"/>
      <c r="D917" s="959"/>
      <c r="E917" s="959"/>
      <c r="F917" s="959"/>
      <c r="G917" s="959"/>
      <c r="H917" s="959"/>
      <c r="I917" s="959"/>
      <c r="J917" s="959"/>
      <c r="K917" s="959"/>
      <c r="L917" s="959"/>
      <c r="M917" s="959"/>
      <c r="N917" s="959"/>
      <c r="O917" s="959"/>
      <c r="P917" s="959"/>
      <c r="Q917" s="959"/>
      <c r="R917" s="959"/>
      <c r="S917" s="959"/>
      <c r="T917" s="959"/>
      <c r="U917" s="959"/>
      <c r="V917" s="959"/>
      <c r="W917" s="959"/>
      <c r="X917" s="959"/>
      <c r="Y917" s="959"/>
      <c r="Z917" s="959"/>
      <c r="AA917" s="959"/>
      <c r="AB917" s="959"/>
      <c r="AC917" s="959"/>
      <c r="AD917" s="959"/>
      <c r="AE917" s="959"/>
      <c r="AF917" s="959"/>
      <c r="AG917" s="959"/>
      <c r="AH917" s="959"/>
      <c r="AI917" s="959"/>
      <c r="AJ917" s="959"/>
      <c r="AK917" s="959"/>
      <c r="AL917" s="959"/>
      <c r="AM917" s="959"/>
    </row>
    <row r="918" spans="3:39" x14ac:dyDescent="0.25">
      <c r="C918" s="959"/>
      <c r="D918" s="959"/>
      <c r="E918" s="959"/>
      <c r="F918" s="959"/>
      <c r="G918" s="959"/>
      <c r="H918" s="959"/>
      <c r="I918" s="959"/>
      <c r="J918" s="959"/>
      <c r="K918" s="959"/>
      <c r="L918" s="959"/>
      <c r="M918" s="959"/>
      <c r="N918" s="959"/>
      <c r="O918" s="959"/>
      <c r="P918" s="959"/>
      <c r="Q918" s="959"/>
      <c r="R918" s="959"/>
      <c r="S918" s="959"/>
      <c r="T918" s="959"/>
      <c r="U918" s="959"/>
      <c r="V918" s="959"/>
      <c r="W918" s="959"/>
      <c r="X918" s="959"/>
      <c r="Y918" s="959"/>
      <c r="Z918" s="959"/>
      <c r="AA918" s="959"/>
      <c r="AB918" s="959"/>
      <c r="AC918" s="959"/>
      <c r="AD918" s="959"/>
      <c r="AE918" s="959"/>
      <c r="AF918" s="959"/>
      <c r="AG918" s="959"/>
      <c r="AH918" s="959"/>
      <c r="AI918" s="959"/>
      <c r="AJ918" s="959"/>
      <c r="AK918" s="959"/>
      <c r="AL918" s="959"/>
      <c r="AM918" s="959"/>
    </row>
    <row r="919" spans="3:39" x14ac:dyDescent="0.25">
      <c r="C919" s="959"/>
      <c r="D919" s="959"/>
      <c r="E919" s="959"/>
      <c r="F919" s="959"/>
      <c r="G919" s="959"/>
      <c r="H919" s="959"/>
      <c r="I919" s="959"/>
      <c r="J919" s="959"/>
      <c r="K919" s="959"/>
      <c r="L919" s="959"/>
      <c r="M919" s="959"/>
      <c r="N919" s="959"/>
      <c r="O919" s="959"/>
      <c r="P919" s="959"/>
      <c r="Q919" s="959"/>
      <c r="R919" s="959"/>
      <c r="S919" s="959"/>
      <c r="T919" s="959"/>
      <c r="U919" s="959"/>
      <c r="V919" s="959"/>
      <c r="W919" s="959"/>
      <c r="X919" s="959"/>
      <c r="Y919" s="959"/>
      <c r="Z919" s="959"/>
      <c r="AA919" s="959"/>
      <c r="AB919" s="959"/>
      <c r="AC919" s="959"/>
      <c r="AD919" s="959"/>
      <c r="AE919" s="959"/>
      <c r="AF919" s="959"/>
      <c r="AG919" s="959"/>
      <c r="AH919" s="959"/>
      <c r="AI919" s="959"/>
      <c r="AJ919" s="959"/>
      <c r="AK919" s="959"/>
      <c r="AL919" s="959"/>
      <c r="AM919" s="959"/>
    </row>
    <row r="920" spans="3:39" x14ac:dyDescent="0.25">
      <c r="C920" s="959"/>
      <c r="D920" s="959"/>
      <c r="E920" s="959"/>
      <c r="F920" s="959"/>
      <c r="G920" s="959"/>
      <c r="H920" s="959"/>
      <c r="I920" s="959"/>
      <c r="J920" s="959"/>
      <c r="K920" s="959"/>
      <c r="L920" s="959"/>
      <c r="M920" s="959"/>
      <c r="N920" s="959"/>
      <c r="O920" s="959"/>
      <c r="P920" s="959"/>
      <c r="Q920" s="959"/>
      <c r="R920" s="959"/>
      <c r="S920" s="959"/>
      <c r="T920" s="959"/>
      <c r="U920" s="959"/>
      <c r="V920" s="959"/>
      <c r="W920" s="959"/>
      <c r="X920" s="959"/>
      <c r="Y920" s="959"/>
      <c r="Z920" s="959"/>
      <c r="AA920" s="959"/>
      <c r="AB920" s="959"/>
      <c r="AC920" s="959"/>
      <c r="AD920" s="959"/>
      <c r="AE920" s="959"/>
      <c r="AF920" s="959"/>
      <c r="AG920" s="959"/>
      <c r="AH920" s="959"/>
      <c r="AI920" s="959"/>
      <c r="AJ920" s="959"/>
      <c r="AK920" s="959"/>
      <c r="AL920" s="959"/>
      <c r="AM920" s="959"/>
    </row>
    <row r="921" spans="3:39" x14ac:dyDescent="0.25">
      <c r="C921" s="959"/>
      <c r="D921" s="959"/>
      <c r="E921" s="959"/>
      <c r="F921" s="959"/>
      <c r="G921" s="959"/>
      <c r="H921" s="959"/>
      <c r="I921" s="959"/>
      <c r="J921" s="959"/>
      <c r="K921" s="959"/>
      <c r="L921" s="959"/>
      <c r="M921" s="959"/>
      <c r="N921" s="959"/>
      <c r="O921" s="959"/>
      <c r="P921" s="959"/>
      <c r="Q921" s="959"/>
      <c r="R921" s="959"/>
      <c r="S921" s="959"/>
      <c r="T921" s="959"/>
      <c r="U921" s="959"/>
      <c r="V921" s="959"/>
      <c r="W921" s="959"/>
      <c r="X921" s="959"/>
      <c r="Y921" s="959"/>
      <c r="Z921" s="959"/>
      <c r="AA921" s="959"/>
      <c r="AB921" s="959"/>
      <c r="AC921" s="959"/>
      <c r="AD921" s="959"/>
      <c r="AE921" s="959"/>
      <c r="AF921" s="959"/>
      <c r="AG921" s="959"/>
      <c r="AH921" s="959"/>
      <c r="AI921" s="959"/>
      <c r="AJ921" s="959"/>
      <c r="AK921" s="959"/>
      <c r="AL921" s="959"/>
      <c r="AM921" s="959"/>
    </row>
    <row r="922" spans="3:39" x14ac:dyDescent="0.25">
      <c r="C922" s="959"/>
      <c r="D922" s="959"/>
      <c r="E922" s="959"/>
      <c r="F922" s="959"/>
      <c r="G922" s="959"/>
      <c r="H922" s="959"/>
      <c r="I922" s="959"/>
      <c r="J922" s="959"/>
      <c r="K922" s="959"/>
      <c r="L922" s="959"/>
      <c r="M922" s="959"/>
      <c r="N922" s="959"/>
      <c r="O922" s="959"/>
      <c r="P922" s="959"/>
      <c r="Q922" s="959"/>
      <c r="R922" s="959"/>
      <c r="S922" s="959"/>
      <c r="T922" s="959"/>
      <c r="U922" s="959"/>
      <c r="V922" s="959"/>
      <c r="W922" s="959"/>
      <c r="X922" s="959"/>
      <c r="Y922" s="959"/>
      <c r="Z922" s="959"/>
      <c r="AA922" s="959"/>
      <c r="AB922" s="959"/>
      <c r="AC922" s="959"/>
      <c r="AD922" s="959"/>
      <c r="AE922" s="959"/>
      <c r="AF922" s="959"/>
      <c r="AG922" s="959"/>
      <c r="AH922" s="959"/>
      <c r="AI922" s="959"/>
      <c r="AJ922" s="959"/>
      <c r="AK922" s="959"/>
      <c r="AL922" s="959"/>
      <c r="AM922" s="959"/>
    </row>
    <row r="923" spans="3:39" x14ac:dyDescent="0.25">
      <c r="C923" s="959"/>
      <c r="D923" s="959"/>
      <c r="E923" s="959"/>
      <c r="F923" s="959"/>
      <c r="G923" s="959"/>
      <c r="H923" s="959"/>
      <c r="I923" s="959"/>
      <c r="J923" s="959"/>
      <c r="K923" s="959"/>
      <c r="L923" s="959"/>
      <c r="M923" s="959"/>
      <c r="N923" s="959"/>
      <c r="O923" s="959"/>
      <c r="P923" s="959"/>
      <c r="Q923" s="959"/>
      <c r="R923" s="959"/>
      <c r="S923" s="959"/>
      <c r="T923" s="959"/>
      <c r="U923" s="959"/>
      <c r="V923" s="959"/>
      <c r="W923" s="959"/>
      <c r="X923" s="959"/>
      <c r="Y923" s="959"/>
      <c r="Z923" s="959"/>
      <c r="AA923" s="959"/>
      <c r="AB923" s="959"/>
      <c r="AC923" s="959"/>
      <c r="AD923" s="959"/>
      <c r="AE923" s="959"/>
      <c r="AF923" s="959"/>
      <c r="AG923" s="959"/>
      <c r="AH923" s="959"/>
      <c r="AI923" s="959"/>
      <c r="AJ923" s="959"/>
      <c r="AK923" s="959"/>
      <c r="AL923" s="959"/>
      <c r="AM923" s="959"/>
    </row>
    <row r="924" spans="3:39" x14ac:dyDescent="0.25">
      <c r="C924" s="959"/>
      <c r="D924" s="959"/>
      <c r="E924" s="959"/>
      <c r="F924" s="959"/>
      <c r="G924" s="959"/>
      <c r="H924" s="959"/>
      <c r="I924" s="959"/>
      <c r="J924" s="959"/>
      <c r="K924" s="959"/>
      <c r="L924" s="959"/>
      <c r="M924" s="959"/>
      <c r="N924" s="959"/>
      <c r="O924" s="959"/>
      <c r="P924" s="959"/>
      <c r="Q924" s="959"/>
      <c r="R924" s="959"/>
      <c r="S924" s="959"/>
      <c r="T924" s="959"/>
      <c r="U924" s="959"/>
      <c r="V924" s="959"/>
      <c r="W924" s="959"/>
      <c r="X924" s="959"/>
      <c r="Y924" s="959"/>
      <c r="Z924" s="959"/>
      <c r="AA924" s="959"/>
      <c r="AB924" s="959"/>
      <c r="AC924" s="959"/>
      <c r="AD924" s="959"/>
      <c r="AE924" s="959"/>
      <c r="AF924" s="959"/>
      <c r="AG924" s="959"/>
      <c r="AH924" s="959"/>
      <c r="AI924" s="959"/>
      <c r="AJ924" s="959"/>
      <c r="AK924" s="959"/>
      <c r="AL924" s="959"/>
      <c r="AM924" s="959"/>
    </row>
    <row r="925" spans="3:39" x14ac:dyDescent="0.25">
      <c r="C925" s="959"/>
      <c r="D925" s="959"/>
      <c r="E925" s="959"/>
      <c r="F925" s="959"/>
      <c r="G925" s="959"/>
      <c r="H925" s="959"/>
      <c r="I925" s="959"/>
      <c r="J925" s="959"/>
      <c r="K925" s="959"/>
      <c r="L925" s="959"/>
      <c r="M925" s="959"/>
      <c r="N925" s="959"/>
      <c r="O925" s="959"/>
      <c r="P925" s="959"/>
      <c r="Q925" s="959"/>
      <c r="R925" s="959"/>
      <c r="S925" s="959"/>
      <c r="T925" s="959"/>
      <c r="U925" s="959"/>
      <c r="V925" s="959"/>
      <c r="W925" s="959"/>
      <c r="X925" s="959"/>
      <c r="Y925" s="959"/>
      <c r="Z925" s="959"/>
      <c r="AA925" s="959"/>
      <c r="AB925" s="959"/>
      <c r="AC925" s="959"/>
      <c r="AD925" s="959"/>
      <c r="AE925" s="959"/>
      <c r="AF925" s="959"/>
      <c r="AG925" s="959"/>
      <c r="AH925" s="959"/>
      <c r="AI925" s="959"/>
      <c r="AJ925" s="959"/>
      <c r="AK925" s="959"/>
      <c r="AL925" s="959"/>
      <c r="AM925" s="959"/>
    </row>
    <row r="926" spans="3:39" x14ac:dyDescent="0.25">
      <c r="C926" s="959"/>
      <c r="D926" s="959"/>
      <c r="E926" s="959"/>
      <c r="F926" s="959"/>
      <c r="G926" s="959"/>
      <c r="H926" s="959"/>
      <c r="I926" s="959"/>
      <c r="J926" s="959"/>
      <c r="K926" s="959"/>
      <c r="L926" s="959"/>
      <c r="M926" s="959"/>
      <c r="N926" s="959"/>
      <c r="O926" s="959"/>
      <c r="P926" s="959"/>
      <c r="Q926" s="959"/>
      <c r="R926" s="959"/>
      <c r="S926" s="959"/>
      <c r="T926" s="959"/>
      <c r="U926" s="959"/>
      <c r="V926" s="959"/>
      <c r="W926" s="959"/>
      <c r="X926" s="959"/>
      <c r="Y926" s="959"/>
      <c r="Z926" s="959"/>
      <c r="AA926" s="959"/>
      <c r="AB926" s="959"/>
      <c r="AC926" s="959"/>
      <c r="AD926" s="959"/>
      <c r="AE926" s="959"/>
      <c r="AF926" s="959"/>
      <c r="AG926" s="959"/>
      <c r="AH926" s="959"/>
      <c r="AI926" s="959"/>
      <c r="AJ926" s="959"/>
      <c r="AK926" s="959"/>
      <c r="AL926" s="959"/>
      <c r="AM926" s="959"/>
    </row>
    <row r="927" spans="3:39" x14ac:dyDescent="0.25">
      <c r="C927" s="959"/>
      <c r="D927" s="959"/>
      <c r="E927" s="959"/>
      <c r="F927" s="959"/>
      <c r="G927" s="959"/>
      <c r="H927" s="959"/>
      <c r="I927" s="959"/>
      <c r="J927" s="959"/>
      <c r="K927" s="959"/>
      <c r="L927" s="959"/>
      <c r="M927" s="959"/>
      <c r="N927" s="959"/>
      <c r="O927" s="959"/>
      <c r="P927" s="959"/>
      <c r="Q927" s="959"/>
      <c r="R927" s="959"/>
      <c r="S927" s="959"/>
      <c r="T927" s="959"/>
      <c r="U927" s="959"/>
      <c r="V927" s="959"/>
      <c r="W927" s="959"/>
      <c r="X927" s="959"/>
      <c r="Y927" s="959"/>
      <c r="Z927" s="959"/>
      <c r="AA927" s="959"/>
      <c r="AB927" s="959"/>
      <c r="AC927" s="959"/>
      <c r="AD927" s="959"/>
      <c r="AE927" s="959"/>
      <c r="AF927" s="959"/>
      <c r="AG927" s="959"/>
      <c r="AH927" s="959"/>
      <c r="AI927" s="959"/>
      <c r="AJ927" s="959"/>
      <c r="AK927" s="959"/>
      <c r="AL927" s="959"/>
      <c r="AM927" s="959"/>
    </row>
    <row r="928" spans="3:39" x14ac:dyDescent="0.25">
      <c r="C928" s="959"/>
      <c r="D928" s="959"/>
      <c r="E928" s="959"/>
      <c r="F928" s="959"/>
      <c r="G928" s="959"/>
      <c r="H928" s="959"/>
      <c r="I928" s="959"/>
      <c r="J928" s="959"/>
      <c r="K928" s="959"/>
      <c r="L928" s="959"/>
      <c r="M928" s="959"/>
      <c r="N928" s="959"/>
      <c r="O928" s="959"/>
      <c r="P928" s="959"/>
      <c r="Q928" s="959"/>
      <c r="R928" s="959"/>
      <c r="S928" s="959"/>
      <c r="T928" s="959"/>
      <c r="U928" s="959"/>
      <c r="V928" s="959"/>
      <c r="W928" s="959"/>
      <c r="X928" s="959"/>
      <c r="Y928" s="959"/>
      <c r="Z928" s="959"/>
      <c r="AA928" s="959"/>
      <c r="AB928" s="959"/>
      <c r="AC928" s="959"/>
      <c r="AD928" s="959"/>
      <c r="AE928" s="959"/>
      <c r="AF928" s="959"/>
      <c r="AG928" s="959"/>
      <c r="AH928" s="959"/>
      <c r="AI928" s="959"/>
      <c r="AJ928" s="959"/>
      <c r="AK928" s="959"/>
      <c r="AL928" s="959"/>
      <c r="AM928" s="959"/>
    </row>
    <row r="929" spans="3:39" x14ac:dyDescent="0.25">
      <c r="C929" s="959"/>
      <c r="D929" s="959"/>
      <c r="E929" s="959"/>
      <c r="F929" s="959"/>
      <c r="G929" s="959"/>
      <c r="H929" s="959"/>
      <c r="I929" s="959"/>
      <c r="J929" s="959"/>
      <c r="K929" s="959"/>
      <c r="L929" s="959"/>
      <c r="M929" s="959"/>
      <c r="N929" s="959"/>
      <c r="O929" s="959"/>
      <c r="P929" s="959"/>
      <c r="Q929" s="959"/>
      <c r="R929" s="959"/>
      <c r="S929" s="959"/>
      <c r="T929" s="959"/>
      <c r="U929" s="959"/>
      <c r="V929" s="959"/>
      <c r="W929" s="959"/>
      <c r="X929" s="959"/>
      <c r="Y929" s="959"/>
      <c r="Z929" s="959"/>
      <c r="AA929" s="959"/>
      <c r="AB929" s="959"/>
      <c r="AC929" s="959"/>
      <c r="AD929" s="959"/>
      <c r="AE929" s="959"/>
      <c r="AF929" s="959"/>
      <c r="AG929" s="959"/>
      <c r="AH929" s="959"/>
      <c r="AI929" s="959"/>
      <c r="AJ929" s="959"/>
      <c r="AK929" s="959"/>
      <c r="AL929" s="959"/>
      <c r="AM929" s="959"/>
    </row>
    <row r="930" spans="3:39" x14ac:dyDescent="0.25">
      <c r="C930" s="959"/>
      <c r="D930" s="959"/>
      <c r="E930" s="959"/>
      <c r="F930" s="959"/>
      <c r="G930" s="959"/>
      <c r="H930" s="959"/>
      <c r="I930" s="959"/>
      <c r="J930" s="959"/>
      <c r="K930" s="959"/>
      <c r="L930" s="959"/>
      <c r="M930" s="959"/>
      <c r="N930" s="959"/>
      <c r="O930" s="959"/>
      <c r="P930" s="959"/>
      <c r="Q930" s="959"/>
      <c r="R930" s="959"/>
      <c r="S930" s="959"/>
      <c r="T930" s="959"/>
      <c r="U930" s="959"/>
      <c r="V930" s="959"/>
      <c r="W930" s="959"/>
      <c r="X930" s="959"/>
      <c r="Y930" s="959"/>
      <c r="Z930" s="959"/>
      <c r="AA930" s="959"/>
      <c r="AB930" s="959"/>
      <c r="AC930" s="959"/>
      <c r="AD930" s="959"/>
      <c r="AE930" s="959"/>
      <c r="AF930" s="959"/>
      <c r="AG930" s="959"/>
      <c r="AH930" s="959"/>
      <c r="AI930" s="959"/>
      <c r="AJ930" s="959"/>
      <c r="AK930" s="959"/>
      <c r="AL930" s="959"/>
      <c r="AM930" s="959"/>
    </row>
    <row r="931" spans="3:39" x14ac:dyDescent="0.25">
      <c r="C931" s="959"/>
      <c r="D931" s="959"/>
      <c r="E931" s="959"/>
      <c r="F931" s="959"/>
      <c r="G931" s="959"/>
      <c r="H931" s="959"/>
      <c r="I931" s="959"/>
      <c r="J931" s="959"/>
      <c r="K931" s="959"/>
      <c r="L931" s="959"/>
      <c r="M931" s="959"/>
      <c r="N931" s="959"/>
      <c r="O931" s="959"/>
      <c r="P931" s="959"/>
      <c r="Q931" s="959"/>
      <c r="R931" s="959"/>
      <c r="S931" s="959"/>
      <c r="T931" s="959"/>
      <c r="U931" s="959"/>
      <c r="V931" s="959"/>
      <c r="W931" s="959"/>
      <c r="X931" s="959"/>
      <c r="Y931" s="959"/>
      <c r="Z931" s="959"/>
      <c r="AA931" s="959"/>
      <c r="AB931" s="959"/>
      <c r="AC931" s="959"/>
      <c r="AD931" s="959"/>
      <c r="AE931" s="959"/>
      <c r="AF931" s="959"/>
      <c r="AG931" s="959"/>
      <c r="AH931" s="959"/>
      <c r="AI931" s="959"/>
      <c r="AJ931" s="959"/>
      <c r="AK931" s="959"/>
      <c r="AL931" s="959"/>
      <c r="AM931" s="959"/>
    </row>
    <row r="932" spans="3:39" x14ac:dyDescent="0.25">
      <c r="C932" s="959"/>
      <c r="D932" s="959"/>
      <c r="E932" s="959"/>
      <c r="F932" s="959"/>
      <c r="G932" s="959"/>
      <c r="H932" s="959"/>
      <c r="I932" s="959"/>
      <c r="J932" s="959"/>
      <c r="K932" s="959"/>
      <c r="L932" s="959"/>
      <c r="M932" s="959"/>
      <c r="N932" s="959"/>
      <c r="O932" s="959"/>
      <c r="P932" s="959"/>
      <c r="Q932" s="959"/>
      <c r="R932" s="959"/>
      <c r="S932" s="959"/>
      <c r="T932" s="959"/>
      <c r="U932" s="959"/>
      <c r="V932" s="959"/>
      <c r="W932" s="959"/>
      <c r="X932" s="959"/>
      <c r="Y932" s="959"/>
      <c r="Z932" s="959"/>
      <c r="AA932" s="959"/>
      <c r="AB932" s="959"/>
      <c r="AC932" s="959"/>
      <c r="AD932" s="959"/>
      <c r="AE932" s="959"/>
      <c r="AF932" s="959"/>
      <c r="AG932" s="959"/>
      <c r="AH932" s="959"/>
      <c r="AI932" s="959"/>
      <c r="AJ932" s="959"/>
      <c r="AK932" s="959"/>
      <c r="AL932" s="959"/>
      <c r="AM932" s="959"/>
    </row>
    <row r="933" spans="3:39" x14ac:dyDescent="0.25">
      <c r="C933" s="959"/>
      <c r="D933" s="959"/>
      <c r="E933" s="959"/>
      <c r="F933" s="959"/>
      <c r="G933" s="959"/>
      <c r="H933" s="959"/>
      <c r="I933" s="959"/>
      <c r="J933" s="959"/>
      <c r="K933" s="959"/>
      <c r="L933" s="959"/>
      <c r="M933" s="959"/>
      <c r="N933" s="959"/>
      <c r="O933" s="959"/>
      <c r="P933" s="959"/>
      <c r="Q933" s="959"/>
      <c r="R933" s="959"/>
      <c r="S933" s="959"/>
      <c r="T933" s="959"/>
      <c r="U933" s="959"/>
      <c r="V933" s="959"/>
      <c r="W933" s="959"/>
      <c r="X933" s="959"/>
      <c r="Y933" s="959"/>
      <c r="Z933" s="959"/>
      <c r="AA933" s="959"/>
      <c r="AB933" s="959"/>
      <c r="AC933" s="959"/>
      <c r="AD933" s="959"/>
      <c r="AE933" s="959"/>
      <c r="AF933" s="959"/>
      <c r="AG933" s="959"/>
      <c r="AH933" s="959"/>
      <c r="AI933" s="959"/>
      <c r="AJ933" s="959"/>
      <c r="AK933" s="959"/>
      <c r="AL933" s="959"/>
      <c r="AM933" s="959"/>
    </row>
    <row r="934" spans="3:39" x14ac:dyDescent="0.25">
      <c r="C934" s="959"/>
      <c r="D934" s="959"/>
      <c r="E934" s="959"/>
      <c r="F934" s="959"/>
      <c r="G934" s="959"/>
      <c r="H934" s="959"/>
      <c r="I934" s="959"/>
      <c r="J934" s="959"/>
      <c r="K934" s="959"/>
      <c r="L934" s="959"/>
      <c r="M934" s="959"/>
      <c r="N934" s="959"/>
      <c r="O934" s="959"/>
      <c r="P934" s="959"/>
      <c r="Q934" s="959"/>
      <c r="R934" s="959"/>
      <c r="S934" s="959"/>
      <c r="T934" s="959"/>
      <c r="U934" s="959"/>
      <c r="V934" s="959"/>
      <c r="W934" s="959"/>
      <c r="X934" s="959"/>
      <c r="Y934" s="959"/>
      <c r="Z934" s="959"/>
      <c r="AA934" s="959"/>
      <c r="AB934" s="959"/>
      <c r="AC934" s="959"/>
      <c r="AD934" s="959"/>
      <c r="AE934" s="959"/>
      <c r="AF934" s="959"/>
      <c r="AG934" s="959"/>
      <c r="AH934" s="959"/>
      <c r="AI934" s="959"/>
      <c r="AJ934" s="959"/>
      <c r="AK934" s="959"/>
      <c r="AL934" s="959"/>
      <c r="AM934" s="959"/>
    </row>
    <row r="935" spans="3:39" x14ac:dyDescent="0.25">
      <c r="C935" s="959"/>
      <c r="D935" s="959"/>
      <c r="E935" s="959"/>
      <c r="F935" s="959"/>
      <c r="G935" s="959"/>
      <c r="H935" s="959"/>
      <c r="I935" s="959"/>
      <c r="J935" s="959"/>
      <c r="K935" s="959"/>
      <c r="L935" s="959"/>
      <c r="M935" s="959"/>
      <c r="N935" s="959"/>
      <c r="O935" s="959"/>
      <c r="P935" s="959"/>
      <c r="Q935" s="959"/>
      <c r="R935" s="959"/>
      <c r="S935" s="959"/>
      <c r="T935" s="959"/>
      <c r="U935" s="959"/>
      <c r="V935" s="959"/>
      <c r="W935" s="959"/>
      <c r="X935" s="959"/>
      <c r="Y935" s="959"/>
      <c r="Z935" s="959"/>
      <c r="AA935" s="959"/>
      <c r="AB935" s="959"/>
      <c r="AC935" s="959"/>
      <c r="AD935" s="959"/>
      <c r="AE935" s="959"/>
      <c r="AF935" s="959"/>
      <c r="AG935" s="959"/>
      <c r="AH935" s="959"/>
      <c r="AI935" s="959"/>
      <c r="AJ935" s="959"/>
      <c r="AK935" s="959"/>
      <c r="AL935" s="959"/>
      <c r="AM935" s="959"/>
    </row>
    <row r="936" spans="3:39" x14ac:dyDescent="0.25">
      <c r="C936" s="959"/>
      <c r="D936" s="959"/>
      <c r="E936" s="959"/>
      <c r="F936" s="959"/>
      <c r="G936" s="959"/>
      <c r="H936" s="959"/>
      <c r="I936" s="959"/>
      <c r="J936" s="959"/>
      <c r="K936" s="959"/>
      <c r="L936" s="959"/>
      <c r="M936" s="959"/>
      <c r="N936" s="959"/>
      <c r="O936" s="959"/>
      <c r="P936" s="959"/>
      <c r="Q936" s="959"/>
      <c r="R936" s="959"/>
      <c r="S936" s="959"/>
      <c r="T936" s="959"/>
      <c r="U936" s="959"/>
      <c r="V936" s="959"/>
      <c r="W936" s="959"/>
      <c r="X936" s="959"/>
      <c r="Y936" s="959"/>
      <c r="Z936" s="959"/>
      <c r="AA936" s="959"/>
      <c r="AB936" s="959"/>
      <c r="AC936" s="959"/>
      <c r="AD936" s="959"/>
      <c r="AE936" s="959"/>
      <c r="AF936" s="959"/>
      <c r="AG936" s="959"/>
      <c r="AH936" s="959"/>
      <c r="AI936" s="959"/>
      <c r="AJ936" s="959"/>
      <c r="AK936" s="959"/>
      <c r="AL936" s="959"/>
      <c r="AM936" s="959"/>
    </row>
    <row r="937" spans="3:39" x14ac:dyDescent="0.25">
      <c r="C937" s="959"/>
      <c r="D937" s="959"/>
      <c r="E937" s="959"/>
      <c r="F937" s="959"/>
      <c r="G937" s="959"/>
      <c r="H937" s="959"/>
      <c r="I937" s="959"/>
      <c r="J937" s="959"/>
      <c r="K937" s="959"/>
      <c r="L937" s="959"/>
      <c r="M937" s="959"/>
      <c r="N937" s="959"/>
      <c r="O937" s="959"/>
      <c r="P937" s="959"/>
      <c r="Q937" s="959"/>
      <c r="R937" s="959"/>
      <c r="S937" s="959"/>
      <c r="T937" s="959"/>
      <c r="U937" s="959"/>
      <c r="V937" s="959"/>
      <c r="W937" s="959"/>
      <c r="X937" s="959"/>
      <c r="Y937" s="959"/>
      <c r="Z937" s="959"/>
      <c r="AA937" s="959"/>
      <c r="AB937" s="959"/>
      <c r="AC937" s="959"/>
      <c r="AD937" s="959"/>
      <c r="AE937" s="959"/>
      <c r="AF937" s="959"/>
      <c r="AG937" s="959"/>
      <c r="AH937" s="959"/>
      <c r="AI937" s="959"/>
      <c r="AJ937" s="959"/>
      <c r="AK937" s="959"/>
      <c r="AL937" s="959"/>
      <c r="AM937" s="959"/>
    </row>
    <row r="938" spans="3:39" x14ac:dyDescent="0.25">
      <c r="C938" s="959"/>
      <c r="D938" s="959"/>
      <c r="E938" s="959"/>
      <c r="F938" s="959"/>
      <c r="G938" s="959"/>
      <c r="H938" s="959"/>
      <c r="I938" s="959"/>
      <c r="J938" s="959"/>
      <c r="K938" s="959"/>
      <c r="L938" s="959"/>
      <c r="M938" s="959"/>
      <c r="N938" s="959"/>
      <c r="O938" s="959"/>
      <c r="P938" s="959"/>
      <c r="Q938" s="959"/>
      <c r="R938" s="959"/>
      <c r="S938" s="959"/>
      <c r="T938" s="959"/>
      <c r="U938" s="959"/>
      <c r="V938" s="959"/>
      <c r="W938" s="959"/>
      <c r="X938" s="959"/>
      <c r="Y938" s="959"/>
      <c r="Z938" s="959"/>
      <c r="AA938" s="959"/>
      <c r="AB938" s="959"/>
      <c r="AC938" s="959"/>
      <c r="AD938" s="959"/>
      <c r="AE938" s="959"/>
      <c r="AF938" s="959"/>
      <c r="AG938" s="959"/>
      <c r="AH938" s="959"/>
      <c r="AI938" s="959"/>
      <c r="AJ938" s="959"/>
      <c r="AK938" s="959"/>
      <c r="AL938" s="959"/>
      <c r="AM938" s="959"/>
    </row>
    <row r="939" spans="3:39" x14ac:dyDescent="0.25">
      <c r="C939" s="959"/>
      <c r="D939" s="959"/>
      <c r="E939" s="959"/>
      <c r="F939" s="959"/>
      <c r="G939" s="959"/>
      <c r="H939" s="959"/>
      <c r="I939" s="959"/>
      <c r="J939" s="959"/>
      <c r="K939" s="959"/>
      <c r="L939" s="959"/>
      <c r="M939" s="959"/>
      <c r="N939" s="959"/>
      <c r="O939" s="959"/>
      <c r="P939" s="959"/>
      <c r="Q939" s="959"/>
      <c r="R939" s="959"/>
      <c r="S939" s="959"/>
      <c r="T939" s="959"/>
      <c r="U939" s="959"/>
      <c r="V939" s="959"/>
      <c r="W939" s="959"/>
      <c r="X939" s="959"/>
      <c r="Y939" s="959"/>
      <c r="Z939" s="959"/>
      <c r="AA939" s="959"/>
      <c r="AB939" s="959"/>
      <c r="AC939" s="959"/>
      <c r="AD939" s="959"/>
      <c r="AE939" s="959"/>
      <c r="AF939" s="959"/>
      <c r="AG939" s="959"/>
      <c r="AH939" s="959"/>
      <c r="AI939" s="959"/>
      <c r="AJ939" s="959"/>
      <c r="AK939" s="959"/>
      <c r="AL939" s="959"/>
      <c r="AM939" s="959"/>
    </row>
    <row r="940" spans="3:39" x14ac:dyDescent="0.25">
      <c r="C940" s="959"/>
      <c r="D940" s="959"/>
      <c r="E940" s="959"/>
      <c r="F940" s="959"/>
      <c r="G940" s="959"/>
      <c r="H940" s="959"/>
      <c r="I940" s="959"/>
      <c r="J940" s="959"/>
      <c r="K940" s="959"/>
      <c r="L940" s="959"/>
      <c r="M940" s="959"/>
      <c r="N940" s="959"/>
      <c r="O940" s="959"/>
      <c r="P940" s="959"/>
      <c r="Q940" s="959"/>
      <c r="R940" s="959"/>
      <c r="S940" s="959"/>
      <c r="T940" s="959"/>
      <c r="U940" s="959"/>
      <c r="V940" s="959"/>
      <c r="W940" s="959"/>
      <c r="X940" s="959"/>
      <c r="Y940" s="959"/>
      <c r="Z940" s="959"/>
      <c r="AA940" s="959"/>
      <c r="AB940" s="959"/>
      <c r="AC940" s="959"/>
      <c r="AD940" s="959"/>
      <c r="AE940" s="959"/>
      <c r="AF940" s="959"/>
      <c r="AG940" s="959"/>
      <c r="AH940" s="959"/>
      <c r="AI940" s="959"/>
      <c r="AJ940" s="959"/>
      <c r="AK940" s="959"/>
      <c r="AL940" s="959"/>
      <c r="AM940" s="959"/>
    </row>
    <row r="941" spans="3:39" x14ac:dyDescent="0.25">
      <c r="C941" s="959"/>
      <c r="D941" s="959"/>
      <c r="E941" s="959"/>
      <c r="F941" s="959"/>
      <c r="G941" s="959"/>
      <c r="H941" s="959"/>
      <c r="I941" s="959"/>
      <c r="J941" s="959"/>
      <c r="K941" s="959"/>
      <c r="L941" s="959"/>
      <c r="M941" s="959"/>
      <c r="N941" s="959"/>
      <c r="O941" s="959"/>
      <c r="P941" s="959"/>
      <c r="Q941" s="959"/>
      <c r="R941" s="959"/>
      <c r="S941" s="959"/>
      <c r="T941" s="959"/>
      <c r="U941" s="959"/>
      <c r="V941" s="959"/>
      <c r="W941" s="959"/>
      <c r="X941" s="959"/>
      <c r="Y941" s="959"/>
      <c r="Z941" s="959"/>
      <c r="AA941" s="959"/>
      <c r="AB941" s="959"/>
      <c r="AC941" s="959"/>
      <c r="AD941" s="959"/>
      <c r="AE941" s="959"/>
      <c r="AF941" s="959"/>
      <c r="AG941" s="959"/>
      <c r="AH941" s="959"/>
      <c r="AI941" s="959"/>
      <c r="AJ941" s="959"/>
      <c r="AK941" s="959"/>
      <c r="AL941" s="959"/>
      <c r="AM941" s="959"/>
    </row>
    <row r="942" spans="3:39" x14ac:dyDescent="0.25">
      <c r="C942" s="959"/>
      <c r="D942" s="959"/>
      <c r="E942" s="959"/>
      <c r="F942" s="959"/>
      <c r="G942" s="959"/>
      <c r="H942" s="959"/>
      <c r="I942" s="959"/>
      <c r="J942" s="959"/>
      <c r="K942" s="959"/>
      <c r="L942" s="959"/>
      <c r="M942" s="959"/>
      <c r="N942" s="959"/>
      <c r="O942" s="959"/>
      <c r="P942" s="959"/>
      <c r="Q942" s="959"/>
      <c r="R942" s="959"/>
      <c r="S942" s="959"/>
      <c r="T942" s="959"/>
      <c r="U942" s="959"/>
      <c r="V942" s="959"/>
      <c r="W942" s="959"/>
      <c r="X942" s="959"/>
      <c r="Y942" s="959"/>
      <c r="Z942" s="959"/>
      <c r="AA942" s="959"/>
      <c r="AB942" s="959"/>
      <c r="AC942" s="959"/>
      <c r="AD942" s="959"/>
      <c r="AE942" s="959"/>
      <c r="AF942" s="959"/>
      <c r="AG942" s="959"/>
      <c r="AH942" s="959"/>
      <c r="AI942" s="959"/>
      <c r="AJ942" s="959"/>
      <c r="AK942" s="959"/>
      <c r="AL942" s="959"/>
      <c r="AM942" s="959"/>
    </row>
    <row r="943" spans="3:39" x14ac:dyDescent="0.25">
      <c r="C943" s="959"/>
      <c r="D943" s="959"/>
      <c r="E943" s="959"/>
      <c r="F943" s="959"/>
      <c r="G943" s="959"/>
      <c r="H943" s="959"/>
      <c r="I943" s="959"/>
      <c r="J943" s="959"/>
      <c r="K943" s="959"/>
      <c r="L943" s="959"/>
      <c r="M943" s="959"/>
      <c r="N943" s="959"/>
      <c r="O943" s="959"/>
      <c r="P943" s="959"/>
      <c r="Q943" s="959"/>
      <c r="R943" s="959"/>
      <c r="S943" s="959"/>
      <c r="T943" s="959"/>
      <c r="U943" s="959"/>
      <c r="V943" s="959"/>
      <c r="W943" s="959"/>
      <c r="X943" s="959"/>
      <c r="Y943" s="959"/>
      <c r="Z943" s="959"/>
      <c r="AA943" s="959"/>
      <c r="AB943" s="959"/>
      <c r="AC943" s="959"/>
      <c r="AD943" s="959"/>
      <c r="AE943" s="959"/>
      <c r="AF943" s="959"/>
      <c r="AG943" s="959"/>
      <c r="AH943" s="959"/>
      <c r="AI943" s="959"/>
      <c r="AJ943" s="959"/>
      <c r="AK943" s="959"/>
      <c r="AL943" s="959"/>
      <c r="AM943" s="959"/>
    </row>
    <row r="944" spans="3:39" x14ac:dyDescent="0.25">
      <c r="C944" s="959"/>
      <c r="D944" s="959"/>
      <c r="E944" s="959"/>
      <c r="F944" s="959"/>
      <c r="G944" s="959"/>
      <c r="H944" s="959"/>
      <c r="I944" s="959"/>
      <c r="J944" s="959"/>
      <c r="K944" s="959"/>
      <c r="L944" s="959"/>
      <c r="M944" s="959"/>
      <c r="N944" s="959"/>
      <c r="O944" s="959"/>
      <c r="P944" s="959"/>
      <c r="Q944" s="959"/>
      <c r="R944" s="959"/>
      <c r="S944" s="959"/>
      <c r="T944" s="959"/>
      <c r="U944" s="959"/>
      <c r="V944" s="959"/>
      <c r="W944" s="959"/>
      <c r="X944" s="959"/>
      <c r="Y944" s="959"/>
      <c r="Z944" s="959"/>
      <c r="AA944" s="959"/>
      <c r="AB944" s="959"/>
      <c r="AC944" s="959"/>
      <c r="AD944" s="959"/>
      <c r="AE944" s="959"/>
      <c r="AF944" s="959"/>
      <c r="AG944" s="959"/>
      <c r="AH944" s="959"/>
      <c r="AI944" s="959"/>
      <c r="AJ944" s="959"/>
      <c r="AK944" s="959"/>
      <c r="AL944" s="959"/>
      <c r="AM944" s="959"/>
    </row>
    <row r="945" spans="3:39" x14ac:dyDescent="0.25">
      <c r="C945" s="959"/>
      <c r="D945" s="959"/>
      <c r="E945" s="959"/>
      <c r="F945" s="959"/>
      <c r="G945" s="959"/>
      <c r="H945" s="959"/>
      <c r="I945" s="959"/>
      <c r="J945" s="959"/>
      <c r="K945" s="959"/>
      <c r="L945" s="959"/>
      <c r="M945" s="959"/>
      <c r="N945" s="959"/>
      <c r="O945" s="959"/>
      <c r="P945" s="959"/>
      <c r="Q945" s="959"/>
      <c r="R945" s="959"/>
      <c r="S945" s="959"/>
      <c r="T945" s="959"/>
      <c r="U945" s="959"/>
      <c r="V945" s="959"/>
      <c r="W945" s="959"/>
      <c r="X945" s="959"/>
      <c r="Y945" s="959"/>
      <c r="Z945" s="959"/>
      <c r="AA945" s="959"/>
      <c r="AB945" s="959"/>
      <c r="AC945" s="959"/>
      <c r="AD945" s="959"/>
      <c r="AE945" s="959"/>
      <c r="AF945" s="959"/>
      <c r="AG945" s="959"/>
      <c r="AH945" s="959"/>
      <c r="AI945" s="959"/>
      <c r="AJ945" s="959"/>
      <c r="AK945" s="959"/>
      <c r="AL945" s="959"/>
      <c r="AM945" s="959"/>
    </row>
    <row r="946" spans="3:39" x14ac:dyDescent="0.25">
      <c r="C946" s="959"/>
      <c r="D946" s="959"/>
      <c r="E946" s="959"/>
      <c r="F946" s="959"/>
      <c r="G946" s="959"/>
      <c r="H946" s="959"/>
      <c r="I946" s="959"/>
      <c r="J946" s="959"/>
      <c r="K946" s="959"/>
      <c r="L946" s="959"/>
      <c r="M946" s="959"/>
      <c r="N946" s="959"/>
      <c r="O946" s="959"/>
      <c r="P946" s="959"/>
      <c r="Q946" s="959"/>
      <c r="R946" s="959"/>
      <c r="S946" s="959"/>
      <c r="T946" s="959"/>
      <c r="U946" s="959"/>
      <c r="V946" s="959"/>
      <c r="W946" s="959"/>
      <c r="X946" s="959"/>
      <c r="Y946" s="959"/>
      <c r="Z946" s="959"/>
      <c r="AA946" s="959"/>
      <c r="AB946" s="959"/>
      <c r="AC946" s="959"/>
      <c r="AD946" s="959"/>
      <c r="AE946" s="959"/>
      <c r="AF946" s="959"/>
      <c r="AG946" s="959"/>
      <c r="AH946" s="959"/>
      <c r="AI946" s="959"/>
      <c r="AJ946" s="959"/>
      <c r="AK946" s="959"/>
      <c r="AL946" s="959"/>
      <c r="AM946" s="959"/>
    </row>
    <row r="947" spans="3:39" x14ac:dyDescent="0.25">
      <c r="C947" s="959"/>
      <c r="D947" s="959"/>
      <c r="E947" s="959"/>
      <c r="F947" s="959"/>
      <c r="G947" s="959"/>
      <c r="H947" s="959"/>
      <c r="I947" s="959"/>
      <c r="J947" s="959"/>
      <c r="K947" s="959"/>
      <c r="L947" s="959"/>
      <c r="M947" s="959"/>
      <c r="N947" s="959"/>
      <c r="O947" s="959"/>
      <c r="P947" s="959"/>
      <c r="Q947" s="959"/>
      <c r="R947" s="959"/>
      <c r="S947" s="959"/>
      <c r="T947" s="959"/>
      <c r="U947" s="959"/>
      <c r="V947" s="959"/>
      <c r="W947" s="959"/>
      <c r="X947" s="959"/>
      <c r="Y947" s="959"/>
      <c r="Z947" s="959"/>
      <c r="AA947" s="959"/>
      <c r="AB947" s="959"/>
      <c r="AC947" s="959"/>
      <c r="AD947" s="959"/>
      <c r="AE947" s="959"/>
      <c r="AF947" s="959"/>
      <c r="AG947" s="959"/>
      <c r="AH947" s="959"/>
      <c r="AI947" s="959"/>
      <c r="AJ947" s="959"/>
      <c r="AK947" s="959"/>
      <c r="AL947" s="959"/>
      <c r="AM947" s="959"/>
    </row>
    <row r="948" spans="3:39" x14ac:dyDescent="0.25">
      <c r="C948" s="959"/>
      <c r="D948" s="959"/>
      <c r="E948" s="959"/>
      <c r="F948" s="959"/>
      <c r="G948" s="959"/>
      <c r="H948" s="959"/>
      <c r="I948" s="959"/>
      <c r="J948" s="959"/>
      <c r="K948" s="959"/>
      <c r="L948" s="959"/>
      <c r="M948" s="959"/>
      <c r="N948" s="959"/>
      <c r="O948" s="959"/>
      <c r="P948" s="959"/>
      <c r="Q948" s="959"/>
      <c r="R948" s="959"/>
      <c r="S948" s="959"/>
      <c r="T948" s="959"/>
      <c r="U948" s="959"/>
      <c r="V948" s="959"/>
      <c r="W948" s="959"/>
      <c r="X948" s="959"/>
      <c r="Y948" s="959"/>
      <c r="Z948" s="959"/>
      <c r="AA948" s="959"/>
      <c r="AB948" s="959"/>
      <c r="AC948" s="959"/>
      <c r="AD948" s="959"/>
      <c r="AE948" s="959"/>
      <c r="AF948" s="959"/>
      <c r="AG948" s="959"/>
      <c r="AH948" s="959"/>
      <c r="AI948" s="959"/>
      <c r="AJ948" s="959"/>
      <c r="AK948" s="959"/>
      <c r="AL948" s="959"/>
      <c r="AM948" s="959"/>
    </row>
    <row r="949" spans="3:39" x14ac:dyDescent="0.25">
      <c r="C949" s="959"/>
      <c r="D949" s="959"/>
      <c r="E949" s="959"/>
      <c r="F949" s="959"/>
      <c r="G949" s="959"/>
      <c r="H949" s="959"/>
      <c r="I949" s="959"/>
      <c r="J949" s="959"/>
      <c r="K949" s="959"/>
      <c r="L949" s="959"/>
      <c r="M949" s="959"/>
      <c r="N949" s="959"/>
      <c r="O949" s="959"/>
      <c r="P949" s="959"/>
      <c r="Q949" s="959"/>
      <c r="R949" s="959"/>
      <c r="S949" s="959"/>
      <c r="T949" s="959"/>
      <c r="U949" s="959"/>
      <c r="V949" s="959"/>
      <c r="W949" s="959"/>
      <c r="X949" s="959"/>
      <c r="Y949" s="959"/>
      <c r="Z949" s="959"/>
      <c r="AA949" s="959"/>
      <c r="AB949" s="959"/>
      <c r="AC949" s="959"/>
      <c r="AD949" s="959"/>
      <c r="AE949" s="959"/>
      <c r="AF949" s="959"/>
      <c r="AG949" s="959"/>
      <c r="AH949" s="959"/>
      <c r="AI949" s="959"/>
      <c r="AJ949" s="959"/>
      <c r="AK949" s="959"/>
      <c r="AL949" s="959"/>
      <c r="AM949" s="959"/>
    </row>
    <row r="950" spans="3:39" x14ac:dyDescent="0.25">
      <c r="C950" s="959"/>
      <c r="D950" s="959"/>
      <c r="E950" s="959"/>
      <c r="F950" s="959"/>
      <c r="G950" s="959"/>
      <c r="H950" s="959"/>
      <c r="I950" s="959"/>
      <c r="J950" s="959"/>
      <c r="K950" s="959"/>
      <c r="L950" s="959"/>
      <c r="M950" s="959"/>
      <c r="N950" s="959"/>
      <c r="O950" s="959"/>
      <c r="P950" s="959"/>
      <c r="Q950" s="959"/>
      <c r="R950" s="959"/>
      <c r="S950" s="959"/>
      <c r="T950" s="959"/>
      <c r="U950" s="959"/>
      <c r="V950" s="959"/>
      <c r="W950" s="959"/>
      <c r="X950" s="959"/>
      <c r="Y950" s="959"/>
      <c r="Z950" s="959"/>
      <c r="AA950" s="959"/>
      <c r="AB950" s="959"/>
      <c r="AC950" s="959"/>
      <c r="AD950" s="959"/>
      <c r="AE950" s="959"/>
      <c r="AF950" s="959"/>
      <c r="AG950" s="959"/>
      <c r="AH950" s="959"/>
      <c r="AI950" s="959"/>
      <c r="AJ950" s="959"/>
      <c r="AK950" s="959"/>
      <c r="AL950" s="959"/>
      <c r="AM950" s="959"/>
    </row>
    <row r="951" spans="3:39" x14ac:dyDescent="0.25">
      <c r="C951" s="959"/>
      <c r="D951" s="959"/>
      <c r="E951" s="959"/>
      <c r="F951" s="959"/>
      <c r="G951" s="959"/>
      <c r="H951" s="959"/>
      <c r="I951" s="959"/>
      <c r="J951" s="959"/>
      <c r="K951" s="959"/>
      <c r="L951" s="959"/>
      <c r="M951" s="959"/>
      <c r="N951" s="959"/>
      <c r="O951" s="959"/>
      <c r="P951" s="959"/>
      <c r="Q951" s="959"/>
      <c r="R951" s="959"/>
      <c r="S951" s="959"/>
      <c r="T951" s="959"/>
      <c r="U951" s="959"/>
      <c r="V951" s="959"/>
      <c r="W951" s="959"/>
      <c r="X951" s="959"/>
      <c r="Y951" s="959"/>
      <c r="Z951" s="959"/>
      <c r="AA951" s="959"/>
      <c r="AB951" s="959"/>
      <c r="AC951" s="959"/>
      <c r="AD951" s="959"/>
      <c r="AE951" s="959"/>
      <c r="AF951" s="959"/>
      <c r="AG951" s="959"/>
      <c r="AH951" s="959"/>
      <c r="AI951" s="959"/>
      <c r="AJ951" s="959"/>
      <c r="AK951" s="959"/>
      <c r="AL951" s="959"/>
      <c r="AM951" s="959"/>
    </row>
    <row r="952" spans="3:39" x14ac:dyDescent="0.25">
      <c r="C952" s="959"/>
      <c r="D952" s="959"/>
      <c r="E952" s="959"/>
      <c r="F952" s="959"/>
      <c r="G952" s="959"/>
      <c r="H952" s="959"/>
      <c r="I952" s="959"/>
      <c r="J952" s="959"/>
      <c r="K952" s="959"/>
      <c r="L952" s="959"/>
      <c r="M952" s="959"/>
      <c r="N952" s="959"/>
      <c r="O952" s="959"/>
      <c r="P952" s="959"/>
      <c r="Q952" s="959"/>
      <c r="R952" s="959"/>
      <c r="S952" s="959"/>
      <c r="T952" s="959"/>
      <c r="U952" s="959"/>
      <c r="V952" s="959"/>
      <c r="W952" s="959"/>
      <c r="X952" s="959"/>
      <c r="Y952" s="959"/>
      <c r="Z952" s="959"/>
      <c r="AA952" s="959"/>
      <c r="AB952" s="959"/>
      <c r="AC952" s="959"/>
      <c r="AD952" s="959"/>
      <c r="AE952" s="959"/>
      <c r="AF952" s="959"/>
      <c r="AG952" s="959"/>
      <c r="AH952" s="959"/>
      <c r="AI952" s="959"/>
      <c r="AJ952" s="959"/>
      <c r="AK952" s="959"/>
      <c r="AL952" s="959"/>
      <c r="AM952" s="959"/>
    </row>
    <row r="953" spans="3:39" x14ac:dyDescent="0.25">
      <c r="C953" s="959"/>
      <c r="D953" s="959"/>
      <c r="E953" s="959"/>
      <c r="F953" s="959"/>
      <c r="G953" s="959"/>
      <c r="H953" s="959"/>
      <c r="I953" s="959"/>
      <c r="J953" s="959"/>
      <c r="K953" s="959"/>
      <c r="L953" s="959"/>
      <c r="M953" s="959"/>
      <c r="N953" s="959"/>
      <c r="O953" s="959"/>
      <c r="P953" s="959"/>
      <c r="Q953" s="959"/>
      <c r="R953" s="959"/>
      <c r="S953" s="959"/>
      <c r="T953" s="959"/>
      <c r="U953" s="959"/>
      <c r="V953" s="959"/>
      <c r="W953" s="959"/>
      <c r="X953" s="959"/>
      <c r="Y953" s="959"/>
      <c r="Z953" s="959"/>
      <c r="AA953" s="959"/>
      <c r="AB953" s="959"/>
      <c r="AC953" s="959"/>
      <c r="AD953" s="959"/>
      <c r="AE953" s="959"/>
      <c r="AF953" s="959"/>
      <c r="AG953" s="959"/>
      <c r="AH953" s="959"/>
      <c r="AI953" s="959"/>
      <c r="AJ953" s="959"/>
      <c r="AK953" s="959"/>
      <c r="AL953" s="959"/>
      <c r="AM953" s="959"/>
    </row>
    <row r="954" spans="3:39" x14ac:dyDescent="0.25">
      <c r="C954" s="959"/>
      <c r="D954" s="959"/>
      <c r="E954" s="959"/>
      <c r="F954" s="959"/>
      <c r="G954" s="959"/>
      <c r="H954" s="959"/>
      <c r="I954" s="959"/>
      <c r="J954" s="959"/>
      <c r="K954" s="959"/>
      <c r="L954" s="959"/>
      <c r="M954" s="959"/>
      <c r="N954" s="959"/>
      <c r="O954" s="959"/>
      <c r="P954" s="959"/>
      <c r="Q954" s="959"/>
      <c r="R954" s="959"/>
      <c r="S954" s="959"/>
      <c r="T954" s="959"/>
      <c r="U954" s="959"/>
      <c r="V954" s="959"/>
      <c r="W954" s="959"/>
      <c r="X954" s="959"/>
      <c r="Y954" s="959"/>
      <c r="Z954" s="959"/>
      <c r="AA954" s="959"/>
      <c r="AB954" s="959"/>
      <c r="AC954" s="959"/>
      <c r="AD954" s="959"/>
      <c r="AE954" s="959"/>
      <c r="AF954" s="959"/>
      <c r="AG954" s="959"/>
      <c r="AH954" s="959"/>
      <c r="AI954" s="959"/>
      <c r="AJ954" s="959"/>
      <c r="AK954" s="959"/>
      <c r="AL954" s="959"/>
      <c r="AM954" s="959"/>
    </row>
    <row r="955" spans="3:39" x14ac:dyDescent="0.25">
      <c r="C955" s="959"/>
      <c r="D955" s="959"/>
      <c r="E955" s="959"/>
      <c r="F955" s="959"/>
      <c r="G955" s="959"/>
      <c r="H955" s="959"/>
      <c r="I955" s="959"/>
      <c r="J955" s="959"/>
      <c r="K955" s="959"/>
      <c r="L955" s="959"/>
      <c r="M955" s="959"/>
      <c r="N955" s="959"/>
      <c r="O955" s="959"/>
      <c r="P955" s="959"/>
      <c r="Q955" s="959"/>
      <c r="R955" s="959"/>
      <c r="S955" s="959"/>
      <c r="T955" s="959"/>
      <c r="U955" s="959"/>
      <c r="V955" s="959"/>
      <c r="W955" s="959"/>
      <c r="X955" s="959"/>
      <c r="Y955" s="959"/>
      <c r="Z955" s="959"/>
      <c r="AA955" s="959"/>
      <c r="AB955" s="959"/>
      <c r="AC955" s="959"/>
      <c r="AD955" s="959"/>
      <c r="AE955" s="959"/>
      <c r="AF955" s="959"/>
      <c r="AG955" s="959"/>
      <c r="AH955" s="959"/>
      <c r="AI955" s="959"/>
      <c r="AJ955" s="959"/>
      <c r="AK955" s="959"/>
      <c r="AL955" s="959"/>
      <c r="AM955" s="959"/>
    </row>
    <row r="956" spans="3:39" x14ac:dyDescent="0.25">
      <c r="C956" s="959"/>
      <c r="D956" s="959"/>
      <c r="E956" s="959"/>
      <c r="F956" s="959"/>
      <c r="G956" s="959"/>
      <c r="H956" s="959"/>
      <c r="I956" s="959"/>
      <c r="J956" s="959"/>
      <c r="K956" s="959"/>
      <c r="L956" s="959"/>
      <c r="M956" s="959"/>
      <c r="N956" s="959"/>
      <c r="O956" s="959"/>
      <c r="P956" s="959"/>
      <c r="Q956" s="959"/>
      <c r="R956" s="959"/>
      <c r="S956" s="959"/>
      <c r="T956" s="959"/>
      <c r="U956" s="959"/>
      <c r="V956" s="959"/>
      <c r="W956" s="959"/>
      <c r="X956" s="959"/>
      <c r="Y956" s="959"/>
      <c r="Z956" s="959"/>
      <c r="AA956" s="959"/>
      <c r="AB956" s="959"/>
      <c r="AC956" s="959"/>
      <c r="AD956" s="959"/>
      <c r="AE956" s="959"/>
      <c r="AF956" s="959"/>
      <c r="AG956" s="959"/>
      <c r="AH956" s="959"/>
      <c r="AI956" s="959"/>
      <c r="AJ956" s="959"/>
      <c r="AK956" s="959"/>
      <c r="AL956" s="959"/>
      <c r="AM956" s="959"/>
    </row>
    <row r="957" spans="3:39" x14ac:dyDescent="0.25">
      <c r="C957" s="959"/>
      <c r="D957" s="959"/>
      <c r="E957" s="959"/>
      <c r="F957" s="959"/>
      <c r="G957" s="959"/>
      <c r="H957" s="959"/>
      <c r="I957" s="959"/>
      <c r="J957" s="959"/>
      <c r="K957" s="959"/>
      <c r="L957" s="959"/>
      <c r="M957" s="959"/>
      <c r="N957" s="959"/>
      <c r="O957" s="959"/>
      <c r="P957" s="959"/>
      <c r="Q957" s="959"/>
      <c r="R957" s="959"/>
      <c r="S957" s="959"/>
      <c r="T957" s="959"/>
      <c r="U957" s="959"/>
      <c r="V957" s="959"/>
      <c r="W957" s="959"/>
      <c r="X957" s="959"/>
      <c r="Y957" s="959"/>
      <c r="Z957" s="959"/>
      <c r="AA957" s="959"/>
      <c r="AB957" s="959"/>
      <c r="AC957" s="959"/>
      <c r="AD957" s="959"/>
      <c r="AE957" s="959"/>
      <c r="AF957" s="959"/>
      <c r="AG957" s="959"/>
      <c r="AH957" s="959"/>
      <c r="AI957" s="959"/>
      <c r="AJ957" s="959"/>
      <c r="AK957" s="959"/>
      <c r="AL957" s="959"/>
      <c r="AM957" s="959"/>
    </row>
    <row r="958" spans="3:39" x14ac:dyDescent="0.25">
      <c r="C958" s="959"/>
      <c r="D958" s="959"/>
      <c r="E958" s="959"/>
      <c r="F958" s="959"/>
      <c r="G958" s="959"/>
      <c r="H958" s="959"/>
      <c r="I958" s="959"/>
      <c r="J958" s="959"/>
      <c r="K958" s="959"/>
      <c r="L958" s="959"/>
      <c r="M958" s="959"/>
      <c r="N958" s="959"/>
      <c r="O958" s="959"/>
      <c r="P958" s="959"/>
      <c r="Q958" s="959"/>
      <c r="R958" s="959"/>
      <c r="S958" s="959"/>
      <c r="T958" s="959"/>
      <c r="U958" s="959"/>
      <c r="V958" s="959"/>
      <c r="W958" s="959"/>
      <c r="X958" s="959"/>
      <c r="Y958" s="959"/>
      <c r="Z958" s="959"/>
      <c r="AA958" s="959"/>
      <c r="AB958" s="959"/>
      <c r="AC958" s="959"/>
      <c r="AD958" s="959"/>
      <c r="AE958" s="959"/>
      <c r="AF958" s="959"/>
      <c r="AG958" s="959"/>
      <c r="AH958" s="959"/>
      <c r="AI958" s="959"/>
      <c r="AJ958" s="959"/>
      <c r="AK958" s="959"/>
      <c r="AL958" s="959"/>
      <c r="AM958" s="959"/>
    </row>
    <row r="959" spans="3:39" x14ac:dyDescent="0.25">
      <c r="C959" s="959"/>
      <c r="D959" s="959"/>
      <c r="E959" s="959"/>
      <c r="F959" s="959"/>
      <c r="G959" s="959"/>
      <c r="H959" s="959"/>
      <c r="I959" s="959"/>
      <c r="J959" s="959"/>
      <c r="K959" s="959"/>
      <c r="L959" s="959"/>
      <c r="M959" s="959"/>
      <c r="N959" s="959"/>
      <c r="O959" s="959"/>
      <c r="P959" s="959"/>
      <c r="Q959" s="959"/>
      <c r="R959" s="959"/>
      <c r="S959" s="959"/>
      <c r="T959" s="959"/>
      <c r="U959" s="959"/>
      <c r="V959" s="959"/>
      <c r="W959" s="959"/>
      <c r="X959" s="959"/>
      <c r="Y959" s="959"/>
      <c r="Z959" s="959"/>
      <c r="AA959" s="959"/>
      <c r="AB959" s="959"/>
      <c r="AC959" s="959"/>
      <c r="AD959" s="959"/>
      <c r="AE959" s="959"/>
      <c r="AF959" s="959"/>
      <c r="AG959" s="959"/>
      <c r="AH959" s="959"/>
      <c r="AI959" s="959"/>
      <c r="AJ959" s="959"/>
      <c r="AK959" s="959"/>
      <c r="AL959" s="959"/>
      <c r="AM959" s="959"/>
    </row>
    <row r="960" spans="3:39" x14ac:dyDescent="0.25">
      <c r="C960" s="959"/>
      <c r="D960" s="959"/>
      <c r="E960" s="959"/>
      <c r="F960" s="959"/>
      <c r="G960" s="959"/>
      <c r="H960" s="959"/>
      <c r="I960" s="959"/>
      <c r="J960" s="959"/>
      <c r="K960" s="959"/>
      <c r="L960" s="959"/>
      <c r="M960" s="959"/>
      <c r="N960" s="959"/>
      <c r="O960" s="959"/>
      <c r="P960" s="959"/>
      <c r="Q960" s="959"/>
      <c r="R960" s="959"/>
      <c r="S960" s="959"/>
      <c r="T960" s="959"/>
      <c r="U960" s="959"/>
      <c r="V960" s="959"/>
      <c r="W960" s="959"/>
      <c r="X960" s="959"/>
      <c r="Y960" s="959"/>
      <c r="Z960" s="959"/>
      <c r="AA960" s="959"/>
      <c r="AB960" s="959"/>
      <c r="AC960" s="959"/>
      <c r="AD960" s="959"/>
      <c r="AE960" s="959"/>
      <c r="AF960" s="959"/>
      <c r="AG960" s="959"/>
      <c r="AH960" s="959"/>
      <c r="AI960" s="959"/>
      <c r="AJ960" s="959"/>
      <c r="AK960" s="959"/>
      <c r="AL960" s="959"/>
      <c r="AM960" s="959"/>
    </row>
    <row r="961" spans="3:39" x14ac:dyDescent="0.25">
      <c r="C961" s="959"/>
      <c r="D961" s="959"/>
      <c r="E961" s="959"/>
      <c r="F961" s="959"/>
      <c r="G961" s="959"/>
      <c r="H961" s="959"/>
      <c r="I961" s="959"/>
      <c r="J961" s="959"/>
      <c r="K961" s="959"/>
      <c r="L961" s="959"/>
      <c r="M961" s="959"/>
      <c r="N961" s="959"/>
      <c r="O961" s="959"/>
      <c r="P961" s="959"/>
      <c r="Q961" s="959"/>
      <c r="R961" s="959"/>
      <c r="S961" s="959"/>
      <c r="T961" s="959"/>
      <c r="U961" s="959"/>
      <c r="V961" s="959"/>
      <c r="W961" s="959"/>
      <c r="X961" s="959"/>
      <c r="Y961" s="959"/>
      <c r="Z961" s="959"/>
      <c r="AA961" s="959"/>
      <c r="AB961" s="959"/>
      <c r="AC961" s="959"/>
      <c r="AD961" s="959"/>
      <c r="AE961" s="959"/>
      <c r="AF961" s="959"/>
      <c r="AG961" s="959"/>
      <c r="AH961" s="959"/>
      <c r="AI961" s="959"/>
      <c r="AJ961" s="959"/>
      <c r="AK961" s="959"/>
      <c r="AL961" s="959"/>
      <c r="AM961" s="959"/>
    </row>
    <row r="962" spans="3:39" x14ac:dyDescent="0.25">
      <c r="C962" s="959"/>
      <c r="D962" s="959"/>
      <c r="E962" s="959"/>
      <c r="F962" s="959"/>
      <c r="G962" s="959"/>
      <c r="H962" s="959"/>
      <c r="I962" s="959"/>
      <c r="J962" s="959"/>
      <c r="K962" s="959"/>
      <c r="L962" s="959"/>
      <c r="M962" s="959"/>
      <c r="N962" s="959"/>
      <c r="O962" s="959"/>
      <c r="P962" s="959"/>
      <c r="Q962" s="959"/>
      <c r="R962" s="959"/>
      <c r="S962" s="959"/>
      <c r="T962" s="959"/>
      <c r="U962" s="959"/>
      <c r="V962" s="959"/>
      <c r="W962" s="959"/>
      <c r="X962" s="959"/>
      <c r="Y962" s="959"/>
      <c r="Z962" s="959"/>
      <c r="AA962" s="959"/>
      <c r="AB962" s="959"/>
      <c r="AC962" s="959"/>
      <c r="AD962" s="959"/>
      <c r="AE962" s="959"/>
      <c r="AF962" s="959"/>
      <c r="AG962" s="959"/>
      <c r="AH962" s="959"/>
      <c r="AI962" s="959"/>
      <c r="AJ962" s="959"/>
      <c r="AK962" s="959"/>
      <c r="AL962" s="959"/>
      <c r="AM962" s="959"/>
    </row>
    <row r="963" spans="3:39" x14ac:dyDescent="0.25">
      <c r="C963" s="959"/>
      <c r="D963" s="959"/>
      <c r="E963" s="959"/>
      <c r="F963" s="959"/>
      <c r="G963" s="959"/>
      <c r="H963" s="959"/>
      <c r="I963" s="959"/>
      <c r="J963" s="959"/>
      <c r="K963" s="959"/>
      <c r="L963" s="959"/>
      <c r="M963" s="959"/>
      <c r="N963" s="959"/>
      <c r="O963" s="959"/>
      <c r="P963" s="959"/>
      <c r="Q963" s="959"/>
      <c r="R963" s="959"/>
      <c r="S963" s="959"/>
      <c r="T963" s="959"/>
      <c r="U963" s="959"/>
      <c r="V963" s="959"/>
      <c r="W963" s="959"/>
      <c r="X963" s="959"/>
      <c r="Y963" s="959"/>
      <c r="Z963" s="959"/>
      <c r="AA963" s="959"/>
      <c r="AB963" s="959"/>
      <c r="AC963" s="959"/>
      <c r="AD963" s="959"/>
      <c r="AE963" s="959"/>
      <c r="AF963" s="959"/>
      <c r="AG963" s="959"/>
      <c r="AH963" s="959"/>
      <c r="AI963" s="959"/>
      <c r="AJ963" s="959"/>
      <c r="AK963" s="959"/>
      <c r="AL963" s="959"/>
      <c r="AM963" s="959"/>
    </row>
    <row r="964" spans="3:39" x14ac:dyDescent="0.25">
      <c r="C964" s="959"/>
      <c r="D964" s="959"/>
      <c r="E964" s="959"/>
      <c r="F964" s="959"/>
      <c r="G964" s="959"/>
      <c r="H964" s="959"/>
      <c r="I964" s="959"/>
      <c r="J964" s="959"/>
      <c r="K964" s="959"/>
      <c r="L964" s="959"/>
      <c r="M964" s="959"/>
      <c r="N964" s="959"/>
      <c r="O964" s="959"/>
      <c r="P964" s="959"/>
      <c r="Q964" s="959"/>
      <c r="R964" s="959"/>
      <c r="S964" s="959"/>
      <c r="T964" s="959"/>
      <c r="U964" s="959"/>
      <c r="V964" s="959"/>
      <c r="W964" s="959"/>
      <c r="X964" s="959"/>
      <c r="Y964" s="959"/>
      <c r="Z964" s="959"/>
      <c r="AA964" s="959"/>
      <c r="AB964" s="959"/>
      <c r="AC964" s="959"/>
      <c r="AD964" s="959"/>
      <c r="AE964" s="959"/>
      <c r="AF964" s="959"/>
      <c r="AG964" s="959"/>
      <c r="AH964" s="959"/>
      <c r="AI964" s="959"/>
      <c r="AJ964" s="959"/>
      <c r="AK964" s="959"/>
      <c r="AL964" s="959"/>
      <c r="AM964" s="959"/>
    </row>
    <row r="965" spans="3:39" x14ac:dyDescent="0.25">
      <c r="C965" s="959"/>
      <c r="D965" s="959"/>
      <c r="E965" s="959"/>
      <c r="F965" s="959"/>
      <c r="G965" s="959"/>
      <c r="H965" s="959"/>
      <c r="I965" s="959"/>
      <c r="J965" s="959"/>
      <c r="K965" s="959"/>
      <c r="L965" s="959"/>
      <c r="M965" s="959"/>
      <c r="N965" s="959"/>
      <c r="O965" s="959"/>
      <c r="P965" s="959"/>
      <c r="Q965" s="959"/>
      <c r="R965" s="959"/>
      <c r="S965" s="959"/>
      <c r="T965" s="959"/>
      <c r="U965" s="959"/>
      <c r="V965" s="959"/>
      <c r="W965" s="959"/>
      <c r="X965" s="959"/>
      <c r="Y965" s="959"/>
      <c r="Z965" s="959"/>
      <c r="AA965" s="959"/>
      <c r="AB965" s="959"/>
      <c r="AC965" s="959"/>
      <c r="AD965" s="959"/>
      <c r="AE965" s="959"/>
      <c r="AF965" s="959"/>
      <c r="AG965" s="959"/>
      <c r="AH965" s="959"/>
      <c r="AI965" s="959"/>
      <c r="AJ965" s="959"/>
      <c r="AK965" s="959"/>
      <c r="AL965" s="959"/>
      <c r="AM965" s="959"/>
    </row>
    <row r="966" spans="3:39" x14ac:dyDescent="0.25">
      <c r="C966" s="959"/>
      <c r="D966" s="959"/>
      <c r="E966" s="959"/>
      <c r="F966" s="959"/>
      <c r="G966" s="959"/>
      <c r="H966" s="959"/>
      <c r="I966" s="959"/>
      <c r="J966" s="959"/>
      <c r="K966" s="959"/>
      <c r="L966" s="959"/>
      <c r="M966" s="959"/>
      <c r="N966" s="959"/>
      <c r="O966" s="959"/>
      <c r="P966" s="959"/>
      <c r="Q966" s="959"/>
      <c r="R966" s="959"/>
      <c r="S966" s="959"/>
      <c r="T966" s="959"/>
      <c r="U966" s="959"/>
      <c r="V966" s="959"/>
      <c r="W966" s="959"/>
      <c r="X966" s="959"/>
      <c r="Y966" s="959"/>
      <c r="Z966" s="959"/>
      <c r="AA966" s="959"/>
      <c r="AB966" s="959"/>
      <c r="AC966" s="959"/>
      <c r="AD966" s="959"/>
      <c r="AE966" s="959"/>
      <c r="AF966" s="959"/>
      <c r="AG966" s="959"/>
      <c r="AH966" s="959"/>
      <c r="AI966" s="959"/>
      <c r="AJ966" s="959"/>
      <c r="AK966" s="959"/>
      <c r="AL966" s="959"/>
      <c r="AM966" s="959"/>
    </row>
    <row r="967" spans="3:39" x14ac:dyDescent="0.25">
      <c r="C967" s="959"/>
      <c r="D967" s="959"/>
      <c r="E967" s="959"/>
      <c r="F967" s="959"/>
      <c r="G967" s="959"/>
      <c r="H967" s="959"/>
      <c r="I967" s="959"/>
      <c r="J967" s="959"/>
      <c r="K967" s="959"/>
      <c r="L967" s="959"/>
      <c r="M967" s="959"/>
      <c r="N967" s="959"/>
      <c r="O967" s="959"/>
      <c r="P967" s="959"/>
      <c r="Q967" s="959"/>
      <c r="R967" s="959"/>
      <c r="S967" s="959"/>
      <c r="T967" s="959"/>
      <c r="U967" s="959"/>
      <c r="V967" s="959"/>
      <c r="W967" s="959"/>
      <c r="X967" s="959"/>
      <c r="Y967" s="959"/>
      <c r="Z967" s="959"/>
      <c r="AA967" s="959"/>
      <c r="AB967" s="959"/>
      <c r="AC967" s="959"/>
      <c r="AD967" s="959"/>
      <c r="AE967" s="959"/>
      <c r="AF967" s="959"/>
      <c r="AG967" s="959"/>
      <c r="AH967" s="959"/>
      <c r="AI967" s="959"/>
      <c r="AJ967" s="959"/>
      <c r="AK967" s="959"/>
      <c r="AL967" s="959"/>
      <c r="AM967" s="959"/>
    </row>
    <row r="968" spans="3:39" x14ac:dyDescent="0.25">
      <c r="C968" s="959"/>
      <c r="D968" s="959"/>
      <c r="E968" s="959"/>
      <c r="F968" s="959"/>
      <c r="G968" s="959"/>
      <c r="H968" s="959"/>
      <c r="I968" s="959"/>
      <c r="J968" s="959"/>
      <c r="K968" s="959"/>
      <c r="L968" s="959"/>
      <c r="M968" s="959"/>
      <c r="N968" s="959"/>
      <c r="O968" s="959"/>
      <c r="P968" s="959"/>
      <c r="Q968" s="959"/>
      <c r="R968" s="959"/>
      <c r="S968" s="959"/>
      <c r="T968" s="959"/>
      <c r="U968" s="959"/>
      <c r="V968" s="959"/>
      <c r="W968" s="959"/>
      <c r="X968" s="959"/>
      <c r="Y968" s="959"/>
      <c r="Z968" s="959"/>
      <c r="AA968" s="959"/>
      <c r="AB968" s="959"/>
      <c r="AC968" s="959"/>
      <c r="AD968" s="959"/>
      <c r="AE968" s="959"/>
      <c r="AF968" s="959"/>
      <c r="AG968" s="959"/>
      <c r="AH968" s="959"/>
      <c r="AI968" s="959"/>
      <c r="AJ968" s="959"/>
      <c r="AK968" s="959"/>
      <c r="AL968" s="959"/>
      <c r="AM968" s="959"/>
    </row>
    <row r="969" spans="3:39" x14ac:dyDescent="0.25">
      <c r="C969" s="959"/>
      <c r="D969" s="959"/>
      <c r="E969" s="959"/>
      <c r="F969" s="959"/>
      <c r="G969" s="959"/>
      <c r="H969" s="959"/>
      <c r="I969" s="959"/>
      <c r="J969" s="959"/>
      <c r="K969" s="959"/>
      <c r="L969" s="959"/>
      <c r="M969" s="959"/>
      <c r="N969" s="959"/>
      <c r="O969" s="959"/>
      <c r="P969" s="959"/>
      <c r="Q969" s="959"/>
      <c r="R969" s="959"/>
      <c r="S969" s="959"/>
      <c r="T969" s="959"/>
      <c r="U969" s="959"/>
      <c r="V969" s="959"/>
      <c r="W969" s="959"/>
      <c r="X969" s="959"/>
      <c r="Y969" s="959"/>
      <c r="Z969" s="959"/>
      <c r="AA969" s="959"/>
      <c r="AB969" s="959"/>
      <c r="AC969" s="959"/>
      <c r="AD969" s="959"/>
      <c r="AE969" s="959"/>
      <c r="AF969" s="959"/>
      <c r="AG969" s="959"/>
      <c r="AH969" s="959"/>
      <c r="AI969" s="959"/>
      <c r="AJ969" s="959"/>
      <c r="AK969" s="959"/>
      <c r="AL969" s="959"/>
      <c r="AM969" s="959"/>
    </row>
    <row r="970" spans="3:39" x14ac:dyDescent="0.25">
      <c r="C970" s="959"/>
      <c r="D970" s="959"/>
      <c r="E970" s="959"/>
      <c r="F970" s="959"/>
      <c r="G970" s="959"/>
      <c r="H970" s="959"/>
      <c r="I970" s="959"/>
      <c r="J970" s="959"/>
      <c r="K970" s="959"/>
      <c r="L970" s="959"/>
      <c r="M970" s="959"/>
      <c r="N970" s="959"/>
      <c r="O970" s="959"/>
      <c r="P970" s="959"/>
      <c r="Q970" s="959"/>
      <c r="R970" s="959"/>
      <c r="S970" s="959"/>
      <c r="T970" s="959"/>
      <c r="U970" s="959"/>
      <c r="V970" s="959"/>
      <c r="W970" s="959"/>
      <c r="X970" s="959"/>
      <c r="Y970" s="959"/>
      <c r="Z970" s="959"/>
      <c r="AA970" s="959"/>
      <c r="AB970" s="959"/>
      <c r="AC970" s="959"/>
      <c r="AD970" s="959"/>
      <c r="AE970" s="959"/>
      <c r="AF970" s="959"/>
      <c r="AG970" s="959"/>
      <c r="AH970" s="959"/>
      <c r="AI970" s="959"/>
      <c r="AJ970" s="959"/>
      <c r="AK970" s="959"/>
      <c r="AL970" s="959"/>
      <c r="AM970" s="959"/>
    </row>
    <row r="971" spans="3:39" x14ac:dyDescent="0.25">
      <c r="C971" s="959"/>
      <c r="D971" s="959"/>
      <c r="E971" s="959"/>
      <c r="F971" s="959"/>
      <c r="G971" s="959"/>
      <c r="H971" s="959"/>
      <c r="I971" s="959"/>
      <c r="J971" s="959"/>
      <c r="K971" s="959"/>
      <c r="L971" s="959"/>
      <c r="M971" s="959"/>
      <c r="N971" s="959"/>
      <c r="O971" s="959"/>
      <c r="P971" s="959"/>
      <c r="Q971" s="959"/>
      <c r="R971" s="959"/>
      <c r="S971" s="959"/>
      <c r="T971" s="959"/>
      <c r="U971" s="959"/>
      <c r="V971" s="959"/>
      <c r="W971" s="959"/>
      <c r="X971" s="959"/>
      <c r="Y971" s="959"/>
      <c r="Z971" s="959"/>
      <c r="AA971" s="959"/>
      <c r="AB971" s="959"/>
      <c r="AC971" s="959"/>
      <c r="AD971" s="959"/>
      <c r="AE971" s="959"/>
      <c r="AF971" s="959"/>
      <c r="AG971" s="959"/>
      <c r="AH971" s="959"/>
      <c r="AI971" s="959"/>
      <c r="AJ971" s="959"/>
      <c r="AK971" s="959"/>
      <c r="AL971" s="959"/>
      <c r="AM971" s="959"/>
    </row>
    <row r="972" spans="3:39" x14ac:dyDescent="0.25">
      <c r="C972" s="959"/>
      <c r="D972" s="959"/>
      <c r="E972" s="959"/>
      <c r="F972" s="959"/>
      <c r="G972" s="959"/>
      <c r="H972" s="959"/>
      <c r="I972" s="959"/>
      <c r="J972" s="959"/>
      <c r="K972" s="959"/>
      <c r="L972" s="959"/>
      <c r="M972" s="959"/>
      <c r="N972" s="959"/>
      <c r="O972" s="959"/>
      <c r="P972" s="959"/>
      <c r="Q972" s="959"/>
      <c r="R972" s="959"/>
      <c r="S972" s="959"/>
      <c r="T972" s="959"/>
      <c r="U972" s="959"/>
      <c r="V972" s="959"/>
      <c r="W972" s="959"/>
      <c r="X972" s="959"/>
      <c r="Y972" s="959"/>
      <c r="Z972" s="959"/>
      <c r="AA972" s="959"/>
      <c r="AB972" s="959"/>
      <c r="AC972" s="959"/>
      <c r="AD972" s="959"/>
      <c r="AE972" s="959"/>
      <c r="AF972" s="959"/>
      <c r="AG972" s="959"/>
      <c r="AH972" s="959"/>
      <c r="AI972" s="959"/>
      <c r="AJ972" s="959"/>
      <c r="AK972" s="959"/>
      <c r="AL972" s="959"/>
      <c r="AM972" s="959"/>
    </row>
    <row r="973" spans="3:39" x14ac:dyDescent="0.25">
      <c r="C973" s="959"/>
      <c r="D973" s="959"/>
      <c r="E973" s="959"/>
      <c r="F973" s="959"/>
      <c r="G973" s="959"/>
      <c r="H973" s="959"/>
      <c r="I973" s="959"/>
      <c r="J973" s="959"/>
      <c r="K973" s="959"/>
      <c r="L973" s="959"/>
      <c r="M973" s="959"/>
      <c r="N973" s="959"/>
      <c r="O973" s="959"/>
      <c r="P973" s="959"/>
      <c r="Q973" s="959"/>
      <c r="R973" s="959"/>
      <c r="S973" s="959"/>
      <c r="T973" s="959"/>
      <c r="U973" s="959"/>
      <c r="V973" s="959"/>
      <c r="W973" s="959"/>
      <c r="X973" s="959"/>
      <c r="Y973" s="959"/>
      <c r="Z973" s="959"/>
      <c r="AA973" s="959"/>
      <c r="AB973" s="959"/>
      <c r="AC973" s="959"/>
      <c r="AD973" s="959"/>
      <c r="AE973" s="959"/>
      <c r="AF973" s="959"/>
      <c r="AG973" s="959"/>
      <c r="AH973" s="959"/>
      <c r="AI973" s="959"/>
      <c r="AJ973" s="959"/>
      <c r="AK973" s="959"/>
      <c r="AL973" s="959"/>
      <c r="AM973" s="959"/>
    </row>
    <row r="974" spans="3:39" x14ac:dyDescent="0.25">
      <c r="C974" s="959"/>
      <c r="D974" s="959"/>
      <c r="E974" s="959"/>
      <c r="F974" s="959"/>
      <c r="G974" s="959"/>
      <c r="H974" s="959"/>
      <c r="I974" s="959"/>
      <c r="J974" s="959"/>
      <c r="K974" s="959"/>
      <c r="L974" s="959"/>
      <c r="M974" s="959"/>
      <c r="N974" s="959"/>
      <c r="O974" s="959"/>
      <c r="P974" s="959"/>
      <c r="Q974" s="959"/>
      <c r="R974" s="959"/>
      <c r="S974" s="959"/>
      <c r="T974" s="959"/>
      <c r="U974" s="959"/>
      <c r="V974" s="959"/>
      <c r="W974" s="959"/>
      <c r="X974" s="959"/>
      <c r="Y974" s="959"/>
      <c r="Z974" s="959"/>
      <c r="AA974" s="959"/>
      <c r="AB974" s="959"/>
      <c r="AC974" s="959"/>
      <c r="AD974" s="959"/>
      <c r="AE974" s="959"/>
      <c r="AF974" s="959"/>
      <c r="AG974" s="959"/>
      <c r="AH974" s="959"/>
      <c r="AI974" s="959"/>
      <c r="AJ974" s="959"/>
      <c r="AK974" s="959"/>
      <c r="AL974" s="959"/>
      <c r="AM974" s="959"/>
    </row>
    <row r="975" spans="3:39" x14ac:dyDescent="0.25">
      <c r="C975" s="959"/>
      <c r="D975" s="959"/>
      <c r="E975" s="959"/>
      <c r="F975" s="959"/>
      <c r="G975" s="959"/>
      <c r="H975" s="959"/>
      <c r="I975" s="959"/>
      <c r="J975" s="959"/>
      <c r="K975" s="959"/>
      <c r="L975" s="959"/>
      <c r="M975" s="959"/>
      <c r="N975" s="959"/>
      <c r="O975" s="959"/>
      <c r="P975" s="959"/>
      <c r="Q975" s="959"/>
      <c r="R975" s="959"/>
      <c r="S975" s="959"/>
      <c r="T975" s="959"/>
      <c r="U975" s="959"/>
      <c r="V975" s="959"/>
      <c r="W975" s="959"/>
      <c r="X975" s="959"/>
      <c r="Y975" s="959"/>
      <c r="Z975" s="959"/>
      <c r="AA975" s="959"/>
      <c r="AB975" s="959"/>
      <c r="AC975" s="959"/>
      <c r="AD975" s="959"/>
      <c r="AE975" s="959"/>
      <c r="AF975" s="959"/>
      <c r="AG975" s="959"/>
      <c r="AH975" s="959"/>
      <c r="AI975" s="959"/>
      <c r="AJ975" s="959"/>
      <c r="AK975" s="959"/>
      <c r="AL975" s="959"/>
      <c r="AM975" s="959"/>
    </row>
    <row r="976" spans="3:39" x14ac:dyDescent="0.25">
      <c r="C976" s="959"/>
      <c r="D976" s="959"/>
      <c r="E976" s="959"/>
      <c r="F976" s="959"/>
      <c r="G976" s="959"/>
      <c r="H976" s="959"/>
      <c r="I976" s="959"/>
      <c r="J976" s="959"/>
      <c r="K976" s="959"/>
      <c r="L976" s="959"/>
      <c r="M976" s="959"/>
      <c r="N976" s="959"/>
      <c r="O976" s="959"/>
      <c r="P976" s="959"/>
      <c r="Q976" s="959"/>
      <c r="R976" s="959"/>
      <c r="S976" s="959"/>
      <c r="T976" s="959"/>
      <c r="U976" s="959"/>
      <c r="V976" s="959"/>
      <c r="W976" s="959"/>
      <c r="X976" s="959"/>
      <c r="Y976" s="959"/>
      <c r="Z976" s="959"/>
      <c r="AA976" s="959"/>
      <c r="AB976" s="959"/>
      <c r="AC976" s="959"/>
      <c r="AD976" s="959"/>
      <c r="AE976" s="959"/>
      <c r="AF976" s="959"/>
      <c r="AG976" s="959"/>
      <c r="AH976" s="959"/>
      <c r="AI976" s="959"/>
      <c r="AJ976" s="959"/>
      <c r="AK976" s="959"/>
      <c r="AL976" s="959"/>
      <c r="AM976" s="959"/>
    </row>
    <row r="977" spans="3:39" x14ac:dyDescent="0.25">
      <c r="C977" s="959"/>
      <c r="D977" s="959"/>
      <c r="E977" s="959"/>
      <c r="F977" s="959"/>
      <c r="G977" s="959"/>
      <c r="H977" s="959"/>
      <c r="I977" s="959"/>
      <c r="J977" s="959"/>
      <c r="K977" s="959"/>
      <c r="L977" s="959"/>
      <c r="M977" s="959"/>
      <c r="N977" s="959"/>
      <c r="O977" s="959"/>
      <c r="P977" s="959"/>
      <c r="Q977" s="959"/>
      <c r="R977" s="959"/>
      <c r="S977" s="959"/>
      <c r="T977" s="959"/>
      <c r="U977" s="959"/>
      <c r="V977" s="959"/>
      <c r="W977" s="959"/>
      <c r="X977" s="959"/>
      <c r="Y977" s="959"/>
      <c r="Z977" s="959"/>
      <c r="AA977" s="959"/>
      <c r="AB977" s="959"/>
      <c r="AC977" s="959"/>
      <c r="AD977" s="959"/>
      <c r="AE977" s="959"/>
      <c r="AF977" s="959"/>
      <c r="AG977" s="959"/>
      <c r="AH977" s="959"/>
      <c r="AI977" s="959"/>
      <c r="AJ977" s="959"/>
      <c r="AK977" s="959"/>
      <c r="AL977" s="959"/>
      <c r="AM977" s="959"/>
    </row>
    <row r="978" spans="3:39" x14ac:dyDescent="0.25">
      <c r="C978" s="959"/>
      <c r="D978" s="959"/>
      <c r="E978" s="959"/>
      <c r="F978" s="959"/>
      <c r="G978" s="959"/>
      <c r="H978" s="959"/>
      <c r="I978" s="959"/>
      <c r="J978" s="959"/>
      <c r="K978" s="959"/>
      <c r="L978" s="959"/>
      <c r="M978" s="959"/>
      <c r="N978" s="959"/>
      <c r="O978" s="959"/>
      <c r="P978" s="959"/>
      <c r="Q978" s="959"/>
      <c r="R978" s="959"/>
      <c r="S978" s="959"/>
      <c r="T978" s="959"/>
      <c r="U978" s="959"/>
      <c r="V978" s="959"/>
      <c r="W978" s="959"/>
      <c r="X978" s="959"/>
      <c r="Y978" s="959"/>
      <c r="Z978" s="959"/>
      <c r="AA978" s="959"/>
      <c r="AB978" s="959"/>
      <c r="AC978" s="959"/>
      <c r="AD978" s="959"/>
      <c r="AE978" s="959"/>
      <c r="AF978" s="959"/>
      <c r="AG978" s="959"/>
      <c r="AH978" s="959"/>
      <c r="AI978" s="959"/>
      <c r="AJ978" s="959"/>
      <c r="AK978" s="959"/>
      <c r="AL978" s="959"/>
      <c r="AM978" s="959"/>
    </row>
    <row r="979" spans="3:39" x14ac:dyDescent="0.25">
      <c r="C979" s="959"/>
      <c r="D979" s="959"/>
      <c r="E979" s="959"/>
      <c r="F979" s="959"/>
      <c r="G979" s="959"/>
      <c r="H979" s="959"/>
      <c r="I979" s="959"/>
      <c r="J979" s="959"/>
      <c r="K979" s="959"/>
      <c r="L979" s="959"/>
      <c r="M979" s="959"/>
      <c r="N979" s="959"/>
      <c r="O979" s="959"/>
      <c r="P979" s="959"/>
      <c r="Q979" s="959"/>
      <c r="R979" s="959"/>
      <c r="S979" s="959"/>
      <c r="T979" s="959"/>
      <c r="U979" s="959"/>
      <c r="V979" s="959"/>
      <c r="W979" s="959"/>
      <c r="X979" s="959"/>
      <c r="Y979" s="959"/>
      <c r="Z979" s="959"/>
      <c r="AA979" s="959"/>
      <c r="AB979" s="959"/>
      <c r="AC979" s="959"/>
      <c r="AD979" s="959"/>
      <c r="AE979" s="959"/>
      <c r="AF979" s="959"/>
      <c r="AG979" s="959"/>
      <c r="AH979" s="959"/>
      <c r="AI979" s="959"/>
      <c r="AJ979" s="959"/>
      <c r="AK979" s="959"/>
      <c r="AL979" s="959"/>
      <c r="AM979" s="959"/>
    </row>
    <row r="980" spans="3:39" x14ac:dyDescent="0.25">
      <c r="C980" s="959"/>
      <c r="D980" s="959"/>
      <c r="E980" s="959"/>
      <c r="F980" s="959"/>
      <c r="G980" s="959"/>
      <c r="H980" s="959"/>
      <c r="I980" s="959"/>
      <c r="J980" s="959"/>
      <c r="K980" s="959"/>
      <c r="L980" s="959"/>
      <c r="M980" s="959"/>
      <c r="N980" s="959"/>
      <c r="O980" s="959"/>
      <c r="P980" s="959"/>
      <c r="Q980" s="959"/>
      <c r="R980" s="959"/>
      <c r="S980" s="959"/>
      <c r="T980" s="959"/>
      <c r="U980" s="959"/>
      <c r="V980" s="959"/>
      <c r="W980" s="959"/>
      <c r="X980" s="959"/>
      <c r="Y980" s="959"/>
      <c r="Z980" s="959"/>
      <c r="AA980" s="959"/>
      <c r="AB980" s="959"/>
      <c r="AC980" s="959"/>
      <c r="AD980" s="959"/>
      <c r="AE980" s="959"/>
      <c r="AF980" s="959"/>
      <c r="AG980" s="959"/>
      <c r="AH980" s="959"/>
      <c r="AI980" s="959"/>
      <c r="AJ980" s="959"/>
      <c r="AK980" s="959"/>
      <c r="AL980" s="959"/>
      <c r="AM980" s="959"/>
    </row>
    <row r="981" spans="3:39" x14ac:dyDescent="0.25">
      <c r="C981" s="959"/>
      <c r="D981" s="959"/>
      <c r="E981" s="959"/>
      <c r="F981" s="959"/>
      <c r="G981" s="959"/>
      <c r="H981" s="959"/>
      <c r="I981" s="959"/>
      <c r="J981" s="959"/>
      <c r="K981" s="959"/>
      <c r="L981" s="959"/>
      <c r="M981" s="959"/>
      <c r="N981" s="959"/>
      <c r="O981" s="959"/>
      <c r="P981" s="959"/>
      <c r="Q981" s="959"/>
      <c r="R981" s="959"/>
      <c r="S981" s="959"/>
      <c r="T981" s="959"/>
      <c r="U981" s="959"/>
      <c r="V981" s="959"/>
      <c r="W981" s="959"/>
      <c r="X981" s="959"/>
      <c r="Y981" s="959"/>
      <c r="Z981" s="959"/>
      <c r="AA981" s="959"/>
      <c r="AB981" s="959"/>
      <c r="AC981" s="959"/>
      <c r="AD981" s="959"/>
      <c r="AE981" s="959"/>
      <c r="AF981" s="959"/>
      <c r="AG981" s="959"/>
      <c r="AH981" s="959"/>
      <c r="AI981" s="959"/>
      <c r="AJ981" s="959"/>
      <c r="AK981" s="959"/>
      <c r="AL981" s="959"/>
      <c r="AM981" s="959"/>
    </row>
    <row r="982" spans="3:39" x14ac:dyDescent="0.25">
      <c r="C982" s="959"/>
      <c r="D982" s="959"/>
      <c r="E982" s="959"/>
      <c r="F982" s="959"/>
      <c r="G982" s="959"/>
      <c r="H982" s="959"/>
      <c r="I982" s="959"/>
      <c r="J982" s="959"/>
      <c r="K982" s="959"/>
      <c r="L982" s="959"/>
      <c r="M982" s="959"/>
      <c r="N982" s="959"/>
      <c r="O982" s="959"/>
      <c r="P982" s="959"/>
      <c r="Q982" s="959"/>
      <c r="R982" s="959"/>
      <c r="S982" s="959"/>
      <c r="T982" s="959"/>
      <c r="U982" s="959"/>
      <c r="V982" s="959"/>
      <c r="W982" s="959"/>
      <c r="X982" s="959"/>
      <c r="Y982" s="959"/>
      <c r="Z982" s="959"/>
      <c r="AA982" s="959"/>
      <c r="AB982" s="959"/>
      <c r="AC982" s="959"/>
      <c r="AD982" s="959"/>
      <c r="AE982" s="959"/>
      <c r="AF982" s="959"/>
      <c r="AG982" s="959"/>
      <c r="AH982" s="959"/>
      <c r="AI982" s="959"/>
      <c r="AJ982" s="959"/>
      <c r="AK982" s="959"/>
      <c r="AL982" s="959"/>
      <c r="AM982" s="959"/>
    </row>
    <row r="983" spans="3:39" x14ac:dyDescent="0.25">
      <c r="C983" s="959"/>
      <c r="D983" s="959"/>
      <c r="E983" s="959"/>
      <c r="F983" s="959"/>
      <c r="G983" s="959"/>
      <c r="H983" s="959"/>
      <c r="I983" s="959"/>
      <c r="J983" s="959"/>
      <c r="K983" s="959"/>
      <c r="L983" s="959"/>
      <c r="M983" s="959"/>
      <c r="N983" s="959"/>
      <c r="O983" s="959"/>
      <c r="P983" s="959"/>
      <c r="Q983" s="959"/>
      <c r="R983" s="959"/>
      <c r="S983" s="959"/>
      <c r="T983" s="959"/>
      <c r="U983" s="959"/>
      <c r="V983" s="959"/>
      <c r="W983" s="959"/>
      <c r="X983" s="959"/>
      <c r="Y983" s="959"/>
      <c r="Z983" s="959"/>
      <c r="AA983" s="959"/>
      <c r="AB983" s="959"/>
      <c r="AC983" s="959"/>
      <c r="AD983" s="959"/>
      <c r="AE983" s="959"/>
      <c r="AF983" s="959"/>
      <c r="AG983" s="959"/>
      <c r="AH983" s="959"/>
      <c r="AI983" s="959"/>
      <c r="AJ983" s="959"/>
      <c r="AK983" s="959"/>
      <c r="AL983" s="959"/>
      <c r="AM983" s="959"/>
    </row>
    <row r="984" spans="3:39" x14ac:dyDescent="0.25">
      <c r="C984" s="959"/>
      <c r="D984" s="959"/>
      <c r="E984" s="959"/>
      <c r="F984" s="959"/>
      <c r="G984" s="959"/>
      <c r="H984" s="959"/>
      <c r="I984" s="959"/>
      <c r="J984" s="959"/>
      <c r="K984" s="959"/>
      <c r="L984" s="959"/>
      <c r="M984" s="959"/>
      <c r="N984" s="959"/>
      <c r="O984" s="959"/>
      <c r="P984" s="959"/>
      <c r="Q984" s="959"/>
      <c r="R984" s="959"/>
      <c r="S984" s="959"/>
      <c r="T984" s="959"/>
      <c r="U984" s="959"/>
      <c r="V984" s="959"/>
      <c r="W984" s="959"/>
      <c r="X984" s="959"/>
      <c r="Y984" s="959"/>
      <c r="Z984" s="959"/>
      <c r="AA984" s="959"/>
      <c r="AB984" s="959"/>
      <c r="AC984" s="959"/>
      <c r="AD984" s="959"/>
      <c r="AE984" s="959"/>
      <c r="AF984" s="959"/>
      <c r="AG984" s="959"/>
      <c r="AH984" s="959"/>
      <c r="AI984" s="959"/>
      <c r="AJ984" s="959"/>
      <c r="AK984" s="959"/>
      <c r="AL984" s="959"/>
      <c r="AM984" s="959"/>
    </row>
    <row r="985" spans="3:39" x14ac:dyDescent="0.25">
      <c r="C985" s="959"/>
      <c r="D985" s="959"/>
      <c r="E985" s="959"/>
      <c r="F985" s="959"/>
      <c r="G985" s="959"/>
      <c r="H985" s="959"/>
      <c r="I985" s="959"/>
      <c r="J985" s="959"/>
      <c r="K985" s="959"/>
      <c r="L985" s="959"/>
      <c r="M985" s="959"/>
      <c r="N985" s="959"/>
      <c r="O985" s="959"/>
      <c r="P985" s="959"/>
      <c r="Q985" s="959"/>
      <c r="R985" s="959"/>
      <c r="S985" s="959"/>
      <c r="T985" s="959"/>
      <c r="U985" s="959"/>
      <c r="V985" s="959"/>
      <c r="W985" s="959"/>
      <c r="X985" s="959"/>
      <c r="Y985" s="959"/>
      <c r="Z985" s="959"/>
      <c r="AA985" s="959"/>
      <c r="AB985" s="959"/>
      <c r="AC985" s="959"/>
      <c r="AD985" s="959"/>
      <c r="AE985" s="959"/>
      <c r="AF985" s="959"/>
      <c r="AG985" s="959"/>
      <c r="AH985" s="959"/>
      <c r="AI985" s="959"/>
      <c r="AJ985" s="959"/>
      <c r="AK985" s="959"/>
      <c r="AL985" s="959"/>
      <c r="AM985" s="959"/>
    </row>
    <row r="986" spans="3:39" x14ac:dyDescent="0.25">
      <c r="C986" s="959"/>
      <c r="D986" s="959"/>
      <c r="E986" s="959"/>
      <c r="F986" s="959"/>
      <c r="G986" s="959"/>
      <c r="H986" s="959"/>
      <c r="I986" s="959"/>
      <c r="J986" s="959"/>
      <c r="K986" s="959"/>
      <c r="L986" s="959"/>
      <c r="M986" s="959"/>
      <c r="N986" s="959"/>
      <c r="O986" s="959"/>
      <c r="P986" s="959"/>
      <c r="Q986" s="959"/>
      <c r="R986" s="959"/>
      <c r="S986" s="959"/>
      <c r="T986" s="959"/>
      <c r="U986" s="959"/>
      <c r="V986" s="959"/>
      <c r="W986" s="959"/>
      <c r="X986" s="959"/>
      <c r="Y986" s="959"/>
      <c r="Z986" s="959"/>
      <c r="AA986" s="959"/>
      <c r="AB986" s="959"/>
      <c r="AC986" s="959"/>
      <c r="AD986" s="959"/>
      <c r="AE986" s="959"/>
      <c r="AF986" s="959"/>
      <c r="AG986" s="959"/>
      <c r="AH986" s="959"/>
      <c r="AI986" s="959"/>
      <c r="AJ986" s="959"/>
      <c r="AK986" s="959"/>
      <c r="AL986" s="959"/>
      <c r="AM986" s="959"/>
    </row>
    <row r="987" spans="3:39" x14ac:dyDescent="0.25">
      <c r="C987" s="959"/>
      <c r="D987" s="959"/>
      <c r="E987" s="959"/>
      <c r="F987" s="959"/>
      <c r="G987" s="959"/>
      <c r="H987" s="959"/>
      <c r="I987" s="959"/>
      <c r="J987" s="959"/>
      <c r="K987" s="959"/>
      <c r="L987" s="959"/>
      <c r="M987" s="959"/>
      <c r="N987" s="959"/>
      <c r="O987" s="959"/>
      <c r="P987" s="959"/>
      <c r="Q987" s="959"/>
      <c r="R987" s="959"/>
      <c r="S987" s="959"/>
      <c r="T987" s="959"/>
      <c r="U987" s="959"/>
      <c r="V987" s="959"/>
      <c r="W987" s="959"/>
      <c r="X987" s="959"/>
      <c r="Y987" s="959"/>
      <c r="Z987" s="959"/>
      <c r="AA987" s="959"/>
      <c r="AB987" s="959"/>
      <c r="AC987" s="959"/>
      <c r="AD987" s="959"/>
      <c r="AE987" s="959"/>
      <c r="AF987" s="959"/>
      <c r="AG987" s="959"/>
      <c r="AH987" s="959"/>
      <c r="AI987" s="959"/>
      <c r="AJ987" s="959"/>
      <c r="AK987" s="959"/>
      <c r="AL987" s="959"/>
      <c r="AM987" s="959"/>
    </row>
    <row r="988" spans="3:39" x14ac:dyDescent="0.25">
      <c r="C988" s="959"/>
      <c r="D988" s="959"/>
      <c r="E988" s="959"/>
      <c r="F988" s="959"/>
      <c r="G988" s="959"/>
      <c r="H988" s="959"/>
      <c r="I988" s="959"/>
      <c r="J988" s="959"/>
      <c r="K988" s="959"/>
      <c r="L988" s="959"/>
      <c r="M988" s="959"/>
      <c r="N988" s="959"/>
      <c r="O988" s="959"/>
      <c r="P988" s="959"/>
      <c r="Q988" s="959"/>
      <c r="R988" s="959"/>
      <c r="S988" s="959"/>
      <c r="T988" s="959"/>
      <c r="U988" s="959"/>
      <c r="V988" s="959"/>
      <c r="W988" s="959"/>
      <c r="X988" s="959"/>
      <c r="Y988" s="959"/>
      <c r="Z988" s="959"/>
      <c r="AA988" s="959"/>
      <c r="AB988" s="959"/>
      <c r="AC988" s="959"/>
      <c r="AD988" s="959"/>
      <c r="AE988" s="959"/>
      <c r="AF988" s="959"/>
      <c r="AG988" s="959"/>
      <c r="AH988" s="959"/>
      <c r="AI988" s="959"/>
      <c r="AJ988" s="959"/>
      <c r="AK988" s="959"/>
      <c r="AL988" s="959"/>
      <c r="AM988" s="959"/>
    </row>
    <row r="989" spans="3:39" x14ac:dyDescent="0.25">
      <c r="C989" s="959"/>
      <c r="D989" s="959"/>
      <c r="E989" s="959"/>
      <c r="F989" s="959"/>
      <c r="G989" s="959"/>
      <c r="H989" s="959"/>
      <c r="I989" s="959"/>
      <c r="J989" s="959"/>
      <c r="K989" s="959"/>
      <c r="L989" s="959"/>
      <c r="M989" s="959"/>
      <c r="N989" s="959"/>
      <c r="O989" s="959"/>
      <c r="P989" s="959"/>
      <c r="Q989" s="959"/>
      <c r="R989" s="959"/>
      <c r="S989" s="959"/>
      <c r="T989" s="959"/>
      <c r="U989" s="959"/>
      <c r="V989" s="959"/>
      <c r="W989" s="959"/>
      <c r="X989" s="959"/>
      <c r="Y989" s="959"/>
      <c r="Z989" s="959"/>
      <c r="AA989" s="959"/>
      <c r="AB989" s="959"/>
      <c r="AC989" s="959"/>
      <c r="AD989" s="959"/>
      <c r="AE989" s="959"/>
      <c r="AF989" s="959"/>
      <c r="AG989" s="959"/>
      <c r="AH989" s="959"/>
      <c r="AI989" s="959"/>
      <c r="AJ989" s="959"/>
      <c r="AK989" s="959"/>
      <c r="AL989" s="959"/>
      <c r="AM989" s="959"/>
    </row>
    <row r="990" spans="3:39" x14ac:dyDescent="0.25">
      <c r="C990" s="959"/>
      <c r="D990" s="959"/>
      <c r="E990" s="959"/>
      <c r="F990" s="959"/>
      <c r="G990" s="959"/>
      <c r="H990" s="959"/>
      <c r="I990" s="959"/>
      <c r="J990" s="959"/>
      <c r="K990" s="959"/>
      <c r="L990" s="959"/>
      <c r="M990" s="959"/>
      <c r="N990" s="959"/>
      <c r="O990" s="959"/>
      <c r="P990" s="959"/>
      <c r="Q990" s="959"/>
      <c r="R990" s="959"/>
      <c r="S990" s="959"/>
      <c r="T990" s="959"/>
      <c r="U990" s="959"/>
      <c r="V990" s="959"/>
      <c r="W990" s="959"/>
      <c r="X990" s="959"/>
      <c r="Y990" s="959"/>
      <c r="Z990" s="959"/>
      <c r="AA990" s="959"/>
      <c r="AB990" s="959"/>
      <c r="AC990" s="959"/>
      <c r="AD990" s="959"/>
      <c r="AE990" s="959"/>
      <c r="AF990" s="959"/>
      <c r="AG990" s="959"/>
      <c r="AH990" s="959"/>
      <c r="AI990" s="959"/>
      <c r="AJ990" s="959"/>
      <c r="AK990" s="959"/>
      <c r="AL990" s="959"/>
      <c r="AM990" s="959"/>
    </row>
    <row r="991" spans="3:39" x14ac:dyDescent="0.25">
      <c r="C991" s="959"/>
      <c r="D991" s="959"/>
      <c r="E991" s="959"/>
      <c r="F991" s="959"/>
      <c r="G991" s="959"/>
      <c r="H991" s="959"/>
      <c r="I991" s="959"/>
      <c r="J991" s="959"/>
      <c r="K991" s="959"/>
      <c r="L991" s="959"/>
      <c r="M991" s="959"/>
      <c r="N991" s="959"/>
      <c r="O991" s="959"/>
      <c r="P991" s="959"/>
      <c r="Q991" s="959"/>
      <c r="R991" s="959"/>
      <c r="S991" s="959"/>
      <c r="T991" s="959"/>
      <c r="U991" s="959"/>
      <c r="V991" s="959"/>
      <c r="W991" s="959"/>
      <c r="X991" s="959"/>
      <c r="Y991" s="959"/>
      <c r="Z991" s="959"/>
      <c r="AA991" s="959"/>
      <c r="AB991" s="959"/>
      <c r="AC991" s="959"/>
      <c r="AD991" s="959"/>
      <c r="AE991" s="959"/>
      <c r="AF991" s="959"/>
      <c r="AG991" s="959"/>
      <c r="AH991" s="959"/>
      <c r="AI991" s="959"/>
      <c r="AJ991" s="959"/>
      <c r="AK991" s="959"/>
      <c r="AL991" s="959"/>
      <c r="AM991" s="959"/>
    </row>
    <row r="992" spans="3:39" x14ac:dyDescent="0.25">
      <c r="C992" s="959"/>
      <c r="D992" s="959"/>
      <c r="E992" s="959"/>
      <c r="F992" s="959"/>
      <c r="G992" s="959"/>
      <c r="H992" s="959"/>
      <c r="I992" s="959"/>
      <c r="J992" s="959"/>
      <c r="K992" s="959"/>
      <c r="L992" s="959"/>
      <c r="M992" s="959"/>
      <c r="N992" s="959"/>
      <c r="O992" s="959"/>
      <c r="P992" s="959"/>
      <c r="Q992" s="959"/>
      <c r="R992" s="959"/>
      <c r="S992" s="959"/>
      <c r="T992" s="959"/>
      <c r="U992" s="959"/>
      <c r="V992" s="959"/>
      <c r="W992" s="959"/>
      <c r="X992" s="959"/>
      <c r="Y992" s="959"/>
      <c r="Z992" s="959"/>
      <c r="AA992" s="959"/>
      <c r="AB992" s="959"/>
      <c r="AC992" s="959"/>
      <c r="AD992" s="959"/>
      <c r="AE992" s="959"/>
      <c r="AF992" s="959"/>
      <c r="AG992" s="959"/>
      <c r="AH992" s="959"/>
      <c r="AI992" s="959"/>
      <c r="AJ992" s="959"/>
      <c r="AK992" s="959"/>
      <c r="AL992" s="959"/>
      <c r="AM992" s="959"/>
    </row>
    <row r="993" spans="3:39" x14ac:dyDescent="0.25">
      <c r="C993" s="959"/>
      <c r="D993" s="959"/>
      <c r="E993" s="959"/>
      <c r="F993" s="959"/>
      <c r="G993" s="959"/>
      <c r="H993" s="959"/>
      <c r="I993" s="959"/>
      <c r="J993" s="959"/>
      <c r="K993" s="959"/>
      <c r="L993" s="959"/>
      <c r="M993" s="959"/>
      <c r="N993" s="959"/>
      <c r="O993" s="959"/>
      <c r="P993" s="959"/>
      <c r="Q993" s="959"/>
      <c r="R993" s="959"/>
      <c r="S993" s="959"/>
      <c r="T993" s="959"/>
      <c r="U993" s="959"/>
      <c r="V993" s="959"/>
      <c r="W993" s="959"/>
      <c r="X993" s="959"/>
      <c r="Y993" s="959"/>
      <c r="Z993" s="959"/>
      <c r="AA993" s="959"/>
      <c r="AB993" s="959"/>
      <c r="AC993" s="959"/>
      <c r="AD993" s="959"/>
      <c r="AE993" s="959"/>
      <c r="AF993" s="959"/>
      <c r="AG993" s="959"/>
      <c r="AH993" s="959"/>
      <c r="AI993" s="959"/>
      <c r="AJ993" s="959"/>
      <c r="AK993" s="959"/>
      <c r="AL993" s="959"/>
      <c r="AM993" s="959"/>
    </row>
    <row r="994" spans="3:39" x14ac:dyDescent="0.25">
      <c r="C994" s="959"/>
      <c r="D994" s="959"/>
      <c r="E994" s="959"/>
      <c r="F994" s="959"/>
      <c r="G994" s="959"/>
      <c r="H994" s="959"/>
      <c r="I994" s="959"/>
      <c r="J994" s="959"/>
      <c r="K994" s="959"/>
      <c r="L994" s="959"/>
      <c r="M994" s="959"/>
      <c r="N994" s="959"/>
      <c r="O994" s="959"/>
      <c r="P994" s="959"/>
      <c r="Q994" s="959"/>
      <c r="R994" s="959"/>
      <c r="S994" s="959"/>
      <c r="T994" s="959"/>
      <c r="U994" s="959"/>
      <c r="V994" s="959"/>
      <c r="W994" s="959"/>
      <c r="X994" s="959"/>
      <c r="Y994" s="959"/>
      <c r="Z994" s="959"/>
      <c r="AA994" s="959"/>
      <c r="AB994" s="959"/>
      <c r="AC994" s="959"/>
      <c r="AD994" s="959"/>
      <c r="AE994" s="959"/>
      <c r="AF994" s="959"/>
      <c r="AG994" s="959"/>
      <c r="AH994" s="959"/>
      <c r="AI994" s="959"/>
      <c r="AJ994" s="959"/>
      <c r="AK994" s="959"/>
      <c r="AL994" s="959"/>
      <c r="AM994" s="959"/>
    </row>
    <row r="995" spans="3:39" x14ac:dyDescent="0.25">
      <c r="C995" s="959"/>
      <c r="D995" s="959"/>
      <c r="E995" s="959"/>
      <c r="F995" s="959"/>
      <c r="G995" s="959"/>
      <c r="H995" s="959"/>
      <c r="I995" s="959"/>
      <c r="J995" s="959"/>
      <c r="K995" s="959"/>
      <c r="L995" s="959"/>
      <c r="M995" s="959"/>
      <c r="N995" s="959"/>
      <c r="O995" s="959"/>
      <c r="P995" s="959"/>
      <c r="Q995" s="959"/>
      <c r="R995" s="959"/>
      <c r="S995" s="959"/>
      <c r="T995" s="959"/>
      <c r="U995" s="959"/>
      <c r="V995" s="959"/>
      <c r="W995" s="959"/>
      <c r="X995" s="959"/>
      <c r="Y995" s="959"/>
      <c r="Z995" s="959"/>
      <c r="AA995" s="959"/>
      <c r="AB995" s="959"/>
      <c r="AC995" s="959"/>
      <c r="AD995" s="959"/>
      <c r="AE995" s="959"/>
      <c r="AF995" s="959"/>
      <c r="AG995" s="959"/>
      <c r="AH995" s="959"/>
      <c r="AI995" s="959"/>
      <c r="AJ995" s="959"/>
      <c r="AK995" s="959"/>
      <c r="AL995" s="959"/>
      <c r="AM995" s="959"/>
    </row>
    <row r="996" spans="3:39" x14ac:dyDescent="0.25">
      <c r="C996" s="959"/>
      <c r="D996" s="959"/>
      <c r="E996" s="959"/>
      <c r="F996" s="959"/>
      <c r="G996" s="959"/>
      <c r="H996" s="959"/>
      <c r="I996" s="959"/>
      <c r="J996" s="959"/>
      <c r="K996" s="959"/>
      <c r="L996" s="959"/>
      <c r="M996" s="959"/>
      <c r="N996" s="959"/>
      <c r="O996" s="959"/>
      <c r="P996" s="959"/>
      <c r="Q996" s="959"/>
      <c r="R996" s="959"/>
      <c r="S996" s="959"/>
      <c r="T996" s="959"/>
      <c r="U996" s="959"/>
      <c r="V996" s="959"/>
      <c r="W996" s="959"/>
      <c r="X996" s="959"/>
      <c r="Y996" s="959"/>
      <c r="Z996" s="959"/>
      <c r="AA996" s="959"/>
      <c r="AB996" s="959"/>
      <c r="AC996" s="959"/>
      <c r="AD996" s="959"/>
      <c r="AE996" s="959"/>
      <c r="AF996" s="959"/>
      <c r="AG996" s="959"/>
      <c r="AH996" s="959"/>
      <c r="AI996" s="959"/>
      <c r="AJ996" s="959"/>
      <c r="AK996" s="959"/>
      <c r="AL996" s="959"/>
      <c r="AM996" s="959"/>
    </row>
    <row r="997" spans="3:39" x14ac:dyDescent="0.25">
      <c r="C997" s="959"/>
      <c r="D997" s="959"/>
      <c r="E997" s="959"/>
      <c r="F997" s="959"/>
      <c r="G997" s="959"/>
      <c r="H997" s="959"/>
      <c r="I997" s="959"/>
      <c r="J997" s="959"/>
      <c r="K997" s="959"/>
      <c r="L997" s="959"/>
      <c r="M997" s="959"/>
      <c r="N997" s="959"/>
      <c r="O997" s="959"/>
      <c r="P997" s="959"/>
      <c r="Q997" s="959"/>
      <c r="R997" s="959"/>
      <c r="S997" s="959"/>
      <c r="T997" s="959"/>
      <c r="U997" s="959"/>
      <c r="V997" s="959"/>
      <c r="W997" s="959"/>
      <c r="X997" s="959"/>
      <c r="Y997" s="959"/>
      <c r="Z997" s="959"/>
      <c r="AA997" s="959"/>
      <c r="AB997" s="959"/>
      <c r="AC997" s="959"/>
      <c r="AD997" s="959"/>
      <c r="AE997" s="959"/>
      <c r="AF997" s="959"/>
      <c r="AG997" s="959"/>
      <c r="AH997" s="959"/>
      <c r="AI997" s="959"/>
      <c r="AJ997" s="959"/>
      <c r="AK997" s="959"/>
      <c r="AL997" s="959"/>
      <c r="AM997" s="959"/>
    </row>
    <row r="998" spans="3:39" x14ac:dyDescent="0.25">
      <c r="C998" s="959"/>
      <c r="D998" s="959"/>
      <c r="E998" s="959"/>
      <c r="F998" s="959"/>
      <c r="G998" s="959"/>
      <c r="H998" s="959"/>
      <c r="I998" s="959"/>
      <c r="J998" s="959"/>
      <c r="K998" s="959"/>
      <c r="L998" s="959"/>
      <c r="M998" s="959"/>
      <c r="N998" s="959"/>
      <c r="O998" s="959"/>
      <c r="P998" s="959"/>
      <c r="Q998" s="959"/>
      <c r="R998" s="959"/>
      <c r="S998" s="959"/>
      <c r="T998" s="959"/>
      <c r="U998" s="959"/>
      <c r="V998" s="959"/>
      <c r="W998" s="959"/>
      <c r="X998" s="959"/>
      <c r="Y998" s="959"/>
      <c r="Z998" s="959"/>
      <c r="AA998" s="959"/>
      <c r="AB998" s="959"/>
      <c r="AC998" s="959"/>
      <c r="AD998" s="959"/>
      <c r="AE998" s="959"/>
      <c r="AF998" s="959"/>
      <c r="AG998" s="959"/>
      <c r="AH998" s="959"/>
      <c r="AI998" s="959"/>
      <c r="AJ998" s="959"/>
      <c r="AK998" s="959"/>
      <c r="AL998" s="959"/>
      <c r="AM998" s="959"/>
    </row>
    <row r="999" spans="3:39" x14ac:dyDescent="0.25">
      <c r="C999" s="959"/>
      <c r="D999" s="959"/>
      <c r="E999" s="959"/>
      <c r="F999" s="959"/>
      <c r="G999" s="959"/>
      <c r="H999" s="959"/>
      <c r="I999" s="959"/>
      <c r="J999" s="959"/>
      <c r="K999" s="959"/>
      <c r="L999" s="959"/>
      <c r="M999" s="959"/>
      <c r="N999" s="959"/>
      <c r="O999" s="959"/>
      <c r="P999" s="959"/>
      <c r="Q999" s="959"/>
      <c r="R999" s="959"/>
      <c r="S999" s="959"/>
      <c r="T999" s="959"/>
      <c r="U999" s="959"/>
      <c r="V999" s="959"/>
      <c r="W999" s="959"/>
      <c r="X999" s="959"/>
      <c r="Y999" s="959"/>
      <c r="Z999" s="959"/>
      <c r="AA999" s="959"/>
      <c r="AB999" s="959"/>
      <c r="AC999" s="959"/>
      <c r="AD999" s="959"/>
      <c r="AE999" s="959"/>
      <c r="AF999" s="959"/>
      <c r="AG999" s="959"/>
      <c r="AH999" s="959"/>
      <c r="AI999" s="959"/>
      <c r="AJ999" s="959"/>
      <c r="AK999" s="959"/>
      <c r="AL999" s="959"/>
      <c r="AM999" s="959"/>
    </row>
    <row r="1000" spans="3:39" x14ac:dyDescent="0.25">
      <c r="C1000" s="959"/>
      <c r="D1000" s="959"/>
      <c r="E1000" s="959"/>
      <c r="F1000" s="959"/>
      <c r="G1000" s="959"/>
      <c r="H1000" s="959"/>
      <c r="I1000" s="959"/>
      <c r="J1000" s="959"/>
      <c r="K1000" s="959"/>
      <c r="L1000" s="959"/>
      <c r="M1000" s="959"/>
      <c r="N1000" s="959"/>
      <c r="O1000" s="959"/>
      <c r="P1000" s="959"/>
      <c r="Q1000" s="959"/>
      <c r="R1000" s="959"/>
      <c r="S1000" s="959"/>
      <c r="T1000" s="959"/>
      <c r="U1000" s="959"/>
      <c r="V1000" s="959"/>
      <c r="W1000" s="959"/>
      <c r="X1000" s="959"/>
      <c r="Y1000" s="959"/>
      <c r="Z1000" s="959"/>
      <c r="AA1000" s="959"/>
      <c r="AB1000" s="959"/>
      <c r="AC1000" s="959"/>
      <c r="AD1000" s="959"/>
      <c r="AE1000" s="959"/>
      <c r="AF1000" s="959"/>
      <c r="AG1000" s="959"/>
      <c r="AH1000" s="959"/>
      <c r="AI1000" s="959"/>
      <c r="AJ1000" s="959"/>
      <c r="AK1000" s="959"/>
      <c r="AL1000" s="959"/>
      <c r="AM1000" s="959"/>
    </row>
    <row r="1001" spans="3:39" x14ac:dyDescent="0.25">
      <c r="C1001" s="959"/>
      <c r="D1001" s="959"/>
      <c r="E1001" s="959"/>
      <c r="F1001" s="959"/>
      <c r="G1001" s="959"/>
      <c r="H1001" s="959"/>
      <c r="I1001" s="959"/>
      <c r="J1001" s="959"/>
      <c r="K1001" s="959"/>
      <c r="L1001" s="959"/>
      <c r="M1001" s="959"/>
      <c r="N1001" s="959"/>
      <c r="O1001" s="959"/>
      <c r="P1001" s="959"/>
      <c r="Q1001" s="959"/>
      <c r="R1001" s="959"/>
      <c r="S1001" s="959"/>
      <c r="T1001" s="959"/>
      <c r="U1001" s="959"/>
      <c r="V1001" s="959"/>
      <c r="W1001" s="959"/>
      <c r="X1001" s="959"/>
      <c r="Y1001" s="959"/>
      <c r="Z1001" s="959"/>
      <c r="AA1001" s="959"/>
      <c r="AB1001" s="959"/>
      <c r="AC1001" s="959"/>
      <c r="AD1001" s="959"/>
      <c r="AE1001" s="959"/>
      <c r="AF1001" s="959"/>
      <c r="AG1001" s="959"/>
      <c r="AH1001" s="959"/>
      <c r="AI1001" s="959"/>
      <c r="AJ1001" s="959"/>
      <c r="AK1001" s="959"/>
      <c r="AL1001" s="959"/>
      <c r="AM1001" s="959"/>
    </row>
    <row r="1002" spans="3:39" x14ac:dyDescent="0.25">
      <c r="C1002" s="959"/>
      <c r="D1002" s="959"/>
      <c r="E1002" s="959"/>
      <c r="F1002" s="959"/>
      <c r="G1002" s="959"/>
      <c r="H1002" s="959"/>
      <c r="I1002" s="959"/>
      <c r="J1002" s="959"/>
      <c r="K1002" s="959"/>
      <c r="L1002" s="959"/>
      <c r="M1002" s="959"/>
      <c r="N1002" s="959"/>
      <c r="O1002" s="959"/>
      <c r="P1002" s="959"/>
      <c r="Q1002" s="959"/>
      <c r="R1002" s="959"/>
      <c r="S1002" s="959"/>
      <c r="T1002" s="959"/>
      <c r="U1002" s="959"/>
      <c r="V1002" s="959"/>
      <c r="W1002" s="959"/>
      <c r="X1002" s="959"/>
      <c r="Y1002" s="959"/>
      <c r="Z1002" s="959"/>
      <c r="AA1002" s="959"/>
      <c r="AB1002" s="959"/>
      <c r="AC1002" s="959"/>
      <c r="AD1002" s="959"/>
      <c r="AE1002" s="959"/>
      <c r="AF1002" s="959"/>
      <c r="AG1002" s="959"/>
      <c r="AH1002" s="959"/>
      <c r="AI1002" s="959"/>
      <c r="AJ1002" s="959"/>
      <c r="AK1002" s="959"/>
      <c r="AL1002" s="959"/>
      <c r="AM1002" s="959"/>
    </row>
    <row r="1003" spans="3:39" x14ac:dyDescent="0.25">
      <c r="C1003" s="959"/>
      <c r="D1003" s="959"/>
      <c r="E1003" s="959"/>
      <c r="F1003" s="959"/>
      <c r="G1003" s="959"/>
      <c r="H1003" s="959"/>
      <c r="I1003" s="959"/>
      <c r="J1003" s="959"/>
      <c r="K1003" s="959"/>
      <c r="L1003" s="959"/>
      <c r="M1003" s="959"/>
      <c r="N1003" s="959"/>
      <c r="O1003" s="959"/>
      <c r="P1003" s="959"/>
      <c r="Q1003" s="959"/>
      <c r="R1003" s="959"/>
      <c r="S1003" s="959"/>
      <c r="T1003" s="959"/>
      <c r="U1003" s="959"/>
      <c r="V1003" s="959"/>
      <c r="W1003" s="959"/>
      <c r="X1003" s="959"/>
      <c r="Y1003" s="959"/>
      <c r="Z1003" s="959"/>
      <c r="AA1003" s="959"/>
      <c r="AB1003" s="959"/>
      <c r="AC1003" s="959"/>
      <c r="AD1003" s="959"/>
      <c r="AE1003" s="959"/>
      <c r="AF1003" s="959"/>
      <c r="AG1003" s="959"/>
      <c r="AH1003" s="959"/>
      <c r="AI1003" s="959"/>
      <c r="AJ1003" s="959"/>
      <c r="AK1003" s="959"/>
      <c r="AL1003" s="959"/>
      <c r="AM1003" s="959"/>
    </row>
    <row r="1004" spans="3:39" x14ac:dyDescent="0.25">
      <c r="C1004" s="959"/>
      <c r="D1004" s="959"/>
      <c r="E1004" s="959"/>
      <c r="F1004" s="959"/>
      <c r="G1004" s="959"/>
      <c r="H1004" s="959"/>
      <c r="I1004" s="959"/>
      <c r="J1004" s="959"/>
      <c r="K1004" s="959"/>
      <c r="L1004" s="959"/>
      <c r="M1004" s="959"/>
      <c r="N1004" s="959"/>
      <c r="O1004" s="959"/>
      <c r="P1004" s="959"/>
      <c r="Q1004" s="959"/>
      <c r="R1004" s="959"/>
      <c r="S1004" s="959"/>
      <c r="T1004" s="959"/>
      <c r="U1004" s="959"/>
      <c r="V1004" s="959"/>
      <c r="W1004" s="959"/>
      <c r="X1004" s="959"/>
      <c r="Y1004" s="959"/>
      <c r="Z1004" s="959"/>
      <c r="AA1004" s="959"/>
      <c r="AB1004" s="959"/>
      <c r="AC1004" s="959"/>
      <c r="AD1004" s="959"/>
      <c r="AE1004" s="959"/>
      <c r="AF1004" s="959"/>
      <c r="AG1004" s="959"/>
      <c r="AH1004" s="959"/>
      <c r="AI1004" s="959"/>
      <c r="AJ1004" s="959"/>
      <c r="AK1004" s="959"/>
      <c r="AL1004" s="959"/>
      <c r="AM1004" s="959"/>
    </row>
    <row r="1005" spans="3:39" x14ac:dyDescent="0.25">
      <c r="C1005" s="959"/>
      <c r="D1005" s="959"/>
      <c r="E1005" s="959"/>
      <c r="F1005" s="959"/>
      <c r="G1005" s="959"/>
      <c r="H1005" s="959"/>
      <c r="I1005" s="959"/>
      <c r="J1005" s="959"/>
      <c r="K1005" s="959"/>
      <c r="L1005" s="959"/>
      <c r="M1005" s="959"/>
      <c r="N1005" s="959"/>
      <c r="O1005" s="959"/>
      <c r="P1005" s="959"/>
      <c r="Q1005" s="959"/>
      <c r="R1005" s="959"/>
      <c r="S1005" s="959"/>
      <c r="T1005" s="959"/>
      <c r="U1005" s="959"/>
      <c r="V1005" s="959"/>
      <c r="W1005" s="959"/>
      <c r="X1005" s="959"/>
      <c r="Y1005" s="959"/>
      <c r="Z1005" s="959"/>
      <c r="AA1005" s="959"/>
      <c r="AB1005" s="959"/>
      <c r="AC1005" s="959"/>
      <c r="AD1005" s="959"/>
      <c r="AE1005" s="959"/>
      <c r="AF1005" s="959"/>
      <c r="AG1005" s="959"/>
      <c r="AH1005" s="959"/>
      <c r="AI1005" s="959"/>
      <c r="AJ1005" s="959"/>
      <c r="AK1005" s="959"/>
      <c r="AL1005" s="959"/>
      <c r="AM1005" s="959"/>
    </row>
    <row r="1006" spans="3:39" x14ac:dyDescent="0.25">
      <c r="C1006" s="959"/>
      <c r="D1006" s="959"/>
      <c r="E1006" s="959"/>
      <c r="F1006" s="959"/>
      <c r="G1006" s="959"/>
      <c r="H1006" s="959"/>
      <c r="I1006" s="959"/>
      <c r="J1006" s="959"/>
      <c r="K1006" s="959"/>
      <c r="L1006" s="959"/>
      <c r="M1006" s="959"/>
      <c r="N1006" s="959"/>
      <c r="O1006" s="959"/>
      <c r="P1006" s="959"/>
      <c r="Q1006" s="959"/>
      <c r="R1006" s="959"/>
      <c r="S1006" s="959"/>
      <c r="T1006" s="959"/>
      <c r="U1006" s="959"/>
      <c r="V1006" s="959"/>
      <c r="W1006" s="959"/>
      <c r="X1006" s="959"/>
      <c r="Y1006" s="959"/>
      <c r="Z1006" s="959"/>
      <c r="AA1006" s="959"/>
      <c r="AB1006" s="959"/>
      <c r="AC1006" s="959"/>
      <c r="AD1006" s="959"/>
      <c r="AE1006" s="959"/>
      <c r="AF1006" s="959"/>
      <c r="AG1006" s="959"/>
      <c r="AH1006" s="959"/>
      <c r="AI1006" s="959"/>
      <c r="AJ1006" s="959"/>
      <c r="AK1006" s="959"/>
      <c r="AL1006" s="959"/>
      <c r="AM1006" s="959"/>
    </row>
    <row r="1007" spans="3:39" x14ac:dyDescent="0.25">
      <c r="C1007" s="959"/>
      <c r="D1007" s="959"/>
      <c r="E1007" s="959"/>
      <c r="F1007" s="959"/>
      <c r="G1007" s="959"/>
      <c r="H1007" s="959"/>
      <c r="I1007" s="959"/>
      <c r="J1007" s="959"/>
      <c r="K1007" s="959"/>
      <c r="L1007" s="959"/>
      <c r="M1007" s="959"/>
      <c r="N1007" s="959"/>
      <c r="O1007" s="959"/>
      <c r="P1007" s="959"/>
      <c r="Q1007" s="959"/>
      <c r="R1007" s="959"/>
      <c r="S1007" s="959"/>
      <c r="T1007" s="959"/>
      <c r="U1007" s="959"/>
      <c r="V1007" s="959"/>
      <c r="W1007" s="959"/>
      <c r="X1007" s="959"/>
      <c r="Y1007" s="959"/>
      <c r="Z1007" s="959"/>
      <c r="AA1007" s="959"/>
      <c r="AB1007" s="959"/>
      <c r="AC1007" s="959"/>
      <c r="AD1007" s="959"/>
      <c r="AE1007" s="959"/>
      <c r="AF1007" s="959"/>
      <c r="AG1007" s="959"/>
      <c r="AH1007" s="959"/>
      <c r="AI1007" s="959"/>
      <c r="AJ1007" s="959"/>
      <c r="AK1007" s="959"/>
      <c r="AL1007" s="959"/>
      <c r="AM1007" s="959"/>
    </row>
    <row r="1008" spans="3:39" x14ac:dyDescent="0.25">
      <c r="C1008" s="959"/>
      <c r="D1008" s="959"/>
      <c r="E1008" s="959"/>
      <c r="F1008" s="959"/>
      <c r="G1008" s="959"/>
      <c r="H1008" s="959"/>
      <c r="I1008" s="959"/>
      <c r="J1008" s="959"/>
      <c r="K1008" s="959"/>
      <c r="L1008" s="959"/>
      <c r="M1008" s="959"/>
      <c r="N1008" s="959"/>
      <c r="O1008" s="959"/>
      <c r="P1008" s="959"/>
      <c r="Q1008" s="959"/>
      <c r="R1008" s="959"/>
      <c r="S1008" s="959"/>
      <c r="T1008" s="959"/>
      <c r="U1008" s="959"/>
      <c r="V1008" s="959"/>
      <c r="W1008" s="959"/>
      <c r="X1008" s="959"/>
      <c r="Y1008" s="959"/>
      <c r="Z1008" s="959"/>
      <c r="AA1008" s="959"/>
      <c r="AB1008" s="959"/>
      <c r="AC1008" s="959"/>
      <c r="AD1008" s="959"/>
      <c r="AE1008" s="959"/>
      <c r="AF1008" s="959"/>
      <c r="AG1008" s="959"/>
      <c r="AH1008" s="959"/>
      <c r="AI1008" s="959"/>
      <c r="AJ1008" s="959"/>
      <c r="AK1008" s="959"/>
      <c r="AL1008" s="959"/>
      <c r="AM1008" s="959"/>
    </row>
    <row r="1009" spans="3:39" x14ac:dyDescent="0.25">
      <c r="C1009" s="959"/>
      <c r="D1009" s="959"/>
      <c r="E1009" s="959"/>
      <c r="F1009" s="959"/>
      <c r="G1009" s="959"/>
      <c r="H1009" s="959"/>
      <c r="I1009" s="959"/>
      <c r="J1009" s="959"/>
      <c r="K1009" s="959"/>
      <c r="L1009" s="959"/>
      <c r="M1009" s="959"/>
      <c r="N1009" s="959"/>
      <c r="O1009" s="959"/>
      <c r="P1009" s="959"/>
      <c r="Q1009" s="959"/>
      <c r="R1009" s="959"/>
      <c r="S1009" s="959"/>
      <c r="T1009" s="959"/>
      <c r="U1009" s="959"/>
      <c r="V1009" s="959"/>
      <c r="W1009" s="959"/>
      <c r="X1009" s="959"/>
      <c r="Y1009" s="959"/>
      <c r="Z1009" s="959"/>
      <c r="AA1009" s="959"/>
      <c r="AB1009" s="959"/>
      <c r="AC1009" s="959"/>
      <c r="AD1009" s="959"/>
      <c r="AE1009" s="959"/>
      <c r="AF1009" s="959"/>
      <c r="AG1009" s="959"/>
      <c r="AH1009" s="959"/>
      <c r="AI1009" s="959"/>
      <c r="AJ1009" s="959"/>
      <c r="AK1009" s="959"/>
      <c r="AL1009" s="959"/>
      <c r="AM1009" s="959"/>
    </row>
    <row r="1010" spans="3:39" x14ac:dyDescent="0.25">
      <c r="C1010" s="959"/>
      <c r="D1010" s="959"/>
      <c r="E1010" s="959"/>
      <c r="F1010" s="959"/>
      <c r="G1010" s="959"/>
      <c r="H1010" s="959"/>
      <c r="I1010" s="959"/>
      <c r="J1010" s="959"/>
      <c r="K1010" s="959"/>
      <c r="L1010" s="959"/>
      <c r="M1010" s="959"/>
      <c r="N1010" s="959"/>
      <c r="O1010" s="959"/>
      <c r="P1010" s="959"/>
      <c r="Q1010" s="959"/>
      <c r="R1010" s="959"/>
      <c r="S1010" s="959"/>
      <c r="T1010" s="959"/>
      <c r="U1010" s="959"/>
      <c r="V1010" s="959"/>
      <c r="W1010" s="959"/>
      <c r="X1010" s="959"/>
      <c r="Y1010" s="959"/>
      <c r="Z1010" s="959"/>
      <c r="AA1010" s="959"/>
      <c r="AB1010" s="959"/>
      <c r="AC1010" s="959"/>
      <c r="AD1010" s="959"/>
      <c r="AE1010" s="959"/>
      <c r="AF1010" s="959"/>
      <c r="AG1010" s="959"/>
      <c r="AH1010" s="959"/>
      <c r="AI1010" s="959"/>
      <c r="AJ1010" s="959"/>
      <c r="AK1010" s="959"/>
      <c r="AL1010" s="959"/>
      <c r="AM1010" s="959"/>
    </row>
    <row r="1011" spans="3:39" x14ac:dyDescent="0.25">
      <c r="C1011" s="959"/>
      <c r="D1011" s="959"/>
      <c r="E1011" s="959"/>
      <c r="F1011" s="959"/>
      <c r="G1011" s="959"/>
      <c r="H1011" s="959"/>
      <c r="I1011" s="959"/>
      <c r="J1011" s="959"/>
      <c r="K1011" s="959"/>
      <c r="L1011" s="959"/>
      <c r="M1011" s="959"/>
      <c r="N1011" s="959"/>
      <c r="O1011" s="959"/>
      <c r="P1011" s="959"/>
      <c r="Q1011" s="959"/>
      <c r="R1011" s="959"/>
      <c r="S1011" s="959"/>
      <c r="T1011" s="959"/>
      <c r="U1011" s="959"/>
      <c r="V1011" s="959"/>
      <c r="W1011" s="959"/>
      <c r="X1011" s="959"/>
      <c r="Y1011" s="959"/>
      <c r="Z1011" s="959"/>
      <c r="AA1011" s="959"/>
      <c r="AB1011" s="959"/>
      <c r="AC1011" s="959"/>
      <c r="AD1011" s="959"/>
      <c r="AE1011" s="959"/>
      <c r="AF1011" s="959"/>
      <c r="AG1011" s="959"/>
      <c r="AH1011" s="959"/>
      <c r="AI1011" s="959"/>
      <c r="AJ1011" s="959"/>
      <c r="AK1011" s="959"/>
      <c r="AL1011" s="959"/>
      <c r="AM1011" s="959"/>
    </row>
    <row r="1012" spans="3:39" x14ac:dyDescent="0.25">
      <c r="C1012" s="959"/>
      <c r="D1012" s="959"/>
      <c r="E1012" s="959"/>
      <c r="F1012" s="959"/>
      <c r="G1012" s="959"/>
      <c r="H1012" s="959"/>
      <c r="I1012" s="959"/>
      <c r="J1012" s="959"/>
      <c r="K1012" s="959"/>
      <c r="L1012" s="959"/>
      <c r="M1012" s="959"/>
      <c r="N1012" s="959"/>
      <c r="O1012" s="959"/>
      <c r="P1012" s="959"/>
      <c r="Q1012" s="959"/>
      <c r="R1012" s="959"/>
      <c r="S1012" s="959"/>
      <c r="T1012" s="959"/>
      <c r="U1012" s="959"/>
      <c r="V1012" s="959"/>
      <c r="W1012" s="959"/>
      <c r="X1012" s="959"/>
      <c r="Y1012" s="959"/>
      <c r="Z1012" s="959"/>
      <c r="AA1012" s="959"/>
      <c r="AB1012" s="959"/>
      <c r="AC1012" s="959"/>
      <c r="AD1012" s="959"/>
      <c r="AE1012" s="959"/>
      <c r="AF1012" s="959"/>
      <c r="AG1012" s="959"/>
      <c r="AH1012" s="959"/>
      <c r="AI1012" s="959"/>
      <c r="AJ1012" s="959"/>
      <c r="AK1012" s="959"/>
      <c r="AL1012" s="959"/>
      <c r="AM1012" s="959"/>
    </row>
    <row r="1013" spans="3:39" x14ac:dyDescent="0.25">
      <c r="C1013" s="959"/>
      <c r="D1013" s="959"/>
      <c r="E1013" s="959"/>
      <c r="F1013" s="959"/>
      <c r="G1013" s="959"/>
      <c r="H1013" s="959"/>
      <c r="I1013" s="959"/>
      <c r="J1013" s="959"/>
      <c r="K1013" s="959"/>
      <c r="L1013" s="959"/>
      <c r="M1013" s="959"/>
      <c r="N1013" s="959"/>
      <c r="O1013" s="959"/>
      <c r="P1013" s="959"/>
      <c r="Q1013" s="959"/>
      <c r="R1013" s="959"/>
      <c r="S1013" s="959"/>
      <c r="T1013" s="959"/>
      <c r="U1013" s="959"/>
      <c r="V1013" s="959"/>
      <c r="W1013" s="959"/>
      <c r="X1013" s="959"/>
      <c r="Y1013" s="959"/>
      <c r="Z1013" s="959"/>
      <c r="AA1013" s="959"/>
      <c r="AB1013" s="959"/>
      <c r="AC1013" s="959"/>
      <c r="AD1013" s="959"/>
      <c r="AE1013" s="959"/>
      <c r="AF1013" s="959"/>
      <c r="AG1013" s="959"/>
      <c r="AH1013" s="959"/>
      <c r="AI1013" s="959"/>
      <c r="AJ1013" s="959"/>
      <c r="AK1013" s="959"/>
      <c r="AL1013" s="959"/>
      <c r="AM1013" s="959"/>
    </row>
    <row r="1014" spans="3:39" x14ac:dyDescent="0.25">
      <c r="C1014" s="959"/>
      <c r="D1014" s="959"/>
      <c r="E1014" s="959"/>
      <c r="F1014" s="959"/>
      <c r="G1014" s="959"/>
      <c r="H1014" s="959"/>
      <c r="I1014" s="959"/>
      <c r="J1014" s="959"/>
      <c r="K1014" s="959"/>
      <c r="L1014" s="959"/>
      <c r="M1014" s="959"/>
      <c r="N1014" s="959"/>
      <c r="O1014" s="959"/>
      <c r="P1014" s="959"/>
      <c r="Q1014" s="959"/>
      <c r="R1014" s="959"/>
      <c r="S1014" s="959"/>
      <c r="T1014" s="959"/>
      <c r="U1014" s="959"/>
      <c r="V1014" s="959"/>
      <c r="W1014" s="959"/>
      <c r="X1014" s="959"/>
      <c r="Y1014" s="959"/>
      <c r="Z1014" s="959"/>
      <c r="AA1014" s="959"/>
      <c r="AB1014" s="959"/>
      <c r="AC1014" s="959"/>
      <c r="AD1014" s="959"/>
      <c r="AE1014" s="959"/>
      <c r="AF1014" s="959"/>
      <c r="AG1014" s="959"/>
      <c r="AH1014" s="959"/>
      <c r="AI1014" s="959"/>
      <c r="AJ1014" s="959"/>
      <c r="AK1014" s="959"/>
      <c r="AL1014" s="959"/>
      <c r="AM1014" s="959"/>
    </row>
    <row r="1015" spans="3:39" x14ac:dyDescent="0.25">
      <c r="C1015" s="959"/>
      <c r="D1015" s="959"/>
      <c r="E1015" s="959"/>
      <c r="F1015" s="959"/>
      <c r="G1015" s="959"/>
      <c r="H1015" s="959"/>
      <c r="I1015" s="959"/>
      <c r="J1015" s="959"/>
      <c r="K1015" s="959"/>
      <c r="L1015" s="959"/>
      <c r="M1015" s="959"/>
      <c r="N1015" s="959"/>
      <c r="O1015" s="959"/>
      <c r="P1015" s="959"/>
      <c r="Q1015" s="959"/>
      <c r="R1015" s="959"/>
      <c r="S1015" s="959"/>
      <c r="T1015" s="959"/>
      <c r="U1015" s="959"/>
      <c r="V1015" s="959"/>
      <c r="W1015" s="959"/>
      <c r="X1015" s="959"/>
      <c r="Y1015" s="959"/>
      <c r="Z1015" s="959"/>
      <c r="AA1015" s="959"/>
      <c r="AB1015" s="959"/>
      <c r="AC1015" s="959"/>
      <c r="AD1015" s="959"/>
      <c r="AE1015" s="959"/>
      <c r="AF1015" s="959"/>
      <c r="AG1015" s="959"/>
      <c r="AH1015" s="959"/>
      <c r="AI1015" s="959"/>
      <c r="AJ1015" s="959"/>
      <c r="AK1015" s="959"/>
      <c r="AL1015" s="959"/>
      <c r="AM1015" s="959"/>
    </row>
    <row r="1016" spans="3:39" x14ac:dyDescent="0.25">
      <c r="C1016" s="959"/>
      <c r="D1016" s="959"/>
      <c r="E1016" s="959"/>
      <c r="F1016" s="959"/>
      <c r="G1016" s="959"/>
      <c r="H1016" s="959"/>
      <c r="I1016" s="959"/>
      <c r="J1016" s="959"/>
      <c r="K1016" s="959"/>
      <c r="L1016" s="959"/>
      <c r="M1016" s="959"/>
      <c r="N1016" s="959"/>
      <c r="O1016" s="959"/>
      <c r="P1016" s="959"/>
      <c r="Q1016" s="959"/>
      <c r="R1016" s="959"/>
      <c r="S1016" s="959"/>
      <c r="T1016" s="959"/>
      <c r="U1016" s="959"/>
      <c r="V1016" s="959"/>
      <c r="W1016" s="959"/>
      <c r="X1016" s="959"/>
      <c r="Y1016" s="959"/>
      <c r="Z1016" s="959"/>
      <c r="AA1016" s="959"/>
      <c r="AB1016" s="959"/>
      <c r="AC1016" s="959"/>
      <c r="AD1016" s="959"/>
      <c r="AE1016" s="959"/>
      <c r="AF1016" s="959"/>
      <c r="AG1016" s="959"/>
      <c r="AH1016" s="959"/>
      <c r="AI1016" s="959"/>
      <c r="AJ1016" s="959"/>
      <c r="AK1016" s="959"/>
      <c r="AL1016" s="959"/>
      <c r="AM1016" s="959"/>
    </row>
    <row r="1017" spans="3:39" x14ac:dyDescent="0.25">
      <c r="C1017" s="959"/>
      <c r="D1017" s="959"/>
      <c r="E1017" s="959"/>
      <c r="F1017" s="959"/>
      <c r="G1017" s="959"/>
      <c r="H1017" s="959"/>
      <c r="I1017" s="959"/>
      <c r="J1017" s="959"/>
      <c r="K1017" s="959"/>
      <c r="L1017" s="959"/>
      <c r="M1017" s="959"/>
      <c r="N1017" s="959"/>
      <c r="O1017" s="959"/>
      <c r="P1017" s="959"/>
      <c r="Q1017" s="959"/>
      <c r="R1017" s="959"/>
      <c r="S1017" s="959"/>
      <c r="T1017" s="959"/>
      <c r="U1017" s="959"/>
      <c r="V1017" s="959"/>
      <c r="W1017" s="959"/>
      <c r="X1017" s="959"/>
      <c r="Y1017" s="959"/>
      <c r="Z1017" s="959"/>
      <c r="AA1017" s="959"/>
      <c r="AB1017" s="959"/>
      <c r="AC1017" s="959"/>
      <c r="AD1017" s="959"/>
      <c r="AE1017" s="959"/>
      <c r="AF1017" s="959"/>
      <c r="AG1017" s="959"/>
      <c r="AH1017" s="959"/>
      <c r="AI1017" s="959"/>
      <c r="AJ1017" s="959"/>
      <c r="AK1017" s="959"/>
      <c r="AL1017" s="959"/>
      <c r="AM1017" s="959"/>
    </row>
    <row r="1018" spans="3:39" x14ac:dyDescent="0.25">
      <c r="C1018" s="959"/>
      <c r="D1018" s="959"/>
      <c r="E1018" s="959"/>
      <c r="F1018" s="959"/>
      <c r="G1018" s="959"/>
      <c r="H1018" s="959"/>
      <c r="I1018" s="959"/>
      <c r="J1018" s="959"/>
      <c r="K1018" s="959"/>
      <c r="L1018" s="959"/>
      <c r="M1018" s="959"/>
      <c r="N1018" s="959"/>
      <c r="O1018" s="959"/>
      <c r="P1018" s="959"/>
      <c r="Q1018" s="959"/>
      <c r="R1018" s="959"/>
      <c r="S1018" s="959"/>
      <c r="T1018" s="959"/>
      <c r="U1018" s="959"/>
      <c r="V1018" s="959"/>
      <c r="W1018" s="959"/>
      <c r="X1018" s="959"/>
      <c r="Y1018" s="959"/>
      <c r="Z1018" s="959"/>
      <c r="AA1018" s="959"/>
      <c r="AB1018" s="959"/>
      <c r="AC1018" s="959"/>
      <c r="AD1018" s="959"/>
      <c r="AE1018" s="959"/>
      <c r="AF1018" s="959"/>
      <c r="AG1018" s="959"/>
      <c r="AH1018" s="959"/>
      <c r="AI1018" s="959"/>
      <c r="AJ1018" s="959"/>
      <c r="AK1018" s="959"/>
      <c r="AL1018" s="959"/>
      <c r="AM1018" s="959"/>
    </row>
    <row r="1019" spans="3:39" x14ac:dyDescent="0.25">
      <c r="C1019" s="959"/>
      <c r="D1019" s="959"/>
      <c r="E1019" s="959"/>
      <c r="F1019" s="959"/>
      <c r="G1019" s="959"/>
      <c r="H1019" s="959"/>
      <c r="I1019" s="959"/>
      <c r="J1019" s="959"/>
      <c r="K1019" s="959"/>
      <c r="L1019" s="959"/>
      <c r="M1019" s="959"/>
      <c r="N1019" s="959"/>
      <c r="O1019" s="959"/>
      <c r="P1019" s="959"/>
      <c r="Q1019" s="959"/>
      <c r="R1019" s="959"/>
      <c r="S1019" s="959"/>
      <c r="T1019" s="959"/>
      <c r="U1019" s="959"/>
      <c r="V1019" s="959"/>
      <c r="W1019" s="959"/>
      <c r="X1019" s="959"/>
      <c r="Y1019" s="959"/>
      <c r="Z1019" s="959"/>
      <c r="AA1019" s="959"/>
      <c r="AB1019" s="959"/>
      <c r="AC1019" s="959"/>
      <c r="AD1019" s="959"/>
      <c r="AE1019" s="959"/>
      <c r="AF1019" s="959"/>
      <c r="AG1019" s="959"/>
      <c r="AH1019" s="959"/>
      <c r="AI1019" s="959"/>
      <c r="AJ1019" s="959"/>
      <c r="AK1019" s="959"/>
      <c r="AL1019" s="959"/>
      <c r="AM1019" s="959"/>
    </row>
    <row r="1020" spans="3:39" x14ac:dyDescent="0.25">
      <c r="C1020" s="959"/>
      <c r="D1020" s="959"/>
      <c r="E1020" s="959"/>
      <c r="F1020" s="959"/>
      <c r="G1020" s="959"/>
      <c r="H1020" s="959"/>
      <c r="I1020" s="959"/>
      <c r="J1020" s="959"/>
      <c r="K1020" s="959"/>
      <c r="L1020" s="959"/>
      <c r="M1020" s="959"/>
      <c r="N1020" s="959"/>
      <c r="O1020" s="959"/>
      <c r="P1020" s="959"/>
      <c r="Q1020" s="959"/>
      <c r="R1020" s="959"/>
      <c r="S1020" s="959"/>
      <c r="T1020" s="959"/>
      <c r="U1020" s="959"/>
      <c r="V1020" s="959"/>
      <c r="W1020" s="959"/>
      <c r="X1020" s="959"/>
      <c r="Y1020" s="959"/>
      <c r="Z1020" s="959"/>
      <c r="AA1020" s="959"/>
      <c r="AB1020" s="959"/>
      <c r="AC1020" s="959"/>
      <c r="AD1020" s="959"/>
      <c r="AE1020" s="959"/>
      <c r="AF1020" s="959"/>
      <c r="AG1020" s="959"/>
      <c r="AH1020" s="959"/>
      <c r="AI1020" s="959"/>
      <c r="AJ1020" s="959"/>
      <c r="AK1020" s="959"/>
      <c r="AL1020" s="959"/>
      <c r="AM1020" s="959"/>
    </row>
    <row r="1021" spans="3:39" x14ac:dyDescent="0.25">
      <c r="C1021" s="959"/>
      <c r="D1021" s="959"/>
      <c r="E1021" s="959"/>
      <c r="F1021" s="959"/>
      <c r="G1021" s="959"/>
      <c r="H1021" s="959"/>
      <c r="I1021" s="959"/>
      <c r="J1021" s="959"/>
      <c r="K1021" s="959"/>
      <c r="L1021" s="959"/>
      <c r="M1021" s="959"/>
      <c r="N1021" s="959"/>
      <c r="O1021" s="959"/>
      <c r="P1021" s="959"/>
      <c r="Q1021" s="959"/>
      <c r="R1021" s="959"/>
      <c r="S1021" s="959"/>
      <c r="T1021" s="959"/>
      <c r="U1021" s="959"/>
      <c r="V1021" s="959"/>
      <c r="W1021" s="959"/>
      <c r="X1021" s="959"/>
      <c r="Y1021" s="959"/>
      <c r="Z1021" s="959"/>
      <c r="AA1021" s="959"/>
      <c r="AB1021" s="959"/>
      <c r="AC1021" s="959"/>
      <c r="AD1021" s="959"/>
      <c r="AE1021" s="959"/>
      <c r="AF1021" s="959"/>
      <c r="AG1021" s="959"/>
      <c r="AH1021" s="959"/>
      <c r="AI1021" s="959"/>
      <c r="AJ1021" s="959"/>
      <c r="AK1021" s="959"/>
      <c r="AL1021" s="959"/>
      <c r="AM1021" s="959"/>
    </row>
    <row r="1022" spans="3:39" x14ac:dyDescent="0.25">
      <c r="C1022" s="959"/>
      <c r="D1022" s="959"/>
      <c r="E1022" s="959"/>
      <c r="F1022" s="959"/>
      <c r="G1022" s="959"/>
      <c r="H1022" s="959"/>
      <c r="I1022" s="959"/>
      <c r="J1022" s="959"/>
      <c r="K1022" s="959"/>
      <c r="L1022" s="959"/>
      <c r="M1022" s="959"/>
      <c r="N1022" s="959"/>
      <c r="O1022" s="959"/>
      <c r="P1022" s="959"/>
      <c r="Q1022" s="959"/>
      <c r="R1022" s="959"/>
      <c r="S1022" s="959"/>
      <c r="T1022" s="959"/>
      <c r="U1022" s="959"/>
      <c r="V1022" s="959"/>
      <c r="W1022" s="959"/>
      <c r="X1022" s="959"/>
      <c r="Y1022" s="959"/>
      <c r="Z1022" s="959"/>
      <c r="AA1022" s="959"/>
      <c r="AB1022" s="959"/>
      <c r="AC1022" s="959"/>
      <c r="AD1022" s="959"/>
      <c r="AE1022" s="959"/>
      <c r="AF1022" s="959"/>
      <c r="AG1022" s="959"/>
      <c r="AH1022" s="959"/>
      <c r="AI1022" s="959"/>
      <c r="AJ1022" s="959"/>
      <c r="AK1022" s="959"/>
      <c r="AL1022" s="959"/>
      <c r="AM1022" s="959"/>
    </row>
    <row r="1023" spans="3:39" x14ac:dyDescent="0.25">
      <c r="C1023" s="959"/>
      <c r="D1023" s="959"/>
      <c r="E1023" s="959"/>
      <c r="F1023" s="959"/>
      <c r="G1023" s="959"/>
      <c r="H1023" s="959"/>
      <c r="I1023" s="959"/>
      <c r="J1023" s="959"/>
      <c r="K1023" s="959"/>
      <c r="L1023" s="959"/>
      <c r="M1023" s="959"/>
      <c r="N1023" s="959"/>
      <c r="O1023" s="959"/>
      <c r="P1023" s="959"/>
      <c r="Q1023" s="959"/>
      <c r="R1023" s="959"/>
      <c r="S1023" s="959"/>
      <c r="T1023" s="959"/>
      <c r="U1023" s="959"/>
      <c r="V1023" s="959"/>
      <c r="W1023" s="959"/>
      <c r="X1023" s="959"/>
      <c r="Y1023" s="959"/>
      <c r="Z1023" s="959"/>
      <c r="AA1023" s="959"/>
      <c r="AB1023" s="959"/>
      <c r="AC1023" s="959"/>
      <c r="AD1023" s="959"/>
      <c r="AE1023" s="959"/>
      <c r="AF1023" s="959"/>
      <c r="AG1023" s="959"/>
      <c r="AH1023" s="959"/>
      <c r="AI1023" s="959"/>
      <c r="AJ1023" s="959"/>
      <c r="AK1023" s="959"/>
      <c r="AL1023" s="959"/>
      <c r="AM1023" s="959"/>
    </row>
    <row r="1024" spans="3:39" x14ac:dyDescent="0.25">
      <c r="C1024" s="959"/>
      <c r="D1024" s="959"/>
      <c r="E1024" s="959"/>
      <c r="F1024" s="959"/>
      <c r="G1024" s="959"/>
      <c r="H1024" s="959"/>
      <c r="I1024" s="959"/>
      <c r="J1024" s="959"/>
      <c r="K1024" s="959"/>
      <c r="L1024" s="959"/>
      <c r="M1024" s="959"/>
      <c r="N1024" s="959"/>
      <c r="O1024" s="959"/>
      <c r="P1024" s="959"/>
      <c r="Q1024" s="959"/>
      <c r="R1024" s="959"/>
      <c r="S1024" s="959"/>
      <c r="T1024" s="959"/>
      <c r="U1024" s="959"/>
      <c r="V1024" s="959"/>
      <c r="W1024" s="959"/>
      <c r="X1024" s="959"/>
      <c r="Y1024" s="959"/>
      <c r="Z1024" s="959"/>
      <c r="AA1024" s="959"/>
      <c r="AB1024" s="959"/>
      <c r="AC1024" s="959"/>
      <c r="AD1024" s="959"/>
      <c r="AE1024" s="959"/>
      <c r="AF1024" s="959"/>
      <c r="AG1024" s="959"/>
      <c r="AH1024" s="959"/>
      <c r="AI1024" s="959"/>
      <c r="AJ1024" s="959"/>
      <c r="AK1024" s="959"/>
      <c r="AL1024" s="959"/>
      <c r="AM1024" s="959"/>
    </row>
    <row r="1025" spans="3:39" x14ac:dyDescent="0.25">
      <c r="C1025" s="959"/>
      <c r="D1025" s="959"/>
      <c r="E1025" s="959"/>
      <c r="F1025" s="959"/>
      <c r="G1025" s="959"/>
      <c r="H1025" s="959"/>
      <c r="I1025" s="959"/>
      <c r="J1025" s="959"/>
      <c r="K1025" s="959"/>
      <c r="L1025" s="959"/>
      <c r="M1025" s="959"/>
      <c r="N1025" s="959"/>
      <c r="O1025" s="959"/>
      <c r="P1025" s="959"/>
      <c r="Q1025" s="959"/>
      <c r="R1025" s="959"/>
      <c r="S1025" s="959"/>
      <c r="T1025" s="959"/>
      <c r="U1025" s="959"/>
      <c r="V1025" s="959"/>
      <c r="W1025" s="959"/>
      <c r="X1025" s="959"/>
      <c r="Y1025" s="959"/>
      <c r="Z1025" s="959"/>
      <c r="AA1025" s="959"/>
      <c r="AB1025" s="959"/>
      <c r="AC1025" s="959"/>
      <c r="AD1025" s="959"/>
      <c r="AE1025" s="959"/>
      <c r="AF1025" s="959"/>
      <c r="AG1025" s="959"/>
      <c r="AH1025" s="959"/>
      <c r="AI1025" s="959"/>
      <c r="AJ1025" s="959"/>
      <c r="AK1025" s="959"/>
      <c r="AL1025" s="959"/>
      <c r="AM1025" s="959"/>
    </row>
    <row r="1026" spans="3:39" x14ac:dyDescent="0.25">
      <c r="C1026" s="959"/>
      <c r="D1026" s="959"/>
      <c r="E1026" s="959"/>
      <c r="F1026" s="959"/>
      <c r="G1026" s="959"/>
      <c r="H1026" s="959"/>
      <c r="I1026" s="959"/>
      <c r="J1026" s="959"/>
      <c r="K1026" s="959"/>
      <c r="L1026" s="959"/>
      <c r="M1026" s="959"/>
      <c r="N1026" s="959"/>
      <c r="O1026" s="959"/>
      <c r="P1026" s="959"/>
      <c r="Q1026" s="959"/>
      <c r="R1026" s="959"/>
      <c r="S1026" s="959"/>
      <c r="T1026" s="959"/>
      <c r="U1026" s="959"/>
      <c r="V1026" s="959"/>
      <c r="W1026" s="959"/>
      <c r="X1026" s="959"/>
      <c r="Y1026" s="959"/>
      <c r="Z1026" s="959"/>
      <c r="AA1026" s="959"/>
      <c r="AB1026" s="959"/>
      <c r="AC1026" s="959"/>
      <c r="AD1026" s="959"/>
      <c r="AE1026" s="959"/>
      <c r="AF1026" s="959"/>
      <c r="AG1026" s="959"/>
      <c r="AH1026" s="959"/>
      <c r="AI1026" s="959"/>
      <c r="AJ1026" s="959"/>
      <c r="AK1026" s="959"/>
      <c r="AL1026" s="959"/>
      <c r="AM1026" s="959"/>
    </row>
    <row r="1027" spans="3:39" x14ac:dyDescent="0.25">
      <c r="C1027" s="959"/>
      <c r="D1027" s="959"/>
      <c r="E1027" s="959"/>
      <c r="F1027" s="959"/>
      <c r="G1027" s="959"/>
      <c r="H1027" s="959"/>
      <c r="I1027" s="959"/>
      <c r="J1027" s="959"/>
      <c r="K1027" s="959"/>
      <c r="L1027" s="959"/>
      <c r="M1027" s="959"/>
      <c r="N1027" s="959"/>
      <c r="O1027" s="959"/>
      <c r="P1027" s="959"/>
      <c r="Q1027" s="959"/>
      <c r="R1027" s="959"/>
      <c r="S1027" s="959"/>
      <c r="T1027" s="959"/>
      <c r="U1027" s="959"/>
      <c r="V1027" s="959"/>
      <c r="W1027" s="959"/>
      <c r="X1027" s="959"/>
      <c r="Y1027" s="959"/>
      <c r="Z1027" s="959"/>
      <c r="AA1027" s="959"/>
      <c r="AB1027" s="959"/>
      <c r="AC1027" s="959"/>
      <c r="AD1027" s="959"/>
      <c r="AE1027" s="959"/>
      <c r="AF1027" s="959"/>
      <c r="AG1027" s="959"/>
      <c r="AH1027" s="959"/>
      <c r="AI1027" s="959"/>
      <c r="AJ1027" s="959"/>
      <c r="AK1027" s="959"/>
      <c r="AL1027" s="959"/>
      <c r="AM1027" s="959"/>
    </row>
    <row r="1028" spans="3:39" x14ac:dyDescent="0.25">
      <c r="C1028" s="959"/>
      <c r="D1028" s="959"/>
      <c r="E1028" s="959"/>
      <c r="F1028" s="959"/>
      <c r="G1028" s="959"/>
      <c r="H1028" s="959"/>
      <c r="I1028" s="959"/>
      <c r="J1028" s="959"/>
      <c r="K1028" s="959"/>
      <c r="L1028" s="959"/>
      <c r="M1028" s="959"/>
      <c r="N1028" s="959"/>
      <c r="O1028" s="959"/>
      <c r="P1028" s="959"/>
      <c r="Q1028" s="959"/>
      <c r="R1028" s="959"/>
      <c r="S1028" s="959"/>
      <c r="T1028" s="959"/>
      <c r="U1028" s="959"/>
      <c r="V1028" s="959"/>
      <c r="W1028" s="959"/>
      <c r="X1028" s="959"/>
      <c r="Y1028" s="959"/>
      <c r="Z1028" s="959"/>
      <c r="AA1028" s="959"/>
      <c r="AB1028" s="959"/>
      <c r="AC1028" s="959"/>
      <c r="AD1028" s="959"/>
      <c r="AE1028" s="959"/>
      <c r="AF1028" s="959"/>
      <c r="AG1028" s="959"/>
      <c r="AH1028" s="959"/>
      <c r="AI1028" s="959"/>
      <c r="AJ1028" s="959"/>
      <c r="AK1028" s="959"/>
      <c r="AL1028" s="959"/>
      <c r="AM1028" s="959"/>
    </row>
    <row r="1029" spans="3:39" x14ac:dyDescent="0.25">
      <c r="C1029" s="959"/>
      <c r="D1029" s="959"/>
      <c r="E1029" s="959"/>
      <c r="F1029" s="959"/>
      <c r="G1029" s="959"/>
      <c r="H1029" s="959"/>
      <c r="I1029" s="959"/>
      <c r="J1029" s="959"/>
      <c r="K1029" s="959"/>
      <c r="L1029" s="959"/>
      <c r="M1029" s="959"/>
      <c r="N1029" s="959"/>
      <c r="O1029" s="959"/>
      <c r="P1029" s="959"/>
      <c r="Q1029" s="959"/>
      <c r="R1029" s="959"/>
      <c r="S1029" s="959"/>
      <c r="T1029" s="959"/>
      <c r="U1029" s="959"/>
      <c r="V1029" s="959"/>
      <c r="W1029" s="959"/>
      <c r="X1029" s="959"/>
      <c r="Y1029" s="959"/>
      <c r="Z1029" s="959"/>
      <c r="AA1029" s="959"/>
      <c r="AB1029" s="959"/>
      <c r="AC1029" s="959"/>
      <c r="AD1029" s="959"/>
      <c r="AE1029" s="959"/>
      <c r="AF1029" s="959"/>
      <c r="AG1029" s="959"/>
      <c r="AH1029" s="959"/>
      <c r="AI1029" s="959"/>
      <c r="AJ1029" s="959"/>
      <c r="AK1029" s="959"/>
      <c r="AL1029" s="959"/>
      <c r="AM1029" s="959"/>
    </row>
    <row r="1030" spans="3:39" x14ac:dyDescent="0.25">
      <c r="C1030" s="959"/>
      <c r="D1030" s="959"/>
      <c r="E1030" s="959"/>
      <c r="F1030" s="959"/>
      <c r="G1030" s="959"/>
      <c r="H1030" s="959"/>
      <c r="I1030" s="959"/>
      <c r="J1030" s="959"/>
      <c r="K1030" s="959"/>
      <c r="L1030" s="959"/>
      <c r="M1030" s="959"/>
      <c r="N1030" s="959"/>
      <c r="O1030" s="959"/>
      <c r="P1030" s="959"/>
      <c r="Q1030" s="959"/>
      <c r="R1030" s="959"/>
      <c r="S1030" s="959"/>
      <c r="T1030" s="959"/>
      <c r="U1030" s="959"/>
      <c r="V1030" s="959"/>
      <c r="W1030" s="959"/>
      <c r="X1030" s="959"/>
      <c r="Y1030" s="959"/>
      <c r="Z1030" s="959"/>
      <c r="AA1030" s="959"/>
      <c r="AB1030" s="959"/>
      <c r="AC1030" s="959"/>
      <c r="AD1030" s="959"/>
      <c r="AE1030" s="959"/>
      <c r="AF1030" s="959"/>
      <c r="AG1030" s="959"/>
      <c r="AH1030" s="959"/>
      <c r="AI1030" s="959"/>
      <c r="AJ1030" s="959"/>
      <c r="AK1030" s="959"/>
      <c r="AL1030" s="959"/>
      <c r="AM1030" s="959"/>
    </row>
    <row r="1031" spans="3:39" x14ac:dyDescent="0.25">
      <c r="C1031" s="959"/>
      <c r="D1031" s="959"/>
      <c r="E1031" s="959"/>
      <c r="F1031" s="959"/>
      <c r="G1031" s="959"/>
      <c r="H1031" s="959"/>
      <c r="I1031" s="959"/>
      <c r="J1031" s="959"/>
      <c r="K1031" s="959"/>
      <c r="L1031" s="959"/>
      <c r="M1031" s="959"/>
      <c r="N1031" s="959"/>
      <c r="O1031" s="959"/>
      <c r="P1031" s="959"/>
      <c r="Q1031" s="959"/>
      <c r="R1031" s="959"/>
      <c r="S1031" s="959"/>
      <c r="T1031" s="959"/>
      <c r="U1031" s="959"/>
      <c r="V1031" s="959"/>
      <c r="W1031" s="959"/>
      <c r="X1031" s="959"/>
      <c r="Y1031" s="959"/>
      <c r="Z1031" s="959"/>
      <c r="AA1031" s="959"/>
      <c r="AB1031" s="959"/>
      <c r="AC1031" s="959"/>
      <c r="AD1031" s="959"/>
      <c r="AE1031" s="959"/>
      <c r="AF1031" s="959"/>
      <c r="AG1031" s="959"/>
      <c r="AH1031" s="959"/>
      <c r="AI1031" s="959"/>
      <c r="AJ1031" s="959"/>
      <c r="AK1031" s="959"/>
      <c r="AL1031" s="959"/>
      <c r="AM1031" s="959"/>
    </row>
    <row r="1032" spans="3:39" x14ac:dyDescent="0.25">
      <c r="C1032" s="959"/>
      <c r="D1032" s="959"/>
      <c r="E1032" s="959"/>
      <c r="F1032" s="959"/>
      <c r="G1032" s="959"/>
      <c r="H1032" s="959"/>
      <c r="I1032" s="959"/>
      <c r="J1032" s="959"/>
      <c r="K1032" s="959"/>
      <c r="L1032" s="959"/>
      <c r="M1032" s="959"/>
      <c r="N1032" s="959"/>
      <c r="O1032" s="959"/>
      <c r="P1032" s="959"/>
      <c r="Q1032" s="959"/>
      <c r="R1032" s="959"/>
      <c r="S1032" s="959"/>
      <c r="T1032" s="959"/>
      <c r="U1032" s="959"/>
      <c r="V1032" s="959"/>
      <c r="W1032" s="959"/>
      <c r="X1032" s="959"/>
      <c r="Y1032" s="959"/>
      <c r="Z1032" s="959"/>
      <c r="AA1032" s="959"/>
      <c r="AB1032" s="959"/>
      <c r="AC1032" s="959"/>
      <c r="AD1032" s="959"/>
      <c r="AE1032" s="959"/>
      <c r="AF1032" s="959"/>
      <c r="AG1032" s="959"/>
      <c r="AH1032" s="959"/>
      <c r="AI1032" s="959"/>
      <c r="AJ1032" s="959"/>
      <c r="AK1032" s="959"/>
      <c r="AL1032" s="959"/>
      <c r="AM1032" s="959"/>
    </row>
    <row r="1033" spans="3:39" x14ac:dyDescent="0.25">
      <c r="C1033" s="959"/>
      <c r="D1033" s="959"/>
      <c r="E1033" s="959"/>
      <c r="F1033" s="959"/>
      <c r="G1033" s="959"/>
      <c r="H1033" s="959"/>
      <c r="I1033" s="959"/>
      <c r="J1033" s="959"/>
      <c r="K1033" s="959"/>
      <c r="L1033" s="959"/>
      <c r="M1033" s="959"/>
      <c r="N1033" s="959"/>
      <c r="O1033" s="959"/>
      <c r="P1033" s="959"/>
      <c r="Q1033" s="959"/>
      <c r="R1033" s="959"/>
      <c r="S1033" s="959"/>
      <c r="T1033" s="959"/>
      <c r="U1033" s="959"/>
      <c r="V1033" s="959"/>
      <c r="W1033" s="959"/>
      <c r="X1033" s="959"/>
      <c r="Y1033" s="959"/>
      <c r="Z1033" s="959"/>
      <c r="AA1033" s="959"/>
      <c r="AB1033" s="959"/>
      <c r="AC1033" s="959"/>
      <c r="AD1033" s="959"/>
      <c r="AE1033" s="959"/>
      <c r="AF1033" s="959"/>
      <c r="AG1033" s="959"/>
      <c r="AH1033" s="959"/>
      <c r="AI1033" s="959"/>
      <c r="AJ1033" s="959"/>
      <c r="AK1033" s="959"/>
      <c r="AL1033" s="959"/>
      <c r="AM1033" s="959"/>
    </row>
    <row r="1034" spans="3:39" x14ac:dyDescent="0.25">
      <c r="C1034" s="959"/>
      <c r="D1034" s="959"/>
      <c r="E1034" s="959"/>
      <c r="F1034" s="959"/>
      <c r="G1034" s="959"/>
      <c r="H1034" s="959"/>
      <c r="I1034" s="959"/>
      <c r="J1034" s="959"/>
      <c r="K1034" s="959"/>
      <c r="L1034" s="959"/>
      <c r="M1034" s="959"/>
      <c r="N1034" s="959"/>
      <c r="O1034" s="959"/>
      <c r="P1034" s="959"/>
      <c r="Q1034" s="959"/>
      <c r="R1034" s="959"/>
      <c r="S1034" s="959"/>
      <c r="T1034" s="959"/>
      <c r="U1034" s="959"/>
      <c r="V1034" s="959"/>
      <c r="W1034" s="959"/>
      <c r="X1034" s="959"/>
      <c r="Y1034" s="959"/>
      <c r="Z1034" s="959"/>
      <c r="AA1034" s="959"/>
      <c r="AB1034" s="959"/>
      <c r="AC1034" s="959"/>
      <c r="AD1034" s="959"/>
      <c r="AE1034" s="959"/>
      <c r="AF1034" s="959"/>
      <c r="AG1034" s="959"/>
      <c r="AH1034" s="959"/>
      <c r="AI1034" s="959"/>
      <c r="AJ1034" s="959"/>
      <c r="AK1034" s="959"/>
      <c r="AL1034" s="959"/>
      <c r="AM1034" s="959"/>
    </row>
    <row r="1035" spans="3:39" x14ac:dyDescent="0.25">
      <c r="C1035" s="959"/>
      <c r="D1035" s="959"/>
      <c r="E1035" s="959"/>
      <c r="F1035" s="959"/>
      <c r="G1035" s="959"/>
      <c r="H1035" s="959"/>
      <c r="I1035" s="959"/>
      <c r="J1035" s="959"/>
      <c r="K1035" s="959"/>
      <c r="L1035" s="959"/>
      <c r="M1035" s="959"/>
      <c r="N1035" s="959"/>
      <c r="O1035" s="959"/>
      <c r="P1035" s="959"/>
      <c r="Q1035" s="959"/>
      <c r="R1035" s="959"/>
      <c r="S1035" s="959"/>
      <c r="T1035" s="959"/>
      <c r="U1035" s="959"/>
      <c r="V1035" s="959"/>
      <c r="W1035" s="959"/>
      <c r="X1035" s="959"/>
      <c r="Y1035" s="959"/>
      <c r="Z1035" s="959"/>
      <c r="AA1035" s="959"/>
      <c r="AB1035" s="959"/>
      <c r="AC1035" s="959"/>
      <c r="AD1035" s="959"/>
      <c r="AE1035" s="959"/>
      <c r="AF1035" s="959"/>
      <c r="AG1035" s="959"/>
      <c r="AH1035" s="959"/>
      <c r="AI1035" s="959"/>
      <c r="AJ1035" s="959"/>
      <c r="AK1035" s="959"/>
      <c r="AL1035" s="959"/>
      <c r="AM1035" s="959"/>
    </row>
    <row r="1036" spans="3:39" x14ac:dyDescent="0.25">
      <c r="C1036" s="959"/>
      <c r="D1036" s="959"/>
      <c r="E1036" s="959"/>
      <c r="F1036" s="959"/>
      <c r="G1036" s="959"/>
      <c r="H1036" s="959"/>
      <c r="I1036" s="959"/>
      <c r="J1036" s="959"/>
      <c r="K1036" s="959"/>
      <c r="L1036" s="959"/>
      <c r="M1036" s="959"/>
      <c r="N1036" s="959"/>
      <c r="O1036" s="959"/>
      <c r="P1036" s="959"/>
      <c r="Q1036" s="959"/>
      <c r="R1036" s="959"/>
      <c r="S1036" s="959"/>
      <c r="T1036" s="959"/>
      <c r="U1036" s="959"/>
      <c r="V1036" s="959"/>
      <c r="W1036" s="959"/>
      <c r="X1036" s="959"/>
      <c r="Y1036" s="959"/>
      <c r="Z1036" s="959"/>
      <c r="AA1036" s="959"/>
      <c r="AB1036" s="959"/>
      <c r="AC1036" s="959"/>
      <c r="AD1036" s="959"/>
      <c r="AE1036" s="959"/>
      <c r="AF1036" s="959"/>
      <c r="AG1036" s="959"/>
      <c r="AH1036" s="959"/>
      <c r="AI1036" s="959"/>
      <c r="AJ1036" s="959"/>
      <c r="AK1036" s="959"/>
      <c r="AL1036" s="959"/>
      <c r="AM1036" s="959"/>
    </row>
    <row r="1037" spans="3:39" x14ac:dyDescent="0.25">
      <c r="C1037" s="959"/>
      <c r="D1037" s="959"/>
      <c r="E1037" s="959"/>
      <c r="F1037" s="959"/>
      <c r="G1037" s="959"/>
      <c r="H1037" s="959"/>
      <c r="I1037" s="959"/>
      <c r="J1037" s="959"/>
      <c r="K1037" s="959"/>
      <c r="L1037" s="959"/>
      <c r="M1037" s="959"/>
      <c r="N1037" s="959"/>
      <c r="O1037" s="959"/>
      <c r="P1037" s="959"/>
      <c r="Q1037" s="959"/>
      <c r="R1037" s="959"/>
      <c r="S1037" s="959"/>
      <c r="T1037" s="959"/>
      <c r="U1037" s="959"/>
      <c r="V1037" s="959"/>
      <c r="W1037" s="959"/>
      <c r="X1037" s="959"/>
      <c r="Y1037" s="959"/>
      <c r="Z1037" s="959"/>
      <c r="AA1037" s="959"/>
      <c r="AB1037" s="959"/>
      <c r="AC1037" s="959"/>
      <c r="AD1037" s="959"/>
      <c r="AE1037" s="959"/>
      <c r="AF1037" s="959"/>
      <c r="AG1037" s="959"/>
      <c r="AH1037" s="959"/>
      <c r="AI1037" s="959"/>
      <c r="AJ1037" s="959"/>
      <c r="AK1037" s="959"/>
      <c r="AL1037" s="959"/>
      <c r="AM1037" s="959"/>
    </row>
    <row r="1038" spans="3:39" x14ac:dyDescent="0.25">
      <c r="C1038" s="959"/>
      <c r="D1038" s="959"/>
      <c r="E1038" s="959"/>
      <c r="F1038" s="959"/>
      <c r="G1038" s="959"/>
      <c r="H1038" s="959"/>
      <c r="I1038" s="959"/>
      <c r="J1038" s="959"/>
      <c r="K1038" s="959"/>
      <c r="L1038" s="959"/>
      <c r="M1038" s="959"/>
      <c r="N1038" s="959"/>
      <c r="O1038" s="959"/>
      <c r="P1038" s="959"/>
      <c r="Q1038" s="959"/>
      <c r="R1038" s="959"/>
      <c r="S1038" s="959"/>
      <c r="T1038" s="959"/>
      <c r="U1038" s="959"/>
      <c r="V1038" s="959"/>
      <c r="W1038" s="959"/>
      <c r="X1038" s="959"/>
      <c r="Y1038" s="959"/>
      <c r="Z1038" s="959"/>
      <c r="AA1038" s="959"/>
      <c r="AB1038" s="959"/>
      <c r="AC1038" s="959"/>
      <c r="AD1038" s="959"/>
      <c r="AE1038" s="959"/>
      <c r="AF1038" s="959"/>
      <c r="AG1038" s="959"/>
      <c r="AH1038" s="959"/>
      <c r="AI1038" s="959"/>
      <c r="AJ1038" s="959"/>
      <c r="AK1038" s="959"/>
      <c r="AL1038" s="959"/>
      <c r="AM1038" s="959"/>
    </row>
    <row r="1039" spans="3:39" x14ac:dyDescent="0.25">
      <c r="C1039" s="959"/>
      <c r="D1039" s="959"/>
      <c r="E1039" s="959"/>
      <c r="F1039" s="959"/>
      <c r="G1039" s="959"/>
      <c r="H1039" s="959"/>
      <c r="I1039" s="959"/>
      <c r="J1039" s="959"/>
      <c r="K1039" s="959"/>
      <c r="L1039" s="959"/>
      <c r="M1039" s="959"/>
      <c r="N1039" s="959"/>
      <c r="O1039" s="959"/>
      <c r="P1039" s="959"/>
      <c r="Q1039" s="959"/>
      <c r="R1039" s="959"/>
      <c r="S1039" s="959"/>
      <c r="T1039" s="959"/>
      <c r="U1039" s="959"/>
      <c r="V1039" s="959"/>
      <c r="W1039" s="959"/>
      <c r="X1039" s="959"/>
      <c r="Y1039" s="959"/>
      <c r="Z1039" s="959"/>
      <c r="AA1039" s="959"/>
      <c r="AB1039" s="959"/>
      <c r="AC1039" s="959"/>
      <c r="AD1039" s="959"/>
      <c r="AE1039" s="959"/>
      <c r="AF1039" s="959"/>
      <c r="AG1039" s="959"/>
      <c r="AH1039" s="959"/>
      <c r="AI1039" s="959"/>
      <c r="AJ1039" s="959"/>
      <c r="AK1039" s="959"/>
      <c r="AL1039" s="959"/>
      <c r="AM1039" s="959"/>
    </row>
    <row r="1040" spans="3:39" x14ac:dyDescent="0.25">
      <c r="C1040" s="959"/>
      <c r="D1040" s="959"/>
      <c r="E1040" s="959"/>
      <c r="F1040" s="959"/>
      <c r="G1040" s="959"/>
      <c r="H1040" s="959"/>
      <c r="I1040" s="959"/>
      <c r="J1040" s="959"/>
      <c r="K1040" s="959"/>
      <c r="L1040" s="959"/>
      <c r="M1040" s="959"/>
      <c r="N1040" s="959"/>
      <c r="O1040" s="959"/>
      <c r="P1040" s="959"/>
      <c r="Q1040" s="959"/>
      <c r="R1040" s="959"/>
      <c r="S1040" s="959"/>
      <c r="T1040" s="959"/>
      <c r="U1040" s="959"/>
      <c r="V1040" s="959"/>
      <c r="W1040" s="959"/>
      <c r="X1040" s="959"/>
      <c r="Y1040" s="959"/>
      <c r="Z1040" s="959"/>
      <c r="AA1040" s="959"/>
      <c r="AB1040" s="959"/>
      <c r="AC1040" s="959"/>
      <c r="AD1040" s="959"/>
      <c r="AE1040" s="959"/>
      <c r="AF1040" s="959"/>
      <c r="AG1040" s="959"/>
      <c r="AH1040" s="959"/>
      <c r="AI1040" s="959"/>
      <c r="AJ1040" s="959"/>
      <c r="AK1040" s="959"/>
      <c r="AL1040" s="959"/>
      <c r="AM1040" s="959"/>
    </row>
    <row r="1041" spans="3:39" x14ac:dyDescent="0.25">
      <c r="C1041" s="959"/>
      <c r="D1041" s="959"/>
      <c r="E1041" s="959"/>
      <c r="F1041" s="959"/>
      <c r="G1041" s="959"/>
      <c r="H1041" s="959"/>
      <c r="I1041" s="959"/>
      <c r="J1041" s="959"/>
      <c r="K1041" s="959"/>
      <c r="L1041" s="959"/>
      <c r="M1041" s="959"/>
      <c r="N1041" s="959"/>
      <c r="O1041" s="959"/>
      <c r="P1041" s="959"/>
      <c r="Q1041" s="959"/>
      <c r="R1041" s="959"/>
      <c r="S1041" s="959"/>
      <c r="T1041" s="959"/>
      <c r="U1041" s="959"/>
      <c r="V1041" s="959"/>
      <c r="W1041" s="959"/>
      <c r="X1041" s="959"/>
      <c r="Y1041" s="959"/>
      <c r="Z1041" s="959"/>
      <c r="AA1041" s="959"/>
      <c r="AB1041" s="959"/>
      <c r="AC1041" s="959"/>
      <c r="AD1041" s="959"/>
      <c r="AE1041" s="959"/>
      <c r="AF1041" s="959"/>
      <c r="AG1041" s="959"/>
      <c r="AH1041" s="959"/>
      <c r="AI1041" s="959"/>
      <c r="AJ1041" s="959"/>
      <c r="AK1041" s="959"/>
      <c r="AL1041" s="959"/>
      <c r="AM1041" s="959"/>
    </row>
    <row r="1042" spans="3:39" x14ac:dyDescent="0.25">
      <c r="C1042" s="959"/>
      <c r="D1042" s="959"/>
      <c r="E1042" s="959"/>
      <c r="F1042" s="959"/>
      <c r="G1042" s="959"/>
      <c r="H1042" s="959"/>
      <c r="I1042" s="959"/>
      <c r="J1042" s="959"/>
      <c r="K1042" s="959"/>
      <c r="L1042" s="959"/>
      <c r="M1042" s="959"/>
      <c r="N1042" s="959"/>
      <c r="O1042" s="959"/>
      <c r="P1042" s="959"/>
      <c r="Q1042" s="959"/>
      <c r="R1042" s="959"/>
      <c r="S1042" s="959"/>
      <c r="T1042" s="959"/>
      <c r="U1042" s="959"/>
      <c r="V1042" s="959"/>
      <c r="W1042" s="959"/>
      <c r="X1042" s="959"/>
      <c r="Y1042" s="959"/>
      <c r="Z1042" s="959"/>
      <c r="AA1042" s="959"/>
      <c r="AB1042" s="959"/>
      <c r="AC1042" s="959"/>
      <c r="AD1042" s="959"/>
      <c r="AE1042" s="959"/>
      <c r="AF1042" s="959"/>
      <c r="AG1042" s="959"/>
      <c r="AH1042" s="959"/>
      <c r="AI1042" s="959"/>
      <c r="AJ1042" s="959"/>
      <c r="AK1042" s="959"/>
      <c r="AL1042" s="959"/>
      <c r="AM1042" s="959"/>
    </row>
    <row r="1043" spans="3:39" x14ac:dyDescent="0.25">
      <c r="C1043" s="959"/>
      <c r="D1043" s="959"/>
      <c r="E1043" s="959"/>
      <c r="F1043" s="959"/>
      <c r="G1043" s="959"/>
      <c r="H1043" s="959"/>
      <c r="I1043" s="959"/>
      <c r="J1043" s="959"/>
      <c r="K1043" s="959"/>
      <c r="L1043" s="959"/>
      <c r="M1043" s="959"/>
      <c r="N1043" s="959"/>
      <c r="O1043" s="959"/>
      <c r="P1043" s="959"/>
      <c r="Q1043" s="959"/>
      <c r="R1043" s="959"/>
      <c r="S1043" s="959"/>
      <c r="T1043" s="959"/>
      <c r="U1043" s="959"/>
      <c r="V1043" s="959"/>
      <c r="W1043" s="959"/>
      <c r="X1043" s="959"/>
      <c r="Y1043" s="959"/>
      <c r="Z1043" s="959"/>
      <c r="AA1043" s="959"/>
      <c r="AB1043" s="959"/>
      <c r="AC1043" s="959"/>
      <c r="AD1043" s="959"/>
      <c r="AE1043" s="959"/>
      <c r="AF1043" s="959"/>
      <c r="AG1043" s="959"/>
      <c r="AH1043" s="959"/>
      <c r="AI1043" s="959"/>
      <c r="AJ1043" s="959"/>
      <c r="AK1043" s="959"/>
      <c r="AL1043" s="959"/>
      <c r="AM1043" s="959"/>
    </row>
    <row r="1044" spans="3:39" x14ac:dyDescent="0.25">
      <c r="C1044" s="959"/>
      <c r="D1044" s="959"/>
      <c r="E1044" s="959"/>
      <c r="F1044" s="959"/>
      <c r="G1044" s="959"/>
      <c r="H1044" s="959"/>
      <c r="I1044" s="959"/>
      <c r="J1044" s="959"/>
      <c r="K1044" s="959"/>
      <c r="L1044" s="959"/>
      <c r="M1044" s="959"/>
      <c r="N1044" s="959"/>
      <c r="O1044" s="959"/>
      <c r="P1044" s="959"/>
      <c r="Q1044" s="959"/>
      <c r="R1044" s="959"/>
      <c r="S1044" s="959"/>
      <c r="T1044" s="959"/>
      <c r="U1044" s="959"/>
      <c r="V1044" s="959"/>
      <c r="W1044" s="959"/>
      <c r="X1044" s="959"/>
      <c r="Y1044" s="959"/>
      <c r="Z1044" s="959"/>
      <c r="AA1044" s="959"/>
      <c r="AB1044" s="959"/>
      <c r="AC1044" s="959"/>
      <c r="AD1044" s="959"/>
      <c r="AE1044" s="959"/>
      <c r="AF1044" s="959"/>
      <c r="AG1044" s="959"/>
      <c r="AH1044" s="959"/>
      <c r="AI1044" s="959"/>
      <c r="AJ1044" s="959"/>
      <c r="AK1044" s="959"/>
      <c r="AL1044" s="959"/>
      <c r="AM1044" s="959"/>
    </row>
    <row r="1045" spans="3:39" x14ac:dyDescent="0.25">
      <c r="C1045" s="959"/>
      <c r="D1045" s="959"/>
      <c r="E1045" s="959"/>
      <c r="F1045" s="959"/>
      <c r="G1045" s="959"/>
      <c r="H1045" s="959"/>
      <c r="I1045" s="959"/>
      <c r="J1045" s="959"/>
      <c r="K1045" s="959"/>
      <c r="L1045" s="959"/>
      <c r="M1045" s="959"/>
      <c r="N1045" s="959"/>
      <c r="O1045" s="959"/>
      <c r="P1045" s="959"/>
      <c r="Q1045" s="959"/>
      <c r="R1045" s="959"/>
      <c r="S1045" s="959"/>
      <c r="T1045" s="959"/>
      <c r="U1045" s="959"/>
      <c r="V1045" s="959"/>
      <c r="W1045" s="959"/>
      <c r="X1045" s="959"/>
      <c r="Y1045" s="959"/>
      <c r="Z1045" s="959"/>
      <c r="AA1045" s="959"/>
      <c r="AB1045" s="959"/>
      <c r="AC1045" s="959"/>
      <c r="AD1045" s="959"/>
      <c r="AE1045" s="959"/>
      <c r="AF1045" s="959"/>
      <c r="AG1045" s="959"/>
      <c r="AH1045" s="959"/>
      <c r="AI1045" s="959"/>
      <c r="AJ1045" s="959"/>
      <c r="AK1045" s="959"/>
      <c r="AL1045" s="959"/>
      <c r="AM1045" s="959"/>
    </row>
    <row r="1046" spans="3:39" x14ac:dyDescent="0.25">
      <c r="C1046" s="959"/>
      <c r="D1046" s="959"/>
      <c r="E1046" s="959"/>
      <c r="F1046" s="959"/>
      <c r="G1046" s="959"/>
      <c r="H1046" s="959"/>
      <c r="I1046" s="959"/>
      <c r="J1046" s="959"/>
      <c r="K1046" s="959"/>
      <c r="L1046" s="959"/>
      <c r="M1046" s="959"/>
      <c r="N1046" s="959"/>
      <c r="O1046" s="959"/>
      <c r="P1046" s="959"/>
      <c r="Q1046" s="959"/>
      <c r="R1046" s="959"/>
      <c r="S1046" s="959"/>
      <c r="T1046" s="959"/>
      <c r="U1046" s="959"/>
      <c r="V1046" s="959"/>
      <c r="W1046" s="959"/>
      <c r="X1046" s="959"/>
      <c r="Y1046" s="959"/>
      <c r="Z1046" s="959"/>
      <c r="AA1046" s="959"/>
      <c r="AB1046" s="959"/>
      <c r="AC1046" s="959"/>
      <c r="AD1046" s="959"/>
      <c r="AE1046" s="959"/>
      <c r="AF1046" s="959"/>
      <c r="AG1046" s="959"/>
      <c r="AH1046" s="959"/>
      <c r="AI1046" s="959"/>
      <c r="AJ1046" s="959"/>
      <c r="AK1046" s="959"/>
      <c r="AL1046" s="959"/>
      <c r="AM1046" s="959"/>
    </row>
    <row r="1047" spans="3:39" x14ac:dyDescent="0.25">
      <c r="C1047" s="959"/>
      <c r="D1047" s="959"/>
      <c r="E1047" s="959"/>
      <c r="F1047" s="959"/>
      <c r="G1047" s="959"/>
      <c r="H1047" s="959"/>
      <c r="I1047" s="959"/>
      <c r="J1047" s="959"/>
      <c r="K1047" s="959"/>
      <c r="L1047" s="959"/>
      <c r="M1047" s="959"/>
      <c r="N1047" s="959"/>
      <c r="O1047" s="959"/>
      <c r="P1047" s="959"/>
      <c r="Q1047" s="959"/>
      <c r="R1047" s="959"/>
      <c r="S1047" s="959"/>
      <c r="T1047" s="959"/>
      <c r="U1047" s="959"/>
      <c r="V1047" s="959"/>
      <c r="W1047" s="959"/>
      <c r="X1047" s="959"/>
      <c r="Y1047" s="959"/>
      <c r="Z1047" s="959"/>
      <c r="AA1047" s="959"/>
      <c r="AB1047" s="959"/>
      <c r="AC1047" s="959"/>
      <c r="AD1047" s="959"/>
      <c r="AE1047" s="959"/>
      <c r="AF1047" s="959"/>
      <c r="AG1047" s="959"/>
      <c r="AH1047" s="959"/>
      <c r="AI1047" s="959"/>
      <c r="AJ1047" s="959"/>
      <c r="AK1047" s="959"/>
      <c r="AL1047" s="959"/>
      <c r="AM1047" s="959"/>
    </row>
    <row r="1048" spans="3:39" x14ac:dyDescent="0.25">
      <c r="C1048" s="959"/>
      <c r="D1048" s="959"/>
      <c r="E1048" s="959"/>
      <c r="F1048" s="959"/>
      <c r="G1048" s="959"/>
      <c r="H1048" s="959"/>
      <c r="I1048" s="959"/>
      <c r="J1048" s="959"/>
      <c r="K1048" s="959"/>
      <c r="L1048" s="959"/>
      <c r="M1048" s="959"/>
      <c r="N1048" s="959"/>
      <c r="O1048" s="959"/>
      <c r="P1048" s="959"/>
      <c r="Q1048" s="959"/>
      <c r="R1048" s="959"/>
      <c r="S1048" s="959"/>
      <c r="T1048" s="959"/>
      <c r="U1048" s="959"/>
      <c r="V1048" s="959"/>
      <c r="W1048" s="959"/>
      <c r="X1048" s="959"/>
      <c r="Y1048" s="959"/>
      <c r="Z1048" s="959"/>
      <c r="AA1048" s="959"/>
      <c r="AB1048" s="959"/>
      <c r="AC1048" s="959"/>
      <c r="AD1048" s="959"/>
      <c r="AE1048" s="959"/>
      <c r="AF1048" s="959"/>
      <c r="AG1048" s="959"/>
      <c r="AH1048" s="959"/>
      <c r="AI1048" s="959"/>
      <c r="AJ1048" s="959"/>
      <c r="AK1048" s="959"/>
      <c r="AL1048" s="959"/>
      <c r="AM1048" s="959"/>
    </row>
    <row r="1049" spans="3:39" x14ac:dyDescent="0.25">
      <c r="C1049" s="959"/>
      <c r="D1049" s="959"/>
      <c r="E1049" s="959"/>
      <c r="F1049" s="959"/>
      <c r="G1049" s="959"/>
      <c r="H1049" s="959"/>
      <c r="I1049" s="959"/>
      <c r="J1049" s="959"/>
      <c r="K1049" s="959"/>
      <c r="L1049" s="959"/>
      <c r="M1049" s="959"/>
      <c r="N1049" s="959"/>
      <c r="O1049" s="959"/>
      <c r="P1049" s="959"/>
      <c r="Q1049" s="959"/>
      <c r="R1049" s="959"/>
      <c r="S1049" s="959"/>
      <c r="T1049" s="959"/>
      <c r="U1049" s="959"/>
      <c r="V1049" s="959"/>
      <c r="W1049" s="959"/>
      <c r="X1049" s="959"/>
      <c r="Y1049" s="959"/>
      <c r="Z1049" s="959"/>
      <c r="AA1049" s="959"/>
      <c r="AB1049" s="959"/>
      <c r="AC1049" s="959"/>
      <c r="AD1049" s="959"/>
      <c r="AE1049" s="959"/>
      <c r="AF1049" s="959"/>
      <c r="AG1049" s="959"/>
      <c r="AH1049" s="959"/>
      <c r="AI1049" s="959"/>
      <c r="AJ1049" s="959"/>
      <c r="AK1049" s="959"/>
      <c r="AL1049" s="959"/>
      <c r="AM1049" s="959"/>
    </row>
    <row r="1050" spans="3:39" x14ac:dyDescent="0.25">
      <c r="C1050" s="959"/>
      <c r="D1050" s="959"/>
      <c r="E1050" s="959"/>
      <c r="F1050" s="959"/>
      <c r="G1050" s="959"/>
      <c r="H1050" s="959"/>
      <c r="I1050" s="959"/>
      <c r="J1050" s="959"/>
      <c r="K1050" s="959"/>
      <c r="L1050" s="959"/>
      <c r="M1050" s="959"/>
      <c r="N1050" s="959"/>
      <c r="O1050" s="959"/>
      <c r="P1050" s="959"/>
      <c r="Q1050" s="959"/>
      <c r="R1050" s="959"/>
      <c r="S1050" s="959"/>
      <c r="T1050" s="959"/>
      <c r="U1050" s="959"/>
      <c r="V1050" s="959"/>
      <c r="W1050" s="959"/>
      <c r="X1050" s="959"/>
      <c r="Y1050" s="959"/>
      <c r="Z1050" s="959"/>
      <c r="AA1050" s="959"/>
      <c r="AB1050" s="959"/>
      <c r="AC1050" s="959"/>
      <c r="AD1050" s="959"/>
      <c r="AE1050" s="959"/>
      <c r="AF1050" s="959"/>
      <c r="AG1050" s="959"/>
      <c r="AH1050" s="959"/>
      <c r="AI1050" s="959"/>
      <c r="AJ1050" s="959"/>
      <c r="AK1050" s="959"/>
      <c r="AL1050" s="959"/>
      <c r="AM1050" s="959"/>
    </row>
    <row r="1051" spans="3:39" x14ac:dyDescent="0.25">
      <c r="C1051" s="959"/>
      <c r="D1051" s="959"/>
      <c r="E1051" s="959"/>
      <c r="F1051" s="959"/>
      <c r="G1051" s="959"/>
      <c r="H1051" s="959"/>
      <c r="I1051" s="959"/>
      <c r="J1051" s="959"/>
      <c r="K1051" s="959"/>
      <c r="L1051" s="959"/>
      <c r="M1051" s="959"/>
      <c r="N1051" s="959"/>
      <c r="O1051" s="959"/>
      <c r="P1051" s="959"/>
      <c r="Q1051" s="959"/>
      <c r="R1051" s="959"/>
      <c r="S1051" s="959"/>
      <c r="T1051" s="959"/>
      <c r="U1051" s="959"/>
      <c r="V1051" s="959"/>
      <c r="W1051" s="959"/>
      <c r="X1051" s="959"/>
      <c r="Y1051" s="959"/>
      <c r="Z1051" s="959"/>
      <c r="AA1051" s="959"/>
      <c r="AB1051" s="959"/>
      <c r="AC1051" s="959"/>
      <c r="AD1051" s="959"/>
      <c r="AE1051" s="959"/>
      <c r="AF1051" s="959"/>
      <c r="AG1051" s="959"/>
      <c r="AH1051" s="959"/>
      <c r="AI1051" s="959"/>
      <c r="AJ1051" s="959"/>
      <c r="AK1051" s="959"/>
      <c r="AL1051" s="959"/>
      <c r="AM1051" s="959"/>
    </row>
    <row r="1052" spans="3:39" x14ac:dyDescent="0.25">
      <c r="C1052" s="959"/>
      <c r="D1052" s="959"/>
      <c r="E1052" s="959"/>
      <c r="F1052" s="959"/>
      <c r="G1052" s="959"/>
      <c r="H1052" s="959"/>
      <c r="I1052" s="959"/>
      <c r="J1052" s="959"/>
      <c r="K1052" s="959"/>
      <c r="L1052" s="959"/>
      <c r="M1052" s="959"/>
      <c r="N1052" s="959"/>
      <c r="O1052" s="959"/>
      <c r="P1052" s="959"/>
      <c r="Q1052" s="959"/>
      <c r="R1052" s="959"/>
      <c r="S1052" s="959"/>
      <c r="T1052" s="959"/>
      <c r="U1052" s="959"/>
      <c r="V1052" s="959"/>
      <c r="W1052" s="959"/>
      <c r="X1052" s="959"/>
      <c r="Y1052" s="959"/>
      <c r="Z1052" s="959"/>
      <c r="AA1052" s="959"/>
      <c r="AB1052" s="959"/>
      <c r="AC1052" s="959"/>
      <c r="AD1052" s="959"/>
      <c r="AE1052" s="959"/>
      <c r="AF1052" s="959"/>
      <c r="AG1052" s="959"/>
      <c r="AH1052" s="959"/>
      <c r="AI1052" s="959"/>
      <c r="AJ1052" s="959"/>
      <c r="AK1052" s="959"/>
      <c r="AL1052" s="959"/>
      <c r="AM1052" s="959"/>
    </row>
    <row r="1053" spans="3:39" x14ac:dyDescent="0.25">
      <c r="C1053" s="959"/>
      <c r="D1053" s="959"/>
      <c r="E1053" s="959"/>
      <c r="F1053" s="959"/>
      <c r="G1053" s="959"/>
      <c r="H1053" s="959"/>
      <c r="I1053" s="959"/>
      <c r="J1053" s="959"/>
      <c r="K1053" s="959"/>
      <c r="L1053" s="959"/>
      <c r="M1053" s="959"/>
      <c r="N1053" s="959"/>
      <c r="O1053" s="959"/>
      <c r="P1053" s="959"/>
      <c r="Q1053" s="959"/>
      <c r="R1053" s="959"/>
      <c r="S1053" s="959"/>
      <c r="T1053" s="959"/>
      <c r="U1053" s="959"/>
      <c r="V1053" s="959"/>
      <c r="W1053" s="959"/>
      <c r="X1053" s="959"/>
      <c r="Y1053" s="959"/>
      <c r="Z1053" s="959"/>
      <c r="AA1053" s="959"/>
      <c r="AB1053" s="959"/>
      <c r="AC1053" s="959"/>
      <c r="AD1053" s="959"/>
      <c r="AE1053" s="959"/>
      <c r="AF1053" s="959"/>
      <c r="AG1053" s="959"/>
      <c r="AH1053" s="959"/>
      <c r="AI1053" s="959"/>
      <c r="AJ1053" s="959"/>
      <c r="AK1053" s="959"/>
      <c r="AL1053" s="959"/>
      <c r="AM1053" s="959"/>
    </row>
    <row r="1054" spans="3:39" x14ac:dyDescent="0.25">
      <c r="C1054" s="959"/>
      <c r="D1054" s="959"/>
      <c r="E1054" s="959"/>
      <c r="F1054" s="959"/>
      <c r="G1054" s="959"/>
      <c r="H1054" s="959"/>
      <c r="I1054" s="959"/>
      <c r="J1054" s="959"/>
      <c r="K1054" s="959"/>
      <c r="L1054" s="959"/>
      <c r="M1054" s="959"/>
      <c r="N1054" s="959"/>
      <c r="O1054" s="959"/>
      <c r="P1054" s="959"/>
      <c r="Q1054" s="959"/>
      <c r="R1054" s="959"/>
      <c r="S1054" s="959"/>
      <c r="T1054" s="959"/>
      <c r="U1054" s="959"/>
      <c r="V1054" s="959"/>
      <c r="W1054" s="959"/>
      <c r="X1054" s="959"/>
      <c r="Y1054" s="959"/>
      <c r="Z1054" s="959"/>
      <c r="AA1054" s="959"/>
      <c r="AB1054" s="959"/>
      <c r="AC1054" s="959"/>
      <c r="AD1054" s="959"/>
      <c r="AE1054" s="959"/>
      <c r="AF1054" s="959"/>
      <c r="AG1054" s="959"/>
      <c r="AH1054" s="959"/>
      <c r="AI1054" s="959"/>
      <c r="AJ1054" s="959"/>
      <c r="AK1054" s="959"/>
      <c r="AL1054" s="959"/>
      <c r="AM1054" s="959"/>
    </row>
    <row r="1055" spans="3:39" x14ac:dyDescent="0.25">
      <c r="C1055" s="959"/>
      <c r="D1055" s="959"/>
      <c r="E1055" s="959"/>
      <c r="F1055" s="959"/>
      <c r="G1055" s="959"/>
      <c r="H1055" s="959"/>
      <c r="I1055" s="959"/>
      <c r="J1055" s="959"/>
      <c r="K1055" s="959"/>
      <c r="L1055" s="959"/>
      <c r="M1055" s="959"/>
      <c r="N1055" s="959"/>
      <c r="O1055" s="959"/>
      <c r="P1055" s="959"/>
      <c r="Q1055" s="959"/>
      <c r="R1055" s="959"/>
      <c r="S1055" s="959"/>
      <c r="T1055" s="959"/>
      <c r="U1055" s="959"/>
      <c r="V1055" s="959"/>
      <c r="W1055" s="959"/>
      <c r="X1055" s="959"/>
      <c r="Y1055" s="959"/>
      <c r="Z1055" s="959"/>
      <c r="AA1055" s="959"/>
      <c r="AB1055" s="959"/>
      <c r="AC1055" s="959"/>
      <c r="AD1055" s="959"/>
      <c r="AE1055" s="959"/>
      <c r="AF1055" s="959"/>
      <c r="AG1055" s="959"/>
      <c r="AH1055" s="959"/>
      <c r="AI1055" s="959"/>
      <c r="AJ1055" s="959"/>
      <c r="AK1055" s="959"/>
      <c r="AL1055" s="959"/>
      <c r="AM1055" s="959"/>
    </row>
    <row r="1056" spans="3:39" x14ac:dyDescent="0.25">
      <c r="C1056" s="959"/>
      <c r="D1056" s="959"/>
      <c r="E1056" s="959"/>
      <c r="F1056" s="959"/>
      <c r="G1056" s="959"/>
      <c r="H1056" s="959"/>
      <c r="I1056" s="959"/>
      <c r="J1056" s="959"/>
      <c r="K1056" s="959"/>
      <c r="L1056" s="959"/>
      <c r="M1056" s="959"/>
      <c r="N1056" s="959"/>
      <c r="O1056" s="959"/>
      <c r="P1056" s="959"/>
      <c r="Q1056" s="959"/>
      <c r="R1056" s="959"/>
      <c r="S1056" s="959"/>
      <c r="T1056" s="959"/>
      <c r="U1056" s="959"/>
      <c r="V1056" s="959"/>
      <c r="W1056" s="959"/>
      <c r="X1056" s="959"/>
      <c r="Y1056" s="959"/>
      <c r="Z1056" s="959"/>
      <c r="AA1056" s="959"/>
      <c r="AB1056" s="959"/>
      <c r="AC1056" s="959"/>
      <c r="AD1056" s="959"/>
      <c r="AE1056" s="959"/>
      <c r="AF1056" s="959"/>
      <c r="AG1056" s="959"/>
      <c r="AH1056" s="959"/>
      <c r="AI1056" s="959"/>
      <c r="AJ1056" s="959"/>
      <c r="AK1056" s="959"/>
      <c r="AL1056" s="959"/>
      <c r="AM1056" s="959"/>
    </row>
    <row r="1057" spans="3:39" x14ac:dyDescent="0.25">
      <c r="C1057" s="959"/>
      <c r="D1057" s="959"/>
      <c r="E1057" s="959"/>
      <c r="F1057" s="959"/>
      <c r="G1057" s="959"/>
      <c r="H1057" s="959"/>
      <c r="I1057" s="959"/>
      <c r="J1057" s="959"/>
      <c r="K1057" s="959"/>
      <c r="L1057" s="959"/>
      <c r="M1057" s="959"/>
      <c r="N1057" s="959"/>
      <c r="O1057" s="959"/>
      <c r="P1057" s="959"/>
      <c r="Q1057" s="959"/>
      <c r="R1057" s="959"/>
      <c r="S1057" s="959"/>
      <c r="T1057" s="959"/>
      <c r="U1057" s="959"/>
      <c r="V1057" s="959"/>
      <c r="W1057" s="959"/>
      <c r="X1057" s="959"/>
      <c r="Y1057" s="959"/>
      <c r="Z1057" s="959"/>
      <c r="AA1057" s="959"/>
      <c r="AB1057" s="959"/>
      <c r="AC1057" s="959"/>
      <c r="AD1057" s="959"/>
      <c r="AE1057" s="959"/>
      <c r="AF1057" s="959"/>
      <c r="AG1057" s="959"/>
      <c r="AH1057" s="959"/>
      <c r="AI1057" s="959"/>
      <c r="AJ1057" s="959"/>
      <c r="AK1057" s="959"/>
      <c r="AL1057" s="959"/>
      <c r="AM1057" s="959"/>
    </row>
    <row r="1058" spans="3:39" x14ac:dyDescent="0.25">
      <c r="C1058" s="959"/>
      <c r="D1058" s="959"/>
      <c r="E1058" s="959"/>
      <c r="F1058" s="959"/>
      <c r="G1058" s="959"/>
      <c r="H1058" s="959"/>
      <c r="I1058" s="959"/>
      <c r="J1058" s="959"/>
      <c r="K1058" s="959"/>
      <c r="L1058" s="959"/>
      <c r="M1058" s="959"/>
      <c r="N1058" s="959"/>
      <c r="O1058" s="959"/>
      <c r="P1058" s="959"/>
      <c r="Q1058" s="959"/>
      <c r="R1058" s="959"/>
      <c r="S1058" s="959"/>
      <c r="T1058" s="959"/>
      <c r="U1058" s="959"/>
      <c r="V1058" s="959"/>
      <c r="W1058" s="959"/>
      <c r="X1058" s="959"/>
      <c r="Y1058" s="959"/>
      <c r="Z1058" s="959"/>
      <c r="AA1058" s="959"/>
      <c r="AB1058" s="959"/>
      <c r="AC1058" s="959"/>
      <c r="AD1058" s="959"/>
      <c r="AE1058" s="959"/>
      <c r="AF1058" s="959"/>
      <c r="AG1058" s="959"/>
      <c r="AH1058" s="959"/>
      <c r="AI1058" s="959"/>
      <c r="AJ1058" s="959"/>
      <c r="AK1058" s="959"/>
      <c r="AL1058" s="959"/>
      <c r="AM1058" s="959"/>
    </row>
    <row r="1059" spans="3:39" x14ac:dyDescent="0.25">
      <c r="C1059" s="959"/>
      <c r="D1059" s="959"/>
      <c r="E1059" s="959"/>
      <c r="F1059" s="959"/>
      <c r="G1059" s="959"/>
      <c r="H1059" s="959"/>
      <c r="I1059" s="959"/>
      <c r="J1059" s="959"/>
      <c r="K1059" s="959"/>
      <c r="L1059" s="959"/>
      <c r="M1059" s="959"/>
      <c r="N1059" s="959"/>
      <c r="O1059" s="959"/>
      <c r="P1059" s="959"/>
      <c r="Q1059" s="959"/>
      <c r="R1059" s="959"/>
      <c r="S1059" s="959"/>
      <c r="T1059" s="959"/>
      <c r="U1059" s="959"/>
      <c r="V1059" s="959"/>
      <c r="W1059" s="959"/>
      <c r="X1059" s="959"/>
      <c r="Y1059" s="959"/>
      <c r="Z1059" s="959"/>
      <c r="AA1059" s="959"/>
      <c r="AB1059" s="959"/>
      <c r="AC1059" s="959"/>
      <c r="AD1059" s="959"/>
      <c r="AE1059" s="959"/>
      <c r="AF1059" s="959"/>
      <c r="AG1059" s="959"/>
      <c r="AH1059" s="959"/>
      <c r="AI1059" s="959"/>
      <c r="AJ1059" s="959"/>
      <c r="AK1059" s="959"/>
      <c r="AL1059" s="959"/>
      <c r="AM1059" s="959"/>
    </row>
    <row r="1060" spans="3:39" x14ac:dyDescent="0.25">
      <c r="C1060" s="959"/>
      <c r="D1060" s="959"/>
      <c r="E1060" s="959"/>
      <c r="F1060" s="959"/>
      <c r="G1060" s="959"/>
      <c r="H1060" s="959"/>
      <c r="I1060" s="959"/>
      <c r="J1060" s="959"/>
      <c r="K1060" s="959"/>
      <c r="L1060" s="959"/>
      <c r="M1060" s="959"/>
      <c r="N1060" s="959"/>
      <c r="O1060" s="959"/>
      <c r="P1060" s="959"/>
      <c r="Q1060" s="959"/>
      <c r="R1060" s="959"/>
      <c r="S1060" s="959"/>
      <c r="T1060" s="959"/>
      <c r="U1060" s="959"/>
      <c r="V1060" s="959"/>
      <c r="W1060" s="959"/>
      <c r="X1060" s="959"/>
      <c r="Y1060" s="959"/>
      <c r="Z1060" s="959"/>
      <c r="AA1060" s="959"/>
      <c r="AB1060" s="959"/>
      <c r="AC1060" s="959"/>
      <c r="AD1060" s="959"/>
      <c r="AE1060" s="959"/>
      <c r="AF1060" s="959"/>
      <c r="AG1060" s="959"/>
      <c r="AH1060" s="959"/>
      <c r="AI1060" s="959"/>
      <c r="AJ1060" s="959"/>
      <c r="AK1060" s="959"/>
      <c r="AL1060" s="959"/>
      <c r="AM1060" s="959"/>
    </row>
    <row r="1061" spans="3:39" x14ac:dyDescent="0.25">
      <c r="C1061" s="959"/>
      <c r="D1061" s="959"/>
      <c r="E1061" s="959"/>
      <c r="F1061" s="959"/>
      <c r="G1061" s="959"/>
      <c r="H1061" s="959"/>
      <c r="I1061" s="959"/>
      <c r="J1061" s="959"/>
      <c r="K1061" s="959"/>
      <c r="L1061" s="959"/>
      <c r="M1061" s="959"/>
      <c r="N1061" s="959"/>
      <c r="O1061" s="959"/>
      <c r="P1061" s="959"/>
      <c r="Q1061" s="959"/>
      <c r="R1061" s="959"/>
      <c r="S1061" s="959"/>
      <c r="T1061" s="959"/>
      <c r="U1061" s="959"/>
      <c r="V1061" s="959"/>
      <c r="W1061" s="959"/>
      <c r="X1061" s="959"/>
      <c r="Y1061" s="959"/>
      <c r="Z1061" s="959"/>
      <c r="AA1061" s="959"/>
      <c r="AB1061" s="959"/>
      <c r="AC1061" s="959"/>
      <c r="AD1061" s="959"/>
      <c r="AE1061" s="959"/>
      <c r="AF1061" s="959"/>
      <c r="AG1061" s="959"/>
      <c r="AH1061" s="959"/>
      <c r="AI1061" s="959"/>
      <c r="AJ1061" s="959"/>
      <c r="AK1061" s="959"/>
      <c r="AL1061" s="959"/>
      <c r="AM1061" s="959"/>
    </row>
    <row r="1062" spans="3:39" x14ac:dyDescent="0.25">
      <c r="C1062" s="959"/>
      <c r="D1062" s="959"/>
      <c r="E1062" s="959"/>
      <c r="F1062" s="959"/>
      <c r="G1062" s="959"/>
      <c r="H1062" s="959"/>
      <c r="I1062" s="959"/>
      <c r="J1062" s="959"/>
      <c r="K1062" s="959"/>
      <c r="L1062" s="959"/>
      <c r="M1062" s="959"/>
      <c r="N1062" s="959"/>
      <c r="O1062" s="959"/>
      <c r="P1062" s="959"/>
      <c r="Q1062" s="959"/>
      <c r="R1062" s="959"/>
      <c r="S1062" s="959"/>
      <c r="T1062" s="959"/>
      <c r="U1062" s="959"/>
      <c r="V1062" s="959"/>
      <c r="W1062" s="959"/>
      <c r="X1062" s="959"/>
      <c r="Y1062" s="959"/>
      <c r="Z1062" s="959"/>
      <c r="AA1062" s="959"/>
      <c r="AB1062" s="959"/>
      <c r="AC1062" s="959"/>
      <c r="AD1062" s="959"/>
      <c r="AE1062" s="959"/>
      <c r="AF1062" s="959"/>
      <c r="AG1062" s="959"/>
      <c r="AH1062" s="959"/>
      <c r="AI1062" s="959"/>
      <c r="AJ1062" s="959"/>
      <c r="AK1062" s="959"/>
      <c r="AL1062" s="959"/>
      <c r="AM1062" s="959"/>
    </row>
    <row r="1063" spans="3:39" x14ac:dyDescent="0.25">
      <c r="C1063" s="959"/>
      <c r="D1063" s="959"/>
      <c r="E1063" s="959"/>
      <c r="F1063" s="959"/>
      <c r="G1063" s="959"/>
      <c r="H1063" s="959"/>
      <c r="I1063" s="959"/>
      <c r="J1063" s="959"/>
      <c r="K1063" s="959"/>
      <c r="L1063" s="959"/>
      <c r="M1063" s="959"/>
      <c r="N1063" s="959"/>
      <c r="O1063" s="959"/>
      <c r="P1063" s="959"/>
      <c r="Q1063" s="959"/>
      <c r="R1063" s="959"/>
      <c r="S1063" s="959"/>
      <c r="T1063" s="959"/>
      <c r="U1063" s="959"/>
      <c r="V1063" s="959"/>
      <c r="W1063" s="959"/>
      <c r="X1063" s="959"/>
      <c r="Y1063" s="959"/>
      <c r="Z1063" s="959"/>
      <c r="AA1063" s="959"/>
      <c r="AB1063" s="959"/>
      <c r="AC1063" s="959"/>
      <c r="AD1063" s="959"/>
      <c r="AE1063" s="959"/>
      <c r="AF1063" s="959"/>
      <c r="AG1063" s="959"/>
      <c r="AH1063" s="959"/>
      <c r="AI1063" s="959"/>
      <c r="AJ1063" s="959"/>
      <c r="AK1063" s="959"/>
      <c r="AL1063" s="959"/>
      <c r="AM1063" s="959"/>
    </row>
    <row r="1064" spans="3:39" x14ac:dyDescent="0.25">
      <c r="C1064" s="959"/>
      <c r="D1064" s="959"/>
      <c r="E1064" s="959"/>
      <c r="F1064" s="959"/>
      <c r="G1064" s="959"/>
      <c r="H1064" s="959"/>
      <c r="I1064" s="959"/>
      <c r="J1064" s="959"/>
      <c r="K1064" s="959"/>
      <c r="L1064" s="959"/>
      <c r="M1064" s="959"/>
      <c r="N1064" s="959"/>
      <c r="O1064" s="959"/>
      <c r="P1064" s="959"/>
      <c r="Q1064" s="959"/>
      <c r="R1064" s="959"/>
      <c r="S1064" s="959"/>
      <c r="T1064" s="959"/>
      <c r="U1064" s="959"/>
      <c r="V1064" s="959"/>
      <c r="W1064" s="959"/>
      <c r="X1064" s="959"/>
      <c r="Y1064" s="959"/>
      <c r="Z1064" s="959"/>
      <c r="AA1064" s="959"/>
      <c r="AB1064" s="959"/>
      <c r="AC1064" s="959"/>
      <c r="AD1064" s="959"/>
      <c r="AE1064" s="959"/>
      <c r="AF1064" s="959"/>
      <c r="AG1064" s="959"/>
      <c r="AH1064" s="959"/>
      <c r="AI1064" s="959"/>
      <c r="AJ1064" s="959"/>
      <c r="AK1064" s="959"/>
      <c r="AL1064" s="959"/>
      <c r="AM1064" s="959"/>
    </row>
    <row r="1065" spans="3:39" x14ac:dyDescent="0.25">
      <c r="C1065" s="959"/>
      <c r="D1065" s="959"/>
      <c r="E1065" s="959"/>
      <c r="F1065" s="959"/>
      <c r="G1065" s="959"/>
      <c r="H1065" s="959"/>
      <c r="I1065" s="959"/>
      <c r="J1065" s="959"/>
      <c r="K1065" s="959"/>
      <c r="L1065" s="959"/>
      <c r="M1065" s="959"/>
      <c r="N1065" s="959"/>
      <c r="O1065" s="959"/>
      <c r="P1065" s="959"/>
      <c r="Q1065" s="959"/>
      <c r="R1065" s="959"/>
      <c r="S1065" s="959"/>
      <c r="T1065" s="959"/>
      <c r="U1065" s="959"/>
      <c r="V1065" s="959"/>
      <c r="W1065" s="959"/>
      <c r="X1065" s="959"/>
      <c r="Y1065" s="959"/>
      <c r="Z1065" s="959"/>
      <c r="AA1065" s="959"/>
      <c r="AB1065" s="959"/>
      <c r="AC1065" s="959"/>
      <c r="AD1065" s="959"/>
      <c r="AE1065" s="959"/>
      <c r="AF1065" s="959"/>
      <c r="AG1065" s="959"/>
      <c r="AH1065" s="959"/>
      <c r="AI1065" s="959"/>
      <c r="AJ1065" s="959"/>
      <c r="AK1065" s="959"/>
      <c r="AL1065" s="959"/>
      <c r="AM1065" s="959"/>
    </row>
    <row r="1066" spans="3:39" x14ac:dyDescent="0.25">
      <c r="C1066" s="959"/>
      <c r="D1066" s="959"/>
      <c r="E1066" s="959"/>
      <c r="F1066" s="959"/>
      <c r="G1066" s="959"/>
      <c r="H1066" s="959"/>
      <c r="I1066" s="959"/>
      <c r="J1066" s="959"/>
      <c r="K1066" s="959"/>
      <c r="L1066" s="959"/>
      <c r="M1066" s="959"/>
      <c r="N1066" s="959"/>
      <c r="O1066" s="959"/>
      <c r="P1066" s="959"/>
      <c r="Q1066" s="959"/>
      <c r="R1066" s="959"/>
      <c r="S1066" s="959"/>
      <c r="T1066" s="959"/>
      <c r="U1066" s="959"/>
      <c r="V1066" s="959"/>
      <c r="W1066" s="959"/>
      <c r="X1066" s="959"/>
      <c r="Y1066" s="959"/>
      <c r="Z1066" s="959"/>
      <c r="AA1066" s="959"/>
      <c r="AB1066" s="959"/>
      <c r="AC1066" s="959"/>
      <c r="AD1066" s="959"/>
      <c r="AE1066" s="959"/>
      <c r="AF1066" s="959"/>
      <c r="AG1066" s="959"/>
      <c r="AH1066" s="959"/>
      <c r="AI1066" s="959"/>
      <c r="AJ1066" s="959"/>
      <c r="AK1066" s="959"/>
      <c r="AL1066" s="959"/>
      <c r="AM1066" s="959"/>
    </row>
    <row r="1067" spans="3:39" x14ac:dyDescent="0.25">
      <c r="C1067" s="959"/>
      <c r="D1067" s="959"/>
      <c r="E1067" s="959"/>
      <c r="F1067" s="959"/>
      <c r="G1067" s="959"/>
      <c r="H1067" s="959"/>
      <c r="I1067" s="959"/>
      <c r="J1067" s="959"/>
      <c r="K1067" s="959"/>
      <c r="L1067" s="959"/>
      <c r="M1067" s="959"/>
      <c r="N1067" s="959"/>
      <c r="O1067" s="959"/>
      <c r="P1067" s="959"/>
      <c r="Q1067" s="959"/>
      <c r="R1067" s="959"/>
      <c r="S1067" s="959"/>
      <c r="T1067" s="959"/>
      <c r="U1067" s="959"/>
      <c r="V1067" s="959"/>
      <c r="W1067" s="959"/>
      <c r="X1067" s="959"/>
      <c r="Y1067" s="959"/>
      <c r="Z1067" s="959"/>
      <c r="AA1067" s="959"/>
      <c r="AB1067" s="959"/>
      <c r="AC1067" s="959"/>
      <c r="AD1067" s="959"/>
      <c r="AE1067" s="959"/>
      <c r="AF1067" s="959"/>
      <c r="AG1067" s="959"/>
      <c r="AH1067" s="959"/>
      <c r="AI1067" s="959"/>
      <c r="AJ1067" s="959"/>
      <c r="AK1067" s="959"/>
      <c r="AL1067" s="959"/>
      <c r="AM1067" s="959"/>
    </row>
    <row r="1068" spans="3:39" x14ac:dyDescent="0.25">
      <c r="C1068" s="959"/>
      <c r="D1068" s="959"/>
      <c r="E1068" s="959"/>
      <c r="F1068" s="959"/>
      <c r="G1068" s="959"/>
      <c r="H1068" s="959"/>
      <c r="I1068" s="959"/>
      <c r="J1068" s="959"/>
      <c r="K1068" s="959"/>
      <c r="L1068" s="959"/>
      <c r="M1068" s="959"/>
      <c r="N1068" s="959"/>
      <c r="O1068" s="959"/>
      <c r="P1068" s="959"/>
      <c r="Q1068" s="959"/>
      <c r="R1068" s="959"/>
      <c r="S1068" s="959"/>
      <c r="T1068" s="959"/>
      <c r="U1068" s="959"/>
      <c r="V1068" s="959"/>
      <c r="W1068" s="959"/>
      <c r="X1068" s="959"/>
      <c r="Y1068" s="959"/>
      <c r="Z1068" s="959"/>
      <c r="AA1068" s="959"/>
      <c r="AB1068" s="959"/>
      <c r="AC1068" s="959"/>
      <c r="AD1068" s="959"/>
      <c r="AE1068" s="959"/>
      <c r="AF1068" s="959"/>
      <c r="AG1068" s="959"/>
      <c r="AH1068" s="959"/>
      <c r="AI1068" s="959"/>
      <c r="AJ1068" s="959"/>
      <c r="AK1068" s="959"/>
      <c r="AL1068" s="959"/>
      <c r="AM1068" s="959"/>
    </row>
    <row r="1069" spans="3:39" x14ac:dyDescent="0.25">
      <c r="C1069" s="959"/>
      <c r="D1069" s="959"/>
      <c r="E1069" s="959"/>
      <c r="F1069" s="959"/>
      <c r="G1069" s="959"/>
      <c r="H1069" s="959"/>
      <c r="I1069" s="959"/>
      <c r="J1069" s="959"/>
      <c r="K1069" s="959"/>
      <c r="L1069" s="959"/>
      <c r="M1069" s="959"/>
      <c r="N1069" s="959"/>
      <c r="O1069" s="959"/>
      <c r="P1069" s="959"/>
      <c r="Q1069" s="959"/>
      <c r="R1069" s="959"/>
      <c r="S1069" s="959"/>
      <c r="T1069" s="959"/>
      <c r="U1069" s="959"/>
      <c r="V1069" s="959"/>
      <c r="W1069" s="959"/>
      <c r="X1069" s="959"/>
      <c r="Y1069" s="959"/>
      <c r="Z1069" s="959"/>
      <c r="AA1069" s="959"/>
      <c r="AB1069" s="959"/>
      <c r="AC1069" s="959"/>
      <c r="AD1069" s="959"/>
      <c r="AE1069" s="959"/>
      <c r="AF1069" s="959"/>
      <c r="AG1069" s="959"/>
      <c r="AH1069" s="959"/>
      <c r="AI1069" s="959"/>
      <c r="AJ1069" s="959"/>
      <c r="AK1069" s="959"/>
      <c r="AL1069" s="959"/>
      <c r="AM1069" s="959"/>
    </row>
    <row r="1070" spans="3:39" x14ac:dyDescent="0.25">
      <c r="C1070" s="959"/>
      <c r="D1070" s="959"/>
      <c r="E1070" s="959"/>
      <c r="F1070" s="959"/>
      <c r="G1070" s="959"/>
      <c r="H1070" s="959"/>
      <c r="I1070" s="959"/>
      <c r="J1070" s="959"/>
      <c r="K1070" s="959"/>
      <c r="L1070" s="959"/>
      <c r="M1070" s="959"/>
      <c r="N1070" s="959"/>
      <c r="O1070" s="959"/>
      <c r="P1070" s="959"/>
      <c r="Q1070" s="959"/>
      <c r="R1070" s="959"/>
      <c r="S1070" s="959"/>
      <c r="T1070" s="959"/>
      <c r="U1070" s="959"/>
      <c r="V1070" s="959"/>
      <c r="W1070" s="959"/>
      <c r="X1070" s="959"/>
      <c r="Y1070" s="959"/>
      <c r="Z1070" s="959"/>
      <c r="AA1070" s="959"/>
      <c r="AB1070" s="959"/>
      <c r="AC1070" s="959"/>
      <c r="AD1070" s="959"/>
      <c r="AE1070" s="959"/>
      <c r="AF1070" s="959"/>
      <c r="AG1070" s="959"/>
      <c r="AH1070" s="959"/>
      <c r="AI1070" s="959"/>
      <c r="AJ1070" s="959"/>
      <c r="AK1070" s="959"/>
      <c r="AL1070" s="959"/>
      <c r="AM1070" s="959"/>
    </row>
    <row r="1071" spans="3:39" x14ac:dyDescent="0.25">
      <c r="C1071" s="959"/>
      <c r="D1071" s="959"/>
      <c r="E1071" s="959"/>
      <c r="F1071" s="959"/>
      <c r="G1071" s="959"/>
      <c r="H1071" s="959"/>
      <c r="I1071" s="959"/>
      <c r="J1071" s="959"/>
      <c r="K1071" s="959"/>
      <c r="L1071" s="959"/>
      <c r="M1071" s="959"/>
      <c r="N1071" s="959"/>
      <c r="O1071" s="959"/>
      <c r="P1071" s="959"/>
      <c r="Q1071" s="959"/>
      <c r="R1071" s="959"/>
      <c r="S1071" s="959"/>
      <c r="T1071" s="959"/>
      <c r="U1071" s="959"/>
      <c r="V1071" s="959"/>
      <c r="W1071" s="959"/>
      <c r="X1071" s="959"/>
      <c r="Y1071" s="959"/>
      <c r="Z1071" s="959"/>
      <c r="AA1071" s="959"/>
      <c r="AB1071" s="959"/>
      <c r="AC1071" s="959"/>
      <c r="AD1071" s="959"/>
      <c r="AE1071" s="959"/>
      <c r="AF1071" s="959"/>
      <c r="AG1071" s="959"/>
      <c r="AH1071" s="959"/>
      <c r="AI1071" s="959"/>
      <c r="AJ1071" s="959"/>
      <c r="AK1071" s="959"/>
      <c r="AL1071" s="959"/>
      <c r="AM1071" s="959"/>
    </row>
    <row r="1072" spans="3:39" x14ac:dyDescent="0.25">
      <c r="C1072" s="959"/>
      <c r="D1072" s="959"/>
      <c r="E1072" s="959"/>
      <c r="F1072" s="959"/>
      <c r="G1072" s="959"/>
      <c r="H1072" s="959"/>
      <c r="I1072" s="959"/>
      <c r="J1072" s="959"/>
      <c r="K1072" s="959"/>
      <c r="L1072" s="959"/>
      <c r="M1072" s="959"/>
      <c r="N1072" s="959"/>
      <c r="O1072" s="959"/>
      <c r="P1072" s="959"/>
      <c r="Q1072" s="959"/>
      <c r="R1072" s="959"/>
      <c r="S1072" s="959"/>
      <c r="T1072" s="959"/>
      <c r="U1072" s="959"/>
      <c r="V1072" s="959"/>
      <c r="W1072" s="959"/>
      <c r="X1072" s="959"/>
      <c r="Y1072" s="959"/>
      <c r="Z1072" s="959"/>
      <c r="AA1072" s="959"/>
      <c r="AB1072" s="959"/>
      <c r="AC1072" s="959"/>
      <c r="AD1072" s="959"/>
      <c r="AE1072" s="959"/>
      <c r="AF1072" s="959"/>
      <c r="AG1072" s="959"/>
      <c r="AH1072" s="959"/>
      <c r="AI1072" s="959"/>
      <c r="AJ1072" s="959"/>
      <c r="AK1072" s="959"/>
      <c r="AL1072" s="959"/>
      <c r="AM1072" s="959"/>
    </row>
    <row r="1073" spans="3:39" x14ac:dyDescent="0.25">
      <c r="C1073" s="959"/>
      <c r="D1073" s="959"/>
      <c r="E1073" s="959"/>
      <c r="F1073" s="959"/>
      <c r="G1073" s="959"/>
      <c r="H1073" s="959"/>
      <c r="I1073" s="959"/>
      <c r="J1073" s="959"/>
      <c r="K1073" s="959"/>
      <c r="L1073" s="959"/>
      <c r="M1073" s="959"/>
      <c r="N1073" s="959"/>
      <c r="O1073" s="959"/>
      <c r="P1073" s="959"/>
      <c r="Q1073" s="959"/>
      <c r="R1073" s="959"/>
      <c r="S1073" s="959"/>
      <c r="T1073" s="959"/>
      <c r="U1073" s="959"/>
      <c r="V1073" s="959"/>
      <c r="W1073" s="959"/>
      <c r="X1073" s="959"/>
      <c r="Y1073" s="959"/>
      <c r="Z1073" s="959"/>
      <c r="AA1073" s="959"/>
      <c r="AB1073" s="959"/>
      <c r="AC1073" s="959"/>
      <c r="AD1073" s="959"/>
      <c r="AE1073" s="959"/>
      <c r="AF1073" s="959"/>
      <c r="AG1073" s="959"/>
      <c r="AH1073" s="959"/>
      <c r="AI1073" s="959"/>
      <c r="AJ1073" s="959"/>
      <c r="AK1073" s="959"/>
      <c r="AL1073" s="959"/>
      <c r="AM1073" s="959"/>
    </row>
    <row r="1074" spans="3:39" x14ac:dyDescent="0.25">
      <c r="C1074" s="959"/>
      <c r="D1074" s="959"/>
      <c r="E1074" s="959"/>
      <c r="F1074" s="959"/>
      <c r="G1074" s="959"/>
      <c r="H1074" s="959"/>
      <c r="I1074" s="959"/>
      <c r="J1074" s="959"/>
      <c r="K1074" s="959"/>
      <c r="L1074" s="959"/>
      <c r="M1074" s="959"/>
      <c r="N1074" s="959"/>
      <c r="O1074" s="959"/>
      <c r="P1074" s="959"/>
      <c r="Q1074" s="959"/>
      <c r="R1074" s="959"/>
      <c r="S1074" s="959"/>
      <c r="T1074" s="959"/>
      <c r="U1074" s="959"/>
      <c r="V1074" s="959"/>
      <c r="W1074" s="959"/>
      <c r="X1074" s="959"/>
      <c r="Y1074" s="959"/>
      <c r="Z1074" s="959"/>
      <c r="AA1074" s="959"/>
      <c r="AB1074" s="959"/>
      <c r="AC1074" s="959"/>
      <c r="AD1074" s="959"/>
      <c r="AE1074" s="959"/>
      <c r="AF1074" s="959"/>
      <c r="AG1074" s="959"/>
      <c r="AH1074" s="959"/>
      <c r="AI1074" s="959"/>
      <c r="AJ1074" s="959"/>
      <c r="AK1074" s="959"/>
      <c r="AL1074" s="959"/>
      <c r="AM1074" s="959"/>
    </row>
    <row r="1075" spans="3:39" x14ac:dyDescent="0.25">
      <c r="C1075" s="959"/>
      <c r="D1075" s="959"/>
      <c r="E1075" s="959"/>
      <c r="F1075" s="959"/>
      <c r="G1075" s="959"/>
      <c r="H1075" s="959"/>
      <c r="I1075" s="959"/>
      <c r="J1075" s="959"/>
      <c r="K1075" s="959"/>
      <c r="L1075" s="959"/>
      <c r="M1075" s="959"/>
      <c r="N1075" s="959"/>
      <c r="O1075" s="959"/>
      <c r="P1075" s="959"/>
      <c r="Q1075" s="959"/>
      <c r="R1075" s="959"/>
      <c r="S1075" s="959"/>
      <c r="T1075" s="959"/>
      <c r="U1075" s="959"/>
      <c r="V1075" s="959"/>
      <c r="W1075" s="959"/>
      <c r="X1075" s="959"/>
      <c r="Y1075" s="959"/>
      <c r="Z1075" s="959"/>
      <c r="AA1075" s="959"/>
      <c r="AB1075" s="959"/>
      <c r="AC1075" s="959"/>
      <c r="AD1075" s="959"/>
      <c r="AE1075" s="959"/>
      <c r="AF1075" s="959"/>
      <c r="AG1075" s="959"/>
      <c r="AH1075" s="959"/>
      <c r="AI1075" s="959"/>
      <c r="AJ1075" s="959"/>
      <c r="AK1075" s="959"/>
      <c r="AL1075" s="959"/>
      <c r="AM1075" s="959"/>
    </row>
    <row r="1076" spans="3:39" x14ac:dyDescent="0.25">
      <c r="C1076" s="959"/>
      <c r="D1076" s="959"/>
      <c r="E1076" s="959"/>
      <c r="F1076" s="959"/>
      <c r="G1076" s="959"/>
      <c r="H1076" s="959"/>
      <c r="I1076" s="959"/>
      <c r="J1076" s="959"/>
      <c r="K1076" s="959"/>
      <c r="L1076" s="959"/>
      <c r="M1076" s="959"/>
      <c r="N1076" s="959"/>
      <c r="O1076" s="959"/>
      <c r="P1076" s="959"/>
      <c r="Q1076" s="959"/>
      <c r="R1076" s="959"/>
      <c r="S1076" s="959"/>
      <c r="T1076" s="959"/>
      <c r="U1076" s="959"/>
      <c r="V1076" s="959"/>
      <c r="W1076" s="959"/>
      <c r="X1076" s="959"/>
      <c r="Y1076" s="959"/>
      <c r="Z1076" s="959"/>
      <c r="AA1076" s="959"/>
      <c r="AB1076" s="959"/>
      <c r="AC1076" s="959"/>
      <c r="AD1076" s="959"/>
      <c r="AE1076" s="959"/>
      <c r="AF1076" s="959"/>
      <c r="AG1076" s="959"/>
      <c r="AH1076" s="959"/>
      <c r="AI1076" s="959"/>
      <c r="AJ1076" s="959"/>
      <c r="AK1076" s="959"/>
      <c r="AL1076" s="959"/>
      <c r="AM1076" s="959"/>
    </row>
    <row r="1077" spans="3:39" x14ac:dyDescent="0.25">
      <c r="C1077" s="959"/>
      <c r="D1077" s="959"/>
      <c r="E1077" s="959"/>
      <c r="F1077" s="959"/>
      <c r="G1077" s="959"/>
      <c r="H1077" s="959"/>
      <c r="I1077" s="959"/>
      <c r="J1077" s="959"/>
      <c r="K1077" s="959"/>
      <c r="L1077" s="959"/>
      <c r="M1077" s="959"/>
      <c r="N1077" s="959"/>
      <c r="O1077" s="959"/>
      <c r="P1077" s="959"/>
      <c r="Q1077" s="959"/>
      <c r="R1077" s="959"/>
      <c r="S1077" s="959"/>
      <c r="T1077" s="959"/>
      <c r="U1077" s="959"/>
      <c r="V1077" s="959"/>
      <c r="W1077" s="959"/>
      <c r="X1077" s="959"/>
      <c r="Y1077" s="959"/>
      <c r="Z1077" s="959"/>
      <c r="AA1077" s="959"/>
      <c r="AB1077" s="959"/>
      <c r="AC1077" s="959"/>
      <c r="AD1077" s="959"/>
      <c r="AE1077" s="959"/>
      <c r="AF1077" s="959"/>
      <c r="AG1077" s="959"/>
      <c r="AH1077" s="959"/>
      <c r="AI1077" s="959"/>
      <c r="AJ1077" s="959"/>
      <c r="AK1077" s="959"/>
      <c r="AL1077" s="959"/>
      <c r="AM1077" s="959"/>
    </row>
    <row r="1078" spans="3:39" x14ac:dyDescent="0.25">
      <c r="C1078" s="959"/>
      <c r="D1078" s="959"/>
      <c r="E1078" s="959"/>
      <c r="F1078" s="959"/>
      <c r="G1078" s="959"/>
      <c r="H1078" s="959"/>
      <c r="I1078" s="959"/>
      <c r="J1078" s="959"/>
      <c r="K1078" s="959"/>
      <c r="L1078" s="959"/>
      <c r="M1078" s="959"/>
      <c r="N1078" s="959"/>
      <c r="O1078" s="959"/>
      <c r="P1078" s="959"/>
      <c r="Q1078" s="959"/>
      <c r="R1078" s="959"/>
      <c r="S1078" s="959"/>
      <c r="T1078" s="959"/>
      <c r="U1078" s="959"/>
      <c r="V1078" s="959"/>
      <c r="W1078" s="959"/>
      <c r="X1078" s="959"/>
      <c r="Y1078" s="959"/>
      <c r="Z1078" s="959"/>
      <c r="AA1078" s="959"/>
      <c r="AB1078" s="959"/>
      <c r="AC1078" s="959"/>
      <c r="AD1078" s="959"/>
      <c r="AE1078" s="959"/>
      <c r="AF1078" s="959"/>
      <c r="AG1078" s="959"/>
      <c r="AH1078" s="959"/>
      <c r="AI1078" s="959"/>
      <c r="AJ1078" s="959"/>
      <c r="AK1078" s="959"/>
      <c r="AL1078" s="959"/>
      <c r="AM1078" s="959"/>
    </row>
    <row r="1079" spans="3:39" x14ac:dyDescent="0.25">
      <c r="C1079" s="959"/>
      <c r="D1079" s="959"/>
      <c r="E1079" s="959"/>
      <c r="F1079" s="959"/>
      <c r="G1079" s="959"/>
      <c r="H1079" s="959"/>
      <c r="I1079" s="959"/>
      <c r="J1079" s="959"/>
      <c r="K1079" s="959"/>
      <c r="L1079" s="959"/>
      <c r="M1079" s="959"/>
      <c r="N1079" s="959"/>
      <c r="O1079" s="959"/>
      <c r="P1079" s="959"/>
      <c r="Q1079" s="959"/>
      <c r="R1079" s="959"/>
      <c r="S1079" s="959"/>
      <c r="T1079" s="959"/>
      <c r="U1079" s="959"/>
      <c r="V1079" s="959"/>
      <c r="W1079" s="959"/>
      <c r="X1079" s="959"/>
      <c r="Y1079" s="959"/>
      <c r="Z1079" s="959"/>
      <c r="AA1079" s="959"/>
      <c r="AB1079" s="959"/>
      <c r="AC1079" s="959"/>
      <c r="AD1079" s="959"/>
      <c r="AE1079" s="959"/>
      <c r="AF1079" s="959"/>
      <c r="AG1079" s="959"/>
      <c r="AH1079" s="959"/>
      <c r="AI1079" s="959"/>
      <c r="AJ1079" s="959"/>
      <c r="AK1079" s="959"/>
      <c r="AL1079" s="959"/>
      <c r="AM1079" s="959"/>
    </row>
    <row r="1080" spans="3:39" x14ac:dyDescent="0.25">
      <c r="C1080" s="959"/>
      <c r="D1080" s="959"/>
      <c r="E1080" s="959"/>
      <c r="F1080" s="959"/>
      <c r="G1080" s="959"/>
      <c r="H1080" s="959"/>
      <c r="I1080" s="959"/>
      <c r="J1080" s="959"/>
      <c r="K1080" s="959"/>
      <c r="L1080" s="959"/>
      <c r="M1080" s="959"/>
      <c r="N1080" s="959"/>
      <c r="O1080" s="959"/>
      <c r="P1080" s="959"/>
      <c r="Q1080" s="959"/>
      <c r="R1080" s="959"/>
      <c r="S1080" s="959"/>
      <c r="T1080" s="959"/>
      <c r="U1080" s="959"/>
      <c r="V1080" s="959"/>
      <c r="W1080" s="959"/>
      <c r="X1080" s="959"/>
      <c r="Y1080" s="959"/>
      <c r="Z1080" s="959"/>
      <c r="AA1080" s="959"/>
      <c r="AB1080" s="959"/>
      <c r="AC1080" s="959"/>
      <c r="AD1080" s="959"/>
      <c r="AE1080" s="959"/>
      <c r="AF1080" s="959"/>
      <c r="AG1080" s="959"/>
      <c r="AH1080" s="959"/>
      <c r="AI1080" s="959"/>
      <c r="AJ1080" s="959"/>
      <c r="AK1080" s="959"/>
      <c r="AL1080" s="959"/>
      <c r="AM1080" s="959"/>
    </row>
    <row r="1081" spans="3:39" x14ac:dyDescent="0.25">
      <c r="C1081" s="959"/>
      <c r="D1081" s="959"/>
      <c r="E1081" s="959"/>
      <c r="F1081" s="959"/>
      <c r="G1081" s="959"/>
      <c r="H1081" s="959"/>
      <c r="I1081" s="959"/>
      <c r="J1081" s="959"/>
      <c r="K1081" s="959"/>
      <c r="L1081" s="959"/>
      <c r="M1081" s="959"/>
      <c r="N1081" s="959"/>
      <c r="O1081" s="959"/>
      <c r="P1081" s="959"/>
      <c r="Q1081" s="959"/>
      <c r="R1081" s="959"/>
      <c r="S1081" s="959"/>
      <c r="T1081" s="959"/>
      <c r="U1081" s="959"/>
      <c r="V1081" s="959"/>
      <c r="W1081" s="959"/>
      <c r="X1081" s="959"/>
      <c r="Y1081" s="959"/>
      <c r="Z1081" s="959"/>
      <c r="AA1081" s="959"/>
      <c r="AB1081" s="959"/>
      <c r="AC1081" s="959"/>
      <c r="AD1081" s="959"/>
      <c r="AE1081" s="959"/>
      <c r="AF1081" s="959"/>
      <c r="AG1081" s="959"/>
      <c r="AH1081" s="959"/>
      <c r="AI1081" s="959"/>
      <c r="AJ1081" s="959"/>
      <c r="AK1081" s="959"/>
      <c r="AL1081" s="959"/>
      <c r="AM1081" s="959"/>
    </row>
    <row r="1082" spans="3:39" x14ac:dyDescent="0.25">
      <c r="C1082" s="959"/>
      <c r="D1082" s="959"/>
      <c r="E1082" s="959"/>
      <c r="F1082" s="959"/>
      <c r="G1082" s="959"/>
      <c r="H1082" s="959"/>
      <c r="I1082" s="959"/>
      <c r="J1082" s="959"/>
      <c r="K1082" s="959"/>
      <c r="L1082" s="959"/>
      <c r="M1082" s="959"/>
      <c r="N1082" s="959"/>
      <c r="O1082" s="959"/>
      <c r="P1082" s="959"/>
      <c r="Q1082" s="959"/>
      <c r="R1082" s="959"/>
      <c r="S1082" s="959"/>
      <c r="T1082" s="959"/>
      <c r="U1082" s="959"/>
      <c r="V1082" s="959"/>
      <c r="W1082" s="959"/>
      <c r="X1082" s="959"/>
      <c r="Y1082" s="959"/>
      <c r="Z1082" s="959"/>
      <c r="AA1082" s="959"/>
      <c r="AB1082" s="959"/>
      <c r="AC1082" s="959"/>
      <c r="AD1082" s="959"/>
      <c r="AE1082" s="959"/>
      <c r="AF1082" s="959"/>
      <c r="AG1082" s="959"/>
      <c r="AH1082" s="959"/>
      <c r="AI1082" s="959"/>
      <c r="AJ1082" s="959"/>
      <c r="AK1082" s="959"/>
      <c r="AL1082" s="959"/>
      <c r="AM1082" s="959"/>
    </row>
    <row r="1083" spans="3:39" x14ac:dyDescent="0.25">
      <c r="C1083" s="959"/>
      <c r="D1083" s="959"/>
      <c r="E1083" s="959"/>
      <c r="F1083" s="959"/>
      <c r="G1083" s="959"/>
      <c r="H1083" s="959"/>
      <c r="I1083" s="959"/>
      <c r="J1083" s="959"/>
      <c r="K1083" s="959"/>
      <c r="L1083" s="959"/>
      <c r="M1083" s="959"/>
      <c r="N1083" s="959"/>
      <c r="O1083" s="959"/>
      <c r="P1083" s="959"/>
      <c r="Q1083" s="959"/>
      <c r="R1083" s="959"/>
      <c r="S1083" s="959"/>
      <c r="T1083" s="959"/>
      <c r="U1083" s="959"/>
      <c r="V1083" s="959"/>
      <c r="W1083" s="959"/>
      <c r="X1083" s="959"/>
      <c r="Y1083" s="959"/>
      <c r="Z1083" s="959"/>
      <c r="AA1083" s="959"/>
      <c r="AB1083" s="959"/>
      <c r="AC1083" s="959"/>
      <c r="AD1083" s="959"/>
      <c r="AE1083" s="959"/>
      <c r="AF1083" s="959"/>
      <c r="AG1083" s="959"/>
      <c r="AH1083" s="959"/>
      <c r="AI1083" s="959"/>
      <c r="AJ1083" s="959"/>
      <c r="AK1083" s="959"/>
      <c r="AL1083" s="959"/>
      <c r="AM1083" s="959"/>
    </row>
    <row r="1084" spans="3:39" x14ac:dyDescent="0.25">
      <c r="C1084" s="959"/>
      <c r="D1084" s="959"/>
      <c r="E1084" s="959"/>
      <c r="F1084" s="959"/>
      <c r="G1084" s="959"/>
      <c r="H1084" s="959"/>
      <c r="I1084" s="959"/>
      <c r="J1084" s="959"/>
      <c r="K1084" s="959"/>
      <c r="L1084" s="959"/>
      <c r="M1084" s="959"/>
      <c r="N1084" s="959"/>
      <c r="O1084" s="959"/>
      <c r="P1084" s="959"/>
      <c r="Q1084" s="959"/>
      <c r="R1084" s="959"/>
      <c r="S1084" s="959"/>
      <c r="T1084" s="959"/>
      <c r="U1084" s="959"/>
      <c r="V1084" s="959"/>
      <c r="W1084" s="959"/>
      <c r="X1084" s="959"/>
      <c r="Y1084" s="959"/>
      <c r="Z1084" s="959"/>
      <c r="AA1084" s="959"/>
      <c r="AB1084" s="959"/>
      <c r="AC1084" s="959"/>
      <c r="AD1084" s="959"/>
      <c r="AE1084" s="959"/>
      <c r="AF1084" s="959"/>
      <c r="AG1084" s="959"/>
      <c r="AH1084" s="959"/>
      <c r="AI1084" s="959"/>
      <c r="AJ1084" s="959"/>
      <c r="AK1084" s="959"/>
      <c r="AL1084" s="959"/>
      <c r="AM1084" s="959"/>
    </row>
    <row r="1085" spans="3:39" x14ac:dyDescent="0.25">
      <c r="C1085" s="959"/>
      <c r="D1085" s="959"/>
      <c r="E1085" s="959"/>
      <c r="F1085" s="959"/>
      <c r="G1085" s="959"/>
      <c r="H1085" s="959"/>
      <c r="I1085" s="959"/>
      <c r="J1085" s="959"/>
      <c r="K1085" s="959"/>
      <c r="L1085" s="959"/>
      <c r="M1085" s="959"/>
      <c r="N1085" s="959"/>
      <c r="O1085" s="959"/>
      <c r="P1085" s="959"/>
      <c r="Q1085" s="959"/>
      <c r="R1085" s="959"/>
      <c r="S1085" s="959"/>
      <c r="T1085" s="959"/>
      <c r="U1085" s="959"/>
      <c r="V1085" s="959"/>
      <c r="W1085" s="959"/>
      <c r="X1085" s="959"/>
      <c r="Y1085" s="959"/>
      <c r="Z1085" s="959"/>
      <c r="AA1085" s="959"/>
      <c r="AB1085" s="959"/>
      <c r="AC1085" s="959"/>
      <c r="AD1085" s="959"/>
      <c r="AE1085" s="959"/>
      <c r="AF1085" s="959"/>
      <c r="AG1085" s="959"/>
      <c r="AH1085" s="959"/>
      <c r="AI1085" s="959"/>
      <c r="AJ1085" s="959"/>
      <c r="AK1085" s="959"/>
      <c r="AL1085" s="959"/>
      <c r="AM1085" s="959"/>
    </row>
    <row r="1086" spans="3:39" x14ac:dyDescent="0.25">
      <c r="C1086" s="959"/>
      <c r="D1086" s="959"/>
      <c r="E1086" s="959"/>
      <c r="F1086" s="959"/>
      <c r="G1086" s="959"/>
      <c r="H1086" s="959"/>
      <c r="I1086" s="959"/>
      <c r="J1086" s="959"/>
      <c r="K1086" s="959"/>
      <c r="L1086" s="959"/>
      <c r="M1086" s="959"/>
      <c r="N1086" s="959"/>
      <c r="O1086" s="959"/>
      <c r="P1086" s="959"/>
      <c r="Q1086" s="959"/>
      <c r="R1086" s="959"/>
      <c r="S1086" s="959"/>
      <c r="T1086" s="959"/>
      <c r="U1086" s="959"/>
      <c r="V1086" s="959"/>
      <c r="W1086" s="959"/>
      <c r="X1086" s="959"/>
      <c r="Y1086" s="959"/>
      <c r="Z1086" s="959"/>
      <c r="AA1086" s="959"/>
      <c r="AB1086" s="959"/>
      <c r="AC1086" s="959"/>
      <c r="AD1086" s="959"/>
      <c r="AE1086" s="959"/>
      <c r="AF1086" s="959"/>
      <c r="AG1086" s="959"/>
      <c r="AH1086" s="959"/>
      <c r="AI1086" s="959"/>
      <c r="AJ1086" s="959"/>
      <c r="AK1086" s="959"/>
      <c r="AL1086" s="959"/>
      <c r="AM1086" s="959"/>
    </row>
    <row r="1087" spans="3:39" x14ac:dyDescent="0.25">
      <c r="C1087" s="959"/>
      <c r="D1087" s="959"/>
      <c r="E1087" s="959"/>
      <c r="F1087" s="959"/>
      <c r="G1087" s="959"/>
      <c r="H1087" s="959"/>
      <c r="I1087" s="959"/>
      <c r="J1087" s="959"/>
      <c r="K1087" s="959"/>
      <c r="L1087" s="959"/>
      <c r="M1087" s="959"/>
      <c r="N1087" s="959"/>
      <c r="O1087" s="959"/>
      <c r="P1087" s="959"/>
      <c r="Q1087" s="959"/>
      <c r="R1087" s="959"/>
      <c r="S1087" s="959"/>
      <c r="T1087" s="959"/>
      <c r="U1087" s="959"/>
      <c r="V1087" s="959"/>
      <c r="W1087" s="959"/>
      <c r="X1087" s="959"/>
      <c r="Y1087" s="959"/>
      <c r="Z1087" s="959"/>
      <c r="AA1087" s="959"/>
      <c r="AB1087" s="959"/>
      <c r="AC1087" s="959"/>
      <c r="AD1087" s="959"/>
      <c r="AE1087" s="959"/>
      <c r="AF1087" s="959"/>
      <c r="AG1087" s="959"/>
      <c r="AH1087" s="959"/>
      <c r="AI1087" s="959"/>
      <c r="AJ1087" s="959"/>
      <c r="AK1087" s="959"/>
      <c r="AL1087" s="959"/>
      <c r="AM1087" s="959"/>
    </row>
    <row r="1088" spans="3:39" x14ac:dyDescent="0.25">
      <c r="C1088" s="959"/>
      <c r="D1088" s="959"/>
      <c r="E1088" s="959"/>
      <c r="F1088" s="959"/>
      <c r="G1088" s="959"/>
      <c r="H1088" s="959"/>
      <c r="I1088" s="959"/>
      <c r="J1088" s="959"/>
      <c r="K1088" s="959"/>
      <c r="L1088" s="959"/>
      <c r="M1088" s="959"/>
      <c r="N1088" s="959"/>
      <c r="O1088" s="959"/>
      <c r="P1088" s="959"/>
      <c r="Q1088" s="959"/>
      <c r="R1088" s="959"/>
      <c r="S1088" s="959"/>
      <c r="T1088" s="959"/>
      <c r="U1088" s="959"/>
      <c r="V1088" s="959"/>
      <c r="W1088" s="959"/>
      <c r="X1088" s="959"/>
      <c r="Y1088" s="959"/>
      <c r="Z1088" s="959"/>
      <c r="AA1088" s="959"/>
      <c r="AB1088" s="959"/>
      <c r="AC1088" s="959"/>
      <c r="AD1088" s="959"/>
      <c r="AE1088" s="959"/>
      <c r="AF1088" s="959"/>
      <c r="AG1088" s="959"/>
      <c r="AH1088" s="959"/>
      <c r="AI1088" s="959"/>
      <c r="AJ1088" s="959"/>
      <c r="AK1088" s="959"/>
      <c r="AL1088" s="959"/>
      <c r="AM1088" s="959"/>
    </row>
    <row r="1089" spans="3:39" x14ac:dyDescent="0.25">
      <c r="C1089" s="959"/>
      <c r="D1089" s="959"/>
      <c r="E1089" s="959"/>
      <c r="F1089" s="959"/>
      <c r="G1089" s="959"/>
      <c r="H1089" s="959"/>
      <c r="I1089" s="959"/>
      <c r="J1089" s="959"/>
      <c r="K1089" s="959"/>
      <c r="L1089" s="959"/>
      <c r="M1089" s="959"/>
      <c r="N1089" s="959"/>
      <c r="O1089" s="959"/>
      <c r="P1089" s="959"/>
      <c r="Q1089" s="959"/>
      <c r="R1089" s="959"/>
      <c r="S1089" s="959"/>
      <c r="T1089" s="959"/>
      <c r="U1089" s="959"/>
      <c r="V1089" s="959"/>
      <c r="W1089" s="959"/>
      <c r="X1089" s="959"/>
      <c r="Y1089" s="959"/>
      <c r="Z1089" s="959"/>
      <c r="AA1089" s="959"/>
      <c r="AB1089" s="959"/>
      <c r="AC1089" s="959"/>
      <c r="AD1089" s="959"/>
      <c r="AE1089" s="959"/>
      <c r="AF1089" s="959"/>
      <c r="AG1089" s="959"/>
      <c r="AH1089" s="959"/>
      <c r="AI1089" s="959"/>
      <c r="AJ1089" s="959"/>
      <c r="AK1089" s="959"/>
      <c r="AL1089" s="959"/>
      <c r="AM1089" s="959"/>
    </row>
    <row r="1090" spans="3:39" x14ac:dyDescent="0.25">
      <c r="C1090" s="959"/>
      <c r="D1090" s="959"/>
      <c r="E1090" s="959"/>
      <c r="F1090" s="959"/>
      <c r="G1090" s="959"/>
      <c r="H1090" s="959"/>
      <c r="I1090" s="959"/>
      <c r="J1090" s="959"/>
      <c r="K1090" s="959"/>
      <c r="L1090" s="959"/>
      <c r="M1090" s="959"/>
      <c r="N1090" s="959"/>
      <c r="O1090" s="959"/>
      <c r="P1090" s="959"/>
      <c r="Q1090" s="959"/>
      <c r="R1090" s="959"/>
      <c r="S1090" s="959"/>
      <c r="T1090" s="959"/>
      <c r="U1090" s="959"/>
      <c r="V1090" s="959"/>
      <c r="W1090" s="959"/>
      <c r="X1090" s="959"/>
      <c r="Y1090" s="959"/>
      <c r="Z1090" s="959"/>
      <c r="AA1090" s="959"/>
      <c r="AB1090" s="959"/>
      <c r="AC1090" s="959"/>
      <c r="AD1090" s="959"/>
      <c r="AE1090" s="959"/>
      <c r="AF1090" s="959"/>
      <c r="AG1090" s="959"/>
      <c r="AH1090" s="959"/>
      <c r="AI1090" s="959"/>
      <c r="AJ1090" s="959"/>
      <c r="AK1090" s="959"/>
      <c r="AL1090" s="959"/>
      <c r="AM1090" s="959"/>
    </row>
    <row r="1091" spans="3:39" x14ac:dyDescent="0.25">
      <c r="C1091" s="959"/>
      <c r="D1091" s="959"/>
      <c r="E1091" s="959"/>
      <c r="F1091" s="959"/>
      <c r="G1091" s="959"/>
      <c r="H1091" s="959"/>
      <c r="I1091" s="959"/>
      <c r="J1091" s="959"/>
      <c r="K1091" s="959"/>
      <c r="L1091" s="959"/>
      <c r="M1091" s="959"/>
      <c r="N1091" s="959"/>
      <c r="O1091" s="959"/>
      <c r="P1091" s="959"/>
      <c r="Q1091" s="959"/>
      <c r="R1091" s="959"/>
      <c r="S1091" s="959"/>
      <c r="T1091" s="959"/>
      <c r="U1091" s="959"/>
      <c r="V1091" s="959"/>
      <c r="W1091" s="959"/>
      <c r="X1091" s="959"/>
      <c r="Y1091" s="959"/>
      <c r="Z1091" s="959"/>
      <c r="AA1091" s="959"/>
      <c r="AB1091" s="959"/>
      <c r="AC1091" s="959"/>
      <c r="AD1091" s="959"/>
      <c r="AE1091" s="959"/>
      <c r="AF1091" s="959"/>
      <c r="AG1091" s="959"/>
      <c r="AH1091" s="959"/>
      <c r="AI1091" s="959"/>
      <c r="AJ1091" s="959"/>
      <c r="AK1091" s="959"/>
      <c r="AL1091" s="959"/>
      <c r="AM1091" s="959"/>
    </row>
    <row r="1092" spans="3:39" x14ac:dyDescent="0.25">
      <c r="C1092" s="959"/>
      <c r="D1092" s="959"/>
      <c r="E1092" s="959"/>
      <c r="F1092" s="959"/>
      <c r="G1092" s="959"/>
      <c r="H1092" s="959"/>
      <c r="I1092" s="959"/>
      <c r="J1092" s="959"/>
      <c r="K1092" s="959"/>
      <c r="L1092" s="959"/>
      <c r="M1092" s="959"/>
      <c r="N1092" s="959"/>
      <c r="O1092" s="959"/>
      <c r="P1092" s="959"/>
      <c r="Q1092" s="959"/>
      <c r="R1092" s="959"/>
      <c r="S1092" s="959"/>
      <c r="T1092" s="959"/>
      <c r="U1092" s="959"/>
      <c r="V1092" s="959"/>
      <c r="W1092" s="959"/>
      <c r="X1092" s="959"/>
      <c r="Y1092" s="959"/>
      <c r="Z1092" s="959"/>
      <c r="AA1092" s="959"/>
      <c r="AB1092" s="959"/>
      <c r="AC1092" s="959"/>
      <c r="AD1092" s="959"/>
      <c r="AE1092" s="959"/>
      <c r="AF1092" s="959"/>
      <c r="AG1092" s="959"/>
      <c r="AH1092" s="959"/>
      <c r="AI1092" s="959"/>
      <c r="AJ1092" s="959"/>
      <c r="AK1092" s="959"/>
      <c r="AL1092" s="959"/>
      <c r="AM1092" s="959"/>
    </row>
    <row r="1093" spans="3:39" x14ac:dyDescent="0.25">
      <c r="C1093" s="959"/>
      <c r="D1093" s="959"/>
      <c r="E1093" s="959"/>
      <c r="F1093" s="959"/>
      <c r="G1093" s="959"/>
      <c r="H1093" s="959"/>
      <c r="I1093" s="959"/>
      <c r="J1093" s="959"/>
      <c r="K1093" s="959"/>
      <c r="L1093" s="959"/>
      <c r="M1093" s="959"/>
      <c r="N1093" s="959"/>
      <c r="O1093" s="959"/>
      <c r="P1093" s="959"/>
      <c r="Q1093" s="959"/>
      <c r="R1093" s="959"/>
      <c r="S1093" s="959"/>
      <c r="T1093" s="959"/>
      <c r="U1093" s="959"/>
      <c r="V1093" s="959"/>
      <c r="W1093" s="959"/>
      <c r="X1093" s="959"/>
      <c r="Y1093" s="959"/>
      <c r="Z1093" s="959"/>
      <c r="AA1093" s="959"/>
      <c r="AB1093" s="959"/>
      <c r="AC1093" s="959"/>
      <c r="AD1093" s="959"/>
      <c r="AE1093" s="959"/>
      <c r="AF1093" s="959"/>
      <c r="AG1093" s="959"/>
      <c r="AH1093" s="959"/>
      <c r="AI1093" s="959"/>
      <c r="AJ1093" s="959"/>
      <c r="AK1093" s="959"/>
      <c r="AL1093" s="959"/>
      <c r="AM1093" s="959"/>
    </row>
    <row r="1094" spans="3:39" x14ac:dyDescent="0.25">
      <c r="C1094" s="959"/>
      <c r="D1094" s="959"/>
      <c r="E1094" s="959"/>
      <c r="F1094" s="959"/>
      <c r="G1094" s="959"/>
      <c r="H1094" s="959"/>
      <c r="I1094" s="959"/>
      <c r="J1094" s="959"/>
      <c r="K1094" s="959"/>
      <c r="L1094" s="959"/>
      <c r="M1094" s="959"/>
      <c r="N1094" s="959"/>
      <c r="O1094" s="959"/>
      <c r="P1094" s="959"/>
      <c r="Q1094" s="959"/>
      <c r="R1094" s="959"/>
      <c r="S1094" s="959"/>
      <c r="T1094" s="959"/>
      <c r="U1094" s="959"/>
      <c r="V1094" s="959"/>
      <c r="W1094" s="959"/>
      <c r="X1094" s="959"/>
      <c r="Y1094" s="959"/>
      <c r="Z1094" s="959"/>
      <c r="AA1094" s="959"/>
      <c r="AB1094" s="959"/>
      <c r="AC1094" s="959"/>
      <c r="AD1094" s="959"/>
      <c r="AE1094" s="959"/>
      <c r="AF1094" s="959"/>
      <c r="AG1094" s="959"/>
      <c r="AH1094" s="959"/>
      <c r="AI1094" s="959"/>
      <c r="AJ1094" s="959"/>
      <c r="AK1094" s="959"/>
      <c r="AL1094" s="959"/>
      <c r="AM1094" s="959"/>
    </row>
    <row r="1095" spans="3:39" x14ac:dyDescent="0.25">
      <c r="C1095" s="959"/>
      <c r="D1095" s="959"/>
      <c r="E1095" s="959"/>
      <c r="F1095" s="959"/>
      <c r="G1095" s="959"/>
      <c r="H1095" s="959"/>
      <c r="I1095" s="959"/>
      <c r="J1095" s="959"/>
      <c r="K1095" s="959"/>
      <c r="L1095" s="959"/>
      <c r="M1095" s="959"/>
      <c r="N1095" s="959"/>
      <c r="O1095" s="959"/>
      <c r="P1095" s="959"/>
      <c r="Q1095" s="959"/>
      <c r="R1095" s="959"/>
      <c r="S1095" s="959"/>
      <c r="T1095" s="959"/>
      <c r="U1095" s="959"/>
      <c r="V1095" s="959"/>
      <c r="W1095" s="959"/>
      <c r="X1095" s="959"/>
      <c r="Y1095" s="959"/>
      <c r="Z1095" s="959"/>
      <c r="AA1095" s="959"/>
      <c r="AB1095" s="959"/>
      <c r="AC1095" s="959"/>
      <c r="AD1095" s="959"/>
      <c r="AE1095" s="959"/>
      <c r="AF1095" s="959"/>
      <c r="AG1095" s="959"/>
      <c r="AH1095" s="959"/>
      <c r="AI1095" s="959"/>
      <c r="AJ1095" s="959"/>
      <c r="AK1095" s="959"/>
      <c r="AL1095" s="959"/>
      <c r="AM1095" s="959"/>
    </row>
    <row r="1096" spans="3:39" x14ac:dyDescent="0.25">
      <c r="C1096" s="959"/>
      <c r="D1096" s="959"/>
      <c r="E1096" s="959"/>
      <c r="F1096" s="959"/>
      <c r="G1096" s="959"/>
      <c r="H1096" s="959"/>
      <c r="I1096" s="959"/>
      <c r="J1096" s="959"/>
      <c r="K1096" s="959"/>
      <c r="L1096" s="959"/>
      <c r="M1096" s="959"/>
      <c r="N1096" s="959"/>
      <c r="O1096" s="959"/>
      <c r="P1096" s="959"/>
      <c r="Q1096" s="959"/>
      <c r="R1096" s="959"/>
      <c r="S1096" s="959"/>
      <c r="T1096" s="959"/>
      <c r="U1096" s="959"/>
      <c r="V1096" s="959"/>
      <c r="W1096" s="959"/>
      <c r="X1096" s="959"/>
      <c r="Y1096" s="959"/>
      <c r="Z1096" s="959"/>
      <c r="AA1096" s="959"/>
      <c r="AB1096" s="959"/>
      <c r="AC1096" s="959"/>
      <c r="AD1096" s="959"/>
      <c r="AE1096" s="959"/>
      <c r="AF1096" s="959"/>
      <c r="AG1096" s="959"/>
      <c r="AH1096" s="959"/>
      <c r="AI1096" s="959"/>
      <c r="AJ1096" s="959"/>
      <c r="AK1096" s="959"/>
      <c r="AL1096" s="959"/>
      <c r="AM1096" s="959"/>
    </row>
    <row r="1097" spans="3:39" x14ac:dyDescent="0.25">
      <c r="C1097" s="959"/>
      <c r="D1097" s="959"/>
      <c r="E1097" s="959"/>
      <c r="F1097" s="959"/>
      <c r="G1097" s="959"/>
      <c r="H1097" s="959"/>
      <c r="I1097" s="959"/>
      <c r="J1097" s="959"/>
      <c r="K1097" s="959"/>
      <c r="L1097" s="959"/>
      <c r="M1097" s="959"/>
      <c r="N1097" s="959"/>
      <c r="O1097" s="959"/>
      <c r="P1097" s="959"/>
      <c r="Q1097" s="959"/>
      <c r="R1097" s="959"/>
      <c r="S1097" s="959"/>
      <c r="T1097" s="959"/>
      <c r="U1097" s="959"/>
      <c r="V1097" s="959"/>
      <c r="W1097" s="959"/>
      <c r="X1097" s="959"/>
      <c r="Y1097" s="959"/>
      <c r="Z1097" s="959"/>
      <c r="AA1097" s="959"/>
      <c r="AB1097" s="959"/>
      <c r="AC1097" s="959"/>
      <c r="AD1097" s="959"/>
      <c r="AE1097" s="959"/>
      <c r="AF1097" s="959"/>
      <c r="AG1097" s="959"/>
      <c r="AH1097" s="959"/>
      <c r="AI1097" s="959"/>
      <c r="AJ1097" s="959"/>
      <c r="AK1097" s="959"/>
      <c r="AL1097" s="959"/>
      <c r="AM1097" s="959"/>
    </row>
    <row r="1098" spans="3:39" x14ac:dyDescent="0.25">
      <c r="C1098" s="959"/>
      <c r="D1098" s="959"/>
      <c r="E1098" s="959"/>
      <c r="F1098" s="959"/>
      <c r="G1098" s="959"/>
      <c r="H1098" s="959"/>
      <c r="I1098" s="959"/>
      <c r="J1098" s="959"/>
      <c r="K1098" s="959"/>
      <c r="L1098" s="959"/>
      <c r="M1098" s="959"/>
      <c r="N1098" s="959"/>
      <c r="O1098" s="959"/>
      <c r="P1098" s="959"/>
      <c r="Q1098" s="959"/>
      <c r="R1098" s="959"/>
      <c r="S1098" s="959"/>
      <c r="T1098" s="959"/>
      <c r="U1098" s="959"/>
      <c r="V1098" s="959"/>
      <c r="W1098" s="959"/>
      <c r="X1098" s="959"/>
      <c r="Y1098" s="959"/>
      <c r="Z1098" s="959"/>
      <c r="AA1098" s="959"/>
      <c r="AB1098" s="959"/>
      <c r="AC1098" s="959"/>
      <c r="AD1098" s="959"/>
      <c r="AE1098" s="959"/>
      <c r="AF1098" s="959"/>
      <c r="AG1098" s="959"/>
      <c r="AH1098" s="959"/>
      <c r="AI1098" s="959"/>
      <c r="AJ1098" s="959"/>
      <c r="AK1098" s="959"/>
      <c r="AL1098" s="959"/>
      <c r="AM1098" s="959"/>
    </row>
    <row r="1099" spans="3:39" x14ac:dyDescent="0.25">
      <c r="C1099" s="959"/>
      <c r="D1099" s="959"/>
      <c r="E1099" s="959"/>
      <c r="F1099" s="959"/>
      <c r="G1099" s="959"/>
      <c r="H1099" s="959"/>
      <c r="I1099" s="959"/>
      <c r="J1099" s="959"/>
      <c r="K1099" s="959"/>
      <c r="L1099" s="959"/>
      <c r="M1099" s="959"/>
      <c r="N1099" s="959"/>
      <c r="O1099" s="959"/>
      <c r="P1099" s="959"/>
      <c r="Q1099" s="959"/>
      <c r="R1099" s="959"/>
      <c r="S1099" s="959"/>
      <c r="T1099" s="959"/>
      <c r="U1099" s="959"/>
      <c r="V1099" s="959"/>
      <c r="W1099" s="959"/>
      <c r="X1099" s="959"/>
      <c r="Y1099" s="959"/>
      <c r="Z1099" s="959"/>
      <c r="AA1099" s="959"/>
      <c r="AB1099" s="959"/>
      <c r="AC1099" s="959"/>
      <c r="AD1099" s="959"/>
      <c r="AE1099" s="959"/>
      <c r="AF1099" s="959"/>
      <c r="AG1099" s="959"/>
      <c r="AH1099" s="959"/>
      <c r="AI1099" s="959"/>
      <c r="AJ1099" s="959"/>
      <c r="AK1099" s="959"/>
      <c r="AL1099" s="959"/>
      <c r="AM1099" s="959"/>
    </row>
    <row r="1100" spans="3:39" x14ac:dyDescent="0.25">
      <c r="C1100" s="959"/>
      <c r="D1100" s="959"/>
      <c r="E1100" s="959"/>
      <c r="F1100" s="959"/>
      <c r="G1100" s="959"/>
      <c r="H1100" s="959"/>
      <c r="I1100" s="959"/>
      <c r="J1100" s="959"/>
      <c r="K1100" s="959"/>
      <c r="L1100" s="959"/>
      <c r="M1100" s="959"/>
      <c r="N1100" s="959"/>
      <c r="O1100" s="959"/>
      <c r="P1100" s="959"/>
      <c r="Q1100" s="959"/>
      <c r="R1100" s="959"/>
      <c r="S1100" s="959"/>
      <c r="T1100" s="959"/>
      <c r="U1100" s="959"/>
      <c r="V1100" s="959"/>
      <c r="W1100" s="959"/>
      <c r="X1100" s="959"/>
      <c r="Y1100" s="959"/>
      <c r="Z1100" s="959"/>
      <c r="AA1100" s="959"/>
      <c r="AB1100" s="959"/>
      <c r="AC1100" s="959"/>
      <c r="AD1100" s="959"/>
      <c r="AE1100" s="959"/>
      <c r="AF1100" s="959"/>
      <c r="AG1100" s="959"/>
      <c r="AH1100" s="959"/>
      <c r="AI1100" s="959"/>
      <c r="AJ1100" s="959"/>
      <c r="AK1100" s="959"/>
      <c r="AL1100" s="959"/>
      <c r="AM1100" s="959"/>
    </row>
    <row r="1101" spans="3:39" x14ac:dyDescent="0.25">
      <c r="C1101" s="959"/>
      <c r="D1101" s="959"/>
      <c r="E1101" s="959"/>
      <c r="F1101" s="959"/>
      <c r="G1101" s="959"/>
      <c r="H1101" s="959"/>
      <c r="I1101" s="959"/>
      <c r="J1101" s="959"/>
      <c r="K1101" s="959"/>
      <c r="L1101" s="959"/>
      <c r="M1101" s="959"/>
      <c r="N1101" s="959"/>
      <c r="O1101" s="959"/>
      <c r="P1101" s="959"/>
      <c r="Q1101" s="959"/>
      <c r="R1101" s="959"/>
      <c r="S1101" s="959"/>
      <c r="T1101" s="959"/>
      <c r="U1101" s="959"/>
      <c r="V1101" s="959"/>
      <c r="W1101" s="959"/>
      <c r="X1101" s="959"/>
      <c r="Y1101" s="959"/>
      <c r="Z1101" s="959"/>
      <c r="AA1101" s="959"/>
      <c r="AB1101" s="959"/>
      <c r="AC1101" s="959"/>
      <c r="AD1101" s="959"/>
      <c r="AE1101" s="959"/>
      <c r="AF1101" s="959"/>
      <c r="AG1101" s="959"/>
      <c r="AH1101" s="959"/>
      <c r="AI1101" s="959"/>
      <c r="AJ1101" s="959"/>
      <c r="AK1101" s="959"/>
      <c r="AL1101" s="959"/>
      <c r="AM1101" s="959"/>
    </row>
    <row r="1102" spans="3:39" x14ac:dyDescent="0.25">
      <c r="C1102" s="959"/>
      <c r="D1102" s="959"/>
      <c r="E1102" s="959"/>
      <c r="F1102" s="959"/>
      <c r="G1102" s="959"/>
      <c r="H1102" s="959"/>
      <c r="I1102" s="959"/>
      <c r="J1102" s="959"/>
      <c r="K1102" s="959"/>
      <c r="L1102" s="959"/>
      <c r="M1102" s="959"/>
      <c r="N1102" s="959"/>
      <c r="O1102" s="959"/>
      <c r="P1102" s="959"/>
      <c r="Q1102" s="959"/>
      <c r="R1102" s="959"/>
      <c r="S1102" s="959"/>
      <c r="T1102" s="959"/>
      <c r="U1102" s="959"/>
      <c r="V1102" s="959"/>
      <c r="W1102" s="959"/>
      <c r="X1102" s="959"/>
      <c r="Y1102" s="959"/>
      <c r="Z1102" s="959"/>
      <c r="AA1102" s="959"/>
      <c r="AB1102" s="959"/>
      <c r="AC1102" s="959"/>
      <c r="AD1102" s="959"/>
      <c r="AE1102" s="959"/>
      <c r="AF1102" s="959"/>
      <c r="AG1102" s="959"/>
      <c r="AH1102" s="959"/>
      <c r="AI1102" s="959"/>
      <c r="AJ1102" s="959"/>
      <c r="AK1102" s="959"/>
      <c r="AL1102" s="959"/>
      <c r="AM1102" s="959"/>
    </row>
    <row r="1103" spans="3:39" x14ac:dyDescent="0.25">
      <c r="C1103" s="959"/>
      <c r="D1103" s="959"/>
      <c r="E1103" s="959"/>
      <c r="F1103" s="959"/>
      <c r="G1103" s="959"/>
      <c r="H1103" s="959"/>
      <c r="I1103" s="959"/>
      <c r="J1103" s="959"/>
      <c r="K1103" s="959"/>
      <c r="L1103" s="959"/>
      <c r="M1103" s="959"/>
      <c r="N1103" s="959"/>
      <c r="O1103" s="959"/>
      <c r="P1103" s="959"/>
      <c r="Q1103" s="959"/>
      <c r="R1103" s="959"/>
      <c r="S1103" s="959"/>
      <c r="T1103" s="959"/>
      <c r="U1103" s="959"/>
      <c r="V1103" s="959"/>
      <c r="W1103" s="959"/>
      <c r="X1103" s="959"/>
      <c r="Y1103" s="959"/>
      <c r="Z1103" s="959"/>
      <c r="AA1103" s="959"/>
      <c r="AB1103" s="959"/>
      <c r="AC1103" s="959"/>
      <c r="AD1103" s="959"/>
      <c r="AE1103" s="959"/>
      <c r="AF1103" s="959"/>
      <c r="AG1103" s="959"/>
      <c r="AH1103" s="959"/>
      <c r="AI1103" s="959"/>
      <c r="AJ1103" s="959"/>
      <c r="AK1103" s="959"/>
      <c r="AL1103" s="959"/>
      <c r="AM1103" s="959"/>
    </row>
    <row r="1104" spans="3:39" x14ac:dyDescent="0.25">
      <c r="C1104" s="959"/>
      <c r="D1104" s="959"/>
      <c r="E1104" s="959"/>
      <c r="F1104" s="959"/>
      <c r="G1104" s="959"/>
      <c r="H1104" s="959"/>
      <c r="I1104" s="959"/>
      <c r="J1104" s="959"/>
      <c r="K1104" s="959"/>
      <c r="L1104" s="959"/>
      <c r="M1104" s="959"/>
      <c r="N1104" s="959"/>
      <c r="O1104" s="959"/>
      <c r="P1104" s="959"/>
      <c r="Q1104" s="959"/>
      <c r="R1104" s="959"/>
      <c r="S1104" s="959"/>
      <c r="T1104" s="959"/>
      <c r="U1104" s="959"/>
      <c r="V1104" s="959"/>
      <c r="W1104" s="959"/>
      <c r="X1104" s="959"/>
      <c r="Y1104" s="959"/>
      <c r="Z1104" s="959"/>
      <c r="AA1104" s="959"/>
      <c r="AB1104" s="959"/>
      <c r="AC1104" s="959"/>
      <c r="AD1104" s="959"/>
      <c r="AE1104" s="959"/>
      <c r="AF1104" s="959"/>
      <c r="AG1104" s="959"/>
      <c r="AH1104" s="959"/>
      <c r="AI1104" s="959"/>
      <c r="AJ1104" s="959"/>
      <c r="AK1104" s="959"/>
      <c r="AL1104" s="959"/>
      <c r="AM1104" s="959"/>
    </row>
    <row r="1105" spans="3:39" x14ac:dyDescent="0.25">
      <c r="C1105" s="959"/>
      <c r="D1105" s="959"/>
      <c r="E1105" s="959"/>
      <c r="F1105" s="959"/>
      <c r="G1105" s="959"/>
      <c r="H1105" s="959"/>
      <c r="I1105" s="959"/>
      <c r="J1105" s="959"/>
      <c r="K1105" s="959"/>
      <c r="L1105" s="959"/>
      <c r="M1105" s="959"/>
      <c r="N1105" s="959"/>
      <c r="O1105" s="959"/>
      <c r="P1105" s="959"/>
      <c r="Q1105" s="959"/>
      <c r="R1105" s="959"/>
      <c r="S1105" s="959"/>
      <c r="T1105" s="959"/>
      <c r="U1105" s="959"/>
      <c r="V1105" s="959"/>
      <c r="W1105" s="959"/>
      <c r="X1105" s="959"/>
      <c r="Y1105" s="959"/>
      <c r="Z1105" s="959"/>
      <c r="AA1105" s="959"/>
      <c r="AB1105" s="959"/>
      <c r="AC1105" s="959"/>
      <c r="AD1105" s="959"/>
      <c r="AE1105" s="959"/>
      <c r="AF1105" s="959"/>
      <c r="AG1105" s="959"/>
      <c r="AH1105" s="959"/>
      <c r="AI1105" s="959"/>
      <c r="AJ1105" s="959"/>
      <c r="AK1105" s="959"/>
      <c r="AL1105" s="959"/>
      <c r="AM1105" s="959"/>
    </row>
    <row r="1106" spans="3:39" x14ac:dyDescent="0.25">
      <c r="C1106" s="959"/>
      <c r="D1106" s="959"/>
      <c r="E1106" s="959"/>
      <c r="F1106" s="959"/>
      <c r="G1106" s="959"/>
      <c r="H1106" s="959"/>
      <c r="I1106" s="959"/>
      <c r="J1106" s="959"/>
      <c r="K1106" s="959"/>
      <c r="L1106" s="959"/>
      <c r="M1106" s="959"/>
      <c r="N1106" s="959"/>
      <c r="O1106" s="959"/>
      <c r="P1106" s="959"/>
      <c r="Q1106" s="959"/>
      <c r="R1106" s="959"/>
      <c r="S1106" s="959"/>
      <c r="T1106" s="959"/>
      <c r="U1106" s="959"/>
      <c r="V1106" s="959"/>
      <c r="W1106" s="959"/>
      <c r="X1106" s="959"/>
      <c r="Y1106" s="959"/>
      <c r="Z1106" s="959"/>
      <c r="AA1106" s="959"/>
      <c r="AB1106" s="959"/>
      <c r="AC1106" s="959"/>
      <c r="AD1106" s="959"/>
      <c r="AE1106" s="959"/>
      <c r="AF1106" s="959"/>
      <c r="AG1106" s="959"/>
      <c r="AH1106" s="959"/>
      <c r="AI1106" s="959"/>
      <c r="AJ1106" s="959"/>
      <c r="AK1106" s="959"/>
      <c r="AL1106" s="959"/>
      <c r="AM1106" s="959"/>
    </row>
    <row r="1107" spans="3:39" x14ac:dyDescent="0.25">
      <c r="C1107" s="959"/>
      <c r="D1107" s="959"/>
      <c r="E1107" s="959"/>
      <c r="F1107" s="959"/>
      <c r="G1107" s="959"/>
      <c r="H1107" s="959"/>
      <c r="I1107" s="959"/>
      <c r="J1107" s="959"/>
      <c r="K1107" s="959"/>
      <c r="L1107" s="959"/>
      <c r="M1107" s="959"/>
      <c r="N1107" s="959"/>
      <c r="O1107" s="959"/>
      <c r="P1107" s="959"/>
      <c r="Q1107" s="959"/>
      <c r="R1107" s="959"/>
      <c r="S1107" s="959"/>
      <c r="T1107" s="959"/>
      <c r="U1107" s="959"/>
      <c r="V1107" s="959"/>
      <c r="W1107" s="959"/>
      <c r="X1107" s="959"/>
      <c r="Y1107" s="959"/>
      <c r="Z1107" s="959"/>
      <c r="AA1107" s="959"/>
      <c r="AB1107" s="959"/>
      <c r="AC1107" s="959"/>
      <c r="AD1107" s="959"/>
      <c r="AE1107" s="959"/>
      <c r="AF1107" s="959"/>
      <c r="AG1107" s="959"/>
      <c r="AH1107" s="959"/>
      <c r="AI1107" s="959"/>
      <c r="AJ1107" s="959"/>
      <c r="AK1107" s="959"/>
      <c r="AL1107" s="959"/>
      <c r="AM1107" s="959"/>
    </row>
    <row r="1108" spans="3:39" x14ac:dyDescent="0.25">
      <c r="C1108" s="959"/>
      <c r="D1108" s="959"/>
      <c r="E1108" s="959"/>
      <c r="F1108" s="959"/>
      <c r="G1108" s="959"/>
      <c r="H1108" s="959"/>
      <c r="I1108" s="959"/>
      <c r="J1108" s="959"/>
      <c r="K1108" s="959"/>
      <c r="L1108" s="959"/>
      <c r="M1108" s="959"/>
      <c r="N1108" s="959"/>
      <c r="O1108" s="959"/>
      <c r="P1108" s="959"/>
      <c r="Q1108" s="959"/>
      <c r="R1108" s="959"/>
      <c r="S1108" s="959"/>
      <c r="T1108" s="959"/>
      <c r="U1108" s="959"/>
      <c r="V1108" s="959"/>
      <c r="W1108" s="959"/>
      <c r="X1108" s="959"/>
      <c r="Y1108" s="959"/>
      <c r="Z1108" s="959"/>
      <c r="AA1108" s="959"/>
      <c r="AB1108" s="959"/>
      <c r="AC1108" s="959"/>
      <c r="AD1108" s="959"/>
      <c r="AE1108" s="959"/>
      <c r="AF1108" s="959"/>
      <c r="AG1108" s="959"/>
      <c r="AH1108" s="959"/>
      <c r="AI1108" s="959"/>
      <c r="AJ1108" s="959"/>
      <c r="AK1108" s="959"/>
      <c r="AL1108" s="959"/>
      <c r="AM1108" s="959"/>
    </row>
    <row r="1109" spans="3:39" x14ac:dyDescent="0.25">
      <c r="C1109" s="959"/>
      <c r="D1109" s="959"/>
      <c r="E1109" s="959"/>
      <c r="F1109" s="959"/>
      <c r="G1109" s="959"/>
      <c r="H1109" s="959"/>
      <c r="I1109" s="959"/>
      <c r="J1109" s="959"/>
      <c r="K1109" s="959"/>
      <c r="L1109" s="959"/>
      <c r="M1109" s="959"/>
      <c r="N1109" s="959"/>
      <c r="O1109" s="959"/>
      <c r="P1109" s="959"/>
      <c r="Q1109" s="959"/>
      <c r="R1109" s="959"/>
      <c r="S1109" s="959"/>
      <c r="T1109" s="959"/>
      <c r="U1109" s="959"/>
      <c r="V1109" s="959"/>
      <c r="W1109" s="959"/>
      <c r="X1109" s="959"/>
      <c r="Y1109" s="959"/>
      <c r="Z1109" s="959"/>
      <c r="AA1109" s="959"/>
      <c r="AB1109" s="959"/>
      <c r="AC1109" s="959"/>
      <c r="AD1109" s="959"/>
      <c r="AE1109" s="959"/>
      <c r="AF1109" s="959"/>
      <c r="AG1109" s="959"/>
      <c r="AH1109" s="959"/>
      <c r="AI1109" s="959"/>
      <c r="AJ1109" s="959"/>
      <c r="AK1109" s="959"/>
      <c r="AL1109" s="959"/>
      <c r="AM1109" s="959"/>
    </row>
    <row r="1110" spans="3:39" x14ac:dyDescent="0.25">
      <c r="C1110" s="959"/>
      <c r="D1110" s="959"/>
      <c r="E1110" s="959"/>
      <c r="F1110" s="959"/>
      <c r="G1110" s="959"/>
      <c r="H1110" s="959"/>
      <c r="I1110" s="959"/>
      <c r="J1110" s="959"/>
      <c r="K1110" s="959"/>
      <c r="L1110" s="959"/>
      <c r="M1110" s="959"/>
      <c r="N1110" s="959"/>
      <c r="O1110" s="959"/>
      <c r="P1110" s="959"/>
      <c r="Q1110" s="959"/>
      <c r="R1110" s="959"/>
      <c r="S1110" s="959"/>
      <c r="T1110" s="959"/>
      <c r="U1110" s="959"/>
      <c r="V1110" s="959"/>
      <c r="W1110" s="959"/>
      <c r="X1110" s="959"/>
      <c r="Y1110" s="959"/>
      <c r="Z1110" s="959"/>
      <c r="AA1110" s="959"/>
      <c r="AB1110" s="959"/>
      <c r="AC1110" s="959"/>
      <c r="AD1110" s="959"/>
      <c r="AE1110" s="959"/>
      <c r="AF1110" s="959"/>
      <c r="AG1110" s="959"/>
      <c r="AH1110" s="959"/>
      <c r="AI1110" s="959"/>
      <c r="AJ1110" s="959"/>
      <c r="AK1110" s="959"/>
      <c r="AL1110" s="959"/>
      <c r="AM1110" s="959"/>
    </row>
    <row r="1111" spans="3:39" x14ac:dyDescent="0.25">
      <c r="C1111" s="959"/>
      <c r="D1111" s="959"/>
      <c r="E1111" s="959"/>
      <c r="F1111" s="959"/>
      <c r="G1111" s="959"/>
      <c r="H1111" s="959"/>
      <c r="I1111" s="959"/>
      <c r="J1111" s="959"/>
      <c r="K1111" s="959"/>
      <c r="L1111" s="959"/>
      <c r="M1111" s="959"/>
      <c r="N1111" s="959"/>
      <c r="O1111" s="959"/>
      <c r="P1111" s="959"/>
      <c r="Q1111" s="959"/>
      <c r="R1111" s="959"/>
      <c r="S1111" s="959"/>
      <c r="T1111" s="959"/>
      <c r="U1111" s="959"/>
      <c r="V1111" s="959"/>
      <c r="W1111" s="959"/>
      <c r="X1111" s="959"/>
      <c r="Y1111" s="959"/>
      <c r="Z1111" s="959"/>
      <c r="AA1111" s="959"/>
      <c r="AB1111" s="959"/>
      <c r="AC1111" s="959"/>
      <c r="AD1111" s="959"/>
      <c r="AE1111" s="959"/>
      <c r="AF1111" s="959"/>
      <c r="AG1111" s="959"/>
      <c r="AH1111" s="959"/>
      <c r="AI1111" s="959"/>
      <c r="AJ1111" s="959"/>
      <c r="AK1111" s="959"/>
      <c r="AL1111" s="959"/>
      <c r="AM1111" s="959"/>
    </row>
    <row r="1112" spans="3:39" x14ac:dyDescent="0.25">
      <c r="C1112" s="959"/>
      <c r="D1112" s="959"/>
      <c r="E1112" s="959"/>
      <c r="F1112" s="959"/>
      <c r="G1112" s="959"/>
      <c r="H1112" s="959"/>
      <c r="I1112" s="959"/>
      <c r="J1112" s="959"/>
      <c r="K1112" s="959"/>
      <c r="L1112" s="959"/>
      <c r="M1112" s="959"/>
      <c r="N1112" s="959"/>
      <c r="O1112" s="959"/>
      <c r="P1112" s="959"/>
      <c r="Q1112" s="959"/>
      <c r="R1112" s="959"/>
      <c r="S1112" s="959"/>
      <c r="T1112" s="959"/>
      <c r="U1112" s="959"/>
      <c r="V1112" s="959"/>
      <c r="W1112" s="959"/>
      <c r="X1112" s="959"/>
      <c r="Y1112" s="959"/>
      <c r="Z1112" s="959"/>
      <c r="AA1112" s="959"/>
      <c r="AB1112" s="959"/>
      <c r="AC1112" s="959"/>
      <c r="AD1112" s="959"/>
      <c r="AE1112" s="959"/>
      <c r="AF1112" s="959"/>
      <c r="AG1112" s="959"/>
      <c r="AH1112" s="959"/>
      <c r="AI1112" s="959"/>
      <c r="AJ1112" s="959"/>
      <c r="AK1112" s="959"/>
      <c r="AL1112" s="959"/>
      <c r="AM1112" s="959"/>
    </row>
    <row r="1113" spans="3:39" x14ac:dyDescent="0.25">
      <c r="C1113" s="959"/>
      <c r="D1113" s="959"/>
      <c r="E1113" s="959"/>
      <c r="F1113" s="959"/>
      <c r="G1113" s="959"/>
      <c r="H1113" s="959"/>
      <c r="I1113" s="959"/>
      <c r="J1113" s="959"/>
      <c r="K1113" s="959"/>
      <c r="L1113" s="959"/>
      <c r="M1113" s="959"/>
      <c r="N1113" s="959"/>
      <c r="O1113" s="959"/>
      <c r="P1113" s="959"/>
      <c r="Q1113" s="959"/>
      <c r="R1113" s="959"/>
      <c r="S1113" s="959"/>
      <c r="T1113" s="959"/>
      <c r="U1113" s="959"/>
      <c r="V1113" s="959"/>
      <c r="W1113" s="959"/>
      <c r="X1113" s="959"/>
      <c r="Y1113" s="959"/>
      <c r="Z1113" s="959"/>
      <c r="AA1113" s="959"/>
      <c r="AB1113" s="959"/>
      <c r="AC1113" s="959"/>
      <c r="AD1113" s="959"/>
      <c r="AE1113" s="959"/>
      <c r="AF1113" s="959"/>
      <c r="AG1113" s="959"/>
      <c r="AH1113" s="959"/>
      <c r="AI1113" s="959"/>
      <c r="AJ1113" s="959"/>
      <c r="AK1113" s="959"/>
      <c r="AL1113" s="959"/>
      <c r="AM1113" s="959"/>
    </row>
    <row r="1114" spans="3:39" x14ac:dyDescent="0.25">
      <c r="C1114" s="959"/>
      <c r="D1114" s="959"/>
      <c r="E1114" s="959"/>
      <c r="F1114" s="959"/>
      <c r="G1114" s="959"/>
      <c r="H1114" s="959"/>
      <c r="I1114" s="959"/>
      <c r="J1114" s="959"/>
      <c r="K1114" s="959"/>
      <c r="L1114" s="959"/>
      <c r="M1114" s="959"/>
      <c r="N1114" s="959"/>
      <c r="O1114" s="959"/>
      <c r="P1114" s="959"/>
      <c r="Q1114" s="959"/>
      <c r="R1114" s="959"/>
      <c r="S1114" s="959"/>
      <c r="T1114" s="959"/>
      <c r="U1114" s="959"/>
      <c r="V1114" s="959"/>
      <c r="W1114" s="959"/>
      <c r="X1114" s="959"/>
      <c r="Y1114" s="959"/>
      <c r="Z1114" s="959"/>
      <c r="AA1114" s="959"/>
      <c r="AB1114" s="959"/>
      <c r="AC1114" s="959"/>
      <c r="AD1114" s="959"/>
      <c r="AE1114" s="959"/>
      <c r="AF1114" s="959"/>
      <c r="AG1114" s="959"/>
      <c r="AH1114" s="959"/>
      <c r="AI1114" s="959"/>
      <c r="AJ1114" s="959"/>
      <c r="AK1114" s="959"/>
      <c r="AL1114" s="959"/>
      <c r="AM1114" s="959"/>
    </row>
    <row r="1115" spans="3:39" x14ac:dyDescent="0.25">
      <c r="C1115" s="959"/>
      <c r="D1115" s="959"/>
      <c r="E1115" s="959"/>
      <c r="F1115" s="959"/>
      <c r="G1115" s="959"/>
      <c r="H1115" s="959"/>
      <c r="I1115" s="959"/>
      <c r="J1115" s="959"/>
      <c r="K1115" s="959"/>
      <c r="L1115" s="959"/>
      <c r="M1115" s="959"/>
      <c r="N1115" s="959"/>
      <c r="O1115" s="959"/>
      <c r="P1115" s="959"/>
      <c r="Q1115" s="959"/>
      <c r="R1115" s="959"/>
      <c r="S1115" s="959"/>
      <c r="T1115" s="959"/>
      <c r="U1115" s="959"/>
      <c r="V1115" s="959"/>
      <c r="W1115" s="959"/>
      <c r="X1115" s="959"/>
      <c r="Y1115" s="959"/>
      <c r="Z1115" s="959"/>
      <c r="AA1115" s="959"/>
      <c r="AB1115" s="959"/>
      <c r="AC1115" s="959"/>
      <c r="AD1115" s="959"/>
      <c r="AE1115" s="959"/>
      <c r="AF1115" s="959"/>
      <c r="AG1115" s="959"/>
      <c r="AH1115" s="959"/>
      <c r="AI1115" s="959"/>
      <c r="AJ1115" s="959"/>
      <c r="AK1115" s="959"/>
      <c r="AL1115" s="959"/>
      <c r="AM1115" s="959"/>
    </row>
    <row r="1116" spans="3:39" x14ac:dyDescent="0.25">
      <c r="C1116" s="959"/>
      <c r="D1116" s="959"/>
      <c r="E1116" s="959"/>
      <c r="F1116" s="959"/>
      <c r="G1116" s="959"/>
      <c r="H1116" s="959"/>
      <c r="I1116" s="959"/>
      <c r="J1116" s="959"/>
      <c r="K1116" s="959"/>
      <c r="L1116" s="959"/>
      <c r="M1116" s="959"/>
      <c r="N1116" s="959"/>
      <c r="O1116" s="959"/>
      <c r="P1116" s="959"/>
      <c r="Q1116" s="959"/>
      <c r="R1116" s="959"/>
      <c r="S1116" s="959"/>
      <c r="T1116" s="959"/>
      <c r="U1116" s="959"/>
      <c r="V1116" s="959"/>
      <c r="W1116" s="959"/>
      <c r="X1116" s="959"/>
      <c r="Y1116" s="959"/>
      <c r="Z1116" s="959"/>
      <c r="AA1116" s="959"/>
      <c r="AB1116" s="959"/>
      <c r="AC1116" s="959"/>
      <c r="AD1116" s="959"/>
      <c r="AE1116" s="959"/>
      <c r="AF1116" s="959"/>
      <c r="AG1116" s="959"/>
      <c r="AH1116" s="959"/>
      <c r="AI1116" s="959"/>
      <c r="AJ1116" s="959"/>
      <c r="AK1116" s="959"/>
      <c r="AL1116" s="959"/>
      <c r="AM1116" s="959"/>
    </row>
    <row r="1117" spans="3:39" x14ac:dyDescent="0.25">
      <c r="C1117" s="959"/>
      <c r="D1117" s="959"/>
      <c r="E1117" s="959"/>
      <c r="F1117" s="959"/>
      <c r="G1117" s="959"/>
      <c r="H1117" s="959"/>
      <c r="I1117" s="959"/>
      <c r="J1117" s="959"/>
      <c r="K1117" s="959"/>
      <c r="L1117" s="959"/>
      <c r="M1117" s="959"/>
      <c r="N1117" s="959"/>
      <c r="O1117" s="959"/>
      <c r="P1117" s="959"/>
      <c r="Q1117" s="959"/>
      <c r="R1117" s="959"/>
      <c r="S1117" s="959"/>
      <c r="T1117" s="959"/>
      <c r="U1117" s="959"/>
      <c r="V1117" s="959"/>
      <c r="W1117" s="959"/>
      <c r="X1117" s="959"/>
      <c r="Y1117" s="959"/>
      <c r="Z1117" s="959"/>
      <c r="AA1117" s="959"/>
      <c r="AB1117" s="959"/>
      <c r="AC1117" s="959"/>
      <c r="AD1117" s="959"/>
      <c r="AE1117" s="959"/>
      <c r="AF1117" s="959"/>
      <c r="AG1117" s="959"/>
      <c r="AH1117" s="959"/>
      <c r="AI1117" s="959"/>
      <c r="AJ1117" s="959"/>
      <c r="AK1117" s="959"/>
      <c r="AL1117" s="959"/>
      <c r="AM1117" s="959"/>
    </row>
    <row r="1118" spans="3:39" x14ac:dyDescent="0.25">
      <c r="C1118" s="959"/>
      <c r="D1118" s="959"/>
      <c r="E1118" s="959"/>
      <c r="F1118" s="959"/>
      <c r="G1118" s="959"/>
      <c r="H1118" s="959"/>
      <c r="I1118" s="959"/>
      <c r="J1118" s="959"/>
      <c r="K1118" s="959"/>
      <c r="L1118" s="959"/>
      <c r="M1118" s="959"/>
      <c r="N1118" s="959"/>
      <c r="O1118" s="959"/>
      <c r="P1118" s="959"/>
      <c r="Q1118" s="959"/>
      <c r="R1118" s="959"/>
      <c r="S1118" s="959"/>
      <c r="T1118" s="959"/>
      <c r="U1118" s="959"/>
      <c r="V1118" s="959"/>
      <c r="W1118" s="959"/>
      <c r="X1118" s="959"/>
      <c r="Y1118" s="959"/>
      <c r="Z1118" s="959"/>
      <c r="AA1118" s="959"/>
      <c r="AB1118" s="959"/>
      <c r="AC1118" s="959"/>
      <c r="AD1118" s="959"/>
      <c r="AE1118" s="959"/>
      <c r="AF1118" s="959"/>
      <c r="AG1118" s="959"/>
      <c r="AH1118" s="959"/>
      <c r="AI1118" s="959"/>
      <c r="AJ1118" s="959"/>
      <c r="AK1118" s="959"/>
      <c r="AL1118" s="959"/>
      <c r="AM1118" s="959"/>
    </row>
    <row r="1119" spans="3:39" x14ac:dyDescent="0.25">
      <c r="C1119" s="959"/>
      <c r="D1119" s="959"/>
      <c r="E1119" s="959"/>
      <c r="F1119" s="959"/>
      <c r="G1119" s="959"/>
      <c r="H1119" s="959"/>
      <c r="I1119" s="959"/>
      <c r="J1119" s="959"/>
      <c r="K1119" s="959"/>
      <c r="L1119" s="959"/>
      <c r="M1119" s="959"/>
      <c r="N1119" s="959"/>
      <c r="O1119" s="959"/>
      <c r="P1119" s="959"/>
      <c r="Q1119" s="959"/>
      <c r="R1119" s="959"/>
      <c r="S1119" s="959"/>
      <c r="T1119" s="959"/>
      <c r="U1119" s="959"/>
      <c r="V1119" s="959"/>
      <c r="W1119" s="959"/>
      <c r="X1119" s="959"/>
      <c r="Y1119" s="959"/>
      <c r="Z1119" s="959"/>
      <c r="AA1119" s="959"/>
      <c r="AB1119" s="959"/>
      <c r="AC1119" s="959"/>
      <c r="AD1119" s="959"/>
      <c r="AE1119" s="959"/>
      <c r="AF1119" s="959"/>
      <c r="AG1119" s="959"/>
      <c r="AH1119" s="959"/>
      <c r="AI1119" s="959"/>
      <c r="AJ1119" s="959"/>
      <c r="AK1119" s="959"/>
      <c r="AL1119" s="959"/>
      <c r="AM1119" s="959"/>
    </row>
    <row r="1120" spans="3:39" x14ac:dyDescent="0.25">
      <c r="C1120" s="959"/>
      <c r="D1120" s="959"/>
      <c r="E1120" s="959"/>
      <c r="F1120" s="959"/>
      <c r="G1120" s="959"/>
      <c r="H1120" s="959"/>
      <c r="I1120" s="959"/>
      <c r="J1120" s="959"/>
      <c r="K1120" s="959"/>
      <c r="L1120" s="959"/>
      <c r="M1120" s="959"/>
      <c r="N1120" s="959"/>
      <c r="O1120" s="959"/>
      <c r="P1120" s="959"/>
      <c r="Q1120" s="959"/>
      <c r="R1120" s="959"/>
      <c r="S1120" s="959"/>
      <c r="T1120" s="959"/>
      <c r="U1120" s="959"/>
      <c r="V1120" s="959"/>
      <c r="W1120" s="959"/>
      <c r="X1120" s="959"/>
      <c r="Y1120" s="959"/>
      <c r="Z1120" s="959"/>
      <c r="AA1120" s="959"/>
      <c r="AB1120" s="959"/>
      <c r="AC1120" s="959"/>
      <c r="AD1120" s="959"/>
      <c r="AE1120" s="959"/>
      <c r="AF1120" s="959"/>
      <c r="AG1120" s="959"/>
      <c r="AH1120" s="959"/>
      <c r="AI1120" s="959"/>
      <c r="AJ1120" s="959"/>
      <c r="AK1120" s="959"/>
      <c r="AL1120" s="959"/>
      <c r="AM1120" s="959"/>
    </row>
    <row r="1121" spans="3:39" x14ac:dyDescent="0.25">
      <c r="C1121" s="959"/>
      <c r="D1121" s="959"/>
      <c r="E1121" s="959"/>
      <c r="F1121" s="959"/>
      <c r="G1121" s="959"/>
      <c r="H1121" s="959"/>
      <c r="I1121" s="959"/>
      <c r="J1121" s="959"/>
      <c r="K1121" s="959"/>
      <c r="L1121" s="959"/>
      <c r="M1121" s="959"/>
      <c r="N1121" s="959"/>
      <c r="O1121" s="959"/>
      <c r="P1121" s="959"/>
      <c r="Q1121" s="959"/>
      <c r="R1121" s="959"/>
      <c r="S1121" s="959"/>
      <c r="T1121" s="959"/>
      <c r="U1121" s="959"/>
      <c r="V1121" s="959"/>
      <c r="W1121" s="959"/>
      <c r="X1121" s="959"/>
      <c r="Y1121" s="959"/>
      <c r="Z1121" s="959"/>
      <c r="AA1121" s="959"/>
      <c r="AB1121" s="959"/>
      <c r="AC1121" s="959"/>
      <c r="AD1121" s="959"/>
      <c r="AE1121" s="959"/>
      <c r="AF1121" s="959"/>
      <c r="AG1121" s="959"/>
      <c r="AH1121" s="959"/>
      <c r="AI1121" s="959"/>
      <c r="AJ1121" s="959"/>
      <c r="AK1121" s="959"/>
      <c r="AL1121" s="959"/>
      <c r="AM1121" s="959"/>
    </row>
    <row r="1122" spans="3:39" x14ac:dyDescent="0.25">
      <c r="C1122" s="959"/>
      <c r="D1122" s="959"/>
      <c r="E1122" s="959"/>
      <c r="F1122" s="959"/>
      <c r="G1122" s="959"/>
      <c r="H1122" s="959"/>
      <c r="I1122" s="959"/>
      <c r="J1122" s="959"/>
      <c r="K1122" s="959"/>
      <c r="L1122" s="959"/>
      <c r="M1122" s="959"/>
      <c r="N1122" s="959"/>
      <c r="O1122" s="959"/>
      <c r="P1122" s="959"/>
      <c r="Q1122" s="959"/>
      <c r="R1122" s="959"/>
      <c r="S1122" s="959"/>
      <c r="T1122" s="959"/>
      <c r="U1122" s="959"/>
      <c r="V1122" s="959"/>
      <c r="W1122" s="959"/>
      <c r="X1122" s="959"/>
      <c r="Y1122" s="959"/>
      <c r="Z1122" s="959"/>
      <c r="AA1122" s="959"/>
      <c r="AB1122" s="959"/>
      <c r="AC1122" s="959"/>
      <c r="AD1122" s="959"/>
      <c r="AE1122" s="959"/>
      <c r="AF1122" s="959"/>
      <c r="AG1122" s="959"/>
      <c r="AH1122" s="959"/>
      <c r="AI1122" s="959"/>
      <c r="AJ1122" s="959"/>
      <c r="AK1122" s="959"/>
      <c r="AL1122" s="959"/>
      <c r="AM1122" s="959"/>
    </row>
    <row r="1123" spans="3:39" x14ac:dyDescent="0.25">
      <c r="C1123" s="959"/>
      <c r="D1123" s="959"/>
      <c r="E1123" s="959"/>
      <c r="F1123" s="959"/>
      <c r="G1123" s="959"/>
      <c r="H1123" s="959"/>
      <c r="I1123" s="959"/>
      <c r="J1123" s="959"/>
      <c r="K1123" s="959"/>
      <c r="L1123" s="959"/>
      <c r="M1123" s="959"/>
      <c r="N1123" s="959"/>
      <c r="O1123" s="959"/>
      <c r="P1123" s="959"/>
      <c r="Q1123" s="959"/>
      <c r="R1123" s="959"/>
      <c r="S1123" s="959"/>
      <c r="T1123" s="959"/>
      <c r="U1123" s="959"/>
      <c r="V1123" s="959"/>
      <c r="W1123" s="959"/>
      <c r="X1123" s="959"/>
      <c r="Y1123" s="959"/>
      <c r="Z1123" s="959"/>
      <c r="AA1123" s="959"/>
      <c r="AB1123" s="959"/>
      <c r="AC1123" s="959"/>
      <c r="AD1123" s="959"/>
      <c r="AE1123" s="959"/>
      <c r="AF1123" s="959"/>
      <c r="AG1123" s="959"/>
      <c r="AH1123" s="959"/>
      <c r="AI1123" s="959"/>
      <c r="AJ1123" s="959"/>
      <c r="AK1123" s="959"/>
      <c r="AL1123" s="959"/>
      <c r="AM1123" s="959"/>
    </row>
    <row r="1124" spans="3:39" x14ac:dyDescent="0.25">
      <c r="C1124" s="959"/>
      <c r="D1124" s="959"/>
      <c r="E1124" s="959"/>
      <c r="F1124" s="959"/>
      <c r="G1124" s="959"/>
      <c r="H1124" s="959"/>
      <c r="I1124" s="959"/>
      <c r="J1124" s="959"/>
      <c r="K1124" s="959"/>
      <c r="L1124" s="959"/>
      <c r="M1124" s="959"/>
      <c r="N1124" s="959"/>
      <c r="O1124" s="959"/>
      <c r="P1124" s="959"/>
      <c r="Q1124" s="959"/>
      <c r="R1124" s="959"/>
      <c r="S1124" s="959"/>
      <c r="T1124" s="959"/>
      <c r="U1124" s="959"/>
      <c r="V1124" s="959"/>
      <c r="W1124" s="959"/>
      <c r="X1124" s="959"/>
      <c r="Y1124" s="959"/>
      <c r="Z1124" s="959"/>
      <c r="AA1124" s="959"/>
      <c r="AB1124" s="959"/>
      <c r="AC1124" s="959"/>
      <c r="AD1124" s="959"/>
      <c r="AE1124" s="959"/>
      <c r="AF1124" s="959"/>
      <c r="AG1124" s="959"/>
      <c r="AH1124" s="959"/>
      <c r="AI1124" s="959"/>
      <c r="AJ1124" s="959"/>
      <c r="AK1124" s="959"/>
      <c r="AL1124" s="959"/>
      <c r="AM1124" s="959"/>
    </row>
    <row r="1125" spans="3:39" x14ac:dyDescent="0.25">
      <c r="C1125" s="959"/>
      <c r="D1125" s="959"/>
      <c r="E1125" s="959"/>
      <c r="F1125" s="959"/>
      <c r="G1125" s="959"/>
      <c r="H1125" s="959"/>
      <c r="I1125" s="959"/>
      <c r="J1125" s="959"/>
      <c r="K1125" s="959"/>
      <c r="L1125" s="959"/>
      <c r="M1125" s="959"/>
      <c r="N1125" s="959"/>
      <c r="O1125" s="959"/>
      <c r="P1125" s="959"/>
      <c r="Q1125" s="959"/>
      <c r="R1125" s="959"/>
      <c r="S1125" s="959"/>
      <c r="T1125" s="959"/>
      <c r="U1125" s="959"/>
      <c r="V1125" s="959"/>
      <c r="W1125" s="959"/>
      <c r="X1125" s="959"/>
      <c r="Y1125" s="959"/>
      <c r="Z1125" s="959"/>
      <c r="AA1125" s="959"/>
      <c r="AB1125" s="959"/>
      <c r="AC1125" s="959"/>
      <c r="AD1125" s="959"/>
      <c r="AE1125" s="959"/>
      <c r="AF1125" s="959"/>
      <c r="AG1125" s="959"/>
      <c r="AH1125" s="959"/>
      <c r="AI1125" s="959"/>
      <c r="AJ1125" s="959"/>
      <c r="AK1125" s="959"/>
      <c r="AL1125" s="959"/>
      <c r="AM1125" s="959"/>
    </row>
    <row r="1126" spans="3:39" x14ac:dyDescent="0.25">
      <c r="C1126" s="959"/>
      <c r="D1126" s="959"/>
      <c r="E1126" s="959"/>
      <c r="F1126" s="959"/>
      <c r="G1126" s="959"/>
      <c r="H1126" s="959"/>
      <c r="I1126" s="959"/>
      <c r="J1126" s="959"/>
      <c r="K1126" s="959"/>
      <c r="L1126" s="959"/>
      <c r="M1126" s="959"/>
      <c r="N1126" s="959"/>
      <c r="O1126" s="959"/>
      <c r="P1126" s="959"/>
      <c r="Q1126" s="959"/>
      <c r="R1126" s="959"/>
      <c r="S1126" s="959"/>
      <c r="T1126" s="959"/>
      <c r="U1126" s="959"/>
      <c r="V1126" s="959"/>
      <c r="W1126" s="959"/>
      <c r="X1126" s="959"/>
      <c r="Y1126" s="959"/>
      <c r="Z1126" s="959"/>
      <c r="AA1126" s="959"/>
      <c r="AB1126" s="959"/>
      <c r="AC1126" s="959"/>
      <c r="AD1126" s="959"/>
      <c r="AE1126" s="959"/>
      <c r="AF1126" s="959"/>
      <c r="AG1126" s="959"/>
      <c r="AH1126" s="959"/>
      <c r="AI1126" s="959"/>
      <c r="AJ1126" s="959"/>
      <c r="AK1126" s="959"/>
      <c r="AL1126" s="959"/>
      <c r="AM1126" s="959"/>
    </row>
    <row r="1127" spans="3:39" x14ac:dyDescent="0.25">
      <c r="C1127" s="959"/>
      <c r="D1127" s="959"/>
      <c r="E1127" s="959"/>
      <c r="F1127" s="959"/>
      <c r="G1127" s="959"/>
      <c r="H1127" s="959"/>
      <c r="I1127" s="959"/>
      <c r="J1127" s="959"/>
      <c r="K1127" s="959"/>
      <c r="L1127" s="959"/>
      <c r="M1127" s="959"/>
      <c r="N1127" s="959"/>
      <c r="O1127" s="959"/>
      <c r="P1127" s="959"/>
      <c r="Q1127" s="959"/>
      <c r="R1127" s="959"/>
      <c r="S1127" s="959"/>
      <c r="T1127" s="959"/>
      <c r="U1127" s="959"/>
      <c r="V1127" s="959"/>
      <c r="W1127" s="959"/>
      <c r="X1127" s="959"/>
      <c r="Y1127" s="959"/>
      <c r="Z1127" s="959"/>
      <c r="AA1127" s="959"/>
      <c r="AB1127" s="959"/>
      <c r="AC1127" s="959"/>
      <c r="AD1127" s="959"/>
      <c r="AE1127" s="959"/>
      <c r="AF1127" s="959"/>
      <c r="AG1127" s="959"/>
      <c r="AH1127" s="959"/>
      <c r="AI1127" s="959"/>
      <c r="AJ1127" s="959"/>
      <c r="AK1127" s="959"/>
      <c r="AL1127" s="959"/>
      <c r="AM1127" s="959"/>
    </row>
    <row r="1128" spans="3:39" x14ac:dyDescent="0.25">
      <c r="C1128" s="959"/>
      <c r="D1128" s="959"/>
      <c r="E1128" s="959"/>
      <c r="F1128" s="959"/>
      <c r="G1128" s="959"/>
      <c r="H1128" s="959"/>
      <c r="I1128" s="959"/>
      <c r="J1128" s="959"/>
      <c r="K1128" s="959"/>
      <c r="L1128" s="959"/>
      <c r="M1128" s="959"/>
      <c r="N1128" s="959"/>
      <c r="O1128" s="959"/>
      <c r="P1128" s="959"/>
      <c r="Q1128" s="959"/>
      <c r="R1128" s="959"/>
      <c r="S1128" s="959"/>
      <c r="T1128" s="959"/>
      <c r="U1128" s="959"/>
      <c r="V1128" s="959"/>
      <c r="W1128" s="959"/>
      <c r="X1128" s="959"/>
      <c r="Y1128" s="959"/>
      <c r="Z1128" s="959"/>
      <c r="AA1128" s="959"/>
      <c r="AB1128" s="959"/>
      <c r="AC1128" s="959"/>
      <c r="AD1128" s="959"/>
      <c r="AE1128" s="959"/>
      <c r="AF1128" s="959"/>
      <c r="AG1128" s="959"/>
      <c r="AH1128" s="959"/>
      <c r="AI1128" s="959"/>
      <c r="AJ1128" s="959"/>
      <c r="AK1128" s="959"/>
      <c r="AL1128" s="959"/>
      <c r="AM1128" s="959"/>
    </row>
    <row r="1129" spans="3:39" x14ac:dyDescent="0.25">
      <c r="C1129" s="959"/>
      <c r="D1129" s="959"/>
      <c r="E1129" s="959"/>
      <c r="F1129" s="959"/>
      <c r="G1129" s="959"/>
      <c r="H1129" s="959"/>
      <c r="I1129" s="959"/>
      <c r="J1129" s="959"/>
      <c r="K1129" s="959"/>
      <c r="L1129" s="959"/>
      <c r="M1129" s="959"/>
      <c r="N1129" s="959"/>
      <c r="O1129" s="959"/>
      <c r="P1129" s="959"/>
      <c r="Q1129" s="959"/>
      <c r="R1129" s="959"/>
      <c r="S1129" s="959"/>
      <c r="T1129" s="959"/>
      <c r="U1129" s="959"/>
      <c r="V1129" s="959"/>
      <c r="W1129" s="959"/>
      <c r="X1129" s="959"/>
      <c r="Y1129" s="959"/>
      <c r="Z1129" s="959"/>
      <c r="AA1129" s="959"/>
      <c r="AB1129" s="959"/>
      <c r="AC1129" s="959"/>
      <c r="AD1129" s="959"/>
      <c r="AE1129" s="959"/>
      <c r="AF1129" s="959"/>
      <c r="AG1129" s="959"/>
      <c r="AH1129" s="959"/>
      <c r="AI1129" s="959"/>
      <c r="AJ1129" s="959"/>
      <c r="AK1129" s="959"/>
      <c r="AL1129" s="959"/>
      <c r="AM1129" s="959"/>
    </row>
  </sheetData>
  <pageMargins left="0.3" right="0.3" top="0.3" bottom="0.3" header="0.3" footer="0.3"/>
  <pageSetup scale="32" fitToHeight="0" orientation="landscape" r:id="rId1"/>
  <headerFooter>
    <oddFooter>Page &amp;P</oddFooter>
  </headerFooter>
  <rowBreaks count="3" manualBreakCount="3">
    <brk id="117" max="38" man="1"/>
    <brk id="156" max="38" man="1"/>
    <brk id="212" max="38" man="1"/>
  </rowBreaks>
  <colBreaks count="1" manualBreakCount="1">
    <brk id="39" max="1048575" man="1"/>
  </col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6EF4-0637-4A03-8C0D-B3640C81D455}">
  <sheetPr>
    <pageSetUpPr fitToPage="1"/>
  </sheetPr>
  <dimension ref="A1:BB228"/>
  <sheetViews>
    <sheetView view="pageBreakPreview" zoomScale="70" zoomScaleNormal="55" zoomScaleSheetLayoutView="70" workbookViewId="0">
      <pane xSplit="1" ySplit="5" topLeftCell="B6" activePane="bottomRight" state="frozen"/>
      <selection pane="topRight" activeCell="C6" sqref="C6"/>
      <selection pane="bottomLeft" activeCell="C6" sqref="C6"/>
      <selection pane="bottomRight" activeCell="C6" sqref="C6"/>
    </sheetView>
  </sheetViews>
  <sheetFormatPr defaultColWidth="8.7265625" defaultRowHeight="12.5" outlineLevelCol="1" x14ac:dyDescent="0.25"/>
  <cols>
    <col min="1" max="1" width="25.54296875" style="132" customWidth="1"/>
    <col min="2" max="2" width="2.1796875" style="132" customWidth="1"/>
    <col min="3" max="6" width="9.7265625" style="132" hidden="1" customWidth="1" outlineLevel="1"/>
    <col min="7" max="7" width="9.7265625" style="132" customWidth="1" collapsed="1"/>
    <col min="8" max="25" width="9.7265625" style="132" customWidth="1"/>
    <col min="26" max="26" width="8.7265625" style="132"/>
    <col min="27" max="42" width="8.7265625" style="132" hidden="1" customWidth="1" outlineLevel="1"/>
    <col min="43" max="43" width="9.7265625" style="132" customWidth="1" collapsed="1"/>
    <col min="44" max="46" width="9.7265625" style="132" customWidth="1"/>
    <col min="47" max="47" width="11.1796875" style="132" bestFit="1" customWidth="1"/>
    <col min="48" max="16384" width="8.7265625" style="132"/>
  </cols>
  <sheetData>
    <row r="1" spans="1:54" ht="13" x14ac:dyDescent="0.3">
      <c r="A1" s="132" t="s">
        <v>568</v>
      </c>
      <c r="AS1" s="400"/>
      <c r="AT1" s="400"/>
      <c r="AU1" s="400">
        <f t="shared" ref="AU1" ca="1" si="0">TODAY()</f>
        <v>45797</v>
      </c>
      <c r="AV1" s="400"/>
    </row>
    <row r="2" spans="1:54" ht="13" x14ac:dyDescent="0.3">
      <c r="A2" s="163" t="s">
        <v>331</v>
      </c>
      <c r="B2" s="163"/>
      <c r="AS2" s="401"/>
      <c r="AT2" s="401"/>
      <c r="AU2" s="401"/>
    </row>
    <row r="3" spans="1:54" s="378" customFormat="1" ht="13" x14ac:dyDescent="0.3">
      <c r="A3" s="402" t="s">
        <v>6</v>
      </c>
      <c r="B3" s="402"/>
    </row>
    <row r="4" spans="1:54" ht="13" x14ac:dyDescent="0.3">
      <c r="C4" s="403" t="s">
        <v>7</v>
      </c>
      <c r="D4" s="404"/>
      <c r="E4" s="404"/>
      <c r="F4" s="404"/>
      <c r="G4" s="403" t="s">
        <v>7</v>
      </c>
      <c r="H4" s="404"/>
      <c r="I4" s="404"/>
      <c r="J4" s="404"/>
      <c r="K4" s="403"/>
      <c r="L4" s="403"/>
      <c r="M4" s="403"/>
      <c r="N4" s="403"/>
      <c r="O4" s="403"/>
      <c r="P4" s="403"/>
      <c r="Q4" s="403"/>
      <c r="R4" s="403"/>
      <c r="S4" s="403"/>
      <c r="T4" s="403"/>
      <c r="U4" s="403"/>
      <c r="V4" s="403"/>
      <c r="W4" s="403"/>
      <c r="X4" s="403"/>
      <c r="Y4" s="403"/>
      <c r="Z4" s="585"/>
      <c r="AA4" s="585"/>
      <c r="AB4" s="585"/>
      <c r="AC4" s="585"/>
      <c r="AD4" s="585"/>
      <c r="AE4" s="585"/>
      <c r="AF4" s="585"/>
      <c r="AG4" s="585"/>
      <c r="AH4" s="585"/>
      <c r="AI4" s="585"/>
      <c r="AJ4" s="585"/>
      <c r="AK4" s="585"/>
      <c r="AL4" s="585"/>
      <c r="AM4" s="585"/>
      <c r="AN4" s="585"/>
      <c r="AO4" s="585"/>
      <c r="AP4" s="585"/>
      <c r="AQ4" s="403" t="s">
        <v>7</v>
      </c>
      <c r="AR4" s="404"/>
      <c r="AS4" s="404"/>
      <c r="AT4" s="404"/>
      <c r="AU4" s="404"/>
    </row>
    <row r="5" spans="1:54" ht="16" x14ac:dyDescent="0.6">
      <c r="C5" s="405" t="s">
        <v>86</v>
      </c>
      <c r="D5" s="405" t="s">
        <v>87</v>
      </c>
      <c r="E5" s="405" t="s">
        <v>88</v>
      </c>
      <c r="F5" s="406" t="s">
        <v>89</v>
      </c>
      <c r="G5" s="405" t="s">
        <v>90</v>
      </c>
      <c r="H5" s="405" t="s">
        <v>91</v>
      </c>
      <c r="I5" s="405" t="s">
        <v>92</v>
      </c>
      <c r="J5" s="406" t="s">
        <v>93</v>
      </c>
      <c r="K5" s="405" t="s">
        <v>94</v>
      </c>
      <c r="L5" s="405" t="s">
        <v>95</v>
      </c>
      <c r="M5" s="405" t="s">
        <v>96</v>
      </c>
      <c r="N5" s="406" t="s">
        <v>97</v>
      </c>
      <c r="O5" s="405" t="s">
        <v>98</v>
      </c>
      <c r="P5" s="405" t="s">
        <v>99</v>
      </c>
      <c r="Q5" s="405" t="s">
        <v>100</v>
      </c>
      <c r="R5" s="406" t="s">
        <v>101</v>
      </c>
      <c r="S5" s="405" t="s">
        <v>102</v>
      </c>
      <c r="T5" s="405" t="s">
        <v>103</v>
      </c>
      <c r="U5" s="405" t="s">
        <v>104</v>
      </c>
      <c r="V5" s="406" t="s">
        <v>105</v>
      </c>
      <c r="W5" s="405" t="s">
        <v>106</v>
      </c>
      <c r="X5" s="405" t="s">
        <v>107</v>
      </c>
      <c r="Y5" s="405" t="s">
        <v>108</v>
      </c>
      <c r="Z5" s="585"/>
      <c r="AA5" s="585"/>
      <c r="AB5" s="585"/>
      <c r="AC5" s="585"/>
      <c r="AD5" s="585"/>
      <c r="AE5" s="585"/>
      <c r="AF5" s="585"/>
      <c r="AG5" s="585"/>
      <c r="AH5" s="585"/>
      <c r="AI5" s="585"/>
      <c r="AJ5" s="585"/>
      <c r="AK5" s="585"/>
      <c r="AL5" s="585"/>
      <c r="AM5" s="405" t="s">
        <v>332</v>
      </c>
      <c r="AN5" s="405" t="s">
        <v>333</v>
      </c>
      <c r="AO5" s="405" t="s">
        <v>334</v>
      </c>
      <c r="AP5" s="405" t="s">
        <v>114</v>
      </c>
      <c r="AQ5" s="405" t="s">
        <v>115</v>
      </c>
      <c r="AR5" s="405" t="s">
        <v>116</v>
      </c>
      <c r="AS5" s="405" t="s">
        <v>117</v>
      </c>
      <c r="AT5" s="405" t="s">
        <v>118</v>
      </c>
      <c r="AU5" s="405" t="s">
        <v>119</v>
      </c>
    </row>
    <row r="6" spans="1:54" ht="13" x14ac:dyDescent="0.3">
      <c r="A6" s="569" t="s">
        <v>335</v>
      </c>
      <c r="B6" s="570"/>
      <c r="F6" s="407"/>
      <c r="J6" s="407"/>
      <c r="L6" s="566"/>
      <c r="M6" s="566"/>
      <c r="N6" s="581"/>
      <c r="O6" s="566"/>
      <c r="P6" s="566"/>
      <c r="Q6" s="566"/>
      <c r="R6" s="581"/>
      <c r="S6" s="566"/>
      <c r="T6" s="566"/>
      <c r="U6" s="566"/>
      <c r="V6" s="581"/>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row>
    <row r="7" spans="1:54" ht="13" x14ac:dyDescent="0.3">
      <c r="A7" s="163"/>
      <c r="B7" s="682"/>
      <c r="C7" s="571"/>
      <c r="D7" s="571"/>
      <c r="E7" s="571"/>
      <c r="F7" s="666"/>
      <c r="G7" s="667"/>
      <c r="H7" s="667"/>
      <c r="I7" s="667"/>
      <c r="J7" s="666"/>
      <c r="K7" s="667"/>
      <c r="L7" s="583"/>
      <c r="M7" s="583"/>
      <c r="N7" s="588"/>
      <c r="O7" s="583"/>
      <c r="P7" s="583"/>
      <c r="Q7" s="583"/>
      <c r="R7" s="588"/>
      <c r="S7" s="583"/>
      <c r="T7" s="583"/>
      <c r="U7" s="583"/>
      <c r="V7" s="58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6"/>
      <c r="AW7" s="566"/>
      <c r="AX7" s="566"/>
      <c r="AY7" s="566"/>
      <c r="AZ7" s="566"/>
      <c r="BA7" s="566"/>
      <c r="BB7" s="566"/>
    </row>
    <row r="8" spans="1:54" ht="13" x14ac:dyDescent="0.3">
      <c r="A8" s="132" t="str">
        <f>+'STER Detailed Disclosure'!A8</f>
        <v>Revenues</v>
      </c>
      <c r="B8" s="682"/>
      <c r="C8" s="568"/>
      <c r="D8" s="568"/>
      <c r="E8" s="568">
        <f>+'STER Detailed Disclosure'!E8/1000</f>
        <v>132.76499999999999</v>
      </c>
      <c r="F8" s="588">
        <f>+'STER Detailed Disclosure'!F8/1000</f>
        <v>121.429</v>
      </c>
      <c r="G8" s="583">
        <f>+'STER Detailed Disclosure'!G8/1000</f>
        <v>119.376</v>
      </c>
      <c r="H8" s="583">
        <f>+'STER Detailed Disclosure'!H8/1000</f>
        <v>88.570999999999998</v>
      </c>
      <c r="I8" s="583">
        <f>+'STER Detailed Disclosure'!I8/1000</f>
        <v>117.602</v>
      </c>
      <c r="J8" s="588">
        <f>+'STER Detailed Disclosure'!J8/1000</f>
        <v>128.50299999999999</v>
      </c>
      <c r="K8" s="583">
        <f>+'STER Detailed Disclosure'!K8/1000</f>
        <v>139.37</v>
      </c>
      <c r="L8" s="583">
        <f>+'STER Detailed Disclosure'!L8/1000</f>
        <v>159.328</v>
      </c>
      <c r="M8" s="583">
        <f>+'STER Detailed Disclosure'!M8/1000</f>
        <v>169.55699999999999</v>
      </c>
      <c r="N8" s="588">
        <f>+'STER Detailed Disclosure'!N8/1000</f>
        <v>173.62899999999999</v>
      </c>
      <c r="O8" s="583">
        <f>+'STER Detailed Disclosure'!O8/1000</f>
        <v>191.97200000000001</v>
      </c>
      <c r="P8" s="583">
        <f>+'STER Detailed Disclosure'!P8/1000</f>
        <v>205.59100000000001</v>
      </c>
      <c r="Q8" s="583">
        <f>+'STER Detailed Disclosure'!Q8/1000</f>
        <v>199.29900000000001</v>
      </c>
      <c r="R8" s="588">
        <f>+'STER Detailed Disclosure'!R8/1000</f>
        <v>169.92</v>
      </c>
      <c r="S8" s="583">
        <f>+'STER Detailed Disclosure'!S8/1000</f>
        <v>179.274</v>
      </c>
      <c r="T8" s="583">
        <f>+'STER Detailed Disclosure'!T8/1000</f>
        <v>190.38399999999999</v>
      </c>
      <c r="U8" s="583">
        <f>+'STER Detailed Disclosure'!U8/1000</f>
        <v>180.566</v>
      </c>
      <c r="V8" s="588">
        <f>+'STER Detailed Disclosure'!V8/1000</f>
        <v>169.41599999999994</v>
      </c>
      <c r="W8" s="568">
        <f>+'STER Detailed Disclosure'!W8/1000</f>
        <v>185.999</v>
      </c>
      <c r="X8" s="568">
        <f>+'STER Detailed Disclosure'!X8/1000</f>
        <v>200.52799999999999</v>
      </c>
      <c r="Y8" s="568">
        <v>195.5</v>
      </c>
      <c r="Z8" s="568"/>
      <c r="AA8" s="568"/>
      <c r="AB8" s="568"/>
      <c r="AC8" s="568"/>
      <c r="AD8" s="568"/>
      <c r="AE8" s="568"/>
      <c r="AF8" s="568"/>
      <c r="AG8" s="568"/>
      <c r="AH8" s="568"/>
      <c r="AI8" s="568"/>
      <c r="AJ8" s="568"/>
      <c r="AK8" s="568"/>
      <c r="AL8" s="568"/>
      <c r="AM8" s="568"/>
      <c r="AN8" s="568"/>
      <c r="AO8" s="568"/>
      <c r="AP8" s="568"/>
      <c r="AQ8" s="568">
        <f>+'STER Detailed Disclosure'!AQ8/1000</f>
        <v>497.11599999999999</v>
      </c>
      <c r="AR8" s="568">
        <f>+'STER Detailed Disclosure'!AR8/1000</f>
        <v>454.053</v>
      </c>
      <c r="AS8" s="568">
        <f>+'STER Detailed Disclosure'!AS8/1000</f>
        <v>641.88400000000001</v>
      </c>
      <c r="AT8" s="568">
        <f>+'STER Detailed Disclosure'!AT8/1000</f>
        <v>766.78200000000004</v>
      </c>
      <c r="AU8" s="568">
        <f>+'STER Detailed Disclosure'!AU8/1000</f>
        <v>719.64</v>
      </c>
      <c r="AV8" s="566"/>
      <c r="AW8" s="566"/>
      <c r="AX8" s="566"/>
      <c r="AY8" s="566"/>
      <c r="AZ8" s="566"/>
      <c r="BA8" s="566"/>
      <c r="BB8" s="566"/>
    </row>
    <row r="9" spans="1:54" ht="13" x14ac:dyDescent="0.3">
      <c r="B9" s="682"/>
      <c r="C9" s="568"/>
      <c r="D9" s="568"/>
      <c r="E9" s="568"/>
      <c r="F9" s="588"/>
      <c r="G9" s="583"/>
      <c r="H9" s="583"/>
      <c r="I9" s="583"/>
      <c r="J9" s="588"/>
      <c r="K9" s="583"/>
      <c r="L9" s="583"/>
      <c r="M9" s="583"/>
      <c r="N9" s="588"/>
      <c r="O9" s="583"/>
      <c r="P9" s="583"/>
      <c r="Q9" s="583"/>
      <c r="R9" s="588"/>
      <c r="S9" s="583"/>
      <c r="T9" s="583"/>
      <c r="U9" s="583"/>
      <c r="V9" s="58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6"/>
      <c r="AW9" s="566"/>
      <c r="AX9" s="566"/>
      <c r="AY9" s="566"/>
      <c r="AZ9" s="566"/>
      <c r="BA9" s="566"/>
      <c r="BB9" s="566"/>
    </row>
    <row r="10" spans="1:54" ht="13" x14ac:dyDescent="0.3">
      <c r="A10" s="565" t="s">
        <v>339</v>
      </c>
      <c r="B10" s="682"/>
      <c r="C10" s="568"/>
      <c r="D10" s="568"/>
      <c r="E10" s="568"/>
      <c r="F10" s="588"/>
      <c r="G10" s="583"/>
      <c r="H10" s="583"/>
      <c r="I10" s="583"/>
      <c r="J10" s="588"/>
      <c r="K10" s="583"/>
      <c r="L10" s="583"/>
      <c r="M10" s="583"/>
      <c r="N10" s="588"/>
      <c r="O10" s="583"/>
      <c r="P10" s="583"/>
      <c r="Q10" s="583"/>
      <c r="R10" s="588"/>
      <c r="S10" s="583"/>
      <c r="T10" s="583"/>
      <c r="U10" s="583"/>
      <c r="V10" s="58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8"/>
      <c r="AS10" s="568"/>
      <c r="AT10" s="568"/>
      <c r="AU10" s="568"/>
      <c r="AV10" s="566"/>
      <c r="AW10" s="566"/>
      <c r="AX10" s="566"/>
      <c r="AY10" s="566"/>
      <c r="AZ10" s="566"/>
      <c r="BA10" s="566"/>
      <c r="BB10" s="566"/>
    </row>
    <row r="11" spans="1:54" x14ac:dyDescent="0.25">
      <c r="A11" s="649" t="str">
        <f>+'STER Detailed Disclosure'!A10</f>
        <v>Cost of revenues (exclusive of depreciation and amortization below)</v>
      </c>
      <c r="B11" s="571"/>
      <c r="C11" s="571"/>
      <c r="D11" s="571"/>
      <c r="E11" s="571"/>
      <c r="F11" s="666"/>
      <c r="G11" s="667"/>
      <c r="H11" s="667"/>
      <c r="I11" s="667">
        <f>+'STER Detailed Disclosure'!I10/1000</f>
        <v>55.112000000000002</v>
      </c>
      <c r="J11" s="666"/>
      <c r="K11" s="667">
        <f>+'STER Detailed Disclosure'!K10/1000</f>
        <v>67.578999999999994</v>
      </c>
      <c r="L11" s="667">
        <f>+'STER Detailed Disclosure'!L10/1000</f>
        <v>75.58099999999996</v>
      </c>
      <c r="M11" s="667">
        <f>+'STER Detailed Disclosure'!M10/1000</f>
        <v>82.638000000000005</v>
      </c>
      <c r="N11" s="666">
        <f>+'STER Detailed Disclosure'!N10/1000</f>
        <v>87.356999999999999</v>
      </c>
      <c r="O11" s="667">
        <f>+'STER Detailed Disclosure'!O10/1000</f>
        <v>100.956</v>
      </c>
      <c r="P11" s="667">
        <f>+'STER Detailed Disclosure'!P10/1000</f>
        <v>107.57599999999999</v>
      </c>
      <c r="Q11" s="667">
        <f>+'STER Detailed Disclosure'!Q10/1000</f>
        <v>106.422</v>
      </c>
      <c r="R11" s="666">
        <f>+'STER Detailed Disclosure'!R10/1000</f>
        <v>92.728999999999999</v>
      </c>
      <c r="S11" s="667">
        <f>+'STER Detailed Disclosure'!S10/1000</f>
        <v>94.754000000000005</v>
      </c>
      <c r="T11" s="667">
        <f>+'STER Detailed Disclosure'!T10/1000</f>
        <v>102.056</v>
      </c>
      <c r="U11" s="667">
        <f>+'STER Detailed Disclosure'!U10/1000</f>
        <v>95.882000000000005</v>
      </c>
      <c r="V11" s="666">
        <f>+'STER Detailed Disclosure'!V10/1000</f>
        <v>91.961000000000013</v>
      </c>
      <c r="W11" s="571">
        <f>+'STER Detailed Disclosure'!W10/1000</f>
        <v>104.041</v>
      </c>
      <c r="X11" s="571">
        <f>+'STER Detailed Disclosure'!X10/1000</f>
        <v>110.85899999999999</v>
      </c>
      <c r="Y11" s="2283"/>
      <c r="Z11" s="571"/>
      <c r="AA11" s="571"/>
      <c r="AB11" s="571"/>
      <c r="AC11" s="571"/>
      <c r="AD11" s="571"/>
      <c r="AE11" s="571"/>
      <c r="AF11" s="571"/>
      <c r="AG11" s="571"/>
      <c r="AH11" s="571"/>
      <c r="AI11" s="571"/>
      <c r="AJ11" s="571"/>
      <c r="AK11" s="571"/>
      <c r="AL11" s="571"/>
      <c r="AM11" s="571"/>
      <c r="AN11" s="571"/>
      <c r="AO11" s="571"/>
      <c r="AP11" s="571"/>
      <c r="AQ11" s="571">
        <f>+'STER Detailed Disclosure'!AQ10/1000</f>
        <v>221.34700000000001</v>
      </c>
      <c r="AR11" s="571">
        <f>+'STER Detailed Disclosure'!AR10/1000</f>
        <v>217.31</v>
      </c>
      <c r="AS11" s="571">
        <f>+'STER Detailed Disclosure'!AS10/1000</f>
        <v>313.15499999999997</v>
      </c>
      <c r="AT11" s="571">
        <f>+'STER Detailed Disclosure'!AT10/1000</f>
        <v>407.68299999999999</v>
      </c>
      <c r="AU11" s="571">
        <f>+'STER Detailed Disclosure'!AU10/1000</f>
        <v>384.65300000000002</v>
      </c>
    </row>
    <row r="12" spans="1:54" x14ac:dyDescent="0.25">
      <c r="A12" s="649" t="str">
        <f>+'STER Detailed Disclosure'!A11</f>
        <v>Corporate technology and production systems</v>
      </c>
      <c r="B12" s="571"/>
      <c r="C12" s="571"/>
      <c r="D12" s="571"/>
      <c r="E12" s="571"/>
      <c r="F12" s="666"/>
      <c r="G12" s="667"/>
      <c r="H12" s="667"/>
      <c r="I12" s="667">
        <f>+'STER Detailed Disclosure'!I11/1000</f>
        <v>10.842000000000001</v>
      </c>
      <c r="J12" s="666"/>
      <c r="K12" s="667">
        <f>+'STER Detailed Disclosure'!K11/1000</f>
        <v>10.353</v>
      </c>
      <c r="L12" s="667">
        <f>+'STER Detailed Disclosure'!L11/1000</f>
        <v>9.9979999999999993</v>
      </c>
      <c r="M12" s="667">
        <f>+'STER Detailed Disclosure'!M11/1000</f>
        <v>12.084</v>
      </c>
      <c r="N12" s="666">
        <f>+'STER Detailed Disclosure'!N11/1000</f>
        <v>11.888</v>
      </c>
      <c r="O12" s="667">
        <f>+'STER Detailed Disclosure'!O11/1000</f>
        <v>12.552</v>
      </c>
      <c r="P12" s="667">
        <f>+'STER Detailed Disclosure'!P11/1000</f>
        <v>12.539</v>
      </c>
      <c r="Q12" s="667">
        <f>+'STER Detailed Disclosure'!Q11/1000</f>
        <v>13.715</v>
      </c>
      <c r="R12" s="666">
        <f>+'STER Detailed Disclosure'!R11/1000</f>
        <v>11.680999999999999</v>
      </c>
      <c r="S12" s="667">
        <f>+'STER Detailed Disclosure'!S11/1000</f>
        <v>11.952</v>
      </c>
      <c r="T12" s="667">
        <f>+'STER Detailed Disclosure'!T11/1000</f>
        <v>11.428000000000001</v>
      </c>
      <c r="U12" s="667">
        <f>+'STER Detailed Disclosure'!U11/1000</f>
        <v>11.329000000000001</v>
      </c>
      <c r="V12" s="666">
        <f>+'STER Detailed Disclosure'!V11/1000</f>
        <v>9.705999999999996</v>
      </c>
      <c r="W12" s="571">
        <f>+'STER Detailed Disclosure'!W11/1000</f>
        <v>13.214</v>
      </c>
      <c r="X12" s="571">
        <f>+'STER Detailed Disclosure'!X11/1000</f>
        <v>12.755000000000001</v>
      </c>
      <c r="Y12" s="2283"/>
      <c r="Z12" s="571"/>
      <c r="AA12" s="571"/>
      <c r="AB12" s="571"/>
      <c r="AC12" s="571"/>
      <c r="AD12" s="571"/>
      <c r="AE12" s="571"/>
      <c r="AF12" s="571"/>
      <c r="AG12" s="571"/>
      <c r="AH12" s="571"/>
      <c r="AI12" s="571"/>
      <c r="AJ12" s="571"/>
      <c r="AK12" s="571"/>
      <c r="AL12" s="571"/>
      <c r="AM12" s="571"/>
      <c r="AN12" s="571"/>
      <c r="AO12" s="571"/>
      <c r="AP12" s="571"/>
      <c r="AQ12" s="571">
        <f>+'STER Detailed Disclosure'!AQ11/1000</f>
        <v>44.923000000000002</v>
      </c>
      <c r="AR12" s="571">
        <f>+'STER Detailed Disclosure'!AR11/1000</f>
        <v>44.295999999999999</v>
      </c>
      <c r="AS12" s="571">
        <f>+'STER Detailed Disclosure'!AS11/1000</f>
        <v>44.323</v>
      </c>
      <c r="AT12" s="571">
        <f>+'STER Detailed Disclosure'!AT11/1000</f>
        <v>50.487000000000002</v>
      </c>
      <c r="AU12" s="571">
        <f>+'STER Detailed Disclosure'!AU11/1000</f>
        <v>44.414999999999999</v>
      </c>
    </row>
    <row r="13" spans="1:54" x14ac:dyDescent="0.25">
      <c r="A13" s="649" t="str">
        <f>+'STER Detailed Disclosure'!A12</f>
        <v>Selling, general and administrative</v>
      </c>
      <c r="B13" s="571"/>
      <c r="C13" s="571"/>
      <c r="D13" s="571"/>
      <c r="E13" s="571"/>
      <c r="F13" s="666"/>
      <c r="G13" s="667"/>
      <c r="H13" s="667"/>
      <c r="I13" s="667">
        <f>+'STER Detailed Disclosure'!I12/1000</f>
        <v>25.390999999999998</v>
      </c>
      <c r="J13" s="666"/>
      <c r="K13" s="667">
        <f>+'STER Detailed Disclosure'!K12/1000</f>
        <v>29.606000000000002</v>
      </c>
      <c r="L13" s="667">
        <f>+'STER Detailed Disclosure'!L12/1000</f>
        <v>38.60499999999999</v>
      </c>
      <c r="M13" s="667">
        <f>+'STER Detailed Disclosure'!M12/1000</f>
        <v>84.983000000000004</v>
      </c>
      <c r="N13" s="666">
        <f>+'STER Detailed Disclosure'!N12/1000</f>
        <v>45.506</v>
      </c>
      <c r="O13" s="667">
        <f>+'STER Detailed Disclosure'!O12/1000</f>
        <v>42.332999999999998</v>
      </c>
      <c r="P13" s="667">
        <f>+'STER Detailed Disclosure'!P12/1000</f>
        <v>41.886000000000003</v>
      </c>
      <c r="Q13" s="667">
        <f>+'STER Detailed Disclosure'!Q12/1000</f>
        <v>42.411000000000001</v>
      </c>
      <c r="R13" s="666">
        <f>+'STER Detailed Disclosure'!R12/1000</f>
        <v>48.829000000000001</v>
      </c>
      <c r="S13" s="667">
        <f>+'STER Detailed Disclosure'!S12/1000</f>
        <v>47.451000000000001</v>
      </c>
      <c r="T13" s="667">
        <f>+'STER Detailed Disclosure'!T12/1000</f>
        <v>44.91</v>
      </c>
      <c r="U13" s="667">
        <f>+'STER Detailed Disclosure'!U12/1000</f>
        <v>42.381999999999998</v>
      </c>
      <c r="V13" s="666">
        <f>+'STER Detailed Disclosure'!V12/1000</f>
        <v>39.012</v>
      </c>
      <c r="W13" s="571">
        <f>+'STER Detailed Disclosure'!W12/1000</f>
        <v>59.89</v>
      </c>
      <c r="X13" s="571">
        <f>+'STER Detailed Disclosure'!X12/1000</f>
        <v>50.378999999999998</v>
      </c>
      <c r="Y13" s="2283"/>
      <c r="Z13" s="571"/>
      <c r="AA13" s="571"/>
      <c r="AB13" s="571"/>
      <c r="AC13" s="571"/>
      <c r="AD13" s="571"/>
      <c r="AE13" s="571"/>
      <c r="AF13" s="571"/>
      <c r="AG13" s="571"/>
      <c r="AH13" s="571"/>
      <c r="AI13" s="571"/>
      <c r="AJ13" s="571"/>
      <c r="AK13" s="571"/>
      <c r="AL13" s="571"/>
      <c r="AM13" s="571"/>
      <c r="AN13" s="571"/>
      <c r="AO13" s="571"/>
      <c r="AP13" s="571"/>
      <c r="AQ13" s="571">
        <f>+'STER Detailed Disclosure'!AQ12/1000</f>
        <v>147.19800000000001</v>
      </c>
      <c r="AR13" s="571">
        <f>+'STER Detailed Disclosure'!AR12/1000</f>
        <v>122.554</v>
      </c>
      <c r="AS13" s="571">
        <f>+'STER Detailed Disclosure'!AS12/1000</f>
        <v>198.7</v>
      </c>
      <c r="AT13" s="571">
        <f>+'STER Detailed Disclosure'!AT12/1000</f>
        <v>175.459</v>
      </c>
      <c r="AU13" s="571">
        <f>+'STER Detailed Disclosure'!AU12/1000</f>
        <v>173.755</v>
      </c>
    </row>
    <row r="14" spans="1:54" x14ac:dyDescent="0.25">
      <c r="A14" s="649" t="str">
        <f>+'STER Detailed Disclosure'!A13</f>
        <v>Depreciation and amortization</v>
      </c>
      <c r="B14" s="571"/>
      <c r="C14" s="571"/>
      <c r="D14" s="571"/>
      <c r="E14" s="571"/>
      <c r="F14" s="666"/>
      <c r="G14" s="667"/>
      <c r="H14" s="667"/>
      <c r="I14" s="667">
        <f>+'STER Detailed Disclosure'!I13/1000</f>
        <v>22.863</v>
      </c>
      <c r="J14" s="666"/>
      <c r="K14" s="667">
        <f>+'STER Detailed Disclosure'!K13/1000</f>
        <v>20.548999999999999</v>
      </c>
      <c r="L14" s="667">
        <f>+'STER Detailed Disclosure'!L13/1000</f>
        <v>20.297999999999998</v>
      </c>
      <c r="M14" s="667">
        <f>+'STER Detailed Disclosure'!M13/1000</f>
        <v>20.346</v>
      </c>
      <c r="N14" s="666">
        <f>+'STER Detailed Disclosure'!N13/1000</f>
        <v>20.870999999999999</v>
      </c>
      <c r="O14" s="667">
        <f>+'STER Detailed Disclosure'!O13/1000</f>
        <v>20.155999999999999</v>
      </c>
      <c r="P14" s="667">
        <f>+'STER Detailed Disclosure'!P13/1000</f>
        <v>19.872</v>
      </c>
      <c r="Q14" s="667">
        <f>+'STER Detailed Disclosure'!Q13/1000</f>
        <v>16.57</v>
      </c>
      <c r="R14" s="666">
        <f>+'STER Detailed Disclosure'!R13/1000</f>
        <v>16.542000000000002</v>
      </c>
      <c r="S14" s="667">
        <f>+'STER Detailed Disclosure'!S13/1000</f>
        <v>15.122</v>
      </c>
      <c r="T14" s="667">
        <f>+'STER Detailed Disclosure'!T13/1000</f>
        <v>16.12</v>
      </c>
      <c r="U14" s="667">
        <f>+'STER Detailed Disclosure'!U13/1000</f>
        <v>15.875</v>
      </c>
      <c r="V14" s="666">
        <f>+'STER Detailed Disclosure'!V13/1000</f>
        <v>15.735999999999997</v>
      </c>
      <c r="W14" s="571">
        <f>+'STER Detailed Disclosure'!W13/1000</f>
        <v>15.77</v>
      </c>
      <c r="X14" s="571">
        <f>+'STER Detailed Disclosure'!X13/1000</f>
        <v>15.82</v>
      </c>
      <c r="Y14" s="2283"/>
      <c r="Z14" s="571"/>
      <c r="AA14" s="571"/>
      <c r="AB14" s="571"/>
      <c r="AC14" s="571"/>
      <c r="AD14" s="571"/>
      <c r="AE14" s="571"/>
      <c r="AF14" s="571"/>
      <c r="AG14" s="571"/>
      <c r="AH14" s="571"/>
      <c r="AI14" s="571"/>
      <c r="AJ14" s="571"/>
      <c r="AK14" s="571"/>
      <c r="AL14" s="571"/>
      <c r="AM14" s="571"/>
      <c r="AN14" s="571"/>
      <c r="AO14" s="571"/>
      <c r="AP14" s="571"/>
      <c r="AQ14" s="571">
        <f>+'STER Detailed Disclosure'!AQ13/1000</f>
        <v>93.802000000000007</v>
      </c>
      <c r="AR14" s="571">
        <f>+'STER Detailed Disclosure'!AR13/1000</f>
        <v>91.198999999999998</v>
      </c>
      <c r="AS14" s="571">
        <f>+'STER Detailed Disclosure'!AS13/1000</f>
        <v>82.063999999999993</v>
      </c>
      <c r="AT14" s="571">
        <f>+'STER Detailed Disclosure'!AT13/1000</f>
        <v>73.14</v>
      </c>
      <c r="AU14" s="571">
        <f>+'STER Detailed Disclosure'!AU13/1000</f>
        <v>62.853000000000002</v>
      </c>
    </row>
    <row r="15" spans="1:54" s="413" customFormat="1" ht="14" x14ac:dyDescent="0.4">
      <c r="A15" s="132" t="str">
        <f>+'STER Detailed Disclosure'!A14</f>
        <v>Impairments and disposals of long-lived assets</v>
      </c>
      <c r="B15" s="614"/>
      <c r="C15" s="719"/>
      <c r="D15" s="719"/>
      <c r="E15" s="719"/>
      <c r="F15" s="718"/>
      <c r="G15" s="719"/>
      <c r="H15" s="719"/>
      <c r="I15" s="719">
        <f>+'STER Detailed Disclosure'!I14/1000</f>
        <v>0.621</v>
      </c>
      <c r="J15" s="718"/>
      <c r="K15" s="719">
        <f>+'STER Detailed Disclosure'!K14/1000</f>
        <v>2.8759999999999999</v>
      </c>
      <c r="L15" s="719">
        <f>+'STER Detailed Disclosure'!L14/1000</f>
        <v>4.9000000000000099E-2</v>
      </c>
      <c r="M15" s="719">
        <f>+'STER Detailed Disclosure'!M14/1000</f>
        <v>1.4999999999999999E-2</v>
      </c>
      <c r="N15" s="718">
        <f>+'STER Detailed Disclosure'!N14/1000</f>
        <v>0.33400000000000002</v>
      </c>
      <c r="O15" s="719">
        <f>+'STER Detailed Disclosure'!O14/1000</f>
        <v>0</v>
      </c>
      <c r="P15" s="719">
        <f>+'STER Detailed Disclosure'!P14/1000</f>
        <v>0.61199999999999999</v>
      </c>
      <c r="Q15" s="719">
        <f>+'STER Detailed Disclosure'!Q14/1000</f>
        <v>0.193</v>
      </c>
      <c r="R15" s="718">
        <f>+'STER Detailed Disclosure'!R14/1000</f>
        <v>0.20300000000000001</v>
      </c>
      <c r="S15" s="719">
        <f>+'STER Detailed Disclosure'!S14/1000</f>
        <v>0.106</v>
      </c>
      <c r="T15" s="719">
        <f>+'STER Detailed Disclosure'!T14/1000</f>
        <v>7.0389999999999997</v>
      </c>
      <c r="U15" s="719">
        <f>+'STER Detailed Disclosure'!U14/1000</f>
        <v>4.8000000000000001E-2</v>
      </c>
      <c r="V15" s="718">
        <f>+'STER Detailed Disclosure'!V14/1000</f>
        <v>0.17800000000000082</v>
      </c>
      <c r="W15" s="719">
        <f>+'STER Detailed Disclosure'!W14/1000</f>
        <v>0.16800000000000001</v>
      </c>
      <c r="X15" s="719">
        <f>+'STER Detailed Disclosure'!X14/1000</f>
        <v>3.2000000000000001E-2</v>
      </c>
      <c r="Y15" s="2284"/>
      <c r="Z15" s="719"/>
      <c r="AA15" s="719"/>
      <c r="AB15" s="719"/>
      <c r="AC15" s="719"/>
      <c r="AD15" s="719"/>
      <c r="AE15" s="719"/>
      <c r="AF15" s="719"/>
      <c r="AG15" s="719"/>
      <c r="AH15" s="719"/>
      <c r="AI15" s="719"/>
      <c r="AJ15" s="719"/>
      <c r="AK15" s="719"/>
      <c r="AL15" s="719"/>
      <c r="AM15" s="719"/>
      <c r="AN15" s="719"/>
      <c r="AO15" s="719"/>
      <c r="AP15" s="719"/>
      <c r="AQ15" s="719">
        <f>+'STER Detailed Disclosure'!AQ14/1000</f>
        <v>3.22</v>
      </c>
      <c r="AR15" s="719">
        <f>+'STER Detailed Disclosure'!AR14/1000</f>
        <v>1.7969999999999999</v>
      </c>
      <c r="AS15" s="719">
        <f>+'STER Detailed Disclosure'!AS14/1000</f>
        <v>3.274</v>
      </c>
      <c r="AT15" s="719">
        <f>+'STER Detailed Disclosure'!AT14/1000</f>
        <v>1.008</v>
      </c>
      <c r="AU15" s="719">
        <f>+'STER Detailed Disclosure'!AU14/1000</f>
        <v>7.3710000000000004</v>
      </c>
      <c r="AV15" s="719"/>
      <c r="AW15" s="614"/>
    </row>
    <row r="16" spans="1:54" s="565" customFormat="1" x14ac:dyDescent="0.25">
      <c r="A16" s="425" t="str">
        <f>+'STER Detailed Disclosure'!A15</f>
        <v>Total operating expenses</v>
      </c>
      <c r="B16" s="572"/>
      <c r="C16" s="591"/>
      <c r="D16" s="591"/>
      <c r="E16" s="591">
        <f>+'STER Detailed Disclosure'!E15/1000</f>
        <v>127.14700000000001</v>
      </c>
      <c r="F16" s="590">
        <f>+'STER Detailed Disclosure'!F15/1000</f>
        <v>142.04300000000001</v>
      </c>
      <c r="G16" s="591">
        <f>+'STER Detailed Disclosure'!G15/1000</f>
        <v>121.262</v>
      </c>
      <c r="H16" s="591">
        <f>+'STER Detailed Disclosure'!H15/1000</f>
        <v>106.25700000000001</v>
      </c>
      <c r="I16" s="591">
        <f>+'STER Detailed Disclosure'!I15/1000</f>
        <v>114.82899999999999</v>
      </c>
      <c r="J16" s="590">
        <f>+'STER Detailed Disclosure'!J15/1000</f>
        <v>134.80699999999999</v>
      </c>
      <c r="K16" s="591">
        <f>+'STER Detailed Disclosure'!K15/1000</f>
        <v>130.96299999999999</v>
      </c>
      <c r="L16" s="591">
        <f>+'STER Detailed Disclosure'!L15/1000</f>
        <v>144.53099999999995</v>
      </c>
      <c r="M16" s="591">
        <f>+'STER Detailed Disclosure'!M15/1000</f>
        <v>200.066</v>
      </c>
      <c r="N16" s="590">
        <f>+'STER Detailed Disclosure'!N15/1000</f>
        <v>165.95599999999999</v>
      </c>
      <c r="O16" s="591">
        <f>+'STER Detailed Disclosure'!O15/1000</f>
        <v>175.99700000000001</v>
      </c>
      <c r="P16" s="591">
        <f>+'STER Detailed Disclosure'!P15/1000</f>
        <v>182.48500000000001</v>
      </c>
      <c r="Q16" s="591">
        <f>+'STER Detailed Disclosure'!Q15/1000</f>
        <v>179.31100000000001</v>
      </c>
      <c r="R16" s="590">
        <f>+'STER Detailed Disclosure'!R15/1000</f>
        <v>169.98400000000001</v>
      </c>
      <c r="S16" s="591">
        <f>+'STER Detailed Disclosure'!S15/1000</f>
        <v>169.38499999999999</v>
      </c>
      <c r="T16" s="591">
        <f>+'STER Detailed Disclosure'!T15/1000</f>
        <v>181.553</v>
      </c>
      <c r="U16" s="591">
        <f>+'STER Detailed Disclosure'!U15/1000</f>
        <v>165.51599999999999</v>
      </c>
      <c r="V16" s="590">
        <f>+'STER Detailed Disclosure'!V15/1000</f>
        <v>156.59299999999999</v>
      </c>
      <c r="W16" s="591">
        <f>+'STER Detailed Disclosure'!W15/1000</f>
        <v>193.083</v>
      </c>
      <c r="X16" s="591">
        <f>+'STER Detailed Disclosure'!X15/1000</f>
        <v>189.845</v>
      </c>
      <c r="Y16" s="2285"/>
      <c r="Z16" s="591"/>
      <c r="AA16" s="591"/>
      <c r="AB16" s="591"/>
      <c r="AC16" s="591"/>
      <c r="AD16" s="591"/>
      <c r="AE16" s="591"/>
      <c r="AF16" s="591"/>
      <c r="AG16" s="591"/>
      <c r="AH16" s="591"/>
      <c r="AI16" s="591"/>
      <c r="AJ16" s="591"/>
      <c r="AK16" s="591"/>
      <c r="AL16" s="591"/>
      <c r="AM16" s="591"/>
      <c r="AN16" s="591"/>
      <c r="AO16" s="591"/>
      <c r="AP16" s="591"/>
      <c r="AQ16" s="591">
        <f>+'STER Detailed Disclosure'!AQ15/1000</f>
        <v>510.49</v>
      </c>
      <c r="AR16" s="591">
        <f>+'STER Detailed Disclosure'!AR15/1000</f>
        <v>477.15600000000001</v>
      </c>
      <c r="AS16" s="591">
        <f>+'STER Detailed Disclosure'!AS15/1000</f>
        <v>641.51599999999996</v>
      </c>
      <c r="AT16" s="591">
        <f>+'STER Detailed Disclosure'!AT15/1000</f>
        <v>707.77700000000004</v>
      </c>
      <c r="AU16" s="591">
        <f>+'STER Detailed Disclosure'!AU15/1000</f>
        <v>673.04700000000003</v>
      </c>
      <c r="AV16" s="591"/>
      <c r="AW16" s="572"/>
    </row>
    <row r="17" spans="1:49" s="565" customFormat="1" x14ac:dyDescent="0.25">
      <c r="A17" s="425"/>
      <c r="B17" s="572"/>
      <c r="C17" s="591"/>
      <c r="D17" s="591"/>
      <c r="E17" s="591"/>
      <c r="F17" s="590"/>
      <c r="G17" s="591"/>
      <c r="H17" s="591"/>
      <c r="I17" s="591"/>
      <c r="J17" s="590"/>
      <c r="K17" s="591"/>
      <c r="L17" s="591"/>
      <c r="M17" s="591"/>
      <c r="N17" s="590"/>
      <c r="O17" s="591"/>
      <c r="P17" s="591"/>
      <c r="Q17" s="591"/>
      <c r="R17" s="590"/>
      <c r="S17" s="591"/>
      <c r="T17" s="591"/>
      <c r="U17" s="591"/>
      <c r="V17" s="590"/>
      <c r="W17" s="591"/>
      <c r="X17" s="591"/>
      <c r="Y17" s="2285"/>
      <c r="Z17" s="591"/>
      <c r="AA17" s="591"/>
      <c r="AB17" s="591"/>
      <c r="AC17" s="591"/>
      <c r="AD17" s="591"/>
      <c r="AE17" s="591"/>
      <c r="AF17" s="591"/>
      <c r="AG17" s="591"/>
      <c r="AH17" s="591"/>
      <c r="AI17" s="591"/>
      <c r="AJ17" s="591"/>
      <c r="AK17" s="591"/>
      <c r="AL17" s="591"/>
      <c r="AM17" s="591"/>
      <c r="AN17" s="591"/>
      <c r="AO17" s="591"/>
      <c r="AP17" s="591"/>
      <c r="AQ17" s="591"/>
      <c r="AR17" s="591"/>
      <c r="AS17" s="591"/>
      <c r="AT17" s="591"/>
      <c r="AU17" s="591"/>
      <c r="AV17" s="591"/>
      <c r="AW17" s="572"/>
    </row>
    <row r="18" spans="1:49" x14ac:dyDescent="0.25">
      <c r="A18" s="132" t="str">
        <f>+'FA - Detailed Disclosure'!A18</f>
        <v>Income (loss) from operations</v>
      </c>
      <c r="B18" s="571"/>
      <c r="C18" s="571"/>
      <c r="D18" s="571"/>
      <c r="E18" s="571">
        <f>+'STER Detailed Disclosure'!E16/1000</f>
        <v>5.6180000000000003</v>
      </c>
      <c r="F18" s="666">
        <f>+'STER Detailed Disclosure'!F16/1000</f>
        <v>-20.614000000000001</v>
      </c>
      <c r="G18" s="667">
        <f>+'STER Detailed Disclosure'!G16/1000</f>
        <v>-1.8859999999999999</v>
      </c>
      <c r="H18" s="667">
        <f>+'STER Detailed Disclosure'!H16/1000</f>
        <v>-17.686</v>
      </c>
      <c r="I18" s="667">
        <f>+'STER Detailed Disclosure'!I16/1000</f>
        <v>2.7730000000000001</v>
      </c>
      <c r="J18" s="666">
        <f>+'STER Detailed Disclosure'!J16/1000</f>
        <v>-6.3040000000000083</v>
      </c>
      <c r="K18" s="667">
        <f>+'STER Detailed Disclosure'!K16/1000</f>
        <v>8.407</v>
      </c>
      <c r="L18" s="667">
        <f>+'STER Detailed Disclosure'!L16/1000</f>
        <v>14.797000000000057</v>
      </c>
      <c r="M18" s="667">
        <f>+'STER Detailed Disclosure'!M16/1000</f>
        <v>-30.509</v>
      </c>
      <c r="N18" s="666">
        <f>+'STER Detailed Disclosure'!N16/1000</f>
        <v>7.673</v>
      </c>
      <c r="O18" s="667">
        <f>+'STER Detailed Disclosure'!O16/1000</f>
        <v>15.975</v>
      </c>
      <c r="P18" s="667">
        <f>+'STER Detailed Disclosure'!P16/1000</f>
        <v>23.106000000000002</v>
      </c>
      <c r="Q18" s="667">
        <f>+'STER Detailed Disclosure'!Q16/1000</f>
        <v>19.988</v>
      </c>
      <c r="R18" s="666">
        <f>+'STER Detailed Disclosure'!R16/1000</f>
        <v>-6.4000000000000001E-2</v>
      </c>
      <c r="S18" s="667">
        <f>+'STER Detailed Disclosure'!S16/1000</f>
        <v>9.8889999999999993</v>
      </c>
      <c r="T18" s="667">
        <f>+'STER Detailed Disclosure'!T16/1000</f>
        <v>8.8309999999999995</v>
      </c>
      <c r="U18" s="667">
        <f>+'STER Detailed Disclosure'!U16/1000</f>
        <v>15.05</v>
      </c>
      <c r="V18" s="666">
        <f>+'STER Detailed Disclosure'!V16/1000</f>
        <v>12.822999999999942</v>
      </c>
      <c r="W18" s="571">
        <f>+'STER Detailed Disclosure'!W16/1000</f>
        <v>-7.0839999999999996</v>
      </c>
      <c r="X18" s="571">
        <f>+'STER Detailed Disclosure'!X16/1000</f>
        <v>10.683</v>
      </c>
      <c r="Y18" s="2283"/>
      <c r="Z18" s="571"/>
      <c r="AA18" s="571"/>
      <c r="AB18" s="571"/>
      <c r="AC18" s="571"/>
      <c r="AD18" s="571"/>
      <c r="AE18" s="571"/>
      <c r="AF18" s="571"/>
      <c r="AG18" s="571"/>
      <c r="AH18" s="571"/>
      <c r="AI18" s="571"/>
      <c r="AJ18" s="571"/>
      <c r="AK18" s="571"/>
      <c r="AL18" s="571"/>
      <c r="AM18" s="571"/>
      <c r="AN18" s="571"/>
      <c r="AO18" s="571"/>
      <c r="AP18" s="571"/>
      <c r="AQ18" s="571">
        <f>+'STER Detailed Disclosure'!AQ16/1000</f>
        <v>-13.374000000000001</v>
      </c>
      <c r="AR18" s="571">
        <f>+'STER Detailed Disclosure'!AR16/1000</f>
        <v>-23.103000000000002</v>
      </c>
      <c r="AS18" s="571">
        <f>+'STER Detailed Disclosure'!AS16/1000</f>
        <v>0.36799999999999999</v>
      </c>
      <c r="AT18" s="571">
        <f>+'STER Detailed Disclosure'!AT16/1000</f>
        <v>59.005000000000003</v>
      </c>
      <c r="AU18" s="571">
        <f>+'STER Detailed Disclosure'!AU16/1000</f>
        <v>46.593000000000004</v>
      </c>
    </row>
    <row r="19" spans="1:49" x14ac:dyDescent="0.25">
      <c r="B19" s="571"/>
      <c r="C19" s="571"/>
      <c r="D19" s="571"/>
      <c r="E19" s="571"/>
      <c r="F19" s="666"/>
      <c r="G19" s="667"/>
      <c r="H19" s="667"/>
      <c r="I19" s="667"/>
      <c r="J19" s="666"/>
      <c r="K19" s="667"/>
      <c r="L19" s="667"/>
      <c r="M19" s="667"/>
      <c r="N19" s="666"/>
      <c r="O19" s="667"/>
      <c r="P19" s="667"/>
      <c r="Q19" s="667"/>
      <c r="R19" s="666"/>
      <c r="S19" s="667"/>
      <c r="T19" s="667"/>
      <c r="U19" s="667"/>
      <c r="V19" s="666"/>
      <c r="W19" s="571"/>
      <c r="X19" s="571"/>
      <c r="Y19" s="2283"/>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row>
    <row r="20" spans="1:49" x14ac:dyDescent="0.25">
      <c r="A20" s="565" t="s">
        <v>346</v>
      </c>
      <c r="B20" s="571"/>
      <c r="C20" s="571"/>
      <c r="D20" s="571"/>
      <c r="E20" s="571"/>
      <c r="F20" s="666"/>
      <c r="G20" s="667"/>
      <c r="H20" s="667"/>
      <c r="I20" s="667"/>
      <c r="J20" s="666"/>
      <c r="K20" s="667"/>
      <c r="L20" s="667"/>
      <c r="M20" s="667"/>
      <c r="N20" s="666"/>
      <c r="O20" s="667"/>
      <c r="P20" s="667"/>
      <c r="Q20" s="667"/>
      <c r="R20" s="666"/>
      <c r="S20" s="667"/>
      <c r="T20" s="667"/>
      <c r="U20" s="667"/>
      <c r="V20" s="666"/>
      <c r="W20" s="571"/>
      <c r="X20" s="571"/>
      <c r="Y20" s="2283"/>
      <c r="Z20" s="571"/>
      <c r="AA20" s="571"/>
      <c r="AB20" s="571"/>
      <c r="AC20" s="571"/>
      <c r="AD20" s="571"/>
      <c r="AE20" s="571"/>
      <c r="AF20" s="571"/>
      <c r="AG20" s="571"/>
      <c r="AH20" s="571"/>
      <c r="AI20" s="571"/>
      <c r="AJ20" s="571"/>
      <c r="AK20" s="571"/>
      <c r="AL20" s="571"/>
      <c r="AM20" s="571"/>
      <c r="AN20" s="571"/>
      <c r="AO20" s="571"/>
      <c r="AP20" s="571"/>
      <c r="AQ20" s="571"/>
      <c r="AR20" s="571"/>
      <c r="AS20" s="571"/>
      <c r="AT20" s="571"/>
      <c r="AU20" s="571"/>
    </row>
    <row r="21" spans="1:49" x14ac:dyDescent="0.25">
      <c r="A21" s="649" t="str">
        <f>+'STER Detailed Disclosure'!A18</f>
        <v>Interest expense, net</v>
      </c>
      <c r="B21" s="571"/>
      <c r="C21" s="571"/>
      <c r="D21" s="571"/>
      <c r="E21" s="571">
        <f>+'STER Detailed Disclosure'!E18/1000</f>
        <v>9.7840000000000007</v>
      </c>
      <c r="F21" s="666">
        <f>+'STER Detailed Disclosure'!F18/1000</f>
        <v>9.1989999999999998</v>
      </c>
      <c r="G21" s="667">
        <f>+'STER Detailed Disclosure'!G18/1000</f>
        <v>9.0559999999999992</v>
      </c>
      <c r="H21" s="667">
        <f>+'STER Detailed Disclosure'!H18/1000</f>
        <v>8.2370000000000001</v>
      </c>
      <c r="I21" s="667">
        <f>+'STER Detailed Disclosure'!I18/1000</f>
        <v>7.8170000000000002</v>
      </c>
      <c r="J21" s="666">
        <f>+'STER Detailed Disclosure'!J18/1000</f>
        <v>7.8369999999999997</v>
      </c>
      <c r="K21" s="667">
        <f>+'STER Detailed Disclosure'!K18/1000</f>
        <v>7.57</v>
      </c>
      <c r="L21" s="667">
        <f>+'STER Detailed Disclosure'!L18/1000</f>
        <v>7.6029999999999998</v>
      </c>
      <c r="M21" s="667">
        <f>+'STER Detailed Disclosure'!M18/1000</f>
        <v>7.6680000000000001</v>
      </c>
      <c r="N21" s="666">
        <f>+'STER Detailed Disclosure'!N18/1000</f>
        <v>8.016</v>
      </c>
      <c r="O21" s="667">
        <f>+'STER Detailed Disclosure'!O18/1000</f>
        <v>6.3360000000000003</v>
      </c>
      <c r="P21" s="667">
        <f>+'STER Detailed Disclosure'!P18/1000</f>
        <v>6.6189999999999998</v>
      </c>
      <c r="Q21" s="667">
        <f>+'STER Detailed Disclosure'!Q18/1000</f>
        <v>7.7640000000000002</v>
      </c>
      <c r="R21" s="666">
        <f>+'STER Detailed Disclosure'!R18/1000</f>
        <v>8.8279999999999994</v>
      </c>
      <c r="S21" s="667">
        <f>+'STER Detailed Disclosure'!S18/1000</f>
        <v>8.6080000000000005</v>
      </c>
      <c r="T21" s="667">
        <f>+'STER Detailed Disclosure'!T18/1000</f>
        <v>8.99</v>
      </c>
      <c r="U21" s="667">
        <f>+'STER Detailed Disclosure'!U18/1000</f>
        <v>9.3049999999999997</v>
      </c>
      <c r="V21" s="666">
        <f>+'STER Detailed Disclosure'!V18/1000</f>
        <v>9.3299999999999983</v>
      </c>
      <c r="W21" s="571">
        <f>+'STER Detailed Disclosure'!W18/1000</f>
        <v>10.311999999999999</v>
      </c>
      <c r="X21" s="571">
        <f>+'STER Detailed Disclosure'!X18/1000</f>
        <v>10.143000000000001</v>
      </c>
      <c r="Y21" s="2283"/>
      <c r="Z21" s="571"/>
      <c r="AA21" s="571"/>
      <c r="AB21" s="571"/>
      <c r="AC21" s="571"/>
      <c r="AD21" s="571"/>
      <c r="AE21" s="571"/>
      <c r="AF21" s="571"/>
      <c r="AG21" s="571"/>
      <c r="AH21" s="571"/>
      <c r="AI21" s="571"/>
      <c r="AJ21" s="571"/>
      <c r="AK21" s="571"/>
      <c r="AL21" s="571"/>
      <c r="AM21" s="571"/>
      <c r="AN21" s="571"/>
      <c r="AO21" s="571"/>
      <c r="AP21" s="571"/>
      <c r="AQ21" s="571">
        <f>+'STER Detailed Disclosure'!AQ18/1000</f>
        <v>39.316000000000003</v>
      </c>
      <c r="AR21" s="571">
        <f>+'STER Detailed Disclosure'!AR18/1000</f>
        <v>32.947000000000003</v>
      </c>
      <c r="AS21" s="571">
        <f>+'STER Detailed Disclosure'!AS18/1000</f>
        <v>30.856999999999999</v>
      </c>
      <c r="AT21" s="571">
        <f>+'STER Detailed Disclosure'!AT18/1000</f>
        <v>29.547000000000001</v>
      </c>
      <c r="AU21" s="571">
        <f>+'STER Detailed Disclosure'!AU18/1000</f>
        <v>36.232999999999997</v>
      </c>
    </row>
    <row r="22" spans="1:49" x14ac:dyDescent="0.25">
      <c r="A22" s="649" t="str">
        <f>+'STER Detailed Disclosure'!A19</f>
        <v>Gain on interest rate swaps</v>
      </c>
      <c r="B22" s="571"/>
      <c r="C22" s="571"/>
      <c r="D22" s="571"/>
      <c r="E22" s="571">
        <f>+'STER Detailed Disclosure'!E19/1000</f>
        <v>1.069</v>
      </c>
      <c r="F22" s="666">
        <f>+'STER Detailed Disclosure'!F19/1000</f>
        <v>-1.181</v>
      </c>
      <c r="G22" s="667">
        <f>+'STER Detailed Disclosure'!G19/1000</f>
        <v>8.7550000000000008</v>
      </c>
      <c r="H22" s="667">
        <f>+'STER Detailed Disclosure'!H19/1000</f>
        <v>0.89900000000000002</v>
      </c>
      <c r="I22" s="667">
        <f>+'STER Detailed Disclosure'!I19/1000</f>
        <v>-4.9000000000000002E-2</v>
      </c>
      <c r="J22" s="666">
        <f>+'STER Detailed Disclosure'!J19/1000</f>
        <v>-0.153</v>
      </c>
      <c r="K22" s="667">
        <f>+'STER Detailed Disclosure'!K19/1000</f>
        <v>-4.5999999999999999E-2</v>
      </c>
      <c r="L22" s="667">
        <f>+'STER Detailed Disclosure'!L19/1000</f>
        <v>0.13300000000000001</v>
      </c>
      <c r="M22" s="667">
        <f>+'STER Detailed Disclosure'!M19/1000</f>
        <v>0.112</v>
      </c>
      <c r="N22" s="666">
        <f>+'STER Detailed Disclosure'!N19/1000</f>
        <v>-0.16800000000000001</v>
      </c>
      <c r="O22" s="667">
        <f>+'STER Detailed Disclosure'!O19/1000</f>
        <v>-0.32800000000000001</v>
      </c>
      <c r="P22" s="667">
        <f>+'STER Detailed Disclosure'!P19/1000</f>
        <v>3.2000000000000001E-2</v>
      </c>
      <c r="Q22" s="667">
        <f>+'STER Detailed Disclosure'!Q19/1000</f>
        <v>0</v>
      </c>
      <c r="R22" s="666">
        <f>+'STER Detailed Disclosure'!R19/1000</f>
        <v>0</v>
      </c>
      <c r="S22" s="667">
        <f>+'STER Detailed Disclosure'!S19/1000</f>
        <v>0</v>
      </c>
      <c r="T22" s="667">
        <f>+'STER Detailed Disclosure'!T19/1000</f>
        <v>0</v>
      </c>
      <c r="U22" s="667">
        <f>+'STER Detailed Disclosure'!U19/1000</f>
        <v>0</v>
      </c>
      <c r="V22" s="666">
        <f>+'STER Detailed Disclosure'!V19/1000</f>
        <v>0</v>
      </c>
      <c r="W22" s="571">
        <f>+'STER Detailed Disclosure'!W19/1000</f>
        <v>0</v>
      </c>
      <c r="X22" s="571">
        <f>+'STER Detailed Disclosure'!X19/1000</f>
        <v>0</v>
      </c>
      <c r="Y22" s="2283"/>
      <c r="Z22" s="571"/>
      <c r="AA22" s="571"/>
      <c r="AB22" s="571"/>
      <c r="AC22" s="571"/>
      <c r="AD22" s="571"/>
      <c r="AE22" s="571"/>
      <c r="AF22" s="571"/>
      <c r="AG22" s="571"/>
      <c r="AH22" s="571"/>
      <c r="AI22" s="571"/>
      <c r="AJ22" s="571"/>
      <c r="AK22" s="571"/>
      <c r="AL22" s="571"/>
      <c r="AM22" s="571"/>
      <c r="AN22" s="571"/>
      <c r="AO22" s="571"/>
      <c r="AP22" s="571"/>
      <c r="AQ22" s="571">
        <f>+'STER Detailed Disclosure'!AQ19/1000</f>
        <v>7.3239999999999998</v>
      </c>
      <c r="AR22" s="571">
        <f>+'STER Detailed Disclosure'!AR19/1000</f>
        <v>9.4510000000000005</v>
      </c>
      <c r="AS22" s="571">
        <f>+'STER Detailed Disclosure'!AS19/1000</f>
        <v>3.1E-2</v>
      </c>
      <c r="AT22" s="571">
        <f>+'STER Detailed Disclosure'!AT19/1000</f>
        <v>-0.29699999999999999</v>
      </c>
      <c r="AU22" s="571">
        <f>+'STER Detailed Disclosure'!AU19/1000</f>
        <v>0</v>
      </c>
    </row>
    <row r="23" spans="1:49" x14ac:dyDescent="0.25">
      <c r="A23" s="649" t="str">
        <f>+'STER Detailed Disclosure'!A20</f>
        <v>Other income</v>
      </c>
      <c r="B23" s="571"/>
      <c r="C23" s="571"/>
      <c r="D23" s="571"/>
      <c r="E23" s="571">
        <f>+'STER Detailed Disclosure'!E20/1000</f>
        <v>-0.34699999999999998</v>
      </c>
      <c r="F23" s="666">
        <f>+'STER Detailed Disclosure'!F20/1000</f>
        <v>-0.38500000000000001</v>
      </c>
      <c r="G23" s="667">
        <f>+'STER Detailed Disclosure'!G20/1000</f>
        <v>-0.24099999999999999</v>
      </c>
      <c r="H23" s="667">
        <f>+'STER Detailed Disclosure'!H20/1000</f>
        <v>-0.42099999999999999</v>
      </c>
      <c r="I23" s="667">
        <f>+'STER Detailed Disclosure'!I20/1000</f>
        <v>-0.33600000000000002</v>
      </c>
      <c r="J23" s="666">
        <f>+'STER Detailed Disclosure'!J20/1000</f>
        <v>-0.64800000000000002</v>
      </c>
      <c r="K23" s="667">
        <f>+'STER Detailed Disclosure'!K20/1000</f>
        <v>-0.27100000000000002</v>
      </c>
      <c r="L23" s="667">
        <f>+'STER Detailed Disclosure'!L20/1000</f>
        <v>-0.36299999999999999</v>
      </c>
      <c r="M23" s="667">
        <f>+'STER Detailed Disclosure'!M20/1000</f>
        <v>-0.4</v>
      </c>
      <c r="N23" s="666">
        <f>+'STER Detailed Disclosure'!N20/1000</f>
        <v>-0.498</v>
      </c>
      <c r="O23" s="667">
        <f>+'STER Detailed Disclosure'!O20/1000</f>
        <v>-0.35399999999999998</v>
      </c>
      <c r="P23" s="667">
        <f>+'STER Detailed Disclosure'!P20/1000</f>
        <v>-0.50800000000000001</v>
      </c>
      <c r="Q23" s="667">
        <f>+'STER Detailed Disclosure'!Q20/1000</f>
        <v>-0.56000000000000005</v>
      </c>
      <c r="R23" s="666">
        <f>+'STER Detailed Disclosure'!R20/1000</f>
        <v>-0.61199999999999999</v>
      </c>
      <c r="S23" s="667">
        <f>+'STER Detailed Disclosure'!S20/1000</f>
        <v>-0.41199999999999998</v>
      </c>
      <c r="T23" s="667">
        <f>+'STER Detailed Disclosure'!T20/1000</f>
        <v>-0.39700000000000002</v>
      </c>
      <c r="U23" s="667">
        <f>+'STER Detailed Disclosure'!U20/1000</f>
        <v>-0.56100000000000005</v>
      </c>
      <c r="V23" s="666">
        <f>+'STER Detailed Disclosure'!V20/1000</f>
        <v>-0.52099999999999991</v>
      </c>
      <c r="W23" s="571">
        <f>+'STER Detailed Disclosure'!W20/1000</f>
        <v>-0.42299999999999999</v>
      </c>
      <c r="X23" s="571">
        <f>+'STER Detailed Disclosure'!X20/1000</f>
        <v>-0.32200000000000001</v>
      </c>
      <c r="Y23" s="2283"/>
      <c r="Z23" s="571"/>
      <c r="AA23" s="571"/>
      <c r="AB23" s="571"/>
      <c r="AC23" s="571"/>
      <c r="AD23" s="571"/>
      <c r="AE23" s="571"/>
      <c r="AF23" s="571"/>
      <c r="AG23" s="571"/>
      <c r="AH23" s="571"/>
      <c r="AI23" s="571"/>
      <c r="AJ23" s="571"/>
      <c r="AK23" s="571"/>
      <c r="AL23" s="571"/>
      <c r="AM23" s="571"/>
      <c r="AN23" s="571"/>
      <c r="AO23" s="571"/>
      <c r="AP23" s="571"/>
      <c r="AQ23" s="571">
        <f>+'STER Detailed Disclosure'!AQ20/1000</f>
        <v>-1.5289999999999999</v>
      </c>
      <c r="AR23" s="571">
        <f>+'STER Detailed Disclosure'!AR20/1000</f>
        <v>-1.6459999999999999</v>
      </c>
      <c r="AS23" s="571">
        <f>+'STER Detailed Disclosure'!AS20/1000</f>
        <v>-1.532</v>
      </c>
      <c r="AT23" s="571">
        <f>+'STER Detailed Disclosure'!AT20/1000</f>
        <v>-2.0339999999999998</v>
      </c>
      <c r="AU23" s="571">
        <f>+'STER Detailed Disclosure'!AU20/1000</f>
        <v>-1.891</v>
      </c>
    </row>
    <row r="24" spans="1:49" s="413" customFormat="1" ht="14" x14ac:dyDescent="0.4">
      <c r="A24" s="132" t="str">
        <f>+'STER Detailed Disclosure'!A21</f>
        <v>Loss on extinguishment of debt</v>
      </c>
      <c r="B24" s="614"/>
      <c r="C24" s="719"/>
      <c r="D24" s="719"/>
      <c r="E24" s="719">
        <f>+'STER Detailed Disclosure'!E21/1000</f>
        <v>0</v>
      </c>
      <c r="F24" s="718">
        <f>+'STER Detailed Disclosure'!F21/1000</f>
        <v>0</v>
      </c>
      <c r="G24" s="719">
        <f>+'STER Detailed Disclosure'!G21/1000</f>
        <v>0</v>
      </c>
      <c r="H24" s="719">
        <f>+'STER Detailed Disclosure'!H21/1000</f>
        <v>0</v>
      </c>
      <c r="I24" s="719">
        <f>+'STER Detailed Disclosure'!I21/1000</f>
        <v>0</v>
      </c>
      <c r="J24" s="718">
        <f>+'STER Detailed Disclosure'!J21/1000</f>
        <v>-6304.0000000000082</v>
      </c>
      <c r="K24" s="719">
        <f>+'STER Detailed Disclosure'!K21/1000</f>
        <v>0</v>
      </c>
      <c r="L24" s="719">
        <f>+'STER Detailed Disclosure'!L21/1000</f>
        <v>0</v>
      </c>
      <c r="M24" s="719">
        <f>+'STER Detailed Disclosure'!M21/1000</f>
        <v>0</v>
      </c>
      <c r="N24" s="718">
        <f>+'STER Detailed Disclosure'!N21/1000</f>
        <v>0</v>
      </c>
      <c r="O24" s="719">
        <f>+'STER Detailed Disclosure'!O21/1000</f>
        <v>0</v>
      </c>
      <c r="P24" s="719">
        <f>+'STER Detailed Disclosure'!P21/1000</f>
        <v>0</v>
      </c>
      <c r="Q24" s="719">
        <f>+'STER Detailed Disclosure'!Q21/1000</f>
        <v>0</v>
      </c>
      <c r="R24" s="718">
        <f>+'STER Detailed Disclosure'!R21/1000</f>
        <v>3.673</v>
      </c>
      <c r="S24" s="719">
        <f>+'STER Detailed Disclosure'!S21/1000</f>
        <v>0</v>
      </c>
      <c r="T24" s="719">
        <f>+'STER Detailed Disclosure'!T21/1000</f>
        <v>0</v>
      </c>
      <c r="U24" s="719">
        <f>+'STER Detailed Disclosure'!U21/1000</f>
        <v>0</v>
      </c>
      <c r="V24" s="718">
        <f>+'STER Detailed Disclosure'!V21/1000</f>
        <v>0</v>
      </c>
      <c r="W24" s="719">
        <f>+'STER Detailed Disclosure'!W21/1000</f>
        <v>0</v>
      </c>
      <c r="X24" s="719">
        <f>+'STER Detailed Disclosure'!X21/1000</f>
        <v>0</v>
      </c>
      <c r="Y24" s="2284"/>
      <c r="Z24" s="719"/>
      <c r="AA24" s="719"/>
      <c r="AB24" s="719"/>
      <c r="AC24" s="719"/>
      <c r="AD24" s="719"/>
      <c r="AE24" s="719"/>
      <c r="AF24" s="719"/>
      <c r="AG24" s="719"/>
      <c r="AH24" s="719"/>
      <c r="AI24" s="719"/>
      <c r="AJ24" s="719"/>
      <c r="AK24" s="719"/>
      <c r="AL24" s="719"/>
      <c r="AM24" s="719"/>
      <c r="AN24" s="719"/>
      <c r="AO24" s="719"/>
      <c r="AP24" s="719"/>
      <c r="AQ24" s="719">
        <f>+'STER Detailed Disclosure'!AQ21/1000</f>
        <v>0</v>
      </c>
      <c r="AR24" s="719">
        <f>+'STER Detailed Disclosure'!AR21/1000</f>
        <v>0</v>
      </c>
      <c r="AS24" s="719">
        <f>+'STER Detailed Disclosure'!AS21/1000</f>
        <v>0</v>
      </c>
      <c r="AT24" s="719">
        <f>+'STER Detailed Disclosure'!AT21/1000</f>
        <v>3.673</v>
      </c>
      <c r="AU24" s="719">
        <f>+'STER Detailed Disclosure'!AU21/1000</f>
        <v>0</v>
      </c>
      <c r="AV24" s="719"/>
      <c r="AW24" s="614"/>
    </row>
    <row r="25" spans="1:49" x14ac:dyDescent="0.25">
      <c r="A25" s="425" t="str">
        <f>+'STER Detailed Disclosure'!A22</f>
        <v>Total other expense, net</v>
      </c>
      <c r="B25" s="571"/>
      <c r="C25" s="583"/>
      <c r="D25" s="583"/>
      <c r="E25" s="583">
        <f>+'STER Detailed Disclosure'!E22/1000</f>
        <v>10.506</v>
      </c>
      <c r="F25" s="588">
        <f>+'STER Detailed Disclosure'!F22/1000</f>
        <v>7.633</v>
      </c>
      <c r="G25" s="583">
        <f>+'STER Detailed Disclosure'!G22/1000</f>
        <v>17.57</v>
      </c>
      <c r="H25" s="583">
        <f>+'STER Detailed Disclosure'!H22/1000</f>
        <v>8.7149999999999999</v>
      </c>
      <c r="I25" s="583">
        <f>+'STER Detailed Disclosure'!I22/1000</f>
        <v>7.4320000000000004</v>
      </c>
      <c r="J25" s="588">
        <f>+'STER Detailed Disclosure'!J22/1000</f>
        <v>-6296.9640000000081</v>
      </c>
      <c r="K25" s="583">
        <f>+'STER Detailed Disclosure'!K22/1000</f>
        <v>7.2530000000000001</v>
      </c>
      <c r="L25" s="583">
        <f>+'STER Detailed Disclosure'!L22/1000</f>
        <v>7.3730000000000002</v>
      </c>
      <c r="M25" s="583">
        <f>+'STER Detailed Disclosure'!M22/1000</f>
        <v>7.38</v>
      </c>
      <c r="N25" s="588">
        <f>+'STER Detailed Disclosure'!N22/1000</f>
        <v>7.35</v>
      </c>
      <c r="O25" s="583">
        <f>+'STER Detailed Disclosure'!O22/1000</f>
        <v>5.6539999999999999</v>
      </c>
      <c r="P25" s="583">
        <f>+'STER Detailed Disclosure'!P22/1000</f>
        <v>6.1429999999999998</v>
      </c>
      <c r="Q25" s="583">
        <f>+'STER Detailed Disclosure'!Q22/1000</f>
        <v>7.2039999999999997</v>
      </c>
      <c r="R25" s="588">
        <f>+'STER Detailed Disclosure'!R22/1000</f>
        <v>11.888999999999999</v>
      </c>
      <c r="S25" s="583">
        <f>+'STER Detailed Disclosure'!S22/1000</f>
        <v>8.1959999999999997</v>
      </c>
      <c r="T25" s="583">
        <f>+'STER Detailed Disclosure'!T22/1000</f>
        <v>8.593</v>
      </c>
      <c r="U25" s="583">
        <f>+'STER Detailed Disclosure'!U22/1000</f>
        <v>8.7439999999999998</v>
      </c>
      <c r="V25" s="588">
        <f>+'STER Detailed Disclosure'!V22/1000</f>
        <v>8.8089999999999975</v>
      </c>
      <c r="W25" s="583">
        <f>+'STER Detailed Disclosure'!W22/1000</f>
        <v>9.8889999999999993</v>
      </c>
      <c r="X25" s="583">
        <f>+'STER Detailed Disclosure'!X22/1000</f>
        <v>9.8209999999999997</v>
      </c>
      <c r="Y25" s="2286"/>
      <c r="Z25" s="583"/>
      <c r="AA25" s="583"/>
      <c r="AB25" s="583"/>
      <c r="AC25" s="583"/>
      <c r="AD25" s="583"/>
      <c r="AE25" s="583"/>
      <c r="AF25" s="583"/>
      <c r="AG25" s="583"/>
      <c r="AH25" s="583"/>
      <c r="AI25" s="583"/>
      <c r="AJ25" s="583"/>
      <c r="AK25" s="583"/>
      <c r="AL25" s="583"/>
      <c r="AM25" s="583"/>
      <c r="AN25" s="583"/>
      <c r="AO25" s="583"/>
      <c r="AP25" s="583"/>
      <c r="AQ25" s="583">
        <f>+'STER Detailed Disclosure'!AQ22/1000</f>
        <v>45.110999999999997</v>
      </c>
      <c r="AR25" s="583">
        <f>+'STER Detailed Disclosure'!AR22/1000</f>
        <v>40.752000000000002</v>
      </c>
      <c r="AS25" s="583">
        <f>+'STER Detailed Disclosure'!AS22/1000</f>
        <v>29.356000000000002</v>
      </c>
      <c r="AT25" s="583">
        <f>+'STER Detailed Disclosure'!AT22/1000</f>
        <v>30.888999999999999</v>
      </c>
      <c r="AU25" s="583">
        <f>+'STER Detailed Disclosure'!AU22/1000</f>
        <v>34.341999999999999</v>
      </c>
      <c r="AV25" s="583"/>
      <c r="AW25" s="571"/>
    </row>
    <row r="26" spans="1:49" s="565" customFormat="1" x14ac:dyDescent="0.25">
      <c r="A26" s="425"/>
      <c r="B26" s="572"/>
      <c r="C26" s="591"/>
      <c r="D26" s="591"/>
      <c r="E26" s="591"/>
      <c r="F26" s="590"/>
      <c r="G26" s="591"/>
      <c r="H26" s="591"/>
      <c r="I26" s="591"/>
      <c r="J26" s="590"/>
      <c r="K26" s="591"/>
      <c r="L26" s="591"/>
      <c r="M26" s="591"/>
      <c r="N26" s="590"/>
      <c r="O26" s="591"/>
      <c r="P26" s="591"/>
      <c r="Q26" s="591"/>
      <c r="R26" s="590"/>
      <c r="S26" s="591"/>
      <c r="T26" s="591"/>
      <c r="U26" s="591"/>
      <c r="V26" s="590"/>
      <c r="W26" s="591"/>
      <c r="X26" s="591"/>
      <c r="Y26" s="2285"/>
      <c r="Z26" s="591"/>
      <c r="AA26" s="591"/>
      <c r="AB26" s="591"/>
      <c r="AC26" s="591"/>
      <c r="AD26" s="591"/>
      <c r="AE26" s="591"/>
      <c r="AF26" s="591"/>
      <c r="AG26" s="591"/>
      <c r="AH26" s="591"/>
      <c r="AI26" s="591"/>
      <c r="AJ26" s="591"/>
      <c r="AK26" s="591"/>
      <c r="AL26" s="591"/>
      <c r="AM26" s="591"/>
      <c r="AN26" s="591"/>
      <c r="AO26" s="591"/>
      <c r="AP26" s="591"/>
      <c r="AQ26" s="591"/>
      <c r="AR26" s="591"/>
      <c r="AS26" s="591"/>
      <c r="AT26" s="591"/>
      <c r="AU26" s="591"/>
      <c r="AV26" s="591"/>
      <c r="AW26" s="572"/>
    </row>
    <row r="27" spans="1:49" x14ac:dyDescent="0.25">
      <c r="A27" s="649" t="str">
        <f>+'STER Detailed Disclosure'!A24</f>
        <v>Income before income taxes</v>
      </c>
      <c r="B27" s="571"/>
      <c r="C27" s="571"/>
      <c r="D27" s="571"/>
      <c r="E27" s="571">
        <f>+'STER Detailed Disclosure'!E24/1000</f>
        <v>-4.8879999999999999</v>
      </c>
      <c r="F27" s="666">
        <f>+'STER Detailed Disclosure'!F24/1000</f>
        <v>-28.247</v>
      </c>
      <c r="G27" s="667">
        <f>+'STER Detailed Disclosure'!G24/1000</f>
        <v>-19.456</v>
      </c>
      <c r="H27" s="667">
        <f>+'STER Detailed Disclosure'!H24/1000</f>
        <v>-26.401</v>
      </c>
      <c r="I27" s="667">
        <f>+'STER Detailed Disclosure'!I24/1000</f>
        <v>-4.6589999999999998</v>
      </c>
      <c r="J27" s="666">
        <f>+'STER Detailed Disclosure'!J24/1000</f>
        <v>6290.660000000008</v>
      </c>
      <c r="K27" s="667">
        <f>+'STER Detailed Disclosure'!K24/1000</f>
        <v>1.1539999999999999</v>
      </c>
      <c r="L27" s="667">
        <f>+'STER Detailed Disclosure'!L24/1000</f>
        <v>7.4240000000000581</v>
      </c>
      <c r="M27" s="667">
        <f>+'STER Detailed Disclosure'!M24/1000</f>
        <v>-37.889000000000003</v>
      </c>
      <c r="N27" s="666">
        <f>+'STER Detailed Disclosure'!N24/1000</f>
        <v>0.32300000000000001</v>
      </c>
      <c r="O27" s="667">
        <f>+'STER Detailed Disclosure'!O24/1000</f>
        <v>10.321</v>
      </c>
      <c r="P27" s="667">
        <f>+'STER Detailed Disclosure'!P24/1000</f>
        <v>16.963000000000001</v>
      </c>
      <c r="Q27" s="667">
        <f>+'STER Detailed Disclosure'!Q24/1000</f>
        <v>12.784000000000001</v>
      </c>
      <c r="R27" s="666">
        <f>+'STER Detailed Disclosure'!R24/1000</f>
        <v>-11.952999999999999</v>
      </c>
      <c r="S27" s="667">
        <f>+'STER Detailed Disclosure'!S24/1000</f>
        <v>1.6930000000000001</v>
      </c>
      <c r="T27" s="667">
        <f>+'STER Detailed Disclosure'!T24/1000</f>
        <v>0.23799999999999999</v>
      </c>
      <c r="U27" s="667">
        <f>+'STER Detailed Disclosure'!U24/1000</f>
        <v>6.306</v>
      </c>
      <c r="V27" s="666">
        <f>+'STER Detailed Disclosure'!V24/1000</f>
        <v>4.0139999999999434</v>
      </c>
      <c r="W27" s="571">
        <f>+'STER Detailed Disclosure'!W24/1000</f>
        <v>-16.972999999999999</v>
      </c>
      <c r="X27" s="571">
        <f>+'STER Detailed Disclosure'!X24/1000</f>
        <v>0.86199999999999999</v>
      </c>
      <c r="Y27" s="2283"/>
      <c r="Z27" s="571"/>
      <c r="AA27" s="571"/>
      <c r="AB27" s="571"/>
      <c r="AC27" s="571"/>
      <c r="AD27" s="571"/>
      <c r="AE27" s="571"/>
      <c r="AF27" s="571"/>
      <c r="AG27" s="571"/>
      <c r="AH27" s="571"/>
      <c r="AI27" s="571"/>
      <c r="AJ27" s="571"/>
      <c r="AK27" s="571"/>
      <c r="AL27" s="571"/>
      <c r="AM27" s="571"/>
      <c r="AN27" s="571"/>
      <c r="AO27" s="571"/>
      <c r="AP27" s="571"/>
      <c r="AQ27" s="571">
        <f>+'STER Detailed Disclosure'!AQ24/1000</f>
        <v>-58.484999999999999</v>
      </c>
      <c r="AR27" s="571">
        <f>+'STER Detailed Disclosure'!AR24/1000</f>
        <v>-63.854999999999997</v>
      </c>
      <c r="AS27" s="571">
        <f>+'STER Detailed Disclosure'!AS24/1000</f>
        <v>-28.988</v>
      </c>
      <c r="AT27" s="571">
        <f>+'STER Detailed Disclosure'!AT24/1000</f>
        <v>28.116</v>
      </c>
      <c r="AU27" s="571">
        <f>+'STER Detailed Disclosure'!AU24/1000</f>
        <v>12.250999999999999</v>
      </c>
    </row>
    <row r="28" spans="1:49" s="413" customFormat="1" ht="14" x14ac:dyDescent="0.4">
      <c r="A28" s="132" t="str">
        <f>+'STER Detailed Disclosure'!A26</f>
        <v>Income tax provision</v>
      </c>
      <c r="B28" s="614"/>
      <c r="C28" s="719"/>
      <c r="D28" s="719"/>
      <c r="E28" s="719">
        <f>+'STER Detailed Disclosure'!E26/1000</f>
        <v>0.97899999999999998</v>
      </c>
      <c r="F28" s="718">
        <f>+'STER Detailed Disclosure'!F26/1000</f>
        <v>10.545</v>
      </c>
      <c r="G28" s="719">
        <f>+'STER Detailed Disclosure'!G26/1000</f>
        <v>3.5560000000000018</v>
      </c>
      <c r="H28" s="719">
        <f>+'STER Detailed Disclosure'!H26/1000</f>
        <v>1.4539999999999964</v>
      </c>
      <c r="I28" s="719">
        <f>+'STER Detailed Disclosure'!I26/1000</f>
        <v>5.7270000000000003</v>
      </c>
      <c r="J28" s="718">
        <f>+'STER Detailed Disclosure'!J26/1000</f>
        <v>-12.28</v>
      </c>
      <c r="K28" s="719">
        <f>+'STER Detailed Disclosure'!K26/1000</f>
        <v>0.52600000000000002</v>
      </c>
      <c r="L28" s="719">
        <f>+'STER Detailed Disclosure'!L26/1000</f>
        <v>4.0259999999999998</v>
      </c>
      <c r="M28" s="719">
        <f>+'STER Detailed Disclosure'!M26/1000</f>
        <v>-12.632999999999999</v>
      </c>
      <c r="N28" s="718">
        <f>+'STER Detailed Disclosure'!N26/1000</f>
        <v>-2.3809999999999998</v>
      </c>
      <c r="O28" s="719">
        <f>+'STER Detailed Disclosure'!O26/1000</f>
        <v>4.085</v>
      </c>
      <c r="P28" s="719">
        <f>+'STER Detailed Disclosure'!P26/1000</f>
        <v>5.3920000000000003</v>
      </c>
      <c r="Q28" s="719">
        <f>+'STER Detailed Disclosure'!Q26/1000</f>
        <v>3.4809999999999999</v>
      </c>
      <c r="R28" s="718">
        <f>+'STER Detailed Disclosure'!R26/1000</f>
        <v>-4.2530000000000001</v>
      </c>
      <c r="S28" s="719">
        <f>+'STER Detailed Disclosure'!S26/1000</f>
        <v>1.1020000000000001</v>
      </c>
      <c r="T28" s="719">
        <f>+'STER Detailed Disclosure'!T26/1000</f>
        <v>-8.5000000000000006E-2</v>
      </c>
      <c r="U28" s="719">
        <f>+'STER Detailed Disclosure'!U26/1000</f>
        <v>3.952</v>
      </c>
      <c r="V28" s="718">
        <f>+'STER Detailed Disclosure'!V26/1000</f>
        <v>7.3980000000000006</v>
      </c>
      <c r="W28" s="719">
        <f>+'STER Detailed Disclosure'!W26/1000</f>
        <v>-9.0180000000000007</v>
      </c>
      <c r="X28" s="719">
        <f>+'STER Detailed Disclosure'!X26/1000</f>
        <v>7.0940000000000003</v>
      </c>
      <c r="Y28" s="2284"/>
      <c r="Z28" s="719"/>
      <c r="AA28" s="719"/>
      <c r="AB28" s="719"/>
      <c r="AC28" s="719"/>
      <c r="AD28" s="719"/>
      <c r="AE28" s="719"/>
      <c r="AF28" s="719"/>
      <c r="AG28" s="719"/>
      <c r="AH28" s="719"/>
      <c r="AI28" s="719"/>
      <c r="AJ28" s="719"/>
      <c r="AK28" s="719"/>
      <c r="AL28" s="719"/>
      <c r="AM28" s="719"/>
      <c r="AN28" s="719"/>
      <c r="AO28" s="719"/>
      <c r="AP28" s="719"/>
      <c r="AQ28" s="719">
        <f>+'STER Detailed Disclosure'!AQ26/1000</f>
        <v>-11.803000000000001</v>
      </c>
      <c r="AR28" s="719">
        <f>+'STER Detailed Disclosure'!AR26/1000</f>
        <v>-11.561999999999999</v>
      </c>
      <c r="AS28" s="719">
        <f>+'STER Detailed Disclosure'!AS26/1000</f>
        <v>-10.461</v>
      </c>
      <c r="AT28" s="719">
        <f>+'STER Detailed Disclosure'!AT26/1000</f>
        <v>8.7059999999999995</v>
      </c>
      <c r="AU28" s="719">
        <f>+'STER Detailed Disclosure'!AU26/1000</f>
        <v>12.367000000000001</v>
      </c>
      <c r="AV28" s="719"/>
      <c r="AW28" s="614"/>
    </row>
    <row r="29" spans="1:49" x14ac:dyDescent="0.25">
      <c r="A29" s="425" t="str">
        <f>+'STER Detailed Disclosure'!A27</f>
        <v>Net (loss) income</v>
      </c>
      <c r="B29" s="571"/>
      <c r="C29" s="583"/>
      <c r="D29" s="583"/>
      <c r="E29" s="583">
        <f>+'STER Detailed Disclosure'!E27/1000</f>
        <v>-3.9089999999999998</v>
      </c>
      <c r="F29" s="588">
        <f>+'STER Detailed Disclosure'!F27/1000</f>
        <v>-17.702000000000002</v>
      </c>
      <c r="G29" s="583">
        <f>+'STER Detailed Disclosure'!G27/1000</f>
        <v>-15.899999999999999</v>
      </c>
      <c r="H29" s="583">
        <f>+'STER Detailed Disclosure'!H27/1000</f>
        <v>-24.947000000000003</v>
      </c>
      <c r="I29" s="583">
        <f>+'STER Detailed Disclosure'!I27/1000</f>
        <v>-10.385999999999999</v>
      </c>
      <c r="J29" s="588">
        <f>+'STER Detailed Disclosure'!J27/1000</f>
        <v>6302.9400000000087</v>
      </c>
      <c r="K29" s="583">
        <f>+'STER Detailed Disclosure'!K27/1000</f>
        <v>0.628</v>
      </c>
      <c r="L29" s="583">
        <f>+'STER Detailed Disclosure'!L27/1000</f>
        <v>3.3980000000000583</v>
      </c>
      <c r="M29" s="583">
        <f>+'STER Detailed Disclosure'!M27/1000</f>
        <v>-25.256</v>
      </c>
      <c r="N29" s="588">
        <f>+'STER Detailed Disclosure'!N27/1000</f>
        <v>2.7040000000000002</v>
      </c>
      <c r="O29" s="583">
        <f>+'STER Detailed Disclosure'!O27/1000</f>
        <v>6.2359999999999998</v>
      </c>
      <c r="P29" s="583">
        <f>+'STER Detailed Disclosure'!P27/1000</f>
        <v>11.571</v>
      </c>
      <c r="Q29" s="583">
        <f>+'STER Detailed Disclosure'!Q27/1000</f>
        <v>9.3030000000000008</v>
      </c>
      <c r="R29" s="588">
        <f>+'STER Detailed Disclosure'!R27/1000</f>
        <v>-7.7</v>
      </c>
      <c r="S29" s="583">
        <f>+'STER Detailed Disclosure'!S27/1000</f>
        <v>0.59099999999999997</v>
      </c>
      <c r="T29" s="583">
        <f>+'STER Detailed Disclosure'!T27/1000</f>
        <v>0.32300000000000001</v>
      </c>
      <c r="U29" s="583">
        <f>+'STER Detailed Disclosure'!U27/1000</f>
        <v>2.3540000000000001</v>
      </c>
      <c r="V29" s="588">
        <f>+'STER Detailed Disclosure'!V27/1000</f>
        <v>-3.3840000000000572</v>
      </c>
      <c r="W29" s="583">
        <f>+'STER Detailed Disclosure'!W27/1000</f>
        <v>-7.9550000000000001</v>
      </c>
      <c r="X29" s="583">
        <f>+'STER Detailed Disclosure'!X27/1000</f>
        <v>-6.2320000000000002</v>
      </c>
      <c r="Y29" s="2286"/>
      <c r="Z29" s="583"/>
      <c r="AA29" s="583"/>
      <c r="AB29" s="583"/>
      <c r="AC29" s="583"/>
      <c r="AD29" s="583"/>
      <c r="AE29" s="583"/>
      <c r="AF29" s="583"/>
      <c r="AG29" s="583"/>
      <c r="AH29" s="583"/>
      <c r="AI29" s="583"/>
      <c r="AJ29" s="583"/>
      <c r="AK29" s="583"/>
      <c r="AL29" s="583"/>
      <c r="AM29" s="583"/>
      <c r="AN29" s="583"/>
      <c r="AO29" s="583"/>
      <c r="AP29" s="583"/>
      <c r="AQ29" s="583">
        <f>+'STER Detailed Disclosure'!AQ27/1000</f>
        <v>-46.682000000000002</v>
      </c>
      <c r="AR29" s="583">
        <f>+'STER Detailed Disclosure'!AR27/1000</f>
        <v>-52.292999999999999</v>
      </c>
      <c r="AS29" s="583">
        <f>+'STER Detailed Disclosure'!AS27/1000</f>
        <v>-18.527000000000001</v>
      </c>
      <c r="AT29" s="583">
        <f>+'STER Detailed Disclosure'!AT27/1000</f>
        <v>19.41</v>
      </c>
      <c r="AU29" s="583">
        <f>+'STER Detailed Disclosure'!AU27/1000</f>
        <v>-0.11600000000000001</v>
      </c>
      <c r="AV29" s="583"/>
      <c r="AW29" s="571"/>
    </row>
    <row r="30" spans="1:49" x14ac:dyDescent="0.25">
      <c r="A30" s="649"/>
      <c r="B30" s="571"/>
      <c r="C30" s="571"/>
      <c r="D30" s="571"/>
      <c r="E30" s="571"/>
      <c r="F30" s="666"/>
      <c r="G30" s="667"/>
      <c r="H30" s="667"/>
      <c r="I30" s="667"/>
      <c r="J30" s="666"/>
      <c r="K30" s="667"/>
      <c r="L30" s="667"/>
      <c r="M30" s="667"/>
      <c r="N30" s="666"/>
      <c r="O30" s="667"/>
      <c r="P30" s="667"/>
      <c r="Q30" s="667"/>
      <c r="R30" s="666"/>
      <c r="S30" s="667"/>
      <c r="T30" s="667"/>
      <c r="U30" s="667"/>
      <c r="V30" s="666"/>
      <c r="W30" s="571"/>
      <c r="X30" s="571"/>
      <c r="Y30" s="571"/>
      <c r="Z30" s="571"/>
      <c r="AA30" s="571"/>
      <c r="AB30" s="571"/>
      <c r="AC30" s="571"/>
      <c r="AD30" s="571"/>
      <c r="AE30" s="571"/>
      <c r="AF30" s="571"/>
      <c r="AG30" s="571"/>
      <c r="AH30" s="571"/>
      <c r="AI30" s="571"/>
      <c r="AJ30" s="571"/>
      <c r="AK30" s="571"/>
      <c r="AL30" s="571"/>
      <c r="AM30" s="571"/>
      <c r="AN30" s="571"/>
      <c r="AO30" s="571"/>
      <c r="AP30" s="571"/>
      <c r="AQ30" s="571"/>
      <c r="AR30" s="571"/>
      <c r="AS30" s="571"/>
      <c r="AT30" s="571"/>
      <c r="AU30" s="571"/>
    </row>
    <row r="31" spans="1:49" x14ac:dyDescent="0.25">
      <c r="A31" s="2150" t="s">
        <v>581</v>
      </c>
      <c r="B31" s="571"/>
      <c r="C31" s="571"/>
      <c r="D31" s="571"/>
      <c r="E31" s="571"/>
      <c r="F31" s="666"/>
      <c r="G31" s="667"/>
      <c r="H31" s="667"/>
      <c r="I31" s="667"/>
      <c r="J31" s="666"/>
      <c r="K31" s="667"/>
      <c r="L31" s="667"/>
      <c r="M31" s="667"/>
      <c r="N31" s="666"/>
      <c r="O31" s="667"/>
      <c r="P31" s="667"/>
      <c r="Q31" s="667"/>
      <c r="R31" s="666"/>
      <c r="S31" s="667"/>
      <c r="T31" s="667"/>
      <c r="U31" s="667"/>
      <c r="V31" s="666"/>
      <c r="W31" s="571"/>
      <c r="X31" s="571"/>
      <c r="Y31" s="571"/>
      <c r="Z31" s="571"/>
      <c r="AA31" s="571"/>
      <c r="AB31" s="571"/>
      <c r="AC31" s="571"/>
      <c r="AD31" s="571"/>
      <c r="AE31" s="571"/>
      <c r="AF31" s="571"/>
      <c r="AG31" s="571"/>
      <c r="AH31" s="571"/>
      <c r="AI31" s="571"/>
      <c r="AJ31" s="571"/>
      <c r="AK31" s="571"/>
      <c r="AL31" s="571"/>
      <c r="AM31" s="571"/>
      <c r="AN31" s="571"/>
      <c r="AO31" s="571"/>
      <c r="AP31" s="571"/>
      <c r="AQ31" s="571"/>
      <c r="AR31" s="571"/>
      <c r="AS31" s="571"/>
      <c r="AT31" s="571"/>
      <c r="AU31" s="571"/>
    </row>
    <row r="32" spans="1:49" x14ac:dyDescent="0.25">
      <c r="A32" s="649" t="str">
        <f>+'STER Detailed Disclosure'!A30</f>
        <v>Basic</v>
      </c>
      <c r="B32" s="571"/>
      <c r="C32" s="571"/>
      <c r="D32" s="571"/>
      <c r="E32" s="2153"/>
      <c r="F32" s="2159"/>
      <c r="G32" s="2166"/>
      <c r="H32" s="2166"/>
      <c r="I32" s="2166"/>
      <c r="J32" s="2159"/>
      <c r="K32" s="2166"/>
      <c r="L32" s="2166"/>
      <c r="M32" s="2166">
        <f>+'STER Detailed Disclosure'!M30/1000</f>
        <v>89431.021999999997</v>
      </c>
      <c r="N32" s="2159">
        <f>+'STER Detailed Disclosure'!N30/1000</f>
        <v>93963.226999999999</v>
      </c>
      <c r="O32" s="2166">
        <f>+'STER Detailed Disclosure'!O30/1000</f>
        <v>93967.819000000003</v>
      </c>
      <c r="P32" s="2166">
        <f>+'STER Detailed Disclosure'!P30/1000</f>
        <v>94024.97</v>
      </c>
      <c r="Q32" s="2166">
        <f>+'STER Detailed Disclosure'!Q30/1000</f>
        <v>94134.69</v>
      </c>
      <c r="R32" s="2159">
        <f>+'STER Detailed Disclosure'!R30/1000</f>
        <v>94080.123000000007</v>
      </c>
      <c r="S32" s="2166">
        <f>+'STER Detailed Disclosure'!S30/1000</f>
        <v>92877.505999999994</v>
      </c>
      <c r="T32" s="2166">
        <f>+'STER Detailed Disclosure'!T30/1000</f>
        <v>92723.900999999998</v>
      </c>
      <c r="U32" s="2166">
        <f>+'STER Detailed Disclosure'!U30/1000</f>
        <v>90972.009000000005</v>
      </c>
      <c r="V32" s="2159">
        <f>+'STER Detailed Disclosure'!V30/1000</f>
        <v>89816.23</v>
      </c>
      <c r="W32" s="2153">
        <f>+'STER Detailed Disclosure'!W30/1000</f>
        <v>90274.093999999997</v>
      </c>
      <c r="X32" s="2153">
        <f>+'STER Detailed Disclosure'!X30/1000</f>
        <v>92778.209000000003</v>
      </c>
      <c r="Y32" s="2153">
        <v>93651.691000000006</v>
      </c>
      <c r="Z32" s="571"/>
      <c r="AA32" s="571"/>
      <c r="AB32" s="571"/>
      <c r="AC32" s="571"/>
      <c r="AD32" s="571"/>
      <c r="AE32" s="571"/>
      <c r="AF32" s="571"/>
      <c r="AG32" s="571"/>
      <c r="AH32" s="571"/>
      <c r="AI32" s="571"/>
      <c r="AJ32" s="571"/>
      <c r="AK32" s="571"/>
      <c r="AL32" s="571"/>
      <c r="AM32" s="571"/>
      <c r="AN32" s="571"/>
      <c r="AO32" s="571"/>
      <c r="AP32" s="571"/>
      <c r="AQ32" s="571"/>
      <c r="AR32" s="571"/>
      <c r="AS32" s="2153">
        <f>+'STER Detailed Disclosure'!AS30/1000</f>
        <v>90218.385999999999</v>
      </c>
      <c r="AT32" s="2153">
        <f>+'STER Detailed Disclosure'!AT30/1000</f>
        <v>94052.434999999998</v>
      </c>
      <c r="AU32" s="2153">
        <f>+'STER Detailed Disclosure'!AU30/1000</f>
        <v>91587.311000000002</v>
      </c>
    </row>
    <row r="33" spans="1:49" x14ac:dyDescent="0.25">
      <c r="A33" s="649" t="str">
        <f>+'STER Detailed Disclosure'!A31</f>
        <v>Diluted</v>
      </c>
      <c r="B33" s="571"/>
      <c r="C33" s="571"/>
      <c r="D33" s="571"/>
      <c r="E33" s="2153"/>
      <c r="F33" s="2159"/>
      <c r="G33" s="2166"/>
      <c r="H33" s="2166"/>
      <c r="I33" s="2166"/>
      <c r="J33" s="2159"/>
      <c r="K33" s="2166"/>
      <c r="L33" s="2166"/>
      <c r="M33" s="2166">
        <f>+'STER Detailed Disclosure'!M31/1000</f>
        <v>89431.021999999997</v>
      </c>
      <c r="N33" s="2159">
        <f>+'STER Detailed Disclosure'!N31/1000</f>
        <v>99690.692999999999</v>
      </c>
      <c r="O33" s="2166">
        <f>+'STER Detailed Disclosure'!O31/1000</f>
        <v>99186.456000000006</v>
      </c>
      <c r="P33" s="2166">
        <f>+'STER Detailed Disclosure'!P31/1000</f>
        <v>99344.562999999995</v>
      </c>
      <c r="Q33" s="2166">
        <f>+'STER Detailed Disclosure'!Q31/1000</f>
        <v>99118.520999999993</v>
      </c>
      <c r="R33" s="2159">
        <f>+'STER Detailed Disclosure'!R31/1000</f>
        <v>94080.123000000007</v>
      </c>
      <c r="S33" s="2166">
        <f>+'STER Detailed Disclosure'!S31/1000</f>
        <v>95350.342000000004</v>
      </c>
      <c r="T33" s="2166">
        <f>+'STER Detailed Disclosure'!T31/1000</f>
        <v>94498.665999999997</v>
      </c>
      <c r="U33" s="2166">
        <f>+'STER Detailed Disclosure'!U31/1000</f>
        <v>93651.691000000006</v>
      </c>
      <c r="V33" s="2159">
        <f>+'STER Detailed Disclosure'!V31/1000</f>
        <v>89816.23</v>
      </c>
      <c r="W33" s="2153">
        <f>+'STER Detailed Disclosure'!W31/1000</f>
        <v>90274.093999999997</v>
      </c>
      <c r="X33" s="2153">
        <f>+'STER Detailed Disclosure'!X31/1000</f>
        <v>92778.209000000003</v>
      </c>
      <c r="Y33" s="2153">
        <v>93651.691000000006</v>
      </c>
      <c r="Z33" s="571"/>
      <c r="AA33" s="571"/>
      <c r="AB33" s="571"/>
      <c r="AC33" s="571"/>
      <c r="AD33" s="571"/>
      <c r="AE33" s="571"/>
      <c r="AF33" s="571"/>
      <c r="AG33" s="571"/>
      <c r="AH33" s="571"/>
      <c r="AI33" s="571"/>
      <c r="AJ33" s="571"/>
      <c r="AK33" s="571"/>
      <c r="AL33" s="571"/>
      <c r="AM33" s="571"/>
      <c r="AN33" s="571"/>
      <c r="AO33" s="571"/>
      <c r="AP33" s="571"/>
      <c r="AQ33" s="571"/>
      <c r="AR33" s="571"/>
      <c r="AS33" s="2153">
        <f>+'STER Detailed Disclosure'!AS31/1000</f>
        <v>90218.385999999999</v>
      </c>
      <c r="AT33" s="2153">
        <f>+'STER Detailed Disclosure'!AT31/1000</f>
        <v>98866.004000000001</v>
      </c>
      <c r="AU33" s="2153">
        <f>+'STER Detailed Disclosure'!AU31/1000</f>
        <v>91587.311000000002</v>
      </c>
    </row>
    <row r="34" spans="1:49" x14ac:dyDescent="0.25">
      <c r="A34" s="649"/>
      <c r="B34" s="571"/>
      <c r="C34" s="571"/>
      <c r="D34" s="571"/>
      <c r="E34" s="571"/>
      <c r="F34" s="666"/>
      <c r="G34" s="667"/>
      <c r="H34" s="667"/>
      <c r="I34" s="667"/>
      <c r="J34" s="666"/>
      <c r="K34" s="667"/>
      <c r="L34" s="667"/>
      <c r="M34" s="667"/>
      <c r="N34" s="666"/>
      <c r="O34" s="667"/>
      <c r="P34" s="667"/>
      <c r="Q34" s="667"/>
      <c r="R34" s="666"/>
      <c r="S34" s="667"/>
      <c r="T34" s="667"/>
      <c r="U34" s="667"/>
      <c r="V34" s="666"/>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row>
    <row r="35" spans="1:49" x14ac:dyDescent="0.25">
      <c r="A35" s="2150" t="s">
        <v>366</v>
      </c>
      <c r="B35" s="571"/>
      <c r="C35" s="571"/>
      <c r="D35" s="571"/>
      <c r="E35" s="571"/>
      <c r="F35" s="666"/>
      <c r="G35" s="667"/>
      <c r="H35" s="667"/>
      <c r="I35" s="667"/>
      <c r="J35" s="666"/>
      <c r="K35" s="667"/>
      <c r="L35" s="667"/>
      <c r="M35" s="667"/>
      <c r="N35" s="666"/>
      <c r="O35" s="667"/>
      <c r="P35" s="667"/>
      <c r="Q35" s="667"/>
      <c r="R35" s="666"/>
      <c r="S35" s="667"/>
      <c r="T35" s="667"/>
      <c r="U35" s="667"/>
      <c r="V35" s="666"/>
      <c r="W35" s="571"/>
      <c r="X35" s="571"/>
      <c r="Y35" s="571"/>
      <c r="Z35" s="571"/>
      <c r="AA35" s="571"/>
      <c r="AB35" s="571"/>
      <c r="AC35" s="571"/>
      <c r="AD35" s="571"/>
      <c r="AE35" s="571"/>
      <c r="AF35" s="571"/>
      <c r="AG35" s="571"/>
      <c r="AH35" s="571"/>
      <c r="AI35" s="571"/>
      <c r="AJ35" s="571"/>
      <c r="AK35" s="571"/>
      <c r="AL35" s="571"/>
      <c r="AM35" s="571"/>
      <c r="AN35" s="571"/>
      <c r="AO35" s="571"/>
      <c r="AP35" s="571"/>
      <c r="AQ35" s="571"/>
      <c r="AR35" s="571"/>
      <c r="AS35" s="571"/>
      <c r="AT35" s="571"/>
      <c r="AU35" s="571"/>
    </row>
    <row r="36" spans="1:49" x14ac:dyDescent="0.25">
      <c r="A36" s="649" t="str">
        <f>+'STER Detailed Disclosure'!A34</f>
        <v>Screening services</v>
      </c>
      <c r="B36" s="571"/>
      <c r="C36" s="571"/>
      <c r="D36" s="571"/>
      <c r="E36" s="571"/>
      <c r="F36" s="666"/>
      <c r="G36" s="667"/>
      <c r="H36" s="667"/>
      <c r="I36" s="667">
        <f>+'STER Detailed Disclosure'!I34/1000</f>
        <v>116.313</v>
      </c>
      <c r="J36" s="666">
        <f>+'STER Detailed Disclosure'!J34/1000</f>
        <v>127.274</v>
      </c>
      <c r="K36" s="667">
        <f>+'STER Detailed Disclosure'!K34/1000</f>
        <v>137.209</v>
      </c>
      <c r="L36" s="667">
        <f>+'STER Detailed Disclosure'!L34/1000</f>
        <v>158.18299999999999</v>
      </c>
      <c r="M36" s="667">
        <f>+'STER Detailed Disclosure'!M34/1000</f>
        <v>168.37200000000001</v>
      </c>
      <c r="N36" s="666">
        <f>+'STER Detailed Disclosure'!N34/1000</f>
        <v>172.35900000000004</v>
      </c>
      <c r="O36" s="667">
        <f>+'STER Detailed Disclosure'!O34/1000</f>
        <v>189.74799999999999</v>
      </c>
      <c r="P36" s="667">
        <f>+'STER Detailed Disclosure'!P34/1000</f>
        <v>204.28200000000001</v>
      </c>
      <c r="Q36" s="667">
        <f>+'STER Detailed Disclosure'!Q34/1000</f>
        <v>197.87</v>
      </c>
      <c r="R36" s="666">
        <f>+'STER Detailed Disclosure'!R34/1000</f>
        <v>168.63300000000004</v>
      </c>
      <c r="S36" s="667">
        <f>+'STER Detailed Disclosure'!S34/1000</f>
        <v>176.87100000000001</v>
      </c>
      <c r="T36" s="667">
        <f>+'STER Detailed Disclosure'!T34/1000</f>
        <v>188.65</v>
      </c>
      <c r="U36" s="667">
        <f>+'STER Detailed Disclosure'!U34/1000</f>
        <v>178.809</v>
      </c>
      <c r="V36" s="666">
        <f>+'STER Detailed Disclosure'!V34/1000</f>
        <v>167.822</v>
      </c>
      <c r="W36" s="571">
        <f>+'STER Detailed Disclosure'!W34/1000</f>
        <v>183.01900000000001</v>
      </c>
      <c r="X36" s="571">
        <f>+'STER Detailed Disclosure'!X34/1000</f>
        <v>199.071</v>
      </c>
      <c r="Y36" s="2273">
        <f>+Y38-Y37</f>
        <v>194.07953253410994</v>
      </c>
      <c r="Z36" s="571"/>
      <c r="AA36" s="571"/>
      <c r="AB36" s="571"/>
      <c r="AC36" s="571"/>
      <c r="AD36" s="571"/>
      <c r="AE36" s="571"/>
      <c r="AF36" s="571"/>
      <c r="AG36" s="571"/>
      <c r="AH36" s="571"/>
      <c r="AI36" s="571"/>
      <c r="AJ36" s="571"/>
      <c r="AK36" s="571"/>
      <c r="AL36" s="571"/>
      <c r="AM36" s="571"/>
      <c r="AN36" s="571"/>
      <c r="AO36" s="571"/>
      <c r="AP36" s="571"/>
      <c r="AQ36" s="571">
        <f>+'STER Detailed Disclosure'!AQ34/1000</f>
        <v>488.92500000000001</v>
      </c>
      <c r="AR36" s="571">
        <f>+'STER Detailed Disclosure'!AR34/1000</f>
        <v>447.87</v>
      </c>
      <c r="AS36" s="2153">
        <f>+'STER Detailed Disclosure'!AS34/1000</f>
        <v>636.12300000000005</v>
      </c>
      <c r="AT36" s="2153">
        <f>+'STER Detailed Disclosure'!AT34/1000</f>
        <v>760.53300000000002</v>
      </c>
      <c r="AU36" s="2153">
        <f>+'STER Detailed Disclosure'!AU34/1000</f>
        <v>712.15200000000004</v>
      </c>
    </row>
    <row r="37" spans="1:49" s="413" customFormat="1" ht="14" x14ac:dyDescent="0.4">
      <c r="A37" s="132" t="str">
        <f>+'STER Detailed Disclosure'!A35</f>
        <v>Other services</v>
      </c>
      <c r="B37" s="614"/>
      <c r="C37" s="719"/>
      <c r="D37" s="719"/>
      <c r="E37" s="719"/>
      <c r="F37" s="718"/>
      <c r="G37" s="719"/>
      <c r="H37" s="719"/>
      <c r="I37" s="719">
        <f>+'STER Detailed Disclosure'!I35/1000</f>
        <v>1.2889999999999999</v>
      </c>
      <c r="J37" s="718">
        <f>+'STER Detailed Disclosure'!J35/1000</f>
        <v>1.2290000000000001</v>
      </c>
      <c r="K37" s="719">
        <f>+'STER Detailed Disclosure'!K35/1000</f>
        <v>2.161</v>
      </c>
      <c r="L37" s="719">
        <f>+'STER Detailed Disclosure'!L35/1000</f>
        <v>1.145</v>
      </c>
      <c r="M37" s="719">
        <f>+'STER Detailed Disclosure'!M35/1000</f>
        <v>1.1850000000000001</v>
      </c>
      <c r="N37" s="718">
        <f>+'STER Detailed Disclosure'!N35/1000</f>
        <v>1.2700000000000005</v>
      </c>
      <c r="O37" s="719">
        <f>+'STER Detailed Disclosure'!O35/1000</f>
        <v>2.2240000000000002</v>
      </c>
      <c r="P37" s="719">
        <f>+'STER Detailed Disclosure'!P35/1000</f>
        <v>1.3089999999999999</v>
      </c>
      <c r="Q37" s="719">
        <f>+'STER Detailed Disclosure'!Q35/1000</f>
        <v>1.429</v>
      </c>
      <c r="R37" s="718">
        <f>+'STER Detailed Disclosure'!R35/1000</f>
        <v>1.286999999999999</v>
      </c>
      <c r="S37" s="719">
        <f>+'STER Detailed Disclosure'!S35/1000</f>
        <v>2.403</v>
      </c>
      <c r="T37" s="719">
        <f>+'STER Detailed Disclosure'!T35/1000</f>
        <v>1.734</v>
      </c>
      <c r="U37" s="719">
        <f>+'STER Detailed Disclosure'!U35/1000</f>
        <v>1.7569999999999999</v>
      </c>
      <c r="V37" s="718">
        <f>+'STER Detailed Disclosure'!V35/1000</f>
        <v>1.5940000000000003</v>
      </c>
      <c r="W37" s="719">
        <f>+'STER Detailed Disclosure'!W35/1000</f>
        <v>2.98</v>
      </c>
      <c r="X37" s="719">
        <f>+'STER Detailed Disclosure'!X35/1000</f>
        <v>1.4570000000000001</v>
      </c>
      <c r="Y37" s="2274">
        <f>+X37/X38*Y38</f>
        <v>1.4204674658900505</v>
      </c>
      <c r="Z37" s="719"/>
      <c r="AA37" s="719"/>
      <c r="AB37" s="719"/>
      <c r="AC37" s="719"/>
      <c r="AD37" s="719"/>
      <c r="AE37" s="719"/>
      <c r="AF37" s="719"/>
      <c r="AG37" s="719"/>
      <c r="AH37" s="719"/>
      <c r="AI37" s="719"/>
      <c r="AJ37" s="719"/>
      <c r="AK37" s="719"/>
      <c r="AL37" s="719"/>
      <c r="AM37" s="719"/>
      <c r="AN37" s="719"/>
      <c r="AO37" s="719"/>
      <c r="AP37" s="719"/>
      <c r="AQ37" s="719">
        <f>+'STER Detailed Disclosure'!AQ35/1000</f>
        <v>8.1910000000000007</v>
      </c>
      <c r="AR37" s="719">
        <f>+'STER Detailed Disclosure'!AR35/1000</f>
        <v>6.1829999999999998</v>
      </c>
      <c r="AS37" s="719">
        <f>+'STER Detailed Disclosure'!AS35/1000</f>
        <v>5.7610000000000001</v>
      </c>
      <c r="AT37" s="719">
        <f>+'STER Detailed Disclosure'!AT35/1000</f>
        <v>6.2489999999999997</v>
      </c>
      <c r="AU37" s="719">
        <f>+'STER Detailed Disclosure'!AU35/1000</f>
        <v>7.4880000000000004</v>
      </c>
      <c r="AV37" s="719"/>
      <c r="AW37" s="614"/>
    </row>
    <row r="38" spans="1:49" x14ac:dyDescent="0.25">
      <c r="A38" s="425" t="str">
        <f>+'STER Detailed Disclosure'!A36</f>
        <v>Total revenue</v>
      </c>
      <c r="B38" s="571"/>
      <c r="C38" s="583"/>
      <c r="D38" s="583"/>
      <c r="E38" s="583">
        <f>+E8</f>
        <v>132.76499999999999</v>
      </c>
      <c r="F38" s="588">
        <f>+F8</f>
        <v>121.429</v>
      </c>
      <c r="G38" s="583">
        <f>+G8</f>
        <v>119.376</v>
      </c>
      <c r="H38" s="583">
        <f>+H8</f>
        <v>88.570999999999998</v>
      </c>
      <c r="I38" s="583">
        <f>+'STER Detailed Disclosure'!I36/1000</f>
        <v>117.602</v>
      </c>
      <c r="J38" s="588">
        <f>+'STER Detailed Disclosure'!J36/1000</f>
        <v>128.50299999999999</v>
      </c>
      <c r="K38" s="583">
        <f>+'STER Detailed Disclosure'!K36/1000</f>
        <v>139.37</v>
      </c>
      <c r="L38" s="583">
        <f>+'STER Detailed Disclosure'!L36/1000</f>
        <v>159.328</v>
      </c>
      <c r="M38" s="583">
        <f>+'STER Detailed Disclosure'!M36/1000</f>
        <v>169.55699999999999</v>
      </c>
      <c r="N38" s="588">
        <f>+'STER Detailed Disclosure'!N36/1000</f>
        <v>173.62900000000002</v>
      </c>
      <c r="O38" s="583">
        <f>+'STER Detailed Disclosure'!O36/1000</f>
        <v>191.97200000000001</v>
      </c>
      <c r="P38" s="583">
        <f>+'STER Detailed Disclosure'!P36/1000</f>
        <v>205.59100000000001</v>
      </c>
      <c r="Q38" s="583">
        <f>+'STER Detailed Disclosure'!Q36/1000</f>
        <v>199.29900000000001</v>
      </c>
      <c r="R38" s="588">
        <f>+'STER Detailed Disclosure'!R36/1000</f>
        <v>169.92000000000002</v>
      </c>
      <c r="S38" s="583">
        <f>+'STER Detailed Disclosure'!S36/1000</f>
        <v>179.274</v>
      </c>
      <c r="T38" s="583">
        <f>+'STER Detailed Disclosure'!T36/1000</f>
        <v>190.38399999999999</v>
      </c>
      <c r="U38" s="583">
        <f>+'STER Detailed Disclosure'!U36/1000</f>
        <v>180.566</v>
      </c>
      <c r="V38" s="588">
        <f>+'STER Detailed Disclosure'!V36/1000</f>
        <v>169.416</v>
      </c>
      <c r="W38" s="583">
        <f>+'STER Detailed Disclosure'!W36/1000</f>
        <v>185.999</v>
      </c>
      <c r="X38" s="583">
        <f>+'STER Detailed Disclosure'!X36/1000</f>
        <v>200.52799999999999</v>
      </c>
      <c r="Y38" s="583">
        <f>+Y8</f>
        <v>195.5</v>
      </c>
      <c r="Z38" s="583"/>
      <c r="AA38" s="583"/>
      <c r="AB38" s="583"/>
      <c r="AC38" s="583"/>
      <c r="AD38" s="583"/>
      <c r="AE38" s="583"/>
      <c r="AF38" s="583"/>
      <c r="AG38" s="583"/>
      <c r="AH38" s="583"/>
      <c r="AI38" s="583"/>
      <c r="AJ38" s="583"/>
      <c r="AK38" s="583"/>
      <c r="AL38" s="583"/>
      <c r="AM38" s="583"/>
      <c r="AN38" s="583"/>
      <c r="AO38" s="583"/>
      <c r="AP38" s="583"/>
      <c r="AQ38" s="583">
        <f>+'STER Detailed Disclosure'!AQ36/1000</f>
        <v>497.11599999999999</v>
      </c>
      <c r="AR38" s="583">
        <f>+'STER Detailed Disclosure'!AR36/1000</f>
        <v>454.053</v>
      </c>
      <c r="AS38" s="583">
        <f>+'STER Detailed Disclosure'!AS36/1000</f>
        <v>641.88400000000001</v>
      </c>
      <c r="AT38" s="583">
        <f>+'STER Detailed Disclosure'!AT36/1000</f>
        <v>766.78200000000004</v>
      </c>
      <c r="AU38" s="583">
        <f>+'STER Detailed Disclosure'!AU36/1000</f>
        <v>719.64</v>
      </c>
      <c r="AV38" s="583"/>
      <c r="AW38" s="571"/>
    </row>
    <row r="39" spans="1:49" x14ac:dyDescent="0.25">
      <c r="A39" s="649"/>
      <c r="B39" s="571"/>
      <c r="C39" s="571"/>
      <c r="D39" s="571"/>
      <c r="E39" s="571"/>
      <c r="F39" s="666"/>
      <c r="G39" s="667"/>
      <c r="H39" s="667"/>
      <c r="I39" s="667"/>
      <c r="J39" s="666"/>
      <c r="K39" s="667"/>
      <c r="L39" s="667"/>
      <c r="M39" s="667"/>
      <c r="N39" s="666"/>
      <c r="O39" s="667"/>
      <c r="P39" s="667"/>
      <c r="Q39" s="667"/>
      <c r="R39" s="666"/>
      <c r="S39" s="667"/>
      <c r="T39" s="667"/>
      <c r="U39" s="667"/>
      <c r="V39" s="666"/>
      <c r="W39" s="571"/>
      <c r="X39" s="571"/>
      <c r="Y39" s="571"/>
      <c r="Z39" s="571"/>
      <c r="AA39" s="571"/>
      <c r="AB39" s="571"/>
      <c r="AC39" s="571"/>
      <c r="AD39" s="571"/>
      <c r="AE39" s="571"/>
      <c r="AF39" s="571"/>
      <c r="AG39" s="571"/>
      <c r="AH39" s="571"/>
      <c r="AI39" s="571"/>
      <c r="AJ39" s="571"/>
      <c r="AK39" s="571"/>
      <c r="AL39" s="571"/>
      <c r="AM39" s="571"/>
      <c r="AN39" s="571"/>
      <c r="AO39" s="571"/>
      <c r="AP39" s="571"/>
      <c r="AQ39" s="571"/>
      <c r="AR39" s="571"/>
      <c r="AS39" s="571"/>
      <c r="AT39" s="571"/>
      <c r="AU39" s="571"/>
    </row>
    <row r="40" spans="1:49" x14ac:dyDescent="0.25">
      <c r="A40" s="2150" t="s">
        <v>366</v>
      </c>
      <c r="B40" s="571"/>
      <c r="C40" s="571"/>
      <c r="D40" s="571"/>
      <c r="E40" s="571"/>
      <c r="F40" s="666"/>
      <c r="G40" s="667"/>
      <c r="H40" s="667"/>
      <c r="I40" s="667"/>
      <c r="J40" s="666"/>
      <c r="K40" s="667"/>
      <c r="L40" s="667"/>
      <c r="M40" s="667"/>
      <c r="N40" s="666"/>
      <c r="O40" s="667"/>
      <c r="P40" s="667"/>
      <c r="Q40" s="667"/>
      <c r="R40" s="666"/>
      <c r="S40" s="667"/>
      <c r="T40" s="667"/>
      <c r="U40" s="667"/>
      <c r="V40" s="666"/>
      <c r="W40" s="571"/>
      <c r="X40" s="571"/>
      <c r="Y40" s="571"/>
      <c r="Z40" s="571"/>
      <c r="AA40" s="571"/>
      <c r="AB40" s="571"/>
      <c r="AC40" s="571"/>
      <c r="AD40" s="571"/>
      <c r="AE40" s="571"/>
      <c r="AF40" s="571"/>
      <c r="AG40" s="571"/>
      <c r="AH40" s="571"/>
      <c r="AI40" s="571"/>
      <c r="AJ40" s="571"/>
      <c r="AK40" s="571"/>
      <c r="AL40" s="571"/>
      <c r="AM40" s="571"/>
      <c r="AN40" s="571"/>
      <c r="AO40" s="571"/>
      <c r="AP40" s="571"/>
      <c r="AQ40" s="571"/>
      <c r="AR40" s="571"/>
      <c r="AS40" s="571"/>
      <c r="AT40" s="571"/>
      <c r="AU40" s="571"/>
    </row>
    <row r="41" spans="1:49" x14ac:dyDescent="0.25">
      <c r="A41" s="649" t="str">
        <f>+'STER Detailed Disclosure'!A39</f>
        <v>United States</v>
      </c>
      <c r="B41" s="571"/>
      <c r="C41" s="571"/>
      <c r="D41" s="571"/>
      <c r="E41" s="571"/>
      <c r="F41" s="666"/>
      <c r="G41" s="667"/>
      <c r="H41" s="667"/>
      <c r="I41" s="667">
        <f>+'STER Detailed Disclosure'!I39/1000</f>
        <v>98.605999999999995</v>
      </c>
      <c r="J41" s="666">
        <f>+'STER Detailed Disclosure'!J39/1000</f>
        <v>103.94400000000002</v>
      </c>
      <c r="K41" s="667">
        <f>+'STER Detailed Disclosure'!K39/1000</f>
        <v>109.19</v>
      </c>
      <c r="L41" s="667">
        <f>+'STER Detailed Disclosure'!L39/1000</f>
        <v>130.29400000000001</v>
      </c>
      <c r="M41" s="667">
        <f>+'STER Detailed Disclosure'!M39/1000</f>
        <v>139.56399999999999</v>
      </c>
      <c r="N41" s="666">
        <f>+'STER Detailed Disclosure'!N39/1000</f>
        <v>143.62400000000002</v>
      </c>
      <c r="O41" s="667">
        <f>+'STER Detailed Disclosure'!O39/1000</f>
        <v>159.316</v>
      </c>
      <c r="P41" s="667">
        <f>+'STER Detailed Disclosure'!P39/1000</f>
        <v>174.11500000000001</v>
      </c>
      <c r="Q41" s="667">
        <f>+'STER Detailed Disclosure'!Q39/1000</f>
        <v>168.61500000000001</v>
      </c>
      <c r="R41" s="666">
        <f>+'STER Detailed Disclosure'!R39/1000</f>
        <v>141.77999999999997</v>
      </c>
      <c r="S41" s="667">
        <f>+'STER Detailed Disclosure'!S39/1000</f>
        <v>149.74199999999999</v>
      </c>
      <c r="T41" s="667">
        <f>+'STER Detailed Disclosure'!T39/1000</f>
        <v>162.19800000000001</v>
      </c>
      <c r="U41" s="667">
        <f>+'STER Detailed Disclosure'!U39/1000</f>
        <v>153.577</v>
      </c>
      <c r="V41" s="666">
        <f>+'STER Detailed Disclosure'!V39/1000</f>
        <v>144.17699999999996</v>
      </c>
      <c r="W41" s="571">
        <f>+'STER Detailed Disclosure'!W39/1000</f>
        <v>159.827</v>
      </c>
      <c r="X41" s="571">
        <f>+'STER Detailed Disclosure'!X39/1000</f>
        <v>173.976</v>
      </c>
      <c r="Y41" s="2273">
        <f>+Y43-Y42</f>
        <v>169.05078</v>
      </c>
      <c r="Z41" s="571"/>
      <c r="AA41" s="571"/>
      <c r="AB41" s="571"/>
      <c r="AC41" s="571"/>
      <c r="AD41" s="571"/>
      <c r="AE41" s="571"/>
      <c r="AF41" s="571"/>
      <c r="AG41" s="571"/>
      <c r="AH41" s="571"/>
      <c r="AI41" s="571"/>
      <c r="AJ41" s="571"/>
      <c r="AK41" s="571"/>
      <c r="AL41" s="571"/>
      <c r="AM41" s="571"/>
      <c r="AN41" s="571"/>
      <c r="AO41" s="571"/>
      <c r="AP41" s="571"/>
      <c r="AQ41" s="571">
        <f>+'STER Detailed Disclosure'!AQ39/1000</f>
        <v>424.77300000000002</v>
      </c>
      <c r="AR41" s="571">
        <f>+'STER Detailed Disclosure'!AR39/1000</f>
        <v>377.351</v>
      </c>
      <c r="AS41" s="2153">
        <f>+'STER Detailed Disclosure'!AS39/1000</f>
        <v>522.67200000000003</v>
      </c>
      <c r="AT41" s="2153">
        <f>+'STER Detailed Disclosure'!AT39/1000</f>
        <v>643.82600000000002</v>
      </c>
      <c r="AU41" s="2153">
        <f>+'STER Detailed Disclosure'!AU39/1000</f>
        <v>609.69399999999996</v>
      </c>
    </row>
    <row r="42" spans="1:49" s="413" customFormat="1" ht="14" x14ac:dyDescent="0.4">
      <c r="A42" s="132" t="str">
        <f>+'STER Detailed Disclosure'!A40</f>
        <v>All other countries</v>
      </c>
      <c r="B42" s="614"/>
      <c r="C42" s="719"/>
      <c r="D42" s="719"/>
      <c r="E42" s="719"/>
      <c r="F42" s="718"/>
      <c r="G42" s="719"/>
      <c r="H42" s="719"/>
      <c r="I42" s="719">
        <f>+'STER Detailed Disclosure'!I40/1000</f>
        <v>18.995999999999999</v>
      </c>
      <c r="J42" s="718">
        <f>+'STER Detailed Disclosure'!J40/1000</f>
        <v>24.558999999999997</v>
      </c>
      <c r="K42" s="719">
        <f>+'STER Detailed Disclosure'!K40/1000</f>
        <v>30.18</v>
      </c>
      <c r="L42" s="719">
        <f>+'STER Detailed Disclosure'!L40/1000</f>
        <v>29.033999999999999</v>
      </c>
      <c r="M42" s="719">
        <f>+'STER Detailed Disclosure'!M40/1000</f>
        <v>29.992999999999999</v>
      </c>
      <c r="N42" s="718">
        <f>+'STER Detailed Disclosure'!N40/1000</f>
        <v>30.00500000000001</v>
      </c>
      <c r="O42" s="719">
        <f>+'STER Detailed Disclosure'!O40/1000</f>
        <v>32.655999999999999</v>
      </c>
      <c r="P42" s="719">
        <f>+'STER Detailed Disclosure'!P40/1000</f>
        <v>31.475999999999999</v>
      </c>
      <c r="Q42" s="719">
        <f>+'STER Detailed Disclosure'!Q40/1000</f>
        <v>30.684000000000001</v>
      </c>
      <c r="R42" s="718">
        <f>+'STER Detailed Disclosure'!R40/1000</f>
        <v>28.14</v>
      </c>
      <c r="S42" s="719">
        <f>+'STER Detailed Disclosure'!S40/1000</f>
        <v>29.532</v>
      </c>
      <c r="T42" s="719">
        <f>+'STER Detailed Disclosure'!T40/1000</f>
        <v>28.186</v>
      </c>
      <c r="U42" s="719">
        <f>+'STER Detailed Disclosure'!U40/1000</f>
        <v>26.989000000000001</v>
      </c>
      <c r="V42" s="718">
        <f>+'STER Detailed Disclosure'!V40/1000</f>
        <v>25.23899999999999</v>
      </c>
      <c r="W42" s="719">
        <f>+'STER Detailed Disclosure'!W40/1000</f>
        <v>26.172000000000001</v>
      </c>
      <c r="X42" s="719">
        <f>+'STER Detailed Disclosure'!X40/1000</f>
        <v>26.552</v>
      </c>
      <c r="Y42" s="2274">
        <f>+U42*0.98</f>
        <v>26.44922</v>
      </c>
      <c r="Z42" s="719"/>
      <c r="AA42" s="719"/>
      <c r="AB42" s="719"/>
      <c r="AC42" s="719"/>
      <c r="AD42" s="719"/>
      <c r="AE42" s="719"/>
      <c r="AF42" s="719"/>
      <c r="AG42" s="719"/>
      <c r="AH42" s="719"/>
      <c r="AI42" s="719"/>
      <c r="AJ42" s="719"/>
      <c r="AK42" s="719"/>
      <c r="AL42" s="719"/>
      <c r="AM42" s="719"/>
      <c r="AN42" s="719"/>
      <c r="AO42" s="719"/>
      <c r="AP42" s="719"/>
      <c r="AQ42" s="719">
        <f>+'STER Detailed Disclosure'!AQ40/1000</f>
        <v>72.343000000000004</v>
      </c>
      <c r="AR42" s="719">
        <f>+'STER Detailed Disclosure'!AR40/1000</f>
        <v>76.701999999999998</v>
      </c>
      <c r="AS42" s="719">
        <f>+'STER Detailed Disclosure'!AS40/1000</f>
        <v>119.212</v>
      </c>
      <c r="AT42" s="719">
        <f>+'STER Detailed Disclosure'!AT40/1000</f>
        <v>122.956</v>
      </c>
      <c r="AU42" s="719">
        <f>+'STER Detailed Disclosure'!AU40/1000</f>
        <v>109.946</v>
      </c>
      <c r="AV42" s="719"/>
      <c r="AW42" s="614"/>
    </row>
    <row r="43" spans="1:49" x14ac:dyDescent="0.25">
      <c r="A43" s="425" t="str">
        <f>+'STER Detailed Disclosure'!A41</f>
        <v>Total revenue</v>
      </c>
      <c r="B43" s="571"/>
      <c r="C43" s="583"/>
      <c r="D43" s="583"/>
      <c r="E43" s="583">
        <f>+E8</f>
        <v>132.76499999999999</v>
      </c>
      <c r="F43" s="588">
        <f>+F8</f>
        <v>121.429</v>
      </c>
      <c r="G43" s="583">
        <f>+G8</f>
        <v>119.376</v>
      </c>
      <c r="H43" s="583">
        <f>+H8</f>
        <v>88.570999999999998</v>
      </c>
      <c r="I43" s="583">
        <f>+'STER Detailed Disclosure'!I41/1000</f>
        <v>117.602</v>
      </c>
      <c r="J43" s="588">
        <f>+'STER Detailed Disclosure'!J41/1000</f>
        <v>128.50300000000001</v>
      </c>
      <c r="K43" s="583">
        <f>+'STER Detailed Disclosure'!K41/1000</f>
        <v>139.37</v>
      </c>
      <c r="L43" s="583">
        <f>+'STER Detailed Disclosure'!L41/1000</f>
        <v>159.328</v>
      </c>
      <c r="M43" s="583">
        <f>+'STER Detailed Disclosure'!M41/1000</f>
        <v>169.55699999999999</v>
      </c>
      <c r="N43" s="588">
        <f>+'STER Detailed Disclosure'!N41/1000</f>
        <v>173.62900000000002</v>
      </c>
      <c r="O43" s="583">
        <f>+'STER Detailed Disclosure'!O41/1000</f>
        <v>191.97200000000001</v>
      </c>
      <c r="P43" s="583">
        <f>+'STER Detailed Disclosure'!P41/1000</f>
        <v>205.59100000000001</v>
      </c>
      <c r="Q43" s="583">
        <f>+'STER Detailed Disclosure'!Q41/1000</f>
        <v>199.29900000000001</v>
      </c>
      <c r="R43" s="588">
        <f>+'STER Detailed Disclosure'!R41/1000</f>
        <v>169.91999999999996</v>
      </c>
      <c r="S43" s="583">
        <f>+'STER Detailed Disclosure'!S41/1000</f>
        <v>179.274</v>
      </c>
      <c r="T43" s="583">
        <f>+'STER Detailed Disclosure'!T41/1000</f>
        <v>190.38399999999999</v>
      </c>
      <c r="U43" s="583">
        <f>+'STER Detailed Disclosure'!U41/1000</f>
        <v>180.566</v>
      </c>
      <c r="V43" s="588">
        <f>+'STER Detailed Disclosure'!V41/1000</f>
        <v>169.41599999999997</v>
      </c>
      <c r="W43" s="583">
        <f>+'STER Detailed Disclosure'!W41/1000</f>
        <v>185.999</v>
      </c>
      <c r="X43" s="583">
        <f>+'STER Detailed Disclosure'!X41/1000</f>
        <v>200.52799999999999</v>
      </c>
      <c r="Y43" s="583">
        <f>+Y38</f>
        <v>195.5</v>
      </c>
      <c r="Z43" s="583"/>
      <c r="AA43" s="583"/>
      <c r="AB43" s="583"/>
      <c r="AC43" s="583"/>
      <c r="AD43" s="583"/>
      <c r="AE43" s="583"/>
      <c r="AF43" s="583"/>
      <c r="AG43" s="583"/>
      <c r="AH43" s="583"/>
      <c r="AI43" s="583"/>
      <c r="AJ43" s="583"/>
      <c r="AK43" s="583"/>
      <c r="AL43" s="583"/>
      <c r="AM43" s="583"/>
      <c r="AN43" s="583"/>
      <c r="AO43" s="583"/>
      <c r="AP43" s="583"/>
      <c r="AQ43" s="583">
        <f>+'STER Detailed Disclosure'!AQ41/1000</f>
        <v>497.11599999999999</v>
      </c>
      <c r="AR43" s="583">
        <f>+'STER Detailed Disclosure'!AR41/1000</f>
        <v>454.053</v>
      </c>
      <c r="AS43" s="583">
        <f>+'STER Detailed Disclosure'!AS41/1000</f>
        <v>641.88400000000001</v>
      </c>
      <c r="AT43" s="583">
        <f>+'STER Detailed Disclosure'!AT41/1000</f>
        <v>766.78200000000004</v>
      </c>
      <c r="AU43" s="583">
        <f>+'STER Detailed Disclosure'!AU41/1000</f>
        <v>719.64</v>
      </c>
      <c r="AV43" s="583"/>
      <c r="AW43" s="571"/>
    </row>
    <row r="44" spans="1:49" x14ac:dyDescent="0.25">
      <c r="A44" s="425"/>
      <c r="B44" s="571"/>
      <c r="C44" s="583"/>
      <c r="D44" s="583"/>
      <c r="E44" s="583"/>
      <c r="F44" s="588"/>
      <c r="G44" s="583"/>
      <c r="H44" s="583"/>
      <c r="I44" s="583"/>
      <c r="J44" s="588"/>
      <c r="K44" s="583"/>
      <c r="L44" s="583"/>
      <c r="M44" s="583"/>
      <c r="N44" s="588"/>
      <c r="O44" s="583"/>
      <c r="P44" s="583"/>
      <c r="Q44" s="583"/>
      <c r="R44" s="588"/>
      <c r="S44" s="583"/>
      <c r="T44" s="583"/>
      <c r="U44" s="583"/>
      <c r="V44" s="588"/>
      <c r="W44" s="583"/>
      <c r="X44" s="583"/>
      <c r="Y44" s="583"/>
      <c r="Z44" s="583"/>
      <c r="AA44" s="583"/>
      <c r="AB44" s="583"/>
      <c r="AC44" s="583"/>
      <c r="AD44" s="583"/>
      <c r="AE44" s="583"/>
      <c r="AF44" s="583"/>
      <c r="AG44" s="583"/>
      <c r="AH44" s="583"/>
      <c r="AI44" s="583"/>
      <c r="AJ44" s="583"/>
      <c r="AK44" s="583"/>
      <c r="AL44" s="583"/>
      <c r="AM44" s="583"/>
      <c r="AN44" s="583"/>
      <c r="AO44" s="583"/>
      <c r="AP44" s="583"/>
      <c r="AQ44" s="583"/>
      <c r="AR44" s="583"/>
      <c r="AS44" s="583"/>
      <c r="AT44" s="583"/>
      <c r="AU44" s="583"/>
      <c r="AV44" s="583"/>
      <c r="AW44" s="571"/>
    </row>
    <row r="45" spans="1:49" x14ac:dyDescent="0.25">
      <c r="A45" s="2150" t="s">
        <v>582</v>
      </c>
      <c r="B45" s="571"/>
      <c r="C45" s="571"/>
      <c r="D45" s="571"/>
      <c r="E45" s="571"/>
      <c r="F45" s="666"/>
      <c r="G45" s="667"/>
      <c r="H45" s="667"/>
      <c r="I45" s="667"/>
      <c r="J45" s="666"/>
      <c r="K45" s="667"/>
      <c r="L45" s="667"/>
      <c r="M45" s="667"/>
      <c r="N45" s="666"/>
      <c r="O45" s="667"/>
      <c r="P45" s="667"/>
      <c r="Q45" s="667"/>
      <c r="R45" s="666"/>
      <c r="S45" s="667"/>
      <c r="T45" s="667"/>
      <c r="U45" s="667"/>
      <c r="V45" s="666"/>
      <c r="W45" s="571"/>
      <c r="X45" s="571"/>
      <c r="Y45" s="571"/>
      <c r="Z45" s="571"/>
      <c r="AA45" s="571"/>
      <c r="AB45" s="571"/>
      <c r="AC45" s="571"/>
      <c r="AD45" s="571"/>
      <c r="AE45" s="571"/>
      <c r="AF45" s="571"/>
      <c r="AG45" s="571"/>
      <c r="AH45" s="571"/>
      <c r="AI45" s="571"/>
      <c r="AJ45" s="571"/>
      <c r="AK45" s="571"/>
      <c r="AL45" s="571"/>
      <c r="AM45" s="571"/>
      <c r="AN45" s="571"/>
      <c r="AO45" s="571"/>
      <c r="AP45" s="571"/>
      <c r="AQ45" s="571"/>
      <c r="AR45" s="571"/>
      <c r="AS45" s="571"/>
      <c r="AT45" s="571"/>
      <c r="AU45" s="571"/>
    </row>
    <row r="46" spans="1:49" ht="13" x14ac:dyDescent="0.3">
      <c r="A46" s="649" t="s">
        <v>583</v>
      </c>
      <c r="B46" s="2158"/>
      <c r="C46" s="2151"/>
      <c r="D46" s="2151"/>
      <c r="E46" s="2151"/>
      <c r="F46" s="2160"/>
      <c r="G46" s="2151"/>
      <c r="H46" s="2151"/>
      <c r="I46" s="2151"/>
      <c r="J46" s="2160"/>
      <c r="K46" s="2151"/>
      <c r="L46" s="2151"/>
      <c r="M46" s="2151">
        <v>0</v>
      </c>
      <c r="N46" s="2160">
        <v>2.3E-2</v>
      </c>
      <c r="O46" s="2151">
        <v>0.08</v>
      </c>
      <c r="P46" s="2151">
        <v>7.6999999999999999E-2</v>
      </c>
      <c r="Q46" s="2151">
        <v>6.7000000000000004E-2</v>
      </c>
      <c r="R46" s="2160">
        <f>+(AT46*AS8-SUMPRODUCT(O46:Q46,K8:M8))/N8</f>
        <v>3.9994960519268104E-2</v>
      </c>
      <c r="S46" s="2151">
        <v>1.4999999999999999E-2</v>
      </c>
      <c r="T46" s="2151">
        <v>3.2000000000000001E-2</v>
      </c>
      <c r="U46" s="2151">
        <v>2.4E-2</v>
      </c>
      <c r="V46" s="2160">
        <f>+(AU46*AT8-SUMPRODUCT(S46:U46,O8:Q8))/R8</f>
        <v>1.9975976930320143E-2</v>
      </c>
      <c r="W46" s="2151">
        <v>8.6999999999999994E-2</v>
      </c>
      <c r="X46" s="2151">
        <v>6.2E-2</v>
      </c>
      <c r="Y46" s="2151">
        <f>11.8/U8</f>
        <v>6.5350065903880025E-2</v>
      </c>
      <c r="Z46" s="2151"/>
      <c r="AA46" s="2151"/>
      <c r="AB46" s="2151"/>
      <c r="AC46" s="2151"/>
      <c r="AD46" s="2151"/>
      <c r="AE46" s="2151"/>
      <c r="AF46" s="2151"/>
      <c r="AG46" s="2151"/>
      <c r="AH46" s="2151"/>
      <c r="AI46" s="2151"/>
      <c r="AJ46" s="2151"/>
      <c r="AK46" s="2151"/>
      <c r="AL46" s="2151"/>
      <c r="AM46" s="2151"/>
      <c r="AN46" s="2151"/>
      <c r="AO46" s="2151"/>
      <c r="AP46" s="2151"/>
      <c r="AQ46" s="2151"/>
      <c r="AR46" s="2151"/>
      <c r="AS46" s="2151">
        <v>6.9999999999999993E-3</v>
      </c>
      <c r="AT46" s="2151">
        <v>6.5000000000000002E-2</v>
      </c>
      <c r="AU46" s="2151">
        <v>2.3E-2</v>
      </c>
    </row>
    <row r="47" spans="1:49" ht="13" x14ac:dyDescent="0.3">
      <c r="A47" s="649" t="s">
        <v>584</v>
      </c>
      <c r="B47" s="2158"/>
      <c r="C47" s="2151"/>
      <c r="D47" s="2151"/>
      <c r="E47" s="2151"/>
      <c r="F47" s="2160"/>
      <c r="G47" s="2151"/>
      <c r="H47" s="2151"/>
      <c r="I47" s="2151"/>
      <c r="J47" s="2160"/>
      <c r="K47" s="2151"/>
      <c r="L47" s="2151"/>
      <c r="M47" s="2151">
        <v>0.01</v>
      </c>
      <c r="N47" s="2160">
        <f>+N49-N46-N48</f>
        <v>5.0031543942424817E-3</v>
      </c>
      <c r="O47" s="2151">
        <v>-6.9999999999999993E-3</v>
      </c>
      <c r="P47" s="2151">
        <v>-1.4999999999999999E-2</v>
      </c>
      <c r="Q47" s="2151">
        <v>-1.6E-2</v>
      </c>
      <c r="R47" s="2160">
        <f>+R49-R46-R48</f>
        <v>-1.8356599415996259E-2</v>
      </c>
      <c r="S47" s="2151">
        <v>-0.01</v>
      </c>
      <c r="T47" s="2151">
        <v>-5.0000000000000001E-3</v>
      </c>
      <c r="U47" s="2151">
        <v>1E-3</v>
      </c>
      <c r="V47" s="2160">
        <f>+V49-V46-V48</f>
        <v>5.0579213747643445E-3</v>
      </c>
      <c r="W47" s="2151">
        <f>+W49-W46-W48</f>
        <v>-4.8758883050532831E-4</v>
      </c>
      <c r="X47" s="2151">
        <f>+X49-X46-X48</f>
        <v>2.817883855787337E-4</v>
      </c>
      <c r="Y47" s="2151">
        <f>+Y49-Y46-Y48</f>
        <v>2.6499340961199797E-3</v>
      </c>
      <c r="Z47" s="2151"/>
      <c r="AA47" s="2151"/>
      <c r="AB47" s="2151"/>
      <c r="AC47" s="2151"/>
      <c r="AD47" s="2151"/>
      <c r="AE47" s="2151"/>
      <c r="AF47" s="2151"/>
      <c r="AG47" s="2151"/>
      <c r="AH47" s="2151"/>
      <c r="AI47" s="2151"/>
      <c r="AJ47" s="2151"/>
      <c r="AK47" s="2151"/>
      <c r="AL47" s="2151"/>
      <c r="AM47" s="2151"/>
      <c r="AN47" s="2151"/>
      <c r="AO47" s="2151"/>
      <c r="AP47" s="2151"/>
      <c r="AQ47" s="2151"/>
      <c r="AR47" s="2151"/>
      <c r="AS47" s="2151">
        <v>1.7000000000000001E-2</v>
      </c>
      <c r="AT47" s="2151">
        <v>-1.4E-2</v>
      </c>
      <c r="AU47" s="2151">
        <v>-2E-3</v>
      </c>
    </row>
    <row r="48" spans="1:49" s="565" customFormat="1" ht="13" x14ac:dyDescent="0.3">
      <c r="A48" s="649" t="s">
        <v>585</v>
      </c>
      <c r="B48" s="2189"/>
      <c r="C48" s="2190"/>
      <c r="D48" s="2190"/>
      <c r="E48" s="2190"/>
      <c r="F48" s="2191"/>
      <c r="G48" s="2190"/>
      <c r="H48" s="2190"/>
      <c r="I48" s="2190"/>
      <c r="J48" s="2191"/>
      <c r="K48" s="2190"/>
      <c r="L48" s="2190"/>
      <c r="M48" s="2190">
        <f t="shared" ref="M48" si="1">+M49-M46-M47</f>
        <v>0.43178670430774968</v>
      </c>
      <c r="N48" s="2191">
        <f>+'Peer benchmarking'!N67</f>
        <v>0.3231637444330222</v>
      </c>
      <c r="O48" s="2190">
        <f>+O49-O46-O47</f>
        <v>0.30442699289660607</v>
      </c>
      <c r="P48" s="2190">
        <f>+P49-P46-P47</f>
        <v>0.22836327575818444</v>
      </c>
      <c r="Q48" s="2190">
        <f>+Q49-Q46-Q47</f>
        <v>0.12441003910189512</v>
      </c>
      <c r="R48" s="2191">
        <f>+'Peer benchmarking'!R67</f>
        <v>-4.2999999999999997E-2</v>
      </c>
      <c r="S48" s="2190">
        <f>+S49-S46-S47</f>
        <v>-7.1145062821661553E-2</v>
      </c>
      <c r="T48" s="2190">
        <f>+T49-T46-T47</f>
        <v>-0.10096724564791268</v>
      </c>
      <c r="U48" s="2190">
        <f>+U49-U46-U47</f>
        <v>-0.11899445054917487</v>
      </c>
      <c r="V48" s="2191">
        <f>+'Peer benchmarking'!V67</f>
        <v>-2.8000000000000001E-2</v>
      </c>
      <c r="W48" s="2190">
        <v>-4.9000000000000002E-2</v>
      </c>
      <c r="X48" s="2190">
        <v>-9.0000000000000011E-3</v>
      </c>
      <c r="Y48" s="2190">
        <v>1.4999999999999999E-2</v>
      </c>
      <c r="Z48" s="2190"/>
      <c r="AA48" s="2190"/>
      <c r="AB48" s="2190"/>
      <c r="AC48" s="2190"/>
      <c r="AD48" s="2190"/>
      <c r="AE48" s="2190"/>
      <c r="AF48" s="2190"/>
      <c r="AG48" s="2190"/>
      <c r="AH48" s="2190"/>
      <c r="AI48" s="2190"/>
      <c r="AJ48" s="2190"/>
      <c r="AK48" s="2190"/>
      <c r="AL48" s="2190"/>
      <c r="AM48" s="2190"/>
      <c r="AN48" s="2190"/>
      <c r="AO48" s="2190"/>
      <c r="AP48" s="2190"/>
      <c r="AQ48" s="2190"/>
      <c r="AR48" s="2190"/>
      <c r="AS48" s="2190">
        <f>+AS49-AS46-AS47</f>
        <v>0.38967637698682744</v>
      </c>
      <c r="AT48" s="2190">
        <f>+AT49-AT46-AT47</f>
        <v>0.14358032915604685</v>
      </c>
      <c r="AU48" s="2190">
        <f>+AU49-AU46-AU47</f>
        <v>-8.2480316439353135E-2</v>
      </c>
    </row>
    <row r="49" spans="1:47" ht="13" x14ac:dyDescent="0.3">
      <c r="A49" s="425" t="s">
        <v>586</v>
      </c>
      <c r="B49" s="2158"/>
      <c r="C49" s="2151"/>
      <c r="D49" s="2151"/>
      <c r="E49" s="2151"/>
      <c r="F49" s="2160"/>
      <c r="G49" s="2151"/>
      <c r="H49" s="2151"/>
      <c r="I49" s="2151"/>
      <c r="J49" s="2160"/>
      <c r="K49" s="2151"/>
      <c r="L49" s="2151"/>
      <c r="M49" s="2151">
        <f t="shared" ref="M49:X49" si="2">+M8/I8-1</f>
        <v>0.44178670430774969</v>
      </c>
      <c r="N49" s="2160">
        <f t="shared" si="2"/>
        <v>0.35116689882726471</v>
      </c>
      <c r="O49" s="2151">
        <f t="shared" si="2"/>
        <v>0.37742699289660608</v>
      </c>
      <c r="P49" s="2151">
        <f t="shared" si="2"/>
        <v>0.29036327575818444</v>
      </c>
      <c r="Q49" s="2151">
        <f t="shared" si="2"/>
        <v>0.17541003910189512</v>
      </c>
      <c r="R49" s="2160">
        <f t="shared" si="2"/>
        <v>-2.1361638896728152E-2</v>
      </c>
      <c r="S49" s="2151">
        <f t="shared" si="2"/>
        <v>-6.6145062821661549E-2</v>
      </c>
      <c r="T49" s="2151">
        <f t="shared" si="2"/>
        <v>-7.3967245647912683E-2</v>
      </c>
      <c r="U49" s="2151">
        <f t="shared" si="2"/>
        <v>-9.3994450549174879E-2</v>
      </c>
      <c r="V49" s="2160">
        <f t="shared" si="2"/>
        <v>-2.9661016949155128E-3</v>
      </c>
      <c r="W49" s="2151">
        <f t="shared" si="2"/>
        <v>3.7512411169494664E-2</v>
      </c>
      <c r="X49" s="2151">
        <f t="shared" si="2"/>
        <v>5.3281788385578732E-2</v>
      </c>
      <c r="Y49" s="2151">
        <v>8.3000000000000004E-2</v>
      </c>
      <c r="Z49" s="2151"/>
      <c r="AA49" s="2151"/>
      <c r="AB49" s="2151"/>
      <c r="AC49" s="2151"/>
      <c r="AD49" s="2151"/>
      <c r="AE49" s="2151"/>
      <c r="AF49" s="2151"/>
      <c r="AG49" s="2151"/>
      <c r="AH49" s="2151"/>
      <c r="AI49" s="2151"/>
      <c r="AJ49" s="2151"/>
      <c r="AK49" s="2151"/>
      <c r="AL49" s="2151"/>
      <c r="AM49" s="2151"/>
      <c r="AN49" s="2151"/>
      <c r="AO49" s="2151"/>
      <c r="AP49" s="2151"/>
      <c r="AQ49" s="2151"/>
      <c r="AR49" s="2151"/>
      <c r="AS49" s="2151">
        <f>+AS8/AR8-1</f>
        <v>0.41367637698682747</v>
      </c>
      <c r="AT49" s="2151">
        <f>+AT8/AS8-1</f>
        <v>0.19458032915604684</v>
      </c>
      <c r="AU49" s="2151">
        <f>+AU8/AT8-1</f>
        <v>-6.1480316439353144E-2</v>
      </c>
    </row>
    <row r="50" spans="1:47" x14ac:dyDescent="0.25">
      <c r="B50" s="571"/>
      <c r="C50" s="571"/>
      <c r="D50" s="571"/>
      <c r="E50" s="571"/>
      <c r="F50" s="666"/>
      <c r="G50" s="667"/>
      <c r="H50" s="667"/>
      <c r="I50" s="667"/>
      <c r="J50" s="666"/>
      <c r="K50" s="667"/>
      <c r="L50" s="667"/>
      <c r="M50" s="667"/>
      <c r="N50" s="666"/>
      <c r="O50" s="667"/>
      <c r="P50" s="667"/>
      <c r="Q50" s="667"/>
      <c r="R50" s="666"/>
      <c r="S50" s="667"/>
      <c r="T50" s="667"/>
      <c r="U50" s="667"/>
      <c r="V50" s="666"/>
      <c r="W50" s="571"/>
      <c r="X50" s="571"/>
      <c r="Y50" s="571"/>
      <c r="Z50" s="571"/>
      <c r="AA50" s="571"/>
      <c r="AB50" s="571"/>
      <c r="AC50" s="571"/>
      <c r="AD50" s="571"/>
      <c r="AE50" s="571"/>
      <c r="AF50" s="571"/>
      <c r="AG50" s="571"/>
      <c r="AH50" s="571"/>
      <c r="AI50" s="571"/>
      <c r="AJ50" s="571"/>
      <c r="AK50" s="571"/>
      <c r="AL50" s="571"/>
      <c r="AM50" s="571"/>
      <c r="AN50" s="571"/>
      <c r="AO50" s="571"/>
      <c r="AP50" s="571"/>
      <c r="AQ50" s="571"/>
      <c r="AR50" s="571"/>
      <c r="AS50" s="571"/>
      <c r="AT50" s="571"/>
      <c r="AU50" s="571"/>
    </row>
    <row r="51" spans="1:47" x14ac:dyDescent="0.25">
      <c r="A51" s="2150" t="s">
        <v>374</v>
      </c>
      <c r="B51" s="571"/>
      <c r="C51" s="571"/>
      <c r="D51" s="571"/>
      <c r="E51" s="571"/>
      <c r="F51" s="666"/>
      <c r="G51" s="667"/>
      <c r="H51" s="667"/>
      <c r="I51" s="667"/>
      <c r="J51" s="666"/>
      <c r="K51" s="667"/>
      <c r="L51" s="667"/>
      <c r="M51" s="667"/>
      <c r="N51" s="666"/>
      <c r="O51" s="667"/>
      <c r="P51" s="667"/>
      <c r="Q51" s="667"/>
      <c r="R51" s="666"/>
      <c r="S51" s="667"/>
      <c r="T51" s="667"/>
      <c r="U51" s="667"/>
      <c r="V51" s="666"/>
      <c r="W51" s="571"/>
      <c r="X51" s="571"/>
      <c r="Y51" s="571"/>
      <c r="Z51" s="571"/>
      <c r="AA51" s="571"/>
      <c r="AB51" s="571"/>
      <c r="AC51" s="571"/>
      <c r="AD51" s="571"/>
      <c r="AE51" s="571"/>
      <c r="AF51" s="571"/>
      <c r="AG51" s="571"/>
      <c r="AH51" s="571"/>
      <c r="AI51" s="571"/>
      <c r="AJ51" s="571"/>
      <c r="AK51" s="571"/>
      <c r="AL51" s="571"/>
      <c r="AM51" s="571"/>
      <c r="AN51" s="571"/>
      <c r="AO51" s="571"/>
      <c r="AP51" s="571"/>
      <c r="AQ51" s="571"/>
      <c r="AR51" s="571"/>
      <c r="AS51" s="571"/>
      <c r="AT51" s="571"/>
      <c r="AU51" s="571"/>
    </row>
    <row r="52" spans="1:47" ht="13" x14ac:dyDescent="0.3">
      <c r="A52" s="649" t="s">
        <v>375</v>
      </c>
      <c r="B52" s="2158"/>
      <c r="C52" s="2151"/>
      <c r="D52" s="2151"/>
      <c r="E52" s="2151"/>
      <c r="F52" s="2160"/>
      <c r="G52" s="2151"/>
      <c r="H52" s="2151"/>
      <c r="I52" s="2151"/>
      <c r="J52" s="2160"/>
      <c r="K52" s="2151"/>
      <c r="L52" s="2151"/>
      <c r="M52" s="2151"/>
      <c r="N52" s="2160"/>
      <c r="O52" s="2151"/>
      <c r="P52" s="2151"/>
      <c r="Q52" s="2151"/>
      <c r="R52" s="2160"/>
      <c r="S52" s="1023">
        <v>0.04</v>
      </c>
      <c r="T52" s="1023">
        <v>0.05</v>
      </c>
      <c r="U52" s="1023">
        <v>0.04</v>
      </c>
      <c r="V52" s="1024">
        <v>0.08</v>
      </c>
      <c r="W52" s="1023">
        <v>0.09</v>
      </c>
      <c r="X52" s="1023">
        <v>0.09</v>
      </c>
      <c r="Y52" s="1023">
        <v>0.1</v>
      </c>
      <c r="Z52" s="1023"/>
      <c r="AA52" s="1023"/>
      <c r="AB52" s="1023"/>
      <c r="AC52" s="1023"/>
      <c r="AD52" s="1023"/>
      <c r="AE52" s="1023"/>
      <c r="AF52" s="1023"/>
      <c r="AG52" s="1023"/>
      <c r="AH52" s="1023"/>
      <c r="AI52" s="1023"/>
      <c r="AJ52" s="1023"/>
      <c r="AK52" s="1023"/>
      <c r="AL52" s="1023"/>
      <c r="AM52" s="1023"/>
      <c r="AN52" s="1023"/>
      <c r="AO52" s="1023"/>
      <c r="AP52" s="1023"/>
      <c r="AQ52" s="1023"/>
      <c r="AR52" s="1023"/>
      <c r="AS52" s="1023">
        <v>0.09</v>
      </c>
      <c r="AT52" s="1023">
        <v>0.05</v>
      </c>
      <c r="AU52" s="1023">
        <v>0.05</v>
      </c>
    </row>
    <row r="53" spans="1:47" ht="13" x14ac:dyDescent="0.3">
      <c r="A53" s="649" t="s">
        <v>376</v>
      </c>
      <c r="B53" s="2158"/>
      <c r="C53" s="2151"/>
      <c r="D53" s="2151"/>
      <c r="E53" s="2151"/>
      <c r="F53" s="2160"/>
      <c r="G53" s="2151"/>
      <c r="H53" s="2151"/>
      <c r="I53" s="2151"/>
      <c r="J53" s="2160"/>
      <c r="K53" s="2151"/>
      <c r="L53" s="2151"/>
      <c r="M53" s="2151"/>
      <c r="N53" s="2160"/>
      <c r="O53" s="2151"/>
      <c r="P53" s="2151"/>
      <c r="Q53" s="2151"/>
      <c r="R53" s="2160"/>
      <c r="S53" s="1023">
        <v>0.05</v>
      </c>
      <c r="T53" s="1023">
        <v>0.05</v>
      </c>
      <c r="U53" s="1023">
        <v>0.05</v>
      </c>
      <c r="V53" s="1024">
        <v>7.0000000000000007E-2</v>
      </c>
      <c r="W53" s="1023">
        <v>0.06</v>
      </c>
      <c r="X53" s="1023">
        <v>7.0000000000000007E-2</v>
      </c>
      <c r="Y53" s="1023">
        <v>7.0000000000000007E-2</v>
      </c>
      <c r="Z53" s="1023"/>
      <c r="AA53" s="1023"/>
      <c r="AB53" s="1023"/>
      <c r="AC53" s="1023"/>
      <c r="AD53" s="1023"/>
      <c r="AE53" s="1023"/>
      <c r="AF53" s="1023"/>
      <c r="AG53" s="1023"/>
      <c r="AH53" s="1023"/>
      <c r="AI53" s="1023"/>
      <c r="AJ53" s="1023"/>
      <c r="AK53" s="1023"/>
      <c r="AL53" s="1023"/>
      <c r="AM53" s="1023"/>
      <c r="AN53" s="1023"/>
      <c r="AO53" s="1023"/>
      <c r="AP53" s="1023"/>
      <c r="AQ53" s="1023"/>
      <c r="AR53" s="1023"/>
      <c r="AS53" s="1023">
        <v>0.12</v>
      </c>
      <c r="AT53" s="1023">
        <v>0.09</v>
      </c>
      <c r="AU53" s="1023">
        <v>0.05</v>
      </c>
    </row>
    <row r="54" spans="1:47" ht="13" x14ac:dyDescent="0.3">
      <c r="A54" s="649" t="s">
        <v>377</v>
      </c>
      <c r="B54" s="2158"/>
      <c r="C54" s="2151"/>
      <c r="D54" s="2151"/>
      <c r="E54" s="2151"/>
      <c r="F54" s="2160"/>
      <c r="G54" s="2151"/>
      <c r="H54" s="2151"/>
      <c r="I54" s="2151"/>
      <c r="J54" s="2160"/>
      <c r="K54" s="2151"/>
      <c r="L54" s="2151"/>
      <c r="M54" s="2151"/>
      <c r="N54" s="2160"/>
      <c r="O54" s="2151"/>
      <c r="P54" s="2151"/>
      <c r="Q54" s="2151"/>
      <c r="R54" s="2160"/>
      <c r="S54" s="1023">
        <v>-0.04</v>
      </c>
      <c r="T54" s="1023">
        <v>-0.05</v>
      </c>
      <c r="U54" s="1023">
        <v>-0.05</v>
      </c>
      <c r="V54" s="1024">
        <v>-0.04</v>
      </c>
      <c r="W54" s="1023">
        <v>-0.03</v>
      </c>
      <c r="X54" s="1023">
        <v>-0.03</v>
      </c>
      <c r="Y54" s="1023">
        <v>-0.04</v>
      </c>
      <c r="Z54" s="1023"/>
      <c r="AA54" s="1023"/>
      <c r="AB54" s="1023"/>
      <c r="AC54" s="1023"/>
      <c r="AD54" s="1023"/>
      <c r="AE54" s="1023"/>
      <c r="AF54" s="1023"/>
      <c r="AG54" s="1023"/>
      <c r="AH54" s="1023"/>
      <c r="AI54" s="1023"/>
      <c r="AJ54" s="1023"/>
      <c r="AK54" s="1023"/>
      <c r="AL54" s="1023"/>
      <c r="AM54" s="1023"/>
      <c r="AN54" s="1023"/>
      <c r="AO54" s="1023"/>
      <c r="AP54" s="1023"/>
      <c r="AQ54" s="1023"/>
      <c r="AR54" s="1023"/>
      <c r="AS54" s="1023">
        <v>-0.04</v>
      </c>
      <c r="AT54" s="1023">
        <v>-0.04</v>
      </c>
      <c r="AU54" s="1023">
        <v>-0.04</v>
      </c>
    </row>
    <row r="55" spans="1:47" ht="13" x14ac:dyDescent="0.3">
      <c r="A55" s="649" t="s">
        <v>378</v>
      </c>
      <c r="B55" s="2158"/>
      <c r="C55" s="2151"/>
      <c r="D55" s="2151"/>
      <c r="E55" s="2151"/>
      <c r="F55" s="2160"/>
      <c r="G55" s="2151"/>
      <c r="H55" s="2151"/>
      <c r="I55" s="2151"/>
      <c r="J55" s="2160"/>
      <c r="K55" s="2151"/>
      <c r="L55" s="2151"/>
      <c r="M55" s="2151"/>
      <c r="N55" s="2160"/>
      <c r="O55" s="2151"/>
      <c r="P55" s="2151"/>
      <c r="Q55" s="2151"/>
      <c r="R55" s="2160"/>
      <c r="S55" s="2357">
        <v>-0.13</v>
      </c>
      <c r="T55" s="2357">
        <v>-0.16</v>
      </c>
      <c r="U55" s="2357">
        <v>-0.17</v>
      </c>
      <c r="V55" s="2358">
        <v>-0.13</v>
      </c>
      <c r="W55" s="2357">
        <v>-0.16</v>
      </c>
      <c r="X55" s="2357">
        <v>-0.14000000000000001</v>
      </c>
      <c r="Y55" s="2357">
        <v>-0.12</v>
      </c>
      <c r="Z55" s="2357"/>
      <c r="AA55" s="2357"/>
      <c r="AB55" s="2357"/>
      <c r="AC55" s="2357"/>
      <c r="AD55" s="2357"/>
      <c r="AE55" s="2357"/>
      <c r="AF55" s="2357"/>
      <c r="AG55" s="2357"/>
      <c r="AH55" s="2357"/>
      <c r="AI55" s="2357"/>
      <c r="AJ55" s="2357"/>
      <c r="AK55" s="2357"/>
      <c r="AL55" s="2357"/>
      <c r="AM55" s="2357"/>
      <c r="AN55" s="2357"/>
      <c r="AO55" s="2357"/>
      <c r="AP55" s="2357"/>
      <c r="AQ55" s="2357"/>
      <c r="AR55" s="2357"/>
      <c r="AS55" s="2357">
        <v>0.24</v>
      </c>
      <c r="AT55" s="2357">
        <v>0.03</v>
      </c>
      <c r="AU55" s="2357">
        <v>-0.15</v>
      </c>
    </row>
    <row r="56" spans="1:47" ht="13" x14ac:dyDescent="0.3">
      <c r="A56" s="425"/>
      <c r="B56" s="2158"/>
      <c r="C56" s="2151"/>
      <c r="D56" s="2151"/>
      <c r="E56" s="2151"/>
      <c r="F56" s="2160"/>
      <c r="G56" s="2151"/>
      <c r="H56" s="2151"/>
      <c r="I56" s="2151"/>
      <c r="J56" s="2160"/>
      <c r="K56" s="2151"/>
      <c r="L56" s="2151"/>
      <c r="M56" s="2151"/>
      <c r="N56" s="2160"/>
      <c r="O56" s="2151"/>
      <c r="P56" s="2151"/>
      <c r="Q56" s="2151"/>
      <c r="R56" s="2160"/>
      <c r="S56" s="2151"/>
      <c r="T56" s="2151"/>
      <c r="U56" s="2151"/>
      <c r="V56" s="2160"/>
      <c r="W56" s="2151"/>
      <c r="X56" s="2151"/>
      <c r="Y56" s="2151"/>
      <c r="Z56" s="2151"/>
      <c r="AA56" s="2151"/>
      <c r="AB56" s="2151"/>
      <c r="AC56" s="2151"/>
      <c r="AD56" s="2151"/>
      <c r="AE56" s="2151"/>
      <c r="AF56" s="2151"/>
      <c r="AG56" s="2151"/>
      <c r="AH56" s="2151"/>
      <c r="AI56" s="2151"/>
      <c r="AJ56" s="2151"/>
      <c r="AK56" s="2151"/>
      <c r="AL56" s="2151"/>
      <c r="AM56" s="2151"/>
      <c r="AN56" s="2151"/>
      <c r="AO56" s="2151"/>
      <c r="AP56" s="2151"/>
      <c r="AQ56" s="2151"/>
      <c r="AR56" s="2151"/>
      <c r="AS56" s="2151"/>
      <c r="AT56" s="2151"/>
      <c r="AU56" s="2151"/>
    </row>
    <row r="57" spans="1:47" ht="13" x14ac:dyDescent="0.3">
      <c r="A57" s="2150" t="s">
        <v>233</v>
      </c>
      <c r="B57" s="571"/>
      <c r="C57" s="571"/>
      <c r="D57" s="571"/>
      <c r="E57" s="571"/>
      <c r="F57" s="666"/>
      <c r="G57" s="667"/>
      <c r="H57" s="667"/>
      <c r="I57" s="667"/>
      <c r="J57" s="666"/>
      <c r="K57" s="667"/>
      <c r="L57" s="667"/>
      <c r="M57" s="667"/>
      <c r="N57" s="666"/>
      <c r="O57" s="667"/>
      <c r="P57" s="667"/>
      <c r="Q57" s="667"/>
      <c r="R57" s="666"/>
      <c r="S57" s="667"/>
      <c r="T57" s="667"/>
      <c r="U57" s="2151"/>
      <c r="V57" s="2160"/>
      <c r="W57" s="2151"/>
      <c r="X57" s="2151"/>
      <c r="Y57" s="2151"/>
      <c r="Z57" s="571"/>
      <c r="AA57" s="571"/>
      <c r="AB57" s="571"/>
      <c r="AC57" s="571"/>
      <c r="AD57" s="571"/>
      <c r="AE57" s="571"/>
      <c r="AF57" s="571"/>
      <c r="AG57" s="571"/>
      <c r="AH57" s="571"/>
      <c r="AI57" s="571"/>
      <c r="AJ57" s="571"/>
      <c r="AK57" s="571"/>
      <c r="AL57" s="571"/>
      <c r="AM57" s="571"/>
      <c r="AN57" s="571"/>
      <c r="AO57" s="571"/>
      <c r="AP57" s="571"/>
      <c r="AQ57" s="571"/>
      <c r="AR57" s="571"/>
      <c r="AS57" s="571"/>
      <c r="AT57" s="571"/>
      <c r="AU57" s="571"/>
    </row>
    <row r="58" spans="1:47" x14ac:dyDescent="0.25">
      <c r="A58" s="649" t="str">
        <f>+'STER Detailed Disclosure'!A56</f>
        <v>Net (loss) income</v>
      </c>
      <c r="B58" s="571"/>
      <c r="C58" s="2153"/>
      <c r="D58" s="2153"/>
      <c r="E58" s="2153">
        <f>+'STER Detailed Disclosure'!E56/1000</f>
        <v>-3.9089999999999998</v>
      </c>
      <c r="F58" s="2159">
        <f>+'STER Detailed Disclosure'!F56/1000</f>
        <v>-17.702000000000002</v>
      </c>
      <c r="G58" s="2166">
        <f>+'STER Detailed Disclosure'!G56/1000</f>
        <v>-15.899999999999999</v>
      </c>
      <c r="H58" s="2166">
        <f>+'STER Detailed Disclosure'!H56/1000</f>
        <v>-24.947000000000003</v>
      </c>
      <c r="I58" s="2166">
        <f>+'STER Detailed Disclosure'!I56/1000</f>
        <v>-10.385</v>
      </c>
      <c r="J58" s="2159">
        <f>+'STER Detailed Disclosure'!J56/1000</f>
        <v>-1.06</v>
      </c>
      <c r="K58" s="2166">
        <f>+'STER Detailed Disclosure'!K56/1000</f>
        <v>0.62800000000000877</v>
      </c>
      <c r="L58" s="2166">
        <f>+'STER Detailed Disclosure'!L56/1000</f>
        <v>3.3980000000000565</v>
      </c>
      <c r="M58" s="2166">
        <f>+'STER Detailed Disclosure'!M56/1000</f>
        <v>-25.256000000000025</v>
      </c>
      <c r="N58" s="2159">
        <f>+'STER Detailed Disclosure'!N56/1000</f>
        <v>2.7039999999999926</v>
      </c>
      <c r="O58" s="2166">
        <f>+'STER Detailed Disclosure'!O56/1000</f>
        <v>6.2360000000000069</v>
      </c>
      <c r="P58" s="2166">
        <f>+'STER Detailed Disclosure'!P56/1000</f>
        <v>11.571000000000009</v>
      </c>
      <c r="Q58" s="2166">
        <f>+'STER Detailed Disclosure'!Q56/1000</f>
        <v>9.3030000000000115</v>
      </c>
      <c r="R58" s="2159">
        <f>+'STER Detailed Disclosure'!R56/1000</f>
        <v>-7.7000000000000117</v>
      </c>
      <c r="S58" s="2166">
        <f>+'STER Detailed Disclosure'!S56/1000</f>
        <v>0.59099999999999331</v>
      </c>
      <c r="T58" s="2166">
        <f>+'STER Detailed Disclosure'!T56/1000</f>
        <v>0.32299999999999224</v>
      </c>
      <c r="U58" s="2166">
        <f>+'STER Detailed Disclosure'!U56/1000</f>
        <v>2.354000000000001</v>
      </c>
      <c r="V58" s="2159">
        <f>+'STER Detailed Disclosure'!V56/1000</f>
        <v>-3.3840000000000661</v>
      </c>
      <c r="W58" s="2153">
        <f>+'STER Detailed Disclosure'!W56/1000</f>
        <v>-7.9550000000000018</v>
      </c>
      <c r="X58" s="2153">
        <f>+'STER Detailed Disclosure'!X56/1000</f>
        <v>-6.2320000000000029</v>
      </c>
      <c r="Y58" s="2153">
        <v>-20.178000000000001</v>
      </c>
      <c r="Z58" s="571"/>
      <c r="AA58" s="571"/>
      <c r="AB58" s="571"/>
      <c r="AC58" s="571"/>
      <c r="AD58" s="571"/>
      <c r="AE58" s="571"/>
      <c r="AF58" s="571"/>
      <c r="AG58" s="571"/>
      <c r="AH58" s="571"/>
      <c r="AI58" s="571"/>
      <c r="AJ58" s="571"/>
      <c r="AK58" s="571"/>
      <c r="AL58" s="571"/>
      <c r="AM58" s="571"/>
      <c r="AN58" s="571"/>
      <c r="AO58" s="571"/>
      <c r="AP58" s="2153"/>
      <c r="AQ58" s="2153">
        <f>+'STER Detailed Disclosure'!AQ56/1000</f>
        <v>-46.682000000000016</v>
      </c>
      <c r="AR58" s="2153">
        <f>+'STER Detailed Disclosure'!AR56/1000</f>
        <v>-52.292999999999999</v>
      </c>
      <c r="AS58" s="2153">
        <f>+'STER Detailed Disclosure'!AS56/1000</f>
        <v>-18.526999999999937</v>
      </c>
      <c r="AT58" s="2153">
        <f>+'STER Detailed Disclosure'!AT56/1000</f>
        <v>19.41</v>
      </c>
      <c r="AU58" s="2153">
        <f>+'STER Detailed Disclosure'!AU56/1000</f>
        <v>-0.11600000000000001</v>
      </c>
    </row>
    <row r="59" spans="1:47" x14ac:dyDescent="0.25">
      <c r="A59" s="649" t="str">
        <f>+'STER Detailed Disclosure'!A57</f>
        <v>Income tax provision</v>
      </c>
      <c r="B59" s="571"/>
      <c r="C59" s="2153"/>
      <c r="D59" s="2153"/>
      <c r="E59" s="2153">
        <f>+'STER Detailed Disclosure'!E57/1000</f>
        <v>-0.97899999999999998</v>
      </c>
      <c r="F59" s="2159">
        <f>+'STER Detailed Disclosure'!F57/1000</f>
        <v>-10.544</v>
      </c>
      <c r="G59" s="2166">
        <f>+'STER Detailed Disclosure'!G57/1000</f>
        <v>-3.556</v>
      </c>
      <c r="H59" s="2166">
        <f>+'STER Detailed Disclosure'!H57/1000</f>
        <v>-1.4530000000000001</v>
      </c>
      <c r="I59" s="2166">
        <f>+'STER Detailed Disclosure'!I57/1000</f>
        <v>5.7270000000000003</v>
      </c>
      <c r="J59" s="2159">
        <f>+'STER Detailed Disclosure'!J57/1000</f>
        <v>-12.28</v>
      </c>
      <c r="K59" s="2166">
        <f>+'STER Detailed Disclosure'!K57/1000</f>
        <v>0.52600000000000002</v>
      </c>
      <c r="L59" s="2166">
        <f>+'STER Detailed Disclosure'!L57/1000</f>
        <v>4.0259999999999998</v>
      </c>
      <c r="M59" s="2166">
        <f>+'STER Detailed Disclosure'!M57/1000</f>
        <v>-12.632999999999999</v>
      </c>
      <c r="N59" s="2159">
        <f>+'STER Detailed Disclosure'!N57/1000</f>
        <v>-2.3809999999999998</v>
      </c>
      <c r="O59" s="2166">
        <f>+'STER Detailed Disclosure'!O57/1000</f>
        <v>4.085</v>
      </c>
      <c r="P59" s="2166">
        <f>+'STER Detailed Disclosure'!P57/1000</f>
        <v>5.3920000000000003</v>
      </c>
      <c r="Q59" s="2166">
        <f>+'STER Detailed Disclosure'!Q57/1000</f>
        <v>3.4809999999999999</v>
      </c>
      <c r="R59" s="2159">
        <f>+'STER Detailed Disclosure'!R57/1000</f>
        <v>-4.2519999999999998</v>
      </c>
      <c r="S59" s="2166">
        <f>+'STER Detailed Disclosure'!S57/1000</f>
        <v>1.1020000000000001</v>
      </c>
      <c r="T59" s="2166">
        <f>+'STER Detailed Disclosure'!T57/1000</f>
        <v>-8.5000000000000006E-2</v>
      </c>
      <c r="U59" s="2166">
        <f>+'STER Detailed Disclosure'!U57/1000</f>
        <v>3.952</v>
      </c>
      <c r="V59" s="2159">
        <f>+'STER Detailed Disclosure'!V57/1000</f>
        <v>7.3980000000000006</v>
      </c>
      <c r="W59" s="2153">
        <f>+'STER Detailed Disclosure'!W57/1000</f>
        <v>-9.0180000000000007</v>
      </c>
      <c r="X59" s="2153">
        <f>+'STER Detailed Disclosure'!X57/1000</f>
        <v>7.0940000000000003</v>
      </c>
      <c r="Y59" s="2153">
        <v>14.22</v>
      </c>
      <c r="Z59" s="571"/>
      <c r="AA59" s="571"/>
      <c r="AB59" s="571"/>
      <c r="AC59" s="571"/>
      <c r="AD59" s="571"/>
      <c r="AE59" s="571"/>
      <c r="AF59" s="571"/>
      <c r="AG59" s="571"/>
      <c r="AH59" s="571"/>
      <c r="AI59" s="571"/>
      <c r="AJ59" s="571"/>
      <c r="AK59" s="571"/>
      <c r="AL59" s="571"/>
      <c r="AM59" s="571"/>
      <c r="AN59" s="571"/>
      <c r="AO59" s="571"/>
      <c r="AP59" s="2153"/>
      <c r="AQ59" s="2153">
        <f>+'STER Detailed Disclosure'!AQ57/1000</f>
        <v>-11.803000000000001</v>
      </c>
      <c r="AR59" s="2153">
        <f>+'STER Detailed Disclosure'!AR57/1000</f>
        <v>-11.561999999999999</v>
      </c>
      <c r="AS59" s="2153">
        <f>+'STER Detailed Disclosure'!AS57/1000</f>
        <v>-10.461</v>
      </c>
      <c r="AT59" s="2153">
        <f>+'STER Detailed Disclosure'!AT57/1000</f>
        <v>8.7059999999999995</v>
      </c>
      <c r="AU59" s="2153">
        <f>+'STER Detailed Disclosure'!AU57/1000</f>
        <v>12.367000000000001</v>
      </c>
    </row>
    <row r="60" spans="1:47" x14ac:dyDescent="0.25">
      <c r="A60" s="649" t="str">
        <f>+'STER Detailed Disclosure'!A58</f>
        <v>Interest expense, net</v>
      </c>
      <c r="B60" s="571"/>
      <c r="C60" s="2153"/>
      <c r="D60" s="2153"/>
      <c r="E60" s="2153">
        <f>+'STER Detailed Disclosure'!E58/1000</f>
        <v>9.7840000000000007</v>
      </c>
      <c r="F60" s="2159">
        <f>+'STER Detailed Disclosure'!F58/1000</f>
        <v>9.1989999999999998</v>
      </c>
      <c r="G60" s="2166">
        <f>+'STER Detailed Disclosure'!G58/1000</f>
        <v>9.0559999999999992</v>
      </c>
      <c r="H60" s="2166">
        <f>+'STER Detailed Disclosure'!H58/1000</f>
        <v>8.2370000000000001</v>
      </c>
      <c r="I60" s="2166">
        <f>+'STER Detailed Disclosure'!I58/1000</f>
        <v>7.8170000000000002</v>
      </c>
      <c r="J60" s="2159">
        <f>+'STER Detailed Disclosure'!J58/1000</f>
        <v>7.8369999999999997</v>
      </c>
      <c r="K60" s="2166">
        <f>+'STER Detailed Disclosure'!K58/1000</f>
        <v>7.57</v>
      </c>
      <c r="L60" s="2166">
        <f>+'STER Detailed Disclosure'!L58/1000</f>
        <v>7.6029999999999998</v>
      </c>
      <c r="M60" s="2166">
        <f>+'STER Detailed Disclosure'!M58/1000</f>
        <v>7.6680000000000001</v>
      </c>
      <c r="N60" s="2159">
        <f>+'STER Detailed Disclosure'!N58/1000</f>
        <v>8.016</v>
      </c>
      <c r="O60" s="2166">
        <f>+'STER Detailed Disclosure'!O58/1000</f>
        <v>6.3360000000000003</v>
      </c>
      <c r="P60" s="2166">
        <f>+'STER Detailed Disclosure'!P58/1000</f>
        <v>6.6189999999999998</v>
      </c>
      <c r="Q60" s="2166">
        <f>+'STER Detailed Disclosure'!Q58/1000</f>
        <v>7.7640000000000002</v>
      </c>
      <c r="R60" s="2159">
        <f>+'STER Detailed Disclosure'!R58/1000</f>
        <v>8.8279999999999994</v>
      </c>
      <c r="S60" s="2166">
        <f>+'STER Detailed Disclosure'!S58/1000</f>
        <v>8.6080000000000005</v>
      </c>
      <c r="T60" s="2166">
        <f>+'STER Detailed Disclosure'!T58/1000</f>
        <v>8.99</v>
      </c>
      <c r="U60" s="2166">
        <f>+'STER Detailed Disclosure'!U58/1000</f>
        <v>9.3049999999999997</v>
      </c>
      <c r="V60" s="2159">
        <f>+'STER Detailed Disclosure'!V58/1000</f>
        <v>9.3299999999999983</v>
      </c>
      <c r="W60" s="2153">
        <f>+'STER Detailed Disclosure'!W58/1000</f>
        <v>10.311999999999999</v>
      </c>
      <c r="X60" s="2153">
        <f>+'STER Detailed Disclosure'!X58/1000</f>
        <v>10.143000000000001</v>
      </c>
      <c r="Y60" s="2153">
        <v>9.7449999999999992</v>
      </c>
      <c r="Z60" s="571"/>
      <c r="AA60" s="571"/>
      <c r="AB60" s="571"/>
      <c r="AC60" s="571"/>
      <c r="AD60" s="571"/>
      <c r="AE60" s="571"/>
      <c r="AF60" s="571"/>
      <c r="AG60" s="571"/>
      <c r="AH60" s="571"/>
      <c r="AI60" s="571"/>
      <c r="AJ60" s="571"/>
      <c r="AK60" s="571"/>
      <c r="AL60" s="571"/>
      <c r="AM60" s="571"/>
      <c r="AN60" s="571"/>
      <c r="AO60" s="571"/>
      <c r="AP60" s="2153"/>
      <c r="AQ60" s="2153">
        <f>+'STER Detailed Disclosure'!AQ58/1000</f>
        <v>39.316000000000003</v>
      </c>
      <c r="AR60" s="2153">
        <f>+'STER Detailed Disclosure'!AR58/1000</f>
        <v>32.947000000000003</v>
      </c>
      <c r="AS60" s="2153">
        <f>+'STER Detailed Disclosure'!AS58/1000</f>
        <v>30.856999999999999</v>
      </c>
      <c r="AT60" s="2153">
        <f>+'STER Detailed Disclosure'!AT58/1000</f>
        <v>29.547000000000001</v>
      </c>
      <c r="AU60" s="2153">
        <f>+'STER Detailed Disclosure'!AU58/1000</f>
        <v>36.232999999999997</v>
      </c>
    </row>
    <row r="61" spans="1:47" x14ac:dyDescent="0.25">
      <c r="A61" s="649" t="str">
        <f>+'STER Detailed Disclosure'!A59</f>
        <v>Depreciation and amortization</v>
      </c>
      <c r="B61" s="571"/>
      <c r="C61" s="2153"/>
      <c r="D61" s="2153"/>
      <c r="E61" s="2153">
        <f>+'STER Detailed Disclosure'!E59/1000</f>
        <v>23.478999999999999</v>
      </c>
      <c r="F61" s="2159">
        <f>+'STER Detailed Disclosure'!F59/1000</f>
        <v>23.774000000000001</v>
      </c>
      <c r="G61" s="2166">
        <f>+'STER Detailed Disclosure'!G59/1000</f>
        <v>22.934999999999999</v>
      </c>
      <c r="H61" s="2166">
        <f>+'STER Detailed Disclosure'!H59/1000</f>
        <v>22.643000000000001</v>
      </c>
      <c r="I61" s="2166">
        <f>+'STER Detailed Disclosure'!I59/1000</f>
        <v>22.863</v>
      </c>
      <c r="J61" s="2159">
        <f>+'STER Detailed Disclosure'!J59/1000</f>
        <v>22.757999999999999</v>
      </c>
      <c r="K61" s="2166">
        <f>+'STER Detailed Disclosure'!K59/1000</f>
        <v>20.548999999999999</v>
      </c>
      <c r="L61" s="2166">
        <f>+'STER Detailed Disclosure'!L59/1000</f>
        <v>20.298999999999999</v>
      </c>
      <c r="M61" s="2166">
        <f>+'STER Detailed Disclosure'!M59/1000</f>
        <v>20.346</v>
      </c>
      <c r="N61" s="2159">
        <f>+'STER Detailed Disclosure'!N59/1000</f>
        <v>20.870999999999999</v>
      </c>
      <c r="O61" s="2166">
        <f>+'STER Detailed Disclosure'!O59/1000</f>
        <v>20.155999999999999</v>
      </c>
      <c r="P61" s="2166">
        <f>+'STER Detailed Disclosure'!P59/1000</f>
        <v>19.872</v>
      </c>
      <c r="Q61" s="2166">
        <f>+'STER Detailed Disclosure'!Q59/1000</f>
        <v>16.57</v>
      </c>
      <c r="R61" s="2159">
        <f>+'STER Detailed Disclosure'!R59/1000</f>
        <v>16.542000000000002</v>
      </c>
      <c r="S61" s="2166">
        <f>+'STER Detailed Disclosure'!S59/1000</f>
        <v>15.122</v>
      </c>
      <c r="T61" s="2166">
        <f>+'STER Detailed Disclosure'!T59/1000</f>
        <v>16.12</v>
      </c>
      <c r="U61" s="2166">
        <f>+'STER Detailed Disclosure'!U59/1000</f>
        <v>15.875</v>
      </c>
      <c r="V61" s="2159">
        <f>+'STER Detailed Disclosure'!V59/1000</f>
        <v>15.735999999999997</v>
      </c>
      <c r="W61" s="2153">
        <f>+'STER Detailed Disclosure'!W59/1000</f>
        <v>15.77</v>
      </c>
      <c r="X61" s="2153">
        <f>+'STER Detailed Disclosure'!X59/1000</f>
        <v>15.82</v>
      </c>
      <c r="Y61" s="2153">
        <v>15.795</v>
      </c>
      <c r="Z61" s="571"/>
      <c r="AA61" s="571"/>
      <c r="AB61" s="571"/>
      <c r="AC61" s="571"/>
      <c r="AD61" s="571"/>
      <c r="AE61" s="571"/>
      <c r="AF61" s="571"/>
      <c r="AG61" s="571"/>
      <c r="AH61" s="571"/>
      <c r="AI61" s="571"/>
      <c r="AJ61" s="571"/>
      <c r="AK61" s="571"/>
      <c r="AL61" s="571"/>
      <c r="AM61" s="571"/>
      <c r="AN61" s="571"/>
      <c r="AO61" s="571"/>
      <c r="AP61" s="2153"/>
      <c r="AQ61" s="2153">
        <f>+'STER Detailed Disclosure'!AQ59/1000</f>
        <v>93.802000000000007</v>
      </c>
      <c r="AR61" s="2153">
        <f>+'STER Detailed Disclosure'!AR59/1000</f>
        <v>91.198999999999998</v>
      </c>
      <c r="AS61" s="2153">
        <f>+'STER Detailed Disclosure'!AS59/1000</f>
        <v>82.063999999999993</v>
      </c>
      <c r="AT61" s="2153">
        <f>+'STER Detailed Disclosure'!AT59/1000</f>
        <v>73.14</v>
      </c>
      <c r="AU61" s="2153">
        <f>+'STER Detailed Disclosure'!AU59/1000</f>
        <v>62.853000000000002</v>
      </c>
    </row>
    <row r="62" spans="1:47" x14ac:dyDescent="0.25">
      <c r="A62" s="649" t="str">
        <f>+'STER Detailed Disclosure'!A60</f>
        <v>Stock-based compensation</v>
      </c>
      <c r="B62" s="571"/>
      <c r="C62" s="2153"/>
      <c r="D62" s="2153"/>
      <c r="E62" s="2153">
        <f>+'STER Detailed Disclosure'!E60/1000</f>
        <v>0.249</v>
      </c>
      <c r="F62" s="2159">
        <f>+'STER Detailed Disclosure'!F60/1000</f>
        <v>0.504</v>
      </c>
      <c r="G62" s="2166">
        <f>+'STER Detailed Disclosure'!G60/1000</f>
        <v>0.54500000000000004</v>
      </c>
      <c r="H62" s="2166">
        <f>+'STER Detailed Disclosure'!H60/1000</f>
        <v>0.64100000000000001</v>
      </c>
      <c r="I62" s="2166">
        <f>+'STER Detailed Disclosure'!I60/1000</f>
        <v>0.56999999999999995</v>
      </c>
      <c r="J62" s="2159">
        <f>+'STER Detailed Disclosure'!J60/1000</f>
        <v>1.708</v>
      </c>
      <c r="K62" s="2166">
        <f>+'STER Detailed Disclosure'!K60/1000</f>
        <v>0.89800000000000002</v>
      </c>
      <c r="L62" s="2166">
        <f>+'STER Detailed Disclosure'!L60/1000</f>
        <v>0.75600000000000001</v>
      </c>
      <c r="M62" s="2166">
        <f>+'STER Detailed Disclosure'!M60/1000</f>
        <v>25.582000000000001</v>
      </c>
      <c r="N62" s="2159">
        <f>+'STER Detailed Disclosure'!N60/1000</f>
        <v>5.3440000000000003</v>
      </c>
      <c r="O62" s="2166">
        <f>+'STER Detailed Disclosure'!O60/1000</f>
        <v>5.1079999999999997</v>
      </c>
      <c r="P62" s="2166">
        <f>+'STER Detailed Disclosure'!P60/1000</f>
        <v>6.0229999999999997</v>
      </c>
      <c r="Q62" s="2166">
        <f>+'STER Detailed Disclosure'!Q60/1000</f>
        <v>6.2930000000000001</v>
      </c>
      <c r="R62" s="2159">
        <f>+'STER Detailed Disclosure'!R60/1000</f>
        <v>6.3810000000000002</v>
      </c>
      <c r="S62" s="2166">
        <f>+'STER Detailed Disclosure'!S60/1000</f>
        <v>8.0429999999999993</v>
      </c>
      <c r="T62" s="2166">
        <f>+'STER Detailed Disclosure'!T60/1000</f>
        <v>9.3580000000000005</v>
      </c>
      <c r="U62" s="2166">
        <f>+'STER Detailed Disclosure'!U60/1000</f>
        <v>9.7829999999999995</v>
      </c>
      <c r="V62" s="2159">
        <f>+'STER Detailed Disclosure'!V60/1000</f>
        <v>7.4660000000000011</v>
      </c>
      <c r="W62" s="2153">
        <f>+'STER Detailed Disclosure'!W60/1000</f>
        <v>9.3420000000000005</v>
      </c>
      <c r="X62" s="2153">
        <f>+'STER Detailed Disclosure'!X60/1000</f>
        <v>11.702999999999999</v>
      </c>
      <c r="Y62" s="2153">
        <v>11.535</v>
      </c>
      <c r="Z62" s="571"/>
      <c r="AA62" s="571"/>
      <c r="AB62" s="571"/>
      <c r="AC62" s="571"/>
      <c r="AD62" s="571"/>
      <c r="AE62" s="571"/>
      <c r="AF62" s="571"/>
      <c r="AG62" s="571"/>
      <c r="AH62" s="571"/>
      <c r="AI62" s="571"/>
      <c r="AJ62" s="571"/>
      <c r="AK62" s="571"/>
      <c r="AL62" s="571"/>
      <c r="AM62" s="571"/>
      <c r="AN62" s="571"/>
      <c r="AO62" s="571"/>
      <c r="AP62" s="2153"/>
      <c r="AQ62" s="2153">
        <f>+'STER Detailed Disclosure'!AQ60/1000</f>
        <v>1.5029999999999999</v>
      </c>
      <c r="AR62" s="2153">
        <f>+'STER Detailed Disclosure'!AR60/1000</f>
        <v>3.464</v>
      </c>
      <c r="AS62" s="2153">
        <f>+'STER Detailed Disclosure'!AS60/1000</f>
        <v>32.58</v>
      </c>
      <c r="AT62" s="2153">
        <f>+'STER Detailed Disclosure'!AT60/1000</f>
        <v>23.805</v>
      </c>
      <c r="AU62" s="2153">
        <f>+'STER Detailed Disclosure'!AU60/1000</f>
        <v>34.65</v>
      </c>
    </row>
    <row r="63" spans="1:47" x14ac:dyDescent="0.25">
      <c r="A63" s="649" t="str">
        <f>+'STER Detailed Disclosure'!A61</f>
        <v>Loss on extinguishment of debt</v>
      </c>
      <c r="B63" s="571"/>
      <c r="C63" s="2153"/>
      <c r="D63" s="2153"/>
      <c r="E63" s="2153">
        <f>+'STER Detailed Disclosure'!E61/1000</f>
        <v>0</v>
      </c>
      <c r="F63" s="2159">
        <f>+'STER Detailed Disclosure'!F61/1000</f>
        <v>0</v>
      </c>
      <c r="G63" s="2166">
        <f>+'STER Detailed Disclosure'!G61/1000</f>
        <v>0</v>
      </c>
      <c r="H63" s="2166">
        <f>+'STER Detailed Disclosure'!H61/1000</f>
        <v>0</v>
      </c>
      <c r="I63" s="2166">
        <f>+'STER Detailed Disclosure'!I61/1000</f>
        <v>0</v>
      </c>
      <c r="J63" s="2159">
        <f>+'STER Detailed Disclosure'!J61/1000</f>
        <v>0</v>
      </c>
      <c r="K63" s="2166">
        <f>+'STER Detailed Disclosure'!K61/1000</f>
        <v>0</v>
      </c>
      <c r="L63" s="2166">
        <f>+'STER Detailed Disclosure'!L61/1000</f>
        <v>0</v>
      </c>
      <c r="M63" s="2166">
        <f>+'STER Detailed Disclosure'!M61/1000</f>
        <v>0</v>
      </c>
      <c r="N63" s="2159">
        <f>+'STER Detailed Disclosure'!N61/1000</f>
        <v>0</v>
      </c>
      <c r="O63" s="2166">
        <f>+'STER Detailed Disclosure'!O61/1000</f>
        <v>0</v>
      </c>
      <c r="P63" s="2166">
        <f>+'STER Detailed Disclosure'!P61/1000</f>
        <v>0</v>
      </c>
      <c r="Q63" s="2166">
        <f>+'STER Detailed Disclosure'!Q61/1000</f>
        <v>0</v>
      </c>
      <c r="R63" s="2159">
        <f>+'STER Detailed Disclosure'!R61/1000</f>
        <v>3.673</v>
      </c>
      <c r="S63" s="2166">
        <f>+'STER Detailed Disclosure'!S61/1000</f>
        <v>0</v>
      </c>
      <c r="T63" s="2166">
        <f>+'STER Detailed Disclosure'!T61/1000</f>
        <v>0</v>
      </c>
      <c r="U63" s="2166">
        <f>+'STER Detailed Disclosure'!U61/1000</f>
        <v>0</v>
      </c>
      <c r="V63" s="2159">
        <f>+'STER Detailed Disclosure'!V61/1000</f>
        <v>0</v>
      </c>
      <c r="W63" s="2153">
        <f>+'STER Detailed Disclosure'!W61/1000</f>
        <v>0</v>
      </c>
      <c r="X63" s="2153">
        <f>+'STER Detailed Disclosure'!X61/1000</f>
        <v>0</v>
      </c>
      <c r="Y63" s="2153">
        <v>0</v>
      </c>
      <c r="Z63" s="571"/>
      <c r="AA63" s="571"/>
      <c r="AB63" s="571"/>
      <c r="AC63" s="571"/>
      <c r="AD63" s="571"/>
      <c r="AE63" s="571"/>
      <c r="AF63" s="571"/>
      <c r="AG63" s="571"/>
      <c r="AH63" s="571"/>
      <c r="AI63" s="571"/>
      <c r="AJ63" s="571"/>
      <c r="AK63" s="571"/>
      <c r="AL63" s="571"/>
      <c r="AM63" s="571"/>
      <c r="AN63" s="571"/>
      <c r="AO63" s="571"/>
      <c r="AP63" s="2153"/>
      <c r="AQ63" s="2153">
        <f>+'STER Detailed Disclosure'!AQ61/1000</f>
        <v>0</v>
      </c>
      <c r="AR63" s="2153">
        <f>+'STER Detailed Disclosure'!AR61/1000</f>
        <v>0</v>
      </c>
      <c r="AS63" s="2153">
        <f>+'STER Detailed Disclosure'!AS61/1000</f>
        <v>0</v>
      </c>
      <c r="AT63" s="2153">
        <f>+'STER Detailed Disclosure'!AT61/1000</f>
        <v>3.673</v>
      </c>
      <c r="AU63" s="2153">
        <f>+'STER Detailed Disclosure'!AU61/1000</f>
        <v>0</v>
      </c>
    </row>
    <row r="64" spans="1:47" x14ac:dyDescent="0.25">
      <c r="A64" s="649" t="str">
        <f>+'STER Detailed Disclosure'!A62</f>
        <v>Transaction expenses</v>
      </c>
      <c r="B64" s="571"/>
      <c r="C64" s="2153"/>
      <c r="D64" s="2153"/>
      <c r="E64" s="2153">
        <f>+'STER Detailed Disclosure'!E62/1000</f>
        <v>0.56599999999999995</v>
      </c>
      <c r="F64" s="2159">
        <f>+'STER Detailed Disclosure'!F62/1000</f>
        <v>0.89200000000000002</v>
      </c>
      <c r="G64" s="2166">
        <f>+'STER Detailed Disclosure'!G62/1000</f>
        <v>0.53800000000000003</v>
      </c>
      <c r="H64" s="2166">
        <f>+'STER Detailed Disclosure'!H62/1000</f>
        <v>0.54600000000000004</v>
      </c>
      <c r="I64" s="2166">
        <f>+'STER Detailed Disclosure'!I62/1000</f>
        <v>0.53900000000000003</v>
      </c>
      <c r="J64" s="2159">
        <f>+'STER Detailed Disclosure'!J62/1000</f>
        <v>1.4059999999999999</v>
      </c>
      <c r="K64" s="2166">
        <f>+'STER Detailed Disclosure'!K62/1000</f>
        <v>1.089</v>
      </c>
      <c r="L64" s="2166">
        <f>+'STER Detailed Disclosure'!L62/1000</f>
        <v>6.1390000000000002</v>
      </c>
      <c r="M64" s="2166">
        <f>+'STER Detailed Disclosure'!M62/1000</f>
        <v>31.513000000000002</v>
      </c>
      <c r="N64" s="2159">
        <f>+'STER Detailed Disclosure'!N62/1000</f>
        <v>4.2919999999999998</v>
      </c>
      <c r="O64" s="2166">
        <f>+'STER Detailed Disclosure'!O62/1000</f>
        <v>1.8879999999999999</v>
      </c>
      <c r="P64" s="2166">
        <f>+'STER Detailed Disclosure'!P62/1000</f>
        <v>1.8939999999999999</v>
      </c>
      <c r="Q64" s="2166">
        <f>+'STER Detailed Disclosure'!Q62/1000</f>
        <v>2.8090000000000002</v>
      </c>
      <c r="R64" s="2159">
        <f>+'STER Detailed Disclosure'!R62/1000</f>
        <v>4.9020000000000001</v>
      </c>
      <c r="S64" s="2166">
        <f>+'STER Detailed Disclosure'!S62/1000</f>
        <v>5.1260000000000003</v>
      </c>
      <c r="T64" s="2166">
        <f>+'STER Detailed Disclosure'!T62/1000</f>
        <v>3.133</v>
      </c>
      <c r="U64" s="2166">
        <f>+'STER Detailed Disclosure'!U62/1000</f>
        <v>2.238</v>
      </c>
      <c r="V64" s="2159">
        <f>+'STER Detailed Disclosure'!V62/1000</f>
        <v>2.3809999999999998</v>
      </c>
      <c r="W64" s="2153">
        <f>+'STER Detailed Disclosure'!W62/1000</f>
        <v>16.988</v>
      </c>
      <c r="X64" s="2153">
        <f>+'STER Detailed Disclosure'!X62/1000</f>
        <v>4.12</v>
      </c>
      <c r="Y64" s="2153">
        <v>11.302</v>
      </c>
      <c r="Z64" s="571"/>
      <c r="AA64" s="571"/>
      <c r="AB64" s="571"/>
      <c r="AC64" s="571"/>
      <c r="AD64" s="571"/>
      <c r="AE64" s="571"/>
      <c r="AF64" s="571"/>
      <c r="AG64" s="571"/>
      <c r="AH64" s="571"/>
      <c r="AI64" s="571"/>
      <c r="AJ64" s="571"/>
      <c r="AK64" s="571"/>
      <c r="AL64" s="571"/>
      <c r="AM64" s="571"/>
      <c r="AN64" s="571"/>
      <c r="AO64" s="571"/>
      <c r="AP64" s="2153"/>
      <c r="AQ64" s="2153">
        <f>+'STER Detailed Disclosure'!AQ62/1000</f>
        <v>2.617</v>
      </c>
      <c r="AR64" s="2153">
        <f>+'STER Detailed Disclosure'!AR62/1000</f>
        <v>3.0289999999999999</v>
      </c>
      <c r="AS64" s="2153">
        <f>+'STER Detailed Disclosure'!AS62/1000</f>
        <v>43.045999999999999</v>
      </c>
      <c r="AT64" s="2153">
        <f>+'STER Detailed Disclosure'!AT62/1000</f>
        <v>11.493</v>
      </c>
      <c r="AU64" s="2153">
        <f>+'STER Detailed Disclosure'!AU62/1000</f>
        <v>12.878</v>
      </c>
    </row>
    <row r="65" spans="1:47" x14ac:dyDescent="0.25">
      <c r="A65" s="649" t="str">
        <f>+'STER Detailed Disclosure'!A63</f>
        <v>Restructuring</v>
      </c>
      <c r="B65" s="571"/>
      <c r="C65" s="2153"/>
      <c r="D65" s="2153"/>
      <c r="E65" s="2153">
        <f>+'STER Detailed Disclosure'!E63/1000</f>
        <v>1.1499999999999999</v>
      </c>
      <c r="F65" s="2159">
        <f>+'STER Detailed Disclosure'!F63/1000</f>
        <v>1.335</v>
      </c>
      <c r="G65" s="2166">
        <f>+'STER Detailed Disclosure'!G63/1000</f>
        <v>0.52600000000000002</v>
      </c>
      <c r="H65" s="2166">
        <f>+'STER Detailed Disclosure'!H63/1000</f>
        <v>5.484</v>
      </c>
      <c r="I65" s="2166">
        <f>+'STER Detailed Disclosure'!I63/1000</f>
        <v>1.06</v>
      </c>
      <c r="J65" s="2159">
        <f>+'STER Detailed Disclosure'!J63/1000</f>
        <v>1.768</v>
      </c>
      <c r="K65" s="2166">
        <f>+'STER Detailed Disclosure'!K63/1000</f>
        <v>3.0350000000000001</v>
      </c>
      <c r="L65" s="2166">
        <f>+'STER Detailed Disclosure'!L63/1000</f>
        <v>0.60399999999999998</v>
      </c>
      <c r="M65" s="2166">
        <f>+'STER Detailed Disclosure'!M63/1000</f>
        <v>0.63400000000000001</v>
      </c>
      <c r="N65" s="2159">
        <f>+'STER Detailed Disclosure'!N63/1000</f>
        <v>0.65500000000000003</v>
      </c>
      <c r="O65" s="2166">
        <f>+'STER Detailed Disclosure'!O63/1000</f>
        <v>0.34599999999999997</v>
      </c>
      <c r="P65" s="2166">
        <f>+'STER Detailed Disclosure'!P63/1000</f>
        <v>0.83599999999999997</v>
      </c>
      <c r="Q65" s="2166">
        <f>+'STER Detailed Disclosure'!Q63/1000</f>
        <v>2.73</v>
      </c>
      <c r="R65" s="2159">
        <f>+'STER Detailed Disclosure'!R63/1000</f>
        <v>5.1120000000000001</v>
      </c>
      <c r="S65" s="2166">
        <f>+'STER Detailed Disclosure'!S63/1000</f>
        <v>3.2730000000000001</v>
      </c>
      <c r="T65" s="2166">
        <f>+'STER Detailed Disclosure'!T63/1000</f>
        <v>11.49</v>
      </c>
      <c r="U65" s="2166">
        <f>+'STER Detailed Disclosure'!U63/1000</f>
        <v>4.0179999999999998</v>
      </c>
      <c r="V65" s="2159">
        <f>+'STER Detailed Disclosure'!V63/1000</f>
        <v>2.5740000000000016</v>
      </c>
      <c r="W65" s="2153">
        <f>+'STER Detailed Disclosure'!W63/1000</f>
        <v>3.2010000000000001</v>
      </c>
      <c r="X65" s="2153">
        <f>+'STER Detailed Disclosure'!X63/1000</f>
        <v>1.5660000000000001</v>
      </c>
      <c r="Y65" s="2153">
        <v>0.34200000000000003</v>
      </c>
      <c r="Z65" s="571"/>
      <c r="AA65" s="571"/>
      <c r="AB65" s="571"/>
      <c r="AC65" s="571"/>
      <c r="AD65" s="571"/>
      <c r="AE65" s="571"/>
      <c r="AF65" s="571"/>
      <c r="AG65" s="571"/>
      <c r="AH65" s="571"/>
      <c r="AI65" s="571"/>
      <c r="AJ65" s="571"/>
      <c r="AK65" s="571"/>
      <c r="AL65" s="571"/>
      <c r="AM65" s="571"/>
      <c r="AN65" s="571"/>
      <c r="AO65" s="571"/>
      <c r="AP65" s="2153"/>
      <c r="AQ65" s="2153">
        <f>+'STER Detailed Disclosure'!AQ63/1000</f>
        <v>4.5259999999999998</v>
      </c>
      <c r="AR65" s="2153">
        <f>+'STER Detailed Disclosure'!AR63/1000</f>
        <v>8.8379999999999992</v>
      </c>
      <c r="AS65" s="2153">
        <f>+'STER Detailed Disclosure'!AS63/1000</f>
        <v>4.915</v>
      </c>
      <c r="AT65" s="2153">
        <f>+'STER Detailed Disclosure'!AT63/1000</f>
        <v>9.0239999999999991</v>
      </c>
      <c r="AU65" s="2153">
        <f>+'STER Detailed Disclosure'!AU63/1000</f>
        <v>21.355</v>
      </c>
    </row>
    <row r="66" spans="1:47" x14ac:dyDescent="0.25">
      <c r="A66" s="649" t="str">
        <f>+'STER Detailed Disclosure'!A64</f>
        <v>Technology Transformation</v>
      </c>
      <c r="B66" s="571"/>
      <c r="C66" s="2153"/>
      <c r="D66" s="2153"/>
      <c r="E66" s="2153">
        <f>+'STER Detailed Disclosure'!E64/1000</f>
        <v>2.2970000000000002</v>
      </c>
      <c r="F66" s="2159">
        <f>+'STER Detailed Disclosure'!F64/1000</f>
        <v>3.0150000000000001</v>
      </c>
      <c r="G66" s="2166">
        <f>+'STER Detailed Disclosure'!G64/1000</f>
        <v>3.0089999999999999</v>
      </c>
      <c r="H66" s="2166">
        <f>+'STER Detailed Disclosure'!H64/1000</f>
        <v>2.4580000000000002</v>
      </c>
      <c r="I66" s="2166">
        <f>+'STER Detailed Disclosure'!I64/1000</f>
        <v>2.581</v>
      </c>
      <c r="J66" s="2159">
        <f>+'STER Detailed Disclosure'!J64/1000</f>
        <v>2.8719999999999999</v>
      </c>
      <c r="K66" s="2166">
        <f>+'STER Detailed Disclosure'!K64/1000</f>
        <v>2.0590000000000002</v>
      </c>
      <c r="L66" s="2166">
        <f>+'STER Detailed Disclosure'!L64/1000</f>
        <v>3.9420000000000002</v>
      </c>
      <c r="M66" s="2166">
        <f>+'STER Detailed Disclosure'!M64/1000</f>
        <v>3.137</v>
      </c>
      <c r="N66" s="2159">
        <f>+'STER Detailed Disclosure'!N64/1000</f>
        <v>3.95</v>
      </c>
      <c r="O66" s="2166">
        <f>+'STER Detailed Disclosure'!O64/1000</f>
        <v>3.762</v>
      </c>
      <c r="P66" s="2166">
        <f>+'STER Detailed Disclosure'!P64/1000</f>
        <v>4.5369999999999999</v>
      </c>
      <c r="Q66" s="2166">
        <f>+'STER Detailed Disclosure'!Q64/1000</f>
        <v>4.7670000000000003</v>
      </c>
      <c r="R66" s="2159">
        <f>+'STER Detailed Disclosure'!R64/1000</f>
        <v>3.7280000000000002</v>
      </c>
      <c r="S66" s="2166">
        <f>+'STER Detailed Disclosure'!S64/1000</f>
        <v>3.2330000000000001</v>
      </c>
      <c r="T66" s="2166">
        <f>+'STER Detailed Disclosure'!T64/1000</f>
        <v>0.17899999999999999</v>
      </c>
      <c r="U66" s="2166">
        <f>+'STER Detailed Disclosure'!U64/1000</f>
        <v>0.25600000000000001</v>
      </c>
      <c r="V66" s="2159">
        <f>+'STER Detailed Disclosure'!V64/1000</f>
        <v>0.254</v>
      </c>
      <c r="W66" s="2153">
        <f>+'STER Detailed Disclosure'!W64/1000</f>
        <v>0.375</v>
      </c>
      <c r="X66" s="2153">
        <f>+'STER Detailed Disclosure'!X64/1000</f>
        <v>0.45500000000000002</v>
      </c>
      <c r="Y66" s="2153">
        <v>0.3</v>
      </c>
      <c r="Z66" s="571"/>
      <c r="AA66" s="571"/>
      <c r="AB66" s="571"/>
      <c r="AC66" s="571"/>
      <c r="AD66" s="571"/>
      <c r="AE66" s="571"/>
      <c r="AF66" s="571"/>
      <c r="AG66" s="571"/>
      <c r="AH66" s="571"/>
      <c r="AI66" s="571"/>
      <c r="AJ66" s="571"/>
      <c r="AK66" s="571"/>
      <c r="AL66" s="571"/>
      <c r="AM66" s="571"/>
      <c r="AN66" s="571"/>
      <c r="AO66" s="571"/>
      <c r="AP66" s="2153"/>
      <c r="AQ66" s="2153">
        <f>+'STER Detailed Disclosure'!AQ64/1000</f>
        <v>9.7629999999999999</v>
      </c>
      <c r="AR66" s="2153">
        <f>+'STER Detailed Disclosure'!AR64/1000</f>
        <v>10.92</v>
      </c>
      <c r="AS66" s="2153">
        <f>+'STER Detailed Disclosure'!AS64/1000</f>
        <v>13.087999999999999</v>
      </c>
      <c r="AT66" s="2153">
        <f>+'STER Detailed Disclosure'!AT64/1000</f>
        <v>16.794</v>
      </c>
      <c r="AU66" s="2153">
        <f>+'STER Detailed Disclosure'!AU64/1000</f>
        <v>3.9220000000000002</v>
      </c>
    </row>
    <row r="67" spans="1:47" x14ac:dyDescent="0.25">
      <c r="A67" s="649" t="str">
        <f>+'STER Detailed Disclosure'!A65</f>
        <v>Settlements impacting comparability</v>
      </c>
      <c r="B67" s="571"/>
      <c r="C67" s="2153"/>
      <c r="D67" s="2153"/>
      <c r="E67" s="2153">
        <f>+'STER Detailed Disclosure'!E65/1000</f>
        <v>0.28699999999999998</v>
      </c>
      <c r="F67" s="2159">
        <f>+'STER Detailed Disclosure'!F65/1000</f>
        <v>11.218999999999999</v>
      </c>
      <c r="G67" s="2166">
        <f>+'STER Detailed Disclosure'!G65/1000</f>
        <v>9.7000000000000003E-2</v>
      </c>
      <c r="H67" s="2166">
        <f>+'STER Detailed Disclosure'!H65/1000</f>
        <v>4.2999999999999997E-2</v>
      </c>
      <c r="I67" s="2166">
        <f>+'STER Detailed Disclosure'!I65/1000</f>
        <v>0.12</v>
      </c>
      <c r="J67" s="2159">
        <f>+'STER Detailed Disclosure'!J65/1000</f>
        <v>2.6619999999999999</v>
      </c>
      <c r="K67" s="2166">
        <f>+'STER Detailed Disclosure'!K65/1000</f>
        <v>0</v>
      </c>
      <c r="L67" s="2166">
        <f>+'STER Detailed Disclosure'!L65/1000</f>
        <v>0</v>
      </c>
      <c r="M67" s="2166">
        <f>+'STER Detailed Disclosure'!M65/1000</f>
        <v>0</v>
      </c>
      <c r="N67" s="2159">
        <f>+'STER Detailed Disclosure'!N65/1000</f>
        <v>0.46800000000000003</v>
      </c>
      <c r="O67" s="2166">
        <f>+'STER Detailed Disclosure'!O65/1000</f>
        <v>0</v>
      </c>
      <c r="P67" s="2166">
        <f>+'STER Detailed Disclosure'!P65/1000</f>
        <v>0</v>
      </c>
      <c r="Q67" s="2166">
        <f>+'STER Detailed Disclosure'!Q65/1000</f>
        <v>0.21299999999999999</v>
      </c>
      <c r="R67" s="2159">
        <f>+'STER Detailed Disclosure'!R65/1000</f>
        <v>3.1059999999999999</v>
      </c>
      <c r="S67" s="2166">
        <f>+'STER Detailed Disclosure'!S65/1000</f>
        <v>0</v>
      </c>
      <c r="T67" s="2166">
        <f>+'STER Detailed Disclosure'!T65/1000</f>
        <v>0</v>
      </c>
      <c r="U67" s="2166">
        <f>+'STER Detailed Disclosure'!U65/1000</f>
        <v>0</v>
      </c>
      <c r="V67" s="2159">
        <f>+'STER Detailed Disclosure'!V65/1000</f>
        <v>0.13100000000000001</v>
      </c>
      <c r="W67" s="2153">
        <f>+'STER Detailed Disclosure'!W65/1000</f>
        <v>0</v>
      </c>
      <c r="X67" s="2153">
        <f>+'STER Detailed Disclosure'!X65/1000</f>
        <v>1</v>
      </c>
      <c r="Y67" s="2153">
        <v>0</v>
      </c>
      <c r="Z67" s="571"/>
      <c r="AA67" s="571"/>
      <c r="AB67" s="571"/>
      <c r="AC67" s="571"/>
      <c r="AD67" s="571"/>
      <c r="AE67" s="571"/>
      <c r="AF67" s="571"/>
      <c r="AG67" s="571"/>
      <c r="AH67" s="571"/>
      <c r="AI67" s="571"/>
      <c r="AJ67" s="571"/>
      <c r="AK67" s="571"/>
      <c r="AL67" s="571"/>
      <c r="AM67" s="571"/>
      <c r="AN67" s="571"/>
      <c r="AO67" s="571"/>
      <c r="AP67" s="2153"/>
      <c r="AQ67" s="2153">
        <f>+'STER Detailed Disclosure'!AQ65/1000</f>
        <v>12.065</v>
      </c>
      <c r="AR67" s="2153">
        <f>+'STER Detailed Disclosure'!AR65/1000</f>
        <v>2.9220000000000002</v>
      </c>
      <c r="AS67" s="2153">
        <f>+'STER Detailed Disclosure'!AS65/1000</f>
        <v>0.46800000000000003</v>
      </c>
      <c r="AT67" s="2153">
        <f>+'STER Detailed Disclosure'!AT65/1000</f>
        <v>3.319</v>
      </c>
      <c r="AU67" s="2153">
        <f>+'STER Detailed Disclosure'!AU65/1000</f>
        <v>0.13100000000000001</v>
      </c>
    </row>
    <row r="68" spans="1:47" x14ac:dyDescent="0.25">
      <c r="A68" s="649" t="str">
        <f>+'STER Detailed Disclosure'!A66</f>
        <v>Gain on interest rate swaps</v>
      </c>
      <c r="B68" s="571"/>
      <c r="C68" s="2153"/>
      <c r="D68" s="2153"/>
      <c r="E68" s="2153">
        <f>+'STER Detailed Disclosure'!E66/1000</f>
        <v>1.069</v>
      </c>
      <c r="F68" s="2159">
        <f>+'STER Detailed Disclosure'!F66/1000</f>
        <v>-1.181</v>
      </c>
      <c r="G68" s="2166">
        <f>+'STER Detailed Disclosure'!G66/1000</f>
        <v>8.7550000000000008</v>
      </c>
      <c r="H68" s="2166">
        <f>+'STER Detailed Disclosure'!H66/1000</f>
        <v>0.89900000000000002</v>
      </c>
      <c r="I68" s="2166">
        <f>+'STER Detailed Disclosure'!I66/1000</f>
        <v>-4.9000000000000002E-2</v>
      </c>
      <c r="J68" s="2159">
        <f>+'STER Detailed Disclosure'!J66/1000</f>
        <v>-0.153</v>
      </c>
      <c r="K68" s="2166">
        <f>+'STER Detailed Disclosure'!K66/1000</f>
        <v>-4.5999999999999999E-2</v>
      </c>
      <c r="L68" s="2166">
        <f>+'STER Detailed Disclosure'!L66/1000</f>
        <v>0.13300000000000001</v>
      </c>
      <c r="M68" s="2166">
        <f>+'STER Detailed Disclosure'!M66/1000</f>
        <v>0.112</v>
      </c>
      <c r="N68" s="2159">
        <f>+'STER Detailed Disclosure'!N66/1000</f>
        <v>-0.16800000000000001</v>
      </c>
      <c r="O68" s="2166">
        <f>+'STER Detailed Disclosure'!O66/1000</f>
        <v>-0.32800000000000001</v>
      </c>
      <c r="P68" s="2166">
        <f>+'STER Detailed Disclosure'!P66/1000</f>
        <v>3.2000000000000001E-2</v>
      </c>
      <c r="Q68" s="2166">
        <f>+'STER Detailed Disclosure'!Q66/1000</f>
        <v>0</v>
      </c>
      <c r="R68" s="2159">
        <f>+'STER Detailed Disclosure'!R66/1000</f>
        <v>-1E-3</v>
      </c>
      <c r="S68" s="2166">
        <f>+'STER Detailed Disclosure'!S66/1000</f>
        <v>0</v>
      </c>
      <c r="T68" s="2166">
        <f>+'STER Detailed Disclosure'!T66/1000</f>
        <v>0</v>
      </c>
      <c r="U68" s="2166">
        <f>+'STER Detailed Disclosure'!U66/1000</f>
        <v>0</v>
      </c>
      <c r="V68" s="2159">
        <f>+'STER Detailed Disclosure'!V66/1000</f>
        <v>0</v>
      </c>
      <c r="W68" s="2153">
        <f>+'STER Detailed Disclosure'!W66/1000</f>
        <v>0</v>
      </c>
      <c r="X68" s="2153">
        <f>+'STER Detailed Disclosure'!X66/1000</f>
        <v>0</v>
      </c>
      <c r="Y68" s="2153">
        <v>0</v>
      </c>
      <c r="Z68" s="571"/>
      <c r="AA68" s="571"/>
      <c r="AB68" s="571"/>
      <c r="AC68" s="571"/>
      <c r="AD68" s="571"/>
      <c r="AE68" s="571"/>
      <c r="AF68" s="571"/>
      <c r="AG68" s="571"/>
      <c r="AH68" s="571"/>
      <c r="AI68" s="571"/>
      <c r="AJ68" s="571"/>
      <c r="AK68" s="571"/>
      <c r="AL68" s="571"/>
      <c r="AM68" s="571"/>
      <c r="AN68" s="571"/>
      <c r="AO68" s="571"/>
      <c r="AP68" s="2153"/>
      <c r="AQ68" s="2153">
        <f>+'STER Detailed Disclosure'!AQ66/1000</f>
        <v>7.3239999999999998</v>
      </c>
      <c r="AR68" s="2153">
        <f>+'STER Detailed Disclosure'!AR66/1000</f>
        <v>9.452</v>
      </c>
      <c r="AS68" s="2153">
        <f>+'STER Detailed Disclosure'!AS66/1000</f>
        <v>3.1E-2</v>
      </c>
      <c r="AT68" s="2153">
        <f>+'STER Detailed Disclosure'!AT66/1000</f>
        <v>-0.29699999999999999</v>
      </c>
      <c r="AU68" s="2153">
        <f>+'STER Detailed Disclosure'!AU66/1000</f>
        <v>0</v>
      </c>
    </row>
    <row r="69" spans="1:47" s="565" customFormat="1" ht="14" x14ac:dyDescent="0.4">
      <c r="A69" s="649" t="str">
        <f>+'STER Detailed Disclosure'!A67</f>
        <v>Other</v>
      </c>
      <c r="B69" s="572"/>
      <c r="C69" s="2157"/>
      <c r="D69" s="2157"/>
      <c r="E69" s="2157">
        <f>+'STER Detailed Disclosure'!E67/1000</f>
        <v>1.891</v>
      </c>
      <c r="F69" s="2161">
        <f>+'STER Detailed Disclosure'!F67/1000</f>
        <v>3.2269999999999999</v>
      </c>
      <c r="G69" s="2167">
        <f>+'STER Detailed Disclosure'!G67/1000</f>
        <v>1.8520000000000001</v>
      </c>
      <c r="H69" s="2167">
        <f>+'STER Detailed Disclosure'!H67/1000</f>
        <v>0.16800000000000001</v>
      </c>
      <c r="I69" s="2167">
        <f>+'STER Detailed Disclosure'!I67/1000</f>
        <v>-0.187</v>
      </c>
      <c r="J69" s="2161">
        <f>+'STER Detailed Disclosure'!J67/1000</f>
        <v>0.496</v>
      </c>
      <c r="K69" s="2167">
        <f>+'STER Detailed Disclosure'!K67/1000</f>
        <v>0.496</v>
      </c>
      <c r="L69" s="2167">
        <f>+'STER Detailed Disclosure'!L67/1000</f>
        <v>0.13400000000000001</v>
      </c>
      <c r="M69" s="2167">
        <f>+'STER Detailed Disclosure'!M67/1000</f>
        <v>0.19600000000000001</v>
      </c>
      <c r="N69" s="2161">
        <f>+'STER Detailed Disclosure'!N67/1000</f>
        <v>0.29799999999999999</v>
      </c>
      <c r="O69" s="2167">
        <f>+'STER Detailed Disclosure'!O67/1000</f>
        <v>4.7E-2</v>
      </c>
      <c r="P69" s="2167">
        <f>+'STER Detailed Disclosure'!P67/1000</f>
        <v>-0.30399999999999999</v>
      </c>
      <c r="Q69" s="2167">
        <f>+'STER Detailed Disclosure'!Q67/1000</f>
        <v>-0.83199999999999996</v>
      </c>
      <c r="R69" s="2161">
        <f>+'STER Detailed Disclosure'!R67/1000</f>
        <v>0.97799999999999998</v>
      </c>
      <c r="S69" s="2167">
        <f>+'STER Detailed Disclosure'!S67/1000</f>
        <v>0.45700000000000002</v>
      </c>
      <c r="T69" s="2167">
        <f>+'STER Detailed Disclosure'!T67/1000</f>
        <v>0.48899999999999999</v>
      </c>
      <c r="U69" s="2167">
        <f>+'STER Detailed Disclosure'!U67/1000</f>
        <v>-0.22500000000000001</v>
      </c>
      <c r="V69" s="2161">
        <f>+'STER Detailed Disclosure'!V67/1000</f>
        <v>3.000000000000003E-2</v>
      </c>
      <c r="W69" s="2157">
        <f>+'STER Detailed Disclosure'!W67/1000</f>
        <v>-0.505</v>
      </c>
      <c r="X69" s="2157">
        <f>+'STER Detailed Disclosure'!X67/1000</f>
        <v>0.61499999999999999</v>
      </c>
      <c r="Y69" s="2157">
        <v>2.2280000000000002</v>
      </c>
      <c r="Z69" s="572"/>
      <c r="AA69" s="572"/>
      <c r="AB69" s="572"/>
      <c r="AC69" s="572"/>
      <c r="AD69" s="572"/>
      <c r="AE69" s="572"/>
      <c r="AF69" s="572"/>
      <c r="AG69" s="572"/>
      <c r="AH69" s="572"/>
      <c r="AI69" s="572"/>
      <c r="AJ69" s="572"/>
      <c r="AK69" s="572"/>
      <c r="AL69" s="572"/>
      <c r="AM69" s="572"/>
      <c r="AN69" s="572"/>
      <c r="AO69" s="572"/>
      <c r="AP69" s="2157"/>
      <c r="AQ69" s="2157">
        <f>+'STER Detailed Disclosure'!AQ67/1000</f>
        <v>6.5529999999999999</v>
      </c>
      <c r="AR69" s="2157">
        <f>+'STER Detailed Disclosure'!AR67/1000</f>
        <v>2.3290000000000002</v>
      </c>
      <c r="AS69" s="2157">
        <f>+'STER Detailed Disclosure'!AS67/1000</f>
        <v>1.123</v>
      </c>
      <c r="AT69" s="2154">
        <f>+'STER Detailed Disclosure'!AT67/1000</f>
        <v>-0.111</v>
      </c>
      <c r="AU69" s="2154">
        <f>+'STER Detailed Disclosure'!AU67/1000</f>
        <v>0.751</v>
      </c>
    </row>
    <row r="70" spans="1:47" x14ac:dyDescent="0.25">
      <c r="A70" s="425" t="str">
        <f>+'STER Detailed Disclosure'!A68</f>
        <v>Adjusted EBITDA</v>
      </c>
      <c r="B70" s="571"/>
      <c r="C70" s="2153"/>
      <c r="D70" s="2153"/>
      <c r="E70" s="2153">
        <f>+'STER Detailed Disclosure'!E68/1000</f>
        <v>35.884</v>
      </c>
      <c r="F70" s="2159">
        <f>+'STER Detailed Disclosure'!F68/1000</f>
        <v>23.738</v>
      </c>
      <c r="G70" s="2166">
        <f>+'STER Detailed Disclosure'!G68/1000</f>
        <v>27.856999999999999</v>
      </c>
      <c r="H70" s="2166">
        <f>+'STER Detailed Disclosure'!H68/1000</f>
        <v>14.718999999999996</v>
      </c>
      <c r="I70" s="2166">
        <f>+'STER Detailed Disclosure'!I68/1000</f>
        <v>30.655999999999999</v>
      </c>
      <c r="J70" s="2159">
        <f>+'STER Detailed Disclosure'!J68/1000</f>
        <v>28.013999999999999</v>
      </c>
      <c r="K70" s="2166">
        <f>+'STER Detailed Disclosure'!K68/1000</f>
        <v>36.804000000000009</v>
      </c>
      <c r="L70" s="2166">
        <f>+'STER Detailed Disclosure'!L68/1000</f>
        <v>47.034000000000056</v>
      </c>
      <c r="M70" s="2166">
        <f>+'STER Detailed Disclosure'!M68/1000</f>
        <v>51.298999999999971</v>
      </c>
      <c r="N70" s="2159">
        <f>+'STER Detailed Disclosure'!N68/1000</f>
        <v>44.048999999999992</v>
      </c>
      <c r="O70" s="2166">
        <f>+'STER Detailed Disclosure'!O68/1000</f>
        <v>47.63600000000001</v>
      </c>
      <c r="P70" s="2166">
        <f>+'STER Detailed Disclosure'!P68/1000</f>
        <v>56.472000000000008</v>
      </c>
      <c r="Q70" s="2166">
        <f>+'STER Detailed Disclosure'!Q68/1000</f>
        <v>53.098000000000013</v>
      </c>
      <c r="R70" s="2159">
        <f>+'STER Detailed Disclosure'!R68/1000</f>
        <v>41.296999999999983</v>
      </c>
      <c r="S70" s="2166">
        <f>+'STER Detailed Disclosure'!S68/1000</f>
        <v>45.554999999999993</v>
      </c>
      <c r="T70" s="2166">
        <f>+'STER Detailed Disclosure'!T68/1000</f>
        <v>49.996999999999993</v>
      </c>
      <c r="U70" s="2166">
        <f>+'STER Detailed Disclosure'!U68/1000</f>
        <v>47.555999999999997</v>
      </c>
      <c r="V70" s="2159">
        <f>+'STER Detailed Disclosure'!V68/1000</f>
        <v>41.915999999999926</v>
      </c>
      <c r="W70" s="2153">
        <f>+'STER Detailed Disclosure'!W68/1000</f>
        <v>38.51</v>
      </c>
      <c r="X70" s="2153">
        <f>+'STER Detailed Disclosure'!X68/1000</f>
        <v>46.283999999999999</v>
      </c>
      <c r="Y70" s="2153">
        <f>+SUM(Y58:Y69)</f>
        <v>45.288999999999994</v>
      </c>
      <c r="Z70" s="571"/>
      <c r="AA70" s="571"/>
      <c r="AB70" s="571"/>
      <c r="AC70" s="571"/>
      <c r="AD70" s="571"/>
      <c r="AE70" s="571"/>
      <c r="AF70" s="571"/>
      <c r="AG70" s="571"/>
      <c r="AH70" s="571"/>
      <c r="AI70" s="571"/>
      <c r="AJ70" s="571"/>
      <c r="AK70" s="571"/>
      <c r="AL70" s="571"/>
      <c r="AM70" s="571"/>
      <c r="AN70" s="571"/>
      <c r="AO70" s="571"/>
      <c r="AP70" s="2153"/>
      <c r="AQ70" s="2153">
        <f>+'STER Detailed Disclosure'!AQ68/1000</f>
        <v>118.98399999999998</v>
      </c>
      <c r="AR70" s="2153">
        <f>+'STER Detailed Disclosure'!AR68/1000</f>
        <v>101.245</v>
      </c>
      <c r="AS70" s="2153">
        <f>+'STER Detailed Disclosure'!AS68/1000</f>
        <v>179.18400000000005</v>
      </c>
      <c r="AT70" s="2153">
        <f>+'STER Detailed Disclosure'!AT68/1000</f>
        <v>198.50299999999999</v>
      </c>
      <c r="AU70" s="2153">
        <f>+'STER Detailed Disclosure'!AU68/1000</f>
        <v>185.024</v>
      </c>
    </row>
    <row r="71" spans="1:47" s="199" customFormat="1" ht="13" x14ac:dyDescent="0.3">
      <c r="A71" s="687" t="s">
        <v>127</v>
      </c>
      <c r="C71" s="2151"/>
      <c r="D71" s="2151"/>
      <c r="E71" s="2151">
        <f t="shared" ref="E71:Y71" si="3">+E70/E8</f>
        <v>0.27028207735472454</v>
      </c>
      <c r="F71" s="2160">
        <f t="shared" si="3"/>
        <v>0.19548872180451127</v>
      </c>
      <c r="G71" s="2151">
        <f t="shared" si="3"/>
        <v>0.23335511325559574</v>
      </c>
      <c r="H71" s="2151">
        <f t="shared" si="3"/>
        <v>0.16618306217610726</v>
      </c>
      <c r="I71" s="2151">
        <f t="shared" si="3"/>
        <v>0.2606758388462781</v>
      </c>
      <c r="J71" s="2160">
        <f t="shared" si="3"/>
        <v>0.21800269254414295</v>
      </c>
      <c r="K71" s="2151">
        <f t="shared" si="3"/>
        <v>0.26407404749946189</v>
      </c>
      <c r="L71" s="2151">
        <f t="shared" si="3"/>
        <v>0.29520234986945204</v>
      </c>
      <c r="M71" s="2151">
        <f t="shared" si="3"/>
        <v>0.30254722600659351</v>
      </c>
      <c r="N71" s="2160">
        <f t="shared" si="3"/>
        <v>0.25369609915394314</v>
      </c>
      <c r="O71" s="2151">
        <f t="shared" si="3"/>
        <v>0.2481403538015961</v>
      </c>
      <c r="P71" s="2151">
        <f t="shared" si="3"/>
        <v>0.27468128468658648</v>
      </c>
      <c r="Q71" s="2151">
        <f t="shared" si="3"/>
        <v>0.26642381547323374</v>
      </c>
      <c r="R71" s="2160">
        <f t="shared" si="3"/>
        <v>0.24303790018832383</v>
      </c>
      <c r="S71" s="2151">
        <f t="shared" si="3"/>
        <v>0.25410823655410147</v>
      </c>
      <c r="T71" s="2151">
        <f t="shared" si="3"/>
        <v>0.26261135389528528</v>
      </c>
      <c r="U71" s="2151">
        <f t="shared" si="3"/>
        <v>0.26337184187499307</v>
      </c>
      <c r="V71" s="2160">
        <f t="shared" si="3"/>
        <v>0.24741464796713381</v>
      </c>
      <c r="W71" s="2151">
        <f t="shared" si="3"/>
        <v>0.2070441238931392</v>
      </c>
      <c r="X71" s="2151">
        <f t="shared" si="3"/>
        <v>0.23081065985797494</v>
      </c>
      <c r="Y71" s="2151">
        <f t="shared" si="3"/>
        <v>0.23165728900255753</v>
      </c>
      <c r="Z71" s="2151"/>
      <c r="AA71" s="2151"/>
      <c r="AB71" s="2151"/>
      <c r="AC71" s="2151"/>
      <c r="AD71" s="2151"/>
      <c r="AE71" s="2151"/>
      <c r="AF71" s="2151"/>
      <c r="AG71" s="2151"/>
      <c r="AH71" s="2151"/>
      <c r="AI71" s="2151"/>
      <c r="AJ71" s="2151"/>
      <c r="AK71" s="2151"/>
      <c r="AL71" s="2151"/>
      <c r="AM71" s="2151"/>
      <c r="AN71" s="2151"/>
      <c r="AO71" s="2151"/>
      <c r="AP71" s="2151"/>
      <c r="AQ71" s="2151">
        <f>+AQ70/AQ8</f>
        <v>0.23934856250854927</v>
      </c>
      <c r="AR71" s="2151">
        <f>+AR70/AR8</f>
        <v>0.22298057715729222</v>
      </c>
      <c r="AS71" s="2151">
        <f>+AS70/AS8</f>
        <v>0.27915324264197278</v>
      </c>
      <c r="AT71" s="2151">
        <f>+AT70/AT8</f>
        <v>0.25887801226424195</v>
      </c>
      <c r="AU71" s="2151">
        <f>+AU70/AU8</f>
        <v>0.25710633094324942</v>
      </c>
    </row>
    <row r="72" spans="1:47" x14ac:dyDescent="0.25">
      <c r="F72" s="407"/>
      <c r="J72" s="407"/>
      <c r="N72" s="407"/>
      <c r="R72" s="407"/>
      <c r="V72" s="407"/>
    </row>
    <row r="73" spans="1:47" x14ac:dyDescent="0.25">
      <c r="A73" s="2150" t="s">
        <v>365</v>
      </c>
      <c r="F73" s="407"/>
      <c r="J73" s="407"/>
      <c r="N73" s="407"/>
      <c r="R73" s="407"/>
      <c r="V73" s="407"/>
    </row>
    <row r="74" spans="1:47" x14ac:dyDescent="0.25">
      <c r="A74" s="649" t="str">
        <f>+'STER Detailed Disclosure'!A72</f>
        <v>Net (loss) income</v>
      </c>
      <c r="C74" s="571"/>
      <c r="D74" s="571"/>
      <c r="E74" s="571">
        <f>+'STER Detailed Disclosure'!E72/1000</f>
        <v>-3.9089999999999998</v>
      </c>
      <c r="F74" s="666">
        <f>+'STER Detailed Disclosure'!F72/1000</f>
        <v>-17.702000000000002</v>
      </c>
      <c r="G74" s="667">
        <f>+'STER Detailed Disclosure'!G72/1000</f>
        <v>-15.899999999999999</v>
      </c>
      <c r="H74" s="667">
        <f>+'STER Detailed Disclosure'!H72/1000</f>
        <v>-24.947000000000003</v>
      </c>
      <c r="I74" s="667">
        <f>+'STER Detailed Disclosure'!I72/1000</f>
        <v>-10.385</v>
      </c>
      <c r="J74" s="666">
        <f>+'STER Detailed Disclosure'!J72/1000</f>
        <v>-1.06</v>
      </c>
      <c r="K74" s="667">
        <f>+'STER Detailed Disclosure'!K72/1000</f>
        <v>0.62800000000000877</v>
      </c>
      <c r="L74" s="667">
        <f>+'STER Detailed Disclosure'!L72/1000</f>
        <v>3.3980000000000565</v>
      </c>
      <c r="M74" s="667">
        <f>+'STER Detailed Disclosure'!M72/1000</f>
        <v>-25.256000000000025</v>
      </c>
      <c r="N74" s="666">
        <f>+'STER Detailed Disclosure'!N72/1000</f>
        <v>2.7039999999999926</v>
      </c>
      <c r="O74" s="667">
        <f>+'STER Detailed Disclosure'!O72/1000</f>
        <v>6.2360000000000069</v>
      </c>
      <c r="P74" s="667">
        <f>+'STER Detailed Disclosure'!P72/1000</f>
        <v>11.571000000000009</v>
      </c>
      <c r="Q74" s="667">
        <f>+'STER Detailed Disclosure'!Q72/1000</f>
        <v>9.3030000000000115</v>
      </c>
      <c r="R74" s="666">
        <f>+'STER Detailed Disclosure'!R72/1000</f>
        <v>-7.7000000000000117</v>
      </c>
      <c r="S74" s="667">
        <f>+'STER Detailed Disclosure'!S72/1000</f>
        <v>0.59099999999999331</v>
      </c>
      <c r="T74" s="667">
        <f>+'STER Detailed Disclosure'!T72/1000</f>
        <v>0.32299999999999224</v>
      </c>
      <c r="U74" s="667">
        <f>+'STER Detailed Disclosure'!U72/1000</f>
        <v>2.354000000000001</v>
      </c>
      <c r="V74" s="666">
        <f>+'STER Detailed Disclosure'!V72/1000</f>
        <v>-3.3840000000000661</v>
      </c>
      <c r="W74" s="571">
        <f>+'STER Detailed Disclosure'!W72/1000</f>
        <v>-7.9550000000000018</v>
      </c>
      <c r="X74" s="571">
        <f>+'STER Detailed Disclosure'!X72/1000</f>
        <v>-6.2320000000000029</v>
      </c>
      <c r="Y74" s="571">
        <v>-20.178000000000001</v>
      </c>
      <c r="Z74" s="571"/>
      <c r="AA74" s="571"/>
      <c r="AB74" s="571"/>
      <c r="AC74" s="571"/>
      <c r="AD74" s="571"/>
      <c r="AE74" s="571"/>
      <c r="AF74" s="571"/>
      <c r="AG74" s="571"/>
      <c r="AH74" s="571"/>
      <c r="AI74" s="571"/>
      <c r="AJ74" s="571"/>
      <c r="AK74" s="571"/>
      <c r="AL74" s="571"/>
      <c r="AM74" s="571"/>
      <c r="AN74" s="571"/>
      <c r="AO74" s="571"/>
      <c r="AP74" s="571"/>
      <c r="AQ74" s="571">
        <f>+'STER Detailed Disclosure'!AQ72/1000</f>
        <v>-46.682000000000016</v>
      </c>
      <c r="AR74" s="571">
        <f>+'STER Detailed Disclosure'!AR72/1000</f>
        <v>-52.292999999999999</v>
      </c>
      <c r="AS74" s="571">
        <f>+'STER Detailed Disclosure'!AS72/1000</f>
        <v>-18.526999999999937</v>
      </c>
      <c r="AT74" s="2153">
        <f>+'STER Detailed Disclosure'!AT72/1000</f>
        <v>19.41</v>
      </c>
      <c r="AU74" s="2153">
        <f>+'STER Detailed Disclosure'!AU72/1000</f>
        <v>-0.11600000000000001</v>
      </c>
    </row>
    <row r="75" spans="1:47" s="565" customFormat="1" ht="14" x14ac:dyDescent="0.4">
      <c r="A75" s="649" t="str">
        <f>+'STER Detailed Disclosure'!A73</f>
        <v>Income tax provision</v>
      </c>
      <c r="C75" s="572"/>
      <c r="D75" s="614"/>
      <c r="E75" s="614">
        <f>+'STER Detailed Disclosure'!E73/1000</f>
        <v>-0.97899999999999998</v>
      </c>
      <c r="F75" s="2162">
        <f>+'STER Detailed Disclosure'!F73/1000</f>
        <v>-10.544</v>
      </c>
      <c r="G75" s="2168">
        <f>+'STER Detailed Disclosure'!G73/1000</f>
        <v>-3.556</v>
      </c>
      <c r="H75" s="2168">
        <f>+'STER Detailed Disclosure'!H73/1000</f>
        <v>-1.4530000000000001</v>
      </c>
      <c r="I75" s="2168">
        <f>+'STER Detailed Disclosure'!I73/1000</f>
        <v>5.7270000000000003</v>
      </c>
      <c r="J75" s="2162">
        <f>+'STER Detailed Disclosure'!J73/1000</f>
        <v>-12.28</v>
      </c>
      <c r="K75" s="2168">
        <f>+'STER Detailed Disclosure'!K73/1000</f>
        <v>0.52600000000000002</v>
      </c>
      <c r="L75" s="2168">
        <f>+'STER Detailed Disclosure'!L73/1000</f>
        <v>4.0259999999999998</v>
      </c>
      <c r="M75" s="2168">
        <f>+'STER Detailed Disclosure'!M73/1000</f>
        <v>-12.632999999999999</v>
      </c>
      <c r="N75" s="2162">
        <f>+'STER Detailed Disclosure'!N73/1000</f>
        <v>-2.3809999999999998</v>
      </c>
      <c r="O75" s="2168">
        <f>+'STER Detailed Disclosure'!O73/1000</f>
        <v>4.085</v>
      </c>
      <c r="P75" s="2168">
        <f>+'STER Detailed Disclosure'!P73/1000</f>
        <v>5.3920000000000003</v>
      </c>
      <c r="Q75" s="2168">
        <f>+'STER Detailed Disclosure'!Q73/1000</f>
        <v>3.4809999999999999</v>
      </c>
      <c r="R75" s="2162">
        <f>+'STER Detailed Disclosure'!R73/1000</f>
        <v>-4.2519999999999998</v>
      </c>
      <c r="S75" s="2168">
        <f>+'STER Detailed Disclosure'!S73/1000</f>
        <v>1.1020000000000001</v>
      </c>
      <c r="T75" s="2168">
        <f>+'STER Detailed Disclosure'!T73/1000</f>
        <v>-8.5000000000000006E-2</v>
      </c>
      <c r="U75" s="2168">
        <f>+'STER Detailed Disclosure'!U73/1000</f>
        <v>3.952</v>
      </c>
      <c r="V75" s="2162">
        <f>+'STER Detailed Disclosure'!V73/1000</f>
        <v>7.3980000000000006</v>
      </c>
      <c r="W75" s="614">
        <f>+'STER Detailed Disclosure'!W73/1000</f>
        <v>-9.0180000000000007</v>
      </c>
      <c r="X75" s="614">
        <f>+'STER Detailed Disclosure'!X73/1000</f>
        <v>7.0940000000000003</v>
      </c>
      <c r="Y75" s="614">
        <v>14.22</v>
      </c>
      <c r="Z75" s="572"/>
      <c r="AA75" s="572"/>
      <c r="AB75" s="572"/>
      <c r="AC75" s="572"/>
      <c r="AD75" s="572"/>
      <c r="AE75" s="572"/>
      <c r="AF75" s="572"/>
      <c r="AG75" s="572"/>
      <c r="AH75" s="572"/>
      <c r="AI75" s="572"/>
      <c r="AJ75" s="572"/>
      <c r="AK75" s="572"/>
      <c r="AL75" s="572"/>
      <c r="AM75" s="572"/>
      <c r="AN75" s="572"/>
      <c r="AO75" s="572"/>
      <c r="AP75" s="614"/>
      <c r="AQ75" s="614">
        <f>+'STER Detailed Disclosure'!AQ73/1000</f>
        <v>-11.803000000000001</v>
      </c>
      <c r="AR75" s="614">
        <f>+'STER Detailed Disclosure'!AR73/1000</f>
        <v>-11.561999999999999</v>
      </c>
      <c r="AS75" s="614">
        <f>+'STER Detailed Disclosure'!AS73/1000</f>
        <v>-10.461</v>
      </c>
      <c r="AT75" s="2154">
        <f>+'STER Detailed Disclosure'!AT73/1000</f>
        <v>8.7059999999999995</v>
      </c>
      <c r="AU75" s="2154">
        <f>+'STER Detailed Disclosure'!AU73/1000</f>
        <v>12.367000000000001</v>
      </c>
    </row>
    <row r="76" spans="1:47" x14ac:dyDescent="0.25">
      <c r="A76" s="425" t="str">
        <f>+'STER Detailed Disclosure'!A74</f>
        <v>Income before income taxes</v>
      </c>
      <c r="C76" s="571"/>
      <c r="D76" s="571"/>
      <c r="E76" s="571">
        <f>+'STER Detailed Disclosure'!E74/1000</f>
        <v>-4.8879999999999999</v>
      </c>
      <c r="F76" s="666">
        <f>+'STER Detailed Disclosure'!F74/1000</f>
        <v>-28.246000000000002</v>
      </c>
      <c r="G76" s="667">
        <f>+'STER Detailed Disclosure'!G74/1000</f>
        <v>-19.456</v>
      </c>
      <c r="H76" s="667">
        <f>+'STER Detailed Disclosure'!H74/1000</f>
        <v>-26.400000000000002</v>
      </c>
      <c r="I76" s="667">
        <f>+'STER Detailed Disclosure'!I74/1000</f>
        <v>-4.6579999999999995</v>
      </c>
      <c r="J76" s="666">
        <f>+'STER Detailed Disclosure'!J74/1000</f>
        <v>-13.34</v>
      </c>
      <c r="K76" s="667">
        <f>+'STER Detailed Disclosure'!K74/1000</f>
        <v>1.1540000000000088</v>
      </c>
      <c r="L76" s="667">
        <f>+'STER Detailed Disclosure'!L74/1000</f>
        <v>7.4240000000000563</v>
      </c>
      <c r="M76" s="667">
        <f>+'STER Detailed Disclosure'!M74/1000</f>
        <v>-37.889000000000024</v>
      </c>
      <c r="N76" s="666">
        <f>+'STER Detailed Disclosure'!N74/1000</f>
        <v>0.32299999999999285</v>
      </c>
      <c r="O76" s="667">
        <f>+'STER Detailed Disclosure'!O74/1000</f>
        <v>10.321000000000007</v>
      </c>
      <c r="P76" s="667">
        <f>+'STER Detailed Disclosure'!P74/1000</f>
        <v>16.963000000000008</v>
      </c>
      <c r="Q76" s="667">
        <f>+'STER Detailed Disclosure'!Q74/1000</f>
        <v>12.784000000000011</v>
      </c>
      <c r="R76" s="666">
        <f>+'STER Detailed Disclosure'!R74/1000</f>
        <v>-11.952000000000012</v>
      </c>
      <c r="S76" s="667">
        <f>+'STER Detailed Disclosure'!S74/1000</f>
        <v>1.6929999999999934</v>
      </c>
      <c r="T76" s="667">
        <f>+'STER Detailed Disclosure'!T74/1000</f>
        <v>0.23799999999999222</v>
      </c>
      <c r="U76" s="667">
        <f>+'STER Detailed Disclosure'!U74/1000</f>
        <v>6.3060000000000009</v>
      </c>
      <c r="V76" s="666">
        <f>+'STER Detailed Disclosure'!V74/1000</f>
        <v>4.0139999999999345</v>
      </c>
      <c r="W76" s="571">
        <f>+'STER Detailed Disclosure'!W74/1000</f>
        <v>-16.973000000000003</v>
      </c>
      <c r="X76" s="571">
        <f>+'STER Detailed Disclosure'!X74/1000</f>
        <v>0.86199999999999743</v>
      </c>
      <c r="Y76" s="571">
        <f>+SUM(Y74:Y75)</f>
        <v>-5.9580000000000002</v>
      </c>
      <c r="Z76" s="571"/>
      <c r="AA76" s="571"/>
      <c r="AB76" s="571"/>
      <c r="AC76" s="571"/>
      <c r="AD76" s="571"/>
      <c r="AE76" s="571"/>
      <c r="AF76" s="571"/>
      <c r="AG76" s="571"/>
      <c r="AH76" s="571"/>
      <c r="AI76" s="571"/>
      <c r="AJ76" s="571"/>
      <c r="AK76" s="571"/>
      <c r="AL76" s="571"/>
      <c r="AM76" s="571"/>
      <c r="AN76" s="571"/>
      <c r="AO76" s="571"/>
      <c r="AP76" s="571"/>
      <c r="AQ76" s="571">
        <f>+'STER Detailed Disclosure'!AQ74/1000</f>
        <v>-58.485000000000014</v>
      </c>
      <c r="AR76" s="571">
        <f>+'STER Detailed Disclosure'!AR74/1000</f>
        <v>-63.854999999999997</v>
      </c>
      <c r="AS76" s="571">
        <f>+'STER Detailed Disclosure'!AS74/1000</f>
        <v>-28.987999999999936</v>
      </c>
      <c r="AT76" s="2153">
        <f>+'STER Detailed Disclosure'!AT74/1000</f>
        <v>28.116</v>
      </c>
      <c r="AU76" s="2153">
        <f>+'STER Detailed Disclosure'!AU74/1000</f>
        <v>12.250999999999999</v>
      </c>
    </row>
    <row r="77" spans="1:47" x14ac:dyDescent="0.25">
      <c r="A77" s="649" t="str">
        <f>+'STER Detailed Disclosure'!A75</f>
        <v>Amortization of acquired intangible assets</v>
      </c>
      <c r="C77" s="571"/>
      <c r="D77" s="571"/>
      <c r="E77" s="571">
        <f>+'STER Detailed Disclosure'!E75/1000</f>
        <v>16.373999999999999</v>
      </c>
      <c r="F77" s="666">
        <f>+'STER Detailed Disclosure'!F75/1000</f>
        <v>16.280999999999999</v>
      </c>
      <c r="G77" s="667">
        <f>+'STER Detailed Disclosure'!G75/1000</f>
        <v>15.089</v>
      </c>
      <c r="H77" s="667">
        <f>+'STER Detailed Disclosure'!H75/1000</f>
        <v>15.082000000000001</v>
      </c>
      <c r="I77" s="667">
        <f>+'STER Detailed Disclosure'!I75/1000</f>
        <v>15.119</v>
      </c>
      <c r="J77" s="666">
        <f>+'STER Detailed Disclosure'!J75/1000</f>
        <v>15.055999999999999</v>
      </c>
      <c r="K77" s="667">
        <f>+'STER Detailed Disclosure'!K75/1000</f>
        <v>13.263</v>
      </c>
      <c r="L77" s="667">
        <f>+'STER Detailed Disclosure'!L75/1000</f>
        <v>13.006</v>
      </c>
      <c r="M77" s="667">
        <f>+'STER Detailed Disclosure'!M75/1000</f>
        <v>12.962</v>
      </c>
      <c r="N77" s="666">
        <f>+'STER Detailed Disclosure'!N75/1000</f>
        <v>13.545</v>
      </c>
      <c r="O77" s="667">
        <f>+'STER Detailed Disclosure'!O75/1000</f>
        <v>13.763999999999999</v>
      </c>
      <c r="P77" s="667">
        <f>+'STER Detailed Disclosure'!P75/1000</f>
        <v>13.363</v>
      </c>
      <c r="Q77" s="667">
        <f>+'STER Detailed Disclosure'!Q75/1000</f>
        <v>10.903</v>
      </c>
      <c r="R77" s="666">
        <f>+'STER Detailed Disclosure'!R75/1000</f>
        <v>10.753</v>
      </c>
      <c r="S77" s="667">
        <f>+'STER Detailed Disclosure'!S75/1000</f>
        <v>10.061</v>
      </c>
      <c r="T77" s="667">
        <f>+'STER Detailed Disclosure'!T75/1000</f>
        <v>10.625</v>
      </c>
      <c r="U77" s="667">
        <f>+'STER Detailed Disclosure'!U75/1000</f>
        <v>10.621</v>
      </c>
      <c r="V77" s="666">
        <f>+'STER Detailed Disclosure'!V75/1000</f>
        <v>10.451000000000001</v>
      </c>
      <c r="W77" s="571">
        <f>+'STER Detailed Disclosure'!W75/1000</f>
        <v>10.631</v>
      </c>
      <c r="X77" s="571">
        <f>+'STER Detailed Disclosure'!X75/1000</f>
        <v>10.686999999999999</v>
      </c>
      <c r="Y77" s="571">
        <v>10.616</v>
      </c>
      <c r="Z77" s="571"/>
      <c r="AA77" s="571"/>
      <c r="AB77" s="571"/>
      <c r="AC77" s="571"/>
      <c r="AD77" s="571"/>
      <c r="AE77" s="571"/>
      <c r="AF77" s="571"/>
      <c r="AG77" s="571"/>
      <c r="AH77" s="571"/>
      <c r="AI77" s="571"/>
      <c r="AJ77" s="571"/>
      <c r="AK77" s="571"/>
      <c r="AL77" s="571"/>
      <c r="AM77" s="571"/>
      <c r="AN77" s="571"/>
      <c r="AO77" s="571"/>
      <c r="AP77" s="571"/>
      <c r="AQ77" s="571">
        <f>+'STER Detailed Disclosure'!AQ75/1000</f>
        <v>65.528999999999996</v>
      </c>
      <c r="AR77" s="571">
        <f>+'STER Detailed Disclosure'!AR75/1000</f>
        <v>60.345999999999997</v>
      </c>
      <c r="AS77" s="571">
        <f>+'STER Detailed Disclosure'!AS75/1000</f>
        <v>52.777000000000001</v>
      </c>
      <c r="AT77" s="2153">
        <f>+'STER Detailed Disclosure'!AT75/1000</f>
        <v>48.783000000000001</v>
      </c>
      <c r="AU77" s="2153">
        <f>+'STER Detailed Disclosure'!AU75/1000</f>
        <v>41.758000000000003</v>
      </c>
    </row>
    <row r="78" spans="1:47" x14ac:dyDescent="0.25">
      <c r="A78" s="649" t="str">
        <f>+'STER Detailed Disclosure'!A76</f>
        <v>Stock-based compensation</v>
      </c>
      <c r="C78" s="571"/>
      <c r="D78" s="571"/>
      <c r="E78" s="571">
        <f>+'STER Detailed Disclosure'!E76/1000</f>
        <v>0.249</v>
      </c>
      <c r="F78" s="666">
        <f>+'STER Detailed Disclosure'!F76/1000</f>
        <v>0.504</v>
      </c>
      <c r="G78" s="667">
        <f>+'STER Detailed Disclosure'!G76/1000</f>
        <v>0.54500000000000004</v>
      </c>
      <c r="H78" s="667">
        <f>+'STER Detailed Disclosure'!H76/1000</f>
        <v>0.64100000000000001</v>
      </c>
      <c r="I78" s="667">
        <f>+'STER Detailed Disclosure'!I76/1000</f>
        <v>0.56999999999999995</v>
      </c>
      <c r="J78" s="666">
        <f>+'STER Detailed Disclosure'!J76/1000</f>
        <v>1.708</v>
      </c>
      <c r="K78" s="667">
        <f>+'STER Detailed Disclosure'!K76/1000</f>
        <v>0.89800000000000002</v>
      </c>
      <c r="L78" s="667">
        <f>+'STER Detailed Disclosure'!L76/1000</f>
        <v>0.75600000000000001</v>
      </c>
      <c r="M78" s="667">
        <f>+'STER Detailed Disclosure'!M76/1000</f>
        <v>25.582000000000001</v>
      </c>
      <c r="N78" s="666">
        <f>+'STER Detailed Disclosure'!N76/1000</f>
        <v>5.3440000000000003</v>
      </c>
      <c r="O78" s="667">
        <f>+'STER Detailed Disclosure'!O76/1000</f>
        <v>5.1079999999999997</v>
      </c>
      <c r="P78" s="667">
        <f>+'STER Detailed Disclosure'!P76/1000</f>
        <v>6.0229999999999997</v>
      </c>
      <c r="Q78" s="667">
        <f>+'STER Detailed Disclosure'!Q76/1000</f>
        <v>6.2930000000000001</v>
      </c>
      <c r="R78" s="666">
        <f>+'STER Detailed Disclosure'!R76/1000</f>
        <v>6.3810000000000002</v>
      </c>
      <c r="S78" s="667">
        <f>+'STER Detailed Disclosure'!S76/1000</f>
        <v>8.0429999999999993</v>
      </c>
      <c r="T78" s="667">
        <f>+'STER Detailed Disclosure'!T76/1000</f>
        <v>9.3580000000000005</v>
      </c>
      <c r="U78" s="667">
        <f>+'STER Detailed Disclosure'!U76/1000</f>
        <v>9.7829999999999995</v>
      </c>
      <c r="V78" s="666">
        <f>+'STER Detailed Disclosure'!V76/1000</f>
        <v>7.4660000000000011</v>
      </c>
      <c r="W78" s="571">
        <f>+'STER Detailed Disclosure'!W76/1000</f>
        <v>9.3420000000000005</v>
      </c>
      <c r="X78" s="571">
        <f>+'STER Detailed Disclosure'!X76/1000</f>
        <v>11.702999999999999</v>
      </c>
      <c r="Y78" s="571">
        <v>11.535</v>
      </c>
      <c r="Z78" s="571"/>
      <c r="AA78" s="571"/>
      <c r="AB78" s="571"/>
      <c r="AC78" s="571"/>
      <c r="AD78" s="571"/>
      <c r="AE78" s="571"/>
      <c r="AF78" s="571"/>
      <c r="AG78" s="571"/>
      <c r="AH78" s="571"/>
      <c r="AI78" s="571"/>
      <c r="AJ78" s="571"/>
      <c r="AK78" s="571"/>
      <c r="AL78" s="571"/>
      <c r="AM78" s="571"/>
      <c r="AN78" s="571"/>
      <c r="AO78" s="571"/>
      <c r="AP78" s="571"/>
      <c r="AQ78" s="571">
        <f>+'STER Detailed Disclosure'!AQ76/1000</f>
        <v>1.5029999999999999</v>
      </c>
      <c r="AR78" s="571">
        <f>+'STER Detailed Disclosure'!AR76/1000</f>
        <v>3.464</v>
      </c>
      <c r="AS78" s="571">
        <f>+'STER Detailed Disclosure'!AS76/1000</f>
        <v>32.58</v>
      </c>
      <c r="AT78" s="2153">
        <f>+'STER Detailed Disclosure'!AT76/1000</f>
        <v>23.805</v>
      </c>
      <c r="AU78" s="2153">
        <f>+'STER Detailed Disclosure'!AU76/1000</f>
        <v>34.65</v>
      </c>
    </row>
    <row r="79" spans="1:47" x14ac:dyDescent="0.25">
      <c r="A79" s="649" t="str">
        <f>+'STER Detailed Disclosure'!A77</f>
        <v>Loss on extinguishment of debt</v>
      </c>
      <c r="C79" s="571"/>
      <c r="D79" s="571"/>
      <c r="E79" s="571">
        <f>+'STER Detailed Disclosure'!E77/1000</f>
        <v>0</v>
      </c>
      <c r="F79" s="666">
        <f>+'STER Detailed Disclosure'!F77/1000</f>
        <v>0</v>
      </c>
      <c r="G79" s="667">
        <f>+'STER Detailed Disclosure'!G77/1000</f>
        <v>0</v>
      </c>
      <c r="H79" s="667">
        <f>+'STER Detailed Disclosure'!H77/1000</f>
        <v>0</v>
      </c>
      <c r="I79" s="667">
        <f>+'STER Detailed Disclosure'!I77/1000</f>
        <v>0</v>
      </c>
      <c r="J79" s="666">
        <f>+'STER Detailed Disclosure'!J77/1000</f>
        <v>0</v>
      </c>
      <c r="K79" s="667">
        <f>+'STER Detailed Disclosure'!K77/1000</f>
        <v>0</v>
      </c>
      <c r="L79" s="667">
        <f>+'STER Detailed Disclosure'!L77/1000</f>
        <v>0</v>
      </c>
      <c r="M79" s="667">
        <f>+'STER Detailed Disclosure'!M77/1000</f>
        <v>0</v>
      </c>
      <c r="N79" s="666">
        <f>+'STER Detailed Disclosure'!N77/1000</f>
        <v>0</v>
      </c>
      <c r="O79" s="667">
        <f>+'STER Detailed Disclosure'!O77/1000</f>
        <v>0</v>
      </c>
      <c r="P79" s="667">
        <f>+'STER Detailed Disclosure'!P77/1000</f>
        <v>0</v>
      </c>
      <c r="Q79" s="667">
        <f>+'STER Detailed Disclosure'!Q77/1000</f>
        <v>0</v>
      </c>
      <c r="R79" s="666">
        <f>+'STER Detailed Disclosure'!R77/1000</f>
        <v>3.673</v>
      </c>
      <c r="S79" s="667">
        <f>+'STER Detailed Disclosure'!S77/1000</f>
        <v>0</v>
      </c>
      <c r="T79" s="667">
        <f>+'STER Detailed Disclosure'!T77/1000</f>
        <v>0</v>
      </c>
      <c r="U79" s="667">
        <f>+'STER Detailed Disclosure'!U77/1000</f>
        <v>0</v>
      </c>
      <c r="V79" s="666">
        <f>+'STER Detailed Disclosure'!V77/1000</f>
        <v>0</v>
      </c>
      <c r="W79" s="571">
        <f>+'STER Detailed Disclosure'!W77/1000</f>
        <v>0</v>
      </c>
      <c r="X79" s="571">
        <f>+'STER Detailed Disclosure'!X77/1000</f>
        <v>0</v>
      </c>
      <c r="Y79" s="571">
        <v>0</v>
      </c>
      <c r="Z79" s="571"/>
      <c r="AA79" s="571"/>
      <c r="AB79" s="571"/>
      <c r="AC79" s="571"/>
      <c r="AD79" s="571"/>
      <c r="AE79" s="571"/>
      <c r="AF79" s="571"/>
      <c r="AG79" s="571"/>
      <c r="AH79" s="571"/>
      <c r="AI79" s="571"/>
      <c r="AJ79" s="571"/>
      <c r="AK79" s="571"/>
      <c r="AL79" s="571"/>
      <c r="AM79" s="571"/>
      <c r="AN79" s="571"/>
      <c r="AO79" s="571"/>
      <c r="AP79" s="571"/>
      <c r="AQ79" s="571">
        <f>+'STER Detailed Disclosure'!AQ77/1000</f>
        <v>0</v>
      </c>
      <c r="AR79" s="571">
        <f>+'STER Detailed Disclosure'!AR77/1000</f>
        <v>0</v>
      </c>
      <c r="AS79" s="571">
        <f>+'STER Detailed Disclosure'!AS77/1000</f>
        <v>0</v>
      </c>
      <c r="AT79" s="2153">
        <f>+'STER Detailed Disclosure'!AT77/1000</f>
        <v>3.673</v>
      </c>
      <c r="AU79" s="2153">
        <f>+'STER Detailed Disclosure'!AU77/1000</f>
        <v>0</v>
      </c>
    </row>
    <row r="80" spans="1:47" x14ac:dyDescent="0.25">
      <c r="A80" s="649" t="str">
        <f>+'STER Detailed Disclosure'!A78</f>
        <v>Transaction expenses</v>
      </c>
      <c r="C80" s="571"/>
      <c r="D80" s="571"/>
      <c r="E80" s="571">
        <f>+'STER Detailed Disclosure'!E78/1000</f>
        <v>0.56599999999999995</v>
      </c>
      <c r="F80" s="666">
        <f>+'STER Detailed Disclosure'!F78/1000</f>
        <v>0.89200000000000002</v>
      </c>
      <c r="G80" s="667">
        <f>+'STER Detailed Disclosure'!G78/1000</f>
        <v>0.53800000000000003</v>
      </c>
      <c r="H80" s="667">
        <f>+'STER Detailed Disclosure'!H78/1000</f>
        <v>0.54600000000000004</v>
      </c>
      <c r="I80" s="667">
        <f>+'STER Detailed Disclosure'!I78/1000</f>
        <v>0.53900000000000003</v>
      </c>
      <c r="J80" s="666">
        <f>+'STER Detailed Disclosure'!J78/1000</f>
        <v>1.4059999999999999</v>
      </c>
      <c r="K80" s="667">
        <f>+'STER Detailed Disclosure'!K78/1000</f>
        <v>1.089</v>
      </c>
      <c r="L80" s="667">
        <f>+'STER Detailed Disclosure'!L78/1000</f>
        <v>6.1390000000000002</v>
      </c>
      <c r="M80" s="667">
        <f>+'STER Detailed Disclosure'!M78/1000</f>
        <v>31.513000000000002</v>
      </c>
      <c r="N80" s="666">
        <f>+'STER Detailed Disclosure'!N78/1000</f>
        <v>4.2919999999999998</v>
      </c>
      <c r="O80" s="667">
        <f>+'STER Detailed Disclosure'!O78/1000</f>
        <v>1.8879999999999999</v>
      </c>
      <c r="P80" s="667">
        <f>+'STER Detailed Disclosure'!P78/1000</f>
        <v>1.8939999999999999</v>
      </c>
      <c r="Q80" s="667">
        <f>+'STER Detailed Disclosure'!Q78/1000</f>
        <v>2.8090000000000002</v>
      </c>
      <c r="R80" s="666">
        <f>+'STER Detailed Disclosure'!R78/1000</f>
        <v>4.9020000000000001</v>
      </c>
      <c r="S80" s="667">
        <f>+'STER Detailed Disclosure'!S78/1000</f>
        <v>5.1260000000000003</v>
      </c>
      <c r="T80" s="667">
        <f>+'STER Detailed Disclosure'!T78/1000</f>
        <v>3.133</v>
      </c>
      <c r="U80" s="667">
        <f>+'STER Detailed Disclosure'!U78/1000</f>
        <v>2.238</v>
      </c>
      <c r="V80" s="666">
        <f>+'STER Detailed Disclosure'!V78/1000</f>
        <v>2.3809999999999998</v>
      </c>
      <c r="W80" s="571">
        <f>+'STER Detailed Disclosure'!W78/1000</f>
        <v>16.988</v>
      </c>
      <c r="X80" s="571">
        <f>+'STER Detailed Disclosure'!X78/1000</f>
        <v>4.12</v>
      </c>
      <c r="Y80" s="571">
        <v>11.302</v>
      </c>
      <c r="Z80" s="571"/>
      <c r="AA80" s="571"/>
      <c r="AB80" s="571"/>
      <c r="AC80" s="571"/>
      <c r="AD80" s="571"/>
      <c r="AE80" s="571"/>
      <c r="AF80" s="571"/>
      <c r="AG80" s="571"/>
      <c r="AH80" s="571"/>
      <c r="AI80" s="571"/>
      <c r="AJ80" s="571"/>
      <c r="AK80" s="571"/>
      <c r="AL80" s="571"/>
      <c r="AM80" s="571"/>
      <c r="AN80" s="571"/>
      <c r="AO80" s="571"/>
      <c r="AP80" s="571"/>
      <c r="AQ80" s="571">
        <f>+'STER Detailed Disclosure'!AQ78/1000</f>
        <v>2.617</v>
      </c>
      <c r="AR80" s="571">
        <f>+'STER Detailed Disclosure'!AR78/1000</f>
        <v>3.0289999999999999</v>
      </c>
      <c r="AS80" s="571">
        <f>+'STER Detailed Disclosure'!AS78/1000</f>
        <v>43.045999999999999</v>
      </c>
      <c r="AT80" s="2153">
        <f>+'STER Detailed Disclosure'!AT78/1000</f>
        <v>11.493</v>
      </c>
      <c r="AU80" s="2153">
        <f>+'STER Detailed Disclosure'!AU78/1000</f>
        <v>12.878</v>
      </c>
    </row>
    <row r="81" spans="1:49" x14ac:dyDescent="0.25">
      <c r="A81" s="649" t="str">
        <f>+'STER Detailed Disclosure'!A79</f>
        <v>Restructuring</v>
      </c>
      <c r="C81" s="571"/>
      <c r="D81" s="571"/>
      <c r="E81" s="571">
        <f>+'STER Detailed Disclosure'!E79/1000</f>
        <v>1.1499999999999999</v>
      </c>
      <c r="F81" s="666">
        <f>+'STER Detailed Disclosure'!F79/1000</f>
        <v>1.335</v>
      </c>
      <c r="G81" s="667">
        <f>+'STER Detailed Disclosure'!G79/1000</f>
        <v>0.52600000000000002</v>
      </c>
      <c r="H81" s="667">
        <f>+'STER Detailed Disclosure'!H79/1000</f>
        <v>5.484</v>
      </c>
      <c r="I81" s="667">
        <f>+'STER Detailed Disclosure'!I79/1000</f>
        <v>1.06</v>
      </c>
      <c r="J81" s="666">
        <f>+'STER Detailed Disclosure'!J79/1000</f>
        <v>1.768</v>
      </c>
      <c r="K81" s="667">
        <f>+'STER Detailed Disclosure'!K79/1000</f>
        <v>3.0350000000000001</v>
      </c>
      <c r="L81" s="667">
        <f>+'STER Detailed Disclosure'!L79/1000</f>
        <v>0.60399999999999998</v>
      </c>
      <c r="M81" s="667">
        <f>+'STER Detailed Disclosure'!M79/1000</f>
        <v>0.63400000000000001</v>
      </c>
      <c r="N81" s="666">
        <f>+'STER Detailed Disclosure'!N79/1000</f>
        <v>0.65500000000000003</v>
      </c>
      <c r="O81" s="667">
        <f>+'STER Detailed Disclosure'!O79/1000</f>
        <v>0.34599999999999997</v>
      </c>
      <c r="P81" s="667">
        <f>+'STER Detailed Disclosure'!P79/1000</f>
        <v>0.83599999999999997</v>
      </c>
      <c r="Q81" s="667">
        <f>+'STER Detailed Disclosure'!Q79/1000</f>
        <v>2.73</v>
      </c>
      <c r="R81" s="666">
        <f>+'STER Detailed Disclosure'!R79/1000</f>
        <v>5.1120000000000001</v>
      </c>
      <c r="S81" s="667">
        <f>+'STER Detailed Disclosure'!S79/1000</f>
        <v>3.2730000000000001</v>
      </c>
      <c r="T81" s="667">
        <f>+'STER Detailed Disclosure'!T79/1000</f>
        <v>11.49</v>
      </c>
      <c r="U81" s="667">
        <f>+'STER Detailed Disclosure'!U79/1000</f>
        <v>4.0179999999999998</v>
      </c>
      <c r="V81" s="666">
        <f>+'STER Detailed Disclosure'!V79/1000</f>
        <v>2.5740000000000016</v>
      </c>
      <c r="W81" s="571">
        <f>+'STER Detailed Disclosure'!W79/1000</f>
        <v>3.2010000000000001</v>
      </c>
      <c r="X81" s="571">
        <f>+'STER Detailed Disclosure'!X79/1000</f>
        <v>1.5660000000000001</v>
      </c>
      <c r="Y81" s="571">
        <v>0.34200000000000003</v>
      </c>
      <c r="Z81" s="571"/>
      <c r="AA81" s="571"/>
      <c r="AB81" s="571"/>
      <c r="AC81" s="571"/>
      <c r="AD81" s="571"/>
      <c r="AE81" s="571"/>
      <c r="AF81" s="571"/>
      <c r="AG81" s="571"/>
      <c r="AH81" s="571"/>
      <c r="AI81" s="571"/>
      <c r="AJ81" s="571"/>
      <c r="AK81" s="571"/>
      <c r="AL81" s="571"/>
      <c r="AM81" s="571"/>
      <c r="AN81" s="571"/>
      <c r="AO81" s="571"/>
      <c r="AP81" s="571"/>
      <c r="AQ81" s="571">
        <f>+'STER Detailed Disclosure'!AQ79/1000</f>
        <v>4.5259999999999998</v>
      </c>
      <c r="AR81" s="571">
        <f>+'STER Detailed Disclosure'!AR79/1000</f>
        <v>8.8379999999999992</v>
      </c>
      <c r="AS81" s="571">
        <f>+'STER Detailed Disclosure'!AS79/1000</f>
        <v>4.915</v>
      </c>
      <c r="AT81" s="2153">
        <f>+'STER Detailed Disclosure'!AT79/1000</f>
        <v>9.0239999999999991</v>
      </c>
      <c r="AU81" s="2153">
        <f>+'STER Detailed Disclosure'!AU79/1000</f>
        <v>21.355</v>
      </c>
    </row>
    <row r="82" spans="1:49" x14ac:dyDescent="0.25">
      <c r="A82" s="649" t="str">
        <f>+'STER Detailed Disclosure'!A80</f>
        <v>Technology Transformation</v>
      </c>
      <c r="C82" s="571"/>
      <c r="D82" s="571"/>
      <c r="E82" s="571">
        <f>+'STER Detailed Disclosure'!E80/1000</f>
        <v>2.2970000000000002</v>
      </c>
      <c r="F82" s="666">
        <f>+'STER Detailed Disclosure'!F80/1000</f>
        <v>3.0150000000000001</v>
      </c>
      <c r="G82" s="667">
        <f>+'STER Detailed Disclosure'!G80/1000</f>
        <v>3.0089999999999999</v>
      </c>
      <c r="H82" s="667">
        <f>+'STER Detailed Disclosure'!H80/1000</f>
        <v>2.4580000000000002</v>
      </c>
      <c r="I82" s="667">
        <f>+'STER Detailed Disclosure'!I80/1000</f>
        <v>2.581</v>
      </c>
      <c r="J82" s="666">
        <f>+'STER Detailed Disclosure'!J80/1000</f>
        <v>2.8719999999999999</v>
      </c>
      <c r="K82" s="667">
        <f>+'STER Detailed Disclosure'!K80/1000</f>
        <v>2.0590000000000002</v>
      </c>
      <c r="L82" s="667">
        <f>+'STER Detailed Disclosure'!L80/1000</f>
        <v>3.9420000000000002</v>
      </c>
      <c r="M82" s="667">
        <f>+'STER Detailed Disclosure'!M80/1000</f>
        <v>3.137</v>
      </c>
      <c r="N82" s="666">
        <f>+'STER Detailed Disclosure'!N80/1000</f>
        <v>3.95</v>
      </c>
      <c r="O82" s="667">
        <f>+'STER Detailed Disclosure'!O80/1000</f>
        <v>3.762</v>
      </c>
      <c r="P82" s="667">
        <f>+'STER Detailed Disclosure'!P80/1000</f>
        <v>4.5369999999999999</v>
      </c>
      <c r="Q82" s="667">
        <f>+'STER Detailed Disclosure'!Q80/1000</f>
        <v>4.7670000000000003</v>
      </c>
      <c r="R82" s="666">
        <f>+'STER Detailed Disclosure'!R80/1000</f>
        <v>3.7280000000000002</v>
      </c>
      <c r="S82" s="667">
        <f>+'STER Detailed Disclosure'!S80/1000</f>
        <v>3.2330000000000001</v>
      </c>
      <c r="T82" s="667">
        <f>+'STER Detailed Disclosure'!T80/1000</f>
        <v>0.17899999999999999</v>
      </c>
      <c r="U82" s="667">
        <f>+'STER Detailed Disclosure'!U80/1000</f>
        <v>0.25600000000000001</v>
      </c>
      <c r="V82" s="666">
        <f>+'STER Detailed Disclosure'!V80/1000</f>
        <v>0.254</v>
      </c>
      <c r="W82" s="571">
        <f>+'STER Detailed Disclosure'!W80/1000</f>
        <v>0.375</v>
      </c>
      <c r="X82" s="571">
        <f>+'STER Detailed Disclosure'!X80/1000</f>
        <v>0.45500000000000002</v>
      </c>
      <c r="Y82" s="571">
        <v>0.3</v>
      </c>
      <c r="Z82" s="571"/>
      <c r="AA82" s="571"/>
      <c r="AB82" s="571"/>
      <c r="AC82" s="571"/>
      <c r="AD82" s="571"/>
      <c r="AE82" s="571"/>
      <c r="AF82" s="571"/>
      <c r="AG82" s="571"/>
      <c r="AH82" s="571"/>
      <c r="AI82" s="571"/>
      <c r="AJ82" s="571"/>
      <c r="AK82" s="571"/>
      <c r="AL82" s="571"/>
      <c r="AM82" s="571"/>
      <c r="AN82" s="571"/>
      <c r="AO82" s="571"/>
      <c r="AP82" s="571"/>
      <c r="AQ82" s="571">
        <f>+'STER Detailed Disclosure'!AQ80/1000</f>
        <v>9.7629999999999999</v>
      </c>
      <c r="AR82" s="571">
        <f>+'STER Detailed Disclosure'!AR80/1000</f>
        <v>10.92</v>
      </c>
      <c r="AS82" s="571">
        <f>+'STER Detailed Disclosure'!AS80/1000</f>
        <v>13.087999999999999</v>
      </c>
      <c r="AT82" s="2153">
        <f>+'STER Detailed Disclosure'!AT80/1000</f>
        <v>16.794</v>
      </c>
      <c r="AU82" s="2153">
        <f>+'STER Detailed Disclosure'!AU80/1000</f>
        <v>3.9220000000000002</v>
      </c>
    </row>
    <row r="83" spans="1:49" x14ac:dyDescent="0.25">
      <c r="A83" s="649" t="str">
        <f>+'STER Detailed Disclosure'!A81</f>
        <v>Settlements impacting comparability</v>
      </c>
      <c r="C83" s="571"/>
      <c r="D83" s="571"/>
      <c r="E83" s="571">
        <f>+'STER Detailed Disclosure'!E81/1000</f>
        <v>0.28699999999999998</v>
      </c>
      <c r="F83" s="666">
        <f>+'STER Detailed Disclosure'!F81/1000</f>
        <v>11.218999999999999</v>
      </c>
      <c r="G83" s="667">
        <f>+'STER Detailed Disclosure'!G81/1000</f>
        <v>9.7000000000000003E-2</v>
      </c>
      <c r="H83" s="667">
        <f>+'STER Detailed Disclosure'!H81/1000</f>
        <v>4.2999999999999997E-2</v>
      </c>
      <c r="I83" s="667">
        <f>+'STER Detailed Disclosure'!I81/1000</f>
        <v>0.12</v>
      </c>
      <c r="J83" s="666">
        <f>+'STER Detailed Disclosure'!J81/1000</f>
        <v>2.6619999999999999</v>
      </c>
      <c r="K83" s="667">
        <f>+'STER Detailed Disclosure'!K81/1000</f>
        <v>0</v>
      </c>
      <c r="L83" s="667">
        <f>+'STER Detailed Disclosure'!L81/1000</f>
        <v>0</v>
      </c>
      <c r="M83" s="667">
        <f>+'STER Detailed Disclosure'!M81/1000</f>
        <v>0</v>
      </c>
      <c r="N83" s="666">
        <f>+'STER Detailed Disclosure'!N81/1000</f>
        <v>0.46800000000000003</v>
      </c>
      <c r="O83" s="667">
        <f>+'STER Detailed Disclosure'!O81/1000</f>
        <v>0</v>
      </c>
      <c r="P83" s="667">
        <f>+'STER Detailed Disclosure'!P81/1000</f>
        <v>0</v>
      </c>
      <c r="Q83" s="667">
        <f>+'STER Detailed Disclosure'!Q81/1000</f>
        <v>0.21299999999999999</v>
      </c>
      <c r="R83" s="666">
        <f>+'STER Detailed Disclosure'!R81/1000</f>
        <v>3.1059999999999999</v>
      </c>
      <c r="S83" s="667">
        <f>+'STER Detailed Disclosure'!S81/1000</f>
        <v>0</v>
      </c>
      <c r="T83" s="667">
        <f>+'STER Detailed Disclosure'!T81/1000</f>
        <v>0</v>
      </c>
      <c r="U83" s="667">
        <f>+'STER Detailed Disclosure'!U81/1000</f>
        <v>0</v>
      </c>
      <c r="V83" s="666">
        <f>+'STER Detailed Disclosure'!V81/1000</f>
        <v>0.13100000000000001</v>
      </c>
      <c r="W83" s="571">
        <f>+'STER Detailed Disclosure'!W81/1000</f>
        <v>0</v>
      </c>
      <c r="X83" s="571">
        <f>+'STER Detailed Disclosure'!X81/1000</f>
        <v>1</v>
      </c>
      <c r="Y83" s="571">
        <v>0</v>
      </c>
      <c r="Z83" s="571"/>
      <c r="AA83" s="571"/>
      <c r="AB83" s="571"/>
      <c r="AC83" s="571"/>
      <c r="AD83" s="571"/>
      <c r="AE83" s="571"/>
      <c r="AF83" s="571"/>
      <c r="AG83" s="571"/>
      <c r="AH83" s="571"/>
      <c r="AI83" s="571"/>
      <c r="AJ83" s="571"/>
      <c r="AK83" s="571"/>
      <c r="AL83" s="571"/>
      <c r="AM83" s="571"/>
      <c r="AN83" s="571"/>
      <c r="AO83" s="571"/>
      <c r="AP83" s="571"/>
      <c r="AQ83" s="571">
        <f>+'STER Detailed Disclosure'!AQ81/1000</f>
        <v>12.065</v>
      </c>
      <c r="AR83" s="571">
        <f>+'STER Detailed Disclosure'!AR81/1000</f>
        <v>2.9220000000000002</v>
      </c>
      <c r="AS83" s="571">
        <f>+'STER Detailed Disclosure'!AS81/1000</f>
        <v>0.46800000000000003</v>
      </c>
      <c r="AT83" s="2153">
        <f>+'STER Detailed Disclosure'!AT81/1000</f>
        <v>3.319</v>
      </c>
      <c r="AU83" s="2153">
        <f>+'STER Detailed Disclosure'!AU81/1000</f>
        <v>0.13100000000000001</v>
      </c>
    </row>
    <row r="84" spans="1:49" x14ac:dyDescent="0.25">
      <c r="A84" s="649" t="str">
        <f>+'STER Detailed Disclosure'!A82</f>
        <v>Gain on interest rate swaps</v>
      </c>
      <c r="C84" s="571"/>
      <c r="D84" s="571"/>
      <c r="E84" s="571">
        <f>+'STER Detailed Disclosure'!E82/1000</f>
        <v>1.069</v>
      </c>
      <c r="F84" s="666">
        <f>+'STER Detailed Disclosure'!F82/1000</f>
        <v>-1.181</v>
      </c>
      <c r="G84" s="667">
        <f>+'STER Detailed Disclosure'!G82/1000</f>
        <v>8.7550000000000008</v>
      </c>
      <c r="H84" s="667">
        <f>+'STER Detailed Disclosure'!H82/1000</f>
        <v>0.89900000000000002</v>
      </c>
      <c r="I84" s="667">
        <f>+'STER Detailed Disclosure'!I82/1000</f>
        <v>-4.9000000000000002E-2</v>
      </c>
      <c r="J84" s="666">
        <f>+'STER Detailed Disclosure'!J82/1000</f>
        <v>-0.153</v>
      </c>
      <c r="K84" s="667">
        <f>+'STER Detailed Disclosure'!K82/1000</f>
        <v>-4.5999999999999999E-2</v>
      </c>
      <c r="L84" s="667">
        <f>+'STER Detailed Disclosure'!L82/1000</f>
        <v>0.13300000000000001</v>
      </c>
      <c r="M84" s="667">
        <f>+'STER Detailed Disclosure'!M82/1000</f>
        <v>0.112</v>
      </c>
      <c r="N84" s="666">
        <f>+'STER Detailed Disclosure'!N82/1000</f>
        <v>-0.16800000000000001</v>
      </c>
      <c r="O84" s="667">
        <f>+'STER Detailed Disclosure'!O82/1000</f>
        <v>-0.32800000000000001</v>
      </c>
      <c r="P84" s="667">
        <f>+'STER Detailed Disclosure'!P82/1000</f>
        <v>3.2000000000000001E-2</v>
      </c>
      <c r="Q84" s="667">
        <f>+'STER Detailed Disclosure'!Q82/1000</f>
        <v>0</v>
      </c>
      <c r="R84" s="666">
        <f>+'STER Detailed Disclosure'!R82/1000</f>
        <v>-1E-3</v>
      </c>
      <c r="S84" s="667">
        <f>+'STER Detailed Disclosure'!S82/1000</f>
        <v>0</v>
      </c>
      <c r="T84" s="667">
        <f>+'STER Detailed Disclosure'!T82/1000</f>
        <v>0</v>
      </c>
      <c r="U84" s="667">
        <f>+'STER Detailed Disclosure'!U82/1000</f>
        <v>0</v>
      </c>
      <c r="V84" s="666">
        <f>+'STER Detailed Disclosure'!V82/1000</f>
        <v>0</v>
      </c>
      <c r="W84" s="571">
        <f>+'STER Detailed Disclosure'!W82/1000</f>
        <v>0</v>
      </c>
      <c r="X84" s="571">
        <f>+'STER Detailed Disclosure'!X82/1000</f>
        <v>0</v>
      </c>
      <c r="Y84" s="571">
        <v>0</v>
      </c>
      <c r="Z84" s="571"/>
      <c r="AA84" s="571"/>
      <c r="AB84" s="571"/>
      <c r="AC84" s="571"/>
      <c r="AD84" s="571"/>
      <c r="AE84" s="571"/>
      <c r="AF84" s="571"/>
      <c r="AG84" s="571"/>
      <c r="AH84" s="571"/>
      <c r="AI84" s="571"/>
      <c r="AJ84" s="571"/>
      <c r="AK84" s="571"/>
      <c r="AL84" s="571"/>
      <c r="AM84" s="571"/>
      <c r="AN84" s="571"/>
      <c r="AO84" s="571"/>
      <c r="AP84" s="571"/>
      <c r="AQ84" s="571">
        <f>+'STER Detailed Disclosure'!AQ82/1000</f>
        <v>7.3239999999999998</v>
      </c>
      <c r="AR84" s="571">
        <f>+'STER Detailed Disclosure'!AR82/1000</f>
        <v>9.452</v>
      </c>
      <c r="AS84" s="571">
        <f>+'STER Detailed Disclosure'!AS82/1000</f>
        <v>3.1E-2</v>
      </c>
      <c r="AT84" s="2153">
        <f>+'STER Detailed Disclosure'!AT82/1000</f>
        <v>-0.29699999999999999</v>
      </c>
      <c r="AU84" s="2153">
        <f>+'STER Detailed Disclosure'!AU82/1000</f>
        <v>0</v>
      </c>
    </row>
    <row r="85" spans="1:49" s="565" customFormat="1" ht="14" x14ac:dyDescent="0.4">
      <c r="A85" s="649" t="str">
        <f>+'STER Detailed Disclosure'!A83</f>
        <v>Other</v>
      </c>
      <c r="C85" s="572"/>
      <c r="D85" s="614"/>
      <c r="E85" s="614">
        <f>+'STER Detailed Disclosure'!E83/1000</f>
        <v>1.891</v>
      </c>
      <c r="F85" s="2162">
        <f>+'STER Detailed Disclosure'!F83/1000</f>
        <v>3.2269999999999999</v>
      </c>
      <c r="G85" s="2168">
        <f>+'STER Detailed Disclosure'!G83/1000</f>
        <v>1.8520000000000001</v>
      </c>
      <c r="H85" s="2168">
        <f>+'STER Detailed Disclosure'!H83/1000</f>
        <v>0.16800000000000001</v>
      </c>
      <c r="I85" s="2168">
        <f>+'STER Detailed Disclosure'!I83/1000</f>
        <v>-0.187</v>
      </c>
      <c r="J85" s="2162">
        <f>+'STER Detailed Disclosure'!J83/1000</f>
        <v>0.496</v>
      </c>
      <c r="K85" s="2168">
        <f>+'STER Detailed Disclosure'!K83/1000</f>
        <v>0.496</v>
      </c>
      <c r="L85" s="2168">
        <f>+'STER Detailed Disclosure'!L83/1000</f>
        <v>0.13400000000000001</v>
      </c>
      <c r="M85" s="2168">
        <f>+'STER Detailed Disclosure'!M83/1000</f>
        <v>0.19600000000000001</v>
      </c>
      <c r="N85" s="2162">
        <f>+'STER Detailed Disclosure'!N83/1000</f>
        <v>0.29799999999999999</v>
      </c>
      <c r="O85" s="2168">
        <f>+'STER Detailed Disclosure'!O83/1000</f>
        <v>4.7E-2</v>
      </c>
      <c r="P85" s="2168">
        <f>+'STER Detailed Disclosure'!P83/1000</f>
        <v>-0.30399999999999999</v>
      </c>
      <c r="Q85" s="2168">
        <f>+'STER Detailed Disclosure'!Q83/1000</f>
        <v>-0.83199999999999996</v>
      </c>
      <c r="R85" s="2162">
        <f>+'STER Detailed Disclosure'!R83/1000</f>
        <v>0.97799999999999998</v>
      </c>
      <c r="S85" s="2168">
        <f>+'STER Detailed Disclosure'!S83/1000</f>
        <v>0.45700000000000002</v>
      </c>
      <c r="T85" s="2168">
        <f>+'STER Detailed Disclosure'!T83/1000</f>
        <v>0.48899999999999999</v>
      </c>
      <c r="U85" s="2168">
        <f>+'STER Detailed Disclosure'!U83/1000</f>
        <v>-0.22500000000000001</v>
      </c>
      <c r="V85" s="2162">
        <f>+'STER Detailed Disclosure'!V83/1000</f>
        <v>3.000000000000003E-2</v>
      </c>
      <c r="W85" s="614">
        <f>+'STER Detailed Disclosure'!W83/1000</f>
        <v>-0.505</v>
      </c>
      <c r="X85" s="614">
        <f>+'STER Detailed Disclosure'!X83/1000</f>
        <v>0.61499999999999999</v>
      </c>
      <c r="Y85" s="614">
        <v>2.2280000000000002</v>
      </c>
      <c r="Z85" s="572"/>
      <c r="AA85" s="572"/>
      <c r="AB85" s="572"/>
      <c r="AC85" s="572"/>
      <c r="AD85" s="572"/>
      <c r="AE85" s="572"/>
      <c r="AF85" s="572"/>
      <c r="AG85" s="572"/>
      <c r="AH85" s="572"/>
      <c r="AI85" s="572"/>
      <c r="AJ85" s="572"/>
      <c r="AK85" s="572"/>
      <c r="AL85" s="572"/>
      <c r="AM85" s="572"/>
      <c r="AN85" s="572"/>
      <c r="AO85" s="572"/>
      <c r="AP85" s="614"/>
      <c r="AQ85" s="614">
        <f>+'STER Detailed Disclosure'!AQ83/1000</f>
        <v>6.5529999999999999</v>
      </c>
      <c r="AR85" s="614">
        <f>+'STER Detailed Disclosure'!AR83/1000</f>
        <v>2.3290000000000002</v>
      </c>
      <c r="AS85" s="614">
        <f>+'STER Detailed Disclosure'!AS83/1000</f>
        <v>1.123</v>
      </c>
      <c r="AT85" s="2154">
        <f>+'STER Detailed Disclosure'!AT83/1000</f>
        <v>-0.111</v>
      </c>
      <c r="AU85" s="2154">
        <f>+'STER Detailed Disclosure'!AU83/1000</f>
        <v>0.751</v>
      </c>
    </row>
    <row r="86" spans="1:49" x14ac:dyDescent="0.25">
      <c r="A86" s="425" t="str">
        <f>+'STER Detailed Disclosure'!A84</f>
        <v>Adjusted Net Income before income tax effect</v>
      </c>
      <c r="C86" s="571"/>
      <c r="D86" s="571"/>
      <c r="E86" s="571">
        <f>+'STER Detailed Disclosure'!E84/1000</f>
        <v>18.995000000000001</v>
      </c>
      <c r="F86" s="666">
        <f>+'STER Detailed Disclosure'!F84/1000</f>
        <v>7.0459999999999949</v>
      </c>
      <c r="G86" s="667">
        <f>+'STER Detailed Disclosure'!G84/1000</f>
        <v>10.955</v>
      </c>
      <c r="H86" s="667">
        <f>+'STER Detailed Disclosure'!H84/1000</f>
        <v>-1.0790000000000037</v>
      </c>
      <c r="I86" s="667">
        <f>+'STER Detailed Disclosure'!I84/1000</f>
        <v>15.095000000000001</v>
      </c>
      <c r="J86" s="666">
        <f>+'STER Detailed Disclosure'!J84/1000</f>
        <v>12.475</v>
      </c>
      <c r="K86" s="667">
        <f>+'STER Detailed Disclosure'!K84/1000</f>
        <v>21.948000000000008</v>
      </c>
      <c r="L86" s="667">
        <f>+'STER Detailed Disclosure'!L84/1000</f>
        <v>32.138000000000055</v>
      </c>
      <c r="M86" s="667">
        <f>+'STER Detailed Disclosure'!M84/1000</f>
        <v>36.246999999999979</v>
      </c>
      <c r="N86" s="666">
        <f>+'STER Detailed Disclosure'!N84/1000</f>
        <v>28.706999999999994</v>
      </c>
      <c r="O86" s="667">
        <f>+'STER Detailed Disclosure'!O84/1000</f>
        <v>34.908000000000008</v>
      </c>
      <c r="P86" s="667">
        <f>+'STER Detailed Disclosure'!P84/1000</f>
        <v>43.344000000000008</v>
      </c>
      <c r="Q86" s="667">
        <f>+'STER Detailed Disclosure'!Q84/1000</f>
        <v>39.667000000000016</v>
      </c>
      <c r="R86" s="666">
        <f>+'STER Detailed Disclosure'!R84/1000</f>
        <v>26.679999999999986</v>
      </c>
      <c r="S86" s="667">
        <f>+'STER Detailed Disclosure'!S84/1000</f>
        <v>31.885999999999992</v>
      </c>
      <c r="T86" s="667">
        <f>+'STER Detailed Disclosure'!T84/1000</f>
        <v>35.511999999999993</v>
      </c>
      <c r="U86" s="667">
        <f>+'STER Detailed Disclosure'!U84/1000</f>
        <v>32.997</v>
      </c>
      <c r="V86" s="666">
        <f>+'STER Detailed Disclosure'!V84/1000</f>
        <v>27.300999999999934</v>
      </c>
      <c r="W86" s="571">
        <f>+'STER Detailed Disclosure'!W84/1000</f>
        <v>23.058999999999997</v>
      </c>
      <c r="X86" s="571">
        <f>+'STER Detailed Disclosure'!X84/1000</f>
        <v>31.007999999999999</v>
      </c>
      <c r="Y86" s="571">
        <f>+SUM(Y76:Y85)</f>
        <v>30.364999999999998</v>
      </c>
      <c r="Z86" s="571"/>
      <c r="AA86" s="571"/>
      <c r="AB86" s="571"/>
      <c r="AC86" s="571"/>
      <c r="AD86" s="571"/>
      <c r="AE86" s="571"/>
      <c r="AF86" s="571"/>
      <c r="AG86" s="571"/>
      <c r="AH86" s="571"/>
      <c r="AI86" s="571"/>
      <c r="AJ86" s="571"/>
      <c r="AK86" s="571"/>
      <c r="AL86" s="571"/>
      <c r="AM86" s="571"/>
      <c r="AN86" s="571"/>
      <c r="AO86" s="571"/>
      <c r="AP86" s="571"/>
      <c r="AQ86" s="571">
        <f>+'STER Detailed Disclosure'!AQ84/1000</f>
        <v>51.394999999999989</v>
      </c>
      <c r="AR86" s="571">
        <f>+'STER Detailed Disclosure'!AR84/1000</f>
        <v>37.445</v>
      </c>
      <c r="AS86" s="571">
        <f>+'STER Detailed Disclosure'!AS84/1000</f>
        <v>119.04000000000006</v>
      </c>
      <c r="AT86" s="2153">
        <f>+'STER Detailed Disclosure'!AT84/1000</f>
        <v>144.59899999999999</v>
      </c>
      <c r="AU86" s="2153">
        <f>+'STER Detailed Disclosure'!AU84/1000</f>
        <v>127.696</v>
      </c>
    </row>
    <row r="87" spans="1:49" s="565" customFormat="1" ht="14" x14ac:dyDescent="0.4">
      <c r="A87" s="649" t="str">
        <f>+'STER Detailed Disclosure'!A85</f>
        <v>Income tax effect</v>
      </c>
      <c r="C87" s="572"/>
      <c r="D87" s="614"/>
      <c r="E87" s="614">
        <f>+'STER Detailed Disclosure'!E85/1000</f>
        <v>4.9390000000000001</v>
      </c>
      <c r="F87" s="2162">
        <f>+'STER Detailed Disclosure'!F85/1000</f>
        <v>1.8320000000000001</v>
      </c>
      <c r="G87" s="2168">
        <f>+'STER Detailed Disclosure'!G85/1000</f>
        <v>2.8479999999999999</v>
      </c>
      <c r="H87" s="2168">
        <f>+'STER Detailed Disclosure'!H85/1000</f>
        <v>-0.28100000000000003</v>
      </c>
      <c r="I87" s="2168">
        <f>+'STER Detailed Disclosure'!I85/1000</f>
        <v>3.9249999999999998</v>
      </c>
      <c r="J87" s="2162">
        <f>+'STER Detailed Disclosure'!J85/1000</f>
        <v>3.2440000000000002</v>
      </c>
      <c r="K87" s="2168">
        <f>+'STER Detailed Disclosure'!K85/1000</f>
        <v>6.4980000000000002</v>
      </c>
      <c r="L87" s="2168">
        <f>+'STER Detailed Disclosure'!L85/1000</f>
        <v>9.516</v>
      </c>
      <c r="M87" s="2168">
        <f>+'STER Detailed Disclosure'!M85/1000</f>
        <v>4.6719999999999997</v>
      </c>
      <c r="N87" s="2162">
        <f>+'STER Detailed Disclosure'!N85/1000</f>
        <v>6.1230000000000002</v>
      </c>
      <c r="O87" s="2168">
        <f>+'STER Detailed Disclosure'!O85/1000</f>
        <v>10.507</v>
      </c>
      <c r="P87" s="2168">
        <f>+'STER Detailed Disclosure'!P85/1000</f>
        <v>10.845000000000001</v>
      </c>
      <c r="Q87" s="2168">
        <f>+'STER Detailed Disclosure'!Q85/1000</f>
        <v>10.496</v>
      </c>
      <c r="R87" s="2162">
        <f>+'STER Detailed Disclosure'!R85/1000</f>
        <v>6.2060000000000004</v>
      </c>
      <c r="S87" s="2168">
        <f>+'STER Detailed Disclosure'!S85/1000</f>
        <v>8.6</v>
      </c>
      <c r="T87" s="2168">
        <f>+'STER Detailed Disclosure'!T85/1000</f>
        <v>9.3079999999999998</v>
      </c>
      <c r="U87" s="2168">
        <f>+'STER Detailed Disclosure'!U85/1000</f>
        <v>8.2629999999999999</v>
      </c>
      <c r="V87" s="2162">
        <f>+'STER Detailed Disclosure'!V85/1000</f>
        <v>7.615000000000002</v>
      </c>
      <c r="W87" s="614">
        <f>+'STER Detailed Disclosure'!W85/1000</f>
        <v>5.6479999999999997</v>
      </c>
      <c r="X87" s="614">
        <f>+'STER Detailed Disclosure'!X85/1000</f>
        <v>9.2159999999999993</v>
      </c>
      <c r="Y87" s="614">
        <v>8.2629999999999999</v>
      </c>
      <c r="Z87" s="572"/>
      <c r="AA87" s="572"/>
      <c r="AB87" s="572"/>
      <c r="AC87" s="572"/>
      <c r="AD87" s="572"/>
      <c r="AE87" s="572"/>
      <c r="AF87" s="572"/>
      <c r="AG87" s="572"/>
      <c r="AH87" s="572"/>
      <c r="AI87" s="572"/>
      <c r="AJ87" s="572"/>
      <c r="AK87" s="572"/>
      <c r="AL87" s="572"/>
      <c r="AM87" s="572"/>
      <c r="AN87" s="572"/>
      <c r="AO87" s="572"/>
      <c r="AP87" s="571"/>
      <c r="AQ87" s="614">
        <f>+'STER Detailed Disclosure'!AQ85/1000</f>
        <v>13.363</v>
      </c>
      <c r="AR87" s="614">
        <f>+'STER Detailed Disclosure'!AR85/1000</f>
        <v>9.7360000000000007</v>
      </c>
      <c r="AS87" s="614">
        <f>+'STER Detailed Disclosure'!AS85/1000</f>
        <v>26.808</v>
      </c>
      <c r="AT87" s="2154">
        <f>+'STER Detailed Disclosure'!AT85/1000</f>
        <v>38.054000000000002</v>
      </c>
      <c r="AU87" s="2154">
        <f>+'STER Detailed Disclosure'!AU85/1000</f>
        <v>33.786000000000001</v>
      </c>
    </row>
    <row r="88" spans="1:49" x14ac:dyDescent="0.25">
      <c r="A88" s="425" t="str">
        <f>+'STER Detailed Disclosure'!A86</f>
        <v>Adjusted Net Income</v>
      </c>
      <c r="C88" s="571"/>
      <c r="D88" s="571"/>
      <c r="E88" s="571">
        <f>+'STER Detailed Disclosure'!E86/1000</f>
        <v>14.055999999999999</v>
      </c>
      <c r="F88" s="666">
        <f>+'STER Detailed Disclosure'!F86/1000</f>
        <v>5.2139999999999942</v>
      </c>
      <c r="G88" s="667">
        <f>+'STER Detailed Disclosure'!G86/1000</f>
        <v>8.1069999999999993</v>
      </c>
      <c r="H88" s="667">
        <f>+'STER Detailed Disclosure'!H86/1000</f>
        <v>-0.7980000000000036</v>
      </c>
      <c r="I88" s="667">
        <f>+'STER Detailed Disclosure'!I86/1000</f>
        <v>11.17</v>
      </c>
      <c r="J88" s="666">
        <f>+'STER Detailed Disclosure'!J86/1000</f>
        <v>9.2309999999999999</v>
      </c>
      <c r="K88" s="667">
        <f>+'STER Detailed Disclosure'!K86/1000</f>
        <v>15.450000000000006</v>
      </c>
      <c r="L88" s="667">
        <f>+'STER Detailed Disclosure'!L86/1000</f>
        <v>22.622000000000057</v>
      </c>
      <c r="M88" s="667">
        <f>+'STER Detailed Disclosure'!M86/1000</f>
        <v>31.574999999999978</v>
      </c>
      <c r="N88" s="666">
        <f>+'STER Detailed Disclosure'!N86/1000</f>
        <v>22.583999999999993</v>
      </c>
      <c r="O88" s="667">
        <f>+'STER Detailed Disclosure'!O86/1000</f>
        <v>24.401000000000007</v>
      </c>
      <c r="P88" s="667">
        <f>+'STER Detailed Disclosure'!P86/1000</f>
        <v>32.499000000000009</v>
      </c>
      <c r="Q88" s="667">
        <f>+'STER Detailed Disclosure'!Q86/1000</f>
        <v>29.171000000000014</v>
      </c>
      <c r="R88" s="666">
        <f>+'STER Detailed Disclosure'!R86/1000</f>
        <v>20.473999999999986</v>
      </c>
      <c r="S88" s="667">
        <f>+'STER Detailed Disclosure'!S86/1000</f>
        <v>23.285999999999994</v>
      </c>
      <c r="T88" s="667">
        <f>+'STER Detailed Disclosure'!T86/1000</f>
        <v>26.203999999999994</v>
      </c>
      <c r="U88" s="667">
        <f>+'STER Detailed Disclosure'!U86/1000</f>
        <v>24.734000000000002</v>
      </c>
      <c r="V88" s="666">
        <f>+'STER Detailed Disclosure'!V86/1000</f>
        <v>19.685999999999936</v>
      </c>
      <c r="W88" s="571">
        <f>+'STER Detailed Disclosure'!W86/1000</f>
        <v>17.410999999999998</v>
      </c>
      <c r="X88" s="571">
        <f>+'STER Detailed Disclosure'!X86/1000</f>
        <v>21.792000000000002</v>
      </c>
      <c r="Y88" s="571">
        <f>+SUM(Y86:Y87)</f>
        <v>38.628</v>
      </c>
      <c r="Z88" s="571"/>
      <c r="AA88" s="571"/>
      <c r="AB88" s="571"/>
      <c r="AC88" s="571"/>
      <c r="AD88" s="571"/>
      <c r="AE88" s="571"/>
      <c r="AF88" s="571"/>
      <c r="AG88" s="571"/>
      <c r="AH88" s="571"/>
      <c r="AI88" s="571"/>
      <c r="AJ88" s="571"/>
      <c r="AK88" s="571"/>
      <c r="AL88" s="571"/>
      <c r="AM88" s="571"/>
      <c r="AN88" s="571"/>
      <c r="AO88" s="571"/>
      <c r="AP88" s="571"/>
      <c r="AQ88" s="571">
        <f>+'STER Detailed Disclosure'!AQ86/1000</f>
        <v>38.031999999999982</v>
      </c>
      <c r="AR88" s="571">
        <f>+'STER Detailed Disclosure'!AR86/1000</f>
        <v>27.709</v>
      </c>
      <c r="AS88" s="571">
        <f>+'STER Detailed Disclosure'!AS86/1000</f>
        <v>92.232000000000056</v>
      </c>
      <c r="AT88" s="2153">
        <f>+'STER Detailed Disclosure'!AT86/1000</f>
        <v>106.545</v>
      </c>
      <c r="AU88" s="2153">
        <f>+'STER Detailed Disclosure'!AU86/1000</f>
        <v>93.91</v>
      </c>
    </row>
    <row r="89" spans="1:49" x14ac:dyDescent="0.25">
      <c r="A89" s="425"/>
      <c r="C89" s="571"/>
      <c r="D89" s="571"/>
      <c r="E89" s="571"/>
      <c r="F89" s="666"/>
      <c r="G89" s="667"/>
      <c r="H89" s="667"/>
      <c r="I89" s="667"/>
      <c r="J89" s="666"/>
      <c r="K89" s="667"/>
      <c r="L89" s="667"/>
      <c r="M89" s="667"/>
      <c r="N89" s="666"/>
      <c r="O89" s="667"/>
      <c r="P89" s="667"/>
      <c r="Q89" s="667"/>
      <c r="R89" s="666"/>
      <c r="S89" s="667"/>
      <c r="T89" s="667"/>
      <c r="U89" s="667"/>
      <c r="V89" s="666"/>
      <c r="W89" s="571"/>
      <c r="X89" s="571"/>
      <c r="Y89" s="571"/>
      <c r="Z89" s="571"/>
      <c r="AA89" s="571"/>
      <c r="AB89" s="571"/>
      <c r="AC89" s="571"/>
      <c r="AD89" s="571"/>
      <c r="AE89" s="571"/>
      <c r="AF89" s="571"/>
      <c r="AG89" s="571"/>
      <c r="AH89" s="571"/>
      <c r="AI89" s="571"/>
      <c r="AJ89" s="571"/>
      <c r="AK89" s="571"/>
      <c r="AL89" s="571"/>
      <c r="AM89" s="571"/>
      <c r="AN89" s="571"/>
      <c r="AO89" s="571"/>
      <c r="AP89" s="571"/>
      <c r="AQ89" s="571"/>
      <c r="AR89" s="571"/>
      <c r="AS89" s="571"/>
      <c r="AT89" s="2153"/>
      <c r="AU89" s="2153"/>
    </row>
    <row r="90" spans="1:49" x14ac:dyDescent="0.25">
      <c r="A90" s="2150" t="s">
        <v>37</v>
      </c>
      <c r="B90" s="571"/>
      <c r="C90" s="571"/>
      <c r="D90" s="571"/>
      <c r="E90" s="571"/>
      <c r="F90" s="666"/>
      <c r="G90" s="667"/>
      <c r="H90" s="667"/>
      <c r="I90" s="667"/>
      <c r="J90" s="666"/>
      <c r="K90" s="667"/>
      <c r="L90" s="667"/>
      <c r="M90" s="667"/>
      <c r="N90" s="666"/>
      <c r="O90" s="667"/>
      <c r="P90" s="667"/>
      <c r="Q90" s="667"/>
      <c r="R90" s="666"/>
      <c r="S90" s="667"/>
      <c r="T90" s="667"/>
      <c r="U90" s="667"/>
      <c r="V90" s="666"/>
      <c r="W90" s="571"/>
      <c r="X90" s="571"/>
      <c r="Y90" s="571"/>
      <c r="Z90" s="571"/>
      <c r="AA90" s="571"/>
      <c r="AB90" s="571"/>
      <c r="AC90" s="571"/>
      <c r="AD90" s="571"/>
      <c r="AE90" s="571"/>
      <c r="AF90" s="571"/>
      <c r="AG90" s="571"/>
      <c r="AH90" s="571"/>
      <c r="AI90" s="571"/>
      <c r="AJ90" s="571"/>
      <c r="AK90" s="571"/>
      <c r="AL90" s="571"/>
      <c r="AM90" s="571"/>
      <c r="AN90" s="571"/>
      <c r="AO90" s="571"/>
      <c r="AP90" s="571"/>
      <c r="AQ90" s="571"/>
      <c r="AR90" s="571"/>
      <c r="AS90" s="571"/>
      <c r="AT90" s="571"/>
      <c r="AU90" s="571"/>
    </row>
    <row r="91" spans="1:49" x14ac:dyDescent="0.25">
      <c r="A91" s="649" t="str">
        <f>+A11</f>
        <v>Cost of revenues (exclusive of depreciation and amortization below)</v>
      </c>
      <c r="B91" s="571"/>
      <c r="C91" s="571"/>
      <c r="D91" s="571"/>
      <c r="E91" s="571"/>
      <c r="F91" s="666"/>
      <c r="G91" s="667"/>
      <c r="H91" s="667"/>
      <c r="I91" s="667"/>
      <c r="J91" s="666"/>
      <c r="K91" s="667"/>
      <c r="L91" s="667"/>
      <c r="M91" s="667"/>
      <c r="N91" s="666"/>
      <c r="O91" s="667">
        <v>0.41299999999999998</v>
      </c>
      <c r="P91" s="667">
        <v>0.41099999999999998</v>
      </c>
      <c r="Q91" s="667">
        <v>0.38400000000000001</v>
      </c>
      <c r="R91" s="666">
        <v>0.32500000000000001</v>
      </c>
      <c r="S91" s="667">
        <v>0.42799999999999999</v>
      </c>
      <c r="T91" s="667">
        <v>0.39400000000000002</v>
      </c>
      <c r="U91" s="667">
        <v>0.39600000000000002</v>
      </c>
      <c r="V91" s="666">
        <v>0.373</v>
      </c>
      <c r="W91" s="571">
        <v>0.35899999999999999</v>
      </c>
      <c r="X91" s="571">
        <v>0.36899999999999999</v>
      </c>
      <c r="Y91" s="2273">
        <f>+X91</f>
        <v>0.36899999999999999</v>
      </c>
      <c r="Z91" s="571"/>
      <c r="AA91" s="571"/>
      <c r="AB91" s="571"/>
      <c r="AC91" s="571"/>
      <c r="AD91" s="571"/>
      <c r="AE91" s="571"/>
      <c r="AF91" s="571"/>
      <c r="AG91" s="571"/>
      <c r="AH91" s="571"/>
      <c r="AI91" s="571"/>
      <c r="AJ91" s="571"/>
      <c r="AK91" s="571"/>
      <c r="AL91" s="571"/>
      <c r="AM91" s="571"/>
      <c r="AN91" s="571"/>
      <c r="AO91" s="571"/>
      <c r="AP91" s="571"/>
      <c r="AQ91" s="571"/>
      <c r="AR91" s="571"/>
      <c r="AS91" s="2153"/>
      <c r="AT91" s="2153">
        <f>+SUM(O91:R91)</f>
        <v>1.5329999999999999</v>
      </c>
      <c r="AU91" s="2153">
        <f>+SUM(S91:V91)</f>
        <v>1.591</v>
      </c>
    </row>
    <row r="92" spans="1:49" x14ac:dyDescent="0.25">
      <c r="A92" s="649" t="str">
        <f>+A12</f>
        <v>Corporate technology and production systems</v>
      </c>
      <c r="B92" s="571"/>
      <c r="C92" s="571"/>
      <c r="D92" s="571"/>
      <c r="E92" s="571"/>
      <c r="F92" s="666"/>
      <c r="G92" s="667"/>
      <c r="H92" s="667"/>
      <c r="I92" s="667"/>
      <c r="J92" s="666"/>
      <c r="K92" s="667"/>
      <c r="L92" s="667"/>
      <c r="M92" s="667"/>
      <c r="N92" s="666"/>
      <c r="O92" s="667">
        <v>0.53100000000000003</v>
      </c>
      <c r="P92" s="667">
        <v>0.499</v>
      </c>
      <c r="Q92" s="667">
        <v>0.77400000000000002</v>
      </c>
      <c r="R92" s="666">
        <v>0.46</v>
      </c>
      <c r="S92" s="667">
        <v>0.61199999999999999</v>
      </c>
      <c r="T92" s="667">
        <v>0.60499999999999998</v>
      </c>
      <c r="U92" s="667">
        <v>0.77600000000000002</v>
      </c>
      <c r="V92" s="666">
        <v>0.82899999999999996</v>
      </c>
      <c r="W92" s="571">
        <v>0.81899999999999995</v>
      </c>
      <c r="X92" s="571">
        <v>0.88800000000000001</v>
      </c>
      <c r="Y92" s="2273">
        <f>+X92</f>
        <v>0.88800000000000001</v>
      </c>
      <c r="Z92" s="571"/>
      <c r="AA92" s="571"/>
      <c r="AB92" s="571"/>
      <c r="AC92" s="571"/>
      <c r="AD92" s="571"/>
      <c r="AE92" s="571"/>
      <c r="AF92" s="571"/>
      <c r="AG92" s="571"/>
      <c r="AH92" s="571"/>
      <c r="AI92" s="571"/>
      <c r="AJ92" s="571"/>
      <c r="AK92" s="571"/>
      <c r="AL92" s="571"/>
      <c r="AM92" s="571"/>
      <c r="AN92" s="571"/>
      <c r="AO92" s="571"/>
      <c r="AP92" s="571"/>
      <c r="AQ92" s="571"/>
      <c r="AR92" s="571"/>
      <c r="AS92" s="2153"/>
      <c r="AT92" s="2153">
        <f t="shared" ref="AT92:AT94" si="4">+SUM(O92:R92)</f>
        <v>2.2640000000000002</v>
      </c>
      <c r="AU92" s="2153">
        <f t="shared" ref="AU92:AU94" si="5">+SUM(S92:V92)</f>
        <v>2.8220000000000001</v>
      </c>
    </row>
    <row r="93" spans="1:49" s="413" customFormat="1" ht="14" x14ac:dyDescent="0.4">
      <c r="A93" s="649" t="str">
        <f>+A13</f>
        <v>Selling, general and administrative</v>
      </c>
      <c r="B93" s="614"/>
      <c r="C93" s="719"/>
      <c r="D93" s="719"/>
      <c r="E93" s="719"/>
      <c r="F93" s="718"/>
      <c r="G93" s="719"/>
      <c r="H93" s="719"/>
      <c r="I93" s="719"/>
      <c r="J93" s="718"/>
      <c r="K93" s="719"/>
      <c r="L93" s="719"/>
      <c r="M93" s="719"/>
      <c r="N93" s="718"/>
      <c r="O93" s="719">
        <v>4.1639999999999997</v>
      </c>
      <c r="P93" s="719">
        <v>5.1130000000000004</v>
      </c>
      <c r="Q93" s="719">
        <v>5.1349999999999998</v>
      </c>
      <c r="R93" s="718">
        <v>5.5960000000000001</v>
      </c>
      <c r="S93" s="719">
        <v>7.0030000000000001</v>
      </c>
      <c r="T93" s="719">
        <v>8.359</v>
      </c>
      <c r="U93" s="719">
        <v>8.6110000000000007</v>
      </c>
      <c r="V93" s="718">
        <v>6.2640000000000002</v>
      </c>
      <c r="W93" s="719">
        <v>8.1639999999999997</v>
      </c>
      <c r="X93" s="719">
        <v>10.446</v>
      </c>
      <c r="Y93" s="2274">
        <f>+Y94-Y92-Y91</f>
        <v>10.278</v>
      </c>
      <c r="Z93" s="719"/>
      <c r="AA93" s="719"/>
      <c r="AB93" s="719"/>
      <c r="AC93" s="719"/>
      <c r="AD93" s="719"/>
      <c r="AE93" s="719"/>
      <c r="AF93" s="719"/>
      <c r="AG93" s="719"/>
      <c r="AH93" s="719"/>
      <c r="AI93" s="719"/>
      <c r="AJ93" s="719"/>
      <c r="AK93" s="719"/>
      <c r="AL93" s="719"/>
      <c r="AM93" s="719"/>
      <c r="AN93" s="719"/>
      <c r="AO93" s="719"/>
      <c r="AP93" s="719"/>
      <c r="AQ93" s="719"/>
      <c r="AR93" s="719"/>
      <c r="AS93" s="719"/>
      <c r="AT93" s="719">
        <f t="shared" si="4"/>
        <v>20.008000000000003</v>
      </c>
      <c r="AU93" s="719">
        <f t="shared" si="5"/>
        <v>30.236999999999998</v>
      </c>
      <c r="AV93" s="719"/>
      <c r="AW93" s="614"/>
    </row>
    <row r="94" spans="1:49" x14ac:dyDescent="0.25">
      <c r="A94" s="425" t="s">
        <v>358</v>
      </c>
      <c r="B94" s="571"/>
      <c r="C94" s="583"/>
      <c r="D94" s="583"/>
      <c r="E94" s="583">
        <f t="shared" ref="E94:M94" si="6">+E78</f>
        <v>0.249</v>
      </c>
      <c r="F94" s="588">
        <f t="shared" si="6"/>
        <v>0.504</v>
      </c>
      <c r="G94" s="583">
        <f t="shared" si="6"/>
        <v>0.54500000000000004</v>
      </c>
      <c r="H94" s="583">
        <f t="shared" si="6"/>
        <v>0.64100000000000001</v>
      </c>
      <c r="I94" s="583">
        <f t="shared" si="6"/>
        <v>0.56999999999999995</v>
      </c>
      <c r="J94" s="588">
        <f t="shared" si="6"/>
        <v>1.708</v>
      </c>
      <c r="K94" s="583">
        <f t="shared" si="6"/>
        <v>0.89800000000000002</v>
      </c>
      <c r="L94" s="583">
        <f t="shared" si="6"/>
        <v>0.75600000000000001</v>
      </c>
      <c r="M94" s="583">
        <f t="shared" si="6"/>
        <v>25.582000000000001</v>
      </c>
      <c r="N94" s="588">
        <f>+N78</f>
        <v>5.3440000000000003</v>
      </c>
      <c r="O94" s="583">
        <f t="shared" ref="O94:W94" si="7">+SUM(O91:O93)</f>
        <v>5.1079999999999997</v>
      </c>
      <c r="P94" s="583">
        <f t="shared" si="7"/>
        <v>6.0230000000000006</v>
      </c>
      <c r="Q94" s="583">
        <f t="shared" si="7"/>
        <v>6.2929999999999993</v>
      </c>
      <c r="R94" s="588">
        <f t="shared" si="7"/>
        <v>6.3810000000000002</v>
      </c>
      <c r="S94" s="583">
        <f t="shared" si="7"/>
        <v>8.0429999999999993</v>
      </c>
      <c r="T94" s="583">
        <f t="shared" si="7"/>
        <v>9.3580000000000005</v>
      </c>
      <c r="U94" s="583">
        <f t="shared" si="7"/>
        <v>9.7830000000000013</v>
      </c>
      <c r="V94" s="588">
        <f t="shared" si="7"/>
        <v>7.4660000000000002</v>
      </c>
      <c r="W94" s="583">
        <f t="shared" si="7"/>
        <v>9.3419999999999987</v>
      </c>
      <c r="X94" s="583">
        <f>+SUM(X91:X93)</f>
        <v>11.702999999999999</v>
      </c>
      <c r="Y94" s="583">
        <f>+Y78</f>
        <v>11.535</v>
      </c>
      <c r="Z94" s="583"/>
      <c r="AA94" s="583"/>
      <c r="AB94" s="583"/>
      <c r="AC94" s="583"/>
      <c r="AD94" s="583"/>
      <c r="AE94" s="583"/>
      <c r="AF94" s="583"/>
      <c r="AG94" s="583"/>
      <c r="AH94" s="583"/>
      <c r="AI94" s="583"/>
      <c r="AJ94" s="583"/>
      <c r="AK94" s="583"/>
      <c r="AL94" s="583"/>
      <c r="AM94" s="583"/>
      <c r="AN94" s="583"/>
      <c r="AO94" s="583"/>
      <c r="AP94" s="583"/>
      <c r="AQ94" s="583">
        <f t="shared" ref="AQ94:AS94" si="8">+AQ78</f>
        <v>1.5029999999999999</v>
      </c>
      <c r="AR94" s="583">
        <f t="shared" si="8"/>
        <v>3.464</v>
      </c>
      <c r="AS94" s="583">
        <f t="shared" si="8"/>
        <v>32.58</v>
      </c>
      <c r="AT94" s="583">
        <f t="shared" si="4"/>
        <v>23.805</v>
      </c>
      <c r="AU94" s="583">
        <f t="shared" si="5"/>
        <v>34.65</v>
      </c>
      <c r="AV94" s="583"/>
      <c r="AW94" s="571"/>
    </row>
    <row r="95" spans="1:49" ht="13" x14ac:dyDescent="0.3">
      <c r="A95" s="569" t="s">
        <v>396</v>
      </c>
      <c r="B95" s="570"/>
      <c r="C95" s="583"/>
      <c r="D95" s="583"/>
      <c r="E95" s="583"/>
      <c r="F95" s="588"/>
      <c r="G95" s="583"/>
      <c r="H95" s="583"/>
      <c r="I95" s="583"/>
      <c r="J95" s="588"/>
      <c r="K95" s="583"/>
      <c r="L95" s="583"/>
      <c r="M95" s="583"/>
      <c r="N95" s="588"/>
      <c r="O95" s="583"/>
      <c r="P95" s="583"/>
      <c r="Q95" s="583"/>
      <c r="R95" s="588"/>
      <c r="S95" s="583"/>
      <c r="T95" s="583"/>
      <c r="U95" s="583"/>
      <c r="V95" s="588"/>
      <c r="W95" s="583"/>
      <c r="X95" s="583"/>
      <c r="Y95" s="583"/>
      <c r="Z95" s="583"/>
      <c r="AA95" s="583"/>
      <c r="AB95" s="583"/>
      <c r="AC95" s="583"/>
      <c r="AD95" s="583"/>
      <c r="AE95" s="583"/>
      <c r="AF95" s="583"/>
      <c r="AG95" s="583"/>
      <c r="AH95" s="583"/>
      <c r="AI95" s="583"/>
      <c r="AJ95" s="583"/>
      <c r="AK95" s="583"/>
      <c r="AL95" s="583"/>
      <c r="AM95" s="583"/>
      <c r="AN95" s="583"/>
      <c r="AO95" s="583"/>
      <c r="AP95" s="583"/>
      <c r="AQ95" s="583"/>
      <c r="AR95" s="583"/>
      <c r="AS95" s="583"/>
      <c r="AT95" s="583"/>
      <c r="AU95" s="583"/>
      <c r="AV95" s="583"/>
      <c r="AW95" s="571"/>
    </row>
    <row r="96" spans="1:49" x14ac:dyDescent="0.25">
      <c r="C96" s="583"/>
      <c r="D96" s="583"/>
      <c r="E96" s="583"/>
      <c r="F96" s="588"/>
      <c r="G96" s="583"/>
      <c r="H96" s="583"/>
      <c r="I96" s="583"/>
      <c r="J96" s="588"/>
      <c r="K96" s="583"/>
      <c r="L96" s="583"/>
      <c r="M96" s="583"/>
      <c r="N96" s="588"/>
      <c r="O96" s="583"/>
      <c r="P96" s="583"/>
      <c r="Q96" s="583"/>
      <c r="R96" s="588"/>
      <c r="S96" s="583"/>
      <c r="T96" s="583"/>
      <c r="U96" s="583"/>
      <c r="V96" s="588"/>
      <c r="W96" s="583"/>
      <c r="X96" s="583"/>
      <c r="Y96" s="583"/>
      <c r="Z96" s="583"/>
      <c r="AA96" s="583"/>
      <c r="AB96" s="583"/>
      <c r="AC96" s="583"/>
      <c r="AD96" s="583"/>
      <c r="AE96" s="583"/>
      <c r="AF96" s="583"/>
      <c r="AG96" s="583"/>
      <c r="AH96" s="583"/>
      <c r="AI96" s="583"/>
      <c r="AJ96" s="583"/>
      <c r="AK96" s="583"/>
      <c r="AL96" s="583"/>
      <c r="AM96" s="583"/>
      <c r="AN96" s="583"/>
      <c r="AO96" s="583"/>
      <c r="AP96" s="583"/>
      <c r="AQ96" s="583"/>
      <c r="AR96" s="583"/>
      <c r="AS96" s="583"/>
      <c r="AT96" s="583"/>
      <c r="AU96" s="583"/>
      <c r="AV96" s="583"/>
      <c r="AW96" s="571"/>
    </row>
    <row r="97" spans="1:49" x14ac:dyDescent="0.25">
      <c r="A97" s="649" t="s">
        <v>587</v>
      </c>
      <c r="B97" s="571"/>
      <c r="C97" s="583"/>
      <c r="D97" s="583"/>
      <c r="E97" s="583"/>
      <c r="F97" s="588"/>
      <c r="G97" s="583"/>
      <c r="H97" s="583"/>
      <c r="I97" s="583"/>
      <c r="J97" s="588"/>
      <c r="K97" s="583"/>
      <c r="L97" s="583">
        <v>240</v>
      </c>
      <c r="M97" s="583">
        <v>240</v>
      </c>
      <c r="N97" s="588">
        <v>240</v>
      </c>
      <c r="O97" s="583">
        <v>240</v>
      </c>
      <c r="P97" s="583">
        <v>240</v>
      </c>
      <c r="Q97" s="583">
        <v>240</v>
      </c>
      <c r="R97" s="588">
        <v>240</v>
      </c>
      <c r="S97" s="583">
        <v>240</v>
      </c>
      <c r="T97" s="583">
        <v>240</v>
      </c>
      <c r="U97" s="583">
        <v>240</v>
      </c>
      <c r="V97" s="588" t="s">
        <v>126</v>
      </c>
      <c r="W97" s="583" t="s">
        <v>126</v>
      </c>
      <c r="X97" s="583" t="s">
        <v>126</v>
      </c>
      <c r="Y97" s="583" t="s">
        <v>126</v>
      </c>
      <c r="Z97" s="583"/>
      <c r="AA97" s="583"/>
      <c r="AB97" s="583"/>
      <c r="AC97" s="583"/>
      <c r="AD97" s="583"/>
      <c r="AE97" s="583"/>
      <c r="AF97" s="583"/>
      <c r="AG97" s="583"/>
      <c r="AH97" s="583"/>
      <c r="AI97" s="583"/>
      <c r="AJ97" s="583"/>
      <c r="AK97" s="583"/>
      <c r="AL97" s="583"/>
      <c r="AM97" s="583"/>
      <c r="AN97" s="583"/>
      <c r="AO97" s="583"/>
      <c r="AP97" s="583"/>
      <c r="AQ97" s="583"/>
      <c r="AR97" s="583"/>
      <c r="AS97" s="583">
        <f>+N97</f>
        <v>240</v>
      </c>
      <c r="AT97" s="583">
        <f>+R97</f>
        <v>240</v>
      </c>
      <c r="AU97" s="583" t="s">
        <v>126</v>
      </c>
      <c r="AV97" s="583"/>
      <c r="AW97" s="571"/>
    </row>
    <row r="98" spans="1:49" x14ac:dyDescent="0.25">
      <c r="A98" s="649" t="s">
        <v>588</v>
      </c>
      <c r="B98" s="571"/>
      <c r="C98" s="583"/>
      <c r="D98" s="583"/>
      <c r="E98" s="583"/>
      <c r="F98" s="588"/>
      <c r="G98" s="583"/>
      <c r="H98" s="583"/>
      <c r="I98" s="583"/>
      <c r="J98" s="588"/>
      <c r="K98" s="583"/>
      <c r="L98" s="583">
        <v>9</v>
      </c>
      <c r="M98" s="583">
        <v>9</v>
      </c>
      <c r="N98" s="588">
        <v>9</v>
      </c>
      <c r="O98" s="583">
        <v>9</v>
      </c>
      <c r="P98" s="583">
        <v>9</v>
      </c>
      <c r="Q98" s="583">
        <v>9</v>
      </c>
      <c r="R98" s="588">
        <v>9</v>
      </c>
      <c r="S98" s="583">
        <v>9</v>
      </c>
      <c r="T98" s="583">
        <v>9</v>
      </c>
      <c r="U98" s="583">
        <v>9</v>
      </c>
      <c r="V98" s="588" t="s">
        <v>126</v>
      </c>
      <c r="W98" s="583" t="s">
        <v>126</v>
      </c>
      <c r="X98" s="583" t="s">
        <v>126</v>
      </c>
      <c r="Y98" s="583" t="s">
        <v>126</v>
      </c>
      <c r="Z98" s="583"/>
      <c r="AA98" s="583"/>
      <c r="AB98" s="583"/>
      <c r="AC98" s="583"/>
      <c r="AD98" s="583"/>
      <c r="AE98" s="583"/>
      <c r="AF98" s="583"/>
      <c r="AG98" s="583"/>
      <c r="AH98" s="583"/>
      <c r="AI98" s="583"/>
      <c r="AJ98" s="583"/>
      <c r="AK98" s="583"/>
      <c r="AL98" s="583"/>
      <c r="AM98" s="583"/>
      <c r="AN98" s="583"/>
      <c r="AO98" s="583"/>
      <c r="AP98" s="583"/>
      <c r="AQ98" s="583"/>
      <c r="AR98" s="583"/>
      <c r="AS98" s="583">
        <f>+N98</f>
        <v>9</v>
      </c>
      <c r="AT98" s="583">
        <f t="shared" ref="AT98:AT102" si="9">+R98</f>
        <v>9</v>
      </c>
      <c r="AU98" s="583" t="s">
        <v>126</v>
      </c>
      <c r="AV98" s="583"/>
      <c r="AW98" s="571"/>
    </row>
    <row r="99" spans="1:49" x14ac:dyDescent="0.25">
      <c r="A99" s="649" t="s">
        <v>589</v>
      </c>
      <c r="B99" s="571"/>
      <c r="C99" s="583"/>
      <c r="D99" s="583"/>
      <c r="E99" s="583"/>
      <c r="F99" s="588"/>
      <c r="G99" s="583"/>
      <c r="H99" s="583"/>
      <c r="I99" s="583"/>
      <c r="J99" s="588"/>
      <c r="K99" s="583"/>
      <c r="L99" s="583"/>
      <c r="M99" s="583"/>
      <c r="N99" s="588"/>
      <c r="O99" s="583"/>
      <c r="P99" s="583"/>
      <c r="Q99" s="583"/>
      <c r="R99" s="588">
        <v>50</v>
      </c>
      <c r="S99" s="583">
        <v>50</v>
      </c>
      <c r="T99" s="583">
        <v>50</v>
      </c>
      <c r="U99" s="583">
        <v>50</v>
      </c>
      <c r="V99" s="588" t="s">
        <v>126</v>
      </c>
      <c r="W99" s="583" t="s">
        <v>126</v>
      </c>
      <c r="X99" s="583" t="s">
        <v>126</v>
      </c>
      <c r="Y99" s="583" t="s">
        <v>126</v>
      </c>
      <c r="Z99" s="583"/>
      <c r="AA99" s="583"/>
      <c r="AB99" s="583"/>
      <c r="AC99" s="583"/>
      <c r="AD99" s="583"/>
      <c r="AE99" s="583"/>
      <c r="AF99" s="583"/>
      <c r="AG99" s="583"/>
      <c r="AH99" s="583"/>
      <c r="AI99" s="583"/>
      <c r="AJ99" s="583"/>
      <c r="AK99" s="583"/>
      <c r="AL99" s="583"/>
      <c r="AM99" s="583"/>
      <c r="AN99" s="583"/>
      <c r="AO99" s="583"/>
      <c r="AP99" s="583"/>
      <c r="AQ99" s="583"/>
      <c r="AR99" s="583"/>
      <c r="AS99" s="583"/>
      <c r="AT99" s="583">
        <f t="shared" si="9"/>
        <v>50</v>
      </c>
      <c r="AU99" s="583" t="s">
        <v>126</v>
      </c>
      <c r="AV99" s="583"/>
      <c r="AW99" s="571"/>
    </row>
    <row r="100" spans="1:49" x14ac:dyDescent="0.25">
      <c r="A100" s="649" t="s">
        <v>590</v>
      </c>
      <c r="B100" s="571"/>
      <c r="C100" s="583"/>
      <c r="D100" s="583"/>
      <c r="E100" s="583"/>
      <c r="F100" s="588"/>
      <c r="G100" s="583"/>
      <c r="H100" s="583"/>
      <c r="I100" s="583"/>
      <c r="J100" s="588"/>
      <c r="K100" s="583"/>
      <c r="L100" s="583"/>
      <c r="M100" s="583"/>
      <c r="N100" s="588"/>
      <c r="O100" s="583"/>
      <c r="P100" s="583"/>
      <c r="Q100" s="583"/>
      <c r="R100" s="588">
        <v>110</v>
      </c>
      <c r="S100" s="583">
        <v>110</v>
      </c>
      <c r="T100" s="583">
        <v>110</v>
      </c>
      <c r="U100" s="583">
        <v>110</v>
      </c>
      <c r="V100" s="588" t="s">
        <v>126</v>
      </c>
      <c r="W100" s="583" t="s">
        <v>126</v>
      </c>
      <c r="X100" s="583" t="s">
        <v>126</v>
      </c>
      <c r="Y100" s="583" t="s">
        <v>126</v>
      </c>
      <c r="Z100" s="583"/>
      <c r="AA100" s="583"/>
      <c r="AB100" s="583"/>
      <c r="AC100" s="583"/>
      <c r="AD100" s="583"/>
      <c r="AE100" s="583"/>
      <c r="AF100" s="583"/>
      <c r="AG100" s="583"/>
      <c r="AH100" s="583"/>
      <c r="AI100" s="583"/>
      <c r="AJ100" s="583"/>
      <c r="AK100" s="583"/>
      <c r="AL100" s="583"/>
      <c r="AM100" s="583"/>
      <c r="AN100" s="583"/>
      <c r="AO100" s="583"/>
      <c r="AP100" s="583"/>
      <c r="AQ100" s="583"/>
      <c r="AR100" s="583"/>
      <c r="AS100" s="583"/>
      <c r="AT100" s="583">
        <f t="shared" si="9"/>
        <v>110</v>
      </c>
      <c r="AU100" s="583" t="s">
        <v>126</v>
      </c>
      <c r="AV100" s="583"/>
      <c r="AW100" s="571"/>
    </row>
    <row r="101" spans="1:49" x14ac:dyDescent="0.25">
      <c r="A101" s="649" t="s">
        <v>591</v>
      </c>
      <c r="B101" s="571"/>
      <c r="C101" s="583"/>
      <c r="D101" s="583"/>
      <c r="E101" s="583"/>
      <c r="F101" s="588"/>
      <c r="G101" s="583"/>
      <c r="H101" s="583"/>
      <c r="I101" s="583"/>
      <c r="J101" s="588"/>
      <c r="K101" s="583"/>
      <c r="L101" s="583"/>
      <c r="M101" s="583"/>
      <c r="N101" s="588"/>
      <c r="O101" s="583"/>
      <c r="P101" s="583"/>
      <c r="Q101" s="583"/>
      <c r="R101" s="588">
        <v>75</v>
      </c>
      <c r="S101" s="583">
        <v>75</v>
      </c>
      <c r="T101" s="583">
        <v>75</v>
      </c>
      <c r="U101" s="583">
        <v>75</v>
      </c>
      <c r="V101" s="588" t="s">
        <v>126</v>
      </c>
      <c r="W101" s="583" t="s">
        <v>126</v>
      </c>
      <c r="X101" s="583" t="s">
        <v>126</v>
      </c>
      <c r="Y101" s="583" t="s">
        <v>126</v>
      </c>
      <c r="Z101" s="583"/>
      <c r="AA101" s="583"/>
      <c r="AB101" s="583"/>
      <c r="AC101" s="583"/>
      <c r="AD101" s="583"/>
      <c r="AE101" s="583"/>
      <c r="AF101" s="583"/>
      <c r="AG101" s="583"/>
      <c r="AH101" s="583"/>
      <c r="AI101" s="583"/>
      <c r="AJ101" s="583"/>
      <c r="AK101" s="583"/>
      <c r="AL101" s="583"/>
      <c r="AM101" s="583"/>
      <c r="AN101" s="583"/>
      <c r="AO101" s="583"/>
      <c r="AP101" s="583"/>
      <c r="AQ101" s="583"/>
      <c r="AR101" s="583"/>
      <c r="AS101" s="583"/>
      <c r="AT101" s="583">
        <f t="shared" si="9"/>
        <v>75</v>
      </c>
      <c r="AU101" s="583" t="s">
        <v>126</v>
      </c>
      <c r="AV101" s="583"/>
      <c r="AW101" s="571"/>
    </row>
    <row r="102" spans="1:49" ht="13" x14ac:dyDescent="0.3">
      <c r="A102" s="649" t="s">
        <v>399</v>
      </c>
      <c r="B102" s="571"/>
      <c r="C102" s="583"/>
      <c r="D102" s="583"/>
      <c r="E102" s="583"/>
      <c r="F102" s="588"/>
      <c r="G102" s="583"/>
      <c r="H102" s="583"/>
      <c r="I102" s="583"/>
      <c r="J102" s="588"/>
      <c r="K102" s="2151"/>
      <c r="L102" s="2151"/>
      <c r="M102" s="2151"/>
      <c r="N102" s="2160"/>
      <c r="O102" s="2151"/>
      <c r="P102" s="2151"/>
      <c r="Q102" s="2151"/>
      <c r="R102" s="2262">
        <v>0.5</v>
      </c>
      <c r="S102" s="2263">
        <v>0.6</v>
      </c>
      <c r="T102" s="2263">
        <v>0.6</v>
      </c>
      <c r="U102" s="2263">
        <v>0.6</v>
      </c>
      <c r="V102" s="598" t="s">
        <v>126</v>
      </c>
      <c r="W102" s="2287" t="s">
        <v>126</v>
      </c>
      <c r="X102" s="2287" t="s">
        <v>126</v>
      </c>
      <c r="Y102" s="2287" t="s">
        <v>126</v>
      </c>
      <c r="Z102" s="2263"/>
      <c r="AA102" s="2263"/>
      <c r="AB102" s="2263"/>
      <c r="AC102" s="2263"/>
      <c r="AD102" s="2263"/>
      <c r="AE102" s="2263"/>
      <c r="AF102" s="2263"/>
      <c r="AG102" s="2263"/>
      <c r="AH102" s="2263"/>
      <c r="AI102" s="2263"/>
      <c r="AJ102" s="2263"/>
      <c r="AK102" s="2263"/>
      <c r="AL102" s="2263"/>
      <c r="AM102" s="2263"/>
      <c r="AN102" s="2263"/>
      <c r="AO102" s="2263"/>
      <c r="AP102" s="2263"/>
      <c r="AQ102" s="2263"/>
      <c r="AR102" s="2263"/>
      <c r="AS102" s="2263"/>
      <c r="AT102" s="2263">
        <f t="shared" si="9"/>
        <v>0.5</v>
      </c>
      <c r="AU102" s="599" t="s">
        <v>126</v>
      </c>
      <c r="AV102" s="583"/>
      <c r="AW102" s="571"/>
    </row>
    <row r="103" spans="1:49" x14ac:dyDescent="0.25">
      <c r="A103" s="425"/>
      <c r="B103" s="571"/>
      <c r="C103" s="583"/>
      <c r="D103" s="583"/>
      <c r="E103" s="583"/>
      <c r="F103" s="588"/>
      <c r="G103" s="583"/>
      <c r="H103" s="583"/>
      <c r="I103" s="583"/>
      <c r="J103" s="588"/>
      <c r="K103" s="583"/>
      <c r="L103" s="583"/>
      <c r="M103" s="583"/>
      <c r="N103" s="588"/>
      <c r="O103" s="583"/>
      <c r="P103" s="583"/>
      <c r="Q103" s="583"/>
      <c r="R103" s="588"/>
      <c r="S103" s="583"/>
      <c r="T103" s="583"/>
      <c r="U103" s="583"/>
      <c r="V103" s="588"/>
      <c r="W103" s="583"/>
      <c r="X103" s="583"/>
      <c r="Y103" s="583"/>
      <c r="Z103" s="583"/>
      <c r="AA103" s="583"/>
      <c r="AB103" s="583"/>
      <c r="AC103" s="583"/>
      <c r="AD103" s="583"/>
      <c r="AE103" s="583"/>
      <c r="AF103" s="583"/>
      <c r="AG103" s="583"/>
      <c r="AH103" s="583"/>
      <c r="AI103" s="583"/>
      <c r="AJ103" s="583"/>
      <c r="AK103" s="583"/>
      <c r="AL103" s="583"/>
      <c r="AM103" s="583"/>
      <c r="AN103" s="583"/>
      <c r="AO103" s="583"/>
      <c r="AP103" s="583"/>
      <c r="AQ103" s="583"/>
      <c r="AR103" s="583"/>
      <c r="AS103" s="583"/>
      <c r="AT103" s="583"/>
      <c r="AU103" s="583"/>
      <c r="AV103" s="583"/>
      <c r="AW103" s="571"/>
    </row>
    <row r="104" spans="1:49" x14ac:dyDescent="0.25">
      <c r="A104" s="649" t="s">
        <v>415</v>
      </c>
      <c r="C104" s="2153"/>
      <c r="D104" s="2153"/>
      <c r="E104" s="2153"/>
      <c r="F104" s="2159"/>
      <c r="G104" s="2166"/>
      <c r="H104" s="2166"/>
      <c r="I104" s="2166"/>
      <c r="J104" s="2159"/>
      <c r="K104" s="2166"/>
      <c r="L104" s="2166">
        <v>5200</v>
      </c>
      <c r="M104" s="2166"/>
      <c r="N104" s="2159">
        <v>6000</v>
      </c>
      <c r="O104" s="2166"/>
      <c r="P104" s="2166"/>
      <c r="Q104" s="2166"/>
      <c r="R104" s="2159">
        <v>6000</v>
      </c>
      <c r="S104" s="2166"/>
      <c r="T104" s="2166"/>
      <c r="U104" s="2166"/>
      <c r="V104" s="2159">
        <v>5700</v>
      </c>
      <c r="W104" s="2153"/>
      <c r="X104" s="2153"/>
      <c r="Y104" s="2153"/>
      <c r="Z104" s="571"/>
      <c r="AA104" s="571"/>
      <c r="AB104" s="571"/>
      <c r="AC104" s="571"/>
      <c r="AD104" s="571"/>
      <c r="AE104" s="571"/>
      <c r="AF104" s="571"/>
      <c r="AG104" s="571"/>
      <c r="AH104" s="571"/>
      <c r="AI104" s="571"/>
      <c r="AJ104" s="571"/>
      <c r="AK104" s="571"/>
      <c r="AL104" s="571"/>
      <c r="AM104" s="2153"/>
      <c r="AN104" s="2153"/>
      <c r="AO104" s="2153"/>
      <c r="AP104" s="2153"/>
      <c r="AQ104" s="2153"/>
      <c r="AR104" s="2153"/>
      <c r="AS104" s="2153">
        <f>+N104</f>
        <v>6000</v>
      </c>
      <c r="AT104" s="2153">
        <f>+R104</f>
        <v>6000</v>
      </c>
      <c r="AU104" s="2153">
        <f>+V104</f>
        <v>5700</v>
      </c>
    </row>
    <row r="105" spans="1:49" x14ac:dyDescent="0.25">
      <c r="A105" s="425"/>
      <c r="B105" s="571"/>
      <c r="C105" s="583"/>
      <c r="D105" s="583"/>
      <c r="E105" s="583"/>
      <c r="F105" s="588"/>
      <c r="G105" s="583"/>
      <c r="H105" s="583"/>
      <c r="I105" s="583"/>
      <c r="J105" s="588"/>
      <c r="K105" s="583"/>
      <c r="L105" s="583"/>
      <c r="M105" s="583"/>
      <c r="N105" s="588"/>
      <c r="O105" s="583"/>
      <c r="P105" s="583"/>
      <c r="Q105" s="583"/>
      <c r="R105" s="588"/>
      <c r="S105" s="583"/>
      <c r="T105" s="583"/>
      <c r="U105" s="583"/>
      <c r="V105" s="588"/>
      <c r="W105" s="583"/>
      <c r="X105" s="583"/>
      <c r="Y105" s="583"/>
      <c r="Z105" s="583"/>
      <c r="AA105" s="583"/>
      <c r="AB105" s="583"/>
      <c r="AC105" s="583"/>
      <c r="AD105" s="583"/>
      <c r="AE105" s="583"/>
      <c r="AF105" s="583"/>
      <c r="AG105" s="583"/>
      <c r="AH105" s="583"/>
      <c r="AI105" s="583"/>
      <c r="AJ105" s="583"/>
      <c r="AK105" s="583"/>
      <c r="AL105" s="583"/>
      <c r="AM105" s="583"/>
      <c r="AN105" s="583"/>
      <c r="AO105" s="583"/>
      <c r="AP105" s="583"/>
      <c r="AQ105" s="583"/>
      <c r="AR105" s="583"/>
      <c r="AS105" s="583"/>
      <c r="AT105" s="583"/>
      <c r="AU105" s="583"/>
      <c r="AV105" s="583"/>
      <c r="AW105" s="571"/>
    </row>
    <row r="106" spans="1:49" x14ac:dyDescent="0.25">
      <c r="A106" s="425"/>
      <c r="B106" s="571"/>
      <c r="C106" s="583"/>
      <c r="D106" s="583"/>
      <c r="E106" s="583"/>
      <c r="F106" s="588"/>
      <c r="G106" s="583"/>
      <c r="H106" s="583"/>
      <c r="I106" s="583"/>
      <c r="J106" s="588"/>
      <c r="K106" s="583"/>
      <c r="L106" s="583"/>
      <c r="M106" s="583"/>
      <c r="N106" s="588"/>
      <c r="O106" s="583"/>
      <c r="P106" s="583"/>
      <c r="Q106" s="583"/>
      <c r="R106" s="588"/>
      <c r="S106" s="583"/>
      <c r="T106" s="583"/>
      <c r="U106" s="583"/>
      <c r="V106" s="588"/>
      <c r="W106" s="583"/>
      <c r="X106" s="583"/>
      <c r="Y106" s="583"/>
      <c r="Z106" s="583"/>
      <c r="AA106" s="583"/>
      <c r="AB106" s="583"/>
      <c r="AC106" s="583"/>
      <c r="AD106" s="583"/>
      <c r="AE106" s="583"/>
      <c r="AF106" s="583"/>
      <c r="AG106" s="583"/>
      <c r="AH106" s="583"/>
      <c r="AI106" s="583"/>
      <c r="AJ106" s="583"/>
      <c r="AK106" s="583"/>
      <c r="AL106" s="583"/>
      <c r="AM106" s="583"/>
      <c r="AN106" s="583"/>
      <c r="AO106" s="583"/>
      <c r="AP106" s="583"/>
      <c r="AQ106" s="583"/>
      <c r="AR106" s="583"/>
      <c r="AS106" s="583"/>
      <c r="AT106" s="583"/>
      <c r="AU106" s="583"/>
      <c r="AV106" s="583"/>
      <c r="AW106" s="571"/>
    </row>
    <row r="107" spans="1:49" x14ac:dyDescent="0.25">
      <c r="C107" s="571"/>
      <c r="D107" s="571"/>
      <c r="E107" s="571"/>
      <c r="F107" s="666"/>
      <c r="G107" s="667"/>
      <c r="H107" s="667"/>
      <c r="I107" s="667"/>
      <c r="J107" s="666"/>
      <c r="K107" s="667"/>
      <c r="L107" s="667"/>
      <c r="M107" s="667"/>
      <c r="N107" s="666"/>
      <c r="O107" s="667"/>
      <c r="P107" s="667"/>
      <c r="Q107" s="667"/>
      <c r="R107" s="666"/>
      <c r="S107" s="667"/>
      <c r="T107" s="667"/>
      <c r="U107" s="667"/>
      <c r="V107" s="666"/>
      <c r="W107" s="571"/>
      <c r="X107" s="571"/>
      <c r="Y107" s="571"/>
      <c r="Z107" s="571"/>
      <c r="AA107" s="571"/>
      <c r="AB107" s="571"/>
      <c r="AC107" s="571"/>
      <c r="AD107" s="571"/>
      <c r="AE107" s="571"/>
      <c r="AF107" s="571"/>
      <c r="AG107" s="571"/>
      <c r="AH107" s="571"/>
      <c r="AI107" s="571"/>
      <c r="AJ107" s="571"/>
      <c r="AK107" s="571"/>
      <c r="AL107" s="571"/>
      <c r="AM107" s="571"/>
      <c r="AN107" s="571"/>
      <c r="AO107" s="571"/>
      <c r="AP107" s="571"/>
      <c r="AQ107" s="571"/>
      <c r="AR107" s="571"/>
      <c r="AS107" s="571"/>
      <c r="AT107" s="571"/>
      <c r="AU107" s="571"/>
    </row>
    <row r="108" spans="1:49" ht="13" x14ac:dyDescent="0.3">
      <c r="A108" s="569" t="s">
        <v>466</v>
      </c>
      <c r="B108" s="570"/>
      <c r="C108" s="571"/>
      <c r="D108" s="571"/>
      <c r="E108" s="571"/>
      <c r="F108" s="666"/>
      <c r="G108" s="667"/>
      <c r="H108" s="667"/>
      <c r="I108" s="667"/>
      <c r="J108" s="666"/>
      <c r="K108" s="667"/>
      <c r="L108" s="667"/>
      <c r="M108" s="667"/>
      <c r="N108" s="666"/>
      <c r="O108" s="667"/>
      <c r="P108" s="667"/>
      <c r="Q108" s="667"/>
      <c r="R108" s="666"/>
      <c r="S108" s="667"/>
      <c r="T108" s="667"/>
      <c r="U108" s="667"/>
      <c r="V108" s="666"/>
      <c r="W108" s="571"/>
      <c r="X108" s="571"/>
      <c r="Y108" s="571"/>
      <c r="Z108" s="571"/>
      <c r="AA108" s="571"/>
      <c r="AB108" s="571"/>
      <c r="AC108" s="571"/>
      <c r="AD108" s="571"/>
      <c r="AE108" s="571"/>
      <c r="AF108" s="571"/>
      <c r="AG108" s="571"/>
      <c r="AH108" s="571"/>
      <c r="AI108" s="571"/>
      <c r="AJ108" s="571"/>
      <c r="AK108" s="571"/>
      <c r="AL108" s="571"/>
      <c r="AM108" s="571"/>
      <c r="AN108" s="571"/>
      <c r="AO108" s="571"/>
      <c r="AP108" s="571"/>
      <c r="AQ108" s="571"/>
      <c r="AR108" s="571"/>
      <c r="AS108" s="571"/>
      <c r="AT108" s="571"/>
      <c r="AU108" s="571"/>
    </row>
    <row r="109" spans="1:49" x14ac:dyDescent="0.25">
      <c r="C109" s="571"/>
      <c r="D109" s="571"/>
      <c r="E109" s="571"/>
      <c r="F109" s="666"/>
      <c r="G109" s="667"/>
      <c r="H109" s="667"/>
      <c r="I109" s="667"/>
      <c r="J109" s="666"/>
      <c r="K109" s="667"/>
      <c r="L109" s="667"/>
      <c r="M109" s="667"/>
      <c r="N109" s="666"/>
      <c r="O109" s="667"/>
      <c r="P109" s="667"/>
      <c r="Q109" s="667"/>
      <c r="R109" s="666"/>
      <c r="S109" s="667"/>
      <c r="T109" s="667"/>
      <c r="U109" s="667"/>
      <c r="V109" s="666"/>
      <c r="W109" s="571"/>
      <c r="X109" s="571"/>
      <c r="Y109" s="571"/>
      <c r="Z109" s="571"/>
      <c r="AA109" s="571"/>
      <c r="AB109" s="571"/>
      <c r="AC109" s="571"/>
      <c r="AD109" s="571"/>
      <c r="AE109" s="571"/>
      <c r="AF109" s="571"/>
      <c r="AG109" s="571"/>
      <c r="AH109" s="571"/>
      <c r="AI109" s="571"/>
      <c r="AJ109" s="571"/>
      <c r="AK109" s="571"/>
      <c r="AL109" s="571"/>
      <c r="AM109" s="571"/>
      <c r="AN109" s="571"/>
      <c r="AO109" s="571"/>
      <c r="AP109" s="571"/>
      <c r="AQ109" s="571"/>
      <c r="AR109" s="571"/>
      <c r="AS109" s="571"/>
      <c r="AT109" s="571"/>
      <c r="AU109" s="571"/>
    </row>
    <row r="110" spans="1:49" ht="13" x14ac:dyDescent="0.3">
      <c r="A110" s="730" t="s">
        <v>592</v>
      </c>
      <c r="C110" s="571"/>
      <c r="D110" s="571"/>
      <c r="E110" s="571"/>
      <c r="F110" s="666"/>
      <c r="G110" s="667"/>
      <c r="H110" s="667"/>
      <c r="I110" s="667"/>
      <c r="J110" s="666"/>
      <c r="K110" s="667"/>
      <c r="L110" s="667"/>
      <c r="M110" s="667"/>
      <c r="N110" s="666"/>
      <c r="O110" s="667"/>
      <c r="P110" s="667"/>
      <c r="Q110" s="667"/>
      <c r="R110" s="666"/>
      <c r="S110" s="667"/>
      <c r="T110" s="667"/>
      <c r="U110" s="667"/>
      <c r="V110" s="666"/>
      <c r="W110" s="571"/>
      <c r="X110" s="571"/>
      <c r="Y110" s="571"/>
      <c r="Z110" s="571"/>
      <c r="AA110" s="571"/>
      <c r="AB110" s="571"/>
      <c r="AC110" s="571"/>
      <c r="AD110" s="571"/>
      <c r="AE110" s="571"/>
      <c r="AF110" s="571"/>
      <c r="AG110" s="571"/>
      <c r="AH110" s="571"/>
      <c r="AI110" s="571"/>
      <c r="AJ110" s="571"/>
      <c r="AK110" s="571"/>
      <c r="AL110" s="571"/>
      <c r="AM110" s="571"/>
      <c r="AN110" s="571"/>
      <c r="AO110" s="571"/>
      <c r="AP110" s="571"/>
      <c r="AQ110" s="571"/>
      <c r="AR110" s="571"/>
      <c r="AS110" s="571"/>
      <c r="AT110" s="571"/>
      <c r="AU110" s="571"/>
    </row>
    <row r="111" spans="1:49" x14ac:dyDescent="0.25">
      <c r="A111" s="2150" t="s">
        <v>593</v>
      </c>
      <c r="C111" s="571"/>
      <c r="D111" s="571"/>
      <c r="E111" s="571"/>
      <c r="F111" s="666"/>
      <c r="G111" s="667"/>
      <c r="H111" s="667"/>
      <c r="I111" s="667"/>
      <c r="J111" s="666"/>
      <c r="K111" s="667"/>
      <c r="L111" s="667"/>
      <c r="M111" s="667"/>
      <c r="N111" s="666"/>
      <c r="O111" s="667"/>
      <c r="P111" s="667"/>
      <c r="Q111" s="667"/>
      <c r="R111" s="666"/>
      <c r="S111" s="667"/>
      <c r="T111" s="667"/>
      <c r="U111" s="667"/>
      <c r="V111" s="666"/>
      <c r="W111" s="571"/>
      <c r="X111" s="571"/>
      <c r="Y111" s="571"/>
      <c r="Z111" s="571"/>
      <c r="AA111" s="571"/>
      <c r="AB111" s="571"/>
      <c r="AC111" s="571"/>
      <c r="AD111" s="571"/>
      <c r="AE111" s="571"/>
      <c r="AF111" s="571"/>
      <c r="AG111" s="571"/>
      <c r="AH111" s="571"/>
      <c r="AI111" s="571"/>
      <c r="AJ111" s="571"/>
      <c r="AK111" s="571"/>
      <c r="AL111" s="571"/>
      <c r="AM111" s="571"/>
      <c r="AN111" s="571"/>
      <c r="AO111" s="571"/>
      <c r="AP111" s="571"/>
      <c r="AQ111" s="571"/>
      <c r="AR111" s="571"/>
      <c r="AS111" s="571"/>
      <c r="AT111" s="571"/>
      <c r="AU111" s="571"/>
    </row>
    <row r="112" spans="1:49" x14ac:dyDescent="0.25">
      <c r="A112" s="649" t="str">
        <f>+'STER Detailed Disclosure'!A92</f>
        <v>Cash and cash equivalents</v>
      </c>
      <c r="C112" s="2153"/>
      <c r="D112" s="2153"/>
      <c r="E112" s="2153"/>
      <c r="F112" s="2159">
        <f>+'STER Detailed Disclosure'!F92/1000</f>
        <v>50.298999999999999</v>
      </c>
      <c r="G112" s="2166"/>
      <c r="H112" s="2166"/>
      <c r="I112" s="2166"/>
      <c r="J112" s="2159">
        <f>+'STER Detailed Disclosure'!J92/1000</f>
        <v>66.632999999999996</v>
      </c>
      <c r="K112" s="2166"/>
      <c r="L112" s="2166">
        <f>+'STER Detailed Disclosure'!L92/1000</f>
        <v>94.290999999999997</v>
      </c>
      <c r="M112" s="2166">
        <f>+'STER Detailed Disclosure'!M92/1000</f>
        <v>192.39699999999999</v>
      </c>
      <c r="N112" s="2159">
        <f>+'STER Detailed Disclosure'!N92/1000</f>
        <v>47.997999999999998</v>
      </c>
      <c r="O112" s="2166">
        <f>+'STER Detailed Disclosure'!O92/1000</f>
        <v>44.347000000000001</v>
      </c>
      <c r="P112" s="2166">
        <f>+'STER Detailed Disclosure'!P92/1000</f>
        <v>65.811000000000007</v>
      </c>
      <c r="Q112" s="2166">
        <f>+'STER Detailed Disclosure'!Q92/1000</f>
        <v>99.19</v>
      </c>
      <c r="R112" s="2159">
        <f>+'STER Detailed Disclosure'!R92/1000</f>
        <v>103.095</v>
      </c>
      <c r="S112" s="2166">
        <f>+'STER Detailed Disclosure'!S92/1000</f>
        <v>50.963999999999999</v>
      </c>
      <c r="T112" s="2166">
        <f>+'STER Detailed Disclosure'!T92/1000</f>
        <v>48.817</v>
      </c>
      <c r="U112" s="2166">
        <f>+'STER Detailed Disclosure'!U92/1000</f>
        <v>49.877000000000002</v>
      </c>
      <c r="V112" s="2159">
        <f>+'STER Detailed Disclosure'!V92/1000</f>
        <v>54.223999999999997</v>
      </c>
      <c r="W112" s="2153">
        <f>+'STER Detailed Disclosure'!W92/1000</f>
        <v>66.978999999999999</v>
      </c>
      <c r="X112" s="2153">
        <f>+'STER Detailed Disclosure'!X92/1000</f>
        <v>74.182000000000002</v>
      </c>
      <c r="Y112" s="2153">
        <v>75.099999999999994</v>
      </c>
      <c r="Z112" s="571"/>
      <c r="AA112" s="571"/>
      <c r="AB112" s="571"/>
      <c r="AC112" s="571"/>
      <c r="AD112" s="571"/>
      <c r="AE112" s="571"/>
      <c r="AF112" s="571"/>
      <c r="AG112" s="571"/>
      <c r="AH112" s="571"/>
      <c r="AI112" s="571"/>
      <c r="AJ112" s="571"/>
      <c r="AK112" s="571"/>
      <c r="AL112" s="571"/>
      <c r="AM112" s="2153"/>
      <c r="AN112" s="2153"/>
      <c r="AO112" s="2153"/>
      <c r="AP112" s="2153"/>
      <c r="AQ112" s="2153">
        <f>+'STER Detailed Disclosure'!AQ92/1000</f>
        <v>50.298999999999999</v>
      </c>
      <c r="AR112" s="2153">
        <f>+'STER Detailed Disclosure'!AR92/1000</f>
        <v>66.632999999999996</v>
      </c>
      <c r="AS112" s="2153">
        <f>+'STER Detailed Disclosure'!AS92/1000</f>
        <v>47.997999999999998</v>
      </c>
      <c r="AT112" s="2153">
        <f>+'STER Detailed Disclosure'!AT92/1000</f>
        <v>103.095</v>
      </c>
      <c r="AU112" s="2153">
        <f>+'STER Detailed Disclosure'!AU92/1000</f>
        <v>54.223999999999997</v>
      </c>
    </row>
    <row r="113" spans="1:49" x14ac:dyDescent="0.25">
      <c r="A113" s="649" t="str">
        <f>+'STER Detailed Disclosure'!A93</f>
        <v>Accounts receivable (net of allowance for credit losses of $2,816 and $2,304 at December 31, 2023 and 2022, respectively)</v>
      </c>
      <c r="C113" s="2153"/>
      <c r="D113" s="2153"/>
      <c r="E113" s="2153"/>
      <c r="F113" s="2159">
        <f>+'STER Detailed Disclosure'!F93/1000</f>
        <v>80.552999999999997</v>
      </c>
      <c r="G113" s="2166"/>
      <c r="H113" s="2166"/>
      <c r="I113" s="2166"/>
      <c r="J113" s="2159">
        <f>+'STER Detailed Disclosure'!J93/1000</f>
        <v>80.381</v>
      </c>
      <c r="K113" s="2166"/>
      <c r="L113" s="2166">
        <f>+'STER Detailed Disclosure'!L93/1000</f>
        <v>104.83799999999999</v>
      </c>
      <c r="M113" s="2166">
        <f>+'STER Detailed Disclosure'!M93/1000</f>
        <v>119.812</v>
      </c>
      <c r="N113" s="2159">
        <f>+'STER Detailed Disclosure'!N93/1000</f>
        <v>127.92700000000001</v>
      </c>
      <c r="O113" s="2166">
        <f>+'STER Detailed Disclosure'!O93/1000</f>
        <v>147.94900000000001</v>
      </c>
      <c r="P113" s="2166">
        <f>+'STER Detailed Disclosure'!P93/1000</f>
        <v>164.179</v>
      </c>
      <c r="Q113" s="2166">
        <f>+'STER Detailed Disclosure'!Q93/1000</f>
        <v>159.55000000000001</v>
      </c>
      <c r="R113" s="2159">
        <f>+'STER Detailed Disclosure'!R93/1000</f>
        <v>139.57900000000001</v>
      </c>
      <c r="S113" s="2166">
        <f>+'STER Detailed Disclosure'!S93/1000</f>
        <v>147.12299999999999</v>
      </c>
      <c r="T113" s="2166">
        <f>+'STER Detailed Disclosure'!T93/1000</f>
        <v>151.274</v>
      </c>
      <c r="U113" s="2166">
        <f>+'STER Detailed Disclosure'!U93/1000</f>
        <v>151.935</v>
      </c>
      <c r="V113" s="2159">
        <f>+'STER Detailed Disclosure'!V93/1000</f>
        <v>142.179</v>
      </c>
      <c r="W113" s="2153">
        <f>+'STER Detailed Disclosure'!W93/1000</f>
        <v>157.392</v>
      </c>
      <c r="X113" s="2153">
        <f>+'STER Detailed Disclosure'!X93/1000</f>
        <v>172.05</v>
      </c>
      <c r="Y113" s="2288"/>
      <c r="Z113" s="571"/>
      <c r="AA113" s="571"/>
      <c r="AB113" s="571"/>
      <c r="AC113" s="571"/>
      <c r="AD113" s="571"/>
      <c r="AE113" s="571"/>
      <c r="AF113" s="571"/>
      <c r="AG113" s="571"/>
      <c r="AH113" s="571"/>
      <c r="AI113" s="571"/>
      <c r="AJ113" s="571"/>
      <c r="AK113" s="571"/>
      <c r="AL113" s="571"/>
      <c r="AM113" s="2153"/>
      <c r="AN113" s="2153"/>
      <c r="AO113" s="2153"/>
      <c r="AP113" s="2153"/>
      <c r="AQ113" s="2153">
        <f>+'STER Detailed Disclosure'!AQ93/1000</f>
        <v>80.552999999999997</v>
      </c>
      <c r="AR113" s="2153">
        <f>+'STER Detailed Disclosure'!AR93/1000</f>
        <v>80.381</v>
      </c>
      <c r="AS113" s="2153">
        <f>+'STER Detailed Disclosure'!AS93/1000</f>
        <v>127.92700000000001</v>
      </c>
      <c r="AT113" s="2153">
        <f>+'STER Detailed Disclosure'!AT93/1000</f>
        <v>139.57900000000001</v>
      </c>
      <c r="AU113" s="2153">
        <f>+'STER Detailed Disclosure'!AU93/1000</f>
        <v>142.179</v>
      </c>
    </row>
    <row r="114" spans="1:49" x14ac:dyDescent="0.25">
      <c r="A114" s="649" t="str">
        <f>+'STER Detailed Disclosure'!A94</f>
        <v>Insurance receivable</v>
      </c>
      <c r="C114" s="2153"/>
      <c r="D114" s="2153"/>
      <c r="E114" s="2153"/>
      <c r="F114" s="2159">
        <f>+'STER Detailed Disclosure'!F94/1000</f>
        <v>15</v>
      </c>
      <c r="G114" s="2166"/>
      <c r="H114" s="2166"/>
      <c r="I114" s="2166"/>
      <c r="J114" s="2159">
        <f>+'STER Detailed Disclosure'!J94/1000</f>
        <v>0.75</v>
      </c>
      <c r="K114" s="2166"/>
      <c r="L114" s="2166">
        <f>+'STER Detailed Disclosure'!L94/1000</f>
        <v>0</v>
      </c>
      <c r="M114" s="2166">
        <f>+'STER Detailed Disclosure'!M94/1000</f>
        <v>0</v>
      </c>
      <c r="N114" s="2159">
        <f>+'STER Detailed Disclosure'!N94/1000</f>
        <v>0</v>
      </c>
      <c r="O114" s="2166">
        <f>+'STER Detailed Disclosure'!O94/1000</f>
        <v>0</v>
      </c>
      <c r="P114" s="2166">
        <f>+'STER Detailed Disclosure'!P94/1000</f>
        <v>0</v>
      </c>
      <c r="Q114" s="2166">
        <f>+'STER Detailed Disclosure'!Q94/1000</f>
        <v>0</v>
      </c>
      <c r="R114" s="2159">
        <f>+'STER Detailed Disclosure'!R94/1000</f>
        <v>0.92100000000000004</v>
      </c>
      <c r="S114" s="2166">
        <f>+'STER Detailed Disclosure'!S94/1000</f>
        <v>0.92200000000000004</v>
      </c>
      <c r="T114" s="2166">
        <f>+'STER Detailed Disclosure'!T94/1000</f>
        <v>3.4209999999999998</v>
      </c>
      <c r="U114" s="2166">
        <f>+'STER Detailed Disclosure'!U94/1000</f>
        <v>4.6890000000000001</v>
      </c>
      <c r="V114" s="2159">
        <f>+'STER Detailed Disclosure'!V94/1000</f>
        <v>2.9369999999999998</v>
      </c>
      <c r="W114" s="2153">
        <f>+'STER Detailed Disclosure'!W94/1000</f>
        <v>2.895</v>
      </c>
      <c r="X114" s="2153">
        <f>+'STER Detailed Disclosure'!X94/1000</f>
        <v>2.895</v>
      </c>
      <c r="Y114" s="2288"/>
      <c r="Z114" s="571"/>
      <c r="AA114" s="571"/>
      <c r="AB114" s="571"/>
      <c r="AC114" s="571"/>
      <c r="AD114" s="571"/>
      <c r="AE114" s="571"/>
      <c r="AF114" s="571"/>
      <c r="AG114" s="571"/>
      <c r="AH114" s="571"/>
      <c r="AI114" s="571"/>
      <c r="AJ114" s="571"/>
      <c r="AK114" s="571"/>
      <c r="AL114" s="571"/>
      <c r="AM114" s="2153"/>
      <c r="AN114" s="2153"/>
      <c r="AO114" s="2153"/>
      <c r="AP114" s="2153"/>
      <c r="AQ114" s="2153">
        <f>+'STER Detailed Disclosure'!AQ94/1000</f>
        <v>15</v>
      </c>
      <c r="AR114" s="2153">
        <f>+'STER Detailed Disclosure'!AR94/1000</f>
        <v>0.75</v>
      </c>
      <c r="AS114" s="2153">
        <f>+'STER Detailed Disclosure'!AS94/1000</f>
        <v>0</v>
      </c>
      <c r="AT114" s="2153">
        <f>+'STER Detailed Disclosure'!AT94/1000</f>
        <v>0.92100000000000004</v>
      </c>
      <c r="AU114" s="2153">
        <f>+'STER Detailed Disclosure'!AU94/1000</f>
        <v>2.9369999999999998</v>
      </c>
    </row>
    <row r="115" spans="1:49" x14ac:dyDescent="0.25">
      <c r="A115" s="649" t="str">
        <f>+'STER Detailed Disclosure'!A95</f>
        <v>Prepaid expenses</v>
      </c>
      <c r="C115" s="2153"/>
      <c r="D115" s="2153"/>
      <c r="E115" s="2153"/>
      <c r="F115" s="2159">
        <f>+'STER Detailed Disclosure'!F95/1000</f>
        <v>5.9089999999999998</v>
      </c>
      <c r="G115" s="2166"/>
      <c r="H115" s="2166"/>
      <c r="I115" s="2166"/>
      <c r="J115" s="2159">
        <f>+'STER Detailed Disclosure'!J95/1000</f>
        <v>7.2729999999999997</v>
      </c>
      <c r="K115" s="2166"/>
      <c r="L115" s="2166">
        <f>+'STER Detailed Disclosure'!L95/1000</f>
        <v>9.6920000000000002</v>
      </c>
      <c r="M115" s="2166">
        <f>+'STER Detailed Disclosure'!M95/1000</f>
        <v>8.6579999999999995</v>
      </c>
      <c r="N115" s="2159">
        <f>+'STER Detailed Disclosure'!N95/1000</f>
        <v>12.51</v>
      </c>
      <c r="O115" s="2166">
        <f>+'STER Detailed Disclosure'!O95/1000</f>
        <v>13.366</v>
      </c>
      <c r="P115" s="2166">
        <f>+'STER Detailed Disclosure'!P95/1000</f>
        <v>13.08</v>
      </c>
      <c r="Q115" s="2166">
        <f>+'STER Detailed Disclosure'!Q95/1000</f>
        <v>8.702</v>
      </c>
      <c r="R115" s="2159">
        <f>+'STER Detailed Disclosure'!R95/1000</f>
        <v>13.433</v>
      </c>
      <c r="S115" s="2166">
        <f>+'STER Detailed Disclosure'!S95/1000</f>
        <v>11.201000000000001</v>
      </c>
      <c r="T115" s="2166">
        <f>+'STER Detailed Disclosure'!T95/1000</f>
        <v>11.795</v>
      </c>
      <c r="U115" s="2166">
        <f>+'STER Detailed Disclosure'!U95/1000</f>
        <v>8.5950000000000006</v>
      </c>
      <c r="V115" s="2159">
        <f>+'STER Detailed Disclosure'!V95/1000</f>
        <v>9.6509999999999998</v>
      </c>
      <c r="W115" s="2153">
        <f>+'STER Detailed Disclosure'!W95/1000</f>
        <v>11.382</v>
      </c>
      <c r="X115" s="2153">
        <f>+'STER Detailed Disclosure'!X95/1000</f>
        <v>8.6780000000000008</v>
      </c>
      <c r="Y115" s="2288"/>
      <c r="Z115" s="571"/>
      <c r="AA115" s="571"/>
      <c r="AB115" s="571"/>
      <c r="AC115" s="571"/>
      <c r="AD115" s="571"/>
      <c r="AE115" s="571"/>
      <c r="AF115" s="571"/>
      <c r="AG115" s="571"/>
      <c r="AH115" s="571"/>
      <c r="AI115" s="571"/>
      <c r="AJ115" s="571"/>
      <c r="AK115" s="571"/>
      <c r="AL115" s="571"/>
      <c r="AM115" s="2153"/>
      <c r="AN115" s="2153"/>
      <c r="AO115" s="2153"/>
      <c r="AP115" s="2153"/>
      <c r="AQ115" s="2153">
        <f>+'STER Detailed Disclosure'!AQ95/1000</f>
        <v>5.9089999999999998</v>
      </c>
      <c r="AR115" s="2153">
        <f>+'STER Detailed Disclosure'!AR95/1000</f>
        <v>7.2729999999999997</v>
      </c>
      <c r="AS115" s="2153">
        <f>+'STER Detailed Disclosure'!AS95/1000</f>
        <v>12.51</v>
      </c>
      <c r="AT115" s="2153">
        <f>+'STER Detailed Disclosure'!AT95/1000</f>
        <v>13.433</v>
      </c>
      <c r="AU115" s="2153">
        <f>+'STER Detailed Disclosure'!AU95/1000</f>
        <v>9.6509999999999998</v>
      </c>
    </row>
    <row r="116" spans="1:49" x14ac:dyDescent="0.25">
      <c r="A116" s="649" t="str">
        <f>+'STER Detailed Disclosure'!A96</f>
        <v>Operating leases right-of-use asset</v>
      </c>
      <c r="C116" s="2153"/>
      <c r="D116" s="2153"/>
      <c r="E116" s="2153"/>
      <c r="F116" s="2159">
        <f>+'STER Detailed Disclosure'!F96/1000</f>
        <v>0</v>
      </c>
      <c r="G116" s="2166"/>
      <c r="H116" s="2166"/>
      <c r="I116" s="2166"/>
      <c r="J116" s="2159">
        <f>+'STER Detailed Disclosure'!J96/1000</f>
        <v>0</v>
      </c>
      <c r="K116" s="2166"/>
      <c r="L116" s="2166">
        <f>+'STER Detailed Disclosure'!L96/1000</f>
        <v>0</v>
      </c>
      <c r="M116" s="2166">
        <f>+'STER Detailed Disclosure'!M96/1000</f>
        <v>0</v>
      </c>
      <c r="N116" s="2159">
        <f>+'STER Detailed Disclosure'!N96/1000</f>
        <v>0</v>
      </c>
      <c r="O116" s="2166">
        <f>+'STER Detailed Disclosure'!O96/1000</f>
        <v>3.4350000000000001</v>
      </c>
      <c r="P116" s="2166">
        <f>+'STER Detailed Disclosure'!P96/1000</f>
        <v>3.282</v>
      </c>
      <c r="Q116" s="2166">
        <f>+'STER Detailed Disclosure'!Q96/1000</f>
        <v>3.3330000000000002</v>
      </c>
      <c r="R116" s="2159">
        <f>+'STER Detailed Disclosure'!R96/1000</f>
        <v>0</v>
      </c>
      <c r="S116" s="2166">
        <f>+'STER Detailed Disclosure'!S96/1000</f>
        <v>0</v>
      </c>
      <c r="T116" s="2166">
        <f>+'STER Detailed Disclosure'!T96/1000</f>
        <v>0</v>
      </c>
      <c r="U116" s="2166">
        <f>+'STER Detailed Disclosure'!U96/1000</f>
        <v>0</v>
      </c>
      <c r="V116" s="2159">
        <f>+'STER Detailed Disclosure'!V96/1000</f>
        <v>0</v>
      </c>
      <c r="W116" s="2153">
        <f>+'STER Detailed Disclosure'!W96/1000</f>
        <v>0</v>
      </c>
      <c r="X116" s="2153">
        <f>+'STER Detailed Disclosure'!X96/1000</f>
        <v>0</v>
      </c>
      <c r="Y116" s="2288"/>
      <c r="Z116" s="571"/>
      <c r="AA116" s="571"/>
      <c r="AB116" s="571"/>
      <c r="AC116" s="571"/>
      <c r="AD116" s="571"/>
      <c r="AE116" s="571"/>
      <c r="AF116" s="571"/>
      <c r="AG116" s="571"/>
      <c r="AH116" s="571"/>
      <c r="AI116" s="571"/>
      <c r="AJ116" s="571"/>
      <c r="AK116" s="571"/>
      <c r="AL116" s="571"/>
      <c r="AM116" s="2153"/>
      <c r="AN116" s="2153"/>
      <c r="AO116" s="2153"/>
      <c r="AP116" s="2153"/>
      <c r="AQ116" s="2153">
        <f>+'STER Detailed Disclosure'!AQ96/1000</f>
        <v>0</v>
      </c>
      <c r="AR116" s="2153">
        <f>+'STER Detailed Disclosure'!AR96/1000</f>
        <v>0</v>
      </c>
      <c r="AS116" s="2153">
        <f>+'STER Detailed Disclosure'!AS96/1000</f>
        <v>0</v>
      </c>
      <c r="AT116" s="2153">
        <f>+'STER Detailed Disclosure'!AT96/1000</f>
        <v>0</v>
      </c>
      <c r="AU116" s="2153">
        <f>+'STER Detailed Disclosure'!AU96/1000</f>
        <v>0</v>
      </c>
    </row>
    <row r="117" spans="1:49" s="413" customFormat="1" ht="14" x14ac:dyDescent="0.4">
      <c r="A117" s="132" t="str">
        <f>+'STER Detailed Disclosure'!A97</f>
        <v>Other current assets</v>
      </c>
      <c r="C117" s="719"/>
      <c r="D117" s="719"/>
      <c r="E117" s="719"/>
      <c r="F117" s="718">
        <f>+'STER Detailed Disclosure'!F97/1000</f>
        <v>11.366</v>
      </c>
      <c r="G117" s="719"/>
      <c r="H117" s="719"/>
      <c r="I117" s="719"/>
      <c r="J117" s="718">
        <f>+'STER Detailed Disclosure'!J97/1000</f>
        <v>7.8449999999999998</v>
      </c>
      <c r="K117" s="719"/>
      <c r="L117" s="719">
        <f>+'STER Detailed Disclosure'!L97/1000</f>
        <v>9.4510000000000005</v>
      </c>
      <c r="M117" s="719">
        <f>+'STER Detailed Disclosure'!M97/1000</f>
        <v>6.7009999999999996</v>
      </c>
      <c r="N117" s="718">
        <f>+'STER Detailed Disclosure'!N97/1000</f>
        <v>11.563000000000001</v>
      </c>
      <c r="O117" s="719">
        <f>+'STER Detailed Disclosure'!O97/1000</f>
        <v>12.654</v>
      </c>
      <c r="P117" s="719">
        <f>+'STER Detailed Disclosure'!P97/1000</f>
        <v>12.173</v>
      </c>
      <c r="Q117" s="719">
        <f>+'STER Detailed Disclosure'!Q97/1000</f>
        <v>11.234999999999999</v>
      </c>
      <c r="R117" s="718">
        <f>+'STER Detailed Disclosure'!R97/1000</f>
        <v>13.654</v>
      </c>
      <c r="S117" s="719">
        <f>+'STER Detailed Disclosure'!S97/1000</f>
        <v>16.562999999999999</v>
      </c>
      <c r="T117" s="719">
        <f>+'STER Detailed Disclosure'!T97/1000</f>
        <v>24.847000000000001</v>
      </c>
      <c r="U117" s="719">
        <f>+'STER Detailed Disclosure'!U97/1000</f>
        <v>23.77</v>
      </c>
      <c r="V117" s="718">
        <f>+'STER Detailed Disclosure'!V97/1000</f>
        <v>15.8</v>
      </c>
      <c r="W117" s="719">
        <f>+'STER Detailed Disclosure'!W97/1000</f>
        <v>17.276</v>
      </c>
      <c r="X117" s="719">
        <f>+'STER Detailed Disclosure'!X97/1000</f>
        <v>21.472000000000001</v>
      </c>
      <c r="Y117" s="2284"/>
      <c r="Z117" s="719"/>
      <c r="AA117" s="719"/>
      <c r="AB117" s="719"/>
      <c r="AC117" s="719"/>
      <c r="AD117" s="719"/>
      <c r="AE117" s="719"/>
      <c r="AF117" s="719"/>
      <c r="AG117" s="719"/>
      <c r="AH117" s="719"/>
      <c r="AI117" s="719"/>
      <c r="AJ117" s="719"/>
      <c r="AK117" s="719"/>
      <c r="AL117" s="719"/>
      <c r="AM117" s="719"/>
      <c r="AN117" s="719"/>
      <c r="AO117" s="719"/>
      <c r="AP117" s="719"/>
      <c r="AQ117" s="719">
        <f>+'STER Detailed Disclosure'!AQ97/1000</f>
        <v>11.366</v>
      </c>
      <c r="AR117" s="719">
        <f>+'STER Detailed Disclosure'!AR97/1000</f>
        <v>7.8449999999999998</v>
      </c>
      <c r="AS117" s="719">
        <f>+'STER Detailed Disclosure'!AS97/1000</f>
        <v>11.563000000000001</v>
      </c>
      <c r="AT117" s="719">
        <f>+'STER Detailed Disclosure'!AT97/1000</f>
        <v>13.654</v>
      </c>
      <c r="AU117" s="719">
        <f>+'STER Detailed Disclosure'!AU97/1000</f>
        <v>15.8</v>
      </c>
      <c r="AV117" s="719"/>
      <c r="AW117" s="614"/>
    </row>
    <row r="118" spans="1:49" x14ac:dyDescent="0.25">
      <c r="A118" s="425" t="str">
        <f>+'STER Detailed Disclosure'!A98</f>
        <v>Total current assets</v>
      </c>
      <c r="C118" s="583"/>
      <c r="D118" s="583"/>
      <c r="E118" s="583"/>
      <c r="F118" s="588">
        <f>+'STER Detailed Disclosure'!F98/1000</f>
        <v>163.12700000000001</v>
      </c>
      <c r="G118" s="583"/>
      <c r="H118" s="583"/>
      <c r="I118" s="583"/>
      <c r="J118" s="588">
        <f>+'STER Detailed Disclosure'!J98/1000</f>
        <v>162.88200000000001</v>
      </c>
      <c r="K118" s="583"/>
      <c r="L118" s="583">
        <f>+'STER Detailed Disclosure'!L98/1000</f>
        <v>218.27199999999999</v>
      </c>
      <c r="M118" s="583">
        <f>+'STER Detailed Disclosure'!M98/1000</f>
        <v>327.56799999999998</v>
      </c>
      <c r="N118" s="588">
        <f>+'STER Detailed Disclosure'!N98/1000</f>
        <v>199.99799999999999</v>
      </c>
      <c r="O118" s="583">
        <f>+'STER Detailed Disclosure'!O98/1000</f>
        <v>221.751</v>
      </c>
      <c r="P118" s="583">
        <f>+'STER Detailed Disclosure'!P98/1000</f>
        <v>258.52499999999998</v>
      </c>
      <c r="Q118" s="583">
        <f>+'STER Detailed Disclosure'!Q98/1000</f>
        <v>282.01</v>
      </c>
      <c r="R118" s="588">
        <f>+'STER Detailed Disclosure'!R98/1000</f>
        <v>270.68200000000002</v>
      </c>
      <c r="S118" s="583">
        <f>+'STER Detailed Disclosure'!S98/1000</f>
        <v>226.773</v>
      </c>
      <c r="T118" s="583">
        <f>+'STER Detailed Disclosure'!T98/1000</f>
        <v>240.154</v>
      </c>
      <c r="U118" s="583">
        <f>+'STER Detailed Disclosure'!U98/1000</f>
        <v>238.86600000000001</v>
      </c>
      <c r="V118" s="588">
        <f>+'STER Detailed Disclosure'!V98/1000</f>
        <v>224.791</v>
      </c>
      <c r="W118" s="583">
        <f>+'STER Detailed Disclosure'!W98/1000</f>
        <v>255.92400000000001</v>
      </c>
      <c r="X118" s="583">
        <f>+'STER Detailed Disclosure'!X98/1000</f>
        <v>279.27699999999999</v>
      </c>
      <c r="Y118" s="2286"/>
      <c r="Z118" s="583"/>
      <c r="AA118" s="583"/>
      <c r="AB118" s="583"/>
      <c r="AC118" s="583"/>
      <c r="AD118" s="583"/>
      <c r="AE118" s="583"/>
      <c r="AF118" s="583"/>
      <c r="AG118" s="583"/>
      <c r="AH118" s="583"/>
      <c r="AI118" s="583"/>
      <c r="AJ118" s="583"/>
      <c r="AK118" s="583"/>
      <c r="AL118" s="583"/>
      <c r="AM118" s="583"/>
      <c r="AN118" s="583"/>
      <c r="AO118" s="583"/>
      <c r="AP118" s="583"/>
      <c r="AQ118" s="583">
        <f>+'STER Detailed Disclosure'!AQ98/1000</f>
        <v>163.12700000000001</v>
      </c>
      <c r="AR118" s="583">
        <f>+'STER Detailed Disclosure'!AR98/1000</f>
        <v>162.88200000000001</v>
      </c>
      <c r="AS118" s="583">
        <f>+'STER Detailed Disclosure'!AS98/1000</f>
        <v>199.99799999999999</v>
      </c>
      <c r="AT118" s="583">
        <f>+'STER Detailed Disclosure'!AT98/1000</f>
        <v>270.68200000000002</v>
      </c>
      <c r="AU118" s="583">
        <f>+'STER Detailed Disclosure'!AU98/1000</f>
        <v>224.791</v>
      </c>
      <c r="AV118" s="583"/>
      <c r="AW118" s="571"/>
    </row>
    <row r="119" spans="1:49" x14ac:dyDescent="0.25">
      <c r="A119" s="649" t="str">
        <f>+'STER Detailed Disclosure'!A99</f>
        <v>Property and equipment, net</v>
      </c>
      <c r="C119" s="2153"/>
      <c r="D119" s="2153"/>
      <c r="E119" s="2153"/>
      <c r="F119" s="2159">
        <f>+'STER Detailed Disclosure'!F99/1000</f>
        <v>20.280999999999999</v>
      </c>
      <c r="G119" s="2166"/>
      <c r="H119" s="2166"/>
      <c r="I119" s="2166"/>
      <c r="J119" s="2159">
        <f>+'STER Detailed Disclosure'!J99/1000</f>
        <v>14.13</v>
      </c>
      <c r="K119" s="2166"/>
      <c r="L119" s="2166">
        <f>+'STER Detailed Disclosure'!L99/1000</f>
        <v>10.221</v>
      </c>
      <c r="M119" s="2166">
        <f>+'STER Detailed Disclosure'!M99/1000</f>
        <v>10.414</v>
      </c>
      <c r="N119" s="2159">
        <f>+'STER Detailed Disclosure'!N99/1000</f>
        <v>11.124000000000001</v>
      </c>
      <c r="O119" s="2166">
        <f>+'STER Detailed Disclosure'!O99/1000</f>
        <v>11.552</v>
      </c>
      <c r="P119" s="2166">
        <f>+'STER Detailed Disclosure'!P99/1000</f>
        <v>11.647</v>
      </c>
      <c r="Q119" s="2166">
        <f>+'STER Detailed Disclosure'!Q99/1000</f>
        <v>10.973000000000001</v>
      </c>
      <c r="R119" s="2159">
        <f>+'STER Detailed Disclosure'!R99/1000</f>
        <v>10.340999999999999</v>
      </c>
      <c r="S119" s="2166">
        <f>+'STER Detailed Disclosure'!S99/1000</f>
        <v>9.6</v>
      </c>
      <c r="T119" s="2166">
        <f>+'STER Detailed Disclosure'!T99/1000</f>
        <v>7.3540000000000001</v>
      </c>
      <c r="U119" s="2166">
        <f>+'STER Detailed Disclosure'!U99/1000</f>
        <v>7.33</v>
      </c>
      <c r="V119" s="2159">
        <f>+'STER Detailed Disclosure'!V99/1000</f>
        <v>7.6950000000000003</v>
      </c>
      <c r="W119" s="2153">
        <f>+'STER Detailed Disclosure'!W99/1000</f>
        <v>7.3289999999999997</v>
      </c>
      <c r="X119" s="2153">
        <f>+'STER Detailed Disclosure'!X99/1000</f>
        <v>6.7720000000000002</v>
      </c>
      <c r="Y119" s="2288"/>
      <c r="Z119" s="571"/>
      <c r="AA119" s="571"/>
      <c r="AB119" s="571"/>
      <c r="AC119" s="571"/>
      <c r="AD119" s="571"/>
      <c r="AE119" s="571"/>
      <c r="AF119" s="571"/>
      <c r="AG119" s="571"/>
      <c r="AH119" s="571"/>
      <c r="AI119" s="571"/>
      <c r="AJ119" s="571"/>
      <c r="AK119" s="571"/>
      <c r="AL119" s="571"/>
      <c r="AM119" s="2153"/>
      <c r="AN119" s="2153"/>
      <c r="AO119" s="2153"/>
      <c r="AP119" s="2153"/>
      <c r="AQ119" s="2153">
        <f>+'STER Detailed Disclosure'!AQ99/1000</f>
        <v>20.280999999999999</v>
      </c>
      <c r="AR119" s="2153">
        <f>+'STER Detailed Disclosure'!AR99/1000</f>
        <v>14.13</v>
      </c>
      <c r="AS119" s="2153">
        <f>+'STER Detailed Disclosure'!AS99/1000</f>
        <v>11.124000000000001</v>
      </c>
      <c r="AT119" s="2153">
        <f>+'STER Detailed Disclosure'!AT99/1000</f>
        <v>10.340999999999999</v>
      </c>
      <c r="AU119" s="2153">
        <f>+'STER Detailed Disclosure'!AU99/1000</f>
        <v>7.6950000000000003</v>
      </c>
    </row>
    <row r="120" spans="1:49" x14ac:dyDescent="0.25">
      <c r="A120" s="649" t="str">
        <f>+'STER Detailed Disclosure'!A100</f>
        <v>Goodwill</v>
      </c>
      <c r="C120" s="2153"/>
      <c r="D120" s="2153"/>
      <c r="E120" s="2153"/>
      <c r="F120" s="2159">
        <f>+'STER Detailed Disclosure'!F100/1000</f>
        <v>830.25199999999995</v>
      </c>
      <c r="G120" s="2166"/>
      <c r="H120" s="2166"/>
      <c r="I120" s="2166"/>
      <c r="J120" s="2159">
        <f>+'STER Detailed Disclosure'!J100/1000</f>
        <v>831.8</v>
      </c>
      <c r="K120" s="2166"/>
      <c r="L120" s="2166">
        <f>+'STER Detailed Disclosure'!L100/1000</f>
        <v>831.34400000000005</v>
      </c>
      <c r="M120" s="2166">
        <f>+'STER Detailed Disclosure'!M100/1000</f>
        <v>830.67899999999997</v>
      </c>
      <c r="N120" s="2159">
        <f>+'STER Detailed Disclosure'!N100/1000</f>
        <v>852.53599999999994</v>
      </c>
      <c r="O120" s="2166">
        <f>+'STER Detailed Disclosure'!O100/1000</f>
        <v>851.64599999999996</v>
      </c>
      <c r="P120" s="2166">
        <f>+'STER Detailed Disclosure'!P100/1000</f>
        <v>850.30899999999997</v>
      </c>
      <c r="Q120" s="2166">
        <f>+'STER Detailed Disclosure'!Q100/1000</f>
        <v>849.423</v>
      </c>
      <c r="R120" s="2159">
        <f>+'STER Detailed Disclosure'!R100/1000</f>
        <v>849.60900000000004</v>
      </c>
      <c r="S120" s="2166">
        <f>+'STER Detailed Disclosure'!S100/1000</f>
        <v>877.21199999999999</v>
      </c>
      <c r="T120" s="2166">
        <f>+'STER Detailed Disclosure'!T100/1000</f>
        <v>878.69600000000003</v>
      </c>
      <c r="U120" s="2166">
        <f>+'STER Detailed Disclosure'!U100/1000</f>
        <v>878.39</v>
      </c>
      <c r="V120" s="2159">
        <f>+'STER Detailed Disclosure'!V100/1000</f>
        <v>879.40800000000002</v>
      </c>
      <c r="W120" s="2153">
        <f>+'STER Detailed Disclosure'!W100/1000</f>
        <v>902.86199999999997</v>
      </c>
      <c r="X120" s="2153">
        <f>+'STER Detailed Disclosure'!X100/1000</f>
        <v>902.56399999999996</v>
      </c>
      <c r="Y120" s="2288"/>
      <c r="Z120" s="571"/>
      <c r="AA120" s="571"/>
      <c r="AB120" s="571"/>
      <c r="AC120" s="571"/>
      <c r="AD120" s="571"/>
      <c r="AE120" s="571"/>
      <c r="AF120" s="571"/>
      <c r="AG120" s="571"/>
      <c r="AH120" s="571"/>
      <c r="AI120" s="571"/>
      <c r="AJ120" s="571"/>
      <c r="AK120" s="571"/>
      <c r="AL120" s="571"/>
      <c r="AM120" s="2153"/>
      <c r="AN120" s="2153"/>
      <c r="AO120" s="2153"/>
      <c r="AP120" s="2153"/>
      <c r="AQ120" s="2153">
        <f>+'STER Detailed Disclosure'!AQ100/1000</f>
        <v>830.25199999999995</v>
      </c>
      <c r="AR120" s="2153">
        <f>+'STER Detailed Disclosure'!AR100/1000</f>
        <v>831.8</v>
      </c>
      <c r="AS120" s="2153">
        <f>+'STER Detailed Disclosure'!AS100/1000</f>
        <v>852.53599999999994</v>
      </c>
      <c r="AT120" s="2153">
        <f>+'STER Detailed Disclosure'!AT100/1000</f>
        <v>849.60900000000004</v>
      </c>
      <c r="AU120" s="2153">
        <f>+'STER Detailed Disclosure'!AU100/1000</f>
        <v>879.40800000000002</v>
      </c>
    </row>
    <row r="121" spans="1:49" x14ac:dyDescent="0.25">
      <c r="A121" s="649" t="str">
        <f>+'STER Detailed Disclosure'!A101</f>
        <v>Intangible assets, net</v>
      </c>
      <c r="C121" s="2153"/>
      <c r="D121" s="2153"/>
      <c r="E121" s="2153"/>
      <c r="F121" s="2159">
        <f>+'STER Detailed Disclosure'!F101/1000</f>
        <v>370.16399999999999</v>
      </c>
      <c r="G121" s="2166"/>
      <c r="H121" s="2166"/>
      <c r="I121" s="2166"/>
      <c r="J121" s="2159">
        <f>+'STER Detailed Disclosure'!J101/1000</f>
        <v>300.54399999999998</v>
      </c>
      <c r="K121" s="2166"/>
      <c r="L121" s="2166">
        <f>+'STER Detailed Disclosure'!L101/1000</f>
        <v>269.80099999999999</v>
      </c>
      <c r="M121" s="2166">
        <f>+'STER Detailed Disclosure'!M101/1000</f>
        <v>254.101</v>
      </c>
      <c r="N121" s="2159">
        <f>+'STER Detailed Disclosure'!N101/1000</f>
        <v>297.14600000000002</v>
      </c>
      <c r="O121" s="2166">
        <f>+'STER Detailed Disclosure'!O101/1000</f>
        <v>282.053</v>
      </c>
      <c r="P121" s="2166">
        <f>+'STER Detailed Disclosure'!P101/1000</f>
        <v>266.49700000000001</v>
      </c>
      <c r="Q121" s="2166">
        <f>+'STER Detailed Disclosure'!Q101/1000</f>
        <v>254.61</v>
      </c>
      <c r="R121" s="2159">
        <f>+'STER Detailed Disclosure'!R101/1000</f>
        <v>241.036</v>
      </c>
      <c r="S121" s="2166">
        <f>+'STER Detailed Disclosure'!S101/1000</f>
        <v>263.10899999999998</v>
      </c>
      <c r="T121" s="2166">
        <f>+'STER Detailed Disclosure'!T101/1000</f>
        <v>251.03100000000001</v>
      </c>
      <c r="U121" s="2166">
        <f>+'STER Detailed Disclosure'!U101/1000</f>
        <v>240.482</v>
      </c>
      <c r="V121" s="2159">
        <f>+'STER Detailed Disclosure'!V101/1000</f>
        <v>230.21199999999999</v>
      </c>
      <c r="W121" s="2153">
        <f>+'STER Detailed Disclosure'!W101/1000</f>
        <v>264.55799999999999</v>
      </c>
      <c r="X121" s="2153">
        <f>+'STER Detailed Disclosure'!X101/1000</f>
        <v>255.04900000000001</v>
      </c>
      <c r="Y121" s="2288"/>
      <c r="Z121" s="571"/>
      <c r="AA121" s="571"/>
      <c r="AB121" s="571"/>
      <c r="AC121" s="571"/>
      <c r="AD121" s="571"/>
      <c r="AE121" s="571"/>
      <c r="AF121" s="571"/>
      <c r="AG121" s="571"/>
      <c r="AH121" s="571"/>
      <c r="AI121" s="571"/>
      <c r="AJ121" s="571"/>
      <c r="AK121" s="571"/>
      <c r="AL121" s="571"/>
      <c r="AM121" s="2153"/>
      <c r="AN121" s="2153"/>
      <c r="AO121" s="2153"/>
      <c r="AP121" s="2153"/>
      <c r="AQ121" s="2153">
        <f>+'STER Detailed Disclosure'!AQ101/1000</f>
        <v>370.16399999999999</v>
      </c>
      <c r="AR121" s="2153">
        <f>+'STER Detailed Disclosure'!AR101/1000</f>
        <v>300.54399999999998</v>
      </c>
      <c r="AS121" s="2153">
        <f>+'STER Detailed Disclosure'!AS101/1000</f>
        <v>297.14600000000002</v>
      </c>
      <c r="AT121" s="2153">
        <f>+'STER Detailed Disclosure'!AT101/1000</f>
        <v>241.036</v>
      </c>
      <c r="AU121" s="2153">
        <f>+'STER Detailed Disclosure'!AU101/1000</f>
        <v>230.21199999999999</v>
      </c>
    </row>
    <row r="122" spans="1:49" x14ac:dyDescent="0.25">
      <c r="A122" s="649" t="str">
        <f>+'STER Detailed Disclosure'!A102</f>
        <v>Deferred tax assets</v>
      </c>
      <c r="C122" s="2153"/>
      <c r="D122" s="2153"/>
      <c r="E122" s="2153"/>
      <c r="F122" s="2159">
        <f>+'STER Detailed Disclosure'!F102/1000</f>
        <v>0</v>
      </c>
      <c r="G122" s="2166"/>
      <c r="H122" s="2166"/>
      <c r="I122" s="2166"/>
      <c r="J122" s="2159">
        <f>+'STER Detailed Disclosure'!J102/1000</f>
        <v>0</v>
      </c>
      <c r="K122" s="2166"/>
      <c r="L122" s="2166">
        <f>+'STER Detailed Disclosure'!L102/1000</f>
        <v>0</v>
      </c>
      <c r="M122" s="2166">
        <f>+'STER Detailed Disclosure'!M102/1000</f>
        <v>0</v>
      </c>
      <c r="N122" s="2159">
        <f>+'STER Detailed Disclosure'!N102/1000</f>
        <v>4.7699999999999996</v>
      </c>
      <c r="O122" s="2166">
        <f>+'STER Detailed Disclosure'!O102/1000</f>
        <v>4.8630000000000004</v>
      </c>
      <c r="P122" s="2166">
        <f>+'STER Detailed Disclosure'!P102/1000</f>
        <v>4.4950000000000001</v>
      </c>
      <c r="Q122" s="2166">
        <f>+'STER Detailed Disclosure'!Q102/1000</f>
        <v>4.117</v>
      </c>
      <c r="R122" s="2159">
        <f>+'STER Detailed Disclosure'!R102/1000</f>
        <v>4.452</v>
      </c>
      <c r="S122" s="2166">
        <f>+'STER Detailed Disclosure'!S102/1000</f>
        <v>4.5179999999999998</v>
      </c>
      <c r="T122" s="2166">
        <f>+'STER Detailed Disclosure'!T102/1000</f>
        <v>4.6420000000000003</v>
      </c>
      <c r="U122" s="2166">
        <f>+'STER Detailed Disclosure'!U102/1000</f>
        <v>4.3280000000000003</v>
      </c>
      <c r="V122" s="2159">
        <f>+'STER Detailed Disclosure'!V102/1000</f>
        <v>4.8179999999999996</v>
      </c>
      <c r="W122" s="2153">
        <f>+'STER Detailed Disclosure'!W102/1000</f>
        <v>4.7480000000000002</v>
      </c>
      <c r="X122" s="2153">
        <f>+'STER Detailed Disclosure'!X102/1000</f>
        <v>4.9429999999999996</v>
      </c>
      <c r="Y122" s="2288"/>
      <c r="Z122" s="571"/>
      <c r="AA122" s="571"/>
      <c r="AB122" s="571"/>
      <c r="AC122" s="571"/>
      <c r="AD122" s="571"/>
      <c r="AE122" s="571"/>
      <c r="AF122" s="571"/>
      <c r="AG122" s="571"/>
      <c r="AH122" s="571"/>
      <c r="AI122" s="571"/>
      <c r="AJ122" s="571"/>
      <c r="AK122" s="571"/>
      <c r="AL122" s="571"/>
      <c r="AM122" s="2153"/>
      <c r="AN122" s="2153"/>
      <c r="AO122" s="2153"/>
      <c r="AP122" s="2153"/>
      <c r="AQ122" s="2153">
        <f>+'STER Detailed Disclosure'!AQ102/1000</f>
        <v>0</v>
      </c>
      <c r="AR122" s="2153">
        <f>+'STER Detailed Disclosure'!AR102/1000</f>
        <v>0</v>
      </c>
      <c r="AS122" s="2153">
        <f>+'STER Detailed Disclosure'!AS102/1000</f>
        <v>4.7699999999999996</v>
      </c>
      <c r="AT122" s="2153">
        <f>+'STER Detailed Disclosure'!AT102/1000</f>
        <v>4.452</v>
      </c>
      <c r="AU122" s="2153">
        <f>+'STER Detailed Disclosure'!AU102/1000</f>
        <v>4.8179999999999996</v>
      </c>
    </row>
    <row r="123" spans="1:49" x14ac:dyDescent="0.25">
      <c r="A123" s="649" t="str">
        <f>+'STER Detailed Disclosure'!A103</f>
        <v>Operating leases right-of-use asset</v>
      </c>
      <c r="C123" s="2153"/>
      <c r="D123" s="2153"/>
      <c r="E123" s="2153"/>
      <c r="F123" s="2159">
        <f>+'STER Detailed Disclosure'!F103/1000</f>
        <v>0</v>
      </c>
      <c r="G123" s="2166"/>
      <c r="H123" s="2166"/>
      <c r="I123" s="2166"/>
      <c r="J123" s="2159">
        <f>+'STER Detailed Disclosure'!J103/1000</f>
        <v>0</v>
      </c>
      <c r="K123" s="2166"/>
      <c r="L123" s="2166">
        <f>+'STER Detailed Disclosure'!L103/1000</f>
        <v>0</v>
      </c>
      <c r="M123" s="2166">
        <f>+'STER Detailed Disclosure'!M103/1000</f>
        <v>0</v>
      </c>
      <c r="N123" s="2159">
        <f>+'STER Detailed Disclosure'!N103/1000</f>
        <v>0</v>
      </c>
      <c r="O123" s="2166">
        <f>+'STER Detailed Disclosure'!O103/1000</f>
        <v>16.536000000000001</v>
      </c>
      <c r="P123" s="2166">
        <f>+'STER Detailed Disclosure'!P103/1000</f>
        <v>15.736000000000001</v>
      </c>
      <c r="Q123" s="2166">
        <f>+'STER Detailed Disclosure'!Q103/1000</f>
        <v>15.679</v>
      </c>
      <c r="R123" s="2159">
        <f>+'STER Detailed Disclosure'!R103/1000</f>
        <v>20.084</v>
      </c>
      <c r="S123" s="2166">
        <f>+'STER Detailed Disclosure'!S103/1000</f>
        <v>19.652000000000001</v>
      </c>
      <c r="T123" s="2166">
        <f>+'STER Detailed Disclosure'!T103/1000</f>
        <v>7.5140000000000002</v>
      </c>
      <c r="U123" s="2166">
        <f>+'STER Detailed Disclosure'!U103/1000</f>
        <v>7.02</v>
      </c>
      <c r="V123" s="2159">
        <f>+'STER Detailed Disclosure'!V103/1000</f>
        <v>6.452</v>
      </c>
      <c r="W123" s="2153">
        <f>+'STER Detailed Disclosure'!W103/1000</f>
        <v>5.8719999999999999</v>
      </c>
      <c r="X123" s="2153">
        <f>+'STER Detailed Disclosure'!X103/1000</f>
        <v>5.3860000000000001</v>
      </c>
      <c r="Y123" s="2288"/>
      <c r="Z123" s="571"/>
      <c r="AA123" s="571"/>
      <c r="AB123" s="571"/>
      <c r="AC123" s="571"/>
      <c r="AD123" s="571"/>
      <c r="AE123" s="571"/>
      <c r="AF123" s="571"/>
      <c r="AG123" s="571"/>
      <c r="AH123" s="571"/>
      <c r="AI123" s="571"/>
      <c r="AJ123" s="571"/>
      <c r="AK123" s="571"/>
      <c r="AL123" s="571"/>
      <c r="AM123" s="2153"/>
      <c r="AN123" s="2153"/>
      <c r="AO123" s="2153"/>
      <c r="AP123" s="2153"/>
      <c r="AQ123" s="2153">
        <f>+'STER Detailed Disclosure'!AQ103/1000</f>
        <v>0</v>
      </c>
      <c r="AR123" s="2153">
        <f>+'STER Detailed Disclosure'!AR103/1000</f>
        <v>0</v>
      </c>
      <c r="AS123" s="2153">
        <f>+'STER Detailed Disclosure'!AS103/1000</f>
        <v>0</v>
      </c>
      <c r="AT123" s="2153">
        <f>+'STER Detailed Disclosure'!AT103/1000</f>
        <v>20.084</v>
      </c>
      <c r="AU123" s="2153">
        <f>+'STER Detailed Disclosure'!AU103/1000</f>
        <v>6.452</v>
      </c>
    </row>
    <row r="124" spans="1:49" s="413" customFormat="1" ht="14" x14ac:dyDescent="0.4">
      <c r="A124" s="132" t="str">
        <f>+'STER Detailed Disclosure'!A104</f>
        <v>Other noncurrent assets, net</v>
      </c>
      <c r="C124" s="719"/>
      <c r="D124" s="719"/>
      <c r="E124" s="719"/>
      <c r="F124" s="718">
        <f>+'STER Detailed Disclosure'!F104/1000</f>
        <v>6.9249999999999998</v>
      </c>
      <c r="G124" s="719"/>
      <c r="H124" s="719"/>
      <c r="I124" s="719"/>
      <c r="J124" s="718">
        <f>+'STER Detailed Disclosure'!J104/1000</f>
        <v>6.7619999999999996</v>
      </c>
      <c r="K124" s="719"/>
      <c r="L124" s="719">
        <f>+'STER Detailed Disclosure'!L104/1000</f>
        <v>6.734</v>
      </c>
      <c r="M124" s="719">
        <f>+'STER Detailed Disclosure'!M104/1000</f>
        <v>7.032</v>
      </c>
      <c r="N124" s="718">
        <f>+'STER Detailed Disclosure'!N104/1000</f>
        <v>6.6849999999999996</v>
      </c>
      <c r="O124" s="719">
        <f>+'STER Detailed Disclosure'!O104/1000</f>
        <v>6.85</v>
      </c>
      <c r="P124" s="719">
        <f>+'STER Detailed Disclosure'!P104/1000</f>
        <v>8.4320000000000004</v>
      </c>
      <c r="Q124" s="719">
        <f>+'STER Detailed Disclosure'!Q104/1000</f>
        <v>8.1150000000000002</v>
      </c>
      <c r="R124" s="718">
        <f>+'STER Detailed Disclosure'!R104/1000</f>
        <v>11.05</v>
      </c>
      <c r="S124" s="719">
        <f>+'STER Detailed Disclosure'!S104/1000</f>
        <v>11.518000000000001</v>
      </c>
      <c r="T124" s="719">
        <f>+'STER Detailed Disclosure'!T104/1000</f>
        <v>11.212</v>
      </c>
      <c r="U124" s="719">
        <f>+'STER Detailed Disclosure'!U104/1000</f>
        <v>10.499000000000001</v>
      </c>
      <c r="V124" s="718">
        <f>+'STER Detailed Disclosure'!V104/1000</f>
        <v>10.067</v>
      </c>
      <c r="W124" s="719">
        <f>+'STER Detailed Disclosure'!W104/1000</f>
        <v>9.7330000000000005</v>
      </c>
      <c r="X124" s="719">
        <f>+'STER Detailed Disclosure'!X104/1000</f>
        <v>9.2479999999999993</v>
      </c>
      <c r="Y124" s="2284"/>
      <c r="Z124" s="719"/>
      <c r="AA124" s="719"/>
      <c r="AB124" s="719"/>
      <c r="AC124" s="719"/>
      <c r="AD124" s="719"/>
      <c r="AE124" s="719"/>
      <c r="AF124" s="719"/>
      <c r="AG124" s="719"/>
      <c r="AH124" s="719"/>
      <c r="AI124" s="719"/>
      <c r="AJ124" s="719"/>
      <c r="AK124" s="719"/>
      <c r="AL124" s="719"/>
      <c r="AM124" s="719"/>
      <c r="AN124" s="719"/>
      <c r="AO124" s="719"/>
      <c r="AP124" s="719"/>
      <c r="AQ124" s="719">
        <f>+'STER Detailed Disclosure'!AQ104/1000</f>
        <v>6.9249999999999998</v>
      </c>
      <c r="AR124" s="719">
        <f>+'STER Detailed Disclosure'!AR104/1000</f>
        <v>6.7619999999999996</v>
      </c>
      <c r="AS124" s="719">
        <f>+'STER Detailed Disclosure'!AS104/1000</f>
        <v>6.6849999999999996</v>
      </c>
      <c r="AT124" s="719">
        <f>+'STER Detailed Disclosure'!AT104/1000</f>
        <v>11.05</v>
      </c>
      <c r="AU124" s="719">
        <f>+'STER Detailed Disclosure'!AU104/1000</f>
        <v>10.067</v>
      </c>
      <c r="AV124" s="719"/>
      <c r="AW124" s="614"/>
    </row>
    <row r="125" spans="1:49" s="163" customFormat="1" ht="13" x14ac:dyDescent="0.3">
      <c r="A125" s="426" t="str">
        <f>+'STER Detailed Disclosure'!A105</f>
        <v>TOTAL ASSETS</v>
      </c>
      <c r="C125" s="594"/>
      <c r="D125" s="594"/>
      <c r="E125" s="594"/>
      <c r="F125" s="593">
        <f>+'STER Detailed Disclosure'!F105/1000</f>
        <v>1390.749</v>
      </c>
      <c r="G125" s="594"/>
      <c r="H125" s="594"/>
      <c r="I125" s="594"/>
      <c r="J125" s="593">
        <f>+'STER Detailed Disclosure'!J105/1000</f>
        <v>1316.1179999999999</v>
      </c>
      <c r="K125" s="594"/>
      <c r="L125" s="594">
        <f>+'STER Detailed Disclosure'!L105/1000</f>
        <v>1336.3720000000001</v>
      </c>
      <c r="M125" s="594">
        <f>+'STER Detailed Disclosure'!M105/1000</f>
        <v>1429.7940000000001</v>
      </c>
      <c r="N125" s="593">
        <f>+'STER Detailed Disclosure'!N105/1000</f>
        <v>1372.259</v>
      </c>
      <c r="O125" s="594">
        <f>+'STER Detailed Disclosure'!O105/1000</f>
        <v>1395.251</v>
      </c>
      <c r="P125" s="594">
        <f>+'STER Detailed Disclosure'!P105/1000</f>
        <v>1415.6410000000001</v>
      </c>
      <c r="Q125" s="594">
        <f>+'STER Detailed Disclosure'!Q105/1000</f>
        <v>1424.9269999999999</v>
      </c>
      <c r="R125" s="593">
        <f>+'STER Detailed Disclosure'!R105/1000</f>
        <v>1407.2539999999999</v>
      </c>
      <c r="S125" s="594">
        <f>+'STER Detailed Disclosure'!S105/1000</f>
        <v>1412.3820000000001</v>
      </c>
      <c r="T125" s="594">
        <f>+'STER Detailed Disclosure'!T105/1000</f>
        <v>1400.6030000000001</v>
      </c>
      <c r="U125" s="594">
        <f>+'STER Detailed Disclosure'!U105/1000</f>
        <v>1386.915</v>
      </c>
      <c r="V125" s="593">
        <f>+'STER Detailed Disclosure'!V105/1000</f>
        <v>1363.443</v>
      </c>
      <c r="W125" s="594">
        <f>+'STER Detailed Disclosure'!W105/1000</f>
        <v>1451.0260000000001</v>
      </c>
      <c r="X125" s="594">
        <f>+'STER Detailed Disclosure'!X105/1000</f>
        <v>1463.239</v>
      </c>
      <c r="Y125" s="2289"/>
      <c r="Z125" s="594"/>
      <c r="AA125" s="594"/>
      <c r="AB125" s="594"/>
      <c r="AC125" s="594"/>
      <c r="AD125" s="594"/>
      <c r="AE125" s="594"/>
      <c r="AF125" s="594"/>
      <c r="AG125" s="594"/>
      <c r="AH125" s="594"/>
      <c r="AI125" s="594"/>
      <c r="AJ125" s="594"/>
      <c r="AK125" s="594"/>
      <c r="AL125" s="594"/>
      <c r="AM125" s="594"/>
      <c r="AN125" s="594"/>
      <c r="AO125" s="594"/>
      <c r="AP125" s="594"/>
      <c r="AQ125" s="594">
        <f>+'STER Detailed Disclosure'!AQ105/1000</f>
        <v>1390.749</v>
      </c>
      <c r="AR125" s="594">
        <f>+'STER Detailed Disclosure'!AR105/1000</f>
        <v>1316.1179999999999</v>
      </c>
      <c r="AS125" s="594">
        <f>+'STER Detailed Disclosure'!AS105/1000</f>
        <v>1372.259</v>
      </c>
      <c r="AT125" s="594">
        <f>+'STER Detailed Disclosure'!AT105/1000</f>
        <v>1407.2539999999999</v>
      </c>
      <c r="AU125" s="594">
        <f>+'STER Detailed Disclosure'!AU105/1000</f>
        <v>1363.443</v>
      </c>
      <c r="AV125" s="594"/>
      <c r="AW125" s="573"/>
    </row>
    <row r="126" spans="1:49" x14ac:dyDescent="0.25">
      <c r="A126" s="425"/>
      <c r="C126" s="583"/>
      <c r="D126" s="583"/>
      <c r="E126" s="583"/>
      <c r="F126" s="588"/>
      <c r="G126" s="583"/>
      <c r="H126" s="583"/>
      <c r="I126" s="583"/>
      <c r="J126" s="588"/>
      <c r="K126" s="583"/>
      <c r="L126" s="583"/>
      <c r="M126" s="583"/>
      <c r="N126" s="588"/>
      <c r="O126" s="583"/>
      <c r="P126" s="583"/>
      <c r="Q126" s="583"/>
      <c r="R126" s="588"/>
      <c r="S126" s="583"/>
      <c r="T126" s="583"/>
      <c r="U126" s="583"/>
      <c r="V126" s="588"/>
      <c r="W126" s="583"/>
      <c r="X126" s="583"/>
      <c r="Y126" s="2286"/>
      <c r="Z126" s="583"/>
      <c r="AA126" s="583"/>
      <c r="AB126" s="583"/>
      <c r="AC126" s="583"/>
      <c r="AD126" s="583"/>
      <c r="AE126" s="583"/>
      <c r="AF126" s="583"/>
      <c r="AG126" s="583"/>
      <c r="AH126" s="583"/>
      <c r="AI126" s="583"/>
      <c r="AJ126" s="583"/>
      <c r="AK126" s="583"/>
      <c r="AL126" s="583"/>
      <c r="AM126" s="583"/>
      <c r="AN126" s="583"/>
      <c r="AO126" s="583"/>
      <c r="AP126" s="583"/>
      <c r="AQ126" s="583"/>
      <c r="AR126" s="583"/>
      <c r="AS126" s="583"/>
      <c r="AT126" s="583"/>
      <c r="AU126" s="583"/>
      <c r="AV126" s="583"/>
      <c r="AW126" s="571"/>
    </row>
    <row r="127" spans="1:49" ht="13" x14ac:dyDescent="0.3">
      <c r="A127" s="730" t="str">
        <f>+'STER Detailed Disclosure'!A107</f>
        <v>LIABILITIES AND STOCKHOLDERS' EQUITY</v>
      </c>
      <c r="C127" s="571"/>
      <c r="D127" s="571"/>
      <c r="E127" s="571"/>
      <c r="F127" s="666">
        <f>+'STER Detailed Disclosure'!F107/1000</f>
        <v>0</v>
      </c>
      <c r="G127" s="667"/>
      <c r="H127" s="667"/>
      <c r="I127" s="667"/>
      <c r="J127" s="666">
        <f>+'STER Detailed Disclosure'!J107/1000</f>
        <v>0</v>
      </c>
      <c r="K127" s="667"/>
      <c r="L127" s="667">
        <f>+'STER Detailed Disclosure'!L107/1000</f>
        <v>0</v>
      </c>
      <c r="M127" s="667">
        <f>+'STER Detailed Disclosure'!M107/1000</f>
        <v>0</v>
      </c>
      <c r="N127" s="666">
        <f>+'STER Detailed Disclosure'!N107/1000</f>
        <v>0</v>
      </c>
      <c r="O127" s="667">
        <f>+'STER Detailed Disclosure'!O107/1000</f>
        <v>0</v>
      </c>
      <c r="P127" s="667">
        <f>+'STER Detailed Disclosure'!P107/1000</f>
        <v>0</v>
      </c>
      <c r="Q127" s="667">
        <f>+'STER Detailed Disclosure'!Q107/1000</f>
        <v>0</v>
      </c>
      <c r="R127" s="666">
        <f>+'STER Detailed Disclosure'!R107/1000</f>
        <v>0</v>
      </c>
      <c r="S127" s="667">
        <f>+'STER Detailed Disclosure'!S107/1000</f>
        <v>0</v>
      </c>
      <c r="T127" s="667">
        <f>+'STER Detailed Disclosure'!T107/1000</f>
        <v>0</v>
      </c>
      <c r="U127" s="667">
        <f>+'STER Detailed Disclosure'!U107/1000</f>
        <v>0</v>
      </c>
      <c r="V127" s="666">
        <f>+'STER Detailed Disclosure'!V107/1000</f>
        <v>0</v>
      </c>
      <c r="W127" s="571">
        <f>+'STER Detailed Disclosure'!W107/1000</f>
        <v>0</v>
      </c>
      <c r="X127" s="571">
        <f>+'STER Detailed Disclosure'!X107/1000</f>
        <v>0</v>
      </c>
      <c r="Y127" s="2283"/>
      <c r="Z127" s="571"/>
      <c r="AA127" s="571"/>
      <c r="AB127" s="571"/>
      <c r="AC127" s="571"/>
      <c r="AD127" s="571"/>
      <c r="AE127" s="571"/>
      <c r="AF127" s="571"/>
      <c r="AG127" s="571"/>
      <c r="AH127" s="571"/>
      <c r="AI127" s="571"/>
      <c r="AJ127" s="571"/>
      <c r="AK127" s="571"/>
      <c r="AL127" s="571"/>
      <c r="AM127" s="571"/>
      <c r="AN127" s="571"/>
      <c r="AO127" s="571"/>
      <c r="AP127" s="571"/>
      <c r="AQ127" s="571">
        <f>+'STER Detailed Disclosure'!AQ107/1000</f>
        <v>0</v>
      </c>
      <c r="AR127" s="571">
        <f>+'STER Detailed Disclosure'!AR107/1000</f>
        <v>0</v>
      </c>
      <c r="AS127" s="571">
        <f>+'STER Detailed Disclosure'!AS107/1000</f>
        <v>0</v>
      </c>
      <c r="AT127" s="2155">
        <f>+'STER Detailed Disclosure'!AT107/1000</f>
        <v>0</v>
      </c>
      <c r="AU127" s="2155">
        <f>+'STER Detailed Disclosure'!AU107/1000</f>
        <v>0</v>
      </c>
    </row>
    <row r="128" spans="1:49" x14ac:dyDescent="0.25">
      <c r="A128" s="649" t="str">
        <f>+'STER Detailed Disclosure'!A108</f>
        <v>CURRENT LIABILITIES:</v>
      </c>
      <c r="C128" s="571"/>
      <c r="D128" s="571"/>
      <c r="E128" s="571"/>
      <c r="F128" s="666">
        <f>+'STER Detailed Disclosure'!F108/1000</f>
        <v>0</v>
      </c>
      <c r="G128" s="667"/>
      <c r="H128" s="667"/>
      <c r="I128" s="667"/>
      <c r="J128" s="666">
        <f>+'STER Detailed Disclosure'!J108/1000</f>
        <v>0</v>
      </c>
      <c r="K128" s="667"/>
      <c r="L128" s="667">
        <f>+'STER Detailed Disclosure'!L108/1000</f>
        <v>0</v>
      </c>
      <c r="M128" s="667">
        <f>+'STER Detailed Disclosure'!M108/1000</f>
        <v>0</v>
      </c>
      <c r="N128" s="666">
        <f>+'STER Detailed Disclosure'!N108/1000</f>
        <v>0</v>
      </c>
      <c r="O128" s="667">
        <f>+'STER Detailed Disclosure'!O108/1000</f>
        <v>0</v>
      </c>
      <c r="P128" s="667">
        <f>+'STER Detailed Disclosure'!P108/1000</f>
        <v>0</v>
      </c>
      <c r="Q128" s="667">
        <f>+'STER Detailed Disclosure'!Q108/1000</f>
        <v>0</v>
      </c>
      <c r="R128" s="666">
        <f>+'STER Detailed Disclosure'!R108/1000</f>
        <v>0</v>
      </c>
      <c r="S128" s="667">
        <f>+'STER Detailed Disclosure'!S108/1000</f>
        <v>0</v>
      </c>
      <c r="T128" s="667">
        <f>+'STER Detailed Disclosure'!T108/1000</f>
        <v>0</v>
      </c>
      <c r="U128" s="667">
        <f>+'STER Detailed Disclosure'!U108/1000</f>
        <v>0</v>
      </c>
      <c r="V128" s="666">
        <f>+'STER Detailed Disclosure'!V108/1000</f>
        <v>0</v>
      </c>
      <c r="W128" s="571">
        <f>+'STER Detailed Disclosure'!W108/1000</f>
        <v>0</v>
      </c>
      <c r="X128" s="571">
        <f>+'STER Detailed Disclosure'!X108/1000</f>
        <v>0</v>
      </c>
      <c r="Y128" s="2283"/>
      <c r="Z128" s="571"/>
      <c r="AA128" s="571"/>
      <c r="AB128" s="571"/>
      <c r="AC128" s="571"/>
      <c r="AD128" s="571"/>
      <c r="AE128" s="571"/>
      <c r="AF128" s="571"/>
      <c r="AG128" s="571"/>
      <c r="AH128" s="571"/>
      <c r="AI128" s="571"/>
      <c r="AJ128" s="571"/>
      <c r="AK128" s="571"/>
      <c r="AL128" s="571"/>
      <c r="AM128" s="571"/>
      <c r="AN128" s="571"/>
      <c r="AO128" s="571"/>
      <c r="AP128" s="571"/>
      <c r="AQ128" s="571">
        <f>+'STER Detailed Disclosure'!AQ108/1000</f>
        <v>0</v>
      </c>
      <c r="AR128" s="571">
        <f>+'STER Detailed Disclosure'!AR108/1000</f>
        <v>0</v>
      </c>
      <c r="AS128" s="571">
        <f>+'STER Detailed Disclosure'!AS108/1000</f>
        <v>0</v>
      </c>
      <c r="AT128" s="2155">
        <f>+'STER Detailed Disclosure'!AT108/1000</f>
        <v>0</v>
      </c>
      <c r="AU128" s="2155">
        <f>+'STER Detailed Disclosure'!AU108/1000</f>
        <v>0</v>
      </c>
    </row>
    <row r="129" spans="1:49" x14ac:dyDescent="0.25">
      <c r="A129" s="649" t="str">
        <f>+'STER Detailed Disclosure'!A109</f>
        <v>Accounts payable</v>
      </c>
      <c r="C129" s="571"/>
      <c r="D129" s="571"/>
      <c r="E129" s="571"/>
      <c r="F129" s="2159">
        <f>+'STER Detailed Disclosure'!F109/1000</f>
        <v>17.913</v>
      </c>
      <c r="G129" s="2166"/>
      <c r="H129" s="2166"/>
      <c r="I129" s="2166"/>
      <c r="J129" s="2159">
        <f>+'STER Detailed Disclosure'!J109/1000</f>
        <v>14.708</v>
      </c>
      <c r="K129" s="2166"/>
      <c r="L129" s="2166">
        <f>+'STER Detailed Disclosure'!L109/1000</f>
        <v>27.257999999999999</v>
      </c>
      <c r="M129" s="2166">
        <f>+'STER Detailed Disclosure'!M109/1000</f>
        <v>27.192</v>
      </c>
      <c r="N129" s="2159">
        <f>+'STER Detailed Disclosure'!N109/1000</f>
        <v>31.126999999999999</v>
      </c>
      <c r="O129" s="2166">
        <f>+'STER Detailed Disclosure'!O109/1000</f>
        <v>41.201000000000001</v>
      </c>
      <c r="P129" s="2166">
        <f>+'STER Detailed Disclosure'!P109/1000</f>
        <v>44.767000000000003</v>
      </c>
      <c r="Q129" s="2166">
        <f>+'STER Detailed Disclosure'!Q109/1000</f>
        <v>36.783999999999999</v>
      </c>
      <c r="R129" s="2159">
        <f>+'STER Detailed Disclosure'!R109/1000</f>
        <v>38.372</v>
      </c>
      <c r="S129" s="2166">
        <f>+'STER Detailed Disclosure'!S109/1000</f>
        <v>42.131999999999998</v>
      </c>
      <c r="T129" s="2166">
        <f>+'STER Detailed Disclosure'!T109/1000</f>
        <v>40.017000000000003</v>
      </c>
      <c r="U129" s="2166">
        <f>+'STER Detailed Disclosure'!U109/1000</f>
        <v>39.326999999999998</v>
      </c>
      <c r="V129" s="2159">
        <f>+'STER Detailed Disclosure'!V109/1000</f>
        <v>38.878999999999998</v>
      </c>
      <c r="W129" s="2153">
        <f>+'STER Detailed Disclosure'!W109/1000</f>
        <v>47.485999999999997</v>
      </c>
      <c r="X129" s="2153">
        <f>+'STER Detailed Disclosure'!X109/1000</f>
        <v>52.892000000000003</v>
      </c>
      <c r="Y129" s="2288"/>
      <c r="Z129" s="571"/>
      <c r="AA129" s="571"/>
      <c r="AB129" s="571"/>
      <c r="AC129" s="571"/>
      <c r="AD129" s="571"/>
      <c r="AE129" s="571"/>
      <c r="AF129" s="571"/>
      <c r="AG129" s="571"/>
      <c r="AH129" s="571"/>
      <c r="AI129" s="571"/>
      <c r="AJ129" s="571"/>
      <c r="AK129" s="571"/>
      <c r="AL129" s="571"/>
      <c r="AM129" s="571"/>
      <c r="AN129" s="571"/>
      <c r="AO129" s="571"/>
      <c r="AP129" s="2153"/>
      <c r="AQ129" s="2153">
        <f>+'STER Detailed Disclosure'!AQ109/1000</f>
        <v>17.913</v>
      </c>
      <c r="AR129" s="2153">
        <f>+'STER Detailed Disclosure'!AR109/1000</f>
        <v>14.708</v>
      </c>
      <c r="AS129" s="2153">
        <f>+'STER Detailed Disclosure'!AS109/1000</f>
        <v>31.126999999999999</v>
      </c>
      <c r="AT129" s="2153">
        <f>+'STER Detailed Disclosure'!AT109/1000</f>
        <v>38.372</v>
      </c>
      <c r="AU129" s="2153">
        <f>+'STER Detailed Disclosure'!AU109/1000</f>
        <v>38.878999999999998</v>
      </c>
    </row>
    <row r="130" spans="1:49" x14ac:dyDescent="0.25">
      <c r="A130" s="649" t="str">
        <f>+'STER Detailed Disclosure'!A110</f>
        <v>Litigation settlement obligation</v>
      </c>
      <c r="C130" s="571"/>
      <c r="D130" s="571"/>
      <c r="E130" s="571"/>
      <c r="F130" s="2159">
        <f>+'STER Detailed Disclosure'!F110/1000</f>
        <v>15</v>
      </c>
      <c r="G130" s="2166"/>
      <c r="H130" s="2166"/>
      <c r="I130" s="2166"/>
      <c r="J130" s="2159">
        <f>+'STER Detailed Disclosure'!J110/1000</f>
        <v>0.75</v>
      </c>
      <c r="K130" s="2166"/>
      <c r="L130" s="2166">
        <f>+'STER Detailed Disclosure'!L110/1000</f>
        <v>0</v>
      </c>
      <c r="M130" s="2166">
        <f>+'STER Detailed Disclosure'!M110/1000</f>
        <v>0</v>
      </c>
      <c r="N130" s="2159">
        <f>+'STER Detailed Disclosure'!N110/1000</f>
        <v>0</v>
      </c>
      <c r="O130" s="2166">
        <f>+'STER Detailed Disclosure'!O110/1000</f>
        <v>0</v>
      </c>
      <c r="P130" s="2166">
        <f>+'STER Detailed Disclosure'!P110/1000</f>
        <v>0</v>
      </c>
      <c r="Q130" s="2166">
        <f>+'STER Detailed Disclosure'!Q110/1000</f>
        <v>0</v>
      </c>
      <c r="R130" s="2159">
        <f>+'STER Detailed Disclosure'!R110/1000</f>
        <v>4.165</v>
      </c>
      <c r="S130" s="2166">
        <f>+'STER Detailed Disclosure'!S110/1000</f>
        <v>3.85</v>
      </c>
      <c r="T130" s="2166">
        <f>+'STER Detailed Disclosure'!T110/1000</f>
        <v>6.0129999999999999</v>
      </c>
      <c r="U130" s="2166">
        <f>+'STER Detailed Disclosure'!U110/1000</f>
        <v>7.1779999999999999</v>
      </c>
      <c r="V130" s="2159">
        <f>+'STER Detailed Disclosure'!V110/1000</f>
        <v>5.2789999999999999</v>
      </c>
      <c r="W130" s="2153">
        <f>+'STER Detailed Disclosure'!W110/1000</f>
        <v>5.2240000000000002</v>
      </c>
      <c r="X130" s="2153">
        <f>+'STER Detailed Disclosure'!X110/1000</f>
        <v>6.2220000000000004</v>
      </c>
      <c r="Y130" s="2288"/>
      <c r="Z130" s="571"/>
      <c r="AA130" s="571"/>
      <c r="AB130" s="571"/>
      <c r="AC130" s="571"/>
      <c r="AD130" s="571"/>
      <c r="AE130" s="571"/>
      <c r="AF130" s="571"/>
      <c r="AG130" s="571"/>
      <c r="AH130" s="571"/>
      <c r="AI130" s="571"/>
      <c r="AJ130" s="571"/>
      <c r="AK130" s="571"/>
      <c r="AL130" s="571"/>
      <c r="AM130" s="571"/>
      <c r="AN130" s="571"/>
      <c r="AO130" s="571"/>
      <c r="AP130" s="2153"/>
      <c r="AQ130" s="2153">
        <f>+'STER Detailed Disclosure'!AQ110/1000</f>
        <v>15</v>
      </c>
      <c r="AR130" s="2153">
        <f>+'STER Detailed Disclosure'!AR110/1000</f>
        <v>0.75</v>
      </c>
      <c r="AS130" s="2153">
        <f>+'STER Detailed Disclosure'!AS110/1000</f>
        <v>0</v>
      </c>
      <c r="AT130" s="2153">
        <f>+'STER Detailed Disclosure'!AT110/1000</f>
        <v>4.165</v>
      </c>
      <c r="AU130" s="2153">
        <f>+'STER Detailed Disclosure'!AU110/1000</f>
        <v>5.2789999999999999</v>
      </c>
    </row>
    <row r="131" spans="1:49" x14ac:dyDescent="0.25">
      <c r="A131" s="649" t="str">
        <f>+'STER Detailed Disclosure'!A111</f>
        <v>Accrued expenses</v>
      </c>
      <c r="C131" s="571"/>
      <c r="D131" s="571"/>
      <c r="E131" s="571"/>
      <c r="F131" s="2159">
        <f>+'STER Detailed Disclosure'!F111/1000</f>
        <v>42.298000000000002</v>
      </c>
      <c r="G131" s="2166"/>
      <c r="H131" s="2166"/>
      <c r="I131" s="2166"/>
      <c r="J131" s="2159">
        <f>+'STER Detailed Disclosure'!J111/1000</f>
        <v>35.899000000000001</v>
      </c>
      <c r="K131" s="2166"/>
      <c r="L131" s="2166">
        <f>+'STER Detailed Disclosure'!L111/1000</f>
        <v>51.692999999999998</v>
      </c>
      <c r="M131" s="2166">
        <f>+'STER Detailed Disclosure'!M111/1000</f>
        <v>52.837000000000003</v>
      </c>
      <c r="N131" s="2159">
        <f>+'STER Detailed Disclosure'!N111/1000</f>
        <v>67.971000000000004</v>
      </c>
      <c r="O131" s="2166">
        <f>+'STER Detailed Disclosure'!O111/1000</f>
        <v>55.091000000000001</v>
      </c>
      <c r="P131" s="2166">
        <f>+'STER Detailed Disclosure'!P111/1000</f>
        <v>58.134999999999998</v>
      </c>
      <c r="Q131" s="2166">
        <f>+'STER Detailed Disclosure'!Q111/1000</f>
        <v>66.2</v>
      </c>
      <c r="R131" s="2159">
        <f>+'STER Detailed Disclosure'!R111/1000</f>
        <v>67.046999999999997</v>
      </c>
      <c r="S131" s="2166">
        <f>+'STER Detailed Disclosure'!S111/1000</f>
        <v>57.091000000000001</v>
      </c>
      <c r="T131" s="2166">
        <f>+'STER Detailed Disclosure'!T111/1000</f>
        <v>58.118000000000002</v>
      </c>
      <c r="U131" s="2166">
        <f>+'STER Detailed Disclosure'!U111/1000</f>
        <v>60.387</v>
      </c>
      <c r="V131" s="2159">
        <f>+'STER Detailed Disclosure'!V111/1000</f>
        <v>63.987000000000002</v>
      </c>
      <c r="W131" s="2153">
        <f>+'STER Detailed Disclosure'!W111/1000</f>
        <v>73.605000000000004</v>
      </c>
      <c r="X131" s="2153">
        <f>+'STER Detailed Disclosure'!X111/1000</f>
        <v>79.099999999999994</v>
      </c>
      <c r="Y131" s="2288"/>
      <c r="Z131" s="571"/>
      <c r="AA131" s="571"/>
      <c r="AB131" s="571"/>
      <c r="AC131" s="571"/>
      <c r="AD131" s="571"/>
      <c r="AE131" s="571"/>
      <c r="AF131" s="571"/>
      <c r="AG131" s="571"/>
      <c r="AH131" s="571"/>
      <c r="AI131" s="571"/>
      <c r="AJ131" s="571"/>
      <c r="AK131" s="571"/>
      <c r="AL131" s="571"/>
      <c r="AM131" s="571"/>
      <c r="AN131" s="571"/>
      <c r="AO131" s="571"/>
      <c r="AP131" s="2153"/>
      <c r="AQ131" s="2153">
        <f>+'STER Detailed Disclosure'!AQ111/1000</f>
        <v>42.298000000000002</v>
      </c>
      <c r="AR131" s="2153">
        <f>+'STER Detailed Disclosure'!AR111/1000</f>
        <v>35.899000000000001</v>
      </c>
      <c r="AS131" s="2153">
        <f>+'STER Detailed Disclosure'!AS111/1000</f>
        <v>67.971000000000004</v>
      </c>
      <c r="AT131" s="2153">
        <f>+'STER Detailed Disclosure'!AT111/1000</f>
        <v>67.046999999999997</v>
      </c>
      <c r="AU131" s="2153">
        <f>+'STER Detailed Disclosure'!AU111/1000</f>
        <v>63.987000000000002</v>
      </c>
    </row>
    <row r="132" spans="1:49" x14ac:dyDescent="0.25">
      <c r="A132" s="649" t="str">
        <f>+'STER Detailed Disclosure'!A112</f>
        <v>Current portion of long-term debt</v>
      </c>
      <c r="C132" s="571"/>
      <c r="D132" s="571"/>
      <c r="E132" s="571"/>
      <c r="F132" s="2159">
        <f>+'STER Detailed Disclosure'!F112/1000</f>
        <v>6.4610000000000003</v>
      </c>
      <c r="G132" s="2166"/>
      <c r="H132" s="2166"/>
      <c r="I132" s="2166"/>
      <c r="J132" s="2159">
        <f>+'STER Detailed Disclosure'!J112/1000</f>
        <v>13.147</v>
      </c>
      <c r="K132" s="2166"/>
      <c r="L132" s="2166">
        <f>+'STER Detailed Disclosure'!L112/1000</f>
        <v>6.4610000000000003</v>
      </c>
      <c r="M132" s="2166">
        <f>+'STER Detailed Disclosure'!M112/1000</f>
        <v>6.4610000000000003</v>
      </c>
      <c r="N132" s="2159">
        <f>+'STER Detailed Disclosure'!N112/1000</f>
        <v>6.4610000000000003</v>
      </c>
      <c r="O132" s="2166">
        <f>+'STER Detailed Disclosure'!O112/1000</f>
        <v>6.4610000000000003</v>
      </c>
      <c r="P132" s="2166">
        <f>+'STER Detailed Disclosure'!P112/1000</f>
        <v>6.4610000000000003</v>
      </c>
      <c r="Q132" s="2166">
        <f>+'STER Detailed Disclosure'!Q112/1000</f>
        <v>6.4610000000000003</v>
      </c>
      <c r="R132" s="2159">
        <f>+'STER Detailed Disclosure'!R112/1000</f>
        <v>7.5</v>
      </c>
      <c r="S132" s="2166">
        <f>+'STER Detailed Disclosure'!S112/1000</f>
        <v>9.375</v>
      </c>
      <c r="T132" s="2166">
        <f>+'STER Detailed Disclosure'!T112/1000</f>
        <v>11.25</v>
      </c>
      <c r="U132" s="2166">
        <f>+'STER Detailed Disclosure'!U112/1000</f>
        <v>13.125</v>
      </c>
      <c r="V132" s="2159">
        <f>+'STER Detailed Disclosure'!V112/1000</f>
        <v>15</v>
      </c>
      <c r="W132" s="2153">
        <f>+'STER Detailed Disclosure'!W112/1000</f>
        <v>15</v>
      </c>
      <c r="X132" s="2153">
        <f>+'STER Detailed Disclosure'!X112/1000</f>
        <v>15</v>
      </c>
      <c r="Y132" s="2288"/>
      <c r="Z132" s="571"/>
      <c r="AA132" s="571"/>
      <c r="AB132" s="571"/>
      <c r="AC132" s="571"/>
      <c r="AD132" s="571"/>
      <c r="AE132" s="571"/>
      <c r="AF132" s="571"/>
      <c r="AG132" s="571"/>
      <c r="AH132" s="571"/>
      <c r="AI132" s="571"/>
      <c r="AJ132" s="571"/>
      <c r="AK132" s="571"/>
      <c r="AL132" s="571"/>
      <c r="AM132" s="571"/>
      <c r="AN132" s="571"/>
      <c r="AO132" s="571"/>
      <c r="AP132" s="2153"/>
      <c r="AQ132" s="2153">
        <f>+'STER Detailed Disclosure'!AQ112/1000</f>
        <v>6.4610000000000003</v>
      </c>
      <c r="AR132" s="2153">
        <f>+'STER Detailed Disclosure'!AR112/1000</f>
        <v>13.147</v>
      </c>
      <c r="AS132" s="2153">
        <f>+'STER Detailed Disclosure'!AS112/1000</f>
        <v>6.4610000000000003</v>
      </c>
      <c r="AT132" s="2153">
        <f>+'STER Detailed Disclosure'!AT112/1000</f>
        <v>7.5</v>
      </c>
      <c r="AU132" s="2153">
        <f>+'STER Detailed Disclosure'!AU112/1000</f>
        <v>15</v>
      </c>
    </row>
    <row r="133" spans="1:49" x14ac:dyDescent="0.25">
      <c r="A133" s="649" t="str">
        <f>+'STER Detailed Disclosure'!A113</f>
        <v>Operating leases liability, current portion</v>
      </c>
      <c r="C133" s="571"/>
      <c r="D133" s="571"/>
      <c r="E133" s="571"/>
      <c r="F133" s="2159">
        <f>+'STER Detailed Disclosure'!F113/1000</f>
        <v>0</v>
      </c>
      <c r="G133" s="2166"/>
      <c r="H133" s="2166"/>
      <c r="I133" s="2166"/>
      <c r="J133" s="2159">
        <f>+'STER Detailed Disclosure'!J113/1000</f>
        <v>0</v>
      </c>
      <c r="K133" s="2166"/>
      <c r="L133" s="2166">
        <f>+'STER Detailed Disclosure'!L113/1000</f>
        <v>0</v>
      </c>
      <c r="M133" s="2166">
        <f>+'STER Detailed Disclosure'!M113/1000</f>
        <v>0</v>
      </c>
      <c r="N133" s="2159">
        <f>+'STER Detailed Disclosure'!N113/1000</f>
        <v>0</v>
      </c>
      <c r="O133" s="2166">
        <f>+'STER Detailed Disclosure'!O113/1000</f>
        <v>3.7280000000000002</v>
      </c>
      <c r="P133" s="2166">
        <f>+'STER Detailed Disclosure'!P113/1000</f>
        <v>3.5529999999999999</v>
      </c>
      <c r="Q133" s="2166">
        <f>+'STER Detailed Disclosure'!Q113/1000</f>
        <v>3.601</v>
      </c>
      <c r="R133" s="2159">
        <f>+'STER Detailed Disclosure'!R113/1000</f>
        <v>3.7170000000000001</v>
      </c>
      <c r="S133" s="2166">
        <f>+'STER Detailed Disclosure'!S113/1000</f>
        <v>3.5649999999999999</v>
      </c>
      <c r="T133" s="2166">
        <f>+'STER Detailed Disclosure'!T113/1000</f>
        <v>4.069</v>
      </c>
      <c r="U133" s="2166">
        <f>+'STER Detailed Disclosure'!U113/1000</f>
        <v>4.2329999999999997</v>
      </c>
      <c r="V133" s="2159">
        <f>+'STER Detailed Disclosure'!V113/1000</f>
        <v>4.2190000000000003</v>
      </c>
      <c r="W133" s="2153">
        <f>+'STER Detailed Disclosure'!W113/1000</f>
        <v>3.879</v>
      </c>
      <c r="X133" s="2153">
        <f>+'STER Detailed Disclosure'!X113/1000</f>
        <v>3.49</v>
      </c>
      <c r="Y133" s="2288"/>
      <c r="Z133" s="571"/>
      <c r="AA133" s="571"/>
      <c r="AB133" s="571"/>
      <c r="AC133" s="571"/>
      <c r="AD133" s="571"/>
      <c r="AE133" s="571"/>
      <c r="AF133" s="571"/>
      <c r="AG133" s="571"/>
      <c r="AH133" s="571"/>
      <c r="AI133" s="571"/>
      <c r="AJ133" s="571"/>
      <c r="AK133" s="571"/>
      <c r="AL133" s="571"/>
      <c r="AM133" s="571"/>
      <c r="AN133" s="571"/>
      <c r="AO133" s="571"/>
      <c r="AP133" s="2153"/>
      <c r="AQ133" s="2153">
        <f>+'STER Detailed Disclosure'!AQ113/1000</f>
        <v>0</v>
      </c>
      <c r="AR133" s="2153">
        <f>+'STER Detailed Disclosure'!AR113/1000</f>
        <v>0</v>
      </c>
      <c r="AS133" s="2153">
        <f>+'STER Detailed Disclosure'!AS113/1000</f>
        <v>0</v>
      </c>
      <c r="AT133" s="2153">
        <f>+'STER Detailed Disclosure'!AT113/1000</f>
        <v>3.7170000000000001</v>
      </c>
      <c r="AU133" s="2153">
        <f>+'STER Detailed Disclosure'!AU113/1000</f>
        <v>4.2190000000000003</v>
      </c>
    </row>
    <row r="134" spans="1:49" x14ac:dyDescent="0.25">
      <c r="A134" s="649" t="str">
        <f>+'STER Detailed Disclosure'!A114</f>
        <v>Income tax payable, current portion</v>
      </c>
      <c r="C134" s="571"/>
      <c r="D134" s="571"/>
      <c r="E134" s="571"/>
      <c r="F134" s="2159">
        <f>+'STER Detailed Disclosure'!F114/1000</f>
        <v>0</v>
      </c>
      <c r="G134" s="2166"/>
      <c r="H134" s="2166"/>
      <c r="I134" s="2166"/>
      <c r="J134" s="2159">
        <f>+'STER Detailed Disclosure'!J114/1000</f>
        <v>0</v>
      </c>
      <c r="K134" s="2166"/>
      <c r="L134" s="583">
        <f>+'STER Detailed Disclosure'!L114/1000</f>
        <v>0</v>
      </c>
      <c r="M134" s="583">
        <f>+'STER Detailed Disclosure'!M114/1000</f>
        <v>0</v>
      </c>
      <c r="N134" s="588">
        <f>+'STER Detailed Disclosure'!N114/1000</f>
        <v>0</v>
      </c>
      <c r="O134" s="583">
        <f>+'STER Detailed Disclosure'!O114/1000</f>
        <v>0</v>
      </c>
      <c r="P134" s="583">
        <f>+'STER Detailed Disclosure'!P114/1000</f>
        <v>0</v>
      </c>
      <c r="Q134" s="583">
        <f>+'STER Detailed Disclosure'!Q114/1000</f>
        <v>0</v>
      </c>
      <c r="R134" s="588">
        <f>+'STER Detailed Disclosure'!R114/1000</f>
        <v>0</v>
      </c>
      <c r="S134" s="583">
        <f>+'STER Detailed Disclosure'!S114/1000</f>
        <v>0</v>
      </c>
      <c r="T134" s="583">
        <f>+'STER Detailed Disclosure'!T114/1000</f>
        <v>0</v>
      </c>
      <c r="U134" s="583">
        <f>+'STER Detailed Disclosure'!U114/1000</f>
        <v>0</v>
      </c>
      <c r="V134" s="588">
        <f>+'STER Detailed Disclosure'!V114/1000</f>
        <v>8.9329999999999998</v>
      </c>
      <c r="W134" s="583">
        <f>+'STER Detailed Disclosure'!W114/1000</f>
        <v>3.5230000000000001</v>
      </c>
      <c r="X134" s="583">
        <f>+'STER Detailed Disclosure'!X114/1000</f>
        <v>0.16300000000000001</v>
      </c>
      <c r="Y134" s="2286"/>
      <c r="Z134" s="571"/>
      <c r="AA134" s="571"/>
      <c r="AB134" s="571"/>
      <c r="AC134" s="571"/>
      <c r="AD134" s="571"/>
      <c r="AE134" s="571"/>
      <c r="AF134" s="571"/>
      <c r="AG134" s="571"/>
      <c r="AH134" s="571"/>
      <c r="AI134" s="571"/>
      <c r="AJ134" s="571"/>
      <c r="AK134" s="571"/>
      <c r="AL134" s="571"/>
      <c r="AM134" s="571"/>
      <c r="AN134" s="571"/>
      <c r="AO134" s="571"/>
      <c r="AP134" s="2153"/>
      <c r="AQ134" s="2153">
        <f>+'STER Detailed Disclosure'!AQ114/1000</f>
        <v>0</v>
      </c>
      <c r="AR134" s="2153">
        <f>+'STER Detailed Disclosure'!AR114/1000</f>
        <v>0</v>
      </c>
      <c r="AS134" s="2153">
        <f>+'STER Detailed Disclosure'!AS114/1000</f>
        <v>0</v>
      </c>
      <c r="AT134" s="2153">
        <f>+'STER Detailed Disclosure'!AT114/1000</f>
        <v>0</v>
      </c>
      <c r="AU134" s="2153">
        <f>+'STER Detailed Disclosure'!AU114/1000</f>
        <v>8.9329999999999998</v>
      </c>
    </row>
    <row r="135" spans="1:49" s="413" customFormat="1" ht="14" x14ac:dyDescent="0.4">
      <c r="A135" s="132" t="str">
        <f>+'STER Detailed Disclosure'!A115</f>
        <v>Other current liabilities</v>
      </c>
      <c r="C135" s="719"/>
      <c r="D135" s="719"/>
      <c r="E135" s="719"/>
      <c r="F135" s="718">
        <f>+'STER Detailed Disclosure'!F115/1000</f>
        <v>10.484</v>
      </c>
      <c r="G135" s="719"/>
      <c r="H135" s="719"/>
      <c r="I135" s="719"/>
      <c r="J135" s="718">
        <f>+'STER Detailed Disclosure'!J115/1000</f>
        <v>21.488</v>
      </c>
      <c r="K135" s="719"/>
      <c r="L135" s="719">
        <f>+'STER Detailed Disclosure'!L115/1000</f>
        <v>22.061</v>
      </c>
      <c r="M135" s="719">
        <f>+'STER Detailed Disclosure'!M115/1000</f>
        <v>19.791</v>
      </c>
      <c r="N135" s="718">
        <f>+'STER Detailed Disclosure'!N115/1000</f>
        <v>24.361000000000001</v>
      </c>
      <c r="O135" s="719">
        <f>+'STER Detailed Disclosure'!O115/1000</f>
        <v>17.225000000000001</v>
      </c>
      <c r="P135" s="719">
        <f>+'STER Detailed Disclosure'!P115/1000</f>
        <v>16.960999999999999</v>
      </c>
      <c r="Q135" s="719">
        <f>+'STER Detailed Disclosure'!Q115/1000</f>
        <v>14.162000000000001</v>
      </c>
      <c r="R135" s="718">
        <f>+'STER Detailed Disclosure'!R115/1000</f>
        <v>12.939</v>
      </c>
      <c r="S135" s="719">
        <f>+'STER Detailed Disclosure'!S115/1000</f>
        <v>13.974</v>
      </c>
      <c r="T135" s="719">
        <f>+'STER Detailed Disclosure'!T115/1000</f>
        <v>13.712</v>
      </c>
      <c r="U135" s="719">
        <f>+'STER Detailed Disclosure'!U115/1000</f>
        <v>14.435</v>
      </c>
      <c r="V135" s="718">
        <f>+'STER Detailed Disclosure'!V115/1000</f>
        <v>11.839</v>
      </c>
      <c r="W135" s="719">
        <f>+'STER Detailed Disclosure'!W115/1000</f>
        <v>17.832000000000001</v>
      </c>
      <c r="X135" s="719">
        <f>+'STER Detailed Disclosure'!X115/1000</f>
        <v>15.458</v>
      </c>
      <c r="Y135" s="2284"/>
      <c r="Z135" s="719"/>
      <c r="AA135" s="719"/>
      <c r="AB135" s="719"/>
      <c r="AC135" s="719"/>
      <c r="AD135" s="719"/>
      <c r="AE135" s="719"/>
      <c r="AF135" s="719"/>
      <c r="AG135" s="719"/>
      <c r="AH135" s="719"/>
      <c r="AI135" s="719"/>
      <c r="AJ135" s="719"/>
      <c r="AK135" s="719"/>
      <c r="AL135" s="719"/>
      <c r="AM135" s="719"/>
      <c r="AN135" s="719"/>
      <c r="AO135" s="719"/>
      <c r="AP135" s="719"/>
      <c r="AQ135" s="719">
        <f>+'STER Detailed Disclosure'!AQ115/1000</f>
        <v>10.484</v>
      </c>
      <c r="AR135" s="719">
        <f>+'STER Detailed Disclosure'!AR115/1000</f>
        <v>21.488</v>
      </c>
      <c r="AS135" s="719">
        <f>+'STER Detailed Disclosure'!AS115/1000</f>
        <v>24.361000000000001</v>
      </c>
      <c r="AT135" s="719">
        <f>+'STER Detailed Disclosure'!AT115/1000</f>
        <v>12.939</v>
      </c>
      <c r="AU135" s="719">
        <f>+'STER Detailed Disclosure'!AU115/1000</f>
        <v>11.839</v>
      </c>
      <c r="AV135" s="719"/>
      <c r="AW135" s="614"/>
    </row>
    <row r="136" spans="1:49" x14ac:dyDescent="0.25">
      <c r="A136" s="425" t="str">
        <f>+'STER Detailed Disclosure'!A116</f>
        <v>Total current liabilities</v>
      </c>
      <c r="C136" s="583"/>
      <c r="D136" s="583"/>
      <c r="E136" s="583"/>
      <c r="F136" s="588">
        <f>+'STER Detailed Disclosure'!F116/1000</f>
        <v>92.156000000000006</v>
      </c>
      <c r="G136" s="583"/>
      <c r="H136" s="583"/>
      <c r="I136" s="583"/>
      <c r="J136" s="588">
        <f>+'STER Detailed Disclosure'!J116/1000</f>
        <v>85.992000000000004</v>
      </c>
      <c r="K136" s="583"/>
      <c r="L136" s="583">
        <f>+'STER Detailed Disclosure'!L116/1000</f>
        <v>107.473</v>
      </c>
      <c r="M136" s="583">
        <f>+'STER Detailed Disclosure'!M116/1000</f>
        <v>106.28100000000001</v>
      </c>
      <c r="N136" s="588">
        <f>+'STER Detailed Disclosure'!N116/1000</f>
        <v>129.91999999999999</v>
      </c>
      <c r="O136" s="583">
        <f>+'STER Detailed Disclosure'!O116/1000</f>
        <v>123.706</v>
      </c>
      <c r="P136" s="583">
        <f>+'STER Detailed Disclosure'!P116/1000</f>
        <v>129.87700000000001</v>
      </c>
      <c r="Q136" s="583">
        <f>+'STER Detailed Disclosure'!Q116/1000</f>
        <v>127.208</v>
      </c>
      <c r="R136" s="588">
        <f>+'STER Detailed Disclosure'!R116/1000</f>
        <v>133.74</v>
      </c>
      <c r="S136" s="583">
        <f>+'STER Detailed Disclosure'!S116/1000</f>
        <v>129.98699999999999</v>
      </c>
      <c r="T136" s="583">
        <f>+'STER Detailed Disclosure'!T116/1000</f>
        <v>133.179</v>
      </c>
      <c r="U136" s="583">
        <f>+'STER Detailed Disclosure'!U116/1000</f>
        <v>138.685</v>
      </c>
      <c r="V136" s="588">
        <f>+'STER Detailed Disclosure'!V116/1000</f>
        <v>148.136</v>
      </c>
      <c r="W136" s="583">
        <f>+'STER Detailed Disclosure'!W116/1000</f>
        <v>166.54900000000001</v>
      </c>
      <c r="X136" s="583">
        <f>+'STER Detailed Disclosure'!X116/1000</f>
        <v>172.32499999999999</v>
      </c>
      <c r="Y136" s="2286"/>
      <c r="Z136" s="583"/>
      <c r="AA136" s="583"/>
      <c r="AB136" s="583"/>
      <c r="AC136" s="583"/>
      <c r="AD136" s="583"/>
      <c r="AE136" s="583"/>
      <c r="AF136" s="583"/>
      <c r="AG136" s="583"/>
      <c r="AH136" s="583"/>
      <c r="AI136" s="583"/>
      <c r="AJ136" s="583"/>
      <c r="AK136" s="583"/>
      <c r="AL136" s="583"/>
      <c r="AM136" s="583"/>
      <c r="AN136" s="583"/>
      <c r="AO136" s="583"/>
      <c r="AP136" s="583"/>
      <c r="AQ136" s="583">
        <f>+'STER Detailed Disclosure'!AQ116/1000</f>
        <v>92.156000000000006</v>
      </c>
      <c r="AR136" s="583">
        <f>+'STER Detailed Disclosure'!AR116/1000</f>
        <v>85.992000000000004</v>
      </c>
      <c r="AS136" s="583">
        <f>+'STER Detailed Disclosure'!AS116/1000</f>
        <v>129.91999999999999</v>
      </c>
      <c r="AT136" s="583">
        <f>+'STER Detailed Disclosure'!AT116/1000</f>
        <v>133.74</v>
      </c>
      <c r="AU136" s="583">
        <f>+'STER Detailed Disclosure'!AU116/1000</f>
        <v>148.136</v>
      </c>
      <c r="AV136" s="583"/>
      <c r="AW136" s="571"/>
    </row>
    <row r="137" spans="1:49" x14ac:dyDescent="0.25">
      <c r="A137" s="649" t="str">
        <f>+'STER Detailed Disclosure'!A117</f>
        <v>Long-term debt, net</v>
      </c>
      <c r="C137" s="571"/>
      <c r="D137" s="571"/>
      <c r="E137" s="571"/>
      <c r="F137" s="2159">
        <f>+'STER Detailed Disclosure'!F117/1000</f>
        <v>613.096</v>
      </c>
      <c r="G137" s="2166"/>
      <c r="H137" s="2166"/>
      <c r="I137" s="2166"/>
      <c r="J137" s="2159">
        <f>+'STER Detailed Disclosure'!J117/1000</f>
        <v>602.30600000000004</v>
      </c>
      <c r="K137" s="2166"/>
      <c r="L137" s="2166">
        <f>+'STER Detailed Disclosure'!L117/1000</f>
        <v>600.23099999999999</v>
      </c>
      <c r="M137" s="2166">
        <f>+'STER Detailed Disclosure'!M117/1000</f>
        <v>599.202</v>
      </c>
      <c r="N137" s="2159">
        <f>+'STER Detailed Disclosure'!N117/1000</f>
        <v>499.10700000000003</v>
      </c>
      <c r="O137" s="2166">
        <f>+'STER Detailed Disclosure'!O117/1000</f>
        <v>497.96899999999999</v>
      </c>
      <c r="P137" s="2166">
        <f>+'STER Detailed Disclosure'!P117/1000</f>
        <v>496.83499999999998</v>
      </c>
      <c r="Q137" s="2166">
        <f>+'STER Detailed Disclosure'!Q117/1000</f>
        <v>495.70499999999998</v>
      </c>
      <c r="R137" s="2159">
        <f>+'STER Detailed Disclosure'!R117/1000</f>
        <v>493.99</v>
      </c>
      <c r="S137" s="2166">
        <f>+'STER Detailed Disclosure'!S117/1000</f>
        <v>490.43400000000003</v>
      </c>
      <c r="T137" s="2166">
        <f>+'STER Detailed Disclosure'!T117/1000</f>
        <v>486.88200000000001</v>
      </c>
      <c r="U137" s="2166">
        <f>+'STER Detailed Disclosure'!U117/1000</f>
        <v>483.334</v>
      </c>
      <c r="V137" s="2159">
        <f>+'STER Detailed Disclosure'!V117/1000</f>
        <v>479.78800000000001</v>
      </c>
      <c r="W137" s="2153">
        <f>+'STER Detailed Disclosure'!W117/1000</f>
        <v>541.24199999999996</v>
      </c>
      <c r="X137" s="2153">
        <f>+'STER Detailed Disclosure'!X117/1000</f>
        <v>537.69600000000003</v>
      </c>
      <c r="Y137" s="2288"/>
      <c r="Z137" s="571"/>
      <c r="AA137" s="571"/>
      <c r="AB137" s="571"/>
      <c r="AC137" s="571"/>
      <c r="AD137" s="571"/>
      <c r="AE137" s="571"/>
      <c r="AF137" s="571"/>
      <c r="AG137" s="571"/>
      <c r="AH137" s="571"/>
      <c r="AI137" s="571"/>
      <c r="AJ137" s="571"/>
      <c r="AK137" s="571"/>
      <c r="AL137" s="571"/>
      <c r="AM137" s="571"/>
      <c r="AN137" s="571"/>
      <c r="AO137" s="571"/>
      <c r="AP137" s="2153"/>
      <c r="AQ137" s="2153">
        <f>+'STER Detailed Disclosure'!AQ117/1000</f>
        <v>613.096</v>
      </c>
      <c r="AR137" s="2153">
        <f>+'STER Detailed Disclosure'!AR117/1000</f>
        <v>602.30600000000004</v>
      </c>
      <c r="AS137" s="2153">
        <f>+'STER Detailed Disclosure'!AS117/1000</f>
        <v>499.10700000000003</v>
      </c>
      <c r="AT137" s="2153">
        <f>+'STER Detailed Disclosure'!AT117/1000</f>
        <v>493.99</v>
      </c>
      <c r="AU137" s="2153">
        <f>+'STER Detailed Disclosure'!AU117/1000</f>
        <v>479.78800000000001</v>
      </c>
    </row>
    <row r="138" spans="1:49" x14ac:dyDescent="0.25">
      <c r="A138" s="649" t="str">
        <f>+'STER Detailed Disclosure'!A118</f>
        <v>Deferred tax liabilities</v>
      </c>
      <c r="C138" s="571"/>
      <c r="D138" s="571"/>
      <c r="E138" s="571"/>
      <c r="F138" s="2159">
        <f>+'STER Detailed Disclosure'!F118/1000</f>
        <v>46.16</v>
      </c>
      <c r="G138" s="2166"/>
      <c r="H138" s="2166"/>
      <c r="I138" s="2166"/>
      <c r="J138" s="2159">
        <f>+'STER Detailed Disclosure'!J118/1000</f>
        <v>29.4</v>
      </c>
      <c r="K138" s="2166"/>
      <c r="L138" s="2166">
        <f>+'STER Detailed Disclosure'!L118/1000</f>
        <v>28.651</v>
      </c>
      <c r="M138" s="2166">
        <f>+'STER Detailed Disclosure'!M118/1000</f>
        <v>15.895</v>
      </c>
      <c r="N138" s="2159">
        <f>+'STER Detailed Disclosure'!N118/1000</f>
        <v>28.584</v>
      </c>
      <c r="O138" s="2166">
        <f>+'STER Detailed Disclosure'!O118/1000</f>
        <v>30.832000000000001</v>
      </c>
      <c r="P138" s="2166">
        <f>+'STER Detailed Disclosure'!P118/1000</f>
        <v>30.065000000000001</v>
      </c>
      <c r="Q138" s="2166">
        <f>+'STER Detailed Disclosure'!Q118/1000</f>
        <v>31.542000000000002</v>
      </c>
      <c r="R138" s="2159">
        <f>+'STER Detailed Disclosure'!R118/1000</f>
        <v>23.707000000000001</v>
      </c>
      <c r="S138" s="2166">
        <f>+'STER Detailed Disclosure'!S118/1000</f>
        <v>30.102</v>
      </c>
      <c r="T138" s="2166">
        <f>+'STER Detailed Disclosure'!T118/1000</f>
        <v>31.530999999999999</v>
      </c>
      <c r="U138" s="2166">
        <f>+'STER Detailed Disclosure'!U118/1000</f>
        <v>31.584</v>
      </c>
      <c r="V138" s="2159">
        <f>+'STER Detailed Disclosure'!V118/1000</f>
        <v>14.239000000000001</v>
      </c>
      <c r="W138" s="2153">
        <f>+'STER Detailed Disclosure'!W118/1000</f>
        <v>0.9</v>
      </c>
      <c r="X138" s="2153">
        <f>+'STER Detailed Disclosure'!X118/1000</f>
        <v>6.1139999999999999</v>
      </c>
      <c r="Y138" s="2288"/>
      <c r="Z138" s="571"/>
      <c r="AA138" s="571"/>
      <c r="AB138" s="571"/>
      <c r="AC138" s="571"/>
      <c r="AD138" s="571"/>
      <c r="AE138" s="571"/>
      <c r="AF138" s="571"/>
      <c r="AG138" s="571"/>
      <c r="AH138" s="571"/>
      <c r="AI138" s="571"/>
      <c r="AJ138" s="571"/>
      <c r="AK138" s="571"/>
      <c r="AL138" s="571"/>
      <c r="AM138" s="571"/>
      <c r="AN138" s="571"/>
      <c r="AO138" s="571"/>
      <c r="AP138" s="2153"/>
      <c r="AQ138" s="2153">
        <f>+'STER Detailed Disclosure'!AQ118/1000</f>
        <v>46.16</v>
      </c>
      <c r="AR138" s="2153">
        <f>+'STER Detailed Disclosure'!AR118/1000</f>
        <v>29.4</v>
      </c>
      <c r="AS138" s="2153">
        <f>+'STER Detailed Disclosure'!AS118/1000</f>
        <v>28.584</v>
      </c>
      <c r="AT138" s="2153">
        <f>+'STER Detailed Disclosure'!AT118/1000</f>
        <v>23.707000000000001</v>
      </c>
      <c r="AU138" s="2153">
        <f>+'STER Detailed Disclosure'!AU118/1000</f>
        <v>14.239000000000001</v>
      </c>
    </row>
    <row r="139" spans="1:49" x14ac:dyDescent="0.25">
      <c r="A139" s="649" t="str">
        <f>+'STER Detailed Disclosure'!A119</f>
        <v>Long-term operating leases liability, net of current portion</v>
      </c>
      <c r="C139" s="571"/>
      <c r="D139" s="571"/>
      <c r="E139" s="571"/>
      <c r="F139" s="2159">
        <f>+'STER Detailed Disclosure'!F119/1000</f>
        <v>0</v>
      </c>
      <c r="G139" s="2166"/>
      <c r="H139" s="2166"/>
      <c r="I139" s="2166"/>
      <c r="J139" s="2159">
        <f>+'STER Detailed Disclosure'!J119/1000</f>
        <v>0</v>
      </c>
      <c r="K139" s="2166"/>
      <c r="L139" s="2166">
        <f>+'STER Detailed Disclosure'!L119/1000</f>
        <v>0</v>
      </c>
      <c r="M139" s="2166">
        <f>+'STER Detailed Disclosure'!M119/1000</f>
        <v>0</v>
      </c>
      <c r="N139" s="2159">
        <f>+'STER Detailed Disclosure'!N119/1000</f>
        <v>0</v>
      </c>
      <c r="O139" s="2166">
        <f>+'STER Detailed Disclosure'!O119/1000</f>
        <v>19.042000000000002</v>
      </c>
      <c r="P139" s="2166">
        <f>+'STER Detailed Disclosure'!P119/1000</f>
        <v>18.175999999999998</v>
      </c>
      <c r="Q139" s="2166">
        <f>+'STER Detailed Disclosure'!Q119/1000</f>
        <v>18.087</v>
      </c>
      <c r="R139" s="2159">
        <f>+'STER Detailed Disclosure'!R119/1000</f>
        <v>16.835000000000001</v>
      </c>
      <c r="S139" s="2166">
        <f>+'STER Detailed Disclosure'!S119/1000</f>
        <v>16.574000000000002</v>
      </c>
      <c r="T139" s="2166">
        <f>+'STER Detailed Disclosure'!T119/1000</f>
        <v>10.182</v>
      </c>
      <c r="U139" s="2166">
        <f>+'STER Detailed Disclosure'!U119/1000</f>
        <v>8.8339999999999996</v>
      </c>
      <c r="V139" s="2159">
        <f>+'STER Detailed Disclosure'!V119/1000</f>
        <v>7.2779999999999996</v>
      </c>
      <c r="W139" s="2153">
        <f>+'STER Detailed Disclosure'!W119/1000</f>
        <v>6.6059999999999999</v>
      </c>
      <c r="X139" s="2153">
        <f>+'STER Detailed Disclosure'!X119/1000</f>
        <v>6.0540000000000003</v>
      </c>
      <c r="Y139" s="2288"/>
      <c r="Z139" s="571"/>
      <c r="AA139" s="571"/>
      <c r="AB139" s="571"/>
      <c r="AC139" s="571"/>
      <c r="AD139" s="571"/>
      <c r="AE139" s="571"/>
      <c r="AF139" s="571"/>
      <c r="AG139" s="571"/>
      <c r="AH139" s="571"/>
      <c r="AI139" s="571"/>
      <c r="AJ139" s="571"/>
      <c r="AK139" s="571"/>
      <c r="AL139" s="571"/>
      <c r="AM139" s="571"/>
      <c r="AN139" s="571"/>
      <c r="AO139" s="571"/>
      <c r="AP139" s="2153"/>
      <c r="AQ139" s="2153">
        <f>+'STER Detailed Disclosure'!AQ119/1000</f>
        <v>0</v>
      </c>
      <c r="AR139" s="2153">
        <f>+'STER Detailed Disclosure'!AR119/1000</f>
        <v>0</v>
      </c>
      <c r="AS139" s="2153">
        <f>+'STER Detailed Disclosure'!AS119/1000</f>
        <v>0</v>
      </c>
      <c r="AT139" s="2153">
        <f>+'STER Detailed Disclosure'!AT119/1000</f>
        <v>16.835000000000001</v>
      </c>
      <c r="AU139" s="2153">
        <f>+'STER Detailed Disclosure'!AU119/1000</f>
        <v>7.2779999999999996</v>
      </c>
    </row>
    <row r="140" spans="1:49" s="413" customFormat="1" ht="14" x14ac:dyDescent="0.4">
      <c r="A140" s="132" t="str">
        <f>+'STER Detailed Disclosure'!A120</f>
        <v>Other liabilities</v>
      </c>
      <c r="C140" s="719"/>
      <c r="D140" s="719"/>
      <c r="E140" s="719"/>
      <c r="F140" s="718">
        <f>+'STER Detailed Disclosure'!F120/1000</f>
        <v>12.226000000000001</v>
      </c>
      <c r="G140" s="719"/>
      <c r="H140" s="719"/>
      <c r="I140" s="719"/>
      <c r="J140" s="718">
        <f>+'STER Detailed Disclosure'!J120/1000</f>
        <v>15.236000000000001</v>
      </c>
      <c r="K140" s="719"/>
      <c r="L140" s="719">
        <f>+'STER Detailed Disclosure'!L120/1000</f>
        <v>8.4329999999999998</v>
      </c>
      <c r="M140" s="719">
        <f>+'STER Detailed Disclosure'!M120/1000</f>
        <v>7.1710000000000003</v>
      </c>
      <c r="N140" s="718">
        <f>+'STER Detailed Disclosure'!N120/1000</f>
        <v>5.024</v>
      </c>
      <c r="O140" s="719">
        <f>+'STER Detailed Disclosure'!O120/1000</f>
        <v>2.577</v>
      </c>
      <c r="P140" s="719">
        <f>+'STER Detailed Disclosure'!P120/1000</f>
        <v>4.742</v>
      </c>
      <c r="Q140" s="719">
        <f>+'STER Detailed Disclosure'!Q120/1000</f>
        <v>4.1710000000000003</v>
      </c>
      <c r="R140" s="718">
        <f>+'STER Detailed Disclosure'!R120/1000</f>
        <v>2.3359999999999999</v>
      </c>
      <c r="S140" s="719">
        <f>+'STER Detailed Disclosure'!S120/1000</f>
        <v>12.680999999999999</v>
      </c>
      <c r="T140" s="719">
        <f>+'STER Detailed Disclosure'!T120/1000</f>
        <v>7.9420000000000002</v>
      </c>
      <c r="U140" s="719">
        <f>+'STER Detailed Disclosure'!U120/1000</f>
        <v>3.7370000000000001</v>
      </c>
      <c r="V140" s="718">
        <f>+'STER Detailed Disclosure'!V120/1000</f>
        <v>12.058</v>
      </c>
      <c r="W140" s="719">
        <f>+'STER Detailed Disclosure'!W120/1000</f>
        <v>7.7169999999999996</v>
      </c>
      <c r="X140" s="719">
        <f>+'STER Detailed Disclosure'!X120/1000</f>
        <v>6.9240000000000004</v>
      </c>
      <c r="Y140" s="2284"/>
      <c r="Z140" s="719"/>
      <c r="AA140" s="719"/>
      <c r="AB140" s="719"/>
      <c r="AC140" s="719"/>
      <c r="AD140" s="719"/>
      <c r="AE140" s="719"/>
      <c r="AF140" s="719"/>
      <c r="AG140" s="719"/>
      <c r="AH140" s="719"/>
      <c r="AI140" s="719"/>
      <c r="AJ140" s="719"/>
      <c r="AK140" s="719"/>
      <c r="AL140" s="719"/>
      <c r="AM140" s="719"/>
      <c r="AN140" s="719"/>
      <c r="AO140" s="719"/>
      <c r="AP140" s="719"/>
      <c r="AQ140" s="719">
        <f>+'STER Detailed Disclosure'!AQ120/1000</f>
        <v>12.226000000000001</v>
      </c>
      <c r="AR140" s="719">
        <f>+'STER Detailed Disclosure'!AR120/1000</f>
        <v>15.236000000000001</v>
      </c>
      <c r="AS140" s="719">
        <f>+'STER Detailed Disclosure'!AS120/1000</f>
        <v>5.024</v>
      </c>
      <c r="AT140" s="719">
        <f>+'STER Detailed Disclosure'!AT120/1000</f>
        <v>2.3359999999999999</v>
      </c>
      <c r="AU140" s="719">
        <f>+'STER Detailed Disclosure'!AU120/1000</f>
        <v>12.058</v>
      </c>
      <c r="AV140" s="719"/>
      <c r="AW140" s="614"/>
    </row>
    <row r="141" spans="1:49" x14ac:dyDescent="0.25">
      <c r="A141" s="425" t="str">
        <f>+'STER Detailed Disclosure'!A121</f>
        <v>Total liabilities</v>
      </c>
      <c r="C141" s="583"/>
      <c r="D141" s="583"/>
      <c r="E141" s="583"/>
      <c r="F141" s="588">
        <f>+'STER Detailed Disclosure'!F121/1000</f>
        <v>763.63800000000003</v>
      </c>
      <c r="G141" s="583"/>
      <c r="H141" s="583"/>
      <c r="I141" s="583"/>
      <c r="J141" s="588">
        <f>+'STER Detailed Disclosure'!J121/1000</f>
        <v>732.93399999999997</v>
      </c>
      <c r="K141" s="583"/>
      <c r="L141" s="583">
        <f>+'STER Detailed Disclosure'!L121/1000</f>
        <v>744.78800000000001</v>
      </c>
      <c r="M141" s="583">
        <f>+'STER Detailed Disclosure'!M121/1000</f>
        <v>728.54899999999998</v>
      </c>
      <c r="N141" s="588">
        <f>+'STER Detailed Disclosure'!N121/1000</f>
        <v>662.63499999999999</v>
      </c>
      <c r="O141" s="583">
        <f>+'STER Detailed Disclosure'!O121/1000</f>
        <v>674.12599999999998</v>
      </c>
      <c r="P141" s="583">
        <f>+'STER Detailed Disclosure'!P121/1000</f>
        <v>679.69500000000005</v>
      </c>
      <c r="Q141" s="583">
        <f>+'STER Detailed Disclosure'!Q121/1000</f>
        <v>676.71299999999997</v>
      </c>
      <c r="R141" s="588">
        <f>+'STER Detailed Disclosure'!R121/1000</f>
        <v>670.60799999999995</v>
      </c>
      <c r="S141" s="583">
        <f>+'STER Detailed Disclosure'!S121/1000</f>
        <v>679.77800000000002</v>
      </c>
      <c r="T141" s="583">
        <f>+'STER Detailed Disclosure'!T121/1000</f>
        <v>669.71600000000001</v>
      </c>
      <c r="U141" s="583">
        <f>+'STER Detailed Disclosure'!U121/1000</f>
        <v>666.17399999999998</v>
      </c>
      <c r="V141" s="588">
        <f>+'STER Detailed Disclosure'!V121/1000</f>
        <v>661.49900000000002</v>
      </c>
      <c r="W141" s="583">
        <f>+'STER Detailed Disclosure'!W121/1000</f>
        <v>723.01400000000001</v>
      </c>
      <c r="X141" s="583">
        <f>+'STER Detailed Disclosure'!X121/1000</f>
        <v>729.11300000000006</v>
      </c>
      <c r="Y141" s="2286"/>
      <c r="Z141" s="583"/>
      <c r="AA141" s="583"/>
      <c r="AB141" s="583"/>
      <c r="AC141" s="583"/>
      <c r="AD141" s="583"/>
      <c r="AE141" s="583"/>
      <c r="AF141" s="583"/>
      <c r="AG141" s="583"/>
      <c r="AH141" s="583"/>
      <c r="AI141" s="583"/>
      <c r="AJ141" s="583"/>
      <c r="AK141" s="583"/>
      <c r="AL141" s="583"/>
      <c r="AM141" s="583"/>
      <c r="AN141" s="583"/>
      <c r="AO141" s="583"/>
      <c r="AP141" s="583"/>
      <c r="AQ141" s="583">
        <f>+'STER Detailed Disclosure'!AQ121/1000</f>
        <v>763.63800000000003</v>
      </c>
      <c r="AR141" s="583">
        <f>+'STER Detailed Disclosure'!AR121/1000</f>
        <v>732.93399999999997</v>
      </c>
      <c r="AS141" s="583">
        <f>+'STER Detailed Disclosure'!AS121/1000</f>
        <v>662.63499999999999</v>
      </c>
      <c r="AT141" s="583">
        <f>+'STER Detailed Disclosure'!AT121/1000</f>
        <v>670.60799999999995</v>
      </c>
      <c r="AU141" s="583">
        <f>+'STER Detailed Disclosure'!AU121/1000</f>
        <v>661.49900000000002</v>
      </c>
      <c r="AV141" s="583"/>
      <c r="AW141" s="571"/>
    </row>
    <row r="142" spans="1:49" x14ac:dyDescent="0.25">
      <c r="A142" s="649" t="str">
        <f>+'STER Detailed Disclosure'!A122</f>
        <v xml:space="preserve">COMMITMENTS AND CONTINGENCIES </v>
      </c>
      <c r="C142" s="571"/>
      <c r="D142" s="571"/>
      <c r="E142" s="571"/>
      <c r="F142" s="666">
        <f>+'STER Detailed Disclosure'!F122/1000</f>
        <v>0</v>
      </c>
      <c r="G142" s="667"/>
      <c r="H142" s="667"/>
      <c r="I142" s="667"/>
      <c r="J142" s="666">
        <f>+'STER Detailed Disclosure'!J122/1000</f>
        <v>0</v>
      </c>
      <c r="K142" s="667"/>
      <c r="L142" s="667">
        <f>+'STER Detailed Disclosure'!L122/1000</f>
        <v>0</v>
      </c>
      <c r="M142" s="667">
        <f>+'STER Detailed Disclosure'!M122/1000</f>
        <v>0</v>
      </c>
      <c r="N142" s="666">
        <f>+'STER Detailed Disclosure'!N122/1000</f>
        <v>0</v>
      </c>
      <c r="O142" s="667">
        <f>+'STER Detailed Disclosure'!O122/1000</f>
        <v>0</v>
      </c>
      <c r="P142" s="667">
        <f>+'STER Detailed Disclosure'!P122/1000</f>
        <v>0</v>
      </c>
      <c r="Q142" s="667">
        <f>+'STER Detailed Disclosure'!Q122/1000</f>
        <v>0</v>
      </c>
      <c r="R142" s="666">
        <f>+'STER Detailed Disclosure'!R122/1000</f>
        <v>0</v>
      </c>
      <c r="S142" s="667">
        <f>+'STER Detailed Disclosure'!S122/1000</f>
        <v>0</v>
      </c>
      <c r="T142" s="667">
        <f>+'STER Detailed Disclosure'!T122/1000</f>
        <v>0</v>
      </c>
      <c r="U142" s="667">
        <f>+'STER Detailed Disclosure'!U122/1000</f>
        <v>0</v>
      </c>
      <c r="V142" s="666">
        <f>+'STER Detailed Disclosure'!V122/1000</f>
        <v>0</v>
      </c>
      <c r="W142" s="571">
        <f>+'STER Detailed Disclosure'!W122/1000</f>
        <v>0</v>
      </c>
      <c r="X142" s="571">
        <f>+'STER Detailed Disclosure'!X122/1000</f>
        <v>0</v>
      </c>
      <c r="Y142" s="2283"/>
      <c r="Z142" s="571"/>
      <c r="AA142" s="571"/>
      <c r="AB142" s="571"/>
      <c r="AC142" s="571"/>
      <c r="AD142" s="571"/>
      <c r="AE142" s="571"/>
      <c r="AF142" s="571"/>
      <c r="AG142" s="571"/>
      <c r="AH142" s="571"/>
      <c r="AI142" s="571"/>
      <c r="AJ142" s="571"/>
      <c r="AK142" s="571"/>
      <c r="AL142" s="571"/>
      <c r="AM142" s="571"/>
      <c r="AN142" s="571"/>
      <c r="AO142" s="571"/>
      <c r="AP142" s="571"/>
      <c r="AQ142" s="571">
        <f>+'STER Detailed Disclosure'!AQ122/1000</f>
        <v>0</v>
      </c>
      <c r="AR142" s="571">
        <f>+'STER Detailed Disclosure'!AR122/1000</f>
        <v>0</v>
      </c>
      <c r="AS142" s="571">
        <f>+'STER Detailed Disclosure'!AS122/1000</f>
        <v>0</v>
      </c>
      <c r="AT142" s="2155">
        <f>+'STER Detailed Disclosure'!AT122/1000</f>
        <v>0</v>
      </c>
      <c r="AU142" s="2155">
        <f>+'STER Detailed Disclosure'!AU122/1000</f>
        <v>0</v>
      </c>
    </row>
    <row r="143" spans="1:49" x14ac:dyDescent="0.25">
      <c r="A143" s="649" t="str">
        <f>+'STER Detailed Disclosure'!A123</f>
        <v>STOCKHOLDERS' EQUITY:</v>
      </c>
      <c r="C143" s="571"/>
      <c r="D143" s="571"/>
      <c r="E143" s="571"/>
      <c r="F143" s="666">
        <f>+'STER Detailed Disclosure'!F123/1000</f>
        <v>0</v>
      </c>
      <c r="G143" s="667"/>
      <c r="H143" s="667"/>
      <c r="I143" s="667"/>
      <c r="J143" s="666">
        <f>+'STER Detailed Disclosure'!J123/1000</f>
        <v>0</v>
      </c>
      <c r="K143" s="667"/>
      <c r="L143" s="667">
        <f>+'STER Detailed Disclosure'!L123/1000</f>
        <v>0</v>
      </c>
      <c r="M143" s="667">
        <f>+'STER Detailed Disclosure'!M123/1000</f>
        <v>0</v>
      </c>
      <c r="N143" s="666">
        <f>+'STER Detailed Disclosure'!N123/1000</f>
        <v>0</v>
      </c>
      <c r="O143" s="667">
        <f>+'STER Detailed Disclosure'!O123/1000</f>
        <v>0</v>
      </c>
      <c r="P143" s="667">
        <f>+'STER Detailed Disclosure'!P123/1000</f>
        <v>0</v>
      </c>
      <c r="Q143" s="667">
        <f>+'STER Detailed Disclosure'!Q123/1000</f>
        <v>0</v>
      </c>
      <c r="R143" s="666">
        <f>+'STER Detailed Disclosure'!R123/1000</f>
        <v>0</v>
      </c>
      <c r="S143" s="667">
        <f>+'STER Detailed Disclosure'!S123/1000</f>
        <v>0</v>
      </c>
      <c r="T143" s="667">
        <f>+'STER Detailed Disclosure'!T123/1000</f>
        <v>0</v>
      </c>
      <c r="U143" s="667">
        <f>+'STER Detailed Disclosure'!U123/1000</f>
        <v>0</v>
      </c>
      <c r="V143" s="666">
        <f>+'STER Detailed Disclosure'!V123/1000</f>
        <v>0</v>
      </c>
      <c r="W143" s="571">
        <f>+'STER Detailed Disclosure'!W123/1000</f>
        <v>0</v>
      </c>
      <c r="X143" s="571">
        <f>+'STER Detailed Disclosure'!X123/1000</f>
        <v>0</v>
      </c>
      <c r="Y143" s="2283"/>
      <c r="Z143" s="571"/>
      <c r="AA143" s="571"/>
      <c r="AB143" s="571"/>
      <c r="AC143" s="571"/>
      <c r="AD143" s="571"/>
      <c r="AE143" s="571"/>
      <c r="AF143" s="571"/>
      <c r="AG143" s="571"/>
      <c r="AH143" s="571"/>
      <c r="AI143" s="571"/>
      <c r="AJ143" s="571"/>
      <c r="AK143" s="571"/>
      <c r="AL143" s="571"/>
      <c r="AM143" s="571"/>
      <c r="AN143" s="571"/>
      <c r="AO143" s="571"/>
      <c r="AP143" s="571"/>
      <c r="AQ143" s="571">
        <f>+'STER Detailed Disclosure'!AQ123/1000</f>
        <v>0</v>
      </c>
      <c r="AR143" s="571">
        <f>+'STER Detailed Disclosure'!AR123/1000</f>
        <v>0</v>
      </c>
      <c r="AS143" s="571">
        <f>+'STER Detailed Disclosure'!AS123/1000</f>
        <v>0</v>
      </c>
      <c r="AT143" s="2155">
        <f>+'STER Detailed Disclosure'!AT123/1000</f>
        <v>0</v>
      </c>
      <c r="AU143" s="2155">
        <f>+'STER Detailed Disclosure'!AU123/1000</f>
        <v>0</v>
      </c>
    </row>
    <row r="144" spans="1:49" x14ac:dyDescent="0.25">
      <c r="A144" s="649" t="str">
        <f>+'STER Detailed Disclosure'!A124</f>
        <v>Preferred stock ($0.01 par value; 100,000,000 shares authorized; no shares issued or outstanding)</v>
      </c>
      <c r="C144" s="571"/>
      <c r="D144" s="571"/>
      <c r="E144" s="571"/>
      <c r="F144" s="2159">
        <f>+'STER Detailed Disclosure'!F124/1000</f>
        <v>0</v>
      </c>
      <c r="G144" s="2166"/>
      <c r="H144" s="2166"/>
      <c r="I144" s="2166"/>
      <c r="J144" s="2159">
        <f>+'STER Detailed Disclosure'!J124/1000</f>
        <v>0</v>
      </c>
      <c r="K144" s="2166"/>
      <c r="L144" s="2166">
        <f>+'STER Detailed Disclosure'!L124/1000</f>
        <v>0</v>
      </c>
      <c r="M144" s="2166">
        <f>+'STER Detailed Disclosure'!M124/1000</f>
        <v>0</v>
      </c>
      <c r="N144" s="2159">
        <f>+'STER Detailed Disclosure'!N124/1000</f>
        <v>0</v>
      </c>
      <c r="O144" s="2166">
        <f>+'STER Detailed Disclosure'!O124/1000</f>
        <v>0</v>
      </c>
      <c r="P144" s="2166">
        <f>+'STER Detailed Disclosure'!P124/1000</f>
        <v>0</v>
      </c>
      <c r="Q144" s="2166">
        <f>+'STER Detailed Disclosure'!Q124/1000</f>
        <v>0</v>
      </c>
      <c r="R144" s="2159">
        <f>+'STER Detailed Disclosure'!R124/1000</f>
        <v>0</v>
      </c>
      <c r="S144" s="2166">
        <f>+'STER Detailed Disclosure'!S124/1000</f>
        <v>0</v>
      </c>
      <c r="T144" s="2166">
        <f>+'STER Detailed Disclosure'!T124/1000</f>
        <v>0</v>
      </c>
      <c r="U144" s="2166">
        <f>+'STER Detailed Disclosure'!U124/1000</f>
        <v>0</v>
      </c>
      <c r="V144" s="2159">
        <f>+'STER Detailed Disclosure'!V124/1000</f>
        <v>0</v>
      </c>
      <c r="W144" s="2153">
        <f>+'STER Detailed Disclosure'!W124/1000</f>
        <v>0</v>
      </c>
      <c r="X144" s="2153">
        <f>+'STER Detailed Disclosure'!X124/1000</f>
        <v>0</v>
      </c>
      <c r="Y144" s="2288"/>
      <c r="Z144" s="571"/>
      <c r="AA144" s="571"/>
      <c r="AB144" s="571"/>
      <c r="AC144" s="571"/>
      <c r="AD144" s="571"/>
      <c r="AE144" s="571"/>
      <c r="AF144" s="571"/>
      <c r="AG144" s="571"/>
      <c r="AH144" s="571"/>
      <c r="AI144" s="571"/>
      <c r="AJ144" s="571"/>
      <c r="AK144" s="571"/>
      <c r="AL144" s="571"/>
      <c r="AM144" s="571"/>
      <c r="AN144" s="571"/>
      <c r="AO144" s="571"/>
      <c r="AP144" s="571"/>
      <c r="AQ144" s="2153">
        <f>+'STER Detailed Disclosure'!AQ124/1000</f>
        <v>0</v>
      </c>
      <c r="AR144" s="2153">
        <f>+'STER Detailed Disclosure'!AR124/1000</f>
        <v>0</v>
      </c>
      <c r="AS144" s="2153">
        <f>+'STER Detailed Disclosure'!AS124/1000</f>
        <v>0</v>
      </c>
      <c r="AT144" s="2153">
        <f>+'STER Detailed Disclosure'!AT124/1000</f>
        <v>0</v>
      </c>
      <c r="AU144" s="2153">
        <f>+'STER Detailed Disclosure'!AU124/1000</f>
        <v>0</v>
      </c>
    </row>
    <row r="145" spans="1:49" x14ac:dyDescent="0.25">
      <c r="A145" s="649" t="str">
        <f>+'STER Detailed Disclosure'!A125</f>
        <v>Common stock ($0.01 par value; 1,000,000,000 shares authorized; 99,966,158 shares issued and 93,194,403 shares outstanding at December 31, 2023; 97,765,120 shares issued and 96,717,883 shares outstanding at December 31, 2022)</v>
      </c>
      <c r="C145" s="571"/>
      <c r="D145" s="571"/>
      <c r="E145" s="571"/>
      <c r="F145" s="2159">
        <f>+'STER Detailed Disclosure'!F125/1000</f>
        <v>1E-3</v>
      </c>
      <c r="G145" s="2166"/>
      <c r="H145" s="2166"/>
      <c r="I145" s="2166"/>
      <c r="J145" s="2159">
        <f>+'STER Detailed Disclosure'!J125/1000</f>
        <v>1E-3</v>
      </c>
      <c r="K145" s="2166"/>
      <c r="L145" s="2166">
        <f>+'STER Detailed Disclosure'!L125/1000</f>
        <v>1E-3</v>
      </c>
      <c r="M145" s="2166">
        <f>+'STER Detailed Disclosure'!M125/1000</f>
        <v>6.8000000000000005E-2</v>
      </c>
      <c r="N145" s="2159">
        <f>+'STER Detailed Disclosure'!N125/1000</f>
        <v>6.8000000000000005E-2</v>
      </c>
      <c r="O145" s="2166">
        <f>+'STER Detailed Disclosure'!O125/1000</f>
        <v>7.2999999999999995E-2</v>
      </c>
      <c r="P145" s="2166">
        <f>+'STER Detailed Disclosure'!P125/1000</f>
        <v>7.2999999999999995E-2</v>
      </c>
      <c r="Q145" s="2166">
        <f>+'STER Detailed Disclosure'!Q125/1000</f>
        <v>7.4999999999999997E-2</v>
      </c>
      <c r="R145" s="2159">
        <f>+'STER Detailed Disclosure'!R125/1000</f>
        <v>7.5999999999999998E-2</v>
      </c>
      <c r="S145" s="2166">
        <f>+'STER Detailed Disclosure'!S125/1000</f>
        <v>9.5000000000000001E-2</v>
      </c>
      <c r="T145" s="2166">
        <f>+'STER Detailed Disclosure'!T125/1000</f>
        <v>9.6000000000000002E-2</v>
      </c>
      <c r="U145" s="2166">
        <f>+'STER Detailed Disclosure'!U125/1000</f>
        <v>9.7000000000000003E-2</v>
      </c>
      <c r="V145" s="2159">
        <f>+'STER Detailed Disclosure'!V125/1000</f>
        <v>9.8000000000000004E-2</v>
      </c>
      <c r="W145" s="2153">
        <f>+'STER Detailed Disclosure'!W125/1000</f>
        <v>0.156</v>
      </c>
      <c r="X145" s="2153">
        <f>+'STER Detailed Disclosure'!X125/1000</f>
        <v>0.157</v>
      </c>
      <c r="Y145" s="2288"/>
      <c r="Z145" s="571"/>
      <c r="AA145" s="571"/>
      <c r="AB145" s="571"/>
      <c r="AC145" s="571"/>
      <c r="AD145" s="571"/>
      <c r="AE145" s="571"/>
      <c r="AF145" s="571"/>
      <c r="AG145" s="571"/>
      <c r="AH145" s="571"/>
      <c r="AI145" s="571"/>
      <c r="AJ145" s="571"/>
      <c r="AK145" s="571"/>
      <c r="AL145" s="571"/>
      <c r="AM145" s="571"/>
      <c r="AN145" s="571"/>
      <c r="AO145" s="571"/>
      <c r="AP145" s="571"/>
      <c r="AQ145" s="2153">
        <f>+'STER Detailed Disclosure'!AQ125/1000</f>
        <v>1E-3</v>
      </c>
      <c r="AR145" s="2153">
        <f>+'STER Detailed Disclosure'!AR125/1000</f>
        <v>1E-3</v>
      </c>
      <c r="AS145" s="2153">
        <f>+'STER Detailed Disclosure'!AS125/1000</f>
        <v>6.8000000000000005E-2</v>
      </c>
      <c r="AT145" s="2153">
        <f>+'STER Detailed Disclosure'!AT125/1000</f>
        <v>7.5999999999999998E-2</v>
      </c>
      <c r="AU145" s="2153">
        <f>+'STER Detailed Disclosure'!AU125/1000</f>
        <v>9.8000000000000004E-2</v>
      </c>
    </row>
    <row r="146" spans="1:49" x14ac:dyDescent="0.25">
      <c r="A146" s="649" t="str">
        <f>+'STER Detailed Disclosure'!A126</f>
        <v>Additional paid-in capital</v>
      </c>
      <c r="C146" s="571"/>
      <c r="D146" s="571"/>
      <c r="E146" s="571"/>
      <c r="F146" s="2159">
        <f>+'STER Detailed Disclosure'!F126/1000</f>
        <v>764.76900000000001</v>
      </c>
      <c r="G146" s="2166"/>
      <c r="H146" s="2166"/>
      <c r="I146" s="2166"/>
      <c r="J146" s="2159">
        <f>+'STER Detailed Disclosure'!J126/1000</f>
        <v>770.71400000000006</v>
      </c>
      <c r="K146" s="2166"/>
      <c r="L146" s="2166">
        <f>+'STER Detailed Disclosure'!L126/1000</f>
        <v>774.81700000000001</v>
      </c>
      <c r="M146" s="2166">
        <f>+'STER Detailed Disclosure'!M126/1000</f>
        <v>911.23299999999995</v>
      </c>
      <c r="N146" s="2159">
        <f>+'STER Detailed Disclosure'!N126/1000</f>
        <v>916.57799999999997</v>
      </c>
      <c r="O146" s="2166">
        <f>+'STER Detailed Disclosure'!O126/1000</f>
        <v>921.75300000000004</v>
      </c>
      <c r="P146" s="2166">
        <f>+'STER Detailed Disclosure'!P126/1000</f>
        <v>928.48599999999999</v>
      </c>
      <c r="Q146" s="2166">
        <f>+'STER Detailed Disclosure'!Q126/1000</f>
        <v>936.23900000000003</v>
      </c>
      <c r="R146" s="2159">
        <f>+'STER Detailed Disclosure'!R126/1000</f>
        <v>942.78899999999999</v>
      </c>
      <c r="S146" s="2166">
        <f>+'STER Detailed Disclosure'!S126/1000</f>
        <v>950.81299999999999</v>
      </c>
      <c r="T146" s="2166">
        <f>+'STER Detailed Disclosure'!T126/1000</f>
        <v>960.78099999999995</v>
      </c>
      <c r="U146" s="2166">
        <f>+'STER Detailed Disclosure'!U126/1000</f>
        <v>971.95</v>
      </c>
      <c r="V146" s="2159">
        <f>+'STER Detailed Disclosure'!V126/1000</f>
        <v>983.28300000000002</v>
      </c>
      <c r="W146" s="2153">
        <f>+'STER Detailed Disclosure'!W126/1000</f>
        <v>1027.2139999999999</v>
      </c>
      <c r="X146" s="2153">
        <f>+'STER Detailed Disclosure'!X126/1000</f>
        <v>1039.337</v>
      </c>
      <c r="Y146" s="2288"/>
      <c r="Z146" s="571"/>
      <c r="AA146" s="571"/>
      <c r="AB146" s="571"/>
      <c r="AC146" s="571"/>
      <c r="AD146" s="571"/>
      <c r="AE146" s="571"/>
      <c r="AF146" s="571"/>
      <c r="AG146" s="571"/>
      <c r="AH146" s="571"/>
      <c r="AI146" s="571"/>
      <c r="AJ146" s="571"/>
      <c r="AK146" s="571"/>
      <c r="AL146" s="571"/>
      <c r="AM146" s="571"/>
      <c r="AN146" s="571"/>
      <c r="AO146" s="571"/>
      <c r="AP146" s="571"/>
      <c r="AQ146" s="2153">
        <f>+'STER Detailed Disclosure'!AQ126/1000</f>
        <v>764.76900000000001</v>
      </c>
      <c r="AR146" s="2153">
        <f>+'STER Detailed Disclosure'!AR126/1000</f>
        <v>770.71400000000006</v>
      </c>
      <c r="AS146" s="2153">
        <f>+'STER Detailed Disclosure'!AS126/1000</f>
        <v>916.57799999999997</v>
      </c>
      <c r="AT146" s="2153">
        <f>+'STER Detailed Disclosure'!AT126/1000</f>
        <v>942.78899999999999</v>
      </c>
      <c r="AU146" s="2153">
        <f>+'STER Detailed Disclosure'!AU126/1000</f>
        <v>983.28300000000002</v>
      </c>
    </row>
    <row r="147" spans="1:49" x14ac:dyDescent="0.25">
      <c r="A147" s="649" t="str">
        <f>+'STER Detailed Disclosure'!A127</f>
        <v>Common stock held in treasury (6,771,755 and 1,047,237 shares at December 31, 2023 and 2022, respectively)</v>
      </c>
      <c r="C147" s="571"/>
      <c r="D147" s="571"/>
      <c r="E147" s="571"/>
      <c r="F147" s="2159">
        <f>+'STER Detailed Disclosure'!F127/1000</f>
        <v>-0.89700000000000002</v>
      </c>
      <c r="G147" s="2166"/>
      <c r="H147" s="2166"/>
      <c r="I147" s="2166"/>
      <c r="J147" s="2159">
        <f>+'STER Detailed Disclosure'!J127/1000</f>
        <v>-0.89700000000000002</v>
      </c>
      <c r="K147" s="2166"/>
      <c r="L147" s="2166">
        <f>+'STER Detailed Disclosure'!L127/1000</f>
        <v>-0.89700000000000002</v>
      </c>
      <c r="M147" s="2166">
        <f>+'STER Detailed Disclosure'!M127/1000</f>
        <v>-0.89700000000000002</v>
      </c>
      <c r="N147" s="2159">
        <f>+'STER Detailed Disclosure'!N127/1000</f>
        <v>-0.89700000000000002</v>
      </c>
      <c r="O147" s="2166">
        <f>+'STER Detailed Disclosure'!O127/1000</f>
        <v>-0.89700000000000002</v>
      </c>
      <c r="P147" s="2166">
        <f>+'STER Detailed Disclosure'!P127/1000</f>
        <v>-0.89700000000000002</v>
      </c>
      <c r="Q147" s="2166">
        <f>+'STER Detailed Disclosure'!Q127/1000</f>
        <v>-0.89700000000000002</v>
      </c>
      <c r="R147" s="2159">
        <f>+'STER Detailed Disclosure'!R127/1000</f>
        <v>-14.859</v>
      </c>
      <c r="S147" s="2166">
        <f>+'STER Detailed Disclosure'!S127/1000</f>
        <v>-23.058</v>
      </c>
      <c r="T147" s="2166">
        <f>+'STER Detailed Disclosure'!T127/1000</f>
        <v>-40.773000000000003</v>
      </c>
      <c r="U147" s="2166">
        <f>+'STER Detailed Disclosure'!U127/1000</f>
        <v>-64.498999999999995</v>
      </c>
      <c r="V147" s="2159">
        <f>+'STER Detailed Disclosure'!V127/1000</f>
        <v>-88.918000000000006</v>
      </c>
      <c r="W147" s="2153">
        <f>+'STER Detailed Disclosure'!W127/1000</f>
        <v>-99.653000000000006</v>
      </c>
      <c r="X147" s="2153">
        <f>+'STER Detailed Disclosure'!X127/1000</f>
        <v>-99.929000000000002</v>
      </c>
      <c r="Y147" s="2288"/>
      <c r="Z147" s="571"/>
      <c r="AA147" s="571"/>
      <c r="AB147" s="571"/>
      <c r="AC147" s="571"/>
      <c r="AD147" s="571"/>
      <c r="AE147" s="571"/>
      <c r="AF147" s="571"/>
      <c r="AG147" s="571"/>
      <c r="AH147" s="571"/>
      <c r="AI147" s="571"/>
      <c r="AJ147" s="571"/>
      <c r="AK147" s="571"/>
      <c r="AL147" s="571"/>
      <c r="AM147" s="571"/>
      <c r="AN147" s="571"/>
      <c r="AO147" s="571"/>
      <c r="AP147" s="571"/>
      <c r="AQ147" s="2153">
        <f>+'STER Detailed Disclosure'!AQ127/1000</f>
        <v>-0.89700000000000002</v>
      </c>
      <c r="AR147" s="2153">
        <f>+'STER Detailed Disclosure'!AR127/1000</f>
        <v>-0.89700000000000002</v>
      </c>
      <c r="AS147" s="2153">
        <f>+'STER Detailed Disclosure'!AS127/1000</f>
        <v>-0.89700000000000002</v>
      </c>
      <c r="AT147" s="2153">
        <f>+'STER Detailed Disclosure'!AT127/1000</f>
        <v>-14.859</v>
      </c>
      <c r="AU147" s="2153">
        <f>+'STER Detailed Disclosure'!AU127/1000</f>
        <v>-88.918000000000006</v>
      </c>
    </row>
    <row r="148" spans="1:49" x14ac:dyDescent="0.25">
      <c r="A148" s="649" t="str">
        <f>+'STER Detailed Disclosure'!A128</f>
        <v>Accumulated deficit</v>
      </c>
      <c r="C148" s="571"/>
      <c r="D148" s="571"/>
      <c r="E148" s="571"/>
      <c r="F148" s="2159">
        <f>+'STER Detailed Disclosure'!F128/1000</f>
        <v>-135.398</v>
      </c>
      <c r="G148" s="2166"/>
      <c r="H148" s="2166"/>
      <c r="I148" s="2166"/>
      <c r="J148" s="2159">
        <f>+'STER Detailed Disclosure'!J128/1000</f>
        <v>-187.691</v>
      </c>
      <c r="K148" s="2166"/>
      <c r="L148" s="2166">
        <f>+'STER Detailed Disclosure'!L128/1000</f>
        <v>-183.666</v>
      </c>
      <c r="M148" s="2166">
        <f>+'STER Detailed Disclosure'!M128/1000</f>
        <v>-208.922</v>
      </c>
      <c r="N148" s="2159">
        <f>+'STER Detailed Disclosure'!N128/1000</f>
        <v>-206.21799999999999</v>
      </c>
      <c r="O148" s="2166">
        <f>+'STER Detailed Disclosure'!O128/1000</f>
        <v>-200.18</v>
      </c>
      <c r="P148" s="2166">
        <f>+'STER Detailed Disclosure'!P128/1000</f>
        <v>-188.60900000000001</v>
      </c>
      <c r="Q148" s="2166">
        <f>+'STER Detailed Disclosure'!Q128/1000</f>
        <v>-179.30600000000001</v>
      </c>
      <c r="R148" s="2159">
        <f>+'STER Detailed Disclosure'!R128/1000</f>
        <v>-186.44800000000001</v>
      </c>
      <c r="S148" s="2166">
        <f>+'STER Detailed Disclosure'!S128/1000</f>
        <v>-185.857</v>
      </c>
      <c r="T148" s="2166">
        <f>+'STER Detailed Disclosure'!T128/1000</f>
        <v>-185.53399999999999</v>
      </c>
      <c r="U148" s="2166">
        <f>+'STER Detailed Disclosure'!U128/1000</f>
        <v>-183.18</v>
      </c>
      <c r="V148" s="2159">
        <f>+'STER Detailed Disclosure'!V128/1000</f>
        <v>-186.56399999999999</v>
      </c>
      <c r="W148" s="2153">
        <f>+'STER Detailed Disclosure'!W128/1000</f>
        <v>-194.51900000000001</v>
      </c>
      <c r="X148" s="2153">
        <f>+'STER Detailed Disclosure'!X128/1000</f>
        <v>-200.751</v>
      </c>
      <c r="Y148" s="2288"/>
      <c r="Z148" s="571"/>
      <c r="AA148" s="571"/>
      <c r="AB148" s="571"/>
      <c r="AC148" s="571"/>
      <c r="AD148" s="571"/>
      <c r="AE148" s="571"/>
      <c r="AF148" s="571"/>
      <c r="AG148" s="571"/>
      <c r="AH148" s="571"/>
      <c r="AI148" s="571"/>
      <c r="AJ148" s="571"/>
      <c r="AK148" s="571"/>
      <c r="AL148" s="571"/>
      <c r="AM148" s="571"/>
      <c r="AN148" s="571"/>
      <c r="AO148" s="571"/>
      <c r="AP148" s="571"/>
      <c r="AQ148" s="2153">
        <f>+'STER Detailed Disclosure'!AQ128/1000</f>
        <v>-135.398</v>
      </c>
      <c r="AR148" s="2153">
        <f>+'STER Detailed Disclosure'!AR128/1000</f>
        <v>-187.691</v>
      </c>
      <c r="AS148" s="2153">
        <f>+'STER Detailed Disclosure'!AS128/1000</f>
        <v>-206.21799999999999</v>
      </c>
      <c r="AT148" s="2153">
        <f>+'STER Detailed Disclosure'!AT128/1000</f>
        <v>-186.44800000000001</v>
      </c>
      <c r="AU148" s="2153">
        <f>+'STER Detailed Disclosure'!AU128/1000</f>
        <v>-186.56399999999999</v>
      </c>
    </row>
    <row r="149" spans="1:49" s="413" customFormat="1" ht="14" x14ac:dyDescent="0.4">
      <c r="A149" s="132" t="str">
        <f>+'STER Detailed Disclosure'!A129</f>
        <v>Accumulated other comprehensive loss</v>
      </c>
      <c r="C149" s="719"/>
      <c r="D149" s="719"/>
      <c r="E149" s="719"/>
      <c r="F149" s="718">
        <f>+'STER Detailed Disclosure'!F129/1000</f>
        <v>-1.3640000000000001</v>
      </c>
      <c r="G149" s="719"/>
      <c r="H149" s="719"/>
      <c r="I149" s="719"/>
      <c r="J149" s="718">
        <f>+'STER Detailed Disclosure'!J129/1000</f>
        <v>1.0569999999999999</v>
      </c>
      <c r="K149" s="719"/>
      <c r="L149" s="719">
        <f>+'STER Detailed Disclosure'!L129/1000</f>
        <v>1.329</v>
      </c>
      <c r="M149" s="719">
        <f>+'STER Detailed Disclosure'!M129/1000</f>
        <v>-0.23699999999999999</v>
      </c>
      <c r="N149" s="718">
        <f>+'STER Detailed Disclosure'!N129/1000</f>
        <v>9.2999999999999999E-2</v>
      </c>
      <c r="O149" s="719">
        <f>+'STER Detailed Disclosure'!O129/1000</f>
        <v>0.376</v>
      </c>
      <c r="P149" s="719">
        <f>+'STER Detailed Disclosure'!P129/1000</f>
        <v>-3.1070000000000002</v>
      </c>
      <c r="Q149" s="719">
        <f>+'STER Detailed Disclosure'!Q129/1000</f>
        <v>-7.8970000000000002</v>
      </c>
      <c r="R149" s="718">
        <f>+'STER Detailed Disclosure'!R129/1000</f>
        <v>-4.9119999999999999</v>
      </c>
      <c r="S149" s="719">
        <f>+'STER Detailed Disclosure'!S129/1000</f>
        <v>-9.3889999999999993</v>
      </c>
      <c r="T149" s="719">
        <f>+'STER Detailed Disclosure'!T129/1000</f>
        <v>-3.6829999999999998</v>
      </c>
      <c r="U149" s="719">
        <f>+'STER Detailed Disclosure'!U129/1000</f>
        <v>-3.6269999999999998</v>
      </c>
      <c r="V149" s="718">
        <f>+'STER Detailed Disclosure'!V129/1000</f>
        <v>-5.9550000000000001</v>
      </c>
      <c r="W149" s="719">
        <f>+'STER Detailed Disclosure'!W129/1000</f>
        <v>-5.1859999999999999</v>
      </c>
      <c r="X149" s="719">
        <f>+'STER Detailed Disclosure'!X129/1000</f>
        <v>-4.6879999999999997</v>
      </c>
      <c r="Y149" s="2284"/>
      <c r="Z149" s="719"/>
      <c r="AA149" s="719"/>
      <c r="AB149" s="719"/>
      <c r="AC149" s="719"/>
      <c r="AD149" s="719"/>
      <c r="AE149" s="719"/>
      <c r="AF149" s="719"/>
      <c r="AG149" s="719"/>
      <c r="AH149" s="719"/>
      <c r="AI149" s="719"/>
      <c r="AJ149" s="719"/>
      <c r="AK149" s="719"/>
      <c r="AL149" s="719"/>
      <c r="AM149" s="719"/>
      <c r="AN149" s="719"/>
      <c r="AO149" s="719"/>
      <c r="AP149" s="719"/>
      <c r="AQ149" s="719">
        <f>+'STER Detailed Disclosure'!AQ129/1000</f>
        <v>-1.3640000000000001</v>
      </c>
      <c r="AR149" s="719">
        <f>+'STER Detailed Disclosure'!AR129/1000</f>
        <v>1.0569999999999999</v>
      </c>
      <c r="AS149" s="719">
        <f>+'STER Detailed Disclosure'!AS129/1000</f>
        <v>9.2999999999999999E-2</v>
      </c>
      <c r="AT149" s="719">
        <f>+'STER Detailed Disclosure'!AT129/1000</f>
        <v>-4.9119999999999999</v>
      </c>
      <c r="AU149" s="719">
        <f>+'STER Detailed Disclosure'!AU129/1000</f>
        <v>-5.9550000000000001</v>
      </c>
      <c r="AV149" s="719"/>
      <c r="AW149" s="614"/>
    </row>
    <row r="150" spans="1:49" s="565" customFormat="1" x14ac:dyDescent="0.25">
      <c r="A150" s="425" t="str">
        <f>+'STER Detailed Disclosure'!A130</f>
        <v>Total stockholders' equity</v>
      </c>
      <c r="C150" s="591"/>
      <c r="D150" s="591"/>
      <c r="E150" s="591"/>
      <c r="F150" s="590">
        <f>+'STER Detailed Disclosure'!F130/1000</f>
        <v>627.11099999999999</v>
      </c>
      <c r="G150" s="591"/>
      <c r="H150" s="591"/>
      <c r="I150" s="591"/>
      <c r="J150" s="590">
        <f>+'STER Detailed Disclosure'!J130/1000</f>
        <v>583.18399999999997</v>
      </c>
      <c r="K150" s="591"/>
      <c r="L150" s="591">
        <f>+'STER Detailed Disclosure'!L130/1000</f>
        <v>591.58399999999995</v>
      </c>
      <c r="M150" s="591">
        <f>+'STER Detailed Disclosure'!M130/1000</f>
        <v>701.245</v>
      </c>
      <c r="N150" s="590">
        <f>+'STER Detailed Disclosure'!N130/1000</f>
        <v>709.62400000000002</v>
      </c>
      <c r="O150" s="591">
        <f>+'STER Detailed Disclosure'!O130/1000</f>
        <v>721.125</v>
      </c>
      <c r="P150" s="591">
        <f>+'STER Detailed Disclosure'!P130/1000</f>
        <v>735.94600000000003</v>
      </c>
      <c r="Q150" s="591">
        <f>+'STER Detailed Disclosure'!Q130/1000</f>
        <v>748.21400000000006</v>
      </c>
      <c r="R150" s="590">
        <f>+'STER Detailed Disclosure'!R130/1000</f>
        <v>736.64599999999996</v>
      </c>
      <c r="S150" s="591">
        <f>+'STER Detailed Disclosure'!S130/1000</f>
        <v>732.60400000000004</v>
      </c>
      <c r="T150" s="591">
        <f>+'STER Detailed Disclosure'!T130/1000</f>
        <v>730.88699999999994</v>
      </c>
      <c r="U150" s="591">
        <f>+'STER Detailed Disclosure'!U130/1000</f>
        <v>720.74099999999999</v>
      </c>
      <c r="V150" s="590">
        <f>+'STER Detailed Disclosure'!V130/1000</f>
        <v>701.94399999999996</v>
      </c>
      <c r="W150" s="591">
        <f>+'STER Detailed Disclosure'!W130/1000</f>
        <v>728.01199999999994</v>
      </c>
      <c r="X150" s="591">
        <f>+'STER Detailed Disclosure'!X130/1000</f>
        <v>734.12599999999998</v>
      </c>
      <c r="Y150" s="2285"/>
      <c r="Z150" s="591"/>
      <c r="AA150" s="591"/>
      <c r="AB150" s="591"/>
      <c r="AC150" s="591"/>
      <c r="AD150" s="591"/>
      <c r="AE150" s="591"/>
      <c r="AF150" s="591"/>
      <c r="AG150" s="591"/>
      <c r="AH150" s="591"/>
      <c r="AI150" s="591"/>
      <c r="AJ150" s="591"/>
      <c r="AK150" s="591"/>
      <c r="AL150" s="591"/>
      <c r="AM150" s="591"/>
      <c r="AN150" s="591"/>
      <c r="AO150" s="591"/>
      <c r="AP150" s="591"/>
      <c r="AQ150" s="591">
        <f>+'STER Detailed Disclosure'!AQ130/1000</f>
        <v>627.11099999999999</v>
      </c>
      <c r="AR150" s="591">
        <f>+'STER Detailed Disclosure'!AR130/1000</f>
        <v>583.18399999999997</v>
      </c>
      <c r="AS150" s="591">
        <f>+'STER Detailed Disclosure'!AS130/1000</f>
        <v>709.62400000000002</v>
      </c>
      <c r="AT150" s="591">
        <f>+'STER Detailed Disclosure'!AT130/1000</f>
        <v>736.64599999999996</v>
      </c>
      <c r="AU150" s="591">
        <f>+'STER Detailed Disclosure'!AU130/1000</f>
        <v>701.94399999999996</v>
      </c>
      <c r="AV150" s="591"/>
      <c r="AW150" s="572"/>
    </row>
    <row r="151" spans="1:49" s="163" customFormat="1" ht="13" x14ac:dyDescent="0.3">
      <c r="A151" s="2152" t="str">
        <f>+'STER Detailed Disclosure'!A131</f>
        <v>TOTAL LIABILITIES AND STOCKHOLDERS' EQUITY</v>
      </c>
      <c r="C151" s="573"/>
      <c r="D151" s="573"/>
      <c r="E151" s="573"/>
      <c r="F151" s="2163">
        <f>+'STER Detailed Disclosure'!F131/1000</f>
        <v>1390.749</v>
      </c>
      <c r="G151" s="2169"/>
      <c r="H151" s="2169"/>
      <c r="I151" s="2169"/>
      <c r="J151" s="2163">
        <f>+'STER Detailed Disclosure'!J131/1000</f>
        <v>1316.1179999999999</v>
      </c>
      <c r="K151" s="2169"/>
      <c r="L151" s="2169">
        <f>+'STER Detailed Disclosure'!L131/1000</f>
        <v>1336.3720000000001</v>
      </c>
      <c r="M151" s="2169">
        <f>+'STER Detailed Disclosure'!M131/1000</f>
        <v>1429.7940000000001</v>
      </c>
      <c r="N151" s="2163">
        <f>+'STER Detailed Disclosure'!N131/1000</f>
        <v>1372.259</v>
      </c>
      <c r="O151" s="2169">
        <f>+'STER Detailed Disclosure'!O131/1000</f>
        <v>1395.251</v>
      </c>
      <c r="P151" s="2169">
        <f>+'STER Detailed Disclosure'!P131/1000</f>
        <v>1415.6410000000001</v>
      </c>
      <c r="Q151" s="2169">
        <f>+'STER Detailed Disclosure'!Q131/1000</f>
        <v>1424.9269999999999</v>
      </c>
      <c r="R151" s="2163">
        <f>+'STER Detailed Disclosure'!R131/1000</f>
        <v>1407.2539999999999</v>
      </c>
      <c r="S151" s="2169">
        <f>+'STER Detailed Disclosure'!S131/1000</f>
        <v>1412.3820000000001</v>
      </c>
      <c r="T151" s="2169">
        <f>+'STER Detailed Disclosure'!T131/1000</f>
        <v>1400.6030000000001</v>
      </c>
      <c r="U151" s="2169">
        <f>+'STER Detailed Disclosure'!U131/1000</f>
        <v>1386.915</v>
      </c>
      <c r="V151" s="2163">
        <f>+'STER Detailed Disclosure'!V131/1000</f>
        <v>1363.443</v>
      </c>
      <c r="W151" s="2156">
        <f>+'STER Detailed Disclosure'!W131/1000</f>
        <v>1451.0260000000001</v>
      </c>
      <c r="X151" s="2156">
        <f>+'STER Detailed Disclosure'!X131/1000</f>
        <v>1463.239</v>
      </c>
      <c r="Y151" s="2290"/>
      <c r="Z151" s="573"/>
      <c r="AA151" s="573"/>
      <c r="AB151" s="573"/>
      <c r="AC151" s="573"/>
      <c r="AD151" s="573"/>
      <c r="AE151" s="573"/>
      <c r="AF151" s="573"/>
      <c r="AG151" s="573"/>
      <c r="AH151" s="573"/>
      <c r="AI151" s="573"/>
      <c r="AJ151" s="573"/>
      <c r="AK151" s="573"/>
      <c r="AL151" s="573"/>
      <c r="AM151" s="573"/>
      <c r="AN151" s="573"/>
      <c r="AO151" s="573"/>
      <c r="AP151" s="573"/>
      <c r="AQ151" s="2156">
        <f>+'STER Detailed Disclosure'!AQ131/1000</f>
        <v>1390.749</v>
      </c>
      <c r="AR151" s="2156">
        <f>+'STER Detailed Disclosure'!AR131/1000</f>
        <v>1316.1179999999999</v>
      </c>
      <c r="AS151" s="2156">
        <f>+'STER Detailed Disclosure'!AS131/1000</f>
        <v>1372.259</v>
      </c>
      <c r="AT151" s="2156">
        <f>+'STER Detailed Disclosure'!AT131/1000</f>
        <v>1407.2539999999999</v>
      </c>
      <c r="AU151" s="2156">
        <f>+'STER Detailed Disclosure'!AU131/1000</f>
        <v>1363.443</v>
      </c>
    </row>
    <row r="152" spans="1:49" ht="13" x14ac:dyDescent="0.3">
      <c r="C152" s="571"/>
      <c r="D152" s="571"/>
      <c r="E152" s="571"/>
      <c r="F152" s="2164" t="b">
        <f t="shared" ref="F152" si="10">F151=F125</f>
        <v>1</v>
      </c>
      <c r="G152" s="2170"/>
      <c r="H152" s="2170"/>
      <c r="I152" s="2170"/>
      <c r="J152" s="2164" t="b">
        <f t="shared" ref="J152" si="11">J151=J125</f>
        <v>1</v>
      </c>
      <c r="K152" s="2170"/>
      <c r="L152" s="2170" t="b">
        <f t="shared" ref="L152:X152" si="12">L151=L125</f>
        <v>1</v>
      </c>
      <c r="M152" s="2170" t="b">
        <f t="shared" si="12"/>
        <v>1</v>
      </c>
      <c r="N152" s="2164" t="b">
        <f t="shared" si="12"/>
        <v>1</v>
      </c>
      <c r="O152" s="2170" t="b">
        <f t="shared" si="12"/>
        <v>1</v>
      </c>
      <c r="P152" s="2170" t="b">
        <f t="shared" si="12"/>
        <v>1</v>
      </c>
      <c r="Q152" s="2170" t="b">
        <f t="shared" si="12"/>
        <v>1</v>
      </c>
      <c r="R152" s="2164" t="b">
        <f t="shared" si="12"/>
        <v>1</v>
      </c>
      <c r="S152" s="2170" t="b">
        <f t="shared" si="12"/>
        <v>1</v>
      </c>
      <c r="T152" s="2170" t="b">
        <f t="shared" si="12"/>
        <v>1</v>
      </c>
      <c r="U152" s="2170" t="b">
        <f t="shared" si="12"/>
        <v>1</v>
      </c>
      <c r="V152" s="2164" t="b">
        <f t="shared" si="12"/>
        <v>1</v>
      </c>
      <c r="W152" s="575" t="b">
        <f t="shared" si="12"/>
        <v>1</v>
      </c>
      <c r="X152" s="575" t="b">
        <f t="shared" si="12"/>
        <v>1</v>
      </c>
      <c r="Y152" s="2291"/>
      <c r="Z152" s="571"/>
      <c r="AA152" s="571"/>
      <c r="AB152" s="571"/>
      <c r="AC152" s="571"/>
      <c r="AD152" s="571"/>
      <c r="AE152" s="571"/>
      <c r="AF152" s="571"/>
      <c r="AG152" s="571"/>
      <c r="AH152" s="571"/>
      <c r="AI152" s="571"/>
      <c r="AJ152" s="571"/>
      <c r="AK152" s="571"/>
      <c r="AL152" s="571"/>
      <c r="AM152" s="571"/>
      <c r="AN152" s="571"/>
      <c r="AO152" s="571"/>
      <c r="AP152" s="571"/>
      <c r="AQ152" s="575" t="b">
        <f t="shared" ref="AQ152:AS152" si="13">AQ151=AQ125</f>
        <v>1</v>
      </c>
      <c r="AR152" s="575" t="b">
        <f t="shared" si="13"/>
        <v>1</v>
      </c>
      <c r="AS152" s="575" t="b">
        <f t="shared" si="13"/>
        <v>1</v>
      </c>
      <c r="AT152" s="575" t="b">
        <f>AT151=AT125</f>
        <v>1</v>
      </c>
      <c r="AU152" s="575" t="b">
        <f>AU151=AU125</f>
        <v>1</v>
      </c>
    </row>
    <row r="153" spans="1:49" x14ac:dyDescent="0.25">
      <c r="C153" s="571"/>
      <c r="D153" s="571"/>
      <c r="E153" s="571"/>
      <c r="F153" s="666"/>
      <c r="G153" s="667"/>
      <c r="H153" s="667"/>
      <c r="I153" s="667"/>
      <c r="J153" s="666"/>
      <c r="K153" s="667"/>
      <c r="L153" s="667"/>
      <c r="M153" s="667"/>
      <c r="N153" s="666"/>
      <c r="O153" s="667"/>
      <c r="P153" s="667"/>
      <c r="Q153" s="667"/>
      <c r="R153" s="666"/>
      <c r="S153" s="667"/>
      <c r="T153" s="667"/>
      <c r="U153" s="667"/>
      <c r="V153" s="666"/>
      <c r="W153" s="571"/>
      <c r="X153" s="571"/>
      <c r="Y153" s="571"/>
      <c r="Z153" s="571"/>
      <c r="AA153" s="571"/>
      <c r="AB153" s="571"/>
      <c r="AC153" s="571"/>
      <c r="AD153" s="571"/>
      <c r="AE153" s="571"/>
      <c r="AF153" s="571"/>
      <c r="AG153" s="571"/>
      <c r="AH153" s="571"/>
      <c r="AI153" s="571"/>
      <c r="AJ153" s="571"/>
      <c r="AK153" s="571"/>
      <c r="AL153" s="571"/>
      <c r="AM153" s="571"/>
      <c r="AN153" s="571"/>
      <c r="AO153" s="571"/>
      <c r="AP153" s="571"/>
      <c r="AQ153" s="571"/>
      <c r="AR153" s="571"/>
      <c r="AS153" s="571"/>
      <c r="AT153" s="571"/>
      <c r="AU153" s="571"/>
    </row>
    <row r="154" spans="1:49" ht="13" x14ac:dyDescent="0.3">
      <c r="A154" s="569" t="s">
        <v>517</v>
      </c>
      <c r="B154" s="570"/>
      <c r="C154" s="571"/>
      <c r="D154" s="571"/>
      <c r="E154" s="571"/>
      <c r="F154" s="666"/>
      <c r="G154" s="667"/>
      <c r="H154" s="667"/>
      <c r="I154" s="667"/>
      <c r="J154" s="666"/>
      <c r="K154" s="667"/>
      <c r="L154" s="667"/>
      <c r="M154" s="667"/>
      <c r="N154" s="666"/>
      <c r="O154" s="667"/>
      <c r="P154" s="667"/>
      <c r="Q154" s="667"/>
      <c r="R154" s="666"/>
      <c r="S154" s="667"/>
      <c r="T154" s="667"/>
      <c r="U154" s="667"/>
      <c r="V154" s="666"/>
      <c r="W154" s="571"/>
      <c r="X154" s="571"/>
      <c r="Y154" s="571"/>
      <c r="Z154" s="571"/>
      <c r="AA154" s="571"/>
      <c r="AB154" s="571"/>
      <c r="AC154" s="571"/>
      <c r="AD154" s="571"/>
      <c r="AE154" s="571"/>
      <c r="AF154" s="571"/>
      <c r="AG154" s="571"/>
      <c r="AH154" s="571"/>
      <c r="AI154" s="571"/>
      <c r="AJ154" s="571"/>
      <c r="AK154" s="571"/>
      <c r="AL154" s="571"/>
      <c r="AM154" s="571"/>
      <c r="AN154" s="571"/>
      <c r="AO154" s="571"/>
      <c r="AP154" s="571"/>
      <c r="AQ154" s="571"/>
      <c r="AR154" s="571"/>
      <c r="AS154" s="571"/>
      <c r="AT154" s="571"/>
      <c r="AU154" s="571"/>
    </row>
    <row r="155" spans="1:49" x14ac:dyDescent="0.25">
      <c r="C155" s="571"/>
      <c r="D155" s="571"/>
      <c r="E155" s="571"/>
      <c r="F155" s="666"/>
      <c r="G155" s="667"/>
      <c r="H155" s="667"/>
      <c r="I155" s="667"/>
      <c r="J155" s="666"/>
      <c r="K155" s="667"/>
      <c r="L155" s="667"/>
      <c r="M155" s="667"/>
      <c r="N155" s="666"/>
      <c r="O155" s="667"/>
      <c r="P155" s="667"/>
      <c r="Q155" s="667"/>
      <c r="R155" s="666"/>
      <c r="S155" s="667"/>
      <c r="T155" s="667"/>
      <c r="U155" s="667"/>
      <c r="V155" s="666"/>
      <c r="W155" s="571"/>
      <c r="X155" s="571"/>
      <c r="Y155" s="571"/>
      <c r="Z155" s="571"/>
      <c r="AA155" s="571"/>
      <c r="AB155" s="571"/>
      <c r="AC155" s="571"/>
      <c r="AD155" s="571"/>
      <c r="AE155" s="571"/>
      <c r="AF155" s="571"/>
      <c r="AG155" s="571"/>
      <c r="AH155" s="571"/>
      <c r="AI155" s="571"/>
      <c r="AJ155" s="571"/>
      <c r="AK155" s="571"/>
      <c r="AL155" s="571"/>
      <c r="AM155" s="571"/>
      <c r="AN155" s="571"/>
      <c r="AO155" s="571"/>
      <c r="AP155" s="571"/>
      <c r="AQ155" s="571"/>
      <c r="AR155" s="571"/>
      <c r="AS155" s="571"/>
      <c r="AT155" s="571"/>
      <c r="AU155" s="571"/>
    </row>
    <row r="156" spans="1:49" ht="13" x14ac:dyDescent="0.3">
      <c r="A156" s="2152" t="s">
        <v>594</v>
      </c>
      <c r="C156" s="571"/>
      <c r="D156" s="571"/>
      <c r="E156" s="571"/>
      <c r="F156" s="666"/>
      <c r="G156" s="667"/>
      <c r="H156" s="667"/>
      <c r="I156" s="667"/>
      <c r="J156" s="666"/>
      <c r="K156" s="667"/>
      <c r="L156" s="667"/>
      <c r="M156" s="667"/>
      <c r="N156" s="666"/>
      <c r="O156" s="667"/>
      <c r="P156" s="667"/>
      <c r="Q156" s="667"/>
      <c r="R156" s="666"/>
      <c r="S156" s="667"/>
      <c r="T156" s="667"/>
      <c r="U156" s="667"/>
      <c r="V156" s="666"/>
      <c r="W156" s="571"/>
      <c r="X156" s="571"/>
      <c r="Y156" s="571"/>
      <c r="Z156" s="571"/>
      <c r="AA156" s="571"/>
      <c r="AB156" s="571"/>
      <c r="AC156" s="571"/>
      <c r="AD156" s="571"/>
      <c r="AE156" s="571"/>
      <c r="AF156" s="571"/>
      <c r="AG156" s="571"/>
      <c r="AH156" s="571"/>
      <c r="AI156" s="571"/>
      <c r="AJ156" s="571"/>
      <c r="AK156" s="571"/>
      <c r="AL156" s="571"/>
      <c r="AM156" s="571"/>
      <c r="AN156" s="571"/>
      <c r="AO156" s="571"/>
      <c r="AP156" s="571"/>
      <c r="AQ156" s="571"/>
      <c r="AR156" s="571"/>
      <c r="AS156" s="571"/>
      <c r="AT156" s="571"/>
      <c r="AU156" s="571"/>
    </row>
    <row r="157" spans="1:49" x14ac:dyDescent="0.25">
      <c r="A157" s="649" t="str">
        <f>+'STER Detailed Disclosure'!A137</f>
        <v>Net (loss) income</v>
      </c>
      <c r="C157" s="2153"/>
      <c r="D157" s="2153"/>
      <c r="E157" s="2153"/>
      <c r="F157" s="2159"/>
      <c r="G157" s="2166"/>
      <c r="H157" s="2166"/>
      <c r="I157" s="2166">
        <f>+'STER Detailed Disclosure'!I137/1000</f>
        <v>-10.385999999999996</v>
      </c>
      <c r="J157" s="2159">
        <f>+'STER Detailed Disclosure'!J137/1000</f>
        <v>-1.0600000000000023</v>
      </c>
      <c r="K157" s="2166">
        <f>+'STER Detailed Disclosure'!K137/1000</f>
        <v>0.628</v>
      </c>
      <c r="L157" s="2166">
        <f>+'STER Detailed Disclosure'!L137/1000</f>
        <v>3.3970000000000002</v>
      </c>
      <c r="M157" s="2166">
        <f>+'STER Detailed Disclosure'!M137/1000</f>
        <v>-25.256</v>
      </c>
      <c r="N157" s="2159">
        <f>+'STER Detailed Disclosure'!N137/1000</f>
        <v>2.7040000000000006</v>
      </c>
      <c r="O157" s="2166">
        <f>+'STER Detailed Disclosure'!O137/1000</f>
        <v>6.2359999999999998</v>
      </c>
      <c r="P157" s="2166">
        <f>+'STER Detailed Disclosure'!P137/1000</f>
        <v>11.570999999999998</v>
      </c>
      <c r="Q157" s="2166">
        <f>+'STER Detailed Disclosure'!Q137/1000</f>
        <v>9.3030000000000008</v>
      </c>
      <c r="R157" s="2159">
        <f>+'STER Detailed Disclosure'!R137/1000</f>
        <v>-7.6999999999999993</v>
      </c>
      <c r="S157" s="2166">
        <f>+'STER Detailed Disclosure'!S137/1000</f>
        <v>0.59099999999999997</v>
      </c>
      <c r="T157" s="2166">
        <f>+'STER Detailed Disclosure'!T137/1000</f>
        <v>0.32300000000000006</v>
      </c>
      <c r="U157" s="2166">
        <f>+'STER Detailed Disclosure'!U137/1000</f>
        <v>2.3539999999999996</v>
      </c>
      <c r="V157" s="2159">
        <f>+'STER Detailed Disclosure'!V137/1000</f>
        <v>-3.3839999999999999</v>
      </c>
      <c r="W157" s="2153">
        <f>+'STER Detailed Disclosure'!W137/1000</f>
        <v>-7.9550000000000001</v>
      </c>
      <c r="X157" s="2153">
        <f>+'STER Detailed Disclosure'!X137/1000</f>
        <v>-6.2319999999999993</v>
      </c>
      <c r="Y157" s="2288"/>
      <c r="Z157" s="2153"/>
      <c r="AA157" s="2153"/>
      <c r="AB157" s="2153"/>
      <c r="AC157" s="2153"/>
      <c r="AD157" s="2153"/>
      <c r="AE157" s="2153"/>
      <c r="AF157" s="2153"/>
      <c r="AG157" s="2153"/>
      <c r="AH157" s="2153"/>
      <c r="AI157" s="2153"/>
      <c r="AJ157" s="2153"/>
      <c r="AK157" s="2153"/>
      <c r="AL157" s="2153"/>
      <c r="AM157" s="2153"/>
      <c r="AN157" s="2153"/>
      <c r="AO157" s="2153"/>
      <c r="AP157" s="2153"/>
      <c r="AQ157" s="2153">
        <f>+'STER Detailed Disclosure'!AQ137/1000</f>
        <v>-46.682000000000002</v>
      </c>
      <c r="AR157" s="2153">
        <f>+'STER Detailed Disclosure'!AR137/1000</f>
        <v>-52.292999999999999</v>
      </c>
      <c r="AS157" s="2153">
        <f>+'STER Detailed Disclosure'!AS137/1000</f>
        <v>-18.527000000000001</v>
      </c>
      <c r="AT157" s="2153">
        <f>+'STER Detailed Disclosure'!AT137/1000</f>
        <v>19.41</v>
      </c>
      <c r="AU157" s="2153">
        <f>+'STER Detailed Disclosure'!AU137/1000</f>
        <v>-0.11600000000000001</v>
      </c>
    </row>
    <row r="158" spans="1:49" x14ac:dyDescent="0.25">
      <c r="A158" s="649" t="s">
        <v>595</v>
      </c>
      <c r="C158" s="2155"/>
      <c r="D158" s="2155"/>
      <c r="E158" s="2155"/>
      <c r="F158" s="2165"/>
      <c r="G158" s="2171"/>
      <c r="H158" s="2171"/>
      <c r="I158" s="2171"/>
      <c r="J158" s="2165"/>
      <c r="K158" s="2171"/>
      <c r="L158" s="2171"/>
      <c r="M158" s="2171"/>
      <c r="N158" s="2165"/>
      <c r="O158" s="2171"/>
      <c r="P158" s="2171"/>
      <c r="Q158" s="2171"/>
      <c r="R158" s="2165"/>
      <c r="S158" s="2171"/>
      <c r="T158" s="2171"/>
      <c r="U158" s="2171"/>
      <c r="V158" s="2165"/>
      <c r="W158" s="2155"/>
      <c r="X158" s="2155"/>
      <c r="Y158" s="2292"/>
      <c r="Z158" s="2155"/>
      <c r="AA158" s="2155"/>
      <c r="AB158" s="2155"/>
      <c r="AC158" s="2155"/>
      <c r="AD158" s="2155"/>
      <c r="AE158" s="2155"/>
      <c r="AF158" s="2155"/>
      <c r="AG158" s="2155"/>
      <c r="AH158" s="2155"/>
      <c r="AI158" s="2155"/>
      <c r="AJ158" s="2155"/>
      <c r="AK158" s="2155"/>
      <c r="AL158" s="2155"/>
      <c r="AM158" s="2155"/>
      <c r="AN158" s="2155"/>
      <c r="AO158" s="2155"/>
      <c r="AP158" s="2155"/>
      <c r="AQ158" s="2155"/>
      <c r="AR158" s="2155"/>
      <c r="AS158" s="2155"/>
      <c r="AT158" s="2155"/>
      <c r="AU158" s="2155"/>
    </row>
    <row r="159" spans="1:49" x14ac:dyDescent="0.25">
      <c r="A159" s="649" t="s">
        <v>348</v>
      </c>
      <c r="C159" s="2153"/>
      <c r="D159" s="2153"/>
      <c r="E159" s="2153"/>
      <c r="F159" s="2159"/>
      <c r="G159" s="2166"/>
      <c r="H159" s="2166"/>
      <c r="I159" s="2166">
        <v>0</v>
      </c>
      <c r="J159" s="2159">
        <v>0</v>
      </c>
      <c r="K159" s="2166">
        <v>0</v>
      </c>
      <c r="L159" s="2166">
        <v>0</v>
      </c>
      <c r="M159" s="2166">
        <v>0</v>
      </c>
      <c r="N159" s="2159">
        <v>0</v>
      </c>
      <c r="O159" s="2166">
        <v>0</v>
      </c>
      <c r="P159" s="2166">
        <v>0</v>
      </c>
      <c r="Q159" s="2166">
        <v>0</v>
      </c>
      <c r="R159" s="2159">
        <f>+'STER Canalyst'!AD491*1000</f>
        <v>3673</v>
      </c>
      <c r="S159" s="2166">
        <v>0</v>
      </c>
      <c r="T159" s="2166">
        <v>0</v>
      </c>
      <c r="U159" s="2166">
        <v>0</v>
      </c>
      <c r="V159" s="2159">
        <v>0</v>
      </c>
      <c r="W159" s="2153">
        <v>0</v>
      </c>
      <c r="X159" s="2153">
        <v>0</v>
      </c>
      <c r="Y159" s="2288"/>
      <c r="Z159" s="2153"/>
      <c r="AA159" s="2153"/>
      <c r="AB159" s="2153"/>
      <c r="AC159" s="2153"/>
      <c r="AD159" s="2153"/>
      <c r="AE159" s="2153"/>
      <c r="AF159" s="2153"/>
      <c r="AG159" s="2153"/>
      <c r="AH159" s="2153"/>
      <c r="AI159" s="2153"/>
      <c r="AJ159" s="2153"/>
      <c r="AK159" s="2153"/>
      <c r="AL159" s="2153"/>
      <c r="AM159" s="2153"/>
      <c r="AN159" s="2153"/>
      <c r="AO159" s="2153"/>
      <c r="AP159" s="2153"/>
      <c r="AQ159" s="2153">
        <v>0</v>
      </c>
      <c r="AR159" s="2153">
        <v>0</v>
      </c>
      <c r="AS159" s="2153">
        <v>0</v>
      </c>
      <c r="AT159" s="2153">
        <v>3673</v>
      </c>
      <c r="AU159" s="2153">
        <v>0</v>
      </c>
    </row>
    <row r="160" spans="1:49" x14ac:dyDescent="0.25">
      <c r="A160" s="649" t="str">
        <f>+'STER Detailed Disclosure'!A140</f>
        <v>Depreciation and amortization</v>
      </c>
      <c r="C160" s="2153"/>
      <c r="D160" s="2153"/>
      <c r="E160" s="2153"/>
      <c r="F160" s="2159"/>
      <c r="G160" s="2166"/>
      <c r="H160" s="2166"/>
      <c r="I160" s="2166">
        <f>+'STER Detailed Disclosure'!I140/1000</f>
        <v>22.863</v>
      </c>
      <c r="J160" s="2159">
        <f>+'STER Detailed Disclosure'!J140/1000</f>
        <v>22.757999999999996</v>
      </c>
      <c r="K160" s="2166">
        <f>+'STER Detailed Disclosure'!K140/1000</f>
        <v>20.548999999999999</v>
      </c>
      <c r="L160" s="2166">
        <f>+'STER Detailed Disclosure'!L140/1000</f>
        <v>20.298999999999999</v>
      </c>
      <c r="M160" s="2166">
        <f>+'STER Detailed Disclosure'!M140/1000</f>
        <v>20.344999999999999</v>
      </c>
      <c r="N160" s="2159">
        <f>+'STER Detailed Disclosure'!N140/1000</f>
        <v>20.870999999999995</v>
      </c>
      <c r="O160" s="2166">
        <f>+'STER Detailed Disclosure'!O140/1000</f>
        <v>20.155999999999999</v>
      </c>
      <c r="P160" s="2166">
        <f>+'STER Detailed Disclosure'!P140/1000</f>
        <v>19.872</v>
      </c>
      <c r="Q160" s="2166">
        <f>+'STER Detailed Disclosure'!Q140/1000</f>
        <v>16.57</v>
      </c>
      <c r="R160" s="2159">
        <f>+'STER Detailed Disclosure'!R140/1000</f>
        <v>16.542000000000002</v>
      </c>
      <c r="S160" s="2166">
        <f>+'STER Detailed Disclosure'!S140/1000</f>
        <v>15.122</v>
      </c>
      <c r="T160" s="2166">
        <f>+'STER Detailed Disclosure'!T140/1000</f>
        <v>16.12</v>
      </c>
      <c r="U160" s="2166">
        <f>+'STER Detailed Disclosure'!U140/1000</f>
        <v>15.874999999999996</v>
      </c>
      <c r="V160" s="2159">
        <f>+'STER Detailed Disclosure'!V140/1000</f>
        <v>15.736000000000004</v>
      </c>
      <c r="W160" s="2153">
        <f>+'STER Detailed Disclosure'!W140/1000</f>
        <v>15.77</v>
      </c>
      <c r="X160" s="2153">
        <f>+'STER Detailed Disclosure'!X140/1000</f>
        <v>15.82</v>
      </c>
      <c r="Y160" s="2288"/>
      <c r="Z160" s="2153"/>
      <c r="AA160" s="2153"/>
      <c r="AB160" s="2153"/>
      <c r="AC160" s="2153"/>
      <c r="AD160" s="2153"/>
      <c r="AE160" s="2153"/>
      <c r="AF160" s="2153"/>
      <c r="AG160" s="2153"/>
      <c r="AH160" s="2153"/>
      <c r="AI160" s="2153"/>
      <c r="AJ160" s="2153"/>
      <c r="AK160" s="2153"/>
      <c r="AL160" s="2153"/>
      <c r="AM160" s="2153"/>
      <c r="AN160" s="2153"/>
      <c r="AO160" s="2153"/>
      <c r="AP160" s="2153"/>
      <c r="AQ160" s="2153">
        <f>+'STER Detailed Disclosure'!AQ140/1000</f>
        <v>93.802000000000007</v>
      </c>
      <c r="AR160" s="2153">
        <f>+'STER Detailed Disclosure'!AR140/1000</f>
        <v>91.198999999999998</v>
      </c>
      <c r="AS160" s="2153">
        <f>+'STER Detailed Disclosure'!AS140/1000</f>
        <v>82.063999999999993</v>
      </c>
      <c r="AT160" s="2153">
        <f>+'STER Detailed Disclosure'!AT140/1000</f>
        <v>73.14</v>
      </c>
      <c r="AU160" s="2153">
        <f>+'STER Detailed Disclosure'!AU140/1000</f>
        <v>62.853000000000002</v>
      </c>
    </row>
    <row r="161" spans="1:47" x14ac:dyDescent="0.25">
      <c r="A161" s="649" t="str">
        <f>+'STER Detailed Disclosure'!A141</f>
        <v>Deferred income taxes</v>
      </c>
      <c r="C161" s="2153"/>
      <c r="D161" s="2153"/>
      <c r="E161" s="2153"/>
      <c r="F161" s="2159"/>
      <c r="G161" s="2166"/>
      <c r="H161" s="2166"/>
      <c r="I161" s="2166">
        <f>+'STER Detailed Disclosure'!I141/1000</f>
        <v>4.569</v>
      </c>
      <c r="J161" s="2159">
        <f>+'STER Detailed Disclosure'!J141/1000</f>
        <v>-12.835000000000001</v>
      </c>
      <c r="K161" s="2166">
        <f>+'STER Detailed Disclosure'!K141/1000</f>
        <v>-2.4380000000000002</v>
      </c>
      <c r="L161" s="2166">
        <f>+'STER Detailed Disclosure'!L141/1000</f>
        <v>1.7390000000000003</v>
      </c>
      <c r="M161" s="2166">
        <f>+'STER Detailed Disclosure'!M141/1000</f>
        <v>-12.65</v>
      </c>
      <c r="N161" s="2159">
        <f>+'STER Detailed Disclosure'!N141/1000</f>
        <v>-8.6469999999999985</v>
      </c>
      <c r="O161" s="2166">
        <f>+'STER Detailed Disclosure'!O141/1000</f>
        <v>3.4119999999999999</v>
      </c>
      <c r="P161" s="2166">
        <f>+'STER Detailed Disclosure'!P141/1000</f>
        <v>-3.0000000000001137E-3</v>
      </c>
      <c r="Q161" s="2166">
        <f>+'STER Detailed Disclosure'!Q141/1000</f>
        <v>1.476</v>
      </c>
      <c r="R161" s="2159">
        <f>+'STER Detailed Disclosure'!R141/1000</f>
        <v>-8.2289999999999992</v>
      </c>
      <c r="S161" s="2166">
        <f>+'STER Detailed Disclosure'!S141/1000</f>
        <v>0.20899999999999999</v>
      </c>
      <c r="T161" s="2166">
        <f>+'STER Detailed Disclosure'!T141/1000</f>
        <v>-2.0999999999999991E-2</v>
      </c>
      <c r="U161" s="2166">
        <f>+'STER Detailed Disclosure'!U141/1000</f>
        <v>-0.38800000000000001</v>
      </c>
      <c r="V161" s="2159">
        <f>+'STER Detailed Disclosure'!V141/1000</f>
        <v>-13.675000000000001</v>
      </c>
      <c r="W161" s="2153">
        <f>+'STER Detailed Disclosure'!W141/1000</f>
        <v>-14.305999999999999</v>
      </c>
      <c r="X161" s="2153">
        <f>+'STER Detailed Disclosure'!X141/1000</f>
        <v>4.8179999999999996</v>
      </c>
      <c r="Y161" s="2288"/>
      <c r="Z161" s="2153"/>
      <c r="AA161" s="2153"/>
      <c r="AB161" s="2153"/>
      <c r="AC161" s="2153"/>
      <c r="AD161" s="2153"/>
      <c r="AE161" s="2153"/>
      <c r="AF161" s="2153"/>
      <c r="AG161" s="2153"/>
      <c r="AH161" s="2153"/>
      <c r="AI161" s="2153"/>
      <c r="AJ161" s="2153"/>
      <c r="AK161" s="2153"/>
      <c r="AL161" s="2153"/>
      <c r="AM161" s="2153"/>
      <c r="AN161" s="2153"/>
      <c r="AO161" s="2153"/>
      <c r="AP161" s="2153"/>
      <c r="AQ161" s="2153">
        <f>+'STER Detailed Disclosure'!AQ141/1000</f>
        <v>-18.132999999999999</v>
      </c>
      <c r="AR161" s="2153">
        <f>+'STER Detailed Disclosure'!AR141/1000</f>
        <v>-16.952000000000002</v>
      </c>
      <c r="AS161" s="2153">
        <f>+'STER Detailed Disclosure'!AS141/1000</f>
        <v>-21.995999999999999</v>
      </c>
      <c r="AT161" s="2153">
        <f>+'STER Detailed Disclosure'!AT141/1000</f>
        <v>-3.3439999999999999</v>
      </c>
      <c r="AU161" s="2153">
        <f>+'STER Detailed Disclosure'!AU141/1000</f>
        <v>-13.875</v>
      </c>
    </row>
    <row r="162" spans="1:47" x14ac:dyDescent="0.25">
      <c r="A162" s="649" t="str">
        <f>+'STER Detailed Disclosure'!A142</f>
        <v>Stock-based compensation</v>
      </c>
      <c r="C162" s="2153"/>
      <c r="D162" s="2153"/>
      <c r="E162" s="2153"/>
      <c r="F162" s="2159"/>
      <c r="G162" s="2166"/>
      <c r="H162" s="2166"/>
      <c r="I162" s="2166">
        <f>+'STER Detailed Disclosure'!I142/1000</f>
        <v>0.57000000000000006</v>
      </c>
      <c r="J162" s="2159">
        <f>+'STER Detailed Disclosure'!J142/1000</f>
        <v>1.7089999999999999</v>
      </c>
      <c r="K162" s="2166">
        <f>+'STER Detailed Disclosure'!K142/1000</f>
        <v>0.89800000000000002</v>
      </c>
      <c r="L162" s="2166">
        <f>+'STER Detailed Disclosure'!L142/1000</f>
        <v>0.755</v>
      </c>
      <c r="M162" s="2166">
        <f>+'STER Detailed Disclosure'!M142/1000</f>
        <v>25.583000000000002</v>
      </c>
      <c r="N162" s="2159">
        <f>+'STER Detailed Disclosure'!N142/1000</f>
        <v>5.3439999999999976</v>
      </c>
      <c r="O162" s="2166">
        <f>+'STER Detailed Disclosure'!O142/1000</f>
        <v>5.1079999999999997</v>
      </c>
      <c r="P162" s="2166">
        <f>+'STER Detailed Disclosure'!P142/1000</f>
        <v>6.0230000000000006</v>
      </c>
      <c r="Q162" s="2166">
        <f>+'STER Detailed Disclosure'!Q142/1000</f>
        <v>6.2929999999999993</v>
      </c>
      <c r="R162" s="2159">
        <f>+'STER Detailed Disclosure'!R142/1000</f>
        <v>6.3810000000000002</v>
      </c>
      <c r="S162" s="2166">
        <f>+'STER Detailed Disclosure'!S142/1000</f>
        <v>8.0429999999999993</v>
      </c>
      <c r="T162" s="2166">
        <f>+'STER Detailed Disclosure'!T142/1000</f>
        <v>9.3580000000000005</v>
      </c>
      <c r="U162" s="2166">
        <f>+'STER Detailed Disclosure'!U142/1000</f>
        <v>9.7830000000000013</v>
      </c>
      <c r="V162" s="2159">
        <f>+'STER Detailed Disclosure'!V142/1000</f>
        <v>7.4659999999999975</v>
      </c>
      <c r="W162" s="2153">
        <f>+'STER Detailed Disclosure'!W142/1000</f>
        <v>9.3420000000000005</v>
      </c>
      <c r="X162" s="2153">
        <f>+'STER Detailed Disclosure'!X142/1000</f>
        <v>11.703000000000001</v>
      </c>
      <c r="Y162" s="2288"/>
      <c r="Z162" s="2153"/>
      <c r="AA162" s="2153"/>
      <c r="AB162" s="2153"/>
      <c r="AC162" s="2153"/>
      <c r="AD162" s="2153"/>
      <c r="AE162" s="2153"/>
      <c r="AF162" s="2153"/>
      <c r="AG162" s="2153"/>
      <c r="AH162" s="2153"/>
      <c r="AI162" s="2153"/>
      <c r="AJ162" s="2153"/>
      <c r="AK162" s="2153"/>
      <c r="AL162" s="2153"/>
      <c r="AM162" s="2153"/>
      <c r="AN162" s="2153"/>
      <c r="AO162" s="2153"/>
      <c r="AP162" s="2153"/>
      <c r="AQ162" s="2153">
        <f>+'STER Detailed Disclosure'!AQ142/1000</f>
        <v>1.5029999999999999</v>
      </c>
      <c r="AR162" s="2153">
        <f>+'STER Detailed Disclosure'!AR142/1000</f>
        <v>3.4649999999999999</v>
      </c>
      <c r="AS162" s="2153">
        <f>+'STER Detailed Disclosure'!AS142/1000</f>
        <v>32.58</v>
      </c>
      <c r="AT162" s="2153">
        <f>+'STER Detailed Disclosure'!AT142/1000</f>
        <v>23.805</v>
      </c>
      <c r="AU162" s="2153">
        <f>+'STER Detailed Disclosure'!AU142/1000</f>
        <v>34.65</v>
      </c>
    </row>
    <row r="163" spans="1:47" x14ac:dyDescent="0.25">
      <c r="A163" s="649" t="str">
        <f>+'STER Detailed Disclosure'!A143</f>
        <v>Impairments and disposals of long-lived assets</v>
      </c>
      <c r="C163" s="2153"/>
      <c r="D163" s="2153"/>
      <c r="E163" s="2153"/>
      <c r="F163" s="2159"/>
      <c r="G163" s="2166"/>
      <c r="H163" s="2166"/>
      <c r="I163" s="2166">
        <f>+'STER Detailed Disclosure'!I143/1000</f>
        <v>0.621</v>
      </c>
      <c r="J163" s="2159">
        <f>+'STER Detailed Disclosure'!J143/1000</f>
        <v>1.117</v>
      </c>
      <c r="K163" s="2166">
        <f>+'STER Detailed Disclosure'!K143/1000</f>
        <v>2.8759999999999999</v>
      </c>
      <c r="L163" s="2166">
        <f>+'STER Detailed Disclosure'!L143/1000</f>
        <v>4.8999999999999926E-2</v>
      </c>
      <c r="M163" s="2166">
        <f>+'STER Detailed Disclosure'!M143/1000</f>
        <v>1.5000000000000124E-2</v>
      </c>
      <c r="N163" s="2159">
        <f>+'STER Detailed Disclosure'!N143/1000</f>
        <v>0.33400000000000007</v>
      </c>
      <c r="O163" s="2166">
        <f>+'STER Detailed Disclosure'!O143/1000</f>
        <v>0</v>
      </c>
      <c r="P163" s="2166">
        <f>+'STER Detailed Disclosure'!P143/1000</f>
        <v>0.61199999999999999</v>
      </c>
      <c r="Q163" s="2166">
        <f>+'STER Detailed Disclosure'!Q143/1000</f>
        <v>0.19300000000000006</v>
      </c>
      <c r="R163" s="2159">
        <f>+'STER Detailed Disclosure'!R143/1000</f>
        <v>0.20299999999999996</v>
      </c>
      <c r="S163" s="2166">
        <f>+'STER Detailed Disclosure'!S143/1000</f>
        <v>0.106</v>
      </c>
      <c r="T163" s="2166">
        <f>+'STER Detailed Disclosure'!T143/1000</f>
        <v>7.0389999999999997</v>
      </c>
      <c r="U163" s="2166">
        <f>+'STER Detailed Disclosure'!U143/1000</f>
        <v>4.8000000000000043E-2</v>
      </c>
      <c r="V163" s="2159">
        <f>+'STER Detailed Disclosure'!V143/1000</f>
        <v>0.17800000000000082</v>
      </c>
      <c r="W163" s="2153">
        <f>+'STER Detailed Disclosure'!W143/1000</f>
        <v>0.16800000000000001</v>
      </c>
      <c r="X163" s="2153">
        <f>+'STER Detailed Disclosure'!X143/1000</f>
        <v>3.2000000000000001E-2</v>
      </c>
      <c r="Y163" s="2288"/>
      <c r="Z163" s="2153"/>
      <c r="AA163" s="2153"/>
      <c r="AB163" s="2153"/>
      <c r="AC163" s="2153"/>
      <c r="AD163" s="2153"/>
      <c r="AE163" s="2153"/>
      <c r="AF163" s="2153"/>
      <c r="AG163" s="2153"/>
      <c r="AH163" s="2153"/>
      <c r="AI163" s="2153"/>
      <c r="AJ163" s="2153"/>
      <c r="AK163" s="2153"/>
      <c r="AL163" s="2153"/>
      <c r="AM163" s="2153"/>
      <c r="AN163" s="2153"/>
      <c r="AO163" s="2153"/>
      <c r="AP163" s="2153"/>
      <c r="AQ163" s="2153">
        <f>+'STER Detailed Disclosure'!AQ143/1000</f>
        <v>3.22</v>
      </c>
      <c r="AR163" s="2153">
        <f>+'STER Detailed Disclosure'!AR143/1000</f>
        <v>1.7969999999999999</v>
      </c>
      <c r="AS163" s="2153">
        <f>+'STER Detailed Disclosure'!AS143/1000</f>
        <v>3.274</v>
      </c>
      <c r="AT163" s="2153">
        <f>+'STER Detailed Disclosure'!AT143/1000</f>
        <v>1.008</v>
      </c>
      <c r="AU163" s="2153">
        <f>+'STER Detailed Disclosure'!AU143/1000</f>
        <v>7.3710000000000004</v>
      </c>
    </row>
    <row r="164" spans="1:47" x14ac:dyDescent="0.25">
      <c r="A164" s="649" t="str">
        <f>+'STER Detailed Disclosure'!A144</f>
        <v>Provision for bad debts</v>
      </c>
      <c r="C164" s="2153"/>
      <c r="D164" s="2153"/>
      <c r="E164" s="2153"/>
      <c r="F164" s="2159"/>
      <c r="G164" s="2166"/>
      <c r="H164" s="2166"/>
      <c r="I164" s="2166">
        <f>+'STER Detailed Disclosure'!I144/1000</f>
        <v>-0.20199999999999993</v>
      </c>
      <c r="J164" s="2159">
        <f>+'STER Detailed Disclosure'!J144/1000</f>
        <v>-0.191</v>
      </c>
      <c r="K164" s="2166">
        <f>+'STER Detailed Disclosure'!K144/1000</f>
        <v>7.9000000000000001E-2</v>
      </c>
      <c r="L164" s="2166">
        <f>+'STER Detailed Disclosure'!L144/1000</f>
        <v>0.41699999999999998</v>
      </c>
      <c r="M164" s="2166">
        <f>+'STER Detailed Disclosure'!M144/1000</f>
        <v>0.10799999999999998</v>
      </c>
      <c r="N164" s="2159">
        <f>+'STER Detailed Disclosure'!N144/1000</f>
        <v>0.56500000000000017</v>
      </c>
      <c r="O164" s="2166">
        <f>+'STER Detailed Disclosure'!O144/1000</f>
        <v>0.308</v>
      </c>
      <c r="P164" s="2166">
        <f>+'STER Detailed Disclosure'!P144/1000</f>
        <v>0.35100000000000003</v>
      </c>
      <c r="Q164" s="2166">
        <f>+'STER Detailed Disclosure'!Q144/1000</f>
        <v>0.35699999999999998</v>
      </c>
      <c r="R164" s="2159">
        <f>+'STER Detailed Disclosure'!R144/1000</f>
        <v>-0.13900000000000001</v>
      </c>
      <c r="S164" s="2166">
        <f>+'STER Detailed Disclosure'!S144/1000</f>
        <v>0.24399999999999999</v>
      </c>
      <c r="T164" s="2166">
        <f>+'STER Detailed Disclosure'!T144/1000</f>
        <v>0.21500000000000002</v>
      </c>
      <c r="U164" s="2166">
        <f>+'STER Detailed Disclosure'!U144/1000</f>
        <v>9.7000000000000031E-2</v>
      </c>
      <c r="V164" s="2159">
        <f>+'STER Detailed Disclosure'!V144/1000</f>
        <v>0.38100000000000001</v>
      </c>
      <c r="W164" s="2153">
        <f>+'STER Detailed Disclosure'!W144/1000</f>
        <v>0.24</v>
      </c>
      <c r="X164" s="2153">
        <f>+'STER Detailed Disclosure'!X144/1000</f>
        <v>0.97199999999999998</v>
      </c>
      <c r="Y164" s="2288"/>
      <c r="Z164" s="2153"/>
      <c r="AA164" s="2153"/>
      <c r="AB164" s="2153"/>
      <c r="AC164" s="2153"/>
      <c r="AD164" s="2153"/>
      <c r="AE164" s="2153"/>
      <c r="AF164" s="2153"/>
      <c r="AG164" s="2153"/>
      <c r="AH164" s="2153"/>
      <c r="AI164" s="2153"/>
      <c r="AJ164" s="2153"/>
      <c r="AK164" s="2153"/>
      <c r="AL164" s="2153"/>
      <c r="AM164" s="2153"/>
      <c r="AN164" s="2153"/>
      <c r="AO164" s="2153"/>
      <c r="AP164" s="2153"/>
      <c r="AQ164" s="2153">
        <f>+'STER Detailed Disclosure'!AQ144/1000</f>
        <v>0.70899999999999996</v>
      </c>
      <c r="AR164" s="2153">
        <f>+'STER Detailed Disclosure'!AR144/1000</f>
        <v>0.432</v>
      </c>
      <c r="AS164" s="2153">
        <f>+'STER Detailed Disclosure'!AS144/1000</f>
        <v>1.169</v>
      </c>
      <c r="AT164" s="2153">
        <f>+'STER Detailed Disclosure'!AT144/1000</f>
        <v>0.877</v>
      </c>
      <c r="AU164" s="2153">
        <f>+'STER Detailed Disclosure'!AU144/1000</f>
        <v>0.93700000000000006</v>
      </c>
    </row>
    <row r="165" spans="1:47" x14ac:dyDescent="0.25">
      <c r="A165" s="649" t="str">
        <f>+'STER Detailed Disclosure'!A145</f>
        <v>Amortization of financing fees</v>
      </c>
      <c r="C165" s="2153"/>
      <c r="D165" s="2153"/>
      <c r="E165" s="2153"/>
      <c r="F165" s="2159"/>
      <c r="G165" s="2166"/>
      <c r="H165" s="2166"/>
      <c r="I165" s="2166">
        <f>+'STER Detailed Disclosure'!I145/1000</f>
        <v>0.124</v>
      </c>
      <c r="J165" s="2159">
        <f>+'STER Detailed Disclosure'!J145/1000</f>
        <v>0.124</v>
      </c>
      <c r="K165" s="2166">
        <f>+'STER Detailed Disclosure'!K145/1000</f>
        <v>0.124</v>
      </c>
      <c r="L165" s="2166">
        <f>+'STER Detailed Disclosure'!L145/1000</f>
        <v>0.125</v>
      </c>
      <c r="M165" s="2166">
        <f>+'STER Detailed Disclosure'!M145/1000</f>
        <v>0.11299999999999999</v>
      </c>
      <c r="N165" s="2159">
        <f>+'STER Detailed Disclosure'!N145/1000</f>
        <v>0.10899999999999999</v>
      </c>
      <c r="O165" s="2166">
        <f>+'STER Detailed Disclosure'!O145/1000</f>
        <v>0.109</v>
      </c>
      <c r="P165" s="2166">
        <f>+'STER Detailed Disclosure'!P145/1000</f>
        <v>0.109</v>
      </c>
      <c r="Q165" s="2166">
        <f>+'STER Detailed Disclosure'!Q145/1000</f>
        <v>0.10900000000000001</v>
      </c>
      <c r="R165" s="2159">
        <f>+'STER Detailed Disclosure'!R145/1000</f>
        <v>0.126</v>
      </c>
      <c r="S165" s="2166">
        <f>+'STER Detailed Disclosure'!S145/1000</f>
        <v>0.26900000000000002</v>
      </c>
      <c r="T165" s="2166">
        <f>+'STER Detailed Disclosure'!T145/1000</f>
        <v>0.27</v>
      </c>
      <c r="U165" s="2166">
        <f>+'STER Detailed Disclosure'!U145/1000</f>
        <v>0.26900000000000002</v>
      </c>
      <c r="V165" s="2159">
        <f>+'STER Detailed Disclosure'!V145/1000</f>
        <v>0.27</v>
      </c>
      <c r="W165" s="2153">
        <f>+'STER Detailed Disclosure'!W145/1000</f>
        <v>0.26900000000000002</v>
      </c>
      <c r="X165" s="2153">
        <f>+'STER Detailed Disclosure'!X145/1000</f>
        <v>0.27</v>
      </c>
      <c r="Y165" s="2288"/>
      <c r="Z165" s="2153"/>
      <c r="AA165" s="2153"/>
      <c r="AB165" s="2153"/>
      <c r="AC165" s="2153"/>
      <c r="AD165" s="2153"/>
      <c r="AE165" s="2153"/>
      <c r="AF165" s="2153"/>
      <c r="AG165" s="2153"/>
      <c r="AH165" s="2153"/>
      <c r="AI165" s="2153"/>
      <c r="AJ165" s="2153"/>
      <c r="AK165" s="2153"/>
      <c r="AL165" s="2153"/>
      <c r="AM165" s="2153"/>
      <c r="AN165" s="2153"/>
      <c r="AO165" s="2153"/>
      <c r="AP165" s="2153"/>
      <c r="AQ165" s="2153">
        <f>+'STER Detailed Disclosure'!AQ145/1000</f>
        <v>0.497</v>
      </c>
      <c r="AR165" s="2153">
        <f>+'STER Detailed Disclosure'!AR145/1000</f>
        <v>0.497</v>
      </c>
      <c r="AS165" s="2153">
        <f>+'STER Detailed Disclosure'!AS145/1000</f>
        <v>0.47099999999999997</v>
      </c>
      <c r="AT165" s="2153">
        <f>+'STER Detailed Disclosure'!AT145/1000</f>
        <v>0.45300000000000001</v>
      </c>
      <c r="AU165" s="2153">
        <f>+'STER Detailed Disclosure'!AU145/1000</f>
        <v>1.0780000000000001</v>
      </c>
    </row>
    <row r="166" spans="1:47" x14ac:dyDescent="0.25">
      <c r="A166" s="649" t="str">
        <f>+'STER Detailed Disclosure'!A146</f>
        <v>Amortization of debt discount</v>
      </c>
      <c r="C166" s="2153"/>
      <c r="D166" s="2153"/>
      <c r="E166" s="2153"/>
      <c r="F166" s="2159"/>
      <c r="G166" s="2166"/>
      <c r="H166" s="2166"/>
      <c r="I166" s="2166">
        <f>+'STER Detailed Disclosure'!I146/1000</f>
        <v>0.59199999999999986</v>
      </c>
      <c r="J166" s="2159">
        <f>+'STER Detailed Disclosure'!J146/1000</f>
        <v>0.5900000000000003</v>
      </c>
      <c r="K166" s="2166">
        <f>+'STER Detailed Disclosure'!K146/1000</f>
        <v>0.57599999999999996</v>
      </c>
      <c r="L166" s="2166">
        <f>+'STER Detailed Disclosure'!L146/1000</f>
        <v>0.57999999999999996</v>
      </c>
      <c r="M166" s="2166">
        <f>+'STER Detailed Disclosure'!M146/1000</f>
        <v>0.58500000000000019</v>
      </c>
      <c r="N166" s="2159">
        <f>+'STER Detailed Disclosure'!N146/1000</f>
        <v>1.5209999999999999</v>
      </c>
      <c r="O166" s="2166">
        <f>+'STER Detailed Disclosure'!O146/1000</f>
        <v>0.47799999999999998</v>
      </c>
      <c r="P166" s="2166">
        <f>+'STER Detailed Disclosure'!P146/1000</f>
        <v>0.48099999999999998</v>
      </c>
      <c r="Q166" s="2166">
        <f>+'STER Detailed Disclosure'!Q146/1000</f>
        <v>0.48499999999999999</v>
      </c>
      <c r="R166" s="2159">
        <f>+'STER Detailed Disclosure'!R146/1000</f>
        <v>0.23100000000000009</v>
      </c>
      <c r="S166" s="2166">
        <f>+'STER Detailed Disclosure'!S146/1000</f>
        <v>0.19400000000000001</v>
      </c>
      <c r="T166" s="2166">
        <f>+'STER Detailed Disclosure'!T146/1000</f>
        <v>0.19800000000000001</v>
      </c>
      <c r="U166" s="2166">
        <f>+'STER Detailed Disclosure'!U146/1000</f>
        <v>0.20199999999999993</v>
      </c>
      <c r="V166" s="2159">
        <f>+'STER Detailed Disclosure'!V146/1000</f>
        <v>0.20400000000000007</v>
      </c>
      <c r="W166" s="2153">
        <f>+'STER Detailed Disclosure'!W146/1000</f>
        <v>0.20399999999999999</v>
      </c>
      <c r="X166" s="2153">
        <f>+'STER Detailed Disclosure'!X146/1000</f>
        <v>0.20399999999999999</v>
      </c>
      <c r="Y166" s="2288"/>
      <c r="Z166" s="2153"/>
      <c r="AA166" s="2153"/>
      <c r="AB166" s="2153"/>
      <c r="AC166" s="2153"/>
      <c r="AD166" s="2153"/>
      <c r="AE166" s="2153"/>
      <c r="AF166" s="2153"/>
      <c r="AG166" s="2153"/>
      <c r="AH166" s="2153"/>
      <c r="AI166" s="2153"/>
      <c r="AJ166" s="2153"/>
      <c r="AK166" s="2153"/>
      <c r="AL166" s="2153"/>
      <c r="AM166" s="2153"/>
      <c r="AN166" s="2153"/>
      <c r="AO166" s="2153"/>
      <c r="AP166" s="2153"/>
      <c r="AQ166" s="2153">
        <f>+'STER Detailed Disclosure'!AQ146/1000</f>
        <v>2.375</v>
      </c>
      <c r="AR166" s="2153">
        <f>+'STER Detailed Disclosure'!AR146/1000</f>
        <v>2.3570000000000002</v>
      </c>
      <c r="AS166" s="2153">
        <f>+'STER Detailed Disclosure'!AS146/1000</f>
        <v>3.262</v>
      </c>
      <c r="AT166" s="2153">
        <f>+'STER Detailed Disclosure'!AT146/1000</f>
        <v>1.675</v>
      </c>
      <c r="AU166" s="2153">
        <f>+'STER Detailed Disclosure'!AU146/1000</f>
        <v>0.79800000000000004</v>
      </c>
    </row>
    <row r="167" spans="1:47" x14ac:dyDescent="0.25">
      <c r="A167" s="649" t="str">
        <f>+'STER Detailed Disclosure'!A147</f>
        <v>Deferred rent</v>
      </c>
      <c r="C167" s="2153"/>
      <c r="D167" s="2153"/>
      <c r="E167" s="2153"/>
      <c r="F167" s="2159"/>
      <c r="G167" s="2166"/>
      <c r="H167" s="2166"/>
      <c r="I167" s="2166">
        <f>+'STER Detailed Disclosure'!I147/1000</f>
        <v>-0.13900000000000001</v>
      </c>
      <c r="J167" s="2159">
        <f>+'STER Detailed Disclosure'!J147/1000</f>
        <v>-0.751</v>
      </c>
      <c r="K167" s="2166">
        <f>+'STER Detailed Disclosure'!K147/1000</f>
        <v>-1.1200000000000001</v>
      </c>
      <c r="L167" s="2166">
        <f>+'STER Detailed Disclosure'!L147/1000</f>
        <v>-0.10299999999999998</v>
      </c>
      <c r="M167" s="2166">
        <f>+'STER Detailed Disclosure'!M147/1000</f>
        <v>-0.11099999999999999</v>
      </c>
      <c r="N167" s="2159">
        <f>+'STER Detailed Disclosure'!N147/1000</f>
        <v>-0.28699999999999992</v>
      </c>
      <c r="O167" s="2166">
        <f>+'STER Detailed Disclosure'!O147/1000</f>
        <v>0</v>
      </c>
      <c r="P167" s="2166">
        <f>+'STER Detailed Disclosure'!P147/1000</f>
        <v>-0.14599999999999999</v>
      </c>
      <c r="Q167" s="2166">
        <f>+'STER Detailed Disclosure'!Q147/1000</f>
        <v>-2.4000000000000021E-2</v>
      </c>
      <c r="R167" s="2159">
        <f>+'STER Detailed Disclosure'!R147/1000</f>
        <v>-5.5999999999999994E-2</v>
      </c>
      <c r="S167" s="2166">
        <f>+'STER Detailed Disclosure'!S147/1000</f>
        <v>3.9E-2</v>
      </c>
      <c r="T167" s="2166">
        <f>+'STER Detailed Disclosure'!T147/1000</f>
        <v>0.98399999999999987</v>
      </c>
      <c r="U167" s="2166">
        <f>+'STER Detailed Disclosure'!U147/1000</f>
        <v>-0.6399999999999999</v>
      </c>
      <c r="V167" s="2159">
        <f>+'STER Detailed Disclosure'!V147/1000</f>
        <v>-0.54100000000000004</v>
      </c>
      <c r="W167" s="2153">
        <f>+'STER Detailed Disclosure'!W147/1000</f>
        <v>-0.42799999999999999</v>
      </c>
      <c r="X167" s="2153">
        <f>+'STER Detailed Disclosure'!X147/1000</f>
        <v>-0.434</v>
      </c>
      <c r="Y167" s="2288"/>
      <c r="Z167" s="2153"/>
      <c r="AA167" s="2153"/>
      <c r="AB167" s="2153"/>
      <c r="AC167" s="2153"/>
      <c r="AD167" s="2153"/>
      <c r="AE167" s="2153"/>
      <c r="AF167" s="2153"/>
      <c r="AG167" s="2153"/>
      <c r="AH167" s="2153"/>
      <c r="AI167" s="2153"/>
      <c r="AJ167" s="2153"/>
      <c r="AK167" s="2153"/>
      <c r="AL167" s="2153"/>
      <c r="AM167" s="2153"/>
      <c r="AN167" s="2153"/>
      <c r="AO167" s="2153"/>
      <c r="AP167" s="2153"/>
      <c r="AQ167" s="2153">
        <f>+'STER Detailed Disclosure'!AQ147/1000</f>
        <v>-0.52900000000000003</v>
      </c>
      <c r="AR167" s="2153">
        <f>+'STER Detailed Disclosure'!AR147/1000</f>
        <v>-0.82699999999999996</v>
      </c>
      <c r="AS167" s="2153">
        <f>+'STER Detailed Disclosure'!AS147/1000</f>
        <v>-1.621</v>
      </c>
      <c r="AT167" s="2153">
        <f>+'STER Detailed Disclosure'!AT147/1000</f>
        <v>-0.22600000000000001</v>
      </c>
      <c r="AU167" s="2153">
        <f>+'STER Detailed Disclosure'!AU147/1000</f>
        <v>-0.158</v>
      </c>
    </row>
    <row r="168" spans="1:47" x14ac:dyDescent="0.25">
      <c r="A168" s="649" t="str">
        <f>+'STER Detailed Disclosure'!A148</f>
        <v>Noncash impact of lease accounting under ASC 842</v>
      </c>
      <c r="C168" s="2153"/>
      <c r="D168" s="2153"/>
      <c r="E168" s="2153"/>
      <c r="F168" s="2159"/>
      <c r="G168" s="2166"/>
      <c r="H168" s="2166"/>
      <c r="I168" s="2166">
        <f>+'STER Detailed Disclosure'!I148/1000</f>
        <v>0</v>
      </c>
      <c r="J168" s="2159">
        <f>+'STER Detailed Disclosure'!J148/1000</f>
        <v>0</v>
      </c>
      <c r="K168" s="2166">
        <f>+'STER Detailed Disclosure'!K148/1000</f>
        <v>0</v>
      </c>
      <c r="L168" s="2166">
        <f>+'STER Detailed Disclosure'!L148/1000</f>
        <v>0</v>
      </c>
      <c r="M168" s="2166">
        <f>+'STER Detailed Disclosure'!M148/1000</f>
        <v>0</v>
      </c>
      <c r="N168" s="2159">
        <f>+'STER Detailed Disclosure'!N148/1000</f>
        <v>0</v>
      </c>
      <c r="O168" s="2166">
        <f>+'STER Detailed Disclosure'!O148/1000</f>
        <v>-5.5E-2</v>
      </c>
      <c r="P168" s="2166">
        <f>+'STER Detailed Disclosure'!P148/1000</f>
        <v>5.5E-2</v>
      </c>
      <c r="Q168" s="2166">
        <f>+'STER Detailed Disclosure'!Q148/1000</f>
        <v>0</v>
      </c>
      <c r="R168" s="2159">
        <f>+'STER Detailed Disclosure'!R148/1000</f>
        <v>0</v>
      </c>
      <c r="S168" s="2166">
        <f>+'STER Detailed Disclosure'!S148/1000</f>
        <v>0</v>
      </c>
      <c r="T168" s="2166">
        <f>+'STER Detailed Disclosure'!T148/1000</f>
        <v>0</v>
      </c>
      <c r="U168" s="2166">
        <f>+'STER Detailed Disclosure'!U148/1000</f>
        <v>0</v>
      </c>
      <c r="V168" s="2159">
        <f>+'STER Detailed Disclosure'!V148/1000</f>
        <v>0</v>
      </c>
      <c r="W168" s="2153">
        <f>+'STER Detailed Disclosure'!W148/1000</f>
        <v>0</v>
      </c>
      <c r="X168" s="2153">
        <f>+'STER Detailed Disclosure'!X148/1000</f>
        <v>0</v>
      </c>
      <c r="Y168" s="2288"/>
      <c r="Z168" s="2153"/>
      <c r="AA168" s="2153"/>
      <c r="AB168" s="2153"/>
      <c r="AC168" s="2153"/>
      <c r="AD168" s="2153"/>
      <c r="AE168" s="2153"/>
      <c r="AF168" s="2153"/>
      <c r="AG168" s="2153"/>
      <c r="AH168" s="2153"/>
      <c r="AI168" s="2153"/>
      <c r="AJ168" s="2153"/>
      <c r="AK168" s="2153"/>
      <c r="AL168" s="2153"/>
      <c r="AM168" s="2153"/>
      <c r="AN168" s="2153"/>
      <c r="AO168" s="2153"/>
      <c r="AP168" s="2153"/>
      <c r="AQ168" s="2153">
        <f>+'STER Detailed Disclosure'!AQ148/1000</f>
        <v>0</v>
      </c>
      <c r="AR168" s="2153">
        <f>+'STER Detailed Disclosure'!AR148/1000</f>
        <v>0</v>
      </c>
      <c r="AS168" s="2153">
        <f>+'STER Detailed Disclosure'!AS148/1000</f>
        <v>0</v>
      </c>
      <c r="AT168" s="2153">
        <f>+'STER Detailed Disclosure'!AT148/1000</f>
        <v>0</v>
      </c>
      <c r="AU168" s="2153">
        <f>+'STER Detailed Disclosure'!AU148/1000</f>
        <v>0</v>
      </c>
    </row>
    <row r="169" spans="1:47" x14ac:dyDescent="0.25">
      <c r="A169" s="649" t="str">
        <f>+'STER Detailed Disclosure'!A149</f>
        <v>Unrealized translation gain (loss) on investment in foreign subsidiaries</v>
      </c>
      <c r="C169" s="2153"/>
      <c r="D169" s="2153"/>
      <c r="E169" s="2153"/>
      <c r="F169" s="2159"/>
      <c r="G169" s="2166"/>
      <c r="H169" s="2166"/>
      <c r="I169" s="2166">
        <f>+'STER Detailed Disclosure'!I149/1000</f>
        <v>0.15700000000000003</v>
      </c>
      <c r="J169" s="2159">
        <f>+'STER Detailed Disclosure'!J149/1000</f>
        <v>-8.2999999999999963E-2</v>
      </c>
      <c r="K169" s="2166">
        <f>+'STER Detailed Disclosure'!K149/1000</f>
        <v>4.1000000000000002E-2</v>
      </c>
      <c r="L169" s="2166">
        <f>+'STER Detailed Disclosure'!L149/1000</f>
        <v>-0.27</v>
      </c>
      <c r="M169" s="2166">
        <f>+'STER Detailed Disclosure'!M149/1000</f>
        <v>0.129</v>
      </c>
      <c r="N169" s="2159">
        <f>+'STER Detailed Disclosure'!N149/1000</f>
        <v>-5.3999999999999992E-2</v>
      </c>
      <c r="O169" s="2166">
        <f>+'STER Detailed Disclosure'!O149/1000</f>
        <v>-0.39300000000000002</v>
      </c>
      <c r="P169" s="2166">
        <f>+'STER Detailed Disclosure'!P149/1000</f>
        <v>-0.82699999999999996</v>
      </c>
      <c r="Q169" s="2166">
        <f>+'STER Detailed Disclosure'!Q149/1000</f>
        <v>-0.6180000000000001</v>
      </c>
      <c r="R169" s="2159">
        <f>+'STER Detailed Disclosure'!R149/1000</f>
        <v>-0.50700000000000012</v>
      </c>
      <c r="S169" s="2166">
        <f>+'STER Detailed Disclosure'!S149/1000</f>
        <v>0.13500000000000001</v>
      </c>
      <c r="T169" s="2166">
        <f>+'STER Detailed Disclosure'!T149/1000</f>
        <v>-2.700000000000001E-2</v>
      </c>
      <c r="U169" s="2166">
        <f>+'STER Detailed Disclosure'!U149/1000</f>
        <v>-1.3999999999999999E-2</v>
      </c>
      <c r="V169" s="2159">
        <f>+'STER Detailed Disclosure'!V149/1000</f>
        <v>8.8999999999999996E-2</v>
      </c>
      <c r="W169" s="2153">
        <f>+'STER Detailed Disclosure'!W149/1000</f>
        <v>1.7999999999999999E-2</v>
      </c>
      <c r="X169" s="2153">
        <f>+'STER Detailed Disclosure'!X149/1000</f>
        <v>-1.0999999999999999E-2</v>
      </c>
      <c r="Y169" s="2288"/>
      <c r="Z169" s="2153"/>
      <c r="AA169" s="2153"/>
      <c r="AB169" s="2153"/>
      <c r="AC169" s="2153"/>
      <c r="AD169" s="2153"/>
      <c r="AE169" s="2153"/>
      <c r="AF169" s="2153"/>
      <c r="AG169" s="2153"/>
      <c r="AH169" s="2153"/>
      <c r="AI169" s="2153"/>
      <c r="AJ169" s="2153"/>
      <c r="AK169" s="2153"/>
      <c r="AL169" s="2153"/>
      <c r="AM169" s="2153"/>
      <c r="AN169" s="2153"/>
      <c r="AO169" s="2153"/>
      <c r="AP169" s="2153"/>
      <c r="AQ169" s="2153">
        <f>+'STER Detailed Disclosure'!AQ149/1000</f>
        <v>1.4E-2</v>
      </c>
      <c r="AR169" s="2153">
        <f>+'STER Detailed Disclosure'!AR149/1000</f>
        <v>-0.59699999999999998</v>
      </c>
      <c r="AS169" s="2153">
        <f>+'STER Detailed Disclosure'!AS149/1000</f>
        <v>-0.154</v>
      </c>
      <c r="AT169" s="2153">
        <f>+'STER Detailed Disclosure'!AT149/1000</f>
        <v>-2.3450000000000002</v>
      </c>
      <c r="AU169" s="2153">
        <f>+'STER Detailed Disclosure'!AU149/1000</f>
        <v>0.183</v>
      </c>
    </row>
    <row r="170" spans="1:47" x14ac:dyDescent="0.25">
      <c r="A170" s="649" t="str">
        <f>+'STER Detailed Disclosure'!A150</f>
        <v>Interest rate swap settlements</v>
      </c>
      <c r="C170" s="2153"/>
      <c r="D170" s="2153"/>
      <c r="E170" s="2153"/>
      <c r="F170" s="2159"/>
      <c r="G170" s="2166"/>
      <c r="H170" s="2166"/>
      <c r="I170" s="2166">
        <f>+'STER Detailed Disclosure'!I150/1000</f>
        <v>0</v>
      </c>
      <c r="J170" s="2159">
        <f>+'STER Detailed Disclosure'!J150/1000</f>
        <v>0</v>
      </c>
      <c r="K170" s="2166">
        <f>+'STER Detailed Disclosure'!K150/1000</f>
        <v>0</v>
      </c>
      <c r="L170" s="2166">
        <f>+'STER Detailed Disclosure'!L150/1000</f>
        <v>0</v>
      </c>
      <c r="M170" s="2166">
        <f>+'STER Detailed Disclosure'!M150/1000</f>
        <v>0</v>
      </c>
      <c r="N170" s="2159">
        <f>+'STER Detailed Disclosure'!N150/1000</f>
        <v>0</v>
      </c>
      <c r="O170" s="2166">
        <f>+'STER Detailed Disclosure'!O150/1000</f>
        <v>0</v>
      </c>
      <c r="P170" s="2166">
        <f>+'STER Detailed Disclosure'!P150/1000</f>
        <v>0</v>
      </c>
      <c r="Q170" s="2166">
        <f>+'STER Detailed Disclosure'!Q150/1000</f>
        <v>0</v>
      </c>
      <c r="R170" s="2159">
        <f>+'STER Detailed Disclosure'!R150/1000</f>
        <v>0</v>
      </c>
      <c r="S170" s="2166">
        <f>+'STER Detailed Disclosure'!S150/1000</f>
        <v>2.3E-2</v>
      </c>
      <c r="T170" s="2166">
        <f>+'STER Detailed Disclosure'!T150/1000</f>
        <v>0.56200000000000006</v>
      </c>
      <c r="U170" s="2166">
        <f>+'STER Detailed Disclosure'!U150/1000</f>
        <v>0.73799999999999999</v>
      </c>
      <c r="V170" s="2159">
        <f>+'STER Detailed Disclosure'!V150/1000</f>
        <v>-1.323</v>
      </c>
      <c r="W170" s="2153">
        <f>+'STER Detailed Disclosure'!W150/1000</f>
        <v>0</v>
      </c>
      <c r="X170" s="2153">
        <f>+'STER Detailed Disclosure'!X150/1000</f>
        <v>0</v>
      </c>
      <c r="Y170" s="2288"/>
      <c r="Z170" s="2153"/>
      <c r="AA170" s="2153"/>
      <c r="AB170" s="2153"/>
      <c r="AC170" s="2153"/>
      <c r="AD170" s="2153"/>
      <c r="AE170" s="2153"/>
      <c r="AF170" s="2153"/>
      <c r="AG170" s="2153"/>
      <c r="AH170" s="2153"/>
      <c r="AI170" s="2153"/>
      <c r="AJ170" s="2153"/>
      <c r="AK170" s="2153"/>
      <c r="AL170" s="2153"/>
      <c r="AM170" s="2153"/>
      <c r="AN170" s="2153"/>
      <c r="AO170" s="2153"/>
      <c r="AP170" s="2153"/>
      <c r="AQ170" s="2153">
        <f>+'STER Detailed Disclosure'!AQ150/1000</f>
        <v>0</v>
      </c>
      <c r="AR170" s="2153">
        <f>+'STER Detailed Disclosure'!AR150/1000</f>
        <v>0</v>
      </c>
      <c r="AS170" s="2153">
        <f>+'STER Detailed Disclosure'!AS150/1000</f>
        <v>0</v>
      </c>
      <c r="AT170" s="2153">
        <f>+'STER Detailed Disclosure'!AT150/1000</f>
        <v>0</v>
      </c>
      <c r="AU170" s="2153">
        <f>+'STER Detailed Disclosure'!AU150/1000</f>
        <v>0</v>
      </c>
    </row>
    <row r="171" spans="1:47" x14ac:dyDescent="0.25">
      <c r="A171" s="649" t="str">
        <f>+'STER Detailed Disclosure'!A151</f>
        <v>Changes in fair value of derivatives</v>
      </c>
      <c r="C171" s="2153"/>
      <c r="D171" s="2153"/>
      <c r="E171" s="2153"/>
      <c r="F171" s="2159"/>
      <c r="G171" s="2166"/>
      <c r="H171" s="2166"/>
      <c r="I171" s="2166">
        <f>+'STER Detailed Disclosure'!I151/1000</f>
        <v>-1.54</v>
      </c>
      <c r="J171" s="2159">
        <f>+'STER Detailed Disclosure'!J151/1000</f>
        <v>-1.6549999999999994</v>
      </c>
      <c r="K171" s="2166">
        <f>+'STER Detailed Disclosure'!K151/1000</f>
        <v>-1.5269999999999999</v>
      </c>
      <c r="L171" s="2166">
        <f>+'STER Detailed Disclosure'!L151/1000</f>
        <v>-1.377</v>
      </c>
      <c r="M171" s="2166">
        <f>+'STER Detailed Disclosure'!M151/1000</f>
        <v>-2.12</v>
      </c>
      <c r="N171" s="2159">
        <f>+'STER Detailed Disclosure'!N151/1000</f>
        <v>-2.3979999999999997</v>
      </c>
      <c r="O171" s="2166">
        <f>+'STER Detailed Disclosure'!O151/1000</f>
        <v>-2.464</v>
      </c>
      <c r="P171" s="2166">
        <f>+'STER Detailed Disclosure'!P151/1000</f>
        <v>-1.6380000000000003</v>
      </c>
      <c r="Q171" s="2166">
        <f>+'STER Detailed Disclosure'!Q151/1000</f>
        <v>0</v>
      </c>
      <c r="R171" s="2159">
        <f>+'STER Detailed Disclosure'!R151/1000</f>
        <v>0</v>
      </c>
      <c r="S171" s="2166">
        <f>+'STER Detailed Disclosure'!S151/1000</f>
        <v>0</v>
      </c>
      <c r="T171" s="2166">
        <f>+'STER Detailed Disclosure'!T151/1000</f>
        <v>0</v>
      </c>
      <c r="U171" s="2166">
        <f>+'STER Detailed Disclosure'!U151/1000</f>
        <v>0</v>
      </c>
      <c r="V171" s="2159">
        <f>+'STER Detailed Disclosure'!V151/1000</f>
        <v>0</v>
      </c>
      <c r="W171" s="2153">
        <f>+'STER Detailed Disclosure'!W151/1000</f>
        <v>0</v>
      </c>
      <c r="X171" s="2153">
        <f>+'STER Detailed Disclosure'!X151/1000</f>
        <v>0</v>
      </c>
      <c r="Y171" s="2288"/>
      <c r="Z171" s="2153"/>
      <c r="AA171" s="2153"/>
      <c r="AB171" s="2153"/>
      <c r="AC171" s="2153"/>
      <c r="AD171" s="2153"/>
      <c r="AE171" s="2153"/>
      <c r="AF171" s="2153"/>
      <c r="AG171" s="2153"/>
      <c r="AH171" s="2153"/>
      <c r="AI171" s="2153"/>
      <c r="AJ171" s="2153"/>
      <c r="AK171" s="2153"/>
      <c r="AL171" s="2153"/>
      <c r="AM171" s="2153"/>
      <c r="AN171" s="2153"/>
      <c r="AO171" s="2153"/>
      <c r="AP171" s="2153"/>
      <c r="AQ171" s="2153">
        <f>+'STER Detailed Disclosure'!AQ151/1000</f>
        <v>11.141999999999999</v>
      </c>
      <c r="AR171" s="2153">
        <f>+'STER Detailed Disclosure'!AR151/1000</f>
        <v>5.7510000000000003</v>
      </c>
      <c r="AS171" s="2153">
        <f>+'STER Detailed Disclosure'!AS151/1000</f>
        <v>-7.4219999999999997</v>
      </c>
      <c r="AT171" s="2153">
        <f>+'STER Detailed Disclosure'!AT151/1000</f>
        <v>-4.1020000000000003</v>
      </c>
      <c r="AU171" s="2153">
        <f>+'STER Detailed Disclosure'!AU151/1000</f>
        <v>0</v>
      </c>
    </row>
    <row r="172" spans="1:47" x14ac:dyDescent="0.25">
      <c r="A172" s="649" t="str">
        <f>+'STER Detailed Disclosure'!A152</f>
        <v>Change in fair value of contingent consideration, net</v>
      </c>
      <c r="C172" s="2153"/>
      <c r="D172" s="2153"/>
      <c r="E172" s="2153"/>
      <c r="F172" s="2159"/>
      <c r="G172" s="2166"/>
      <c r="H172" s="2166"/>
      <c r="I172" s="2166">
        <f>+'STER Detailed Disclosure'!I152/1000</f>
        <v>0</v>
      </c>
      <c r="J172" s="2159">
        <f>+'STER Detailed Disclosure'!J152/1000</f>
        <v>0</v>
      </c>
      <c r="K172" s="2166">
        <f>+'STER Detailed Disclosure'!K152/1000</f>
        <v>0</v>
      </c>
      <c r="L172" s="2166">
        <f>+'STER Detailed Disclosure'!L152/1000</f>
        <v>0</v>
      </c>
      <c r="M172" s="2166">
        <f>+'STER Detailed Disclosure'!M152/1000</f>
        <v>0</v>
      </c>
      <c r="N172" s="2159">
        <f>+'STER Detailed Disclosure'!N152/1000</f>
        <v>0</v>
      </c>
      <c r="O172" s="2166">
        <f>+'STER Detailed Disclosure'!O152/1000</f>
        <v>0</v>
      </c>
      <c r="P172" s="2166">
        <f>+'STER Detailed Disclosure'!P152/1000</f>
        <v>0</v>
      </c>
      <c r="Q172" s="2166">
        <f>+'STER Detailed Disclosure'!Q152/1000</f>
        <v>0</v>
      </c>
      <c r="R172" s="2159">
        <f>+'STER Detailed Disclosure'!R152/1000</f>
        <v>0</v>
      </c>
      <c r="S172" s="2166">
        <f>+'STER Detailed Disclosure'!S152/1000</f>
        <v>0</v>
      </c>
      <c r="T172" s="2166">
        <f>+'STER Detailed Disclosure'!T152/1000</f>
        <v>0</v>
      </c>
      <c r="U172" s="2166">
        <f>+'STER Detailed Disclosure'!U152/1000</f>
        <v>-0.68600000000000005</v>
      </c>
      <c r="V172" s="2159">
        <f>+'STER Detailed Disclosure'!V152/1000</f>
        <v>-1.9449999999999998</v>
      </c>
      <c r="W172" s="2153">
        <f>+'STER Detailed Disclosure'!W152/1000</f>
        <v>4</v>
      </c>
      <c r="X172" s="2153">
        <f>+'STER Detailed Disclosure'!X152/1000</f>
        <v>-2.71</v>
      </c>
      <c r="Y172" s="2288"/>
      <c r="Z172" s="2153"/>
      <c r="AA172" s="2153"/>
      <c r="AB172" s="2153"/>
      <c r="AC172" s="2153"/>
      <c r="AD172" s="2153"/>
      <c r="AE172" s="2153"/>
      <c r="AF172" s="2153"/>
      <c r="AG172" s="2153"/>
      <c r="AH172" s="2153"/>
      <c r="AI172" s="2153"/>
      <c r="AJ172" s="2153"/>
      <c r="AK172" s="2153"/>
      <c r="AL172" s="2153"/>
      <c r="AM172" s="2153"/>
      <c r="AN172" s="2153"/>
      <c r="AO172" s="2153"/>
      <c r="AP172" s="2153"/>
      <c r="AQ172" s="2153">
        <f>+'STER Detailed Disclosure'!AQ152/1000</f>
        <v>0</v>
      </c>
      <c r="AR172" s="2153">
        <f>+'STER Detailed Disclosure'!AR152/1000</f>
        <v>0</v>
      </c>
      <c r="AS172" s="2153">
        <f>+'STER Detailed Disclosure'!AS152/1000</f>
        <v>0</v>
      </c>
      <c r="AT172" s="2153">
        <f>+'STER Detailed Disclosure'!AT152/1000</f>
        <v>0</v>
      </c>
      <c r="AU172" s="2153">
        <f>+'STER Detailed Disclosure'!AU152/1000</f>
        <v>-2.6309999999999998</v>
      </c>
    </row>
    <row r="173" spans="1:47" x14ac:dyDescent="0.25">
      <c r="A173" s="649" t="str">
        <f>+'STER Detailed Disclosure'!A153</f>
        <v>Excess payment on contingent consideration for acquisition</v>
      </c>
      <c r="C173" s="2153"/>
      <c r="D173" s="2153"/>
      <c r="E173" s="2153"/>
      <c r="F173" s="2159"/>
      <c r="G173" s="2166"/>
      <c r="H173" s="2166"/>
      <c r="I173" s="2166">
        <f>+'STER Detailed Disclosure'!I153/1000</f>
        <v>0</v>
      </c>
      <c r="J173" s="2159">
        <f>+'STER Detailed Disclosure'!J153/1000</f>
        <v>0</v>
      </c>
      <c r="K173" s="2166">
        <f>+'STER Detailed Disclosure'!K153/1000</f>
        <v>-0.16600000000000001</v>
      </c>
      <c r="L173" s="2166">
        <f>+'STER Detailed Disclosure'!L153/1000</f>
        <v>0</v>
      </c>
      <c r="M173" s="2166">
        <f>+'STER Detailed Disclosure'!M153/1000</f>
        <v>-0.99299999999999999</v>
      </c>
      <c r="N173" s="2159">
        <f>+'STER Detailed Disclosure'!N153/1000</f>
        <v>0</v>
      </c>
      <c r="O173" s="2166">
        <f>+'STER Detailed Disclosure'!O153/1000</f>
        <v>0</v>
      </c>
      <c r="P173" s="2166">
        <f>+'STER Detailed Disclosure'!P153/1000</f>
        <v>0</v>
      </c>
      <c r="Q173" s="2166">
        <f>+'STER Detailed Disclosure'!Q153/1000</f>
        <v>0</v>
      </c>
      <c r="R173" s="2159">
        <f>+'STER Detailed Disclosure'!R153/1000</f>
        <v>0</v>
      </c>
      <c r="S173" s="2166">
        <f>+'STER Detailed Disclosure'!S153/1000</f>
        <v>0</v>
      </c>
      <c r="T173" s="2166">
        <f>+'STER Detailed Disclosure'!T153/1000</f>
        <v>0</v>
      </c>
      <c r="U173" s="2166">
        <f>+'STER Detailed Disclosure'!U153/1000</f>
        <v>0</v>
      </c>
      <c r="V173" s="2159">
        <f>+'STER Detailed Disclosure'!V153/1000</f>
        <v>0</v>
      </c>
      <c r="W173" s="2153">
        <f>+'STER Detailed Disclosure'!W153/1000</f>
        <v>0</v>
      </c>
      <c r="X173" s="2153">
        <f>+'STER Detailed Disclosure'!X153/1000</f>
        <v>0</v>
      </c>
      <c r="Y173" s="2288"/>
      <c r="Z173" s="2153"/>
      <c r="AA173" s="2153"/>
      <c r="AB173" s="2153"/>
      <c r="AC173" s="2153"/>
      <c r="AD173" s="2153"/>
      <c r="AE173" s="2153"/>
      <c r="AF173" s="2153"/>
      <c r="AG173" s="2153"/>
      <c r="AH173" s="2153"/>
      <c r="AI173" s="2153"/>
      <c r="AJ173" s="2153"/>
      <c r="AK173" s="2153"/>
      <c r="AL173" s="2153"/>
      <c r="AM173" s="2153"/>
      <c r="AN173" s="2153"/>
      <c r="AO173" s="2153"/>
      <c r="AP173" s="2153"/>
      <c r="AQ173" s="2153">
        <f>+'STER Detailed Disclosure'!AQ153/1000</f>
        <v>0</v>
      </c>
      <c r="AR173" s="2153">
        <f>+'STER Detailed Disclosure'!AR153/1000</f>
        <v>0</v>
      </c>
      <c r="AS173" s="2153">
        <f>+'STER Detailed Disclosure'!AS153/1000</f>
        <v>-1.159</v>
      </c>
      <c r="AT173" s="2153">
        <f>+'STER Detailed Disclosure'!AT153/1000</f>
        <v>0</v>
      </c>
      <c r="AU173" s="2153">
        <f>+'STER Detailed Disclosure'!AU153/1000</f>
        <v>0</v>
      </c>
    </row>
    <row r="174" spans="1:47" x14ac:dyDescent="0.25">
      <c r="A174" s="649"/>
      <c r="C174" s="2153"/>
      <c r="D174" s="2153"/>
      <c r="E174" s="2153"/>
      <c r="F174" s="2159"/>
      <c r="G174" s="2166"/>
      <c r="H174" s="2166"/>
      <c r="I174" s="2166"/>
      <c r="J174" s="2159"/>
      <c r="K174" s="2166"/>
      <c r="L174" s="2166"/>
      <c r="M174" s="2166"/>
      <c r="N174" s="2159"/>
      <c r="O174" s="2166"/>
      <c r="P174" s="2166"/>
      <c r="Q174" s="2166"/>
      <c r="R174" s="2159"/>
      <c r="S174" s="2166"/>
      <c r="T174" s="2166"/>
      <c r="U174" s="2166"/>
      <c r="V174" s="2159"/>
      <c r="W174" s="2153"/>
      <c r="X174" s="2153"/>
      <c r="Y174" s="2288"/>
      <c r="Z174" s="2153"/>
      <c r="AA174" s="2153"/>
      <c r="AB174" s="2153"/>
      <c r="AC174" s="2153"/>
      <c r="AD174" s="2153"/>
      <c r="AE174" s="2153"/>
      <c r="AF174" s="2153"/>
      <c r="AG174" s="2153"/>
      <c r="AH174" s="2153"/>
      <c r="AI174" s="2153"/>
      <c r="AJ174" s="2153"/>
      <c r="AK174" s="2153"/>
      <c r="AL174" s="2153"/>
      <c r="AM174" s="2153"/>
      <c r="AN174" s="2153"/>
      <c r="AO174" s="2153"/>
      <c r="AP174" s="2153"/>
      <c r="AQ174" s="2153"/>
      <c r="AR174" s="2153"/>
      <c r="AS174" s="2153"/>
      <c r="AT174" s="2153"/>
      <c r="AU174" s="2153"/>
    </row>
    <row r="175" spans="1:47" x14ac:dyDescent="0.25">
      <c r="A175" s="2150" t="s">
        <v>596</v>
      </c>
      <c r="C175" s="2155"/>
      <c r="D175" s="2155"/>
      <c r="E175" s="2155"/>
      <c r="F175" s="2165"/>
      <c r="G175" s="2171"/>
      <c r="H175" s="2171"/>
      <c r="I175" s="2171"/>
      <c r="J175" s="2165"/>
      <c r="K175" s="2171"/>
      <c r="L175" s="2171"/>
      <c r="M175" s="2171"/>
      <c r="N175" s="2165"/>
      <c r="O175" s="2171"/>
      <c r="P175" s="2171"/>
      <c r="Q175" s="2171"/>
      <c r="R175" s="2165"/>
      <c r="S175" s="2171"/>
      <c r="T175" s="2171"/>
      <c r="U175" s="2171"/>
      <c r="V175" s="2165"/>
      <c r="W175" s="2155"/>
      <c r="X175" s="2155"/>
      <c r="Y175" s="2292"/>
      <c r="Z175" s="2155"/>
      <c r="AA175" s="2155"/>
      <c r="AB175" s="2155"/>
      <c r="AC175" s="2155"/>
      <c r="AD175" s="2155"/>
      <c r="AE175" s="2155"/>
      <c r="AF175" s="2155"/>
      <c r="AG175" s="2155"/>
      <c r="AH175" s="2155"/>
      <c r="AI175" s="2155"/>
      <c r="AJ175" s="2155"/>
      <c r="AK175" s="2155"/>
      <c r="AL175" s="2155"/>
      <c r="AM175" s="2155"/>
      <c r="AN175" s="2155"/>
      <c r="AO175" s="2155"/>
      <c r="AP175" s="2155"/>
      <c r="AQ175" s="2155"/>
      <c r="AR175" s="2155"/>
      <c r="AS175" s="2155"/>
      <c r="AT175" s="2155"/>
      <c r="AU175" s="2155"/>
    </row>
    <row r="176" spans="1:47" x14ac:dyDescent="0.25">
      <c r="A176" s="649" t="str">
        <f>+'STER Detailed Disclosure'!A156</f>
        <v>Accounts receivable</v>
      </c>
      <c r="C176" s="2153"/>
      <c r="D176" s="2153"/>
      <c r="E176" s="2153"/>
      <c r="F176" s="2159"/>
      <c r="G176" s="2166"/>
      <c r="H176" s="2166"/>
      <c r="I176" s="2166">
        <f>+'STER Detailed Disclosure'!I156/1000</f>
        <v>-19.769000000000002</v>
      </c>
      <c r="J176" s="2159">
        <f>+'STER Detailed Disclosure'!J156/1000</f>
        <v>-0.38700000000000001</v>
      </c>
      <c r="K176" s="2166">
        <f>+'STER Detailed Disclosure'!K156/1000</f>
        <v>-10.474</v>
      </c>
      <c r="L176" s="2166">
        <f>+'STER Detailed Disclosure'!L156/1000</f>
        <v>-14.353999999999999</v>
      </c>
      <c r="M176" s="2166">
        <f>+'STER Detailed Disclosure'!M156/1000</f>
        <v>-15.555000000000003</v>
      </c>
      <c r="N176" s="2159">
        <f>+'STER Detailed Disclosure'!N156/1000</f>
        <v>0.29700000000000415</v>
      </c>
      <c r="O176" s="2166">
        <f>+'STER Detailed Disclosure'!O156/1000</f>
        <v>-20.006</v>
      </c>
      <c r="P176" s="2166">
        <f>+'STER Detailed Disclosure'!P156/1000</f>
        <v>-16.445</v>
      </c>
      <c r="Q176" s="2166">
        <f>+'STER Detailed Disclosure'!Q156/1000</f>
        <v>3.3059999999999974</v>
      </c>
      <c r="R176" s="2159">
        <f>+'STER Detailed Disclosure'!R156/1000</f>
        <v>21.961000000000006</v>
      </c>
      <c r="S176" s="2166">
        <f>+'STER Detailed Disclosure'!S156/1000</f>
        <v>-3.4140000000000001</v>
      </c>
      <c r="T176" s="2166">
        <f>+'STER Detailed Disclosure'!T156/1000</f>
        <v>-3.9849999999999999</v>
      </c>
      <c r="U176" s="2166">
        <f>+'STER Detailed Disclosure'!U156/1000</f>
        <v>-1.2999999999999998</v>
      </c>
      <c r="V176" s="2159">
        <f>+'STER Detailed Disclosure'!V156/1000</f>
        <v>10.18</v>
      </c>
      <c r="W176" s="2153">
        <f>+'STER Detailed Disclosure'!W156/1000</f>
        <v>-7.2850000000000001</v>
      </c>
      <c r="X176" s="2153">
        <f>+'STER Detailed Disclosure'!X156/1000</f>
        <v>-15.571999999999999</v>
      </c>
      <c r="Y176" s="2288"/>
      <c r="Z176" s="2153"/>
      <c r="AA176" s="2153"/>
      <c r="AB176" s="2153"/>
      <c r="AC176" s="2153"/>
      <c r="AD176" s="2153"/>
      <c r="AE176" s="2153"/>
      <c r="AF176" s="2153"/>
      <c r="AG176" s="2153"/>
      <c r="AH176" s="2153"/>
      <c r="AI176" s="2153"/>
      <c r="AJ176" s="2153"/>
      <c r="AK176" s="2153"/>
      <c r="AL176" s="2153"/>
      <c r="AM176" s="2153"/>
      <c r="AN176" s="2153"/>
      <c r="AO176" s="2153"/>
      <c r="AP176" s="2153"/>
      <c r="AQ176" s="2153">
        <f>+'STER Detailed Disclosure'!AQ156/1000</f>
        <v>-11.595000000000001</v>
      </c>
      <c r="AR176" s="2153">
        <f>+'STER Detailed Disclosure'!AR156/1000</f>
        <v>0.16500000000000001</v>
      </c>
      <c r="AS176" s="2153">
        <f>+'STER Detailed Disclosure'!AS156/1000</f>
        <v>-40.085999999999999</v>
      </c>
      <c r="AT176" s="2153">
        <f>+'STER Detailed Disclosure'!AT156/1000</f>
        <v>-11.183999999999999</v>
      </c>
      <c r="AU176" s="2153">
        <f>+'STER Detailed Disclosure'!AU156/1000</f>
        <v>1.4810000000000001</v>
      </c>
    </row>
    <row r="177" spans="1:49" x14ac:dyDescent="0.25">
      <c r="A177" s="649" t="str">
        <f>+'STER Detailed Disclosure'!A157</f>
        <v>Insurance receivable</v>
      </c>
      <c r="C177" s="2153"/>
      <c r="D177" s="2153"/>
      <c r="E177" s="2153"/>
      <c r="F177" s="2159"/>
      <c r="G177" s="2166"/>
      <c r="H177" s="2166"/>
      <c r="I177" s="2166">
        <f>+'STER Detailed Disclosure'!I157/1000</f>
        <v>0</v>
      </c>
      <c r="J177" s="2159">
        <f>+'STER Detailed Disclosure'!J157/1000</f>
        <v>14.25</v>
      </c>
      <c r="K177" s="2166">
        <f>+'STER Detailed Disclosure'!K157/1000</f>
        <v>0.75</v>
      </c>
      <c r="L177" s="2166">
        <f>+'STER Detailed Disclosure'!L157/1000</f>
        <v>0</v>
      </c>
      <c r="M177" s="2166">
        <f>+'STER Detailed Disclosure'!M157/1000</f>
        <v>0</v>
      </c>
      <c r="N177" s="2159">
        <f>+'STER Detailed Disclosure'!N157/1000</f>
        <v>0</v>
      </c>
      <c r="O177" s="2166">
        <f>+'STER Detailed Disclosure'!O157/1000</f>
        <v>0</v>
      </c>
      <c r="P177" s="2166">
        <f>+'STER Detailed Disclosure'!P157/1000</f>
        <v>0</v>
      </c>
      <c r="Q177" s="2166">
        <f>+'STER Detailed Disclosure'!Q157/1000</f>
        <v>0</v>
      </c>
      <c r="R177" s="2159">
        <f>+'STER Detailed Disclosure'!R157/1000</f>
        <v>0.92100000000000004</v>
      </c>
      <c r="S177" s="2166">
        <f>+'STER Detailed Disclosure'!S157/1000</f>
        <v>0</v>
      </c>
      <c r="T177" s="2166">
        <f>+'STER Detailed Disclosure'!T157/1000</f>
        <v>-2.5</v>
      </c>
      <c r="U177" s="2166">
        <f>+'STER Detailed Disclosure'!U157/1000</f>
        <v>-1.2679999999999998</v>
      </c>
      <c r="V177" s="2159">
        <f>+'STER Detailed Disclosure'!V157/1000</f>
        <v>1.7529999999999997</v>
      </c>
      <c r="W177" s="2153">
        <f>+'STER Detailed Disclosure'!W157/1000</f>
        <v>4.1000000000000002E-2</v>
      </c>
      <c r="X177" s="2153">
        <f>+'STER Detailed Disclosure'!X157/1000</f>
        <v>0</v>
      </c>
      <c r="Y177" s="2288"/>
      <c r="Z177" s="2153"/>
      <c r="AA177" s="2153"/>
      <c r="AB177" s="2153"/>
      <c r="AC177" s="2153"/>
      <c r="AD177" s="2153"/>
      <c r="AE177" s="2153"/>
      <c r="AF177" s="2153"/>
      <c r="AG177" s="2153"/>
      <c r="AH177" s="2153"/>
      <c r="AI177" s="2153"/>
      <c r="AJ177" s="2153"/>
      <c r="AK177" s="2153"/>
      <c r="AL177" s="2153"/>
      <c r="AM177" s="2153"/>
      <c r="AN177" s="2153"/>
      <c r="AO177" s="2153"/>
      <c r="AP177" s="2153"/>
      <c r="AQ177" s="2153">
        <f>+'STER Detailed Disclosure'!AQ157/1000</f>
        <v>-15</v>
      </c>
      <c r="AR177" s="2153">
        <f>+'STER Detailed Disclosure'!AR157/1000</f>
        <v>14.25</v>
      </c>
      <c r="AS177" s="2153">
        <f>+'STER Detailed Disclosure'!AS157/1000</f>
        <v>0.75</v>
      </c>
      <c r="AT177" s="2153">
        <f>+'STER Detailed Disclosure'!AT157/1000</f>
        <v>0.92100000000000004</v>
      </c>
      <c r="AU177" s="2153">
        <f>+'STER Detailed Disclosure'!AU157/1000</f>
        <v>-2.0150000000000001</v>
      </c>
    </row>
    <row r="178" spans="1:49" x14ac:dyDescent="0.25">
      <c r="A178" s="649" t="str">
        <f>+'STER Detailed Disclosure'!A158</f>
        <v>Prepaid expenses</v>
      </c>
      <c r="C178" s="2153"/>
      <c r="D178" s="2153"/>
      <c r="E178" s="2153"/>
      <c r="F178" s="2159"/>
      <c r="G178" s="2166"/>
      <c r="H178" s="2166"/>
      <c r="I178" s="2166">
        <f>+'STER Detailed Disclosure'!I158/1000</f>
        <v>1.3939999999999997</v>
      </c>
      <c r="J178" s="2159">
        <f>+'STER Detailed Disclosure'!J158/1000</f>
        <v>1.5569999999999999</v>
      </c>
      <c r="K178" s="2166">
        <f>+'STER Detailed Disclosure'!K158/1000</f>
        <v>-0.92600000000000005</v>
      </c>
      <c r="L178" s="2166">
        <f>+'STER Detailed Disclosure'!L158/1000</f>
        <v>-1.5099999999999998</v>
      </c>
      <c r="M178" s="2166">
        <f>+'STER Detailed Disclosure'!M158/1000</f>
        <v>1.0149999999999999</v>
      </c>
      <c r="N178" s="2159">
        <f>+'STER Detailed Disclosure'!N158/1000</f>
        <v>-3.5539999999999994</v>
      </c>
      <c r="O178" s="2166">
        <f>+'STER Detailed Disclosure'!O158/1000</f>
        <v>-0.86899999999999999</v>
      </c>
      <c r="P178" s="2166">
        <f>+'STER Detailed Disclosure'!P158/1000</f>
        <v>0.16700000000000004</v>
      </c>
      <c r="Q178" s="2166">
        <f>+'STER Detailed Disclosure'!Q158/1000</f>
        <v>4.2810000000000006</v>
      </c>
      <c r="R178" s="2159">
        <f>+'STER Detailed Disclosure'!R158/1000</f>
        <v>-4.68</v>
      </c>
      <c r="S178" s="2166">
        <f>+'STER Detailed Disclosure'!S158/1000</f>
        <v>2.8439999999999999</v>
      </c>
      <c r="T178" s="2166">
        <f>+'STER Detailed Disclosure'!T158/1000</f>
        <v>-0.59299999999999997</v>
      </c>
      <c r="U178" s="2166">
        <f>+'STER Detailed Disclosure'!U158/1000</f>
        <v>3.5980000000000003</v>
      </c>
      <c r="V178" s="2159">
        <f>+'STER Detailed Disclosure'!V158/1000</f>
        <v>-0.99699999999999989</v>
      </c>
      <c r="W178" s="2153">
        <f>+'STER Detailed Disclosure'!W158/1000</f>
        <v>-1.276</v>
      </c>
      <c r="X178" s="2153">
        <f>+'STER Detailed Disclosure'!X158/1000</f>
        <v>2.6950000000000003</v>
      </c>
      <c r="Y178" s="2288"/>
      <c r="Z178" s="2153"/>
      <c r="AA178" s="2153"/>
      <c r="AB178" s="2153"/>
      <c r="AC178" s="2153"/>
      <c r="AD178" s="2153"/>
      <c r="AE178" s="2153"/>
      <c r="AF178" s="2153"/>
      <c r="AG178" s="2153"/>
      <c r="AH178" s="2153"/>
      <c r="AI178" s="2153"/>
      <c r="AJ178" s="2153"/>
      <c r="AK178" s="2153"/>
      <c r="AL178" s="2153"/>
      <c r="AM178" s="2153"/>
      <c r="AN178" s="2153"/>
      <c r="AO178" s="2153"/>
      <c r="AP178" s="2153"/>
      <c r="AQ178" s="2153">
        <f>+'STER Detailed Disclosure'!AQ158/1000</f>
        <v>13.64</v>
      </c>
      <c r="AR178" s="2153">
        <f>+'STER Detailed Disclosure'!AR158/1000</f>
        <v>-1.2450000000000001</v>
      </c>
      <c r="AS178" s="2153">
        <f>+'STER Detailed Disclosure'!AS158/1000</f>
        <v>-4.9749999999999996</v>
      </c>
      <c r="AT178" s="2153">
        <f>+'STER Detailed Disclosure'!AT158/1000</f>
        <v>-1.101</v>
      </c>
      <c r="AU178" s="2153">
        <f>+'STER Detailed Disclosure'!AU158/1000</f>
        <v>4.8520000000000003</v>
      </c>
    </row>
    <row r="179" spans="1:49" x14ac:dyDescent="0.25">
      <c r="A179" s="649" t="str">
        <f>+'STER Detailed Disclosure'!A159</f>
        <v>Other assets</v>
      </c>
      <c r="C179" s="2153"/>
      <c r="D179" s="2153"/>
      <c r="E179" s="2153"/>
      <c r="F179" s="2159"/>
      <c r="G179" s="2166"/>
      <c r="H179" s="2166"/>
      <c r="I179" s="2166">
        <f>+'STER Detailed Disclosure'!I159/1000</f>
        <v>1.7069999999999999</v>
      </c>
      <c r="J179" s="2159">
        <f>+'STER Detailed Disclosure'!J159/1000</f>
        <v>-1.5829999999999997</v>
      </c>
      <c r="K179" s="2166">
        <f>+'STER Detailed Disclosure'!K159/1000</f>
        <v>-0.25700000000000001</v>
      </c>
      <c r="L179" s="2166">
        <f>+'STER Detailed Disclosure'!L159/1000</f>
        <v>-0.85199999999999998</v>
      </c>
      <c r="M179" s="2166">
        <f>+'STER Detailed Disclosure'!M159/1000</f>
        <v>2.573</v>
      </c>
      <c r="N179" s="2159">
        <f>+'STER Detailed Disclosure'!N159/1000</f>
        <v>-4.6449999999999996</v>
      </c>
      <c r="O179" s="2166">
        <f>+'STER Detailed Disclosure'!O159/1000</f>
        <v>-1.736</v>
      </c>
      <c r="P179" s="2166">
        <f>+'STER Detailed Disclosure'!P159/1000</f>
        <v>-1.4440000000000002</v>
      </c>
      <c r="Q179" s="2166">
        <f>+'STER Detailed Disclosure'!Q159/1000</f>
        <v>1.0830000000000002</v>
      </c>
      <c r="R179" s="2159">
        <f>+'STER Detailed Disclosure'!R159/1000</f>
        <v>-2.4179999999999997</v>
      </c>
      <c r="S179" s="2166">
        <f>+'STER Detailed Disclosure'!S159/1000</f>
        <v>-2.5339999999999998</v>
      </c>
      <c r="T179" s="2166">
        <f>+'STER Detailed Disclosure'!T159/1000</f>
        <v>-6.1160000000000005</v>
      </c>
      <c r="U179" s="2166">
        <f>+'STER Detailed Disclosure'!U159/1000</f>
        <v>2.157</v>
      </c>
      <c r="V179" s="2159">
        <f>+'STER Detailed Disclosure'!V159/1000</f>
        <v>6.399</v>
      </c>
      <c r="W179" s="2153">
        <f>+'STER Detailed Disclosure'!W159/1000</f>
        <v>-1.2</v>
      </c>
      <c r="X179" s="2153">
        <f>+'STER Detailed Disclosure'!X159/1000</f>
        <v>-4.1749999999999998</v>
      </c>
      <c r="Y179" s="2288"/>
      <c r="Z179" s="2153"/>
      <c r="AA179" s="2153"/>
      <c r="AB179" s="2153"/>
      <c r="AC179" s="2153"/>
      <c r="AD179" s="2153"/>
      <c r="AE179" s="2153"/>
      <c r="AF179" s="2153"/>
      <c r="AG179" s="2153"/>
      <c r="AH179" s="2153"/>
      <c r="AI179" s="2153"/>
      <c r="AJ179" s="2153"/>
      <c r="AK179" s="2153"/>
      <c r="AL179" s="2153"/>
      <c r="AM179" s="2153"/>
      <c r="AN179" s="2153"/>
      <c r="AO179" s="2153"/>
      <c r="AP179" s="2153"/>
      <c r="AQ179" s="2153">
        <f>+'STER Detailed Disclosure'!AQ159/1000</f>
        <v>-7.8810000000000002</v>
      </c>
      <c r="AR179" s="2153">
        <f>+'STER Detailed Disclosure'!AR159/1000</f>
        <v>0.79700000000000004</v>
      </c>
      <c r="AS179" s="2153">
        <f>+'STER Detailed Disclosure'!AS159/1000</f>
        <v>-3.181</v>
      </c>
      <c r="AT179" s="2153">
        <f>+'STER Detailed Disclosure'!AT159/1000</f>
        <v>-4.5149999999999997</v>
      </c>
      <c r="AU179" s="2153">
        <f>+'STER Detailed Disclosure'!AU159/1000</f>
        <v>-9.4E-2</v>
      </c>
    </row>
    <row r="180" spans="1:49" x14ac:dyDescent="0.25">
      <c r="A180" s="649" t="str">
        <f>+'STER Detailed Disclosure'!A160</f>
        <v>Accounts payable</v>
      </c>
      <c r="C180" s="2153"/>
      <c r="D180" s="2153"/>
      <c r="E180" s="2153"/>
      <c r="F180" s="2159"/>
      <c r="G180" s="2166"/>
      <c r="H180" s="2166"/>
      <c r="I180" s="2166">
        <f>+'STER Detailed Disclosure'!I160/1000</f>
        <v>-0.32200000000000006</v>
      </c>
      <c r="J180" s="2159">
        <f>+'STER Detailed Disclosure'!J160/1000</f>
        <v>-4.0330000000000004</v>
      </c>
      <c r="K180" s="2166">
        <f>+'STER Detailed Disclosure'!K160/1000</f>
        <v>5.4210000000000003</v>
      </c>
      <c r="L180" s="2166">
        <f>+'STER Detailed Disclosure'!L160/1000</f>
        <v>7.1789999999999994</v>
      </c>
      <c r="M180" s="2166">
        <f>+'STER Detailed Disclosure'!M160/1000</f>
        <v>-0.48399999999999999</v>
      </c>
      <c r="N180" s="2159">
        <f>+'STER Detailed Disclosure'!N160/1000</f>
        <v>0.83399999999999963</v>
      </c>
      <c r="O180" s="2166">
        <f>+'STER Detailed Disclosure'!O160/1000</f>
        <v>10.255000000000001</v>
      </c>
      <c r="P180" s="2166">
        <f>+'STER Detailed Disclosure'!P160/1000</f>
        <v>3.9940000000000002</v>
      </c>
      <c r="Q180" s="2166">
        <f>+'STER Detailed Disclosure'!Q160/1000</f>
        <v>-7.7030000000000003</v>
      </c>
      <c r="R180" s="2159">
        <f>+'STER Detailed Disclosure'!R160/1000</f>
        <v>1.3389999999999995</v>
      </c>
      <c r="S180" s="2166">
        <f>+'STER Detailed Disclosure'!S160/1000</f>
        <v>3.7160000000000002</v>
      </c>
      <c r="T180" s="2166">
        <f>+'STER Detailed Disclosure'!T160/1000</f>
        <v>-2.4020000000000001</v>
      </c>
      <c r="U180" s="2166">
        <f>+'STER Detailed Disclosure'!U160/1000</f>
        <v>-0.55700000000000005</v>
      </c>
      <c r="V180" s="2159">
        <f>+'STER Detailed Disclosure'!V160/1000</f>
        <v>-0.64600000000000002</v>
      </c>
      <c r="W180" s="2153">
        <f>+'STER Detailed Disclosure'!W160/1000</f>
        <v>7.149</v>
      </c>
      <c r="X180" s="2153">
        <f>+'STER Detailed Disclosure'!X160/1000</f>
        <v>5.3809999999999993</v>
      </c>
      <c r="Y180" s="2288"/>
      <c r="Z180" s="2153"/>
      <c r="AA180" s="2153"/>
      <c r="AB180" s="2153"/>
      <c r="AC180" s="2153"/>
      <c r="AD180" s="2153"/>
      <c r="AE180" s="2153"/>
      <c r="AF180" s="2153"/>
      <c r="AG180" s="2153"/>
      <c r="AH180" s="2153"/>
      <c r="AI180" s="2153"/>
      <c r="AJ180" s="2153"/>
      <c r="AK180" s="2153"/>
      <c r="AL180" s="2153"/>
      <c r="AM180" s="2153"/>
      <c r="AN180" s="2153"/>
      <c r="AO180" s="2153"/>
      <c r="AP180" s="2153"/>
      <c r="AQ180" s="2153">
        <f>+'STER Detailed Disclosure'!AQ160/1000</f>
        <v>-2.0419999999999998</v>
      </c>
      <c r="AR180" s="2153">
        <f>+'STER Detailed Disclosure'!AR160/1000</f>
        <v>-3.47</v>
      </c>
      <c r="AS180" s="2153">
        <f>+'STER Detailed Disclosure'!AS160/1000</f>
        <v>12.95</v>
      </c>
      <c r="AT180" s="2153">
        <f>+'STER Detailed Disclosure'!AT160/1000</f>
        <v>7.8849999999999998</v>
      </c>
      <c r="AU180" s="2153">
        <f>+'STER Detailed Disclosure'!AU160/1000</f>
        <v>0.111</v>
      </c>
    </row>
    <row r="181" spans="1:49" x14ac:dyDescent="0.25">
      <c r="A181" s="649" t="str">
        <f>+'STER Detailed Disclosure'!A161</f>
        <v>Litigation settlement obligation</v>
      </c>
      <c r="C181" s="2153"/>
      <c r="D181" s="2153"/>
      <c r="E181" s="2153"/>
      <c r="F181" s="2159"/>
      <c r="G181" s="2166"/>
      <c r="H181" s="2166"/>
      <c r="I181" s="2166">
        <f>+'STER Detailed Disclosure'!I161/1000</f>
        <v>0</v>
      </c>
      <c r="J181" s="2159">
        <f>+'STER Detailed Disclosure'!J161/1000</f>
        <v>-14.25</v>
      </c>
      <c r="K181" s="2166">
        <f>+'STER Detailed Disclosure'!K161/1000</f>
        <v>-0.75</v>
      </c>
      <c r="L181" s="2166">
        <f>+'STER Detailed Disclosure'!L161/1000</f>
        <v>0</v>
      </c>
      <c r="M181" s="2166">
        <f>+'STER Detailed Disclosure'!M161/1000</f>
        <v>0</v>
      </c>
      <c r="N181" s="2159">
        <f>+'STER Detailed Disclosure'!N161/1000</f>
        <v>0</v>
      </c>
      <c r="O181" s="2166">
        <f>+'STER Detailed Disclosure'!O161/1000</f>
        <v>0</v>
      </c>
      <c r="P181" s="2166">
        <f>+'STER Detailed Disclosure'!P161/1000</f>
        <v>0</v>
      </c>
      <c r="Q181" s="2166">
        <f>+'STER Detailed Disclosure'!Q161/1000</f>
        <v>0</v>
      </c>
      <c r="R181" s="2159">
        <f>+'STER Detailed Disclosure'!R161/1000</f>
        <v>4.165</v>
      </c>
      <c r="S181" s="2166">
        <f>+'STER Detailed Disclosure'!S161/1000</f>
        <v>0.315</v>
      </c>
      <c r="T181" s="2166">
        <f>+'STER Detailed Disclosure'!T161/1000</f>
        <v>1.5330000000000001</v>
      </c>
      <c r="U181" s="2166">
        <f>+'STER Detailed Disclosure'!U161/1000</f>
        <v>1.1649999999999998</v>
      </c>
      <c r="V181" s="2159">
        <f>+'STER Detailed Disclosure'!V161/1000</f>
        <v>-1.8989999999999998</v>
      </c>
      <c r="W181" s="2153">
        <f>+'STER Detailed Disclosure'!W161/1000</f>
        <v>-5.5E-2</v>
      </c>
      <c r="X181" s="2153">
        <f>+'STER Detailed Disclosure'!X161/1000</f>
        <v>0.998</v>
      </c>
      <c r="Y181" s="2288"/>
      <c r="Z181" s="2153"/>
      <c r="AA181" s="2153"/>
      <c r="AB181" s="2153"/>
      <c r="AC181" s="2153"/>
      <c r="AD181" s="2153"/>
      <c r="AE181" s="2153"/>
      <c r="AF181" s="2153"/>
      <c r="AG181" s="2153"/>
      <c r="AH181" s="2153"/>
      <c r="AI181" s="2153"/>
      <c r="AJ181" s="2153"/>
      <c r="AK181" s="2153"/>
      <c r="AL181" s="2153"/>
      <c r="AM181" s="2153"/>
      <c r="AN181" s="2153"/>
      <c r="AO181" s="2153"/>
      <c r="AP181" s="2153"/>
      <c r="AQ181" s="2153">
        <f>+'STER Detailed Disclosure'!AQ161/1000</f>
        <v>15</v>
      </c>
      <c r="AR181" s="2153">
        <f>+'STER Detailed Disclosure'!AR161/1000</f>
        <v>-14.25</v>
      </c>
      <c r="AS181" s="2153">
        <f>+'STER Detailed Disclosure'!AS161/1000</f>
        <v>-0.75</v>
      </c>
      <c r="AT181" s="2153">
        <f>+'STER Detailed Disclosure'!AT161/1000</f>
        <v>4.165</v>
      </c>
      <c r="AU181" s="2153">
        <f>+'STER Detailed Disclosure'!AU161/1000</f>
        <v>1.1140000000000001</v>
      </c>
    </row>
    <row r="182" spans="1:49" x14ac:dyDescent="0.25">
      <c r="A182" s="649" t="str">
        <f>+'STER Detailed Disclosure'!A162</f>
        <v>Accrued expenses</v>
      </c>
      <c r="C182" s="2153"/>
      <c r="D182" s="2153"/>
      <c r="E182" s="2153"/>
      <c r="F182" s="2159"/>
      <c r="G182" s="2166"/>
      <c r="H182" s="2166"/>
      <c r="I182" s="2166">
        <f>+'STER Detailed Disclosure'!I162/1000</f>
        <v>4.4850000000000003</v>
      </c>
      <c r="J182" s="2159">
        <f>+'STER Detailed Disclosure'!J162/1000</f>
        <v>1.5990000000000002</v>
      </c>
      <c r="K182" s="2166">
        <f>+'STER Detailed Disclosure'!K162/1000</f>
        <v>5.6340000000000003</v>
      </c>
      <c r="L182" s="2166">
        <f>+'STER Detailed Disclosure'!L162/1000</f>
        <v>10.003</v>
      </c>
      <c r="M182" s="2166">
        <f>+'STER Detailed Disclosure'!M162/1000</f>
        <v>-2.8000000000000469E-2</v>
      </c>
      <c r="N182" s="2159">
        <f>+'STER Detailed Disclosure'!N162/1000</f>
        <v>14.603</v>
      </c>
      <c r="O182" s="2166">
        <f>+'STER Detailed Disclosure'!O162/1000</f>
        <v>-12.282999999999999</v>
      </c>
      <c r="P182" s="2166">
        <f>+'STER Detailed Disclosure'!P162/1000</f>
        <v>3.673</v>
      </c>
      <c r="Q182" s="2166">
        <f>+'STER Detailed Disclosure'!Q162/1000</f>
        <v>8.6939999999999991</v>
      </c>
      <c r="R182" s="2159">
        <f>+'STER Detailed Disclosure'!R162/1000</f>
        <v>0.21899999999999997</v>
      </c>
      <c r="S182" s="2166">
        <f>+'STER Detailed Disclosure'!S162/1000</f>
        <v>-12.256</v>
      </c>
      <c r="T182" s="2166">
        <f>+'STER Detailed Disclosure'!T162/1000</f>
        <v>1.7409999999999994</v>
      </c>
      <c r="U182" s="2166">
        <f>+'STER Detailed Disclosure'!U162/1000</f>
        <v>2.5330000000000004</v>
      </c>
      <c r="V182" s="2159">
        <f>+'STER Detailed Disclosure'!V162/1000</f>
        <v>3.3719999999999999</v>
      </c>
      <c r="W182" s="2153">
        <f>+'STER Detailed Disclosure'!W162/1000</f>
        <v>6.7229999999999999</v>
      </c>
      <c r="X182" s="2153">
        <f>+'STER Detailed Disclosure'!X162/1000</f>
        <v>5.5729999999999995</v>
      </c>
      <c r="Y182" s="2288"/>
      <c r="Z182" s="2153"/>
      <c r="AA182" s="2153"/>
      <c r="AB182" s="2153"/>
      <c r="AC182" s="2153"/>
      <c r="AD182" s="2153"/>
      <c r="AE182" s="2153"/>
      <c r="AF182" s="2153"/>
      <c r="AG182" s="2153"/>
      <c r="AH182" s="2153"/>
      <c r="AI182" s="2153"/>
      <c r="AJ182" s="2153"/>
      <c r="AK182" s="2153"/>
      <c r="AL182" s="2153"/>
      <c r="AM182" s="2153"/>
      <c r="AN182" s="2153"/>
      <c r="AO182" s="2153"/>
      <c r="AP182" s="2153"/>
      <c r="AQ182" s="2153">
        <f>+'STER Detailed Disclosure'!AQ162/1000</f>
        <v>3.419</v>
      </c>
      <c r="AR182" s="2153">
        <f>+'STER Detailed Disclosure'!AR162/1000</f>
        <v>-6.3959999999999999</v>
      </c>
      <c r="AS182" s="2153">
        <f>+'STER Detailed Disclosure'!AS162/1000</f>
        <v>30.212</v>
      </c>
      <c r="AT182" s="2153">
        <f>+'STER Detailed Disclosure'!AT162/1000</f>
        <v>0.30299999999999999</v>
      </c>
      <c r="AU182" s="2153">
        <f>+'STER Detailed Disclosure'!AU162/1000</f>
        <v>-4.6100000000000003</v>
      </c>
    </row>
    <row r="183" spans="1:49" s="413" customFormat="1" ht="14" x14ac:dyDescent="0.4">
      <c r="A183" s="132" t="str">
        <f>+'STER Detailed Disclosure'!A163</f>
        <v>Other liabilities</v>
      </c>
      <c r="C183" s="719"/>
      <c r="D183" s="719"/>
      <c r="E183" s="719"/>
      <c r="F183" s="718"/>
      <c r="G183" s="719"/>
      <c r="H183" s="719"/>
      <c r="I183" s="719">
        <f>+'STER Detailed Disclosure'!I163/1000</f>
        <v>0.90299999999999958</v>
      </c>
      <c r="J183" s="718">
        <f>+'STER Detailed Disclosure'!J163/1000</f>
        <v>3.4560000000000013</v>
      </c>
      <c r="K183" s="719">
        <f>+'STER Detailed Disclosure'!K163/1000</f>
        <v>2.0649999999999999</v>
      </c>
      <c r="L183" s="719">
        <f>+'STER Detailed Disclosure'!L163/1000</f>
        <v>-2.77</v>
      </c>
      <c r="M183" s="719">
        <f>+'STER Detailed Disclosure'!M163/1000</f>
        <v>0.36699999999999994</v>
      </c>
      <c r="N183" s="718">
        <f>+'STER Detailed Disclosure'!N163/1000</f>
        <v>2.0819999999999999</v>
      </c>
      <c r="O183" s="719">
        <f>+'STER Detailed Disclosure'!O163/1000</f>
        <v>-4.8070000000000004</v>
      </c>
      <c r="P183" s="719">
        <f>+'STER Detailed Disclosure'!P163/1000</f>
        <v>3.4250000000000007</v>
      </c>
      <c r="Q183" s="719">
        <f>+'STER Detailed Disclosure'!Q163/1000</f>
        <v>-3.4860000000000007</v>
      </c>
      <c r="R183" s="718">
        <f>+'STER Detailed Disclosure'!R163/1000</f>
        <v>-1.367</v>
      </c>
      <c r="S183" s="719">
        <f>+'STER Detailed Disclosure'!S163/1000</f>
        <v>-2.3639999999999999</v>
      </c>
      <c r="T183" s="719">
        <f>+'STER Detailed Disclosure'!T163/1000</f>
        <v>-1.0830000000000002</v>
      </c>
      <c r="U183" s="719">
        <f>+'STER Detailed Disclosure'!U163/1000</f>
        <v>-1.1879999999999997</v>
      </c>
      <c r="V183" s="718">
        <f>+'STER Detailed Disclosure'!V163/1000</f>
        <v>9.5670000000000002</v>
      </c>
      <c r="W183" s="719">
        <f>+'STER Detailed Disclosure'!W163/1000</f>
        <v>-7.7450000000000001</v>
      </c>
      <c r="X183" s="719">
        <f>+'STER Detailed Disclosure'!X163/1000</f>
        <v>-2.8389999999999995</v>
      </c>
      <c r="Y183" s="2284"/>
      <c r="Z183" s="719"/>
      <c r="AA183" s="719"/>
      <c r="AB183" s="719"/>
      <c r="AC183" s="719"/>
      <c r="AD183" s="719"/>
      <c r="AE183" s="719"/>
      <c r="AF183" s="719"/>
      <c r="AG183" s="719"/>
      <c r="AH183" s="719"/>
      <c r="AI183" s="719"/>
      <c r="AJ183" s="719"/>
      <c r="AK183" s="719"/>
      <c r="AL183" s="719"/>
      <c r="AM183" s="719"/>
      <c r="AN183" s="719"/>
      <c r="AO183" s="719"/>
      <c r="AP183" s="719"/>
      <c r="AQ183" s="719">
        <f>+'STER Detailed Disclosure'!AQ163/1000</f>
        <v>-7.2549999999999999</v>
      </c>
      <c r="AR183" s="719">
        <f>+'STER Detailed Disclosure'!AR163/1000</f>
        <v>11.505000000000001</v>
      </c>
      <c r="AS183" s="719">
        <f>+'STER Detailed Disclosure'!AS163/1000</f>
        <v>1.744</v>
      </c>
      <c r="AT183" s="719">
        <f>+'STER Detailed Disclosure'!AT163/1000</f>
        <v>-6.2350000000000003</v>
      </c>
      <c r="AU183" s="719">
        <f>+'STER Detailed Disclosure'!AU163/1000</f>
        <v>4.9320000000000004</v>
      </c>
      <c r="AV183" s="719"/>
      <c r="AW183" s="614"/>
    </row>
    <row r="184" spans="1:49" s="163" customFormat="1" ht="13" x14ac:dyDescent="0.3">
      <c r="A184" s="426" t="str">
        <f>+'STER Detailed Disclosure'!A164</f>
        <v>Net cash provided by operations</v>
      </c>
      <c r="C184" s="594"/>
      <c r="D184" s="594"/>
      <c r="E184" s="594"/>
      <c r="F184" s="593"/>
      <c r="G184" s="594"/>
      <c r="H184" s="594"/>
      <c r="I184" s="594">
        <f>+'STER Detailed Disclosure'!I164/1000</f>
        <v>5.6269999999999998</v>
      </c>
      <c r="J184" s="593">
        <f>+'STER Detailed Disclosure'!J164/1000</f>
        <v>10.331999999999995</v>
      </c>
      <c r="K184" s="594">
        <f>+'STER Detailed Disclosure'!K164/1000</f>
        <v>21.983000000000001</v>
      </c>
      <c r="L184" s="594">
        <f>+'STER Detailed Disclosure'!L164/1000</f>
        <v>23.306999999999999</v>
      </c>
      <c r="M184" s="594">
        <f>+'STER Detailed Disclosure'!M164/1000</f>
        <v>-6.3639999999999999</v>
      </c>
      <c r="N184" s="593">
        <f>+'STER Detailed Disclosure'!N164/1000</f>
        <v>29.678999999999995</v>
      </c>
      <c r="O184" s="594">
        <f>+'STER Detailed Disclosure'!O164/1000</f>
        <v>3.4489999999999998</v>
      </c>
      <c r="P184" s="594">
        <f>+'STER Detailed Disclosure'!P164/1000</f>
        <v>29.83</v>
      </c>
      <c r="Q184" s="594">
        <f>+'STER Detailed Disclosure'!Q164/1000</f>
        <v>40.319000000000003</v>
      </c>
      <c r="R184" s="593">
        <f>+'STER Detailed Disclosure'!R164/1000</f>
        <v>30.665000000000006</v>
      </c>
      <c r="S184" s="594">
        <f>+'STER Detailed Disclosure'!S164/1000</f>
        <v>11.282</v>
      </c>
      <c r="T184" s="594">
        <f>+'STER Detailed Disclosure'!T164/1000</f>
        <v>21.616</v>
      </c>
      <c r="U184" s="594">
        <f>+'STER Detailed Disclosure'!U164/1000</f>
        <v>32.777999999999999</v>
      </c>
      <c r="V184" s="593">
        <f>+'STER Detailed Disclosure'!V164/1000</f>
        <v>31.184999999999999</v>
      </c>
      <c r="W184" s="594">
        <f>+'STER Detailed Disclosure'!W164/1000</f>
        <v>3.6739999999999999</v>
      </c>
      <c r="X184" s="594">
        <f>+'STER Detailed Disclosure'!X164/1000</f>
        <v>16.492999999999999</v>
      </c>
      <c r="Y184" s="594">
        <v>29.1</v>
      </c>
      <c r="Z184" s="594"/>
      <c r="AA184" s="594"/>
      <c r="AB184" s="594"/>
      <c r="AC184" s="594"/>
      <c r="AD184" s="594"/>
      <c r="AE184" s="594"/>
      <c r="AF184" s="594"/>
      <c r="AG184" s="594"/>
      <c r="AH184" s="594"/>
      <c r="AI184" s="594"/>
      <c r="AJ184" s="594"/>
      <c r="AK184" s="594"/>
      <c r="AL184" s="594"/>
      <c r="AM184" s="594"/>
      <c r="AN184" s="594"/>
      <c r="AO184" s="594"/>
      <c r="AP184" s="594"/>
      <c r="AQ184" s="594">
        <f>+'STER Detailed Disclosure'!AQ164/1000</f>
        <v>36.204000000000001</v>
      </c>
      <c r="AR184" s="594">
        <f>+'STER Detailed Disclosure'!AR164/1000</f>
        <v>36.185000000000002</v>
      </c>
      <c r="AS184" s="594">
        <f>+'STER Detailed Disclosure'!AS164/1000</f>
        <v>68.605000000000004</v>
      </c>
      <c r="AT184" s="594">
        <f>+'STER Detailed Disclosure'!AT164/1000</f>
        <v>104.26300000000001</v>
      </c>
      <c r="AU184" s="594">
        <f>+'STER Detailed Disclosure'!AU164/1000</f>
        <v>96.861000000000004</v>
      </c>
      <c r="AV184" s="594"/>
      <c r="AW184" s="573"/>
    </row>
    <row r="185" spans="1:49" x14ac:dyDescent="0.25">
      <c r="A185" s="425"/>
      <c r="C185" s="583"/>
      <c r="D185" s="583"/>
      <c r="E185" s="583"/>
      <c r="F185" s="588"/>
      <c r="G185" s="583"/>
      <c r="H185" s="583"/>
      <c r="I185" s="583"/>
      <c r="J185" s="588"/>
      <c r="K185" s="583"/>
      <c r="L185" s="583"/>
      <c r="M185" s="583"/>
      <c r="N185" s="588"/>
      <c r="O185" s="583"/>
      <c r="P185" s="583"/>
      <c r="Q185" s="583"/>
      <c r="R185" s="588"/>
      <c r="S185" s="583"/>
      <c r="T185" s="583"/>
      <c r="U185" s="583"/>
      <c r="V185" s="588"/>
      <c r="W185" s="583"/>
      <c r="X185" s="583"/>
      <c r="Y185" s="583"/>
      <c r="Z185" s="583"/>
      <c r="AA185" s="583"/>
      <c r="AB185" s="583"/>
      <c r="AC185" s="583"/>
      <c r="AD185" s="583"/>
      <c r="AE185" s="583"/>
      <c r="AF185" s="583"/>
      <c r="AG185" s="583"/>
      <c r="AH185" s="583"/>
      <c r="AI185" s="583"/>
      <c r="AJ185" s="583"/>
      <c r="AK185" s="583"/>
      <c r="AL185" s="583"/>
      <c r="AM185" s="583"/>
      <c r="AN185" s="583"/>
      <c r="AO185" s="583"/>
      <c r="AP185" s="583"/>
      <c r="AQ185" s="583"/>
      <c r="AR185" s="583"/>
      <c r="AS185" s="583"/>
      <c r="AT185" s="583"/>
      <c r="AU185" s="583"/>
      <c r="AV185" s="583"/>
      <c r="AW185" s="571"/>
    </row>
    <row r="186" spans="1:49" ht="13" x14ac:dyDescent="0.3">
      <c r="A186" s="2152" t="s">
        <v>597</v>
      </c>
      <c r="C186" s="2155"/>
      <c r="D186" s="2155"/>
      <c r="E186" s="2155"/>
      <c r="F186" s="2165"/>
      <c r="G186" s="2171"/>
      <c r="H186" s="2171"/>
      <c r="I186" s="2171"/>
      <c r="J186" s="2165"/>
      <c r="K186" s="2171"/>
      <c r="L186" s="2171"/>
      <c r="M186" s="2171"/>
      <c r="N186" s="2165"/>
      <c r="O186" s="2171"/>
      <c r="P186" s="2171"/>
      <c r="Q186" s="2171"/>
      <c r="R186" s="2165"/>
      <c r="S186" s="2171"/>
      <c r="T186" s="2171"/>
      <c r="U186" s="2171"/>
      <c r="V186" s="2165"/>
      <c r="W186" s="2155"/>
      <c r="X186" s="2155"/>
      <c r="Y186" s="2155"/>
      <c r="Z186" s="2155"/>
      <c r="AA186" s="2155"/>
      <c r="AB186" s="2155"/>
      <c r="AC186" s="2155"/>
      <c r="AD186" s="2155"/>
      <c r="AE186" s="2155"/>
      <c r="AF186" s="2155"/>
      <c r="AG186" s="2155"/>
      <c r="AH186" s="2155"/>
      <c r="AI186" s="2155"/>
      <c r="AJ186" s="2155"/>
      <c r="AK186" s="2155"/>
      <c r="AL186" s="2155"/>
      <c r="AM186" s="2155"/>
      <c r="AN186" s="2155"/>
      <c r="AO186" s="2155"/>
      <c r="AP186" s="2155"/>
      <c r="AQ186" s="2155"/>
      <c r="AR186" s="2155"/>
      <c r="AS186" s="2155"/>
      <c r="AT186" s="2155"/>
      <c r="AU186" s="2155"/>
    </row>
    <row r="187" spans="1:49" x14ac:dyDescent="0.25">
      <c r="A187" s="649" t="str">
        <f>+'STER Detailed Disclosure'!A167</f>
        <v>Purchases of property and equipment</v>
      </c>
      <c r="C187" s="2153"/>
      <c r="D187" s="2153"/>
      <c r="E187" s="2153"/>
      <c r="F187" s="2159"/>
      <c r="G187" s="2166"/>
      <c r="H187" s="2166"/>
      <c r="I187" s="2166">
        <f>+'STER Detailed Disclosure'!I167/1000</f>
        <v>-9.199999999999986E-2</v>
      </c>
      <c r="J187" s="2159">
        <f>+'STER Detailed Disclosure'!J167/1000</f>
        <v>-0.48200000000000021</v>
      </c>
      <c r="K187" s="2166">
        <f>+'STER Detailed Disclosure'!K167/1000</f>
        <v>-0.34599999999999997</v>
      </c>
      <c r="L187" s="2166">
        <f>+'STER Detailed Disclosure'!L167/1000</f>
        <v>-0.91400000000000003</v>
      </c>
      <c r="M187" s="2166">
        <f>+'STER Detailed Disclosure'!M167/1000</f>
        <v>-1.3590000000000002</v>
      </c>
      <c r="N187" s="2159">
        <f>+'STER Detailed Disclosure'!N167/1000</f>
        <v>-0.61499999999999977</v>
      </c>
      <c r="O187" s="2166">
        <f>+'STER Detailed Disclosure'!O167/1000</f>
        <v>-1.4950000000000001</v>
      </c>
      <c r="P187" s="2166">
        <f>+'STER Detailed Disclosure'!P167/1000</f>
        <v>-1.7709999999999999</v>
      </c>
      <c r="Q187" s="2166">
        <f>+'STER Detailed Disclosure'!Q167/1000</f>
        <v>-0.71200000000000019</v>
      </c>
      <c r="R187" s="2159">
        <f>+'STER Detailed Disclosure'!R167/1000</f>
        <v>-0.52</v>
      </c>
      <c r="S187" s="2166">
        <f>+'STER Detailed Disclosure'!S167/1000</f>
        <v>-0.14000000000000001</v>
      </c>
      <c r="T187" s="2166">
        <f>+'STER Detailed Disclosure'!T167/1000</f>
        <v>-0.45299999999999996</v>
      </c>
      <c r="U187" s="2166">
        <f>+'STER Detailed Disclosure'!U167/1000</f>
        <v>-0.78400000000000003</v>
      </c>
      <c r="V187" s="2159">
        <f>+'STER Detailed Disclosure'!V167/1000</f>
        <v>-1.1830000000000001</v>
      </c>
      <c r="W187" s="2153">
        <f>+'STER Detailed Disclosure'!W167/1000</f>
        <v>-0.67300000000000004</v>
      </c>
      <c r="X187" s="2153">
        <f>+'STER Detailed Disclosure'!X167/1000</f>
        <v>-0.31999999999999995</v>
      </c>
      <c r="Y187" s="2288"/>
      <c r="Z187" s="2153"/>
      <c r="AA187" s="2153"/>
      <c r="AB187" s="2153"/>
      <c r="AC187" s="2153"/>
      <c r="AD187" s="2153"/>
      <c r="AE187" s="2153"/>
      <c r="AF187" s="2153"/>
      <c r="AG187" s="2153"/>
      <c r="AH187" s="2153"/>
      <c r="AI187" s="2153"/>
      <c r="AJ187" s="2153"/>
      <c r="AK187" s="2153"/>
      <c r="AL187" s="2153"/>
      <c r="AM187" s="2153"/>
      <c r="AN187" s="2153"/>
      <c r="AO187" s="2153"/>
      <c r="AP187" s="2153"/>
      <c r="AQ187" s="2153">
        <f>+'STER Detailed Disclosure'!AQ167/1000</f>
        <v>-5.2649999999999997</v>
      </c>
      <c r="AR187" s="2153">
        <f>+'STER Detailed Disclosure'!AR167/1000</f>
        <v>-2.3170000000000002</v>
      </c>
      <c r="AS187" s="2153">
        <f>+'STER Detailed Disclosure'!AS167/1000</f>
        <v>-3.234</v>
      </c>
      <c r="AT187" s="2153">
        <f>+'STER Detailed Disclosure'!AT167/1000</f>
        <v>-4.4980000000000002</v>
      </c>
      <c r="AU187" s="2153">
        <f>+'STER Detailed Disclosure'!AU167/1000</f>
        <v>-2.56</v>
      </c>
    </row>
    <row r="188" spans="1:49" x14ac:dyDescent="0.25">
      <c r="A188" s="649" t="str">
        <f>+'STER Detailed Disclosure'!A168</f>
        <v>Purchases of intangible assets and capitalized software</v>
      </c>
      <c r="C188" s="2153"/>
      <c r="D188" s="2153"/>
      <c r="E188" s="2153"/>
      <c r="F188" s="2159"/>
      <c r="G188" s="2166"/>
      <c r="H188" s="2166"/>
      <c r="I188" s="2166">
        <f>+'STER Detailed Disclosure'!I168/1000</f>
        <v>-3.4470000000000001</v>
      </c>
      <c r="J188" s="2159">
        <f>+'STER Detailed Disclosure'!J168/1000</f>
        <v>-2.9350000000000005</v>
      </c>
      <c r="K188" s="2166">
        <f>+'STER Detailed Disclosure'!K168/1000</f>
        <v>-3.839</v>
      </c>
      <c r="L188" s="2166">
        <f>+'STER Detailed Disclosure'!L168/1000</f>
        <v>-4.1959999999999997</v>
      </c>
      <c r="M188" s="2166">
        <f>+'STER Detailed Disclosure'!M168/1000</f>
        <v>-3.952</v>
      </c>
      <c r="N188" s="2159">
        <f>+'STER Detailed Disclosure'!N168/1000</f>
        <v>-3.8729999999999993</v>
      </c>
      <c r="O188" s="2166">
        <f>+'STER Detailed Disclosure'!O168/1000</f>
        <v>-3.742</v>
      </c>
      <c r="P188" s="2166">
        <f>+'STER Detailed Disclosure'!P168/1000</f>
        <v>-3.8739999999999997</v>
      </c>
      <c r="Q188" s="2166">
        <f>+'STER Detailed Disclosure'!Q168/1000</f>
        <v>-4.1029999999999998</v>
      </c>
      <c r="R188" s="2159">
        <f>+'STER Detailed Disclosure'!R168/1000</f>
        <v>-3.9700000000000006</v>
      </c>
      <c r="S188" s="2166">
        <f>+'STER Detailed Disclosure'!S168/1000</f>
        <v>-4.12</v>
      </c>
      <c r="T188" s="2166">
        <f>+'STER Detailed Disclosure'!T168/1000</f>
        <v>-4.4690000000000003</v>
      </c>
      <c r="U188" s="2166">
        <f>+'STER Detailed Disclosure'!U168/1000</f>
        <v>-4.7750000000000004</v>
      </c>
      <c r="V188" s="2159">
        <f>+'STER Detailed Disclosure'!V168/1000</f>
        <v>-4.4379999999999988</v>
      </c>
      <c r="W188" s="2153">
        <f>+'STER Detailed Disclosure'!W168/1000</f>
        <v>-4.9470000000000001</v>
      </c>
      <c r="X188" s="2153">
        <f>+'STER Detailed Disclosure'!X168/1000</f>
        <v>-5.4080000000000004</v>
      </c>
      <c r="Y188" s="2288"/>
      <c r="Z188" s="2153"/>
      <c r="AA188" s="2153"/>
      <c r="AB188" s="2153"/>
      <c r="AC188" s="2153"/>
      <c r="AD188" s="2153"/>
      <c r="AE188" s="2153"/>
      <c r="AF188" s="2153"/>
      <c r="AG188" s="2153"/>
      <c r="AH188" s="2153"/>
      <c r="AI188" s="2153"/>
      <c r="AJ188" s="2153"/>
      <c r="AK188" s="2153"/>
      <c r="AL188" s="2153"/>
      <c r="AM188" s="2153"/>
      <c r="AN188" s="2153"/>
      <c r="AO188" s="2153"/>
      <c r="AP188" s="2153"/>
      <c r="AQ188" s="2153">
        <f>+'STER Detailed Disclosure'!AQ168/1000</f>
        <v>-26.617999999999999</v>
      </c>
      <c r="AR188" s="2153">
        <f>+'STER Detailed Disclosure'!AR168/1000</f>
        <v>-14.185</v>
      </c>
      <c r="AS188" s="2153">
        <f>+'STER Detailed Disclosure'!AS168/1000</f>
        <v>-15.86</v>
      </c>
      <c r="AT188" s="2153">
        <f>+'STER Detailed Disclosure'!AT168/1000</f>
        <v>-15.689</v>
      </c>
      <c r="AU188" s="2153">
        <f>+'STER Detailed Disclosure'!AU168/1000</f>
        <v>-17.802</v>
      </c>
    </row>
    <row r="189" spans="1:49" x14ac:dyDescent="0.25">
      <c r="A189" s="649" t="str">
        <f>+'STER Detailed Disclosure'!A169</f>
        <v>Investment in minority interest</v>
      </c>
      <c r="C189" s="2153"/>
      <c r="D189" s="2153"/>
      <c r="E189" s="2153"/>
      <c r="F189" s="2159"/>
      <c r="G189" s="2166"/>
      <c r="H189" s="2166"/>
      <c r="I189" s="2166">
        <f>+'STER Detailed Disclosure'!I169/1000</f>
        <v>-0.23599999999999999</v>
      </c>
      <c r="J189" s="2159">
        <f>+'STER Detailed Disclosure'!J169/1000</f>
        <v>0</v>
      </c>
      <c r="K189" s="2166">
        <f>+'STER Detailed Disclosure'!K169/1000</f>
        <v>0</v>
      </c>
      <c r="L189" s="2166">
        <f>+'STER Detailed Disclosure'!L169/1000</f>
        <v>0</v>
      </c>
      <c r="M189" s="2166">
        <f>+'STER Detailed Disclosure'!M169/1000</f>
        <v>0</v>
      </c>
      <c r="N189" s="2159">
        <f>+'STER Detailed Disclosure'!N169/1000</f>
        <v>0</v>
      </c>
      <c r="O189" s="2166">
        <f>+'STER Detailed Disclosure'!O169/1000</f>
        <v>0</v>
      </c>
      <c r="P189" s="2166">
        <f>+'STER Detailed Disclosure'!P169/1000</f>
        <v>0</v>
      </c>
      <c r="Q189" s="2166">
        <f>+'STER Detailed Disclosure'!Q169/1000</f>
        <v>0</v>
      </c>
      <c r="R189" s="2159">
        <f>+'STER Detailed Disclosure'!R169/1000</f>
        <v>0</v>
      </c>
      <c r="S189" s="2166">
        <f>+'STER Detailed Disclosure'!S169/1000</f>
        <v>0</v>
      </c>
      <c r="T189" s="2166">
        <f>+'STER Detailed Disclosure'!T169/1000</f>
        <v>0</v>
      </c>
      <c r="U189" s="2166">
        <f>+'STER Detailed Disclosure'!U169/1000</f>
        <v>0</v>
      </c>
      <c r="V189" s="2159">
        <f>+'STER Detailed Disclosure'!V169/1000</f>
        <v>0</v>
      </c>
      <c r="W189" s="2153">
        <f>+'STER Detailed Disclosure'!W169/1000</f>
        <v>0</v>
      </c>
      <c r="X189" s="2153">
        <f>+'STER Detailed Disclosure'!X169/1000</f>
        <v>0</v>
      </c>
      <c r="Y189" s="2288"/>
      <c r="Z189" s="2153"/>
      <c r="AA189" s="2153"/>
      <c r="AB189" s="2153"/>
      <c r="AC189" s="2153"/>
      <c r="AD189" s="2153"/>
      <c r="AE189" s="2153"/>
      <c r="AF189" s="2153"/>
      <c r="AG189" s="2153"/>
      <c r="AH189" s="2153"/>
      <c r="AI189" s="2153"/>
      <c r="AJ189" s="2153"/>
      <c r="AK189" s="2153"/>
      <c r="AL189" s="2153"/>
      <c r="AM189" s="2153"/>
      <c r="AN189" s="2153"/>
      <c r="AO189" s="2153"/>
      <c r="AP189" s="2153"/>
      <c r="AQ189" s="2153">
        <f>+'STER Detailed Disclosure'!AQ169/1000</f>
        <v>-2</v>
      </c>
      <c r="AR189" s="2153">
        <f>+'STER Detailed Disclosure'!AR169/1000</f>
        <v>0</v>
      </c>
      <c r="AS189" s="2153">
        <f>+'STER Detailed Disclosure'!AS169/1000</f>
        <v>0</v>
      </c>
      <c r="AT189" s="2153">
        <f>+'STER Detailed Disclosure'!AT169/1000</f>
        <v>0</v>
      </c>
      <c r="AU189" s="2153">
        <f>+'STER Detailed Disclosure'!AU169/1000</f>
        <v>0</v>
      </c>
    </row>
    <row r="190" spans="1:49" x14ac:dyDescent="0.25">
      <c r="A190" s="649" t="str">
        <f>+'STER Detailed Disclosure'!A170</f>
        <v>Acquisitions, net of cash acquired</v>
      </c>
      <c r="C190" s="2153"/>
      <c r="D190" s="2153"/>
      <c r="E190" s="2153"/>
      <c r="F190" s="2159"/>
      <c r="G190" s="2166"/>
      <c r="H190" s="2166"/>
      <c r="I190" s="2166">
        <f>+'STER Detailed Disclosure'!I170/1000</f>
        <v>0</v>
      </c>
      <c r="J190" s="2159">
        <f>+'STER Detailed Disclosure'!J170/1000</f>
        <v>0</v>
      </c>
      <c r="K190" s="2166">
        <f>+'STER Detailed Disclosure'!K170/1000</f>
        <v>0</v>
      </c>
      <c r="L190" s="2166">
        <f>+'STER Detailed Disclosure'!L170/1000</f>
        <v>0</v>
      </c>
      <c r="M190" s="2166">
        <f>+'STER Detailed Disclosure'!M170/1000</f>
        <v>0</v>
      </c>
      <c r="N190" s="2159">
        <f>+'STER Detailed Disclosure'!N170/1000</f>
        <v>-66.322999999999993</v>
      </c>
      <c r="O190" s="2166">
        <f>+'STER Detailed Disclosure'!O170/1000</f>
        <v>0</v>
      </c>
      <c r="P190" s="2166">
        <f>+'STER Detailed Disclosure'!P170/1000</f>
        <v>0</v>
      </c>
      <c r="Q190" s="2166">
        <f>+'STER Detailed Disclosure'!Q170/1000</f>
        <v>0</v>
      </c>
      <c r="R190" s="2159">
        <f>+'STER Detailed Disclosure'!R170/1000</f>
        <v>0</v>
      </c>
      <c r="S190" s="2166">
        <f>+'STER Detailed Disclosure'!S170/1000</f>
        <v>-48.802</v>
      </c>
      <c r="T190" s="2166">
        <f>+'STER Detailed Disclosure'!T170/1000</f>
        <v>0.16100000000000136</v>
      </c>
      <c r="U190" s="2166">
        <f>+'STER Detailed Disclosure'!U170/1000</f>
        <v>-0.56900000000000261</v>
      </c>
      <c r="V190" s="2159">
        <f>+'STER Detailed Disclosure'!V170/1000</f>
        <v>0</v>
      </c>
      <c r="W190" s="2153">
        <f>+'STER Detailed Disclosure'!W170/1000</f>
        <v>-70.478999999999999</v>
      </c>
      <c r="X190" s="2153">
        <f>+'STER Detailed Disclosure'!X170/1000</f>
        <v>4.2000000000001592E-2</v>
      </c>
      <c r="Y190" s="2288"/>
      <c r="Z190" s="2153"/>
      <c r="AA190" s="2153"/>
      <c r="AB190" s="2153"/>
      <c r="AC190" s="2153"/>
      <c r="AD190" s="2153"/>
      <c r="AE190" s="2153"/>
      <c r="AF190" s="2153"/>
      <c r="AG190" s="2153"/>
      <c r="AH190" s="2153"/>
      <c r="AI190" s="2153"/>
      <c r="AJ190" s="2153"/>
      <c r="AK190" s="2153"/>
      <c r="AL190" s="2153"/>
      <c r="AM190" s="2153"/>
      <c r="AN190" s="2153"/>
      <c r="AO190" s="2153"/>
      <c r="AP190" s="2153"/>
      <c r="AQ190" s="2153">
        <f>+'STER Detailed Disclosure'!AQ170/1000</f>
        <v>0</v>
      </c>
      <c r="AR190" s="2153">
        <f>+'STER Detailed Disclosure'!AR170/1000</f>
        <v>0</v>
      </c>
      <c r="AS190" s="2153">
        <f>+'STER Detailed Disclosure'!AS170/1000</f>
        <v>-66.322999999999993</v>
      </c>
      <c r="AT190" s="2153">
        <f>+'STER Detailed Disclosure'!AT170/1000</f>
        <v>0</v>
      </c>
      <c r="AU190" s="2153">
        <f>+'STER Detailed Disclosure'!AU170/1000</f>
        <v>-49.21</v>
      </c>
    </row>
    <row r="191" spans="1:49" s="413" customFormat="1" ht="14" x14ac:dyDescent="0.4">
      <c r="A191" s="132" t="str">
        <f>+'STER Detailed Disclosure'!A171</f>
        <v>Proceeds from disposition of property and equipment</v>
      </c>
      <c r="C191" s="719"/>
      <c r="D191" s="719"/>
      <c r="E191" s="719"/>
      <c r="F191" s="718"/>
      <c r="G191" s="719"/>
      <c r="H191" s="719"/>
      <c r="I191" s="719">
        <f>+'STER Detailed Disclosure'!I171/1000</f>
        <v>0.23599999999999999</v>
      </c>
      <c r="J191" s="718">
        <f>+'STER Detailed Disclosure'!J171/1000</f>
        <v>0</v>
      </c>
      <c r="K191" s="719">
        <f>+'STER Detailed Disclosure'!K171/1000</f>
        <v>0</v>
      </c>
      <c r="L191" s="719">
        <f>+'STER Detailed Disclosure'!L171/1000</f>
        <v>0</v>
      </c>
      <c r="M191" s="719">
        <f>+'STER Detailed Disclosure'!M171/1000</f>
        <v>7.0000000000000001E-3</v>
      </c>
      <c r="N191" s="718">
        <f>+'STER Detailed Disclosure'!N171/1000</f>
        <v>3.4000000000000002E-2</v>
      </c>
      <c r="O191" s="719">
        <f>+'STER Detailed Disclosure'!O171/1000</f>
        <v>4.0000000000000001E-3</v>
      </c>
      <c r="P191" s="719">
        <f>+'STER Detailed Disclosure'!P171/1000</f>
        <v>4.9999999999999992E-3</v>
      </c>
      <c r="Q191" s="719">
        <f>+'STER Detailed Disclosure'!Q171/1000</f>
        <v>1.6E-2</v>
      </c>
      <c r="R191" s="718">
        <f>+'STER Detailed Disclosure'!R171/1000</f>
        <v>2.5999999999999995E-2</v>
      </c>
      <c r="S191" s="719">
        <f>+'STER Detailed Disclosure'!S171/1000</f>
        <v>7.0000000000000001E-3</v>
      </c>
      <c r="T191" s="719">
        <f>+'STER Detailed Disclosure'!T171/1000</f>
        <v>0.11799999999999999</v>
      </c>
      <c r="U191" s="719">
        <f>+'STER Detailed Disclosure'!U171/1000</f>
        <v>-4.0000000000000036E-3</v>
      </c>
      <c r="V191" s="718">
        <f>+'STER Detailed Disclosure'!V171/1000</f>
        <v>1.0000000000000009E-3</v>
      </c>
      <c r="W191" s="719">
        <f>+'STER Detailed Disclosure'!W171/1000</f>
        <v>0</v>
      </c>
      <c r="X191" s="719">
        <f>+'STER Detailed Disclosure'!X171/1000</f>
        <v>3.0000000000000001E-3</v>
      </c>
      <c r="Y191" s="2284"/>
      <c r="Z191" s="719"/>
      <c r="AA191" s="719"/>
      <c r="AB191" s="719"/>
      <c r="AC191" s="719"/>
      <c r="AD191" s="719"/>
      <c r="AE191" s="719"/>
      <c r="AF191" s="719"/>
      <c r="AG191" s="719"/>
      <c r="AH191" s="719"/>
      <c r="AI191" s="719"/>
      <c r="AJ191" s="719"/>
      <c r="AK191" s="719"/>
      <c r="AL191" s="719"/>
      <c r="AM191" s="719"/>
      <c r="AN191" s="719"/>
      <c r="AO191" s="719"/>
      <c r="AP191" s="719"/>
      <c r="AQ191" s="719">
        <f>+'STER Detailed Disclosure'!AQ171/1000</f>
        <v>1.4E-2</v>
      </c>
      <c r="AR191" s="719">
        <f>+'STER Detailed Disclosure'!AR171/1000</f>
        <v>0.23599999999999999</v>
      </c>
      <c r="AS191" s="719">
        <f>+'STER Detailed Disclosure'!AS171/1000</f>
        <v>4.1000000000000002E-2</v>
      </c>
      <c r="AT191" s="719">
        <f>+'STER Detailed Disclosure'!AT171/1000</f>
        <v>5.0999999999999997E-2</v>
      </c>
      <c r="AU191" s="719">
        <f>+'STER Detailed Disclosure'!AU171/1000</f>
        <v>0.122</v>
      </c>
      <c r="AV191" s="719"/>
      <c r="AW191" s="614"/>
    </row>
    <row r="192" spans="1:49" s="163" customFormat="1" ht="13" x14ac:dyDescent="0.3">
      <c r="A192" s="426" t="str">
        <f>+'STER Detailed Disclosure'!A172</f>
        <v>Net cash used in investing activities</v>
      </c>
      <c r="C192" s="594"/>
      <c r="D192" s="594"/>
      <c r="E192" s="594"/>
      <c r="F192" s="593"/>
      <c r="G192" s="594"/>
      <c r="H192" s="594"/>
      <c r="I192" s="594">
        <f>+'STER Detailed Disclosure'!I172/1000</f>
        <v>-3.5390000000000001</v>
      </c>
      <c r="J192" s="593">
        <f>+'STER Detailed Disclosure'!J172/1000</f>
        <v>-3.4170000000000007</v>
      </c>
      <c r="K192" s="594">
        <f>+'STER Detailed Disclosure'!K172/1000</f>
        <v>-4.1849999999999996</v>
      </c>
      <c r="L192" s="594">
        <f>+'STER Detailed Disclosure'!L172/1000</f>
        <v>-5.1100000000000003</v>
      </c>
      <c r="M192" s="594">
        <f>+'STER Detailed Disclosure'!M172/1000</f>
        <v>-5.3040000000000003</v>
      </c>
      <c r="N192" s="593">
        <f>+'STER Detailed Disclosure'!N172/1000</f>
        <v>-70.777000000000001</v>
      </c>
      <c r="O192" s="594">
        <f>+'STER Detailed Disclosure'!O172/1000</f>
        <v>-5.2329999999999997</v>
      </c>
      <c r="P192" s="594">
        <f>+'STER Detailed Disclosure'!P172/1000</f>
        <v>-5.64</v>
      </c>
      <c r="Q192" s="594">
        <f>+'STER Detailed Disclosure'!Q172/1000</f>
        <v>-4.7990000000000004</v>
      </c>
      <c r="R192" s="593">
        <f>+'STER Detailed Disclosure'!R172/1000</f>
        <v>-4.4640000000000004</v>
      </c>
      <c r="S192" s="594">
        <f>+'STER Detailed Disclosure'!S172/1000</f>
        <v>-53.055</v>
      </c>
      <c r="T192" s="594">
        <f>+'STER Detailed Disclosure'!T172/1000</f>
        <v>-4.642999999999998</v>
      </c>
      <c r="U192" s="594">
        <f>+'STER Detailed Disclosure'!U172/1000</f>
        <v>-6.1320000000000023</v>
      </c>
      <c r="V192" s="593">
        <f>+'STER Detailed Disclosure'!V172/1000</f>
        <v>-5.6199999999999992</v>
      </c>
      <c r="W192" s="594">
        <f>+'STER Detailed Disclosure'!W172/1000</f>
        <v>-76.099000000000004</v>
      </c>
      <c r="X192" s="594">
        <f>+'STER Detailed Disclosure'!X172/1000</f>
        <v>-5.6829999999999981</v>
      </c>
      <c r="Y192" s="2289"/>
      <c r="Z192" s="594"/>
      <c r="AA192" s="594"/>
      <c r="AB192" s="594"/>
      <c r="AC192" s="594"/>
      <c r="AD192" s="594"/>
      <c r="AE192" s="594"/>
      <c r="AF192" s="594"/>
      <c r="AG192" s="594"/>
      <c r="AH192" s="594"/>
      <c r="AI192" s="594"/>
      <c r="AJ192" s="594"/>
      <c r="AK192" s="594"/>
      <c r="AL192" s="594"/>
      <c r="AM192" s="594"/>
      <c r="AN192" s="594"/>
      <c r="AO192" s="594"/>
      <c r="AP192" s="594"/>
      <c r="AQ192" s="594">
        <f>+'STER Detailed Disclosure'!AQ172/1000</f>
        <v>-33.869</v>
      </c>
      <c r="AR192" s="594">
        <f>+'STER Detailed Disclosure'!AR172/1000</f>
        <v>-16.265999999999998</v>
      </c>
      <c r="AS192" s="594">
        <f>+'STER Detailed Disclosure'!AS172/1000</f>
        <v>-85.376000000000005</v>
      </c>
      <c r="AT192" s="594">
        <f>+'STER Detailed Disclosure'!AT172/1000</f>
        <v>-20.135999999999999</v>
      </c>
      <c r="AU192" s="594">
        <f>+'STER Detailed Disclosure'!AU172/1000</f>
        <v>-69.45</v>
      </c>
      <c r="AV192" s="594"/>
      <c r="AW192" s="573"/>
    </row>
    <row r="193" spans="1:49" x14ac:dyDescent="0.25">
      <c r="A193" s="425"/>
      <c r="C193" s="583"/>
      <c r="D193" s="583"/>
      <c r="E193" s="583"/>
      <c r="F193" s="588"/>
      <c r="G193" s="583"/>
      <c r="H193" s="583"/>
      <c r="I193" s="583"/>
      <c r="J193" s="588"/>
      <c r="K193" s="583"/>
      <c r="L193" s="583"/>
      <c r="M193" s="583"/>
      <c r="N193" s="588"/>
      <c r="O193" s="583"/>
      <c r="P193" s="583"/>
      <c r="Q193" s="583"/>
      <c r="R193" s="588"/>
      <c r="S193" s="583"/>
      <c r="T193" s="583"/>
      <c r="U193" s="583"/>
      <c r="V193" s="588"/>
      <c r="W193" s="583"/>
      <c r="X193" s="583"/>
      <c r="Y193" s="583"/>
      <c r="Z193" s="583"/>
      <c r="AA193" s="583"/>
      <c r="AB193" s="583"/>
      <c r="AC193" s="583"/>
      <c r="AD193" s="583"/>
      <c r="AE193" s="583"/>
      <c r="AF193" s="583"/>
      <c r="AG193" s="583"/>
      <c r="AH193" s="583"/>
      <c r="AI193" s="583"/>
      <c r="AJ193" s="583"/>
      <c r="AK193" s="583"/>
      <c r="AL193" s="583"/>
      <c r="AM193" s="583"/>
      <c r="AN193" s="583"/>
      <c r="AO193" s="583"/>
      <c r="AP193" s="583"/>
      <c r="AQ193" s="583"/>
      <c r="AR193" s="583"/>
      <c r="AS193" s="583"/>
      <c r="AT193" s="583"/>
      <c r="AU193" s="583"/>
      <c r="AV193" s="583"/>
      <c r="AW193" s="571"/>
    </row>
    <row r="194" spans="1:49" ht="13" x14ac:dyDescent="0.3">
      <c r="A194" s="2152" t="s">
        <v>598</v>
      </c>
      <c r="C194" s="571"/>
      <c r="D194" s="571"/>
      <c r="E194" s="571"/>
      <c r="F194" s="666"/>
      <c r="G194" s="667"/>
      <c r="H194" s="667"/>
      <c r="I194" s="667"/>
      <c r="J194" s="666"/>
      <c r="K194" s="667"/>
      <c r="L194" s="667"/>
      <c r="M194" s="667"/>
      <c r="N194" s="666"/>
      <c r="O194" s="667"/>
      <c r="P194" s="667"/>
      <c r="Q194" s="667"/>
      <c r="R194" s="666"/>
      <c r="S194" s="667"/>
      <c r="T194" s="667"/>
      <c r="U194" s="667"/>
      <c r="V194" s="666"/>
      <c r="W194" s="571"/>
      <c r="X194" s="571"/>
      <c r="Y194" s="571"/>
      <c r="Z194" s="571"/>
      <c r="AA194" s="571"/>
      <c r="AB194" s="571"/>
      <c r="AC194" s="571"/>
      <c r="AD194" s="571"/>
      <c r="AE194" s="571"/>
      <c r="AF194" s="571"/>
      <c r="AG194" s="571"/>
      <c r="AH194" s="571"/>
      <c r="AI194" s="571"/>
      <c r="AJ194" s="571"/>
      <c r="AK194" s="571"/>
      <c r="AL194" s="571"/>
      <c r="AM194" s="571"/>
      <c r="AN194" s="571"/>
      <c r="AO194" s="571"/>
      <c r="AP194" s="571"/>
      <c r="AQ194" s="571"/>
      <c r="AR194" s="571"/>
      <c r="AS194" s="2155"/>
      <c r="AT194" s="2155"/>
      <c r="AU194" s="2155"/>
    </row>
    <row r="195" spans="1:49" x14ac:dyDescent="0.25">
      <c r="A195" s="649" t="str">
        <f>+'STER Detailed Disclosure'!A175</f>
        <v>Issuance of common stock</v>
      </c>
      <c r="C195" s="2153"/>
      <c r="D195" s="2153"/>
      <c r="E195" s="2153"/>
      <c r="F195" s="2159"/>
      <c r="G195" s="2166"/>
      <c r="H195" s="2166"/>
      <c r="I195" s="2166">
        <f>+'STER Detailed Disclosure'!I175/1000</f>
        <v>0</v>
      </c>
      <c r="J195" s="2159">
        <f>+'STER Detailed Disclosure'!J175/1000</f>
        <v>2.0499999999999998</v>
      </c>
      <c r="K195" s="2166">
        <f>+'STER Detailed Disclosure'!K175/1000</f>
        <v>2.2269999999999999</v>
      </c>
      <c r="L195" s="2166">
        <f>+'STER Detailed Disclosure'!L175/1000</f>
        <v>0.20000000000000018</v>
      </c>
      <c r="M195" s="2166">
        <f>+'STER Detailed Disclosure'!M175/1000</f>
        <v>5.600000000000005E-2</v>
      </c>
      <c r="N195" s="2159">
        <f>+'STER Detailed Disclosure'!N175/1000</f>
        <v>0</v>
      </c>
      <c r="O195" s="2166">
        <f>+'STER Detailed Disclosure'!O175/1000</f>
        <v>7.0000000000000007E-2</v>
      </c>
      <c r="P195" s="2166">
        <f>+'STER Detailed Disclosure'!P175/1000</f>
        <v>0.74399999999999999</v>
      </c>
      <c r="Q195" s="2166">
        <f>+'STER Detailed Disclosure'!Q175/1000</f>
        <v>1.4769999999999999</v>
      </c>
      <c r="R195" s="2159">
        <f>+'STER Detailed Disclosure'!R175/1000</f>
        <v>0.125</v>
      </c>
      <c r="S195" s="2166">
        <f>+'STER Detailed Disclosure'!S175/1000</f>
        <v>0</v>
      </c>
      <c r="T195" s="2166">
        <f>+'STER Detailed Disclosure'!T175/1000</f>
        <v>0.61099999999999999</v>
      </c>
      <c r="U195" s="2166">
        <f>+'STER Detailed Disclosure'!U175/1000</f>
        <v>1.387</v>
      </c>
      <c r="V195" s="2159">
        <f>+'STER Detailed Disclosure'!V175/1000</f>
        <v>3.3629999999999995</v>
      </c>
      <c r="W195" s="2153">
        <f>+'STER Detailed Disclosure'!W175/1000</f>
        <v>0</v>
      </c>
      <c r="X195" s="2153">
        <f>+'STER Detailed Disclosure'!X175/1000</f>
        <v>0</v>
      </c>
      <c r="Y195" s="2288"/>
      <c r="Z195" s="2153"/>
      <c r="AA195" s="2153"/>
      <c r="AB195" s="2153"/>
      <c r="AC195" s="2153"/>
      <c r="AD195" s="2153"/>
      <c r="AE195" s="2153"/>
      <c r="AF195" s="2153"/>
      <c r="AG195" s="2153"/>
      <c r="AH195" s="2153"/>
      <c r="AI195" s="2153"/>
      <c r="AJ195" s="2153"/>
      <c r="AK195" s="2153"/>
      <c r="AL195" s="2153"/>
      <c r="AM195" s="2153"/>
      <c r="AN195" s="2153"/>
      <c r="AO195" s="2153"/>
      <c r="AP195" s="2153"/>
      <c r="AQ195" s="2153">
        <f>+'STER Detailed Disclosure'!AQ175/1000</f>
        <v>0.13</v>
      </c>
      <c r="AR195" s="2153">
        <f>+'STER Detailed Disclosure'!AR175/1000</f>
        <v>3.25</v>
      </c>
      <c r="AS195" s="2153">
        <f>+'STER Detailed Disclosure'!AS175/1000</f>
        <v>2.4830000000000001</v>
      </c>
      <c r="AT195" s="2153">
        <f>+'STER Detailed Disclosure'!AT175/1000</f>
        <v>2.4159999999999999</v>
      </c>
      <c r="AU195" s="2153">
        <f>+'STER Detailed Disclosure'!AU175/1000</f>
        <v>5.3609999999999998</v>
      </c>
    </row>
    <row r="196" spans="1:49" x14ac:dyDescent="0.25">
      <c r="A196" s="649" t="str">
        <f>+'STER Detailed Disclosure'!A176</f>
        <v>Proceeds from exercise of employee stock options</v>
      </c>
      <c r="C196" s="2153"/>
      <c r="D196" s="2153"/>
      <c r="E196" s="2153"/>
      <c r="F196" s="2159"/>
      <c r="G196" s="2166"/>
      <c r="H196" s="2166"/>
      <c r="I196" s="2166">
        <f>+'STER Detailed Disclosure'!I176/1000</f>
        <v>0</v>
      </c>
      <c r="J196" s="2159">
        <f>+'STER Detailed Disclosure'!J176/1000</f>
        <v>0</v>
      </c>
      <c r="K196" s="2166">
        <f>+'STER Detailed Disclosure'!K176/1000</f>
        <v>0</v>
      </c>
      <c r="L196" s="2166">
        <f>+'STER Detailed Disclosure'!L176/1000</f>
        <v>0</v>
      </c>
      <c r="M196" s="2166">
        <f>+'STER Detailed Disclosure'!M176/1000</f>
        <v>0</v>
      </c>
      <c r="N196" s="2159">
        <f>+'STER Detailed Disclosure'!N176/1000</f>
        <v>0</v>
      </c>
      <c r="O196" s="2166">
        <f>+'STER Detailed Disclosure'!O176/1000</f>
        <v>0</v>
      </c>
      <c r="P196" s="2166">
        <f>+'STER Detailed Disclosure'!P176/1000</f>
        <v>0</v>
      </c>
      <c r="Q196" s="2166">
        <f>+'STER Detailed Disclosure'!Q176/1000</f>
        <v>0</v>
      </c>
      <c r="R196" s="2159">
        <f>+'STER Detailed Disclosure'!R176/1000</f>
        <v>0</v>
      </c>
      <c r="S196" s="2166">
        <f>+'STER Detailed Disclosure'!S176/1000</f>
        <v>0</v>
      </c>
      <c r="T196" s="2166">
        <f>+'STER Detailed Disclosure'!T176/1000</f>
        <v>0</v>
      </c>
      <c r="U196" s="2166">
        <f>+'STER Detailed Disclosure'!U176/1000</f>
        <v>0</v>
      </c>
      <c r="V196" s="2159">
        <f>+'STER Detailed Disclosure'!V176/1000</f>
        <v>0</v>
      </c>
      <c r="W196" s="2153">
        <f>+'STER Detailed Disclosure'!W176/1000</f>
        <v>53.628999999999998</v>
      </c>
      <c r="X196" s="2153">
        <f>+'STER Detailed Disclosure'!X176/1000</f>
        <v>-11.073999999999998</v>
      </c>
      <c r="Y196" s="2288"/>
      <c r="Z196" s="2153"/>
      <c r="AA196" s="2153"/>
      <c r="AB196" s="2153"/>
      <c r="AC196" s="2153"/>
      <c r="AD196" s="2153"/>
      <c r="AE196" s="2153"/>
      <c r="AF196" s="2153"/>
      <c r="AG196" s="2153"/>
      <c r="AH196" s="2153"/>
      <c r="AI196" s="2153"/>
      <c r="AJ196" s="2153"/>
      <c r="AK196" s="2153"/>
      <c r="AL196" s="2153"/>
      <c r="AM196" s="2153"/>
      <c r="AN196" s="2153"/>
      <c r="AO196" s="2153"/>
      <c r="AP196" s="2153"/>
      <c r="AQ196" s="2153">
        <f>+'STER Detailed Disclosure'!AQ176/1000</f>
        <v>0</v>
      </c>
      <c r="AR196" s="2153">
        <f>+'STER Detailed Disclosure'!AR176/1000</f>
        <v>0</v>
      </c>
      <c r="AS196" s="2153">
        <f>+'STER Detailed Disclosure'!AS176/1000</f>
        <v>0</v>
      </c>
      <c r="AT196" s="2153">
        <f>+'STER Detailed Disclosure'!AT176/1000</f>
        <v>0</v>
      </c>
      <c r="AU196" s="2153">
        <f>+'STER Detailed Disclosure'!AU176/1000</f>
        <v>0</v>
      </c>
    </row>
    <row r="197" spans="1:49" x14ac:dyDescent="0.25">
      <c r="A197" s="649" t="str">
        <f>+'STER Detailed Disclosure'!A177</f>
        <v>Cash paid for withholding on exercise of employee stock options</v>
      </c>
      <c r="C197" s="2153"/>
      <c r="D197" s="2153"/>
      <c r="E197" s="2153"/>
      <c r="F197" s="2159"/>
      <c r="G197" s="2166"/>
      <c r="H197" s="2166"/>
      <c r="I197" s="2166">
        <f>+'STER Detailed Disclosure'!I177/1000</f>
        <v>0</v>
      </c>
      <c r="J197" s="2159">
        <f>+'STER Detailed Disclosure'!J177/1000</f>
        <v>0</v>
      </c>
      <c r="K197" s="2166">
        <f>+'STER Detailed Disclosure'!K177/1000</f>
        <v>0</v>
      </c>
      <c r="L197" s="2166">
        <f>+'STER Detailed Disclosure'!L177/1000</f>
        <v>0</v>
      </c>
      <c r="M197" s="2166">
        <f>+'STER Detailed Disclosure'!M177/1000</f>
        <v>0</v>
      </c>
      <c r="N197" s="2159">
        <f>+'STER Detailed Disclosure'!N177/1000</f>
        <v>0</v>
      </c>
      <c r="O197" s="2166">
        <f>+'STER Detailed Disclosure'!O177/1000</f>
        <v>0</v>
      </c>
      <c r="P197" s="2166">
        <f>+'STER Detailed Disclosure'!P177/1000</f>
        <v>0</v>
      </c>
      <c r="Q197" s="2166">
        <f>+'STER Detailed Disclosure'!Q177/1000</f>
        <v>0</v>
      </c>
      <c r="R197" s="2159">
        <f>+'STER Detailed Disclosure'!R177/1000</f>
        <v>0</v>
      </c>
      <c r="S197" s="2166">
        <f>+'STER Detailed Disclosure'!S177/1000</f>
        <v>0</v>
      </c>
      <c r="T197" s="2166">
        <f>+'STER Detailed Disclosure'!T177/1000</f>
        <v>0</v>
      </c>
      <c r="U197" s="2166">
        <f>+'STER Detailed Disclosure'!U177/1000</f>
        <v>0</v>
      </c>
      <c r="V197" s="2159">
        <f>+'STER Detailed Disclosure'!V177/1000</f>
        <v>0</v>
      </c>
      <c r="W197" s="2153">
        <f>+'STER Detailed Disclosure'!W177/1000</f>
        <v>-19.172000000000001</v>
      </c>
      <c r="X197" s="2153">
        <f>+'STER Detailed Disclosure'!X177/1000</f>
        <v>11.496</v>
      </c>
      <c r="Y197" s="2288"/>
      <c r="Z197" s="2153"/>
      <c r="AA197" s="2153"/>
      <c r="AB197" s="2153"/>
      <c r="AC197" s="2153"/>
      <c r="AD197" s="2153"/>
      <c r="AE197" s="2153"/>
      <c r="AF197" s="2153"/>
      <c r="AG197" s="2153"/>
      <c r="AH197" s="2153"/>
      <c r="AI197" s="2153"/>
      <c r="AJ197" s="2153"/>
      <c r="AK197" s="2153"/>
      <c r="AL197" s="2153"/>
      <c r="AM197" s="2153"/>
      <c r="AN197" s="2153"/>
      <c r="AO197" s="2153"/>
      <c r="AP197" s="2153"/>
      <c r="AQ197" s="2153">
        <f>+'STER Detailed Disclosure'!AQ177/1000</f>
        <v>0</v>
      </c>
      <c r="AR197" s="2153">
        <f>+'STER Detailed Disclosure'!AR177/1000</f>
        <v>0</v>
      </c>
      <c r="AS197" s="2153">
        <f>+'STER Detailed Disclosure'!AS177/1000</f>
        <v>0</v>
      </c>
      <c r="AT197" s="2153">
        <f>+'STER Detailed Disclosure'!AT177/1000</f>
        <v>0</v>
      </c>
      <c r="AU197" s="2153">
        <f>+'STER Detailed Disclosure'!AU177/1000</f>
        <v>0</v>
      </c>
    </row>
    <row r="198" spans="1:49" x14ac:dyDescent="0.25">
      <c r="A198" s="649" t="str">
        <f>+'STER Detailed Disclosure'!A178</f>
        <v>Proceeds from employee stock purchase plan</v>
      </c>
      <c r="C198" s="2153"/>
      <c r="D198" s="2153"/>
      <c r="E198" s="2153"/>
      <c r="F198" s="2159"/>
      <c r="G198" s="2166"/>
      <c r="H198" s="2166"/>
      <c r="I198" s="2166">
        <f>+'STER Detailed Disclosure'!I178/1000</f>
        <v>0</v>
      </c>
      <c r="J198" s="2159">
        <f>+'STER Detailed Disclosure'!J178/1000</f>
        <v>0</v>
      </c>
      <c r="K198" s="2166">
        <f>+'STER Detailed Disclosure'!K178/1000</f>
        <v>0</v>
      </c>
      <c r="L198" s="2166">
        <f>+'STER Detailed Disclosure'!L178/1000</f>
        <v>0</v>
      </c>
      <c r="M198" s="2166">
        <f>+'STER Detailed Disclosure'!M178/1000</f>
        <v>0</v>
      </c>
      <c r="N198" s="2159">
        <f>+'STER Detailed Disclosure'!N178/1000</f>
        <v>0</v>
      </c>
      <c r="O198" s="2166">
        <f>+'STER Detailed Disclosure'!O178/1000</f>
        <v>0</v>
      </c>
      <c r="P198" s="2166">
        <f>+'STER Detailed Disclosure'!P178/1000</f>
        <v>0</v>
      </c>
      <c r="Q198" s="2166">
        <f>+'STER Detailed Disclosure'!Q178/1000</f>
        <v>0</v>
      </c>
      <c r="R198" s="2159">
        <f>+'STER Detailed Disclosure'!R178/1000</f>
        <v>0</v>
      </c>
      <c r="S198" s="2166">
        <f>+'STER Detailed Disclosure'!S178/1000</f>
        <v>0</v>
      </c>
      <c r="T198" s="2166">
        <f>+'STER Detailed Disclosure'!T178/1000</f>
        <v>0</v>
      </c>
      <c r="U198" s="2166">
        <f>+'STER Detailed Disclosure'!U178/1000</f>
        <v>0</v>
      </c>
      <c r="V198" s="2159">
        <f>+'STER Detailed Disclosure'!V178/1000</f>
        <v>0</v>
      </c>
      <c r="W198" s="2153">
        <f>+'STER Detailed Disclosure'!W178/1000</f>
        <v>0.69499999999999995</v>
      </c>
      <c r="X198" s="2153">
        <f>+'STER Detailed Disclosure'!X178/1000</f>
        <v>0</v>
      </c>
      <c r="Y198" s="2288"/>
      <c r="Z198" s="2153"/>
      <c r="AA198" s="2153"/>
      <c r="AB198" s="2153"/>
      <c r="AC198" s="2153"/>
      <c r="AD198" s="2153"/>
      <c r="AE198" s="2153"/>
      <c r="AF198" s="2153"/>
      <c r="AG198" s="2153"/>
      <c r="AH198" s="2153"/>
      <c r="AI198" s="2153"/>
      <c r="AJ198" s="2153"/>
      <c r="AK198" s="2153"/>
      <c r="AL198" s="2153"/>
      <c r="AM198" s="2153"/>
      <c r="AN198" s="2153"/>
      <c r="AO198" s="2153"/>
      <c r="AP198" s="2153"/>
      <c r="AQ198" s="2153">
        <f>+'STER Detailed Disclosure'!AQ178/1000</f>
        <v>0</v>
      </c>
      <c r="AR198" s="2153">
        <f>+'STER Detailed Disclosure'!AR178/1000</f>
        <v>0</v>
      </c>
      <c r="AS198" s="2153">
        <f>+'STER Detailed Disclosure'!AS178/1000</f>
        <v>0</v>
      </c>
      <c r="AT198" s="2153">
        <f>+'STER Detailed Disclosure'!AT178/1000</f>
        <v>0</v>
      </c>
      <c r="AU198" s="2153">
        <f>+'STER Detailed Disclosure'!AU178/1000</f>
        <v>0</v>
      </c>
    </row>
    <row r="199" spans="1:49" x14ac:dyDescent="0.25">
      <c r="A199" s="649" t="str">
        <f>+'STER Detailed Disclosure'!A179</f>
        <v>Repurchases of common stock</v>
      </c>
      <c r="C199" s="2153"/>
      <c r="D199" s="2153"/>
      <c r="E199" s="2153"/>
      <c r="F199" s="2159"/>
      <c r="G199" s="2166"/>
      <c r="H199" s="2166"/>
      <c r="I199" s="2166">
        <f>+'STER Detailed Disclosure'!I179/1000</f>
        <v>0</v>
      </c>
      <c r="J199" s="2159">
        <f>+'STER Detailed Disclosure'!J179/1000</f>
        <v>0</v>
      </c>
      <c r="K199" s="2166">
        <f>+'STER Detailed Disclosure'!K179/1000</f>
        <v>0</v>
      </c>
      <c r="L199" s="2166">
        <f>+'STER Detailed Disclosure'!L179/1000</f>
        <v>0</v>
      </c>
      <c r="M199" s="2166">
        <f>+'STER Detailed Disclosure'!M179/1000</f>
        <v>0</v>
      </c>
      <c r="N199" s="2159">
        <f>+'STER Detailed Disclosure'!N179/1000</f>
        <v>0</v>
      </c>
      <c r="O199" s="2166">
        <f>+'STER Detailed Disclosure'!O179/1000</f>
        <v>0</v>
      </c>
      <c r="P199" s="2166">
        <f>+'STER Detailed Disclosure'!P179/1000</f>
        <v>0</v>
      </c>
      <c r="Q199" s="2166">
        <f>+'STER Detailed Disclosure'!Q179/1000</f>
        <v>0</v>
      </c>
      <c r="R199" s="2159">
        <f>+'STER Detailed Disclosure'!R179/1000</f>
        <v>-13.962</v>
      </c>
      <c r="S199" s="2166">
        <f>+'STER Detailed Disclosure'!S179/1000</f>
        <v>-7.7110000000000003</v>
      </c>
      <c r="T199" s="2166">
        <f>+'STER Detailed Disclosure'!T179/1000</f>
        <v>-17.631</v>
      </c>
      <c r="U199" s="2166">
        <f>+'STER Detailed Disclosure'!U179/1000</f>
        <v>-20.701000000000001</v>
      </c>
      <c r="V199" s="2159">
        <f>+'STER Detailed Disclosure'!V179/1000</f>
        <v>-21.719000000000001</v>
      </c>
      <c r="W199" s="2153">
        <f>+'STER Detailed Disclosure'!W179/1000</f>
        <v>-6.8319999999999999</v>
      </c>
      <c r="X199" s="2153">
        <f>+'STER Detailed Disclosure'!X179/1000</f>
        <v>0</v>
      </c>
      <c r="Y199" s="2288"/>
      <c r="Z199" s="2153"/>
      <c r="AA199" s="2153"/>
      <c r="AB199" s="2153"/>
      <c r="AC199" s="2153"/>
      <c r="AD199" s="2153"/>
      <c r="AE199" s="2153"/>
      <c r="AF199" s="2153"/>
      <c r="AG199" s="2153"/>
      <c r="AH199" s="2153"/>
      <c r="AI199" s="2153"/>
      <c r="AJ199" s="2153"/>
      <c r="AK199" s="2153"/>
      <c r="AL199" s="2153"/>
      <c r="AM199" s="2153"/>
      <c r="AN199" s="2153"/>
      <c r="AO199" s="2153"/>
      <c r="AP199" s="2153"/>
      <c r="AQ199" s="2153">
        <f>+'STER Detailed Disclosure'!AQ179/1000</f>
        <v>0</v>
      </c>
      <c r="AR199" s="2153">
        <f>+'STER Detailed Disclosure'!AR179/1000</f>
        <v>0</v>
      </c>
      <c r="AS199" s="2153">
        <f>+'STER Detailed Disclosure'!AS179/1000</f>
        <v>0</v>
      </c>
      <c r="AT199" s="2153">
        <f>+'STER Detailed Disclosure'!AT179/1000</f>
        <v>-13.962</v>
      </c>
      <c r="AU199" s="2153">
        <f>+'STER Detailed Disclosure'!AU179/1000</f>
        <v>-67.762</v>
      </c>
    </row>
    <row r="200" spans="1:49" x14ac:dyDescent="0.25">
      <c r="A200" s="649" t="str">
        <f>+'STER Detailed Disclosure'!A180</f>
        <v>Proceeds from issuance of common stock in IPO, net of underwriting discounts and commissions</v>
      </c>
      <c r="C200" s="2153"/>
      <c r="D200" s="2153"/>
      <c r="E200" s="2153"/>
      <c r="F200" s="2159"/>
      <c r="G200" s="2166"/>
      <c r="H200" s="2166"/>
      <c r="I200" s="2166">
        <f>+'STER Detailed Disclosure'!I180/1000</f>
        <v>0</v>
      </c>
      <c r="J200" s="2159">
        <f>+'STER Detailed Disclosure'!J180/1000</f>
        <v>0</v>
      </c>
      <c r="K200" s="2166">
        <f>+'STER Detailed Disclosure'!K180/1000</f>
        <v>0</v>
      </c>
      <c r="L200" s="2166">
        <f>+'STER Detailed Disclosure'!L180/1000</f>
        <v>0</v>
      </c>
      <c r="M200" s="2166">
        <f>+'STER Detailed Disclosure'!M180/1000</f>
        <v>102.63800000000001</v>
      </c>
      <c r="N200" s="2159">
        <f>+'STER Detailed Disclosure'!N180/1000</f>
        <v>0</v>
      </c>
      <c r="O200" s="2166">
        <f>+'STER Detailed Disclosure'!O180/1000</f>
        <v>0</v>
      </c>
      <c r="P200" s="2166">
        <f>+'STER Detailed Disclosure'!P180/1000</f>
        <v>0</v>
      </c>
      <c r="Q200" s="2166">
        <f>+'STER Detailed Disclosure'!Q180/1000</f>
        <v>0</v>
      </c>
      <c r="R200" s="2159">
        <f>+'STER Detailed Disclosure'!R180/1000</f>
        <v>0</v>
      </c>
      <c r="S200" s="2166">
        <f>+'STER Detailed Disclosure'!S180/1000</f>
        <v>0</v>
      </c>
      <c r="T200" s="2166">
        <f>+'STER Detailed Disclosure'!T180/1000</f>
        <v>0</v>
      </c>
      <c r="U200" s="2166">
        <f>+'STER Detailed Disclosure'!U180/1000</f>
        <v>0</v>
      </c>
      <c r="V200" s="2159">
        <f>+'STER Detailed Disclosure'!V180/1000</f>
        <v>0</v>
      </c>
      <c r="W200" s="2153">
        <f>+'STER Detailed Disclosure'!W180/1000</f>
        <v>0</v>
      </c>
      <c r="X200" s="2153">
        <f>+'STER Detailed Disclosure'!X180/1000</f>
        <v>0</v>
      </c>
      <c r="Y200" s="2288"/>
      <c r="Z200" s="2153"/>
      <c r="AA200" s="2153"/>
      <c r="AB200" s="2153"/>
      <c r="AC200" s="2153"/>
      <c r="AD200" s="2153"/>
      <c r="AE200" s="2153"/>
      <c r="AF200" s="2153"/>
      <c r="AG200" s="2153"/>
      <c r="AH200" s="2153"/>
      <c r="AI200" s="2153"/>
      <c r="AJ200" s="2153"/>
      <c r="AK200" s="2153"/>
      <c r="AL200" s="2153"/>
      <c r="AM200" s="2153"/>
      <c r="AN200" s="2153"/>
      <c r="AO200" s="2153"/>
      <c r="AP200" s="2153"/>
      <c r="AQ200" s="2153">
        <f>+'STER Detailed Disclosure'!AQ180/1000</f>
        <v>0</v>
      </c>
      <c r="AR200" s="2153">
        <f>+'STER Detailed Disclosure'!AR180/1000</f>
        <v>0</v>
      </c>
      <c r="AS200" s="2153">
        <f>+'STER Detailed Disclosure'!AS180/1000</f>
        <v>102.63800000000001</v>
      </c>
      <c r="AT200" s="2153">
        <f>+'STER Detailed Disclosure'!AT180/1000</f>
        <v>0</v>
      </c>
      <c r="AU200" s="2153">
        <f>+'STER Detailed Disclosure'!AU180/1000</f>
        <v>0</v>
      </c>
    </row>
    <row r="201" spans="1:49" x14ac:dyDescent="0.25">
      <c r="A201" s="649" t="str">
        <f>+'STER Detailed Disclosure'!A181</f>
        <v>Payments of initial public offering issuance costs</v>
      </c>
      <c r="C201" s="2153"/>
      <c r="D201" s="2153"/>
      <c r="E201" s="2153"/>
      <c r="F201" s="2159"/>
      <c r="G201" s="2166"/>
      <c r="H201" s="2166"/>
      <c r="I201" s="2166">
        <f>+'STER Detailed Disclosure'!I181/1000</f>
        <v>0</v>
      </c>
      <c r="J201" s="2159">
        <f>+'STER Detailed Disclosure'!J181/1000</f>
        <v>0</v>
      </c>
      <c r="K201" s="2166">
        <f>+'STER Detailed Disclosure'!K181/1000</f>
        <v>0</v>
      </c>
      <c r="L201" s="2166">
        <f>+'STER Detailed Disclosure'!L181/1000</f>
        <v>0</v>
      </c>
      <c r="M201" s="2166">
        <f>+'STER Detailed Disclosure'!M181/1000</f>
        <v>-6.12</v>
      </c>
      <c r="N201" s="2159">
        <f>+'STER Detailed Disclosure'!N181/1000</f>
        <v>-1.7699999999999996</v>
      </c>
      <c r="O201" s="2166">
        <f>+'STER Detailed Disclosure'!O181/1000</f>
        <v>-0.22500000000000001</v>
      </c>
      <c r="P201" s="2166">
        <f>+'STER Detailed Disclosure'!P181/1000</f>
        <v>0</v>
      </c>
      <c r="Q201" s="2166">
        <f>+'STER Detailed Disclosure'!Q181/1000</f>
        <v>0</v>
      </c>
      <c r="R201" s="2159">
        <f>+'STER Detailed Disclosure'!R181/1000</f>
        <v>0</v>
      </c>
      <c r="S201" s="2166">
        <f>+'STER Detailed Disclosure'!S181/1000</f>
        <v>0</v>
      </c>
      <c r="T201" s="2166">
        <f>+'STER Detailed Disclosure'!T181/1000</f>
        <v>0</v>
      </c>
      <c r="U201" s="2166">
        <f>+'STER Detailed Disclosure'!U181/1000</f>
        <v>0</v>
      </c>
      <c r="V201" s="2159">
        <f>+'STER Detailed Disclosure'!V181/1000</f>
        <v>0</v>
      </c>
      <c r="W201" s="2153">
        <f>+'STER Detailed Disclosure'!W181/1000</f>
        <v>0</v>
      </c>
      <c r="X201" s="2153">
        <f>+'STER Detailed Disclosure'!X181/1000</f>
        <v>0</v>
      </c>
      <c r="Y201" s="2288"/>
      <c r="Z201" s="2153"/>
      <c r="AA201" s="2153"/>
      <c r="AB201" s="2153"/>
      <c r="AC201" s="2153"/>
      <c r="AD201" s="2153"/>
      <c r="AE201" s="2153"/>
      <c r="AF201" s="2153"/>
      <c r="AG201" s="2153"/>
      <c r="AH201" s="2153"/>
      <c r="AI201" s="2153"/>
      <c r="AJ201" s="2153"/>
      <c r="AK201" s="2153"/>
      <c r="AL201" s="2153"/>
      <c r="AM201" s="2153"/>
      <c r="AN201" s="2153"/>
      <c r="AO201" s="2153"/>
      <c r="AP201" s="2153"/>
      <c r="AQ201" s="2153">
        <f>+'STER Detailed Disclosure'!AQ181/1000</f>
        <v>0</v>
      </c>
      <c r="AR201" s="2153">
        <f>+'STER Detailed Disclosure'!AR181/1000</f>
        <v>0</v>
      </c>
      <c r="AS201" s="2153">
        <f>+'STER Detailed Disclosure'!AS181/1000</f>
        <v>-7.89</v>
      </c>
      <c r="AT201" s="2153">
        <f>+'STER Detailed Disclosure'!AT181/1000</f>
        <v>-0.22500000000000001</v>
      </c>
      <c r="AU201" s="2153">
        <f>+'STER Detailed Disclosure'!AU181/1000</f>
        <v>0</v>
      </c>
    </row>
    <row r="202" spans="1:49" x14ac:dyDescent="0.25">
      <c r="A202" s="649" t="str">
        <f>+'STER Detailed Disclosure'!A182</f>
        <v>Cash paid for tax withholding on vesting of restricted shares</v>
      </c>
      <c r="C202" s="2153"/>
      <c r="D202" s="2153"/>
      <c r="E202" s="2153"/>
      <c r="F202" s="2159"/>
      <c r="G202" s="2166"/>
      <c r="H202" s="2166"/>
      <c r="I202" s="2166">
        <f>+'STER Detailed Disclosure'!I182/1000</f>
        <v>0</v>
      </c>
      <c r="J202" s="2159">
        <f>+'STER Detailed Disclosure'!J182/1000</f>
        <v>0</v>
      </c>
      <c r="K202" s="2166">
        <f>+'STER Detailed Disclosure'!K182/1000</f>
        <v>0</v>
      </c>
      <c r="L202" s="2166">
        <f>+'STER Detailed Disclosure'!L182/1000</f>
        <v>0</v>
      </c>
      <c r="M202" s="2166">
        <f>+'STER Detailed Disclosure'!M182/1000</f>
        <v>0</v>
      </c>
      <c r="N202" s="2159">
        <f>+'STER Detailed Disclosure'!N182/1000</f>
        <v>0</v>
      </c>
      <c r="O202" s="2166">
        <f>+'STER Detailed Disclosure'!O182/1000</f>
        <v>0</v>
      </c>
      <c r="P202" s="2166">
        <f>+'STER Detailed Disclosure'!P182/1000</f>
        <v>0</v>
      </c>
      <c r="Q202" s="2166">
        <f>+'STER Detailed Disclosure'!Q182/1000</f>
        <v>0</v>
      </c>
      <c r="R202" s="2159">
        <f>+'STER Detailed Disclosure'!R182/1000</f>
        <v>0</v>
      </c>
      <c r="S202" s="2166">
        <f>+'STER Detailed Disclosure'!S182/1000</f>
        <v>-0.48699999999999999</v>
      </c>
      <c r="T202" s="2166">
        <f>+'STER Detailed Disclosure'!T182/1000</f>
        <v>-8.4999999999999978E-2</v>
      </c>
      <c r="U202" s="2166">
        <f>+'STER Detailed Disclosure'!U182/1000</f>
        <v>-3.0249999999999999</v>
      </c>
      <c r="V202" s="2159">
        <f>+'STER Detailed Disclosure'!V182/1000</f>
        <v>-2.1</v>
      </c>
      <c r="W202" s="2153">
        <f>+'STER Detailed Disclosure'!W182/1000</f>
        <v>-3.903</v>
      </c>
      <c r="X202" s="2153">
        <f>+'STER Detailed Disclosure'!X182/1000</f>
        <v>-0.27600000000000025</v>
      </c>
      <c r="Y202" s="2288"/>
      <c r="Z202" s="2153"/>
      <c r="AA202" s="2153"/>
      <c r="AB202" s="2153"/>
      <c r="AC202" s="2153"/>
      <c r="AD202" s="2153"/>
      <c r="AE202" s="2153"/>
      <c r="AF202" s="2153"/>
      <c r="AG202" s="2153"/>
      <c r="AH202" s="2153"/>
      <c r="AI202" s="2153"/>
      <c r="AJ202" s="2153"/>
      <c r="AK202" s="2153"/>
      <c r="AL202" s="2153"/>
      <c r="AM202" s="2153"/>
      <c r="AN202" s="2153"/>
      <c r="AO202" s="2153"/>
      <c r="AP202" s="2153"/>
      <c r="AQ202" s="2153">
        <f>+'STER Detailed Disclosure'!AQ182/1000</f>
        <v>0</v>
      </c>
      <c r="AR202" s="2153">
        <f>+'STER Detailed Disclosure'!AR182/1000</f>
        <v>0</v>
      </c>
      <c r="AS202" s="2153">
        <f>+'STER Detailed Disclosure'!AS182/1000</f>
        <v>0</v>
      </c>
      <c r="AT202" s="2153">
        <f>+'STER Detailed Disclosure'!AT182/1000</f>
        <v>0</v>
      </c>
      <c r="AU202" s="2153">
        <f>+'STER Detailed Disclosure'!AU182/1000</f>
        <v>-5.6970000000000001</v>
      </c>
    </row>
    <row r="203" spans="1:49" x14ac:dyDescent="0.25">
      <c r="A203" s="649" t="str">
        <f>+'STER Detailed Disclosure'!A183</f>
        <v>Capital contribution from certain stockholders</v>
      </c>
      <c r="C203" s="2153"/>
      <c r="D203" s="2153"/>
      <c r="E203" s="2153"/>
      <c r="F203" s="2159"/>
      <c r="G203" s="2166"/>
      <c r="H203" s="2166"/>
      <c r="I203" s="2166">
        <f>+'STER Detailed Disclosure'!I183/1000</f>
        <v>0</v>
      </c>
      <c r="J203" s="2159">
        <f>+'STER Detailed Disclosure'!J183/1000</f>
        <v>0</v>
      </c>
      <c r="K203" s="2166">
        <f>+'STER Detailed Disclosure'!K183/1000</f>
        <v>0</v>
      </c>
      <c r="L203" s="2166">
        <f>+'STER Detailed Disclosure'!L183/1000</f>
        <v>0</v>
      </c>
      <c r="M203" s="2166">
        <f>+'STER Detailed Disclosure'!M183/1000</f>
        <v>15.576000000000001</v>
      </c>
      <c r="N203" s="2159">
        <f>+'STER Detailed Disclosure'!N183/1000</f>
        <v>0</v>
      </c>
      <c r="O203" s="2166">
        <f>+'STER Detailed Disclosure'!O183/1000</f>
        <v>0</v>
      </c>
      <c r="P203" s="2166">
        <f>+'STER Detailed Disclosure'!P183/1000</f>
        <v>0</v>
      </c>
      <c r="Q203" s="2166">
        <f>+'STER Detailed Disclosure'!Q183/1000</f>
        <v>0</v>
      </c>
      <c r="R203" s="2159">
        <f>+'STER Detailed Disclosure'!R183/1000</f>
        <v>0</v>
      </c>
      <c r="S203" s="2166">
        <f>+'STER Detailed Disclosure'!S183/1000</f>
        <v>0</v>
      </c>
      <c r="T203" s="2166">
        <f>+'STER Detailed Disclosure'!T183/1000</f>
        <v>0</v>
      </c>
      <c r="U203" s="2166">
        <f>+'STER Detailed Disclosure'!U183/1000</f>
        <v>0</v>
      </c>
      <c r="V203" s="2159">
        <f>+'STER Detailed Disclosure'!V183/1000</f>
        <v>0</v>
      </c>
      <c r="W203" s="2153">
        <f>+'STER Detailed Disclosure'!W183/1000</f>
        <v>0</v>
      </c>
      <c r="X203" s="2153">
        <f>+'STER Detailed Disclosure'!X183/1000</f>
        <v>0</v>
      </c>
      <c r="Y203" s="2288"/>
      <c r="Z203" s="2153"/>
      <c r="AA203" s="2153"/>
      <c r="AB203" s="2153"/>
      <c r="AC203" s="2153"/>
      <c r="AD203" s="2153"/>
      <c r="AE203" s="2153"/>
      <c r="AF203" s="2153"/>
      <c r="AG203" s="2153"/>
      <c r="AH203" s="2153"/>
      <c r="AI203" s="2153"/>
      <c r="AJ203" s="2153"/>
      <c r="AK203" s="2153"/>
      <c r="AL203" s="2153"/>
      <c r="AM203" s="2153"/>
      <c r="AN203" s="2153"/>
      <c r="AO203" s="2153"/>
      <c r="AP203" s="2153"/>
      <c r="AQ203" s="2153">
        <f>+'STER Detailed Disclosure'!AQ183/1000</f>
        <v>0</v>
      </c>
      <c r="AR203" s="2153">
        <f>+'STER Detailed Disclosure'!AR183/1000</f>
        <v>0</v>
      </c>
      <c r="AS203" s="2153">
        <f>+'STER Detailed Disclosure'!AS183/1000</f>
        <v>15.576000000000001</v>
      </c>
      <c r="AT203" s="2153">
        <f>+'STER Detailed Disclosure'!AT183/1000</f>
        <v>0</v>
      </c>
      <c r="AU203" s="2153">
        <f>+'STER Detailed Disclosure'!AU183/1000</f>
        <v>0</v>
      </c>
    </row>
    <row r="204" spans="1:49" x14ac:dyDescent="0.25">
      <c r="A204" s="649" t="str">
        <f>+'STER Detailed Disclosure'!A184</f>
        <v>Payments of long-term debt</v>
      </c>
      <c r="C204" s="2153"/>
      <c r="D204" s="2153"/>
      <c r="E204" s="2153"/>
      <c r="F204" s="2159"/>
      <c r="G204" s="2166"/>
      <c r="H204" s="2166"/>
      <c r="I204" s="2166">
        <f>+'STER Detailed Disclosure'!I184/1000</f>
        <v>-1.6160000000000001</v>
      </c>
      <c r="J204" s="2159">
        <f>+'STER Detailed Disclosure'!J184/1000</f>
        <v>-1.6150000000000002</v>
      </c>
      <c r="K204" s="2166">
        <f>+'STER Detailed Disclosure'!K184/1000</f>
        <v>-1.615</v>
      </c>
      <c r="L204" s="2166">
        <f>+'STER Detailed Disclosure'!L184/1000</f>
        <v>-8.3010000000000002</v>
      </c>
      <c r="M204" s="2166">
        <f>+'STER Detailed Disclosure'!M184/1000</f>
        <v>-1.6150000000000002</v>
      </c>
      <c r="N204" s="2159">
        <f>+'STER Detailed Disclosure'!N184/1000</f>
        <v>-101.616</v>
      </c>
      <c r="O204" s="2166">
        <f>+'STER Detailed Disclosure'!O184/1000</f>
        <v>-1.615</v>
      </c>
      <c r="P204" s="2166">
        <f>+'STER Detailed Disclosure'!P184/1000</f>
        <v>-1.6159999999999999</v>
      </c>
      <c r="Q204" s="2166">
        <f>+'STER Detailed Disclosure'!Q184/1000</f>
        <v>-1.6150000000000002</v>
      </c>
      <c r="R204" s="2159">
        <f>+'STER Detailed Disclosure'!R184/1000</f>
        <v>-505.49400000000003</v>
      </c>
      <c r="S204" s="2166">
        <f>+'STER Detailed Disclosure'!S184/1000</f>
        <v>-1.875</v>
      </c>
      <c r="T204" s="2166">
        <f>+'STER Detailed Disclosure'!T184/1000</f>
        <v>-1.875</v>
      </c>
      <c r="U204" s="2166">
        <f>+'STER Detailed Disclosure'!U184/1000</f>
        <v>-1.875</v>
      </c>
      <c r="V204" s="2159">
        <f>+'STER Detailed Disclosure'!V184/1000</f>
        <v>-1.875</v>
      </c>
      <c r="W204" s="2153">
        <f>+'STER Detailed Disclosure'!W184/1000</f>
        <v>-3.75</v>
      </c>
      <c r="X204" s="2153">
        <f>+'STER Detailed Disclosure'!X184/1000</f>
        <v>-3.75</v>
      </c>
      <c r="Y204" s="2288"/>
      <c r="Z204" s="2153"/>
      <c r="AA204" s="2153"/>
      <c r="AB204" s="2153"/>
      <c r="AC204" s="2153"/>
      <c r="AD204" s="2153"/>
      <c r="AE204" s="2153"/>
      <c r="AF204" s="2153"/>
      <c r="AG204" s="2153"/>
      <c r="AH204" s="2153"/>
      <c r="AI204" s="2153"/>
      <c r="AJ204" s="2153"/>
      <c r="AK204" s="2153"/>
      <c r="AL204" s="2153"/>
      <c r="AM204" s="2153"/>
      <c r="AN204" s="2153"/>
      <c r="AO204" s="2153"/>
      <c r="AP204" s="2153"/>
      <c r="AQ204" s="2153">
        <f>+'STER Detailed Disclosure'!AQ184/1000</f>
        <v>-6.4610000000000003</v>
      </c>
      <c r="AR204" s="2153">
        <f>+'STER Detailed Disclosure'!AR184/1000</f>
        <v>-6.4610000000000003</v>
      </c>
      <c r="AS204" s="2153">
        <f>+'STER Detailed Disclosure'!AS184/1000</f>
        <v>-113.14700000000001</v>
      </c>
      <c r="AT204" s="2153">
        <f>+'STER Detailed Disclosure'!AT184/1000</f>
        <v>-510.34</v>
      </c>
      <c r="AU204" s="2153">
        <f>+'STER Detailed Disclosure'!AU184/1000</f>
        <v>-7.5</v>
      </c>
    </row>
    <row r="205" spans="1:49" x14ac:dyDescent="0.25">
      <c r="A205" s="649" t="str">
        <f>+'STER Detailed Disclosure'!A185</f>
        <v>Proceeds from term loan borrowings</v>
      </c>
      <c r="C205" s="2153"/>
      <c r="D205" s="2153"/>
      <c r="E205" s="2153"/>
      <c r="F205" s="2159"/>
      <c r="G205" s="2166"/>
      <c r="H205" s="2166"/>
      <c r="I205" s="2166">
        <f>+'STER Detailed Disclosure'!I185/1000</f>
        <v>0</v>
      </c>
      <c r="J205" s="2159">
        <f>+'STER Detailed Disclosure'!J185/1000</f>
        <v>0</v>
      </c>
      <c r="K205" s="2166">
        <f>+'STER Detailed Disclosure'!K185/1000</f>
        <v>0</v>
      </c>
      <c r="L205" s="2166">
        <f>+'STER Detailed Disclosure'!L185/1000</f>
        <v>0</v>
      </c>
      <c r="M205" s="2166">
        <f>+'STER Detailed Disclosure'!M185/1000</f>
        <v>0</v>
      </c>
      <c r="N205" s="2159">
        <f>+'STER Detailed Disclosure'!N185/1000</f>
        <v>0</v>
      </c>
      <c r="O205" s="2166">
        <f>+'STER Detailed Disclosure'!O185/1000</f>
        <v>0</v>
      </c>
      <c r="P205" s="2166">
        <f>+'STER Detailed Disclosure'!P185/1000</f>
        <v>0</v>
      </c>
      <c r="Q205" s="2166">
        <f>+'STER Detailed Disclosure'!Q185/1000</f>
        <v>0</v>
      </c>
      <c r="R205" s="2159">
        <f>+'STER Detailed Disclosure'!R185/1000</f>
        <v>300</v>
      </c>
      <c r="S205" s="2166">
        <f>+'STER Detailed Disclosure'!S185/1000</f>
        <v>0</v>
      </c>
      <c r="T205" s="2166">
        <f>+'STER Detailed Disclosure'!T185/1000</f>
        <v>0</v>
      </c>
      <c r="U205" s="2166">
        <f>+'STER Detailed Disclosure'!U185/1000</f>
        <v>0</v>
      </c>
      <c r="V205" s="2159">
        <f>+'STER Detailed Disclosure'!V185/1000</f>
        <v>0</v>
      </c>
      <c r="W205" s="2153">
        <f>+'STER Detailed Disclosure'!W185/1000</f>
        <v>0</v>
      </c>
      <c r="X205" s="2153">
        <f>+'STER Detailed Disclosure'!X185/1000</f>
        <v>0</v>
      </c>
      <c r="Y205" s="2288"/>
      <c r="Z205" s="2153"/>
      <c r="AA205" s="2153"/>
      <c r="AB205" s="2153"/>
      <c r="AC205" s="2153"/>
      <c r="AD205" s="2153"/>
      <c r="AE205" s="2153"/>
      <c r="AF205" s="2153"/>
      <c r="AG205" s="2153"/>
      <c r="AH205" s="2153"/>
      <c r="AI205" s="2153"/>
      <c r="AJ205" s="2153"/>
      <c r="AK205" s="2153"/>
      <c r="AL205" s="2153"/>
      <c r="AM205" s="2153"/>
      <c r="AN205" s="2153"/>
      <c r="AO205" s="2153"/>
      <c r="AP205" s="2153"/>
      <c r="AQ205" s="2153">
        <f>+'STER Detailed Disclosure'!AQ185/1000</f>
        <v>0</v>
      </c>
      <c r="AR205" s="2153">
        <f>+'STER Detailed Disclosure'!AR185/1000</f>
        <v>0</v>
      </c>
      <c r="AS205" s="2153">
        <f>+'STER Detailed Disclosure'!AS185/1000</f>
        <v>0</v>
      </c>
      <c r="AT205" s="2153">
        <f>+'STER Detailed Disclosure'!AT185/1000</f>
        <v>300</v>
      </c>
      <c r="AU205" s="2153">
        <f>+'STER Detailed Disclosure'!AU185/1000</f>
        <v>0</v>
      </c>
    </row>
    <row r="206" spans="1:49" x14ac:dyDescent="0.25">
      <c r="A206" s="649" t="str">
        <f>+'STER Detailed Disclosure'!A186</f>
        <v>Repayments of revolving credit facility</v>
      </c>
      <c r="C206" s="2153"/>
      <c r="D206" s="2153"/>
      <c r="E206" s="2153"/>
      <c r="F206" s="2159"/>
      <c r="G206" s="2166"/>
      <c r="H206" s="2166"/>
      <c r="I206" s="2166">
        <f>+'STER Detailed Disclosure'!I186/1000</f>
        <v>0</v>
      </c>
      <c r="J206" s="2159">
        <f>+'STER Detailed Disclosure'!J186/1000</f>
        <v>0</v>
      </c>
      <c r="K206" s="2166">
        <f>+'STER Detailed Disclosure'!K186/1000</f>
        <v>0</v>
      </c>
      <c r="L206" s="2166">
        <f>+'STER Detailed Disclosure'!L186/1000</f>
        <v>0</v>
      </c>
      <c r="M206" s="2166">
        <f>+'STER Detailed Disclosure'!M186/1000</f>
        <v>0</v>
      </c>
      <c r="N206" s="2159">
        <f>+'STER Detailed Disclosure'!N186/1000</f>
        <v>0</v>
      </c>
      <c r="O206" s="2166">
        <f>+'STER Detailed Disclosure'!O186/1000</f>
        <v>0</v>
      </c>
      <c r="P206" s="2166">
        <f>+'STER Detailed Disclosure'!P186/1000</f>
        <v>0</v>
      </c>
      <c r="Q206" s="2166">
        <f>+'STER Detailed Disclosure'!Q186/1000</f>
        <v>0</v>
      </c>
      <c r="R206" s="2159">
        <f>+'STER Detailed Disclosure'!R186/1000</f>
        <v>-17.495000000000001</v>
      </c>
      <c r="S206" s="2166">
        <f>+'STER Detailed Disclosure'!S186/1000</f>
        <v>0</v>
      </c>
      <c r="T206" s="2166">
        <f>+'STER Detailed Disclosure'!T186/1000</f>
        <v>0</v>
      </c>
      <c r="U206" s="2166">
        <f>+'STER Detailed Disclosure'!U186/1000</f>
        <v>0</v>
      </c>
      <c r="V206" s="2159">
        <f>+'STER Detailed Disclosure'!V186/1000</f>
        <v>0</v>
      </c>
      <c r="W206" s="2153">
        <f>+'STER Detailed Disclosure'!W186/1000</f>
        <v>0</v>
      </c>
      <c r="X206" s="2153">
        <f>+'STER Detailed Disclosure'!X186/1000</f>
        <v>0</v>
      </c>
      <c r="Y206" s="2288"/>
      <c r="Z206" s="2153"/>
      <c r="AA206" s="2153"/>
      <c r="AB206" s="2153"/>
      <c r="AC206" s="2153"/>
      <c r="AD206" s="2153"/>
      <c r="AE206" s="2153"/>
      <c r="AF206" s="2153"/>
      <c r="AG206" s="2153"/>
      <c r="AH206" s="2153"/>
      <c r="AI206" s="2153"/>
      <c r="AJ206" s="2153"/>
      <c r="AK206" s="2153"/>
      <c r="AL206" s="2153"/>
      <c r="AM206" s="2153"/>
      <c r="AN206" s="2153"/>
      <c r="AO206" s="2153"/>
      <c r="AP206" s="2153"/>
      <c r="AQ206" s="2153">
        <f>+'STER Detailed Disclosure'!AQ186/1000</f>
        <v>0</v>
      </c>
      <c r="AR206" s="2153">
        <f>+'STER Detailed Disclosure'!AR186/1000</f>
        <v>-83.8</v>
      </c>
      <c r="AS206" s="2153">
        <f>+'STER Detailed Disclosure'!AS186/1000</f>
        <v>0</v>
      </c>
      <c r="AT206" s="2153">
        <f>+'STER Detailed Disclosure'!AT186/1000</f>
        <v>-17.495000000000001</v>
      </c>
      <c r="AU206" s="2153">
        <f>+'STER Detailed Disclosure'!AU186/1000</f>
        <v>0</v>
      </c>
    </row>
    <row r="207" spans="1:49" x14ac:dyDescent="0.25">
      <c r="A207" s="649" t="str">
        <f>+'STER Detailed Disclosure'!A187</f>
        <v>Borrowings on revolving credit facility</v>
      </c>
      <c r="C207" s="2153"/>
      <c r="D207" s="2153"/>
      <c r="E207" s="2153"/>
      <c r="F207" s="2159"/>
      <c r="G207" s="2166"/>
      <c r="H207" s="2166"/>
      <c r="I207" s="2166">
        <f>+'STER Detailed Disclosure'!I187/1000</f>
        <v>0</v>
      </c>
      <c r="J207" s="2159">
        <f>+'STER Detailed Disclosure'!J187/1000</f>
        <v>0</v>
      </c>
      <c r="K207" s="2166">
        <f>+'STER Detailed Disclosure'!K187/1000</f>
        <v>0</v>
      </c>
      <c r="L207" s="2166">
        <f>+'STER Detailed Disclosure'!L187/1000</f>
        <v>0</v>
      </c>
      <c r="M207" s="2166">
        <f>+'STER Detailed Disclosure'!M187/1000</f>
        <v>0</v>
      </c>
      <c r="N207" s="2159">
        <f>+'STER Detailed Disclosure'!N187/1000</f>
        <v>0</v>
      </c>
      <c r="O207" s="2166">
        <f>+'STER Detailed Disclosure'!O187/1000</f>
        <v>0</v>
      </c>
      <c r="P207" s="2166">
        <f>+'STER Detailed Disclosure'!P187/1000</f>
        <v>0</v>
      </c>
      <c r="Q207" s="2166">
        <f>+'STER Detailed Disclosure'!Q187/1000</f>
        <v>0</v>
      </c>
      <c r="R207" s="2159">
        <f>+'STER Detailed Disclosure'!R187/1000</f>
        <v>222.989</v>
      </c>
      <c r="S207" s="2166">
        <f>+'STER Detailed Disclosure'!S187/1000</f>
        <v>0</v>
      </c>
      <c r="T207" s="2166">
        <f>+'STER Detailed Disclosure'!T187/1000</f>
        <v>0</v>
      </c>
      <c r="U207" s="2166">
        <f>+'STER Detailed Disclosure'!U187/1000</f>
        <v>0</v>
      </c>
      <c r="V207" s="2159">
        <f>+'STER Detailed Disclosure'!V187/1000</f>
        <v>0</v>
      </c>
      <c r="W207" s="2153">
        <f>+'STER Detailed Disclosure'!W187/1000</f>
        <v>65</v>
      </c>
      <c r="X207" s="2153">
        <f>+'STER Detailed Disclosure'!X187/1000</f>
        <v>0</v>
      </c>
      <c r="Y207" s="2288"/>
      <c r="Z207" s="2153"/>
      <c r="AA207" s="2153"/>
      <c r="AB207" s="2153"/>
      <c r="AC207" s="2153"/>
      <c r="AD207" s="2153"/>
      <c r="AE207" s="2153"/>
      <c r="AF207" s="2153"/>
      <c r="AG207" s="2153"/>
      <c r="AH207" s="2153"/>
      <c r="AI207" s="2153"/>
      <c r="AJ207" s="2153"/>
      <c r="AK207" s="2153"/>
      <c r="AL207" s="2153"/>
      <c r="AM207" s="2153"/>
      <c r="AN207" s="2153"/>
      <c r="AO207" s="2153"/>
      <c r="AP207" s="2153"/>
      <c r="AQ207" s="2153">
        <f>+'STER Detailed Disclosure'!AQ187/1000</f>
        <v>0</v>
      </c>
      <c r="AR207" s="2153">
        <f>+'STER Detailed Disclosure'!AR187/1000</f>
        <v>83.8</v>
      </c>
      <c r="AS207" s="2153">
        <f>+'STER Detailed Disclosure'!AS187/1000</f>
        <v>0</v>
      </c>
      <c r="AT207" s="2153">
        <f>+'STER Detailed Disclosure'!AT187/1000</f>
        <v>222.989</v>
      </c>
      <c r="AU207" s="2153">
        <f>+'STER Detailed Disclosure'!AU187/1000</f>
        <v>0</v>
      </c>
    </row>
    <row r="208" spans="1:49" x14ac:dyDescent="0.25">
      <c r="A208" s="649" t="str">
        <f>+'STER Detailed Disclosure'!A188</f>
        <v>Payments of debt issuance costs</v>
      </c>
      <c r="C208" s="2153"/>
      <c r="D208" s="2153"/>
      <c r="E208" s="2153"/>
      <c r="F208" s="2159"/>
      <c r="G208" s="2166"/>
      <c r="H208" s="2166"/>
      <c r="I208" s="2166">
        <f>+'STER Detailed Disclosure'!I188/1000</f>
        <v>0</v>
      </c>
      <c r="J208" s="2159">
        <f>+'STER Detailed Disclosure'!J188/1000</f>
        <v>0</v>
      </c>
      <c r="K208" s="2166">
        <f>+'STER Detailed Disclosure'!K188/1000</f>
        <v>0</v>
      </c>
      <c r="L208" s="2166">
        <f>+'STER Detailed Disclosure'!L188/1000</f>
        <v>0</v>
      </c>
      <c r="M208" s="2166">
        <f>+'STER Detailed Disclosure'!M188/1000</f>
        <v>0</v>
      </c>
      <c r="N208" s="2159">
        <f>+'STER Detailed Disclosure'!N188/1000</f>
        <v>0</v>
      </c>
      <c r="O208" s="2166">
        <f>+'STER Detailed Disclosure'!O188/1000</f>
        <v>0</v>
      </c>
      <c r="P208" s="2166">
        <f>+'STER Detailed Disclosure'!P188/1000</f>
        <v>0</v>
      </c>
      <c r="Q208" s="2166">
        <f>+'STER Detailed Disclosure'!Q188/1000</f>
        <v>0</v>
      </c>
      <c r="R208" s="2159">
        <f>+'STER Detailed Disclosure'!R188/1000</f>
        <v>-9.093</v>
      </c>
      <c r="S208" s="2166">
        <f>+'STER Detailed Disclosure'!S188/1000</f>
        <v>0</v>
      </c>
      <c r="T208" s="2166">
        <f>+'STER Detailed Disclosure'!T188/1000</f>
        <v>0</v>
      </c>
      <c r="U208" s="2166">
        <f>+'STER Detailed Disclosure'!U188/1000</f>
        <v>0</v>
      </c>
      <c r="V208" s="2159">
        <f>+'STER Detailed Disclosure'!V188/1000</f>
        <v>0</v>
      </c>
      <c r="W208" s="2153">
        <f>+'STER Detailed Disclosure'!W188/1000</f>
        <v>0</v>
      </c>
      <c r="X208" s="2153">
        <f>+'STER Detailed Disclosure'!X188/1000</f>
        <v>0</v>
      </c>
      <c r="Y208" s="2288"/>
      <c r="Z208" s="2153"/>
      <c r="AA208" s="2153"/>
      <c r="AB208" s="2153"/>
      <c r="AC208" s="2153"/>
      <c r="AD208" s="2153"/>
      <c r="AE208" s="2153"/>
      <c r="AF208" s="2153"/>
      <c r="AG208" s="2153"/>
      <c r="AH208" s="2153"/>
      <c r="AI208" s="2153"/>
      <c r="AJ208" s="2153"/>
      <c r="AK208" s="2153"/>
      <c r="AL208" s="2153"/>
      <c r="AM208" s="2153"/>
      <c r="AN208" s="2153"/>
      <c r="AO208" s="2153"/>
      <c r="AP208" s="2153"/>
      <c r="AQ208" s="2153">
        <f>+'STER Detailed Disclosure'!AQ188/1000</f>
        <v>0</v>
      </c>
      <c r="AR208" s="2153">
        <f>+'STER Detailed Disclosure'!AR188/1000</f>
        <v>0</v>
      </c>
      <c r="AS208" s="2153">
        <f>+'STER Detailed Disclosure'!AS188/1000</f>
        <v>0</v>
      </c>
      <c r="AT208" s="2153">
        <f>+'STER Detailed Disclosure'!AT188/1000</f>
        <v>-9.093</v>
      </c>
      <c r="AU208" s="2153">
        <f>+'STER Detailed Disclosure'!AU188/1000</f>
        <v>0</v>
      </c>
    </row>
    <row r="209" spans="1:49" x14ac:dyDescent="0.25">
      <c r="A209" s="649" t="str">
        <f>+'STER Detailed Disclosure'!A189</f>
        <v>Payment of contingent consideration for acquisition</v>
      </c>
      <c r="C209" s="2153"/>
      <c r="D209" s="2153"/>
      <c r="E209" s="2153"/>
      <c r="F209" s="2159"/>
      <c r="G209" s="2166"/>
      <c r="H209" s="2166"/>
      <c r="I209" s="2166">
        <f>+'STER Detailed Disclosure'!I189/1000</f>
        <v>0</v>
      </c>
      <c r="J209" s="2159">
        <f>+'STER Detailed Disclosure'!J189/1000</f>
        <v>0</v>
      </c>
      <c r="K209" s="2166">
        <f>+'STER Detailed Disclosure'!K189/1000</f>
        <v>-0.73799999999999999</v>
      </c>
      <c r="L209" s="2166">
        <f>+'STER Detailed Disclosure'!L189/1000</f>
        <v>0</v>
      </c>
      <c r="M209" s="2166">
        <f>+'STER Detailed Disclosure'!M189/1000</f>
        <v>0</v>
      </c>
      <c r="N209" s="2159">
        <f>+'STER Detailed Disclosure'!N189/1000</f>
        <v>0</v>
      </c>
      <c r="O209" s="2166">
        <f>+'STER Detailed Disclosure'!O189/1000</f>
        <v>0</v>
      </c>
      <c r="P209" s="2166">
        <f>+'STER Detailed Disclosure'!P189/1000</f>
        <v>-0.215</v>
      </c>
      <c r="Q209" s="2166">
        <f>+'STER Detailed Disclosure'!Q189/1000</f>
        <v>-1.1000000000000012E-2</v>
      </c>
      <c r="R209" s="2159">
        <f>+'STER Detailed Disclosure'!R189/1000</f>
        <v>0</v>
      </c>
      <c r="S209" s="2166">
        <f>+'STER Detailed Disclosure'!S189/1000</f>
        <v>-0.30499999999999999</v>
      </c>
      <c r="T209" s="2166">
        <f>+'STER Detailed Disclosure'!T189/1000</f>
        <v>0</v>
      </c>
      <c r="U209" s="2166">
        <f>+'STER Detailed Disclosure'!U189/1000</f>
        <v>0</v>
      </c>
      <c r="V209" s="2159">
        <f>+'STER Detailed Disclosure'!V189/1000</f>
        <v>0</v>
      </c>
      <c r="W209" s="2153">
        <f>+'STER Detailed Disclosure'!W189/1000</f>
        <v>0</v>
      </c>
      <c r="X209" s="2153">
        <f>+'STER Detailed Disclosure'!X189/1000</f>
        <v>0</v>
      </c>
      <c r="Y209" s="2288"/>
      <c r="Z209" s="2153"/>
      <c r="AA209" s="2153"/>
      <c r="AB209" s="2153"/>
      <c r="AC209" s="2153"/>
      <c r="AD209" s="2153"/>
      <c r="AE209" s="2153"/>
      <c r="AF209" s="2153"/>
      <c r="AG209" s="2153"/>
      <c r="AH209" s="2153"/>
      <c r="AI209" s="2153"/>
      <c r="AJ209" s="2153"/>
      <c r="AK209" s="2153"/>
      <c r="AL209" s="2153"/>
      <c r="AM209" s="2153"/>
      <c r="AN209" s="2153"/>
      <c r="AO209" s="2153"/>
      <c r="AP209" s="2153"/>
      <c r="AQ209" s="2153">
        <f>+'STER Detailed Disclosure'!AQ189/1000</f>
        <v>-1.53</v>
      </c>
      <c r="AR209" s="2153">
        <f>+'STER Detailed Disclosure'!AR189/1000</f>
        <v>0</v>
      </c>
      <c r="AS209" s="2153">
        <f>+'STER Detailed Disclosure'!AS189/1000</f>
        <v>-0.73799999999999999</v>
      </c>
      <c r="AT209" s="2153">
        <f>+'STER Detailed Disclosure'!AT189/1000</f>
        <v>-0.22600000000000001</v>
      </c>
      <c r="AU209" s="2153">
        <f>+'STER Detailed Disclosure'!AU189/1000</f>
        <v>-0.30499999999999999</v>
      </c>
    </row>
    <row r="210" spans="1:49" s="413" customFormat="1" ht="14" x14ac:dyDescent="0.4">
      <c r="A210" s="132" t="str">
        <f>+'STER Detailed Disclosure'!A190</f>
        <v>Payments of finance lease obligations</v>
      </c>
      <c r="C210" s="719"/>
      <c r="D210" s="719"/>
      <c r="E210" s="719"/>
      <c r="F210" s="718"/>
      <c r="G210" s="719"/>
      <c r="H210" s="719"/>
      <c r="I210" s="719">
        <f>+'STER Detailed Disclosure'!I190/1000</f>
        <v>-3.0000000000000001E-3</v>
      </c>
      <c r="J210" s="718">
        <f>+'STER Detailed Disclosure'!J190/1000</f>
        <v>-2E-3</v>
      </c>
      <c r="K210" s="719">
        <f>+'STER Detailed Disclosure'!K190/1000</f>
        <v>-1E-3</v>
      </c>
      <c r="L210" s="719">
        <f>+'STER Detailed Disclosure'!L190/1000</f>
        <v>-6.0000000000000001E-3</v>
      </c>
      <c r="M210" s="719">
        <f>+'STER Detailed Disclosure'!M190/1000</f>
        <v>-1E-3</v>
      </c>
      <c r="N210" s="718">
        <f>+'STER Detailed Disclosure'!N190/1000</f>
        <v>-9.9999999999999915E-4</v>
      </c>
      <c r="O210" s="719">
        <f>+'STER Detailed Disclosure'!O190/1000</f>
        <v>-1E-3</v>
      </c>
      <c r="P210" s="719">
        <f>+'STER Detailed Disclosure'!P190/1000</f>
        <v>0</v>
      </c>
      <c r="Q210" s="719">
        <f>+'STER Detailed Disclosure'!Q190/1000</f>
        <v>-2E-3</v>
      </c>
      <c r="R210" s="718">
        <f>+'STER Detailed Disclosure'!R190/1000</f>
        <v>0</v>
      </c>
      <c r="S210" s="719">
        <f>+'STER Detailed Disclosure'!S190/1000</f>
        <v>0</v>
      </c>
      <c r="T210" s="719">
        <f>+'STER Detailed Disclosure'!T190/1000</f>
        <v>0</v>
      </c>
      <c r="U210" s="719">
        <f>+'STER Detailed Disclosure'!U190/1000</f>
        <v>0</v>
      </c>
      <c r="V210" s="718">
        <f>+'STER Detailed Disclosure'!V190/1000</f>
        <v>0</v>
      </c>
      <c r="W210" s="719">
        <f>+'STER Detailed Disclosure'!W190/1000</f>
        <v>0</v>
      </c>
      <c r="X210" s="719">
        <f>+'STER Detailed Disclosure'!X190/1000</f>
        <v>0</v>
      </c>
      <c r="Y210" s="2284"/>
      <c r="Z210" s="719"/>
      <c r="AA210" s="719"/>
      <c r="AB210" s="719"/>
      <c r="AC210" s="719"/>
      <c r="AD210" s="719"/>
      <c r="AE210" s="719"/>
      <c r="AF210" s="719"/>
      <c r="AG210" s="719"/>
      <c r="AH210" s="719"/>
      <c r="AI210" s="719"/>
      <c r="AJ210" s="719"/>
      <c r="AK210" s="719"/>
      <c r="AL210" s="719"/>
      <c r="AM210" s="719"/>
      <c r="AN210" s="719"/>
      <c r="AO210" s="719"/>
      <c r="AP210" s="719"/>
      <c r="AQ210" s="719">
        <f>+'STER Detailed Disclosure'!AQ190/1000</f>
        <v>-1.2E-2</v>
      </c>
      <c r="AR210" s="719">
        <f>+'STER Detailed Disclosure'!AR190/1000</f>
        <v>-7.0000000000000001E-3</v>
      </c>
      <c r="AS210" s="719">
        <f>+'STER Detailed Disclosure'!AS190/1000</f>
        <v>-8.9999999999999993E-3</v>
      </c>
      <c r="AT210" s="719">
        <f>+'STER Detailed Disclosure'!AT190/1000</f>
        <v>-3.0000000000000001E-3</v>
      </c>
      <c r="AU210" s="719">
        <f>+'STER Detailed Disclosure'!AU190/1000</f>
        <v>0</v>
      </c>
      <c r="AV210" s="719"/>
      <c r="AW210" s="614"/>
    </row>
    <row r="211" spans="1:49" s="163" customFormat="1" ht="13" x14ac:dyDescent="0.3">
      <c r="A211" s="426" t="str">
        <f>+'STER Detailed Disclosure'!A191</f>
        <v>Net cash used in financing activities</v>
      </c>
      <c r="C211" s="594"/>
      <c r="D211" s="594"/>
      <c r="E211" s="594"/>
      <c r="F211" s="593"/>
      <c r="G211" s="594"/>
      <c r="H211" s="594"/>
      <c r="I211" s="594">
        <f>+'STER Detailed Disclosure'!I191/1000</f>
        <v>-1.619</v>
      </c>
      <c r="J211" s="593">
        <f>+'STER Detailed Disclosure'!J191/1000</f>
        <v>0.43299999999999977</v>
      </c>
      <c r="K211" s="594">
        <f>+'STER Detailed Disclosure'!K191/1000</f>
        <v>-0.127</v>
      </c>
      <c r="L211" s="594">
        <f>+'STER Detailed Disclosure'!L191/1000</f>
        <v>-8.1069999999999993</v>
      </c>
      <c r="M211" s="594">
        <f>+'STER Detailed Disclosure'!M191/1000</f>
        <v>110.53400000000001</v>
      </c>
      <c r="N211" s="593">
        <f>+'STER Detailed Disclosure'!N191/1000</f>
        <v>-103.387</v>
      </c>
      <c r="O211" s="594">
        <f>+'STER Detailed Disclosure'!O191/1000</f>
        <v>-1.7709999999999999</v>
      </c>
      <c r="P211" s="594">
        <f>+'STER Detailed Disclosure'!P191/1000</f>
        <v>-1.0869999999999997</v>
      </c>
      <c r="Q211" s="594">
        <f>+'STER Detailed Disclosure'!Q191/1000</f>
        <v>-0.15100000000000047</v>
      </c>
      <c r="R211" s="593">
        <f>+'STER Detailed Disclosure'!R191/1000</f>
        <v>-22.93</v>
      </c>
      <c r="S211" s="594">
        <f>+'STER Detailed Disclosure'!S191/1000</f>
        <v>-10.378</v>
      </c>
      <c r="T211" s="594">
        <f>+'STER Detailed Disclosure'!T191/1000</f>
        <v>-18.98</v>
      </c>
      <c r="U211" s="594">
        <f>+'STER Detailed Disclosure'!U191/1000</f>
        <v>-24.213999999999999</v>
      </c>
      <c r="V211" s="593">
        <f>+'STER Detailed Disclosure'!V191/1000</f>
        <v>-22.331</v>
      </c>
      <c r="W211" s="594">
        <f>+'STER Detailed Disclosure'!W191/1000</f>
        <v>85.667000000000002</v>
      </c>
      <c r="X211" s="594">
        <f>+'STER Detailed Disclosure'!X191/1000</f>
        <v>-3.6039999999999983</v>
      </c>
      <c r="Y211" s="2289"/>
      <c r="Z211" s="594"/>
      <c r="AA211" s="594"/>
      <c r="AB211" s="594"/>
      <c r="AC211" s="594"/>
      <c r="AD211" s="594"/>
      <c r="AE211" s="594"/>
      <c r="AF211" s="594"/>
      <c r="AG211" s="594"/>
      <c r="AH211" s="594"/>
      <c r="AI211" s="594"/>
      <c r="AJ211" s="594"/>
      <c r="AK211" s="594"/>
      <c r="AL211" s="594"/>
      <c r="AM211" s="594"/>
      <c r="AN211" s="594"/>
      <c r="AO211" s="594"/>
      <c r="AP211" s="594"/>
      <c r="AQ211" s="594">
        <f>+'STER Detailed Disclosure'!AQ191/1000</f>
        <v>-7.8730000000000002</v>
      </c>
      <c r="AR211" s="594">
        <f>+'STER Detailed Disclosure'!AR191/1000</f>
        <v>-3.218</v>
      </c>
      <c r="AS211" s="594">
        <f>+'STER Detailed Disclosure'!AS191/1000</f>
        <v>-1.087</v>
      </c>
      <c r="AT211" s="594">
        <f>+'STER Detailed Disclosure'!AT191/1000</f>
        <v>-25.939</v>
      </c>
      <c r="AU211" s="594">
        <f>+'STER Detailed Disclosure'!AU191/1000</f>
        <v>-75.903000000000006</v>
      </c>
      <c r="AV211" s="594"/>
      <c r="AW211" s="573"/>
    </row>
    <row r="212" spans="1:49" x14ac:dyDescent="0.25">
      <c r="A212" s="425"/>
      <c r="C212" s="583"/>
      <c r="D212" s="583"/>
      <c r="E212" s="583"/>
      <c r="F212" s="588"/>
      <c r="G212" s="583"/>
      <c r="H212" s="583"/>
      <c r="I212" s="583"/>
      <c r="J212" s="588"/>
      <c r="K212" s="583"/>
      <c r="L212" s="583"/>
      <c r="M212" s="583"/>
      <c r="N212" s="588"/>
      <c r="O212" s="583"/>
      <c r="P212" s="583"/>
      <c r="Q212" s="583"/>
      <c r="R212" s="588"/>
      <c r="S212" s="583"/>
      <c r="T212" s="583"/>
      <c r="U212" s="583"/>
      <c r="V212" s="588"/>
      <c r="W212" s="583"/>
      <c r="X212" s="583"/>
      <c r="Y212" s="2286"/>
      <c r="Z212" s="583"/>
      <c r="AA212" s="583"/>
      <c r="AB212" s="583"/>
      <c r="AC212" s="583"/>
      <c r="AD212" s="583"/>
      <c r="AE212" s="583"/>
      <c r="AF212" s="583"/>
      <c r="AG212" s="583"/>
      <c r="AH212" s="583"/>
      <c r="AI212" s="583"/>
      <c r="AJ212" s="583"/>
      <c r="AK212" s="583"/>
      <c r="AL212" s="583"/>
      <c r="AM212" s="583"/>
      <c r="AN212" s="583"/>
      <c r="AO212" s="583"/>
      <c r="AP212" s="583"/>
      <c r="AQ212" s="583"/>
      <c r="AR212" s="583"/>
      <c r="AS212" s="583"/>
      <c r="AT212" s="583"/>
      <c r="AU212" s="583"/>
      <c r="AV212" s="583"/>
      <c r="AW212" s="571"/>
    </row>
    <row r="213" spans="1:49" s="413" customFormat="1" ht="14" x14ac:dyDescent="0.4">
      <c r="A213" s="132" t="str">
        <f>+'STER Detailed Disclosure'!A193</f>
        <v>EFFECT OF EXCHANGE RATE CHANGES ON CASH AND CASH EQUIVALENTS</v>
      </c>
      <c r="C213" s="719"/>
      <c r="D213" s="719"/>
      <c r="E213" s="719"/>
      <c r="F213" s="718"/>
      <c r="G213" s="719"/>
      <c r="H213" s="719"/>
      <c r="I213" s="719">
        <f>+'STER Detailed Disclosure'!I193/1000</f>
        <v>0.32600000000000007</v>
      </c>
      <c r="J213" s="718">
        <f>+'STER Detailed Disclosure'!J193/1000</f>
        <v>1.827</v>
      </c>
      <c r="K213" s="719">
        <f>+'STER Detailed Disclosure'!K193/1000</f>
        <v>0.151</v>
      </c>
      <c r="L213" s="719">
        <f>+'STER Detailed Disclosure'!L193/1000</f>
        <v>-0.254</v>
      </c>
      <c r="M213" s="719">
        <f>+'STER Detailed Disclosure'!M193/1000</f>
        <v>-0.76</v>
      </c>
      <c r="N213" s="718">
        <f>+'STER Detailed Disclosure'!N193/1000</f>
        <v>8.5999999999999965E-2</v>
      </c>
      <c r="O213" s="719">
        <f>+'STER Detailed Disclosure'!O193/1000</f>
        <v>-9.1999999999999998E-2</v>
      </c>
      <c r="P213" s="719">
        <f>+'STER Detailed Disclosure'!P193/1000</f>
        <v>-1.643</v>
      </c>
      <c r="Q213" s="719">
        <f>+'STER Detailed Disclosure'!Q193/1000</f>
        <v>-1.99</v>
      </c>
      <c r="R213" s="718">
        <f>+'STER Detailed Disclosure'!R193/1000</f>
        <v>0.6339999999999999</v>
      </c>
      <c r="S213" s="719">
        <f>+'STER Detailed Disclosure'!S193/1000</f>
        <v>0.02</v>
      </c>
      <c r="T213" s="719">
        <f>+'STER Detailed Disclosure'!T193/1000</f>
        <v>-0.13999999999999996</v>
      </c>
      <c r="U213" s="719">
        <f>+'STER Detailed Disclosure'!U193/1000</f>
        <v>-1.3720000000000001</v>
      </c>
      <c r="V213" s="718">
        <f>+'STER Detailed Disclosure'!V193/1000</f>
        <v>1.113</v>
      </c>
      <c r="W213" s="719">
        <f>+'STER Detailed Disclosure'!W193/1000</f>
        <v>-0.48699999999999999</v>
      </c>
      <c r="X213" s="719">
        <f>+'STER Detailed Disclosure'!X193/1000</f>
        <v>-3.0000000000000027E-3</v>
      </c>
      <c r="Y213" s="2284"/>
      <c r="Z213" s="719"/>
      <c r="AA213" s="719"/>
      <c r="AB213" s="719"/>
      <c r="AC213" s="719"/>
      <c r="AD213" s="719"/>
      <c r="AE213" s="719"/>
      <c r="AF213" s="719"/>
      <c r="AG213" s="719"/>
      <c r="AH213" s="719"/>
      <c r="AI213" s="719"/>
      <c r="AJ213" s="719"/>
      <c r="AK213" s="719"/>
      <c r="AL213" s="719"/>
      <c r="AM213" s="719"/>
      <c r="AN213" s="719"/>
      <c r="AO213" s="719"/>
      <c r="AP213" s="719"/>
      <c r="AQ213" s="719">
        <f>+'STER Detailed Disclosure'!AQ193/1000</f>
        <v>0.42699999999999999</v>
      </c>
      <c r="AR213" s="719">
        <f>+'STER Detailed Disclosure'!AR193/1000</f>
        <v>-0.36699999999999999</v>
      </c>
      <c r="AS213" s="719">
        <f>+'STER Detailed Disclosure'!AS193/1000</f>
        <v>-0.77700000000000002</v>
      </c>
      <c r="AT213" s="719">
        <f>+'STER Detailed Disclosure'!AT193/1000</f>
        <v>-3.0910000000000002</v>
      </c>
      <c r="AU213" s="719">
        <f>+'STER Detailed Disclosure'!AU193/1000</f>
        <v>-0.379</v>
      </c>
      <c r="AV213" s="719"/>
      <c r="AW213" s="614"/>
    </row>
    <row r="214" spans="1:49" x14ac:dyDescent="0.25">
      <c r="A214" s="425" t="str">
        <f>+'STER Detailed Disclosure'!A194</f>
        <v>NET CHANGE IN CASH AND CASH EQUIVALENTS</v>
      </c>
      <c r="C214" s="583"/>
      <c r="D214" s="583"/>
      <c r="E214" s="583"/>
      <c r="F214" s="588"/>
      <c r="G214" s="583"/>
      <c r="H214" s="583"/>
      <c r="I214" s="583">
        <f>+'STER Detailed Disclosure'!I194/1000</f>
        <v>0.79500000000000004</v>
      </c>
      <c r="J214" s="588">
        <f>+'STER Detailed Disclosure'!J194/1000</f>
        <v>9.1749999999999936</v>
      </c>
      <c r="K214" s="583">
        <f>+'STER Detailed Disclosure'!K194/1000</f>
        <v>17.821999999999999</v>
      </c>
      <c r="L214" s="583">
        <f>+'STER Detailed Disclosure'!L194/1000</f>
        <v>9.8360000000000003</v>
      </c>
      <c r="M214" s="583">
        <f>+'STER Detailed Disclosure'!M194/1000</f>
        <v>98.105999999999995</v>
      </c>
      <c r="N214" s="588">
        <f>+'STER Detailed Disclosure'!N194/1000</f>
        <v>-144.399</v>
      </c>
      <c r="O214" s="583">
        <f>+'STER Detailed Disclosure'!O194/1000</f>
        <v>-3.6469999999999998</v>
      </c>
      <c r="P214" s="583">
        <f>+'STER Detailed Disclosure'!P194/1000</f>
        <v>21.46</v>
      </c>
      <c r="Q214" s="583">
        <f>+'STER Detailed Disclosure'!Q194/1000</f>
        <v>33.378999999999998</v>
      </c>
      <c r="R214" s="588">
        <f>+'STER Detailed Disclosure'!R194/1000</f>
        <v>3.9050000000000074</v>
      </c>
      <c r="S214" s="583">
        <f>+'STER Detailed Disclosure'!S194/1000</f>
        <v>-52.131</v>
      </c>
      <c r="T214" s="583">
        <f>+'STER Detailed Disclosure'!T194/1000</f>
        <v>-2.1469999999999998</v>
      </c>
      <c r="U214" s="583">
        <f>+'STER Detailed Disclosure'!U194/1000</f>
        <v>1.0599999999999963</v>
      </c>
      <c r="V214" s="588">
        <f>+'STER Detailed Disclosure'!V194/1000</f>
        <v>4.3470000000000004</v>
      </c>
      <c r="W214" s="583">
        <f>+'STER Detailed Disclosure'!W194/1000</f>
        <v>12.755000000000001</v>
      </c>
      <c r="X214" s="583">
        <f>+'STER Detailed Disclosure'!X194/1000</f>
        <v>7.2030000000000038</v>
      </c>
      <c r="Y214" s="2286"/>
      <c r="Z214" s="583"/>
      <c r="AA214" s="583"/>
      <c r="AB214" s="583"/>
      <c r="AC214" s="583"/>
      <c r="AD214" s="583"/>
      <c r="AE214" s="583"/>
      <c r="AF214" s="583"/>
      <c r="AG214" s="583"/>
      <c r="AH214" s="583"/>
      <c r="AI214" s="583"/>
      <c r="AJ214" s="583"/>
      <c r="AK214" s="583"/>
      <c r="AL214" s="583"/>
      <c r="AM214" s="583"/>
      <c r="AN214" s="583"/>
      <c r="AO214" s="583"/>
      <c r="AP214" s="583"/>
      <c r="AQ214" s="583">
        <f>+'STER Detailed Disclosure'!AQ194/1000</f>
        <v>-5.1109999999999998</v>
      </c>
      <c r="AR214" s="583">
        <f>+'STER Detailed Disclosure'!AR194/1000</f>
        <v>16.334</v>
      </c>
      <c r="AS214" s="583">
        <f>+'STER Detailed Disclosure'!AS194/1000</f>
        <v>-18.635000000000002</v>
      </c>
      <c r="AT214" s="583">
        <f>+'STER Detailed Disclosure'!AT194/1000</f>
        <v>55.097000000000001</v>
      </c>
      <c r="AU214" s="583">
        <f>+'STER Detailed Disclosure'!AU194/1000</f>
        <v>-48.871000000000002</v>
      </c>
      <c r="AV214" s="583"/>
      <c r="AW214" s="571"/>
    </row>
    <row r="215" spans="1:49" x14ac:dyDescent="0.25">
      <c r="A215" s="425"/>
      <c r="C215" s="583"/>
      <c r="D215" s="583"/>
      <c r="E215" s="583"/>
      <c r="F215" s="588"/>
      <c r="G215" s="583"/>
      <c r="H215" s="583"/>
      <c r="I215" s="583"/>
      <c r="J215" s="588"/>
      <c r="K215" s="583"/>
      <c r="L215" s="583"/>
      <c r="M215" s="583"/>
      <c r="N215" s="588"/>
      <c r="O215" s="583"/>
      <c r="P215" s="583"/>
      <c r="Q215" s="583"/>
      <c r="R215" s="588"/>
      <c r="S215" s="583"/>
      <c r="T215" s="583"/>
      <c r="U215" s="583"/>
      <c r="V215" s="588"/>
      <c r="W215" s="583"/>
      <c r="X215" s="583"/>
      <c r="Y215" s="2286"/>
      <c r="Z215" s="583"/>
      <c r="AA215" s="583"/>
      <c r="AB215" s="583"/>
      <c r="AC215" s="583"/>
      <c r="AD215" s="583"/>
      <c r="AE215" s="583"/>
      <c r="AF215" s="583"/>
      <c r="AG215" s="583"/>
      <c r="AH215" s="583"/>
      <c r="AI215" s="583"/>
      <c r="AJ215" s="583"/>
      <c r="AK215" s="583"/>
      <c r="AL215" s="583"/>
      <c r="AM215" s="583"/>
      <c r="AN215" s="583"/>
      <c r="AO215" s="583"/>
      <c r="AP215" s="583"/>
      <c r="AQ215" s="583"/>
      <c r="AR215" s="583"/>
      <c r="AS215" s="583"/>
      <c r="AT215" s="583"/>
      <c r="AU215" s="583"/>
      <c r="AV215" s="583"/>
      <c r="AW215" s="571"/>
    </row>
    <row r="216" spans="1:49" x14ac:dyDescent="0.25">
      <c r="A216" s="2150" t="s">
        <v>599</v>
      </c>
      <c r="C216" s="571"/>
      <c r="D216" s="571"/>
      <c r="E216" s="571"/>
      <c r="F216" s="666"/>
      <c r="G216" s="667"/>
      <c r="H216" s="667"/>
      <c r="I216" s="667"/>
      <c r="J216" s="666"/>
      <c r="K216" s="667"/>
      <c r="L216" s="667"/>
      <c r="M216" s="667"/>
      <c r="N216" s="666"/>
      <c r="O216" s="667"/>
      <c r="P216" s="667"/>
      <c r="Q216" s="667"/>
      <c r="R216" s="666"/>
      <c r="S216" s="667"/>
      <c r="T216" s="667"/>
      <c r="U216" s="667"/>
      <c r="V216" s="666"/>
      <c r="W216" s="571"/>
      <c r="X216" s="571"/>
      <c r="Y216" s="2283"/>
      <c r="Z216" s="571"/>
      <c r="AA216" s="571"/>
      <c r="AB216" s="571"/>
      <c r="AC216" s="571"/>
      <c r="AD216" s="571"/>
      <c r="AE216" s="571"/>
      <c r="AF216" s="571"/>
      <c r="AG216" s="571"/>
      <c r="AH216" s="571"/>
      <c r="AI216" s="571"/>
      <c r="AJ216" s="571"/>
      <c r="AK216" s="571"/>
      <c r="AL216" s="571"/>
      <c r="AM216" s="571"/>
      <c r="AN216" s="571"/>
      <c r="AO216" s="571"/>
      <c r="AP216" s="571"/>
      <c r="AQ216" s="571"/>
      <c r="AR216" s="571"/>
      <c r="AS216" s="2155"/>
      <c r="AT216" s="2155"/>
      <c r="AU216" s="2155"/>
    </row>
    <row r="217" spans="1:49" x14ac:dyDescent="0.25">
      <c r="A217" s="649" t="str">
        <f>+'STER Detailed Disclosure'!A197</f>
        <v>Beginning of period</v>
      </c>
      <c r="C217" s="2153"/>
      <c r="D217" s="2153"/>
      <c r="E217" s="2153"/>
      <c r="F217" s="2159"/>
      <c r="G217" s="2166"/>
      <c r="H217" s="2166"/>
      <c r="I217" s="2166">
        <f>+'STER Detailed Disclosure'!I197/1000</f>
        <v>0</v>
      </c>
      <c r="J217" s="2159">
        <f>+'STER Detailed Disclosure'!J197/1000</f>
        <v>57.458000000000013</v>
      </c>
      <c r="K217" s="2166">
        <f>+'STER Detailed Disclosure'!K197/1000</f>
        <v>66.632999999999996</v>
      </c>
      <c r="L217" s="2166">
        <f>+'STER Detailed Disclosure'!L197/1000</f>
        <v>84.454999999999998</v>
      </c>
      <c r="M217" s="2166">
        <f>+'STER Detailed Disclosure'!M197/1000</f>
        <v>94.290999999999997</v>
      </c>
      <c r="N217" s="2159">
        <f>+'STER Detailed Disclosure'!N197/1000</f>
        <v>192.39699999999999</v>
      </c>
      <c r="O217" s="2166">
        <f>+'STER Detailed Disclosure'!O197/1000</f>
        <v>47.998000000000019</v>
      </c>
      <c r="P217" s="2166">
        <f>+'STER Detailed Disclosure'!P197/1000</f>
        <v>44.347000000000023</v>
      </c>
      <c r="Q217" s="2166">
        <f>+'STER Detailed Disclosure'!Q197/1000</f>
        <v>65.811000000000035</v>
      </c>
      <c r="R217" s="2159">
        <f>+'STER Detailed Disclosure'!R197/1000</f>
        <v>99.19</v>
      </c>
      <c r="S217" s="2166">
        <f>+'STER Detailed Disclosure'!S197/1000</f>
        <v>103.09500000000003</v>
      </c>
      <c r="T217" s="2166">
        <f>+'STER Detailed Disclosure'!T197/1000</f>
        <v>50.964000000000034</v>
      </c>
      <c r="U217" s="2166">
        <f>+'STER Detailed Disclosure'!U197/1000</f>
        <v>48.817000000000043</v>
      </c>
      <c r="V217" s="2159">
        <f>+'STER Detailed Disclosure'!V197/1000</f>
        <v>49.877000000000031</v>
      </c>
      <c r="W217" s="2153">
        <f>+'STER Detailed Disclosure'!W197/1000</f>
        <v>54.224000000000039</v>
      </c>
      <c r="X217" s="2153">
        <f>+'STER Detailed Disclosure'!X197/1000</f>
        <v>66.979000000000028</v>
      </c>
      <c r="Y217" s="2288"/>
      <c r="Z217" s="571"/>
      <c r="AA217" s="571"/>
      <c r="AB217" s="571"/>
      <c r="AC217" s="571"/>
      <c r="AD217" s="571"/>
      <c r="AE217" s="571"/>
      <c r="AF217" s="571"/>
      <c r="AG217" s="571"/>
      <c r="AH217" s="571"/>
      <c r="AI217" s="571"/>
      <c r="AJ217" s="571"/>
      <c r="AK217" s="571"/>
      <c r="AL217" s="571"/>
      <c r="AM217" s="571"/>
      <c r="AN217" s="571"/>
      <c r="AO217" s="571"/>
      <c r="AP217" s="571"/>
      <c r="AQ217" s="2153">
        <f>+'STER Detailed Disclosure'!AQ197/1000</f>
        <v>55.41</v>
      </c>
      <c r="AR217" s="2153">
        <f>+'STER Detailed Disclosure'!AR197/1000</f>
        <v>50.299000000000007</v>
      </c>
      <c r="AS217" s="2153">
        <f>+'STER Detailed Disclosure'!AS197/1000</f>
        <v>66.632999999999996</v>
      </c>
      <c r="AT217" s="2153">
        <f>+'STER Detailed Disclosure'!AT197/1000</f>
        <v>47.997999999999998</v>
      </c>
      <c r="AU217" s="2153">
        <f>+'STER Detailed Disclosure'!AU197/1000</f>
        <v>103.095</v>
      </c>
    </row>
    <row r="218" spans="1:49" x14ac:dyDescent="0.25">
      <c r="A218" s="649" t="str">
        <f>+'STER Detailed Disclosure'!A198</f>
        <v>Cash and cash equivalents at end of period</v>
      </c>
      <c r="C218" s="2153"/>
      <c r="D218" s="2153"/>
      <c r="E218" s="2153"/>
      <c r="F218" s="2159"/>
      <c r="G218" s="2166"/>
      <c r="H218" s="2166"/>
      <c r="I218" s="2166">
        <f>+'STER Detailed Disclosure'!I198/1000</f>
        <v>0.79500000000000004</v>
      </c>
      <c r="J218" s="2159">
        <f>+'STER Detailed Disclosure'!J198/1000</f>
        <v>66.63300000000001</v>
      </c>
      <c r="K218" s="2166">
        <f>+'STER Detailed Disclosure'!K198/1000</f>
        <v>84.454999999999998</v>
      </c>
      <c r="L218" s="2166">
        <f>+'STER Detailed Disclosure'!L198/1000</f>
        <v>94.290999999999997</v>
      </c>
      <c r="M218" s="2166">
        <f>+'STER Detailed Disclosure'!M198/1000</f>
        <v>192.39699999999999</v>
      </c>
      <c r="N218" s="2159">
        <f>+'STER Detailed Disclosure'!N198/1000</f>
        <v>47.998000000000019</v>
      </c>
      <c r="O218" s="2166">
        <f>+'STER Detailed Disclosure'!O198/1000</f>
        <v>44.347000000000023</v>
      </c>
      <c r="P218" s="2166">
        <f>+'STER Detailed Disclosure'!P198/1000</f>
        <v>65.811000000000035</v>
      </c>
      <c r="Q218" s="2166">
        <f>+'STER Detailed Disclosure'!Q198/1000</f>
        <v>99.19</v>
      </c>
      <c r="R218" s="2159">
        <f>+'STER Detailed Disclosure'!R198/1000</f>
        <v>103.09499999999998</v>
      </c>
      <c r="S218" s="2166">
        <f>+'STER Detailed Disclosure'!S198/1000</f>
        <v>50.964000000000034</v>
      </c>
      <c r="T218" s="2166">
        <f>+'STER Detailed Disclosure'!T198/1000</f>
        <v>48.817000000000043</v>
      </c>
      <c r="U218" s="2166">
        <f>+'STER Detailed Disclosure'!U198/1000</f>
        <v>49.877000000000031</v>
      </c>
      <c r="V218" s="2159">
        <f>+'STER Detailed Disclosure'!V198/1000</f>
        <v>54.224000000000032</v>
      </c>
      <c r="W218" s="2153">
        <f>+'STER Detailed Disclosure'!W198/1000</f>
        <v>66.979000000000028</v>
      </c>
      <c r="X218" s="2153">
        <f>+'STER Detailed Disclosure'!X198/1000</f>
        <v>74.182000000000031</v>
      </c>
      <c r="Y218" s="2288"/>
      <c r="Z218" s="571"/>
      <c r="AA218" s="571"/>
      <c r="AB218" s="571"/>
      <c r="AC218" s="571"/>
      <c r="AD218" s="571"/>
      <c r="AE218" s="571"/>
      <c r="AF218" s="571"/>
      <c r="AG218" s="571"/>
      <c r="AH218" s="571"/>
      <c r="AI218" s="571"/>
      <c r="AJ218" s="571"/>
      <c r="AK218" s="571"/>
      <c r="AL218" s="571"/>
      <c r="AM218" s="571"/>
      <c r="AN218" s="571"/>
      <c r="AO218" s="571"/>
      <c r="AP218" s="571"/>
      <c r="AQ218" s="2153">
        <f>+'STER Detailed Disclosure'!AQ198/1000</f>
        <v>50.299000000000007</v>
      </c>
      <c r="AR218" s="2153">
        <f>+'STER Detailed Disclosure'!AR198/1000</f>
        <v>66.632999999999996</v>
      </c>
      <c r="AS218" s="2153">
        <f>+'STER Detailed Disclosure'!AS198/1000</f>
        <v>47.998000000000019</v>
      </c>
      <c r="AT218" s="2153">
        <f>+'STER Detailed Disclosure'!AT198/1000</f>
        <v>103.095</v>
      </c>
      <c r="AU218" s="2153">
        <f>+'STER Detailed Disclosure'!AU198/1000</f>
        <v>54.223999999999997</v>
      </c>
    </row>
    <row r="219" spans="1:49" x14ac:dyDescent="0.25">
      <c r="C219" s="571"/>
      <c r="D219" s="571"/>
      <c r="E219" s="571"/>
      <c r="F219" s="666"/>
      <c r="G219" s="667"/>
      <c r="H219" s="667"/>
      <c r="I219" s="667"/>
      <c r="J219" s="666"/>
      <c r="K219" s="667"/>
      <c r="L219" s="667"/>
      <c r="M219" s="667"/>
      <c r="N219" s="666"/>
      <c r="O219" s="667"/>
      <c r="P219" s="667"/>
      <c r="Q219" s="667"/>
      <c r="R219" s="666"/>
      <c r="S219" s="667"/>
      <c r="T219" s="667"/>
      <c r="U219" s="667"/>
      <c r="V219" s="666"/>
      <c r="W219" s="571"/>
      <c r="X219" s="571"/>
      <c r="Y219" s="2283"/>
      <c r="Z219" s="571"/>
      <c r="AA219" s="571"/>
      <c r="AB219" s="571"/>
      <c r="AC219" s="571"/>
      <c r="AD219" s="571"/>
      <c r="AE219" s="571"/>
      <c r="AF219" s="571"/>
      <c r="AG219" s="571"/>
      <c r="AH219" s="571"/>
      <c r="AI219" s="571"/>
      <c r="AJ219" s="571"/>
      <c r="AK219" s="571"/>
      <c r="AL219" s="571"/>
      <c r="AM219" s="571"/>
      <c r="AN219" s="571"/>
      <c r="AO219" s="571"/>
      <c r="AP219" s="571"/>
      <c r="AQ219" s="571"/>
      <c r="AR219" s="571"/>
      <c r="AS219" s="571"/>
      <c r="AT219" s="571"/>
      <c r="AU219" s="571"/>
    </row>
    <row r="220" spans="1:49" x14ac:dyDescent="0.25">
      <c r="A220" s="2150" t="s">
        <v>600</v>
      </c>
      <c r="C220" s="571"/>
      <c r="D220" s="571"/>
      <c r="E220" s="571"/>
      <c r="F220" s="666"/>
      <c r="G220" s="667"/>
      <c r="H220" s="667"/>
      <c r="I220" s="667"/>
      <c r="J220" s="666"/>
      <c r="K220" s="667"/>
      <c r="L220" s="667"/>
      <c r="M220" s="667"/>
      <c r="N220" s="666"/>
      <c r="O220" s="667"/>
      <c r="P220" s="667"/>
      <c r="Q220" s="667"/>
      <c r="R220" s="666"/>
      <c r="S220" s="667"/>
      <c r="T220" s="667"/>
      <c r="U220" s="667"/>
      <c r="V220" s="666"/>
      <c r="W220" s="571"/>
      <c r="X220" s="571"/>
      <c r="Y220" s="2283"/>
      <c r="Z220" s="571"/>
      <c r="AA220" s="571"/>
      <c r="AB220" s="571"/>
      <c r="AC220" s="571"/>
      <c r="AD220" s="571"/>
      <c r="AE220" s="571"/>
      <c r="AF220" s="571"/>
      <c r="AG220" s="571"/>
      <c r="AH220" s="571"/>
      <c r="AI220" s="571"/>
      <c r="AJ220" s="571"/>
      <c r="AK220" s="571"/>
      <c r="AL220" s="571"/>
      <c r="AM220" s="571"/>
      <c r="AN220" s="571"/>
      <c r="AO220" s="571"/>
      <c r="AP220" s="571"/>
      <c r="AQ220" s="571"/>
      <c r="AR220" s="571"/>
      <c r="AS220" s="571"/>
      <c r="AT220" s="571"/>
      <c r="AU220" s="571"/>
    </row>
    <row r="221" spans="1:49" x14ac:dyDescent="0.25">
      <c r="A221" s="649" t="str">
        <f>+'STER Detailed Disclosure'!A201</f>
        <v>Interest, net of capitalized amounts of $437, $378 and $322, respectively</v>
      </c>
      <c r="C221" s="2153"/>
      <c r="D221" s="2153"/>
      <c r="E221" s="2153"/>
      <c r="F221" s="2159"/>
      <c r="G221" s="2166"/>
      <c r="H221" s="2166"/>
      <c r="I221" s="2166">
        <f>+'STER Detailed Disclosure'!I201/1000</f>
        <v>8.6399999999999988</v>
      </c>
      <c r="J221" s="2159">
        <f>+'STER Detailed Disclosure'!J201/1000</f>
        <v>14.156000000000002</v>
      </c>
      <c r="K221" s="2166">
        <f>+'STER Detailed Disclosure'!K201/1000</f>
        <v>3.1819999999999999</v>
      </c>
      <c r="L221" s="2166">
        <f>+'STER Detailed Disclosure'!L201/1000</f>
        <v>9.1379999999999999</v>
      </c>
      <c r="M221" s="2166">
        <f>+'STER Detailed Disclosure'!M201/1000</f>
        <v>9.1739999999999995</v>
      </c>
      <c r="N221" s="2159">
        <f>+'STER Detailed Disclosure'!N201/1000</f>
        <v>9.2880000000000003</v>
      </c>
      <c r="O221" s="2166">
        <f>+'STER Detailed Disclosure'!O201/1000</f>
        <v>8.2959999999999994</v>
      </c>
      <c r="P221" s="2166">
        <f>+'STER Detailed Disclosure'!P201/1000</f>
        <v>8.929000000000002</v>
      </c>
      <c r="Q221" s="2166">
        <f>+'STER Detailed Disclosure'!Q201/1000</f>
        <v>7.0519999999999996</v>
      </c>
      <c r="R221" s="2159">
        <f>+'STER Detailed Disclosure'!R201/1000</f>
        <v>8.070999999999998</v>
      </c>
      <c r="S221" s="2166">
        <f>+'STER Detailed Disclosure'!S201/1000</f>
        <v>11.602</v>
      </c>
      <c r="T221" s="2166">
        <f>+'STER Detailed Disclosure'!T201/1000</f>
        <v>8.6370000000000005</v>
      </c>
      <c r="U221" s="2166">
        <f>+'STER Detailed Disclosure'!U201/1000</f>
        <v>8.7669999999999995</v>
      </c>
      <c r="V221" s="2159">
        <f>+'STER Detailed Disclosure'!V201/1000</f>
        <v>8.722999999999999</v>
      </c>
      <c r="W221" s="2153">
        <f>+'STER Detailed Disclosure'!W201/1000</f>
        <v>9.1020000000000003</v>
      </c>
      <c r="X221" s="2153">
        <f>+'STER Detailed Disclosure'!X201/1000</f>
        <v>10.425000000000001</v>
      </c>
      <c r="Y221" s="2288"/>
      <c r="Z221" s="571"/>
      <c r="AA221" s="571"/>
      <c r="AB221" s="571"/>
      <c r="AC221" s="571"/>
      <c r="AD221" s="571"/>
      <c r="AE221" s="571"/>
      <c r="AF221" s="571"/>
      <c r="AG221" s="571"/>
      <c r="AH221" s="571"/>
      <c r="AI221" s="571"/>
      <c r="AJ221" s="571"/>
      <c r="AK221" s="571"/>
      <c r="AL221" s="571"/>
      <c r="AM221" s="571"/>
      <c r="AN221" s="571"/>
      <c r="AO221" s="571"/>
      <c r="AP221" s="571"/>
      <c r="AQ221" s="2153">
        <f>+'STER Detailed Disclosure'!AQ201/1000</f>
        <v>33.869</v>
      </c>
      <c r="AR221" s="2153">
        <f>+'STER Detailed Disclosure'!AR201/1000</f>
        <v>34.658000000000001</v>
      </c>
      <c r="AS221" s="2153">
        <f>+'STER Detailed Disclosure'!AS201/1000</f>
        <v>30.782</v>
      </c>
      <c r="AT221" s="2153">
        <f>+'STER Detailed Disclosure'!AT201/1000</f>
        <v>32.347999999999999</v>
      </c>
      <c r="AU221" s="2153">
        <f>+'STER Detailed Disclosure'!AU201/1000</f>
        <v>37.728999999999999</v>
      </c>
    </row>
    <row r="222" spans="1:49" x14ac:dyDescent="0.25">
      <c r="A222" s="649" t="str">
        <f>+'STER Detailed Disclosure'!A202</f>
        <v>Income taxes</v>
      </c>
      <c r="C222" s="2153"/>
      <c r="D222" s="2153"/>
      <c r="E222" s="2153"/>
      <c r="F222" s="2159"/>
      <c r="G222" s="2166"/>
      <c r="H222" s="2166"/>
      <c r="I222" s="2166">
        <f>+'STER Detailed Disclosure'!I202/1000</f>
        <v>1.0819999999999999</v>
      </c>
      <c r="J222" s="2159">
        <f>+'STER Detailed Disclosure'!J202/1000</f>
        <v>-0.47799999999999976</v>
      </c>
      <c r="K222" s="2166">
        <f>+'STER Detailed Disclosure'!K202/1000</f>
        <v>1.075</v>
      </c>
      <c r="L222" s="2166">
        <f>+'STER Detailed Disclosure'!L202/1000</f>
        <v>1.6679999999999999</v>
      </c>
      <c r="M222" s="2166">
        <f>+'STER Detailed Disclosure'!M202/1000</f>
        <v>1.9200000000000004</v>
      </c>
      <c r="N222" s="2159">
        <f>+'STER Detailed Disclosure'!N202/1000</f>
        <v>0.91099999999999959</v>
      </c>
      <c r="O222" s="2166">
        <f>+'STER Detailed Disclosure'!O202/1000</f>
        <v>4.2220000000000004</v>
      </c>
      <c r="P222" s="2166">
        <f>+'STER Detailed Disclosure'!P202/1000</f>
        <v>5.3090000000000002</v>
      </c>
      <c r="Q222" s="2166">
        <f>+'STER Detailed Disclosure'!Q202/1000</f>
        <v>1.9819999999999993</v>
      </c>
      <c r="R222" s="2159">
        <f>+'STER Detailed Disclosure'!R202/1000</f>
        <v>7.0190000000000001</v>
      </c>
      <c r="S222" s="2166">
        <f>+'STER Detailed Disclosure'!S202/1000</f>
        <v>2.9780000000000002</v>
      </c>
      <c r="T222" s="2166">
        <f>+'STER Detailed Disclosure'!T202/1000</f>
        <v>6.7249999999999996</v>
      </c>
      <c r="U222" s="2166">
        <f>+'STER Detailed Disclosure'!U202/1000</f>
        <v>3.516</v>
      </c>
      <c r="V222" s="2159">
        <f>+'STER Detailed Disclosure'!V202/1000</f>
        <v>4.2650000000000023</v>
      </c>
      <c r="W222" s="2153">
        <f>+'STER Detailed Disclosure'!W202/1000</f>
        <v>9.5419999999999998</v>
      </c>
      <c r="X222" s="2153">
        <f>+'STER Detailed Disclosure'!X202/1000</f>
        <v>10.071</v>
      </c>
      <c r="Y222" s="2288"/>
      <c r="Z222" s="571"/>
      <c r="AA222" s="571"/>
      <c r="AB222" s="571"/>
      <c r="AC222" s="571"/>
      <c r="AD222" s="571"/>
      <c r="AE222" s="571"/>
      <c r="AF222" s="571"/>
      <c r="AG222" s="571"/>
      <c r="AH222" s="571"/>
      <c r="AI222" s="571"/>
      <c r="AJ222" s="571"/>
      <c r="AK222" s="571"/>
      <c r="AL222" s="571"/>
      <c r="AM222" s="571"/>
      <c r="AN222" s="571"/>
      <c r="AO222" s="571"/>
      <c r="AP222" s="571"/>
      <c r="AQ222" s="2153">
        <f>+'STER Detailed Disclosure'!AQ202/1000</f>
        <v>6.585</v>
      </c>
      <c r="AR222" s="2153">
        <f>+'STER Detailed Disclosure'!AR202/1000</f>
        <v>3.2240000000000002</v>
      </c>
      <c r="AS222" s="2153">
        <f>+'STER Detailed Disclosure'!AS202/1000</f>
        <v>5.5739999999999998</v>
      </c>
      <c r="AT222" s="2153">
        <f>+'STER Detailed Disclosure'!AT202/1000</f>
        <v>18.532</v>
      </c>
      <c r="AU222" s="2153">
        <f>+'STER Detailed Disclosure'!AU202/1000</f>
        <v>17.484000000000002</v>
      </c>
    </row>
    <row r="223" spans="1:49" x14ac:dyDescent="0.25">
      <c r="C223" s="571"/>
      <c r="D223" s="571"/>
      <c r="E223" s="571"/>
      <c r="F223" s="666"/>
      <c r="G223" s="667"/>
      <c r="H223" s="667"/>
      <c r="I223" s="667"/>
      <c r="J223" s="666"/>
      <c r="K223" s="667"/>
      <c r="L223" s="667"/>
      <c r="M223" s="667"/>
      <c r="N223" s="666"/>
      <c r="O223" s="667"/>
      <c r="P223" s="667"/>
      <c r="Q223" s="667"/>
      <c r="R223" s="666"/>
      <c r="S223" s="667"/>
      <c r="T223" s="667"/>
      <c r="U223" s="667"/>
      <c r="V223" s="666"/>
      <c r="W223" s="571"/>
      <c r="X223" s="571"/>
      <c r="Y223" s="571"/>
      <c r="Z223" s="571"/>
      <c r="AA223" s="571"/>
      <c r="AB223" s="571"/>
      <c r="AC223" s="571"/>
      <c r="AD223" s="571"/>
      <c r="AE223" s="571"/>
      <c r="AF223" s="571"/>
      <c r="AG223" s="571"/>
      <c r="AH223" s="571"/>
      <c r="AI223" s="571"/>
      <c r="AJ223" s="571"/>
      <c r="AK223" s="571"/>
      <c r="AL223" s="571"/>
      <c r="AM223" s="571"/>
      <c r="AN223" s="571"/>
      <c r="AO223" s="571"/>
      <c r="AP223" s="571"/>
      <c r="AQ223" s="571"/>
      <c r="AR223" s="571"/>
      <c r="AS223" s="571"/>
      <c r="AT223" s="571"/>
      <c r="AU223" s="571"/>
    </row>
    <row r="224" spans="1:49" x14ac:dyDescent="0.25">
      <c r="C224" s="571"/>
      <c r="D224" s="571"/>
      <c r="E224" s="571"/>
      <c r="F224" s="666"/>
      <c r="G224" s="667"/>
      <c r="H224" s="667"/>
      <c r="I224" s="667"/>
      <c r="J224" s="666"/>
      <c r="K224" s="667"/>
      <c r="L224" s="667"/>
      <c r="M224" s="667"/>
      <c r="N224" s="666"/>
      <c r="O224" s="667"/>
      <c r="P224" s="667"/>
      <c r="Q224" s="667"/>
      <c r="R224" s="666"/>
      <c r="S224" s="667"/>
      <c r="T224" s="667"/>
      <c r="U224" s="667"/>
      <c r="V224" s="666"/>
      <c r="W224" s="571"/>
      <c r="X224" s="571"/>
      <c r="Y224" s="571"/>
      <c r="Z224" s="571"/>
      <c r="AA224" s="571"/>
      <c r="AB224" s="571"/>
      <c r="AC224" s="571"/>
      <c r="AD224" s="571"/>
      <c r="AE224" s="571"/>
      <c r="AF224" s="571"/>
      <c r="AG224" s="571"/>
      <c r="AH224" s="571"/>
      <c r="AI224" s="571"/>
      <c r="AJ224" s="571"/>
      <c r="AK224" s="571"/>
      <c r="AL224" s="571"/>
      <c r="AM224" s="571"/>
      <c r="AN224" s="571"/>
      <c r="AO224" s="571"/>
      <c r="AP224" s="571"/>
      <c r="AQ224" s="571"/>
      <c r="AR224" s="571"/>
      <c r="AS224" s="571"/>
      <c r="AT224" s="571"/>
      <c r="AU224" s="571"/>
    </row>
    <row r="225" spans="6:22" x14ac:dyDescent="0.25">
      <c r="F225" s="407"/>
      <c r="J225" s="407"/>
      <c r="N225" s="407"/>
      <c r="R225" s="407"/>
      <c r="V225" s="407"/>
    </row>
    <row r="226" spans="6:22" x14ac:dyDescent="0.25">
      <c r="F226" s="407"/>
      <c r="J226" s="407"/>
      <c r="N226" s="407"/>
      <c r="R226" s="407"/>
      <c r="V226" s="407"/>
    </row>
    <row r="227" spans="6:22" x14ac:dyDescent="0.25">
      <c r="F227" s="407"/>
      <c r="J227" s="407"/>
      <c r="N227" s="407"/>
      <c r="R227" s="407"/>
      <c r="V227" s="407"/>
    </row>
    <row r="228" spans="6:22" x14ac:dyDescent="0.25">
      <c r="F228" s="407"/>
      <c r="J228" s="407"/>
      <c r="N228" s="407"/>
      <c r="R228" s="407"/>
      <c r="V228" s="407"/>
    </row>
  </sheetData>
  <pageMargins left="0.3" right="0.3" top="0.3" bottom="0.3" header="0.3" footer="0.3"/>
  <pageSetup scale="48" fitToHeight="0" orientation="landscape" r:id="rId1"/>
  <headerFooter>
    <oddFooter>Page &amp;P</oddFooter>
  </headerFooter>
  <rowBreaks count="3" manualBreakCount="3">
    <brk id="94" max="45" man="1"/>
    <brk id="107" max="45" man="1"/>
    <brk id="153" max="45" man="1"/>
  </rowBreaks>
  <colBreaks count="1" manualBreakCount="1">
    <brk id="47"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85DC-06CA-4445-B3B2-93101139335F}">
  <sheetPr>
    <pageSetUpPr fitToPage="1"/>
  </sheetPr>
  <dimension ref="A1"/>
  <sheetViews>
    <sheetView view="pageBreakPreview" zoomScale="60" zoomScaleNormal="100" workbookViewId="0">
      <selection activeCell="C6" sqref="C6"/>
    </sheetView>
  </sheetViews>
  <sheetFormatPr defaultRowHeight="14.5" x14ac:dyDescent="0.35"/>
  <sheetData>
    <row r="1" spans="1:1" ht="61.5" x14ac:dyDescent="1.35">
      <c r="A1" s="2329" t="s">
        <v>601</v>
      </c>
    </row>
  </sheetData>
  <printOptions horizontalCentered="1"/>
  <pageMargins left="0.7" right="0.7" top="0.75" bottom="0.75" header="0.3" footer="0.3"/>
  <pageSetup scale="58"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F8D49-81BF-4437-8D1A-E9CA38C4FAFA}">
  <sheetPr>
    <pageSetUpPr fitToPage="1"/>
  </sheetPr>
  <dimension ref="A1:AL321"/>
  <sheetViews>
    <sheetView view="pageBreakPreview" zoomScale="70" zoomScaleNormal="85" zoomScaleSheetLayoutView="70" workbookViewId="0">
      <pane xSplit="1" ySplit="5" topLeftCell="B28" activePane="bottomRight" state="frozen"/>
      <selection pane="topRight" activeCell="C6" sqref="C6"/>
      <selection pane="bottomLeft" activeCell="C6" sqref="C6"/>
      <selection pane="bottomRight" activeCell="C6" sqref="C6"/>
    </sheetView>
  </sheetViews>
  <sheetFormatPr defaultColWidth="9.1796875" defaultRowHeight="11.5" outlineLevelRow="2" outlineLevelCol="1" x14ac:dyDescent="0.25"/>
  <cols>
    <col min="1" max="1" width="25.26953125" style="460" customWidth="1"/>
    <col min="2" max="2" width="2.453125" style="460" customWidth="1"/>
    <col min="3" max="6" width="10.81640625" style="460" hidden="1" customWidth="1" outlineLevel="1"/>
    <col min="7" max="7" width="14" style="460" customWidth="1" collapsed="1"/>
    <col min="8" max="19" width="14" style="460" customWidth="1"/>
    <col min="20" max="25" width="14" style="794" customWidth="1"/>
    <col min="26" max="27" width="6.54296875" style="460" customWidth="1"/>
    <col min="28" max="32" width="14" style="460" customWidth="1"/>
    <col min="33" max="16384" width="9.1796875" style="460"/>
  </cols>
  <sheetData>
    <row r="1" spans="1:35" ht="12" x14ac:dyDescent="0.3">
      <c r="A1" s="460" t="s">
        <v>4</v>
      </c>
      <c r="Q1" s="731"/>
      <c r="R1" s="731"/>
      <c r="S1" s="731"/>
      <c r="T1" s="1067"/>
      <c r="U1" s="1067"/>
      <c r="V1" s="1067"/>
      <c r="W1" s="1067"/>
      <c r="X1" s="1067"/>
      <c r="Y1" s="1067"/>
      <c r="Z1" s="731"/>
      <c r="AA1" s="731"/>
      <c r="AE1" s="1067"/>
      <c r="AF1" s="1067"/>
    </row>
    <row r="2" spans="1:35" x14ac:dyDescent="0.25">
      <c r="A2" s="470" t="s">
        <v>602</v>
      </c>
      <c r="B2" s="470"/>
      <c r="AB2" s="732"/>
      <c r="AE2" s="794"/>
      <c r="AF2" s="794"/>
    </row>
    <row r="3" spans="1:35" s="541" customFormat="1" ht="12" x14ac:dyDescent="0.3">
      <c r="A3" s="733" t="str">
        <f>+'FA Base'!B3</f>
        <v>(USD in mm)</v>
      </c>
      <c r="B3" s="733"/>
      <c r="J3" s="1173"/>
      <c r="T3" s="1068"/>
      <c r="U3" s="1068"/>
      <c r="V3" s="1068"/>
      <c r="W3" s="1068"/>
      <c r="X3" s="1068"/>
      <c r="Y3" s="1068"/>
      <c r="AE3" s="1068"/>
      <c r="AF3" s="1068"/>
    </row>
    <row r="4" spans="1:35" x14ac:dyDescent="0.25">
      <c r="C4" s="734"/>
      <c r="D4" s="735"/>
      <c r="E4" s="735"/>
      <c r="F4" s="1069"/>
      <c r="G4" s="1070" t="s">
        <v>7</v>
      </c>
      <c r="H4" s="1070"/>
      <c r="I4" s="1070"/>
      <c r="J4" s="1070"/>
      <c r="K4" s="1070"/>
      <c r="L4" s="1070"/>
      <c r="M4" s="1070"/>
      <c r="N4" s="1070"/>
      <c r="O4" s="1070"/>
      <c r="P4" s="1070"/>
      <c r="Q4" s="1070"/>
      <c r="R4" s="1070"/>
      <c r="S4" s="1070"/>
      <c r="T4" s="1071"/>
      <c r="U4" s="1071"/>
      <c r="V4" s="1071"/>
      <c r="W4" s="1071"/>
      <c r="X4" s="1071"/>
      <c r="Y4" s="1071"/>
      <c r="Z4" s="736"/>
      <c r="AA4" s="736"/>
      <c r="AB4" s="1070" t="s">
        <v>7</v>
      </c>
      <c r="AC4" s="1069"/>
      <c r="AD4" s="1069"/>
      <c r="AE4" s="1071"/>
      <c r="AF4" s="1071"/>
    </row>
    <row r="5" spans="1:35" ht="14.5" x14ac:dyDescent="0.55000000000000004">
      <c r="C5" s="737" t="s">
        <v>86</v>
      </c>
      <c r="D5" s="737" t="s">
        <v>87</v>
      </c>
      <c r="E5" s="737" t="s">
        <v>88</v>
      </c>
      <c r="F5" s="741" t="s">
        <v>89</v>
      </c>
      <c r="G5" s="737" t="s">
        <v>90</v>
      </c>
      <c r="H5" s="737" t="s">
        <v>91</v>
      </c>
      <c r="I5" s="737" t="s">
        <v>92</v>
      </c>
      <c r="J5" s="738" t="s">
        <v>93</v>
      </c>
      <c r="K5" s="737" t="s">
        <v>94</v>
      </c>
      <c r="L5" s="737" t="s">
        <v>95</v>
      </c>
      <c r="M5" s="737" t="s">
        <v>96</v>
      </c>
      <c r="N5" s="738" t="s">
        <v>97</v>
      </c>
      <c r="O5" s="737" t="s">
        <v>98</v>
      </c>
      <c r="P5" s="737" t="s">
        <v>99</v>
      </c>
      <c r="Q5" s="737" t="s">
        <v>100</v>
      </c>
      <c r="R5" s="738" t="s">
        <v>101</v>
      </c>
      <c r="S5" s="737" t="s">
        <v>603</v>
      </c>
      <c r="T5" s="1072" t="s">
        <v>604</v>
      </c>
      <c r="U5" s="1072" t="s">
        <v>605</v>
      </c>
      <c r="V5" s="1409" t="s">
        <v>105</v>
      </c>
      <c r="W5" s="1072" t="s">
        <v>106</v>
      </c>
      <c r="X5" s="1072" t="s">
        <v>107</v>
      </c>
      <c r="Y5" s="1072" t="s">
        <v>108</v>
      </c>
      <c r="Z5" s="741"/>
      <c r="AA5" s="741"/>
      <c r="AB5" s="741" t="s">
        <v>115</v>
      </c>
      <c r="AC5" s="741" t="s">
        <v>116</v>
      </c>
      <c r="AD5" s="741" t="s">
        <v>117</v>
      </c>
      <c r="AE5" s="1072" t="s">
        <v>118</v>
      </c>
      <c r="AF5" s="1072" t="s">
        <v>119</v>
      </c>
    </row>
    <row r="6" spans="1:35" ht="11.25" hidden="1" customHeight="1" outlineLevel="1" x14ac:dyDescent="0.25">
      <c r="A6" s="867" t="s">
        <v>396</v>
      </c>
      <c r="B6" s="868"/>
      <c r="C6" s="744"/>
      <c r="D6" s="744"/>
      <c r="E6" s="744"/>
      <c r="F6" s="744"/>
      <c r="G6" s="744"/>
      <c r="H6" s="744"/>
      <c r="I6" s="744"/>
      <c r="J6" s="745"/>
      <c r="K6" s="744"/>
      <c r="L6" s="744"/>
      <c r="M6" s="744"/>
      <c r="N6" s="745"/>
      <c r="O6" s="744"/>
      <c r="P6" s="744"/>
      <c r="Q6" s="744"/>
      <c r="R6" s="745"/>
      <c r="S6" s="744"/>
      <c r="T6" s="736"/>
      <c r="U6" s="736"/>
      <c r="V6" s="752"/>
      <c r="W6" s="736"/>
      <c r="X6" s="736"/>
      <c r="Y6" s="736"/>
      <c r="Z6" s="736"/>
      <c r="AA6" s="736"/>
      <c r="AB6" s="744"/>
      <c r="AC6" s="744"/>
      <c r="AD6" s="744"/>
      <c r="AE6" s="736"/>
      <c r="AF6" s="736"/>
    </row>
    <row r="7" spans="1:35" ht="11.25" hidden="1" customHeight="1" outlineLevel="1" x14ac:dyDescent="0.25">
      <c r="A7" s="748"/>
      <c r="C7" s="744"/>
      <c r="D7" s="744"/>
      <c r="E7" s="744"/>
      <c r="F7" s="744"/>
      <c r="G7" s="744"/>
      <c r="H7" s="744"/>
      <c r="I7" s="744"/>
      <c r="J7" s="745"/>
      <c r="K7" s="744"/>
      <c r="L7" s="744"/>
      <c r="M7" s="744"/>
      <c r="N7" s="745"/>
      <c r="O7" s="744"/>
      <c r="P7" s="744"/>
      <c r="Q7" s="744"/>
      <c r="R7" s="745"/>
      <c r="S7" s="744"/>
      <c r="T7" s="736"/>
      <c r="U7" s="736"/>
      <c r="V7" s="752"/>
      <c r="W7" s="736"/>
      <c r="X7" s="736"/>
      <c r="Y7" s="736"/>
      <c r="Z7" s="736"/>
      <c r="AA7" s="736"/>
      <c r="AB7" s="744"/>
      <c r="AC7" s="744"/>
      <c r="AD7" s="744"/>
      <c r="AE7" s="736"/>
      <c r="AF7" s="736"/>
    </row>
    <row r="8" spans="1:35" ht="11.25" hidden="1" customHeight="1" outlineLevel="1" x14ac:dyDescent="0.25">
      <c r="A8" s="748" t="s">
        <v>405</v>
      </c>
      <c r="C8" s="744"/>
      <c r="D8" s="744"/>
      <c r="E8" s="744"/>
      <c r="F8" s="744"/>
      <c r="G8" s="744"/>
      <c r="H8" s="744"/>
      <c r="I8" s="744"/>
      <c r="J8" s="745"/>
      <c r="K8" s="744"/>
      <c r="L8" s="744"/>
      <c r="M8" s="744"/>
      <c r="N8" s="745"/>
      <c r="O8" s="744"/>
      <c r="P8" s="744"/>
      <c r="Q8" s="744"/>
      <c r="R8" s="745"/>
      <c r="S8" s="744"/>
      <c r="T8" s="736"/>
      <c r="U8" s="736"/>
      <c r="V8" s="752"/>
      <c r="W8" s="736"/>
      <c r="X8" s="736"/>
      <c r="Y8" s="736"/>
      <c r="Z8" s="736"/>
      <c r="AA8" s="736"/>
      <c r="AB8" s="744"/>
      <c r="AC8" s="744"/>
      <c r="AD8" s="744"/>
      <c r="AE8" s="736"/>
      <c r="AF8" s="736"/>
    </row>
    <row r="9" spans="1:35" hidden="1" outlineLevel="1" x14ac:dyDescent="0.25">
      <c r="A9" s="512" t="s">
        <v>174</v>
      </c>
      <c r="B9" s="470"/>
      <c r="C9" s="1073"/>
      <c r="D9" s="1073"/>
      <c r="E9" s="1073"/>
      <c r="F9" s="1073"/>
      <c r="G9" s="1073"/>
      <c r="H9" s="1073"/>
      <c r="I9" s="1073"/>
      <c r="J9" s="1074">
        <v>0.95</v>
      </c>
      <c r="K9" s="1073"/>
      <c r="L9" s="1073">
        <v>0.95</v>
      </c>
      <c r="M9" s="1073">
        <v>0.95</v>
      </c>
      <c r="N9" s="1074">
        <v>0.96</v>
      </c>
      <c r="O9" s="1073">
        <v>0.96</v>
      </c>
      <c r="P9" s="1073">
        <v>0.96</v>
      </c>
      <c r="Q9" s="1073">
        <v>0.97</v>
      </c>
      <c r="R9" s="1074">
        <v>0.97</v>
      </c>
      <c r="S9" s="1073">
        <v>0.97</v>
      </c>
      <c r="T9" s="1073">
        <v>0.97</v>
      </c>
      <c r="U9" s="1073"/>
      <c r="V9" s="1074"/>
      <c r="W9" s="1073"/>
      <c r="X9" s="1073"/>
      <c r="Y9" s="1073"/>
      <c r="Z9" s="1075"/>
      <c r="AA9" s="1075"/>
      <c r="AB9" s="1073"/>
      <c r="AC9" s="1073">
        <f>+J9</f>
        <v>0.95</v>
      </c>
      <c r="AD9" s="1073">
        <f>+N9</f>
        <v>0.96</v>
      </c>
      <c r="AE9" s="1073">
        <f>+R9</f>
        <v>0.97</v>
      </c>
      <c r="AF9" s="1073"/>
      <c r="AG9" s="1076"/>
      <c r="AH9" s="1077"/>
      <c r="AI9" s="1077"/>
    </row>
    <row r="10" spans="1:35" hidden="1" outlineLevel="1" x14ac:dyDescent="0.25">
      <c r="A10" s="512" t="s">
        <v>175</v>
      </c>
      <c r="B10" s="470"/>
      <c r="C10" s="1073"/>
      <c r="D10" s="1073"/>
      <c r="E10" s="1073"/>
      <c r="F10" s="1073"/>
      <c r="G10" s="1073"/>
      <c r="H10" s="1073">
        <v>0.93</v>
      </c>
      <c r="I10" s="1073">
        <v>0.95</v>
      </c>
      <c r="J10" s="1074"/>
      <c r="K10" s="1073"/>
      <c r="L10" s="1073">
        <v>0.96</v>
      </c>
      <c r="M10" s="1073">
        <v>0.96</v>
      </c>
      <c r="N10" s="1074"/>
      <c r="O10" s="1073">
        <v>0.96</v>
      </c>
      <c r="P10" s="1073">
        <v>0.96</v>
      </c>
      <c r="Q10" s="1073">
        <v>0.96</v>
      </c>
      <c r="R10" s="1074">
        <v>0.96</v>
      </c>
      <c r="S10" s="1073">
        <v>0.95</v>
      </c>
      <c r="T10" s="1073">
        <v>0.95</v>
      </c>
      <c r="U10" s="1073">
        <v>0.95</v>
      </c>
      <c r="V10" s="1074"/>
      <c r="W10" s="1073"/>
      <c r="X10" s="1073"/>
      <c r="Y10" s="1073"/>
      <c r="Z10" s="1075"/>
      <c r="AA10" s="1075"/>
      <c r="AB10" s="1073">
        <v>0.91</v>
      </c>
      <c r="AC10" s="1073">
        <v>0.94</v>
      </c>
      <c r="AD10" s="1073">
        <v>0.96</v>
      </c>
      <c r="AE10" s="1073">
        <f>+R10</f>
        <v>0.96</v>
      </c>
      <c r="AF10" s="1073"/>
      <c r="AG10" s="1076"/>
      <c r="AH10" s="1077"/>
      <c r="AI10" s="1077"/>
    </row>
    <row r="11" spans="1:35" s="789" customFormat="1" hidden="1" outlineLevel="1" x14ac:dyDescent="0.25">
      <c r="A11" s="512" t="s">
        <v>606</v>
      </c>
      <c r="B11" s="783"/>
      <c r="C11" s="1078"/>
      <c r="D11" s="1078"/>
      <c r="E11" s="1078"/>
      <c r="F11" s="1078"/>
      <c r="G11" s="1078"/>
      <c r="H11" s="1078"/>
      <c r="I11" s="1078"/>
      <c r="J11" s="1079"/>
      <c r="K11" s="1078"/>
      <c r="L11" s="1078"/>
      <c r="M11" s="1078"/>
      <c r="N11" s="1079"/>
      <c r="O11" s="1078"/>
      <c r="P11" s="1078"/>
      <c r="Q11" s="1080"/>
      <c r="R11" s="1081"/>
      <c r="S11" s="1080"/>
      <c r="T11" s="1073">
        <v>0.97399999999999998</v>
      </c>
      <c r="U11" s="1073">
        <v>0.96799999999999997</v>
      </c>
      <c r="V11" s="1074"/>
      <c r="W11" s="1073"/>
      <c r="X11" s="1073"/>
      <c r="Y11" s="1073"/>
      <c r="Z11" s="1082"/>
      <c r="AA11" s="1082"/>
      <c r="AB11" s="1078"/>
      <c r="AC11" s="1078"/>
      <c r="AD11" s="1078"/>
      <c r="AE11" s="1073"/>
      <c r="AF11" s="1073"/>
      <c r="AG11" s="1083"/>
      <c r="AH11" s="1084"/>
      <c r="AI11" s="1084"/>
    </row>
    <row r="12" spans="1:35" s="761" customFormat="1" hidden="1" outlineLevel="1" x14ac:dyDescent="0.25">
      <c r="A12" s="505"/>
      <c r="C12" s="762"/>
      <c r="D12" s="762"/>
      <c r="E12" s="762"/>
      <c r="F12" s="762"/>
      <c r="G12" s="762"/>
      <c r="H12" s="762"/>
      <c r="I12" s="762"/>
      <c r="J12" s="763"/>
      <c r="K12" s="762"/>
      <c r="L12" s="762"/>
      <c r="M12" s="762"/>
      <c r="N12" s="763"/>
      <c r="O12" s="762"/>
      <c r="P12" s="762"/>
      <c r="Q12" s="762"/>
      <c r="R12" s="763"/>
      <c r="S12" s="762"/>
      <c r="T12" s="762"/>
      <c r="U12" s="762"/>
      <c r="V12" s="763"/>
      <c r="W12" s="762"/>
      <c r="X12" s="762"/>
      <c r="Y12" s="762"/>
      <c r="Z12" s="762"/>
      <c r="AA12" s="762"/>
      <c r="AB12" s="762"/>
      <c r="AC12" s="762"/>
      <c r="AD12" s="762"/>
      <c r="AE12" s="762"/>
      <c r="AF12" s="762"/>
    </row>
    <row r="13" spans="1:35" ht="11.25" hidden="1" customHeight="1" outlineLevel="1" x14ac:dyDescent="0.25">
      <c r="A13" s="748" t="s">
        <v>607</v>
      </c>
      <c r="C13" s="744"/>
      <c r="D13" s="744"/>
      <c r="E13" s="744"/>
      <c r="F13" s="744"/>
      <c r="G13" s="744"/>
      <c r="H13" s="744"/>
      <c r="I13" s="744"/>
      <c r="J13" s="745"/>
      <c r="K13" s="744"/>
      <c r="L13" s="744"/>
      <c r="M13" s="744"/>
      <c r="N13" s="745"/>
      <c r="O13" s="744"/>
      <c r="P13" s="744"/>
      <c r="Q13" s="744"/>
      <c r="R13" s="745"/>
      <c r="S13" s="744"/>
      <c r="T13" s="736"/>
      <c r="U13" s="736"/>
      <c r="V13" s="752"/>
      <c r="W13" s="736"/>
      <c r="X13" s="736"/>
      <c r="Y13" s="736"/>
      <c r="Z13" s="736"/>
      <c r="AA13" s="736"/>
      <c r="AB13" s="744"/>
      <c r="AC13" s="744"/>
      <c r="AD13" s="744"/>
      <c r="AE13" s="736"/>
      <c r="AF13" s="736"/>
    </row>
    <row r="14" spans="1:35" hidden="1" outlineLevel="1" x14ac:dyDescent="0.25">
      <c r="A14" s="512" t="s">
        <v>174</v>
      </c>
      <c r="B14" s="470"/>
      <c r="C14" s="1073"/>
      <c r="D14" s="1073"/>
      <c r="E14" s="1073"/>
      <c r="F14" s="1073"/>
      <c r="G14" s="1073"/>
      <c r="H14" s="1073"/>
      <c r="I14" s="1073"/>
      <c r="J14" s="1074"/>
      <c r="K14" s="1073"/>
      <c r="L14" s="1073"/>
      <c r="M14" s="1073"/>
      <c r="N14" s="1074"/>
      <c r="O14" s="1073"/>
      <c r="P14" s="1073"/>
      <c r="Q14" s="1085"/>
      <c r="R14" s="1086"/>
      <c r="S14" s="1085"/>
      <c r="T14" s="1073"/>
      <c r="U14" s="1073"/>
      <c r="V14" s="1074"/>
      <c r="W14" s="1073"/>
      <c r="X14" s="1073"/>
      <c r="Y14" s="1073"/>
      <c r="Z14" s="1075"/>
      <c r="AA14" s="1075"/>
      <c r="AB14" s="1073"/>
      <c r="AC14" s="1073"/>
      <c r="AD14" s="1073"/>
      <c r="AE14" s="1073"/>
      <c r="AF14" s="1073"/>
      <c r="AG14" s="1076"/>
      <c r="AH14" s="1077"/>
      <c r="AI14" s="1077"/>
    </row>
    <row r="15" spans="1:35" hidden="1" outlineLevel="1" x14ac:dyDescent="0.25">
      <c r="A15" s="512" t="s">
        <v>175</v>
      </c>
      <c r="B15" s="470"/>
      <c r="C15" s="1073"/>
      <c r="D15" s="1073"/>
      <c r="E15" s="1073"/>
      <c r="F15" s="1073"/>
      <c r="G15" s="1073"/>
      <c r="H15" s="1087" t="s">
        <v>608</v>
      </c>
      <c r="I15" s="1087" t="s">
        <v>609</v>
      </c>
      <c r="J15" s="1088" t="s">
        <v>610</v>
      </c>
      <c r="K15" s="1073"/>
      <c r="L15" s="1087" t="s">
        <v>608</v>
      </c>
      <c r="M15" s="1087" t="s">
        <v>609</v>
      </c>
      <c r="N15" s="1088" t="s">
        <v>610</v>
      </c>
      <c r="O15" s="1073"/>
      <c r="P15" s="1073"/>
      <c r="Q15" s="1085"/>
      <c r="R15" s="1086"/>
      <c r="S15" s="1085"/>
      <c r="T15" s="1073"/>
      <c r="U15" s="1073"/>
      <c r="V15" s="1074"/>
      <c r="W15" s="1073"/>
      <c r="X15" s="1073"/>
      <c r="Y15" s="1073"/>
      <c r="Z15" s="1075"/>
      <c r="AA15" s="1075"/>
      <c r="AB15" s="1073"/>
      <c r="AC15" s="1073"/>
      <c r="AD15" s="1073"/>
      <c r="AE15" s="1073"/>
      <c r="AF15" s="1073"/>
      <c r="AG15" s="1076"/>
      <c r="AH15" s="1077"/>
      <c r="AI15" s="1077"/>
    </row>
    <row r="16" spans="1:35" s="789" customFormat="1" hidden="1" outlineLevel="1" x14ac:dyDescent="0.25">
      <c r="A16" s="512" t="s">
        <v>606</v>
      </c>
      <c r="B16" s="783"/>
      <c r="C16" s="1078"/>
      <c r="D16" s="1078"/>
      <c r="E16" s="1078"/>
      <c r="F16" s="1078"/>
      <c r="G16" s="1073"/>
      <c r="H16" s="1073">
        <v>0.74299999999999999</v>
      </c>
      <c r="I16" s="1073">
        <v>0.75700000000000001</v>
      </c>
      <c r="J16" s="1074">
        <f>+AC16</f>
        <v>0.83399999999999996</v>
      </c>
      <c r="K16" s="1073"/>
      <c r="L16" s="1073">
        <v>1.22</v>
      </c>
      <c r="M16" s="1073">
        <v>1.3380000000000001</v>
      </c>
      <c r="N16" s="1074">
        <v>1.36</v>
      </c>
      <c r="O16" s="1073">
        <v>1.3</v>
      </c>
      <c r="P16" s="1073"/>
      <c r="Q16" s="1085"/>
      <c r="R16" s="1086"/>
      <c r="S16" s="1085"/>
      <c r="T16" s="1073"/>
      <c r="U16" s="1073"/>
      <c r="V16" s="1074"/>
      <c r="W16" s="1073"/>
      <c r="X16" s="1073"/>
      <c r="Y16" s="1073"/>
      <c r="Z16" s="1075"/>
      <c r="AA16" s="1075"/>
      <c r="AB16" s="1073">
        <v>0.97399999999999998</v>
      </c>
      <c r="AC16" s="1073">
        <v>0.83399999999999996</v>
      </c>
      <c r="AD16" s="1073">
        <v>1.363</v>
      </c>
      <c r="AE16" s="1073"/>
      <c r="AF16" s="1073"/>
      <c r="AG16" s="1083"/>
      <c r="AH16" s="1084"/>
      <c r="AI16" s="1084"/>
    </row>
    <row r="17" spans="1:36" s="761" customFormat="1" hidden="1" outlineLevel="1" x14ac:dyDescent="0.25">
      <c r="A17" s="505"/>
      <c r="C17" s="762"/>
      <c r="D17" s="762"/>
      <c r="E17" s="762"/>
      <c r="F17" s="762"/>
      <c r="G17" s="762"/>
      <c r="H17" s="762"/>
      <c r="I17" s="762"/>
      <c r="J17" s="763"/>
      <c r="K17" s="762"/>
      <c r="L17" s="762"/>
      <c r="M17" s="762"/>
      <c r="N17" s="763"/>
      <c r="O17" s="762"/>
      <c r="P17" s="762"/>
      <c r="Q17" s="762"/>
      <c r="R17" s="763"/>
      <c r="S17" s="762"/>
      <c r="T17" s="762"/>
      <c r="U17" s="762"/>
      <c r="V17" s="763"/>
      <c r="W17" s="762"/>
      <c r="X17" s="762"/>
      <c r="Y17" s="762"/>
      <c r="Z17" s="762"/>
      <c r="AA17" s="762"/>
      <c r="AB17" s="762"/>
      <c r="AC17" s="762"/>
      <c r="AD17" s="762"/>
      <c r="AE17" s="762"/>
      <c r="AF17" s="762"/>
    </row>
    <row r="18" spans="1:36" ht="11.25" hidden="1" customHeight="1" outlineLevel="2" x14ac:dyDescent="0.25">
      <c r="A18" s="748" t="s">
        <v>611</v>
      </c>
      <c r="C18" s="744"/>
      <c r="D18" s="744"/>
      <c r="E18" s="744"/>
      <c r="F18" s="744"/>
      <c r="G18" s="744"/>
      <c r="H18" s="744"/>
      <c r="I18" s="744"/>
      <c r="J18" s="745"/>
      <c r="K18" s="744"/>
      <c r="L18" s="744"/>
      <c r="M18" s="744"/>
      <c r="N18" s="745"/>
      <c r="O18" s="744"/>
      <c r="P18" s="744"/>
      <c r="Q18" s="744"/>
      <c r="R18" s="745"/>
      <c r="S18" s="744"/>
      <c r="T18" s="736"/>
      <c r="U18" s="736"/>
      <c r="V18" s="752"/>
      <c r="W18" s="736"/>
      <c r="X18" s="736"/>
      <c r="Y18" s="736"/>
      <c r="Z18" s="736"/>
      <c r="AA18" s="736"/>
      <c r="AB18" s="744"/>
      <c r="AC18" s="744"/>
      <c r="AD18" s="744"/>
      <c r="AE18" s="736"/>
      <c r="AF18" s="736"/>
    </row>
    <row r="19" spans="1:36" hidden="1" outlineLevel="2" x14ac:dyDescent="0.25">
      <c r="A19" s="512" t="s">
        <v>174</v>
      </c>
      <c r="B19" s="470"/>
      <c r="C19" s="736"/>
      <c r="D19" s="736"/>
      <c r="E19" s="736"/>
      <c r="F19" s="736"/>
      <c r="G19" s="736"/>
      <c r="H19" s="736"/>
      <c r="I19" s="736"/>
      <c r="J19" s="752"/>
      <c r="K19" s="736"/>
      <c r="L19" s="736">
        <f>+'FA - Detailed Disclosure'!L187</f>
        <v>12</v>
      </c>
      <c r="M19" s="736">
        <f>+'FA - Detailed Disclosure'!M187</f>
        <v>12</v>
      </c>
      <c r="N19" s="752">
        <f>+'FA - Detailed Disclosure'!N187</f>
        <v>12</v>
      </c>
      <c r="O19" s="736">
        <f>+'FA - Detailed Disclosure'!O187</f>
        <v>12</v>
      </c>
      <c r="P19" s="736">
        <f>+'FA - Detailed Disclosure'!P187</f>
        <v>12</v>
      </c>
      <c r="Q19" s="753"/>
      <c r="R19" s="1089"/>
      <c r="S19" s="753"/>
      <c r="T19" s="736"/>
      <c r="U19" s="736"/>
      <c r="V19" s="752"/>
      <c r="W19" s="736"/>
      <c r="X19" s="736"/>
      <c r="Y19" s="736"/>
      <c r="Z19" s="750"/>
      <c r="AA19" s="750"/>
      <c r="AB19" s="736"/>
      <c r="AC19" s="736"/>
      <c r="AD19" s="736">
        <f>+N19</f>
        <v>12</v>
      </c>
      <c r="AE19" s="736"/>
      <c r="AF19" s="736"/>
    </row>
    <row r="20" spans="1:36" hidden="1" outlineLevel="2" x14ac:dyDescent="0.25">
      <c r="A20" s="512" t="s">
        <v>175</v>
      </c>
      <c r="B20" s="470"/>
      <c r="C20" s="736"/>
      <c r="D20" s="736"/>
      <c r="E20" s="736"/>
      <c r="F20" s="736"/>
      <c r="G20" s="736"/>
      <c r="H20" s="736"/>
      <c r="I20" s="736"/>
      <c r="J20" s="752"/>
      <c r="K20" s="736"/>
      <c r="L20" s="736">
        <v>9</v>
      </c>
      <c r="M20" s="736">
        <v>9</v>
      </c>
      <c r="N20" s="752">
        <v>9</v>
      </c>
      <c r="O20" s="736">
        <v>9</v>
      </c>
      <c r="P20" s="736">
        <v>9</v>
      </c>
      <c r="Q20" s="753"/>
      <c r="R20" s="1089"/>
      <c r="S20" s="753"/>
      <c r="T20" s="736"/>
      <c r="U20" s="736"/>
      <c r="V20" s="752"/>
      <c r="W20" s="736"/>
      <c r="X20" s="736"/>
      <c r="Y20" s="736"/>
      <c r="Z20" s="750"/>
      <c r="AA20" s="750"/>
      <c r="AB20" s="736"/>
      <c r="AC20" s="736"/>
      <c r="AD20" s="736">
        <f t="shared" ref="AD20" si="0">+N20</f>
        <v>9</v>
      </c>
      <c r="AE20" s="736"/>
      <c r="AF20" s="736"/>
    </row>
    <row r="21" spans="1:36" hidden="1" outlineLevel="2" x14ac:dyDescent="0.25">
      <c r="A21" s="512" t="s">
        <v>606</v>
      </c>
      <c r="B21" s="470"/>
      <c r="C21" s="736"/>
      <c r="D21" s="736"/>
      <c r="E21" s="736"/>
      <c r="F21" s="736"/>
      <c r="G21" s="736"/>
      <c r="J21" s="1090"/>
      <c r="K21" s="736"/>
      <c r="N21" s="1090"/>
      <c r="R21" s="1090"/>
      <c r="V21" s="1410"/>
      <c r="AE21" s="794"/>
      <c r="AF21" s="794"/>
    </row>
    <row r="22" spans="1:36" s="761" customFormat="1" hidden="1" outlineLevel="2" x14ac:dyDescent="0.25">
      <c r="A22" s="505"/>
      <c r="C22" s="762"/>
      <c r="D22" s="762"/>
      <c r="E22" s="762"/>
      <c r="F22" s="762"/>
      <c r="G22" s="762"/>
      <c r="H22" s="762"/>
      <c r="I22" s="762"/>
      <c r="J22" s="763"/>
      <c r="K22" s="762"/>
      <c r="L22" s="762"/>
      <c r="M22" s="762"/>
      <c r="N22" s="763"/>
      <c r="O22" s="762"/>
      <c r="P22" s="762"/>
      <c r="Q22" s="762"/>
      <c r="R22" s="763"/>
      <c r="S22" s="762"/>
      <c r="T22" s="762"/>
      <c r="U22" s="762"/>
      <c r="V22" s="763"/>
      <c r="W22" s="762"/>
      <c r="X22" s="762"/>
      <c r="Y22" s="762"/>
      <c r="Z22" s="762"/>
      <c r="AA22" s="762"/>
      <c r="AB22" s="762"/>
      <c r="AC22" s="762"/>
      <c r="AD22" s="762"/>
      <c r="AE22" s="762"/>
      <c r="AF22" s="762"/>
    </row>
    <row r="23" spans="1:36" ht="11.25" hidden="1" customHeight="1" outlineLevel="1" collapsed="1" x14ac:dyDescent="0.25">
      <c r="A23" s="748" t="s">
        <v>415</v>
      </c>
      <c r="C23" s="744"/>
      <c r="D23" s="744"/>
      <c r="E23" s="744"/>
      <c r="F23" s="744"/>
      <c r="G23" s="744"/>
      <c r="H23" s="744"/>
      <c r="I23" s="744"/>
      <c r="J23" s="745"/>
      <c r="K23" s="744"/>
      <c r="L23" s="744"/>
      <c r="M23" s="744"/>
      <c r="N23" s="745"/>
      <c r="O23" s="744"/>
      <c r="P23" s="744"/>
      <c r="Q23" s="744"/>
      <c r="R23" s="745"/>
      <c r="S23" s="744"/>
      <c r="T23" s="736"/>
      <c r="U23" s="736"/>
      <c r="V23" s="752"/>
      <c r="W23" s="736"/>
      <c r="X23" s="736"/>
      <c r="Y23" s="736"/>
      <c r="Z23" s="736"/>
      <c r="AA23" s="736"/>
      <c r="AB23" s="744"/>
      <c r="AC23" s="744"/>
      <c r="AD23" s="744"/>
      <c r="AE23" s="736"/>
      <c r="AF23" s="736"/>
    </row>
    <row r="24" spans="1:36" s="794" customFormat="1" hidden="1" outlineLevel="1" x14ac:dyDescent="0.25">
      <c r="A24" s="793" t="s">
        <v>174</v>
      </c>
      <c r="B24" s="761"/>
      <c r="C24" s="736"/>
      <c r="D24" s="736"/>
      <c r="E24" s="736"/>
      <c r="F24" s="736"/>
      <c r="G24" s="736"/>
      <c r="H24" s="736"/>
      <c r="I24" s="736"/>
      <c r="J24" s="752">
        <f>+Daloopa!J438</f>
        <v>4000</v>
      </c>
      <c r="K24" s="736">
        <f>+Daloopa!K438</f>
        <v>4200</v>
      </c>
      <c r="L24" s="736">
        <f>+Daloopa!L438</f>
        <v>4700</v>
      </c>
      <c r="M24" s="736">
        <f>+Daloopa!M438</f>
        <v>5100</v>
      </c>
      <c r="N24" s="752">
        <f>+Daloopa!N438</f>
        <v>5500</v>
      </c>
      <c r="O24" s="736"/>
      <c r="P24" s="736"/>
      <c r="Q24" s="736"/>
      <c r="R24" s="752">
        <f>+'FA - Detailed Disclosure'!R196</f>
        <v>5800</v>
      </c>
      <c r="S24" s="736"/>
      <c r="T24" s="736"/>
      <c r="U24" s="736"/>
      <c r="V24" s="752"/>
      <c r="W24" s="736"/>
      <c r="X24" s="736"/>
      <c r="Y24" s="736"/>
      <c r="Z24" s="736"/>
      <c r="AA24" s="736"/>
      <c r="AB24" s="736"/>
      <c r="AC24" s="736">
        <f>+J24</f>
        <v>4000</v>
      </c>
      <c r="AD24" s="736">
        <f>+N24</f>
        <v>5500</v>
      </c>
      <c r="AE24" s="736">
        <f>+R24</f>
        <v>5800</v>
      </c>
      <c r="AF24" s="736"/>
    </row>
    <row r="25" spans="1:36" hidden="1" outlineLevel="1" x14ac:dyDescent="0.25">
      <c r="A25" s="512" t="s">
        <v>175</v>
      </c>
      <c r="B25" s="470"/>
      <c r="C25" s="736"/>
      <c r="D25" s="736"/>
      <c r="E25" s="736"/>
      <c r="F25" s="736"/>
      <c r="G25" s="736"/>
      <c r="H25" s="736"/>
      <c r="I25" s="736"/>
      <c r="J25" s="752"/>
      <c r="K25" s="736"/>
      <c r="L25" s="736">
        <v>5200</v>
      </c>
      <c r="M25" s="736"/>
      <c r="N25" s="752">
        <v>6000</v>
      </c>
      <c r="O25" s="736"/>
      <c r="P25" s="736"/>
      <c r="Q25" s="753"/>
      <c r="R25" s="836" t="s">
        <v>612</v>
      </c>
      <c r="S25" s="753"/>
      <c r="T25" s="736"/>
      <c r="U25" s="736"/>
      <c r="V25" s="752"/>
      <c r="W25" s="736"/>
      <c r="X25" s="736"/>
      <c r="Y25" s="736"/>
      <c r="Z25" s="750"/>
      <c r="AA25" s="750"/>
      <c r="AB25" s="736"/>
      <c r="AC25" s="736"/>
      <c r="AD25" s="736">
        <f t="shared" ref="AD25:AD26" si="1">+N25</f>
        <v>6000</v>
      </c>
      <c r="AE25" s="736" t="str">
        <f t="shared" ref="AE25:AE26" si="2">+R25</f>
        <v>&gt;6,000</v>
      </c>
      <c r="AF25" s="736"/>
    </row>
    <row r="26" spans="1:36" hidden="1" outlineLevel="1" x14ac:dyDescent="0.25">
      <c r="A26" s="512" t="s">
        <v>606</v>
      </c>
      <c r="B26" s="470"/>
      <c r="C26" s="736"/>
      <c r="D26" s="736"/>
      <c r="E26" s="736"/>
      <c r="F26" s="736"/>
      <c r="G26" s="736"/>
      <c r="H26" s="736"/>
      <c r="I26" s="736"/>
      <c r="J26" s="752"/>
      <c r="K26" s="736"/>
      <c r="L26" s="736">
        <v>2447</v>
      </c>
      <c r="M26" s="736"/>
      <c r="N26" s="752">
        <v>2760</v>
      </c>
      <c r="O26" s="736"/>
      <c r="P26" s="736"/>
      <c r="Q26" s="753"/>
      <c r="R26" s="752">
        <v>3078</v>
      </c>
      <c r="S26" s="753"/>
      <c r="T26" s="736"/>
      <c r="U26" s="736"/>
      <c r="V26" s="752"/>
      <c r="W26" s="736"/>
      <c r="X26" s="736"/>
      <c r="Y26" s="736"/>
      <c r="Z26" s="750"/>
      <c r="AA26" s="750"/>
      <c r="AB26" s="736"/>
      <c r="AC26" s="736"/>
      <c r="AD26" s="736">
        <f t="shared" si="1"/>
        <v>2760</v>
      </c>
      <c r="AE26" s="736">
        <f t="shared" si="2"/>
        <v>3078</v>
      </c>
      <c r="AF26" s="736"/>
    </row>
    <row r="27" spans="1:36" s="761" customFormat="1" hidden="1" outlineLevel="1" x14ac:dyDescent="0.25">
      <c r="A27" s="505"/>
      <c r="C27" s="762"/>
      <c r="D27" s="762"/>
      <c r="E27" s="762"/>
      <c r="F27" s="762"/>
      <c r="G27" s="762"/>
      <c r="H27" s="762"/>
      <c r="I27" s="762"/>
      <c r="J27" s="763"/>
      <c r="K27" s="762"/>
      <c r="L27" s="762"/>
      <c r="M27" s="762"/>
      <c r="N27" s="763"/>
      <c r="O27" s="762"/>
      <c r="P27" s="762"/>
      <c r="Q27" s="762"/>
      <c r="R27" s="763"/>
      <c r="S27" s="762"/>
      <c r="T27" s="762"/>
      <c r="U27" s="762"/>
      <c r="V27" s="763"/>
      <c r="W27" s="762"/>
      <c r="X27" s="762"/>
      <c r="Y27" s="762"/>
      <c r="Z27" s="762"/>
      <c r="AA27" s="762"/>
      <c r="AB27" s="762"/>
      <c r="AC27" s="762"/>
      <c r="AD27" s="762"/>
      <c r="AE27" s="762"/>
      <c r="AF27" s="762"/>
    </row>
    <row r="28" spans="1:36" ht="11.25" customHeight="1" collapsed="1" x14ac:dyDescent="0.25">
      <c r="A28" s="867" t="s">
        <v>613</v>
      </c>
      <c r="B28" s="868"/>
      <c r="C28" s="744"/>
      <c r="D28" s="744"/>
      <c r="E28" s="744"/>
      <c r="F28" s="744"/>
      <c r="G28" s="744"/>
      <c r="H28" s="744"/>
      <c r="I28" s="744"/>
      <c r="J28" s="745"/>
      <c r="K28" s="744"/>
      <c r="L28" s="744"/>
      <c r="M28" s="744"/>
      <c r="N28" s="745"/>
      <c r="O28" s="744"/>
      <c r="P28" s="744"/>
      <c r="Q28" s="744"/>
      <c r="R28" s="745"/>
      <c r="S28" s="744"/>
      <c r="T28" s="736"/>
      <c r="U28" s="736"/>
      <c r="V28" s="752"/>
      <c r="W28" s="736"/>
      <c r="X28" s="736"/>
      <c r="Y28" s="736"/>
      <c r="Z28" s="736"/>
      <c r="AA28" s="736"/>
      <c r="AB28" s="744"/>
      <c r="AC28" s="744"/>
      <c r="AD28" s="744"/>
      <c r="AE28" s="736"/>
      <c r="AF28" s="736"/>
    </row>
    <row r="29" spans="1:36" ht="11.25" customHeight="1" x14ac:dyDescent="0.25">
      <c r="A29" s="748"/>
      <c r="C29" s="744"/>
      <c r="D29" s="744"/>
      <c r="E29" s="744"/>
      <c r="F29" s="744"/>
      <c r="G29" s="744"/>
      <c r="H29" s="744"/>
      <c r="I29" s="744"/>
      <c r="J29" s="745"/>
      <c r="K29" s="744"/>
      <c r="L29" s="744"/>
      <c r="M29" s="744"/>
      <c r="N29" s="745"/>
      <c r="O29" s="744"/>
      <c r="P29" s="744"/>
      <c r="Q29" s="744"/>
      <c r="R29" s="745"/>
      <c r="S29" s="744"/>
      <c r="T29" s="736"/>
      <c r="U29" s="736"/>
      <c r="V29" s="752"/>
      <c r="W29" s="736"/>
      <c r="X29" s="736"/>
      <c r="Y29" s="736"/>
      <c r="Z29" s="736"/>
      <c r="AA29" s="736"/>
      <c r="AB29" s="744"/>
      <c r="AC29" s="744"/>
      <c r="AD29" s="744"/>
      <c r="AE29" s="736"/>
      <c r="AF29" s="736"/>
    </row>
    <row r="30" spans="1:36" ht="11.25" customHeight="1" x14ac:dyDescent="0.25">
      <c r="A30" s="748" t="s">
        <v>28</v>
      </c>
      <c r="C30" s="744"/>
      <c r="D30" s="744"/>
      <c r="E30" s="744"/>
      <c r="F30" s="744"/>
      <c r="G30" s="744"/>
      <c r="H30" s="744"/>
      <c r="I30" s="744"/>
      <c r="J30" s="745"/>
      <c r="K30" s="744"/>
      <c r="L30" s="744"/>
      <c r="M30" s="744"/>
      <c r="N30" s="745"/>
      <c r="O30" s="744"/>
      <c r="P30" s="744"/>
      <c r="Q30" s="744"/>
      <c r="R30" s="745"/>
      <c r="S30" s="744"/>
      <c r="T30" s="736"/>
      <c r="U30" s="736"/>
      <c r="V30" s="752"/>
      <c r="W30" s="736"/>
      <c r="X30" s="736"/>
      <c r="Y30" s="736"/>
      <c r="Z30" s="736"/>
      <c r="AA30" s="736"/>
      <c r="AB30" s="744"/>
      <c r="AC30" s="744"/>
      <c r="AD30" s="744"/>
      <c r="AE30" s="736"/>
      <c r="AF30" s="736"/>
    </row>
    <row r="31" spans="1:36" x14ac:dyDescent="0.25">
      <c r="A31" s="512" t="s">
        <v>174</v>
      </c>
      <c r="B31" s="470"/>
      <c r="C31" s="736">
        <f>+'FA - Historical Financials'!C12</f>
        <v>109.687</v>
      </c>
      <c r="D31" s="736">
        <f>+'FA - Historical Financials'!D12</f>
        <v>121.621</v>
      </c>
      <c r="E31" s="736">
        <f>+'FA - Historical Financials'!E12</f>
        <v>123.76900000000001</v>
      </c>
      <c r="F31" s="736">
        <f>+'FA - Historical Financials'!F12</f>
        <v>126.68999999999994</v>
      </c>
      <c r="G31" s="736">
        <f>+'FA - Historical Financials'!G12</f>
        <v>110.839</v>
      </c>
      <c r="H31" s="736">
        <f>+'FA - Historical Financials'!H12</f>
        <v>104.99299999999999</v>
      </c>
      <c r="I31" s="736">
        <f>+'FA - Historical Financials'!I12</f>
        <v>136.77799999999999</v>
      </c>
      <c r="J31" s="752">
        <f>+'FA - Historical Financials'!J12</f>
        <v>156.54399999999993</v>
      </c>
      <c r="K31" s="736">
        <f>+'FA - Historical Financials'!K12</f>
        <v>132.07</v>
      </c>
      <c r="L31" s="736">
        <f>+'FA - Historical Financials'!L12</f>
        <v>174.82599999999999</v>
      </c>
      <c r="M31" s="736">
        <f>+'FA - Historical Financials'!M12</f>
        <v>192.86699999999999</v>
      </c>
      <c r="N31" s="752">
        <f>+'FA - Historical Financials'!N12</f>
        <v>212.53200000000015</v>
      </c>
      <c r="O31" s="736">
        <f>+'FA - Historical Financials'!O12</f>
        <v>189.881</v>
      </c>
      <c r="P31" s="736">
        <f>+'FA - Historical Financials'!P12</f>
        <v>201.56100000000001</v>
      </c>
      <c r="Q31" s="736">
        <f>+'FA - Historical Financials'!Q12</f>
        <v>205.98599999999999</v>
      </c>
      <c r="R31" s="752">
        <f>+'FA - Historical Financials'!R12</f>
        <v>212.595</v>
      </c>
      <c r="S31" s="736">
        <f>+'FA - Historical Financials'!S12</f>
        <v>175.52</v>
      </c>
      <c r="T31" s="736">
        <f>+'FA - Historical Financials'!T12</f>
        <v>185.315</v>
      </c>
      <c r="U31" s="736">
        <f>+'FA - Historical Financials'!U12</f>
        <v>200.364</v>
      </c>
      <c r="V31" s="752">
        <f>+'FA - Historical Financials'!V12</f>
        <v>202.56199999999998</v>
      </c>
      <c r="W31" s="736">
        <f>+'FA - Historical Financials'!W12</f>
        <v>169.416</v>
      </c>
      <c r="X31" s="736">
        <f>+'FA - Historical Financials'!X12</f>
        <v>184.54599999999999</v>
      </c>
      <c r="Y31" s="736">
        <f>+'FA - Historical Financials'!Y12</f>
        <v>199.119</v>
      </c>
      <c r="Z31" s="750"/>
      <c r="AA31" s="750"/>
      <c r="AB31" s="736">
        <f>+'FA - Historical Financials'!AG12</f>
        <v>481.76699999999994</v>
      </c>
      <c r="AC31" s="736">
        <f>+'FA - Historical Financials'!AH12</f>
        <v>509.15399999999994</v>
      </c>
      <c r="AD31" s="736">
        <f>+'FA - Historical Financials'!AI12</f>
        <v>712.29500000000007</v>
      </c>
      <c r="AE31" s="736">
        <f>SUM(O31:R31)</f>
        <v>810.02300000000002</v>
      </c>
      <c r="AF31" s="736">
        <f>SUM(S31:V31)</f>
        <v>763.76100000000008</v>
      </c>
      <c r="AG31" s="1091">
        <f>+AF31/6000</f>
        <v>0.1272935</v>
      </c>
      <c r="AJ31" s="460">
        <f>CORREL(G66:U66,G67:U67)</f>
        <v>0.92025969672612751</v>
      </c>
    </row>
    <row r="32" spans="1:36" x14ac:dyDescent="0.25">
      <c r="A32" s="512" t="s">
        <v>175</v>
      </c>
      <c r="B32" s="470"/>
      <c r="C32" s="736">
        <v>110.521</v>
      </c>
      <c r="D32" s="736">
        <v>132.40029999999999</v>
      </c>
      <c r="E32" s="736">
        <v>132.7653</v>
      </c>
      <c r="F32" s="736">
        <v>121.429</v>
      </c>
      <c r="G32" s="736">
        <v>119.376</v>
      </c>
      <c r="H32" s="736">
        <v>88.570999999999998</v>
      </c>
      <c r="I32" s="736">
        <v>117.6023</v>
      </c>
      <c r="J32" s="752">
        <v>128.5033</v>
      </c>
      <c r="K32" s="736">
        <v>139.37</v>
      </c>
      <c r="L32" s="736">
        <v>159.328</v>
      </c>
      <c r="M32" s="736">
        <v>169.55699999999999</v>
      </c>
      <c r="N32" s="752">
        <v>173.62899999999999</v>
      </c>
      <c r="O32" s="736">
        <v>191.97200000000001</v>
      </c>
      <c r="P32" s="736">
        <v>205.59100000000001</v>
      </c>
      <c r="Q32" s="736">
        <v>199.29900000000001</v>
      </c>
      <c r="R32" s="752">
        <v>169.92</v>
      </c>
      <c r="S32" s="736">
        <v>179.274</v>
      </c>
      <c r="T32" s="736">
        <v>190.38399999999999</v>
      </c>
      <c r="U32" s="736">
        <v>180.566</v>
      </c>
      <c r="V32" s="752">
        <f>+AF32-SUM(S32:U32)</f>
        <v>169.41599999999994</v>
      </c>
      <c r="W32" s="736">
        <v>185.999</v>
      </c>
      <c r="X32" s="736">
        <v>200.52799999999999</v>
      </c>
      <c r="Y32" s="736">
        <f>+'STER - Detailed Disclosure (mm)'!Y8</f>
        <v>195.5</v>
      </c>
      <c r="Z32" s="750"/>
      <c r="AA32" s="750"/>
      <c r="AB32" s="736">
        <v>497.11559999999997</v>
      </c>
      <c r="AC32" s="736">
        <v>454.05259999999998</v>
      </c>
      <c r="AD32" s="736">
        <v>641.88400000000001</v>
      </c>
      <c r="AE32" s="736">
        <f t="shared" ref="AE32:AE33" si="3">SUM(O32:R32)</f>
        <v>766.78199999999993</v>
      </c>
      <c r="AF32" s="736">
        <v>719.64</v>
      </c>
      <c r="AG32" s="1091">
        <f t="shared" ref="AG32:AG33" si="4">+AF32/6000</f>
        <v>0.11993999999999999</v>
      </c>
      <c r="AJ32" s="460">
        <f>CORREL(G66:U66,G68:U68)</f>
        <v>0.88027194729380431</v>
      </c>
    </row>
    <row r="33" spans="1:33" s="789" customFormat="1" ht="13" x14ac:dyDescent="0.4">
      <c r="A33" s="512" t="s">
        <v>606</v>
      </c>
      <c r="B33" s="783"/>
      <c r="C33" s="784">
        <v>156.02110000000002</v>
      </c>
      <c r="D33" s="784">
        <v>172.18439999999998</v>
      </c>
      <c r="E33" s="784">
        <v>166.14439999999999</v>
      </c>
      <c r="F33" s="784">
        <v>153.2039</v>
      </c>
      <c r="G33" s="784">
        <v>154.79179999999999</v>
      </c>
      <c r="H33" s="784">
        <v>104.6553</v>
      </c>
      <c r="I33" s="784">
        <v>130.67339999999999</v>
      </c>
      <c r="J33" s="785">
        <v>150.1028</v>
      </c>
      <c r="K33" s="784">
        <v>149.5573</v>
      </c>
      <c r="L33" s="784">
        <v>176.98390000000001</v>
      </c>
      <c r="M33" s="784">
        <v>204.98099999999999</v>
      </c>
      <c r="N33" s="785">
        <v>198.53399999999999</v>
      </c>
      <c r="O33" s="784">
        <v>198.71100000000001</v>
      </c>
      <c r="P33" s="784">
        <v>222.292</v>
      </c>
      <c r="Q33" s="784">
        <v>210.303</v>
      </c>
      <c r="R33" s="785">
        <v>175.36199999999999</v>
      </c>
      <c r="S33" s="757">
        <v>175.447</v>
      </c>
      <c r="T33" s="757">
        <v>192.124</v>
      </c>
      <c r="U33" s="757">
        <v>188.262</v>
      </c>
      <c r="V33" s="758">
        <f>+AF33-SUM(S33:U33)</f>
        <v>166.06699999999989</v>
      </c>
      <c r="W33" s="757">
        <v>173.2</v>
      </c>
      <c r="X33" s="757"/>
      <c r="Y33" s="757"/>
      <c r="Z33" s="750"/>
      <c r="AA33" s="750"/>
      <c r="AB33" s="784">
        <f>SUM(C33:F33)</f>
        <v>647.55380000000002</v>
      </c>
      <c r="AC33" s="784">
        <f>SUM(G33:J33)</f>
        <v>540.22329999999999</v>
      </c>
      <c r="AD33" s="784">
        <f>SUM(K33:N33)</f>
        <v>730.05619999999999</v>
      </c>
      <c r="AE33" s="757">
        <f t="shared" si="3"/>
        <v>806.66800000000001</v>
      </c>
      <c r="AF33" s="757">
        <v>721.9</v>
      </c>
      <c r="AG33" s="1091">
        <f t="shared" si="4"/>
        <v>0.12031666666666667</v>
      </c>
    </row>
    <row r="34" spans="1:33" s="761" customFormat="1" x14ac:dyDescent="0.25">
      <c r="A34" s="505" t="s">
        <v>216</v>
      </c>
      <c r="C34" s="762">
        <f t="shared" ref="C34:W34" si="5">SUM(C31:C33)</f>
        <v>376.22910000000002</v>
      </c>
      <c r="D34" s="762">
        <f t="shared" si="5"/>
        <v>426.20569999999998</v>
      </c>
      <c r="E34" s="762">
        <f t="shared" si="5"/>
        <v>422.67870000000005</v>
      </c>
      <c r="F34" s="762">
        <f t="shared" si="5"/>
        <v>401.32289999999995</v>
      </c>
      <c r="G34" s="762">
        <f t="shared" si="5"/>
        <v>385.0068</v>
      </c>
      <c r="H34" s="762">
        <f t="shared" si="5"/>
        <v>298.21929999999998</v>
      </c>
      <c r="I34" s="762">
        <f t="shared" si="5"/>
        <v>385.05369999999994</v>
      </c>
      <c r="J34" s="763">
        <f t="shared" si="5"/>
        <v>435.15009999999995</v>
      </c>
      <c r="K34" s="762">
        <f t="shared" si="5"/>
        <v>420.9973</v>
      </c>
      <c r="L34" s="762">
        <f t="shared" si="5"/>
        <v>511.1379</v>
      </c>
      <c r="M34" s="762">
        <f t="shared" si="5"/>
        <v>567.40499999999997</v>
      </c>
      <c r="N34" s="763">
        <f t="shared" si="5"/>
        <v>584.69500000000016</v>
      </c>
      <c r="O34" s="762">
        <f t="shared" si="5"/>
        <v>580.56400000000008</v>
      </c>
      <c r="P34" s="762">
        <f t="shared" si="5"/>
        <v>629.44400000000007</v>
      </c>
      <c r="Q34" s="762">
        <f t="shared" si="5"/>
        <v>615.58799999999997</v>
      </c>
      <c r="R34" s="763">
        <f t="shared" si="5"/>
        <v>557.87699999999995</v>
      </c>
      <c r="S34" s="762">
        <f t="shared" si="5"/>
        <v>530.24099999999999</v>
      </c>
      <c r="T34" s="762">
        <f t="shared" si="5"/>
        <v>567.82299999999998</v>
      </c>
      <c r="U34" s="762">
        <f t="shared" si="5"/>
        <v>569.19200000000001</v>
      </c>
      <c r="V34" s="763">
        <f t="shared" si="5"/>
        <v>538.04499999999985</v>
      </c>
      <c r="W34" s="762">
        <f t="shared" si="5"/>
        <v>528.61500000000001</v>
      </c>
      <c r="X34" s="762"/>
      <c r="Y34" s="762"/>
      <c r="Z34" s="750"/>
      <c r="AA34" s="750"/>
      <c r="AB34" s="762">
        <f>SUM(AB31:AB33)</f>
        <v>1626.4364</v>
      </c>
      <c r="AC34" s="762">
        <f>SUM(AC31:AC33)</f>
        <v>1503.4299000000001</v>
      </c>
      <c r="AD34" s="762">
        <f>SUM(AD31:AD33)</f>
        <v>2084.2352000000001</v>
      </c>
      <c r="AE34" s="762">
        <f>SUM(AE31:AE33)</f>
        <v>2383.473</v>
      </c>
      <c r="AF34" s="762">
        <f>SUM(AF31:AF33)</f>
        <v>2205.3009999999999</v>
      </c>
    </row>
    <row r="35" spans="1:33" s="761" customFormat="1" hidden="1" outlineLevel="1" x14ac:dyDescent="0.25">
      <c r="A35" s="505"/>
      <c r="C35" s="762"/>
      <c r="D35" s="762"/>
      <c r="E35" s="762"/>
      <c r="F35" s="762"/>
      <c r="G35" s="762"/>
      <c r="H35" s="762"/>
      <c r="I35" s="762"/>
      <c r="J35" s="763"/>
      <c r="K35" s="762"/>
      <c r="L35" s="762"/>
      <c r="M35" s="762"/>
      <c r="N35" s="763"/>
      <c r="O35" s="762"/>
      <c r="P35" s="762"/>
      <c r="Q35" s="762"/>
      <c r="R35" s="763"/>
      <c r="S35" s="762"/>
      <c r="T35" s="762"/>
      <c r="U35" s="762"/>
      <c r="V35" s="763"/>
      <c r="W35" s="762"/>
      <c r="X35" s="762"/>
      <c r="Y35" s="762"/>
      <c r="Z35" s="750"/>
      <c r="AA35" s="750"/>
      <c r="AB35" s="762"/>
      <c r="AC35" s="762"/>
      <c r="AD35" s="762"/>
      <c r="AE35" s="762"/>
      <c r="AF35" s="762"/>
    </row>
    <row r="36" spans="1:33" hidden="1" outlineLevel="1" x14ac:dyDescent="0.25">
      <c r="A36" s="512" t="s">
        <v>614</v>
      </c>
      <c r="B36" s="470"/>
      <c r="C36" s="736">
        <v>148.9</v>
      </c>
      <c r="D36" s="736">
        <v>172.3</v>
      </c>
      <c r="E36" s="736">
        <v>185.3</v>
      </c>
      <c r="F36" s="736">
        <v>193.6</v>
      </c>
      <c r="G36" s="736">
        <v>220.2</v>
      </c>
      <c r="H36" s="736">
        <v>251.9</v>
      </c>
      <c r="I36" s="736">
        <v>301.10000000000002</v>
      </c>
      <c r="J36" s="752">
        <v>330</v>
      </c>
      <c r="K36" s="736">
        <v>385.2</v>
      </c>
      <c r="L36" s="736">
        <v>394.5</v>
      </c>
      <c r="M36" s="736">
        <v>402.7</v>
      </c>
      <c r="N36" s="752">
        <v>426.6</v>
      </c>
      <c r="O36" s="736">
        <v>513.29999999999995</v>
      </c>
      <c r="P36" s="736">
        <v>504.5</v>
      </c>
      <c r="Q36" s="736">
        <v>454.5</v>
      </c>
      <c r="R36" s="752">
        <v>398.70000000000005</v>
      </c>
      <c r="S36" s="736">
        <v>455.8</v>
      </c>
      <c r="T36" s="736">
        <v>474</v>
      </c>
      <c r="U36" s="736">
        <v>459.3</v>
      </c>
      <c r="V36" s="752"/>
      <c r="W36" s="736"/>
      <c r="X36" s="736"/>
      <c r="Y36" s="736"/>
      <c r="Z36" s="750"/>
      <c r="AA36" s="750"/>
      <c r="AB36" s="736">
        <f t="shared" ref="AB36:AB38" si="6">SUM(C36:F36)</f>
        <v>700.1</v>
      </c>
      <c r="AC36" s="736">
        <f t="shared" ref="AC36:AC38" si="7">SUM(G36:J36)</f>
        <v>1103.2</v>
      </c>
      <c r="AD36" s="736">
        <f t="shared" ref="AD36:AD38" si="8">SUM(K36:N36)</f>
        <v>1609</v>
      </c>
      <c r="AE36" s="736">
        <f t="shared" ref="AE36:AE38" si="9">SUM(O36:R36)</f>
        <v>1871</v>
      </c>
      <c r="AF36" s="736"/>
    </row>
    <row r="37" spans="1:33" s="789" customFormat="1" hidden="1" outlineLevel="1" x14ac:dyDescent="0.25">
      <c r="A37" s="512" t="s">
        <v>615</v>
      </c>
      <c r="B37" s="783"/>
      <c r="C37" s="784">
        <v>79.599999999999994</v>
      </c>
      <c r="D37" s="784">
        <v>57.8</v>
      </c>
      <c r="E37" s="784">
        <v>55.3</v>
      </c>
      <c r="F37" s="784">
        <v>56.9</v>
      </c>
      <c r="G37" s="784">
        <v>87.515000000000001</v>
      </c>
      <c r="H37" s="784">
        <v>107.015</v>
      </c>
      <c r="I37" s="784">
        <v>81.615000000000009</v>
      </c>
      <c r="J37" s="785">
        <v>82.415000000000006</v>
      </c>
      <c r="K37" s="784">
        <v>102</v>
      </c>
      <c r="L37" s="784">
        <v>107.5</v>
      </c>
      <c r="M37" s="784">
        <v>111.89999999999999</v>
      </c>
      <c r="N37" s="785">
        <v>105</v>
      </c>
      <c r="O37" s="784">
        <v>135.69999999999999</v>
      </c>
      <c r="P37" s="784">
        <v>104.7</v>
      </c>
      <c r="Q37" s="784">
        <v>104.4</v>
      </c>
      <c r="R37" s="785">
        <v>109.60000000000002</v>
      </c>
      <c r="S37" s="784">
        <v>140.5</v>
      </c>
      <c r="T37" s="784">
        <v>108.8</v>
      </c>
      <c r="U37" s="784">
        <v>117.9</v>
      </c>
      <c r="V37" s="785"/>
      <c r="W37" s="784"/>
      <c r="X37" s="784"/>
      <c r="Y37" s="784"/>
      <c r="Z37" s="912"/>
      <c r="AA37" s="912"/>
      <c r="AB37" s="784">
        <f t="shared" si="6"/>
        <v>249.6</v>
      </c>
      <c r="AC37" s="784">
        <f t="shared" si="7"/>
        <v>358.56</v>
      </c>
      <c r="AD37" s="784">
        <f t="shared" si="8"/>
        <v>426.4</v>
      </c>
      <c r="AE37" s="784">
        <f t="shared" si="9"/>
        <v>454.4</v>
      </c>
      <c r="AF37" s="784"/>
    </row>
    <row r="38" spans="1:33" hidden="1" outlineLevel="1" x14ac:dyDescent="0.25">
      <c r="A38" s="474" t="s">
        <v>616</v>
      </c>
      <c r="B38" s="470"/>
      <c r="C38" s="736">
        <v>228.5</v>
      </c>
      <c r="D38" s="736">
        <v>230.10000000000002</v>
      </c>
      <c r="E38" s="736">
        <v>240.60000000000002</v>
      </c>
      <c r="F38" s="736">
        <v>250.5</v>
      </c>
      <c r="G38" s="736">
        <v>307.71499999999997</v>
      </c>
      <c r="H38" s="736">
        <v>358.91500000000002</v>
      </c>
      <c r="I38" s="736">
        <v>382.71500000000003</v>
      </c>
      <c r="J38" s="752">
        <v>412.41500000000002</v>
      </c>
      <c r="K38" s="736">
        <v>487.2</v>
      </c>
      <c r="L38" s="736">
        <v>502</v>
      </c>
      <c r="M38" s="736">
        <v>514.6</v>
      </c>
      <c r="N38" s="752">
        <v>531.6</v>
      </c>
      <c r="O38" s="736">
        <v>649</v>
      </c>
      <c r="P38" s="736">
        <v>609.20000000000005</v>
      </c>
      <c r="Q38" s="736">
        <v>558.9</v>
      </c>
      <c r="R38" s="752">
        <v>508.40000000000003</v>
      </c>
      <c r="S38" s="736">
        <f>+SUM(S36:S37)</f>
        <v>596.29999999999995</v>
      </c>
      <c r="T38" s="736">
        <f t="shared" ref="T38:U38" si="10">+SUM(T36:T37)</f>
        <v>582.79999999999995</v>
      </c>
      <c r="U38" s="736">
        <f t="shared" si="10"/>
        <v>577.20000000000005</v>
      </c>
      <c r="V38" s="752"/>
      <c r="W38" s="736"/>
      <c r="X38" s="736"/>
      <c r="Y38" s="736"/>
      <c r="Z38" s="750"/>
      <c r="AA38" s="750"/>
      <c r="AB38" s="736">
        <f t="shared" si="6"/>
        <v>949.7</v>
      </c>
      <c r="AC38" s="736">
        <f t="shared" si="7"/>
        <v>1461.76</v>
      </c>
      <c r="AD38" s="736">
        <f t="shared" si="8"/>
        <v>2035.4</v>
      </c>
      <c r="AE38" s="736">
        <f t="shared" si="9"/>
        <v>2325.5</v>
      </c>
      <c r="AF38" s="736"/>
    </row>
    <row r="39" spans="1:33" ht="12" collapsed="1" x14ac:dyDescent="0.3">
      <c r="A39" s="778"/>
      <c r="B39" s="470"/>
      <c r="C39" s="744"/>
      <c r="D39" s="689"/>
      <c r="E39" s="689"/>
      <c r="F39" s="689"/>
      <c r="G39" s="689"/>
      <c r="H39" s="689"/>
      <c r="I39" s="689"/>
      <c r="J39" s="779"/>
      <c r="K39" s="689"/>
      <c r="L39" s="689"/>
      <c r="M39" s="689"/>
      <c r="N39" s="779"/>
      <c r="O39" s="689"/>
      <c r="P39" s="780"/>
      <c r="Q39" s="780"/>
      <c r="R39" s="1092"/>
      <c r="S39" s="780"/>
      <c r="T39" s="799"/>
      <c r="U39" s="799"/>
      <c r="V39" s="913"/>
      <c r="W39" s="799"/>
      <c r="X39" s="799"/>
      <c r="Y39" s="799"/>
      <c r="Z39" s="744"/>
      <c r="AA39" s="744"/>
      <c r="AB39" s="689"/>
      <c r="AC39" s="689"/>
      <c r="AD39" s="689"/>
      <c r="AE39" s="799"/>
      <c r="AF39" s="799"/>
    </row>
    <row r="40" spans="1:33" ht="12" hidden="1" outlineLevel="1" x14ac:dyDescent="0.3">
      <c r="A40" s="782" t="s">
        <v>228</v>
      </c>
      <c r="B40" s="470"/>
      <c r="C40" s="736"/>
      <c r="D40" s="736"/>
      <c r="E40" s="736"/>
      <c r="F40" s="736"/>
      <c r="G40" s="736"/>
      <c r="H40" s="736"/>
      <c r="I40" s="736"/>
      <c r="J40" s="752"/>
      <c r="K40" s="736"/>
      <c r="L40" s="736"/>
      <c r="M40" s="736"/>
      <c r="N40" s="752"/>
      <c r="O40" s="736"/>
      <c r="P40" s="736"/>
      <c r="Q40" s="736"/>
      <c r="R40" s="752"/>
      <c r="S40" s="736"/>
      <c r="T40" s="736"/>
      <c r="U40" s="736"/>
      <c r="V40" s="752"/>
      <c r="W40" s="736"/>
      <c r="X40" s="736"/>
      <c r="Y40" s="736"/>
      <c r="Z40" s="736"/>
      <c r="AA40" s="736"/>
      <c r="AB40" s="736"/>
      <c r="AC40" s="736"/>
      <c r="AD40" s="736"/>
      <c r="AE40" s="736"/>
      <c r="AF40" s="736"/>
    </row>
    <row r="41" spans="1:33" ht="12" hidden="1" outlineLevel="1" x14ac:dyDescent="0.3">
      <c r="A41" s="778" t="str">
        <f>+A31</f>
        <v>FA</v>
      </c>
      <c r="B41" s="470"/>
      <c r="C41" s="736"/>
      <c r="D41" s="736"/>
      <c r="E41" s="736"/>
      <c r="F41" s="736"/>
      <c r="G41" s="689">
        <f t="shared" ref="G41:U41" si="11">+G31/F31-1</f>
        <v>-0.12511642592154038</v>
      </c>
      <c r="H41" s="689">
        <f t="shared" si="11"/>
        <v>-5.2743168018477338E-2</v>
      </c>
      <c r="I41" s="689">
        <f t="shared" si="11"/>
        <v>0.30273446801215309</v>
      </c>
      <c r="J41" s="779">
        <f t="shared" si="11"/>
        <v>0.14451154425419244</v>
      </c>
      <c r="K41" s="689">
        <f t="shared" si="11"/>
        <v>-0.15633943172526543</v>
      </c>
      <c r="L41" s="689">
        <f t="shared" si="11"/>
        <v>0.32373741197849637</v>
      </c>
      <c r="M41" s="689">
        <f t="shared" si="11"/>
        <v>0.10319403292416451</v>
      </c>
      <c r="N41" s="779">
        <f t="shared" si="11"/>
        <v>0.10196145530339651</v>
      </c>
      <c r="O41" s="689">
        <f t="shared" si="11"/>
        <v>-0.10657689195038933</v>
      </c>
      <c r="P41" s="689">
        <f t="shared" si="11"/>
        <v>6.1512210279069501E-2</v>
      </c>
      <c r="Q41" s="689">
        <f t="shared" si="11"/>
        <v>2.195365174810604E-2</v>
      </c>
      <c r="R41" s="779">
        <f t="shared" si="11"/>
        <v>3.2084704785762197E-2</v>
      </c>
      <c r="S41" s="689">
        <f t="shared" si="11"/>
        <v>-0.17439262447376458</v>
      </c>
      <c r="T41" s="799">
        <f t="shared" si="11"/>
        <v>5.5805606198723767E-2</v>
      </c>
      <c r="U41" s="799">
        <f t="shared" si="11"/>
        <v>8.1207673420931936E-2</v>
      </c>
      <c r="V41" s="913">
        <f>+V31/U31-1</f>
        <v>1.0970034537142404E-2</v>
      </c>
      <c r="W41" s="799"/>
      <c r="X41" s="799"/>
      <c r="Y41" s="799"/>
      <c r="Z41" s="736"/>
      <c r="AA41" s="736"/>
      <c r="AB41" s="689"/>
      <c r="AC41" s="689"/>
      <c r="AD41" s="689"/>
      <c r="AE41" s="799"/>
      <c r="AF41" s="799"/>
    </row>
    <row r="42" spans="1:33" ht="12" hidden="1" outlineLevel="1" x14ac:dyDescent="0.3">
      <c r="A42" s="778" t="str">
        <f t="shared" ref="A42:A44" si="12">+A32</f>
        <v>STER</v>
      </c>
      <c r="B42" s="470"/>
      <c r="C42" s="736"/>
      <c r="D42" s="736"/>
      <c r="E42" s="736"/>
      <c r="F42" s="736"/>
      <c r="G42" s="689">
        <f t="shared" ref="G42:V42" si="13">+G32/F32-1</f>
        <v>-1.6906999151767632E-2</v>
      </c>
      <c r="H42" s="689">
        <f t="shared" si="13"/>
        <v>-0.25805019434392173</v>
      </c>
      <c r="I42" s="689">
        <f t="shared" si="13"/>
        <v>0.32777432794029648</v>
      </c>
      <c r="J42" s="779">
        <f t="shared" si="13"/>
        <v>9.2693765343024648E-2</v>
      </c>
      <c r="K42" s="689">
        <f t="shared" si="13"/>
        <v>8.4563587082977731E-2</v>
      </c>
      <c r="L42" s="689">
        <f t="shared" si="13"/>
        <v>0.14320154983138411</v>
      </c>
      <c r="M42" s="689">
        <f t="shared" si="13"/>
        <v>6.4200893753765698E-2</v>
      </c>
      <c r="N42" s="779">
        <f t="shared" si="13"/>
        <v>2.4015522803541023E-2</v>
      </c>
      <c r="O42" s="689">
        <f t="shared" si="13"/>
        <v>0.10564479436038932</v>
      </c>
      <c r="P42" s="689">
        <f t="shared" si="13"/>
        <v>7.0942637467964031E-2</v>
      </c>
      <c r="Q42" s="689">
        <f t="shared" si="13"/>
        <v>-3.0604452529536808E-2</v>
      </c>
      <c r="R42" s="779">
        <f t="shared" si="13"/>
        <v>-0.14741167793114873</v>
      </c>
      <c r="S42" s="689">
        <f t="shared" si="13"/>
        <v>5.5049435028248661E-2</v>
      </c>
      <c r="T42" s="799">
        <f t="shared" si="13"/>
        <v>6.1972176668116941E-2</v>
      </c>
      <c r="U42" s="799">
        <f t="shared" si="13"/>
        <v>-5.1569459618455271E-2</v>
      </c>
      <c r="V42" s="913">
        <f t="shared" si="13"/>
        <v>-6.1750274137988725E-2</v>
      </c>
      <c r="W42" s="799"/>
      <c r="X42" s="799"/>
      <c r="Y42" s="799"/>
      <c r="Z42" s="736"/>
      <c r="AA42" s="736"/>
      <c r="AB42" s="689"/>
      <c r="AC42" s="689"/>
      <c r="AD42" s="689"/>
      <c r="AE42" s="799"/>
      <c r="AF42" s="799"/>
    </row>
    <row r="43" spans="1:33" s="789" customFormat="1" ht="12" hidden="1" outlineLevel="1" x14ac:dyDescent="0.3">
      <c r="A43" s="778" t="str">
        <f t="shared" si="12"/>
        <v>HRT</v>
      </c>
      <c r="B43" s="783"/>
      <c r="C43" s="784"/>
      <c r="D43" s="784"/>
      <c r="E43" s="784"/>
      <c r="F43" s="784"/>
      <c r="G43" s="786">
        <f t="shared" ref="G43:V43" si="14">+G33/F33-1</f>
        <v>1.0364618655269053E-2</v>
      </c>
      <c r="H43" s="786">
        <f t="shared" si="14"/>
        <v>-0.32389635626693403</v>
      </c>
      <c r="I43" s="786">
        <f t="shared" si="14"/>
        <v>0.24860757171399817</v>
      </c>
      <c r="J43" s="787">
        <f t="shared" si="14"/>
        <v>0.1486867258370872</v>
      </c>
      <c r="K43" s="786">
        <f t="shared" si="14"/>
        <v>-3.6341760446840787E-3</v>
      </c>
      <c r="L43" s="786">
        <f t="shared" si="14"/>
        <v>0.18338523094492887</v>
      </c>
      <c r="M43" s="786">
        <f t="shared" si="14"/>
        <v>0.15819009525725214</v>
      </c>
      <c r="N43" s="787">
        <f t="shared" si="14"/>
        <v>-3.1451695522999756E-2</v>
      </c>
      <c r="O43" s="786">
        <f t="shared" si="14"/>
        <v>8.9153495119242976E-4</v>
      </c>
      <c r="P43" s="786">
        <f t="shared" si="14"/>
        <v>0.11866982703524198</v>
      </c>
      <c r="Q43" s="786">
        <f t="shared" si="14"/>
        <v>-5.3933564860633831E-2</v>
      </c>
      <c r="R43" s="787">
        <f t="shared" si="14"/>
        <v>-0.16614598935821179</v>
      </c>
      <c r="S43" s="786">
        <f t="shared" si="14"/>
        <v>4.8471162509566845E-4</v>
      </c>
      <c r="T43" s="800">
        <f t="shared" si="14"/>
        <v>9.5054346896783493E-2</v>
      </c>
      <c r="U43" s="800">
        <f t="shared" si="14"/>
        <v>-2.0101601049322237E-2</v>
      </c>
      <c r="V43" s="1097">
        <f t="shared" si="14"/>
        <v>-0.11789421125877819</v>
      </c>
      <c r="W43" s="800"/>
      <c r="X43" s="800"/>
      <c r="Y43" s="800"/>
      <c r="Z43" s="784"/>
      <c r="AA43" s="784"/>
      <c r="AB43" s="786"/>
      <c r="AC43" s="786"/>
      <c r="AD43" s="786"/>
      <c r="AE43" s="800"/>
      <c r="AF43" s="800"/>
    </row>
    <row r="44" spans="1:33" s="470" customFormat="1" hidden="1" outlineLevel="1" x14ac:dyDescent="0.25">
      <c r="A44" s="766" t="str">
        <f t="shared" si="12"/>
        <v>Total Revenue</v>
      </c>
      <c r="C44" s="767"/>
      <c r="D44" s="767"/>
      <c r="E44" s="767"/>
      <c r="F44" s="767"/>
      <c r="G44" s="769">
        <f t="shared" ref="G44:V44" si="15">+G34/F34-1</f>
        <v>-4.0655791134769359E-2</v>
      </c>
      <c r="H44" s="769">
        <f t="shared" si="15"/>
        <v>-0.22541809651154221</v>
      </c>
      <c r="I44" s="769">
        <f t="shared" si="15"/>
        <v>0.29117632561004592</v>
      </c>
      <c r="J44" s="770">
        <f t="shared" si="15"/>
        <v>0.13010237273398495</v>
      </c>
      <c r="K44" s="769">
        <f t="shared" si="15"/>
        <v>-3.2523949781925743E-2</v>
      </c>
      <c r="L44" s="769">
        <f t="shared" si="15"/>
        <v>0.21411206200134769</v>
      </c>
      <c r="M44" s="769">
        <f t="shared" si="15"/>
        <v>0.11008203461335975</v>
      </c>
      <c r="N44" s="770">
        <f t="shared" si="15"/>
        <v>3.0472061402349704E-2</v>
      </c>
      <c r="O44" s="769">
        <f t="shared" si="15"/>
        <v>-7.0652220388408571E-3</v>
      </c>
      <c r="P44" s="769">
        <f t="shared" si="15"/>
        <v>8.4193990671140417E-2</v>
      </c>
      <c r="Q44" s="769">
        <f t="shared" si="15"/>
        <v>-2.2013078208705017E-2</v>
      </c>
      <c r="R44" s="770">
        <f t="shared" si="15"/>
        <v>-9.3749390826331935E-2</v>
      </c>
      <c r="S44" s="769">
        <f t="shared" si="15"/>
        <v>-4.9537801343306764E-2</v>
      </c>
      <c r="T44" s="773">
        <f t="shared" si="15"/>
        <v>7.0877204893623924E-2</v>
      </c>
      <c r="U44" s="773">
        <f t="shared" si="15"/>
        <v>2.4109625710828642E-3</v>
      </c>
      <c r="V44" s="774">
        <f t="shared" si="15"/>
        <v>-5.4721429675751221E-2</v>
      </c>
      <c r="W44" s="773"/>
      <c r="X44" s="773"/>
      <c r="Y44" s="773"/>
      <c r="Z44" s="767"/>
      <c r="AA44" s="767"/>
      <c r="AB44" s="769"/>
      <c r="AC44" s="769"/>
      <c r="AD44" s="769"/>
      <c r="AE44" s="773"/>
      <c r="AF44" s="773"/>
    </row>
    <row r="45" spans="1:33" ht="12" hidden="1" outlineLevel="1" x14ac:dyDescent="0.3">
      <c r="A45" s="778"/>
      <c r="B45" s="470"/>
      <c r="C45" s="744"/>
      <c r="D45" s="689"/>
      <c r="E45" s="689"/>
      <c r="F45" s="689"/>
      <c r="G45" s="689"/>
      <c r="H45" s="689"/>
      <c r="I45" s="689"/>
      <c r="J45" s="779"/>
      <c r="K45" s="689"/>
      <c r="L45" s="689"/>
      <c r="M45" s="689"/>
      <c r="N45" s="779"/>
      <c r="O45" s="689"/>
      <c r="P45" s="780"/>
      <c r="Q45" s="780"/>
      <c r="R45" s="1092"/>
      <c r="S45" s="780"/>
      <c r="T45" s="799"/>
      <c r="U45" s="799"/>
      <c r="V45" s="913"/>
      <c r="W45" s="799"/>
      <c r="X45" s="799"/>
      <c r="Y45" s="799"/>
      <c r="Z45" s="744"/>
      <c r="AA45" s="744"/>
      <c r="AB45" s="689"/>
      <c r="AC45" s="689"/>
      <c r="AD45" s="689"/>
      <c r="AE45" s="799"/>
      <c r="AF45" s="799"/>
    </row>
    <row r="46" spans="1:33" ht="12" collapsed="1" x14ac:dyDescent="0.3">
      <c r="A46" s="782" t="s">
        <v>29</v>
      </c>
      <c r="B46" s="470"/>
      <c r="C46" s="736"/>
      <c r="D46" s="736"/>
      <c r="E46" s="736"/>
      <c r="F46" s="736"/>
      <c r="G46" s="736"/>
      <c r="H46" s="736"/>
      <c r="I46" s="736"/>
      <c r="J46" s="752"/>
      <c r="K46" s="736"/>
      <c r="L46" s="736"/>
      <c r="M46" s="736"/>
      <c r="N46" s="752"/>
      <c r="O46" s="736"/>
      <c r="P46" s="736"/>
      <c r="Q46" s="736"/>
      <c r="R46" s="752"/>
      <c r="S46" s="736"/>
      <c r="T46" s="736"/>
      <c r="U46" s="736"/>
      <c r="V46" s="752"/>
      <c r="W46" s="736"/>
      <c r="X46" s="736"/>
      <c r="Y46" s="736"/>
      <c r="Z46" s="736"/>
      <c r="AA46" s="736"/>
      <c r="AB46" s="736"/>
      <c r="AC46" s="736"/>
      <c r="AD46" s="736"/>
      <c r="AE46" s="736"/>
      <c r="AF46" s="736"/>
    </row>
    <row r="47" spans="1:33" ht="12" x14ac:dyDescent="0.3">
      <c r="A47" s="778" t="str">
        <f>+A31</f>
        <v>FA</v>
      </c>
      <c r="B47" s="470"/>
      <c r="C47" s="736"/>
      <c r="D47" s="736"/>
      <c r="E47" s="736"/>
      <c r="F47" s="736"/>
      <c r="G47" s="689">
        <f t="shared" ref="G47:Y49" si="16">+G31/C31-1</f>
        <v>1.0502611977718512E-2</v>
      </c>
      <c r="H47" s="689">
        <f t="shared" si="16"/>
        <v>-0.13671980990125066</v>
      </c>
      <c r="I47" s="689">
        <f t="shared" si="16"/>
        <v>0.10510709466829327</v>
      </c>
      <c r="J47" s="779">
        <f t="shared" si="16"/>
        <v>0.23564606519851616</v>
      </c>
      <c r="K47" s="689">
        <f t="shared" si="16"/>
        <v>0.19154810130008393</v>
      </c>
      <c r="L47" s="689">
        <f t="shared" si="16"/>
        <v>0.66512053184498021</v>
      </c>
      <c r="M47" s="689">
        <f t="shared" si="16"/>
        <v>0.41007325739519507</v>
      </c>
      <c r="N47" s="779">
        <f t="shared" si="16"/>
        <v>0.35765024529844802</v>
      </c>
      <c r="O47" s="689">
        <f t="shared" si="16"/>
        <v>0.43772999167108351</v>
      </c>
      <c r="P47" s="689">
        <f t="shared" si="16"/>
        <v>0.15292347820118302</v>
      </c>
      <c r="Q47" s="689">
        <f t="shared" si="16"/>
        <v>6.8020967817200351E-2</v>
      </c>
      <c r="R47" s="779">
        <f t="shared" si="16"/>
        <v>2.9642594997381089E-4</v>
      </c>
      <c r="S47" s="689">
        <f t="shared" si="16"/>
        <v>-7.5631579778914104E-2</v>
      </c>
      <c r="T47" s="799">
        <f t="shared" si="16"/>
        <v>-8.06009098982442E-2</v>
      </c>
      <c r="U47" s="799">
        <f t="shared" si="16"/>
        <v>-2.7293117007951895E-2</v>
      </c>
      <c r="V47" s="913">
        <f t="shared" si="16"/>
        <v>-4.7193019591241669E-2</v>
      </c>
      <c r="W47" s="799">
        <f t="shared" si="16"/>
        <v>-3.4776663628076632E-2</v>
      </c>
      <c r="X47" s="799">
        <f t="shared" si="16"/>
        <v>-4.1496910665623776E-3</v>
      </c>
      <c r="Y47" s="799">
        <f t="shared" si="16"/>
        <v>-6.2136910822303548E-3</v>
      </c>
      <c r="Z47" s="736"/>
      <c r="AA47" s="736"/>
      <c r="AB47" s="689"/>
      <c r="AC47" s="689">
        <f t="shared" ref="AC47:AF50" si="17">+AC31/AB31-1</f>
        <v>5.684698204733829E-2</v>
      </c>
      <c r="AD47" s="689">
        <f t="shared" si="17"/>
        <v>0.39897751957168204</v>
      </c>
      <c r="AE47" s="799">
        <f t="shared" si="17"/>
        <v>0.13720158080570544</v>
      </c>
      <c r="AF47" s="799">
        <f t="shared" si="17"/>
        <v>-5.7111958549325048E-2</v>
      </c>
    </row>
    <row r="48" spans="1:33" ht="12" x14ac:dyDescent="0.3">
      <c r="A48" s="778" t="str">
        <f>+A32</f>
        <v>STER</v>
      </c>
      <c r="B48" s="470"/>
      <c r="C48" s="736"/>
      <c r="D48" s="736"/>
      <c r="E48" s="736"/>
      <c r="F48" s="736"/>
      <c r="G48" s="689">
        <f t="shared" si="16"/>
        <v>8.0120520082156421E-2</v>
      </c>
      <c r="H48" s="689">
        <f t="shared" si="16"/>
        <v>-0.3310362589812863</v>
      </c>
      <c r="I48" s="689">
        <f t="shared" si="16"/>
        <v>-0.11420905914421908</v>
      </c>
      <c r="J48" s="779">
        <f t="shared" si="16"/>
        <v>5.8258735557403796E-2</v>
      </c>
      <c r="K48" s="689">
        <f t="shared" si="16"/>
        <v>0.16748760219809666</v>
      </c>
      <c r="L48" s="689">
        <f t="shared" si="16"/>
        <v>0.79887322035429209</v>
      </c>
      <c r="M48" s="689">
        <f t="shared" si="16"/>
        <v>0.44178302635237565</v>
      </c>
      <c r="N48" s="779">
        <f t="shared" si="16"/>
        <v>0.35116374443302223</v>
      </c>
      <c r="O48" s="689">
        <f t="shared" si="16"/>
        <v>0.37742699289660608</v>
      </c>
      <c r="P48" s="689">
        <f t="shared" si="16"/>
        <v>0.29036327575818444</v>
      </c>
      <c r="Q48" s="689">
        <f t="shared" si="16"/>
        <v>0.17541003910189512</v>
      </c>
      <c r="R48" s="779">
        <f t="shared" si="16"/>
        <v>-2.1361638896728152E-2</v>
      </c>
      <c r="S48" s="689">
        <f t="shared" si="16"/>
        <v>-6.6145062821661549E-2</v>
      </c>
      <c r="T48" s="799">
        <f t="shared" si="16"/>
        <v>-7.3967245647912683E-2</v>
      </c>
      <c r="U48" s="799">
        <f t="shared" si="16"/>
        <v>-9.3994450549174879E-2</v>
      </c>
      <c r="V48" s="913">
        <f t="shared" si="16"/>
        <v>-2.9661016949155128E-3</v>
      </c>
      <c r="W48" s="799">
        <f t="shared" si="16"/>
        <v>3.7512411169494664E-2</v>
      </c>
      <c r="X48" s="799">
        <f t="shared" si="16"/>
        <v>5.3281788385578732E-2</v>
      </c>
      <c r="Y48" s="799">
        <f t="shared" si="16"/>
        <v>8.2706600356656335E-2</v>
      </c>
      <c r="Z48" s="736"/>
      <c r="AA48" s="736"/>
      <c r="AB48" s="689"/>
      <c r="AC48" s="689">
        <f t="shared" si="17"/>
        <v>-8.6625726490981103E-2</v>
      </c>
      <c r="AD48" s="689">
        <f t="shared" si="17"/>
        <v>0.41367762237238592</v>
      </c>
      <c r="AE48" s="799">
        <f t="shared" si="17"/>
        <v>0.19458032915604684</v>
      </c>
      <c r="AF48" s="799">
        <f t="shared" si="17"/>
        <v>-6.1480316439352922E-2</v>
      </c>
    </row>
    <row r="49" spans="1:32" s="789" customFormat="1" ht="12" x14ac:dyDescent="0.3">
      <c r="A49" s="778" t="str">
        <f>+A33</f>
        <v>HRT</v>
      </c>
      <c r="B49" s="783"/>
      <c r="C49" s="784"/>
      <c r="D49" s="784"/>
      <c r="E49" s="784"/>
      <c r="F49" s="784"/>
      <c r="G49" s="786">
        <f t="shared" si="16"/>
        <v>-7.8790625114169011E-3</v>
      </c>
      <c r="H49" s="786">
        <f t="shared" si="16"/>
        <v>-0.39219058172517363</v>
      </c>
      <c r="I49" s="786">
        <f t="shared" si="16"/>
        <v>-0.21349500795693388</v>
      </c>
      <c r="J49" s="787">
        <f t="shared" si="16"/>
        <v>-2.0241651811735872E-2</v>
      </c>
      <c r="K49" s="786">
        <f t="shared" si="16"/>
        <v>-3.3816390790726625E-2</v>
      </c>
      <c r="L49" s="786">
        <f t="shared" si="16"/>
        <v>0.69111263356944197</v>
      </c>
      <c r="M49" s="786">
        <f t="shared" si="16"/>
        <v>0.56865130929477625</v>
      </c>
      <c r="N49" s="787">
        <f t="shared" si="16"/>
        <v>0.3226535414395999</v>
      </c>
      <c r="O49" s="786">
        <f t="shared" si="16"/>
        <v>0.32866132244965662</v>
      </c>
      <c r="P49" s="786">
        <f t="shared" si="16"/>
        <v>0.25600125209129199</v>
      </c>
      <c r="Q49" s="786">
        <f t="shared" si="16"/>
        <v>2.5963381971987554E-2</v>
      </c>
      <c r="R49" s="787">
        <f t="shared" si="16"/>
        <v>-0.11671552479676028</v>
      </c>
      <c r="S49" s="786">
        <f t="shared" si="16"/>
        <v>-0.11707454544539564</v>
      </c>
      <c r="T49" s="800">
        <f t="shared" si="16"/>
        <v>-0.13571338599679705</v>
      </c>
      <c r="U49" s="800">
        <f t="shared" si="16"/>
        <v>-0.10480592288269786</v>
      </c>
      <c r="V49" s="1097">
        <f t="shared" si="16"/>
        <v>-5.3004641826622123E-2</v>
      </c>
      <c r="W49" s="800">
        <f t="shared" si="16"/>
        <v>-1.2807286530975293E-2</v>
      </c>
      <c r="X49" s="800"/>
      <c r="Y49" s="800"/>
      <c r="Z49" s="784"/>
      <c r="AA49" s="784"/>
      <c r="AB49" s="786"/>
      <c r="AC49" s="786">
        <f t="shared" si="17"/>
        <v>-0.1657476181901798</v>
      </c>
      <c r="AD49" s="786">
        <f t="shared" si="17"/>
        <v>0.35139709819994813</v>
      </c>
      <c r="AE49" s="800">
        <f t="shared" si="17"/>
        <v>0.10493959232179662</v>
      </c>
      <c r="AF49" s="800">
        <f t="shared" si="17"/>
        <v>-0.10508412382789456</v>
      </c>
    </row>
    <row r="50" spans="1:32" s="470" customFormat="1" x14ac:dyDescent="0.25">
      <c r="A50" s="766" t="str">
        <f>+A34</f>
        <v>Total Revenue</v>
      </c>
      <c r="C50" s="767"/>
      <c r="D50" s="767"/>
      <c r="E50" s="767"/>
      <c r="F50" s="767"/>
      <c r="G50" s="769">
        <f t="shared" ref="G50:T50" si="18">+G34/C34-1</f>
        <v>2.3330731195433829E-2</v>
      </c>
      <c r="H50" s="769">
        <f t="shared" si="18"/>
        <v>-0.30029255826470647</v>
      </c>
      <c r="I50" s="769">
        <f t="shared" si="18"/>
        <v>-8.9015604524193215E-2</v>
      </c>
      <c r="J50" s="770">
        <f t="shared" si="18"/>
        <v>8.4289234429433257E-2</v>
      </c>
      <c r="K50" s="769">
        <f t="shared" si="18"/>
        <v>9.3480167103542122E-2</v>
      </c>
      <c r="L50" s="769">
        <f t="shared" si="18"/>
        <v>0.71396653402378729</v>
      </c>
      <c r="M50" s="769">
        <f t="shared" si="18"/>
        <v>0.4735736859560109</v>
      </c>
      <c r="N50" s="770">
        <f t="shared" si="18"/>
        <v>0.34366279589502624</v>
      </c>
      <c r="O50" s="769">
        <f t="shared" si="18"/>
        <v>0.37902072056044078</v>
      </c>
      <c r="P50" s="769">
        <f t="shared" si="18"/>
        <v>0.23145632519130377</v>
      </c>
      <c r="Q50" s="769">
        <f t="shared" si="18"/>
        <v>8.4918180135881816E-2</v>
      </c>
      <c r="R50" s="770">
        <f t="shared" si="18"/>
        <v>-4.5866648423537382E-2</v>
      </c>
      <c r="S50" s="769">
        <f t="shared" si="18"/>
        <v>-8.6679504757442905E-2</v>
      </c>
      <c r="T50" s="773">
        <f t="shared" si="18"/>
        <v>-9.7897509548109274E-2</v>
      </c>
      <c r="U50" s="773">
        <f t="shared" ref="U50:W50" si="19">+U34/Q34-1</f>
        <v>-7.5368590680779946E-2</v>
      </c>
      <c r="V50" s="774">
        <f t="shared" si="19"/>
        <v>-3.5549054719947404E-2</v>
      </c>
      <c r="W50" s="773">
        <f t="shared" si="19"/>
        <v>-3.0665301249808152E-3</v>
      </c>
      <c r="X50" s="773"/>
      <c r="Y50" s="773"/>
      <c r="Z50" s="767"/>
      <c r="AA50" s="767"/>
      <c r="AB50" s="769"/>
      <c r="AC50" s="769">
        <f t="shared" si="17"/>
        <v>-7.5629455907405885E-2</v>
      </c>
      <c r="AD50" s="769">
        <f t="shared" si="17"/>
        <v>0.38632017362432403</v>
      </c>
      <c r="AE50" s="773">
        <f t="shared" si="17"/>
        <v>0.14357199225883899</v>
      </c>
      <c r="AF50" s="773">
        <f t="shared" si="17"/>
        <v>-7.4753101881162465E-2</v>
      </c>
    </row>
    <row r="51" spans="1:32" s="470" customFormat="1" hidden="1" outlineLevel="1" x14ac:dyDescent="0.25">
      <c r="A51" s="766"/>
      <c r="C51" s="767"/>
      <c r="D51" s="767"/>
      <c r="E51" s="767"/>
      <c r="F51" s="767"/>
      <c r="G51" s="769"/>
      <c r="H51" s="769"/>
      <c r="I51" s="769"/>
      <c r="J51" s="770"/>
      <c r="K51" s="769"/>
      <c r="L51" s="769"/>
      <c r="M51" s="769"/>
      <c r="N51" s="770"/>
      <c r="O51" s="769"/>
      <c r="P51" s="769"/>
      <c r="Q51" s="769"/>
      <c r="R51" s="770"/>
      <c r="S51" s="769"/>
      <c r="T51" s="773"/>
      <c r="U51" s="773"/>
      <c r="V51" s="774"/>
      <c r="W51" s="773"/>
      <c r="X51" s="773"/>
      <c r="Y51" s="773"/>
      <c r="Z51" s="767"/>
      <c r="AA51" s="767"/>
      <c r="AB51" s="769"/>
      <c r="AC51" s="769"/>
      <c r="AD51" s="769"/>
      <c r="AE51" s="773"/>
      <c r="AF51" s="773"/>
    </row>
    <row r="52" spans="1:32" ht="12" hidden="1" outlineLevel="1" x14ac:dyDescent="0.3">
      <c r="A52" s="778" t="str">
        <f>+A36</f>
        <v>EFX - Verification Services</v>
      </c>
      <c r="B52" s="470"/>
      <c r="C52" s="736"/>
      <c r="D52" s="736"/>
      <c r="E52" s="736"/>
      <c r="F52" s="736"/>
      <c r="G52" s="689">
        <f t="shared" ref="G52:U54" si="20">+G36/C36-1</f>
        <v>0.47884486232370715</v>
      </c>
      <c r="H52" s="689">
        <f t="shared" si="20"/>
        <v>0.46198491004062681</v>
      </c>
      <c r="I52" s="689">
        <f t="shared" si="20"/>
        <v>0.62493254182406921</v>
      </c>
      <c r="J52" s="779">
        <f t="shared" si="20"/>
        <v>0.70454545454545459</v>
      </c>
      <c r="K52" s="689">
        <f t="shared" si="20"/>
        <v>0.74931880108991833</v>
      </c>
      <c r="L52" s="689">
        <f t="shared" si="20"/>
        <v>0.56609765780071464</v>
      </c>
      <c r="M52" s="689">
        <f t="shared" si="20"/>
        <v>0.33742942544005294</v>
      </c>
      <c r="N52" s="779">
        <f t="shared" si="20"/>
        <v>0.29272727272727272</v>
      </c>
      <c r="O52" s="689">
        <f t="shared" si="20"/>
        <v>0.33255451713395634</v>
      </c>
      <c r="P52" s="689">
        <f t="shared" si="20"/>
        <v>0.27883396704689489</v>
      </c>
      <c r="Q52" s="689">
        <f t="shared" si="20"/>
        <v>0.12863173578346165</v>
      </c>
      <c r="R52" s="779">
        <f t="shared" si="20"/>
        <v>-6.5400843881856519E-2</v>
      </c>
      <c r="S52" s="689">
        <f t="shared" si="20"/>
        <v>-0.11202026105591267</v>
      </c>
      <c r="T52" s="799">
        <f t="shared" si="20"/>
        <v>-6.0455896927651187E-2</v>
      </c>
      <c r="U52" s="799">
        <f t="shared" si="20"/>
        <v>1.0561056105610644E-2</v>
      </c>
      <c r="V52" s="913"/>
      <c r="W52" s="799"/>
      <c r="X52" s="799"/>
      <c r="Y52" s="799"/>
      <c r="Z52" s="736"/>
      <c r="AA52" s="736"/>
      <c r="AB52" s="689"/>
      <c r="AC52" s="689">
        <f t="shared" ref="AC52:AE54" si="21">+AC36/AB36-1</f>
        <v>0.57577488930152843</v>
      </c>
      <c r="AD52" s="689">
        <f t="shared" si="21"/>
        <v>0.45848440899202325</v>
      </c>
      <c r="AE52" s="799">
        <f t="shared" si="21"/>
        <v>0.16283405842137966</v>
      </c>
      <c r="AF52" s="799"/>
    </row>
    <row r="53" spans="1:32" s="789" customFormat="1" ht="12" hidden="1" outlineLevel="1" x14ac:dyDescent="0.3">
      <c r="A53" s="778" t="str">
        <f>+A37</f>
        <v>EFX - Employer Services</v>
      </c>
      <c r="B53" s="783"/>
      <c r="C53" s="784"/>
      <c r="D53" s="784"/>
      <c r="E53" s="784"/>
      <c r="F53" s="784"/>
      <c r="G53" s="786">
        <f t="shared" si="20"/>
        <v>9.9434673366834314E-2</v>
      </c>
      <c r="H53" s="786">
        <f t="shared" si="20"/>
        <v>0.8514705882352942</v>
      </c>
      <c r="I53" s="786">
        <f t="shared" si="20"/>
        <v>0.47585895117540722</v>
      </c>
      <c r="J53" s="787">
        <f t="shared" si="20"/>
        <v>0.44841827768014064</v>
      </c>
      <c r="K53" s="786">
        <f t="shared" si="20"/>
        <v>0.16551448323144613</v>
      </c>
      <c r="L53" s="786">
        <f t="shared" si="20"/>
        <v>4.5320749427650853E-3</v>
      </c>
      <c r="M53" s="786">
        <f t="shared" si="20"/>
        <v>0.3710714942106228</v>
      </c>
      <c r="N53" s="787">
        <f t="shared" si="20"/>
        <v>0.27403991991749055</v>
      </c>
      <c r="O53" s="786">
        <f t="shared" si="20"/>
        <v>0.33039215686274503</v>
      </c>
      <c r="P53" s="786">
        <f t="shared" si="20"/>
        <v>-2.6046511627906943E-2</v>
      </c>
      <c r="Q53" s="786">
        <f t="shared" si="20"/>
        <v>-6.70241286863269E-2</v>
      </c>
      <c r="R53" s="787">
        <f t="shared" si="20"/>
        <v>4.3809523809523965E-2</v>
      </c>
      <c r="S53" s="786">
        <f t="shared" si="20"/>
        <v>3.537214443625647E-2</v>
      </c>
      <c r="T53" s="800">
        <f t="shared" si="20"/>
        <v>3.9159503342884427E-2</v>
      </c>
      <c r="U53" s="800">
        <f t="shared" si="20"/>
        <v>0.1293103448275863</v>
      </c>
      <c r="V53" s="1097"/>
      <c r="W53" s="800"/>
      <c r="X53" s="800"/>
      <c r="Y53" s="800"/>
      <c r="Z53" s="784"/>
      <c r="AA53" s="784"/>
      <c r="AB53" s="786"/>
      <c r="AC53" s="786">
        <f t="shared" si="21"/>
        <v>0.43653846153846154</v>
      </c>
      <c r="AD53" s="786">
        <f t="shared" si="21"/>
        <v>0.18920124944221328</v>
      </c>
      <c r="AE53" s="800">
        <f t="shared" si="21"/>
        <v>6.5666041275797449E-2</v>
      </c>
      <c r="AF53" s="800"/>
    </row>
    <row r="54" spans="1:32" ht="12" hidden="1" outlineLevel="1" x14ac:dyDescent="0.3">
      <c r="A54" s="798" t="str">
        <f>+A38</f>
        <v>EFX - EWS</v>
      </c>
      <c r="B54" s="470"/>
      <c r="C54" s="736"/>
      <c r="D54" s="736"/>
      <c r="E54" s="736"/>
      <c r="F54" s="736"/>
      <c r="G54" s="689">
        <f t="shared" si="20"/>
        <v>0.3466739606126914</v>
      </c>
      <c r="H54" s="689">
        <f t="shared" si="20"/>
        <v>0.55982181660147745</v>
      </c>
      <c r="I54" s="689">
        <f t="shared" si="20"/>
        <v>0.5906691604322527</v>
      </c>
      <c r="J54" s="779">
        <f t="shared" si="20"/>
        <v>0.64636726546906198</v>
      </c>
      <c r="K54" s="689">
        <f t="shared" si="20"/>
        <v>0.58328323286157646</v>
      </c>
      <c r="L54" s="689">
        <f t="shared" si="20"/>
        <v>0.39865984982516744</v>
      </c>
      <c r="M54" s="689">
        <f t="shared" si="20"/>
        <v>0.34460368681656051</v>
      </c>
      <c r="N54" s="779">
        <f t="shared" si="20"/>
        <v>0.28899288338203033</v>
      </c>
      <c r="O54" s="689">
        <f t="shared" si="20"/>
        <v>0.3321018062397374</v>
      </c>
      <c r="P54" s="689">
        <f t="shared" si="20"/>
        <v>0.21354581673306772</v>
      </c>
      <c r="Q54" s="689">
        <f t="shared" si="20"/>
        <v>8.6086280606296084E-2</v>
      </c>
      <c r="R54" s="779">
        <f t="shared" si="20"/>
        <v>-4.3641835966892417E-2</v>
      </c>
      <c r="S54" s="689">
        <f t="shared" si="20"/>
        <v>-8.1201848998459281E-2</v>
      </c>
      <c r="T54" s="799">
        <f t="shared" si="20"/>
        <v>-4.33355219960605E-2</v>
      </c>
      <c r="U54" s="799">
        <f t="shared" si="20"/>
        <v>3.2742887815351729E-2</v>
      </c>
      <c r="V54" s="913"/>
      <c r="W54" s="799"/>
      <c r="X54" s="799"/>
      <c r="Y54" s="799"/>
      <c r="Z54" s="736"/>
      <c r="AA54" s="736"/>
      <c r="AB54" s="689"/>
      <c r="AC54" s="689">
        <f t="shared" si="21"/>
        <v>0.53918079393492668</v>
      </c>
      <c r="AD54" s="689">
        <f t="shared" si="21"/>
        <v>0.39243104203152379</v>
      </c>
      <c r="AE54" s="799">
        <f t="shared" si="21"/>
        <v>0.14252726736759347</v>
      </c>
      <c r="AF54" s="799"/>
    </row>
    <row r="55" spans="1:32" hidden="1" outlineLevel="1" x14ac:dyDescent="0.25">
      <c r="J55" s="1090"/>
      <c r="N55" s="1090"/>
      <c r="R55" s="1090"/>
      <c r="V55" s="1410"/>
      <c r="AE55" s="794"/>
      <c r="AF55" s="794"/>
    </row>
    <row r="56" spans="1:32" ht="12" hidden="1" outlineLevel="1" x14ac:dyDescent="0.3">
      <c r="A56" s="782" t="s">
        <v>319</v>
      </c>
      <c r="B56" s="470"/>
      <c r="C56" s="736"/>
      <c r="D56" s="736"/>
      <c r="E56" s="736"/>
      <c r="F56" s="736"/>
      <c r="G56" s="736"/>
      <c r="H56" s="736"/>
      <c r="I56" s="736"/>
      <c r="J56" s="752"/>
      <c r="K56" s="736"/>
      <c r="L56" s="736"/>
      <c r="M56" s="736"/>
      <c r="N56" s="752"/>
      <c r="O56" s="736"/>
      <c r="P56" s="736"/>
      <c r="Q56" s="736"/>
      <c r="R56" s="752"/>
      <c r="S56" s="736"/>
      <c r="T56" s="736"/>
      <c r="U56" s="736"/>
      <c r="V56" s="752"/>
      <c r="W56" s="736"/>
      <c r="X56" s="736"/>
      <c r="Y56" s="736"/>
      <c r="Z56" s="736"/>
      <c r="AA56" s="736"/>
      <c r="AB56" s="736"/>
      <c r="AC56" s="736"/>
      <c r="AD56" s="736"/>
      <c r="AE56" s="736"/>
      <c r="AF56" s="736"/>
    </row>
    <row r="57" spans="1:32" ht="12" hidden="1" outlineLevel="1" x14ac:dyDescent="0.3">
      <c r="A57" s="778" t="str">
        <f>+A47</f>
        <v>FA</v>
      </c>
      <c r="B57" s="470"/>
      <c r="C57" s="736"/>
      <c r="D57" s="736"/>
      <c r="E57" s="736"/>
      <c r="F57" s="736"/>
      <c r="G57" s="689">
        <f t="shared" ref="G57:R57" si="22">+G31/F31-1</f>
        <v>-0.12511642592154038</v>
      </c>
      <c r="H57" s="689">
        <f t="shared" si="22"/>
        <v>-5.2743168018477338E-2</v>
      </c>
      <c r="I57" s="689">
        <f t="shared" si="22"/>
        <v>0.30273446801215309</v>
      </c>
      <c r="J57" s="779">
        <f t="shared" si="22"/>
        <v>0.14451154425419244</v>
      </c>
      <c r="K57" s="689">
        <f t="shared" si="22"/>
        <v>-0.15633943172526543</v>
      </c>
      <c r="L57" s="689">
        <f t="shared" si="22"/>
        <v>0.32373741197849637</v>
      </c>
      <c r="M57" s="689">
        <f t="shared" si="22"/>
        <v>0.10319403292416451</v>
      </c>
      <c r="N57" s="779">
        <f t="shared" si="22"/>
        <v>0.10196145530339651</v>
      </c>
      <c r="O57" s="689">
        <f t="shared" si="22"/>
        <v>-0.10657689195038933</v>
      </c>
      <c r="P57" s="689">
        <f t="shared" si="22"/>
        <v>6.1512210279069501E-2</v>
      </c>
      <c r="Q57" s="689">
        <f t="shared" si="22"/>
        <v>2.195365174810604E-2</v>
      </c>
      <c r="R57" s="779">
        <f t="shared" si="22"/>
        <v>3.2084704785762197E-2</v>
      </c>
      <c r="S57" s="689"/>
      <c r="T57" s="799"/>
      <c r="U57" s="799"/>
      <c r="V57" s="913"/>
      <c r="W57" s="799"/>
      <c r="X57" s="799"/>
      <c r="Y57" s="799"/>
      <c r="Z57" s="736"/>
      <c r="AA57" s="736"/>
      <c r="AB57" s="689"/>
      <c r="AC57" s="689"/>
      <c r="AD57" s="689"/>
      <c r="AE57" s="799"/>
      <c r="AF57" s="799"/>
    </row>
    <row r="58" spans="1:32" ht="12" hidden="1" outlineLevel="1" x14ac:dyDescent="0.3">
      <c r="A58" s="778" t="str">
        <f>+A48</f>
        <v>STER</v>
      </c>
      <c r="B58" s="470"/>
      <c r="C58" s="736"/>
      <c r="D58" s="736"/>
      <c r="E58" s="736"/>
      <c r="F58" s="736"/>
      <c r="G58" s="689">
        <f t="shared" ref="G58:R58" si="23">+G32/F32-1</f>
        <v>-1.6906999151767632E-2</v>
      </c>
      <c r="H58" s="689">
        <f t="shared" si="23"/>
        <v>-0.25805019434392173</v>
      </c>
      <c r="I58" s="689">
        <f t="shared" si="23"/>
        <v>0.32777432794029648</v>
      </c>
      <c r="J58" s="779">
        <f t="shared" si="23"/>
        <v>9.2693765343024648E-2</v>
      </c>
      <c r="K58" s="689">
        <f t="shared" si="23"/>
        <v>8.4563587082977731E-2</v>
      </c>
      <c r="L58" s="689">
        <f t="shared" si="23"/>
        <v>0.14320154983138411</v>
      </c>
      <c r="M58" s="689">
        <f t="shared" si="23"/>
        <v>6.4200893753765698E-2</v>
      </c>
      <c r="N58" s="779">
        <f t="shared" si="23"/>
        <v>2.4015522803541023E-2</v>
      </c>
      <c r="O58" s="689">
        <f t="shared" si="23"/>
        <v>0.10564479436038932</v>
      </c>
      <c r="P58" s="689">
        <f t="shared" si="23"/>
        <v>7.0942637467964031E-2</v>
      </c>
      <c r="Q58" s="689">
        <f t="shared" si="23"/>
        <v>-3.0604452529536808E-2</v>
      </c>
      <c r="R58" s="779">
        <f t="shared" si="23"/>
        <v>-0.14741167793114873</v>
      </c>
      <c r="S58" s="689"/>
      <c r="T58" s="799"/>
      <c r="U58" s="799"/>
      <c r="V58" s="913"/>
      <c r="W58" s="799"/>
      <c r="X58" s="799"/>
      <c r="Y58" s="799"/>
      <c r="Z58" s="736"/>
      <c r="AA58" s="736"/>
      <c r="AB58" s="689"/>
      <c r="AC58" s="689"/>
      <c r="AD58" s="689"/>
      <c r="AE58" s="799"/>
      <c r="AF58" s="799"/>
    </row>
    <row r="59" spans="1:32" s="789" customFormat="1" ht="12" hidden="1" outlineLevel="1" x14ac:dyDescent="0.3">
      <c r="A59" s="778" t="str">
        <f>+A49</f>
        <v>HRT</v>
      </c>
      <c r="B59" s="783"/>
      <c r="C59" s="784"/>
      <c r="D59" s="784"/>
      <c r="E59" s="784"/>
      <c r="F59" s="784"/>
      <c r="G59" s="786">
        <f t="shared" ref="G59:R59" si="24">+G33/F33-1</f>
        <v>1.0364618655269053E-2</v>
      </c>
      <c r="H59" s="786">
        <f t="shared" si="24"/>
        <v>-0.32389635626693403</v>
      </c>
      <c r="I59" s="786">
        <f t="shared" si="24"/>
        <v>0.24860757171399817</v>
      </c>
      <c r="J59" s="787">
        <f t="shared" si="24"/>
        <v>0.1486867258370872</v>
      </c>
      <c r="K59" s="786">
        <f t="shared" si="24"/>
        <v>-3.6341760446840787E-3</v>
      </c>
      <c r="L59" s="786">
        <f t="shared" si="24"/>
        <v>0.18338523094492887</v>
      </c>
      <c r="M59" s="786">
        <f t="shared" si="24"/>
        <v>0.15819009525725214</v>
      </c>
      <c r="N59" s="787">
        <f t="shared" si="24"/>
        <v>-3.1451695522999756E-2</v>
      </c>
      <c r="O59" s="786">
        <f t="shared" si="24"/>
        <v>8.9153495119242976E-4</v>
      </c>
      <c r="P59" s="786">
        <f t="shared" si="24"/>
        <v>0.11866982703524198</v>
      </c>
      <c r="Q59" s="786">
        <f t="shared" si="24"/>
        <v>-5.3933564860633831E-2</v>
      </c>
      <c r="R59" s="787">
        <f t="shared" si="24"/>
        <v>-0.16614598935821179</v>
      </c>
      <c r="S59" s="786"/>
      <c r="T59" s="800"/>
      <c r="U59" s="800"/>
      <c r="V59" s="1097"/>
      <c r="W59" s="800"/>
      <c r="X59" s="800"/>
      <c r="Y59" s="800"/>
      <c r="Z59" s="784"/>
      <c r="AA59" s="784"/>
      <c r="AB59" s="786"/>
      <c r="AC59" s="786"/>
      <c r="AD59" s="786"/>
      <c r="AE59" s="800"/>
      <c r="AF59" s="800"/>
    </row>
    <row r="60" spans="1:32" ht="12" hidden="1" outlineLevel="1" x14ac:dyDescent="0.3">
      <c r="A60" s="778" t="str">
        <f>+A52</f>
        <v>EFX - Verification Services</v>
      </c>
      <c r="B60" s="470"/>
      <c r="C60" s="736"/>
      <c r="D60" s="736"/>
      <c r="E60" s="736"/>
      <c r="F60" s="736"/>
      <c r="G60" s="689">
        <f t="shared" ref="G60:R60" si="25">+G36/F36-1</f>
        <v>0.1373966942148761</v>
      </c>
      <c r="H60" s="689">
        <f t="shared" si="25"/>
        <v>0.14396003633060861</v>
      </c>
      <c r="I60" s="689">
        <f t="shared" si="25"/>
        <v>0.19531560142913862</v>
      </c>
      <c r="J60" s="779">
        <f t="shared" si="25"/>
        <v>9.5981401527731602E-2</v>
      </c>
      <c r="K60" s="689">
        <f t="shared" si="25"/>
        <v>0.16727272727272724</v>
      </c>
      <c r="L60" s="689">
        <f t="shared" si="25"/>
        <v>2.4143302180685389E-2</v>
      </c>
      <c r="M60" s="689">
        <f t="shared" si="25"/>
        <v>2.0785804816223052E-2</v>
      </c>
      <c r="N60" s="779">
        <f t="shared" si="25"/>
        <v>5.93493916066552E-2</v>
      </c>
      <c r="O60" s="689">
        <f t="shared" si="25"/>
        <v>0.2032348804500701</v>
      </c>
      <c r="P60" s="689">
        <f t="shared" si="25"/>
        <v>-1.7143970387687446E-2</v>
      </c>
      <c r="Q60" s="689">
        <f t="shared" si="25"/>
        <v>-9.910802775024774E-2</v>
      </c>
      <c r="R60" s="779">
        <f t="shared" si="25"/>
        <v>-0.12277227722772266</v>
      </c>
      <c r="S60" s="689"/>
      <c r="T60" s="799"/>
      <c r="U60" s="799"/>
      <c r="V60" s="913"/>
      <c r="W60" s="799"/>
      <c r="X60" s="799"/>
      <c r="Y60" s="799"/>
      <c r="Z60" s="736"/>
      <c r="AA60" s="736"/>
      <c r="AB60" s="689"/>
      <c r="AC60" s="689"/>
      <c r="AD60" s="689"/>
      <c r="AE60" s="799"/>
      <c r="AF60" s="799"/>
    </row>
    <row r="61" spans="1:32" ht="12" hidden="1" outlineLevel="1" x14ac:dyDescent="0.3">
      <c r="A61" s="778" t="str">
        <f>+A53</f>
        <v>EFX - Employer Services</v>
      </c>
      <c r="B61" s="470"/>
      <c r="C61" s="736"/>
      <c r="D61" s="736"/>
      <c r="E61" s="736"/>
      <c r="F61" s="736"/>
      <c r="G61" s="689">
        <f t="shared" ref="G61:R61" si="26">+G37/F37-1</f>
        <v>0.53804920913884002</v>
      </c>
      <c r="H61" s="689">
        <f t="shared" si="26"/>
        <v>0.22281894532365887</v>
      </c>
      <c r="I61" s="689">
        <f t="shared" si="26"/>
        <v>-0.23734990421903468</v>
      </c>
      <c r="J61" s="779">
        <f t="shared" si="26"/>
        <v>9.8021197083868472E-3</v>
      </c>
      <c r="K61" s="689">
        <f t="shared" si="26"/>
        <v>0.23763877934841959</v>
      </c>
      <c r="L61" s="689">
        <f t="shared" si="26"/>
        <v>5.3921568627451011E-2</v>
      </c>
      <c r="M61" s="689">
        <f t="shared" si="26"/>
        <v>4.0930232558139545E-2</v>
      </c>
      <c r="N61" s="779">
        <f t="shared" si="26"/>
        <v>-6.1662198391420842E-2</v>
      </c>
      <c r="O61" s="689">
        <f t="shared" si="26"/>
        <v>0.29238095238095219</v>
      </c>
      <c r="P61" s="689">
        <f t="shared" si="26"/>
        <v>-0.22844509948415614</v>
      </c>
      <c r="Q61" s="689">
        <f t="shared" si="26"/>
        <v>-2.8653295128939771E-3</v>
      </c>
      <c r="R61" s="779">
        <f t="shared" si="26"/>
        <v>4.9808429118774145E-2</v>
      </c>
      <c r="S61" s="689"/>
      <c r="T61" s="799"/>
      <c r="U61" s="799"/>
      <c r="V61" s="913"/>
      <c r="W61" s="799"/>
      <c r="X61" s="799"/>
      <c r="Y61" s="799"/>
      <c r="Z61" s="736"/>
      <c r="AA61" s="736"/>
      <c r="AB61" s="689"/>
      <c r="AC61" s="689"/>
      <c r="AD61" s="689"/>
      <c r="AE61" s="799"/>
      <c r="AF61" s="799"/>
    </row>
    <row r="62" spans="1:32" ht="12" hidden="1" outlineLevel="1" x14ac:dyDescent="0.3">
      <c r="A62" s="778" t="str">
        <f>+A54</f>
        <v>EFX - EWS</v>
      </c>
      <c r="B62" s="470"/>
      <c r="C62" s="736"/>
      <c r="D62" s="736"/>
      <c r="E62" s="736"/>
      <c r="F62" s="736"/>
      <c r="G62" s="786">
        <f t="shared" ref="G62:R62" si="27">+G38/F38-1</f>
        <v>0.22840319361277439</v>
      </c>
      <c r="H62" s="786">
        <f t="shared" si="27"/>
        <v>0.16638772890499332</v>
      </c>
      <c r="I62" s="786">
        <f t="shared" si="27"/>
        <v>6.6310964991711074E-2</v>
      </c>
      <c r="J62" s="787">
        <f t="shared" si="27"/>
        <v>7.7603438590073459E-2</v>
      </c>
      <c r="K62" s="786">
        <f t="shared" si="27"/>
        <v>0.18133433556005474</v>
      </c>
      <c r="L62" s="786">
        <f t="shared" si="27"/>
        <v>3.0377668308702921E-2</v>
      </c>
      <c r="M62" s="786">
        <f t="shared" si="27"/>
        <v>2.5099601593625565E-2</v>
      </c>
      <c r="N62" s="787">
        <f t="shared" si="27"/>
        <v>3.3035367275553895E-2</v>
      </c>
      <c r="O62" s="786">
        <f t="shared" si="27"/>
        <v>0.22084273890142958</v>
      </c>
      <c r="P62" s="786">
        <f t="shared" si="27"/>
        <v>-6.1325115562403609E-2</v>
      </c>
      <c r="Q62" s="786">
        <f t="shared" si="27"/>
        <v>-8.2567301378857594E-2</v>
      </c>
      <c r="R62" s="787">
        <f t="shared" si="27"/>
        <v>-9.0356056539631302E-2</v>
      </c>
      <c r="S62" s="786"/>
      <c r="T62" s="800"/>
      <c r="U62" s="800"/>
      <c r="V62" s="1097"/>
      <c r="W62" s="800"/>
      <c r="X62" s="800"/>
      <c r="Y62" s="800"/>
      <c r="Z62" s="736"/>
      <c r="AA62" s="736"/>
      <c r="AB62" s="786"/>
      <c r="AC62" s="786"/>
      <c r="AD62" s="786"/>
      <c r="AE62" s="800"/>
      <c r="AF62" s="800"/>
    </row>
    <row r="63" spans="1:32" s="470" customFormat="1" hidden="1" outlineLevel="1" collapsed="1" x14ac:dyDescent="0.25">
      <c r="A63" s="766" t="str">
        <f>+A50</f>
        <v>Total Revenue</v>
      </c>
      <c r="C63" s="767"/>
      <c r="D63" s="767"/>
      <c r="E63" s="767"/>
      <c r="F63" s="767"/>
      <c r="G63" s="769">
        <f t="shared" ref="G63:R63" si="28">+G34/F34-1</f>
        <v>-4.0655791134769359E-2</v>
      </c>
      <c r="H63" s="769">
        <f t="shared" si="28"/>
        <v>-0.22541809651154221</v>
      </c>
      <c r="I63" s="769">
        <f t="shared" si="28"/>
        <v>0.29117632561004592</v>
      </c>
      <c r="J63" s="770">
        <f t="shared" si="28"/>
        <v>0.13010237273398495</v>
      </c>
      <c r="K63" s="769">
        <f t="shared" si="28"/>
        <v>-3.2523949781925743E-2</v>
      </c>
      <c r="L63" s="769">
        <f t="shared" si="28"/>
        <v>0.21411206200134769</v>
      </c>
      <c r="M63" s="769">
        <f t="shared" si="28"/>
        <v>0.11008203461335975</v>
      </c>
      <c r="N63" s="770">
        <f t="shared" si="28"/>
        <v>3.0472061402349704E-2</v>
      </c>
      <c r="O63" s="769">
        <f t="shared" si="28"/>
        <v>-7.0652220388408571E-3</v>
      </c>
      <c r="P63" s="769">
        <f t="shared" si="28"/>
        <v>8.4193990671140417E-2</v>
      </c>
      <c r="Q63" s="769">
        <f t="shared" si="28"/>
        <v>-2.2013078208705017E-2</v>
      </c>
      <c r="R63" s="770">
        <f t="shared" si="28"/>
        <v>-9.3749390826331935E-2</v>
      </c>
      <c r="S63" s="769"/>
      <c r="T63" s="773"/>
      <c r="U63" s="773"/>
      <c r="V63" s="774"/>
      <c r="W63" s="773"/>
      <c r="X63" s="773"/>
      <c r="Y63" s="773"/>
      <c r="Z63" s="767"/>
      <c r="AA63" s="767"/>
      <c r="AB63" s="769"/>
      <c r="AC63" s="769"/>
      <c r="AD63" s="769"/>
      <c r="AE63" s="773"/>
      <c r="AF63" s="773"/>
    </row>
    <row r="64" spans="1:32" collapsed="1" x14ac:dyDescent="0.25">
      <c r="J64" s="1090"/>
      <c r="N64" s="1090"/>
      <c r="R64" s="1090"/>
      <c r="V64" s="1410"/>
      <c r="AE64" s="794"/>
      <c r="AF64" s="794"/>
    </row>
    <row r="65" spans="1:32" ht="12" x14ac:dyDescent="0.3">
      <c r="A65" s="782" t="s">
        <v>30</v>
      </c>
      <c r="B65" s="470"/>
      <c r="C65" s="736"/>
      <c r="D65" s="736"/>
      <c r="E65" s="736"/>
      <c r="F65" s="736"/>
      <c r="G65" s="736"/>
      <c r="H65" s="736"/>
      <c r="I65" s="736"/>
      <c r="J65" s="825"/>
      <c r="K65" s="736"/>
      <c r="L65" s="736"/>
      <c r="M65" s="736"/>
      <c r="N65" s="825"/>
      <c r="O65" s="824"/>
      <c r="P65" s="736"/>
      <c r="Q65" s="736"/>
      <c r="R65" s="752"/>
      <c r="S65" s="736"/>
      <c r="T65" s="736"/>
      <c r="U65" s="736"/>
      <c r="V65" s="752"/>
      <c r="W65" s="736"/>
      <c r="X65" s="736"/>
      <c r="Y65" s="736"/>
      <c r="Z65" s="736"/>
      <c r="AA65" s="736"/>
      <c r="AB65" s="736"/>
      <c r="AC65" s="736"/>
      <c r="AD65" s="736"/>
      <c r="AE65" s="736"/>
      <c r="AF65" s="736"/>
    </row>
    <row r="66" spans="1:32" ht="12" x14ac:dyDescent="0.3">
      <c r="A66" s="778" t="str">
        <f>+A47</f>
        <v>FA</v>
      </c>
      <c r="B66" s="470"/>
      <c r="C66" s="736"/>
      <c r="D66" s="736"/>
      <c r="E66" s="736"/>
      <c r="F66" s="736"/>
      <c r="G66" s="689">
        <f>+'FA - Historical Financials'!G29</f>
        <v>7.7305631828704403E-3</v>
      </c>
      <c r="H66" s="689">
        <f>+'FA - Historical Financials'!H29</f>
        <v>-0.13268348470213548</v>
      </c>
      <c r="I66" s="689">
        <f>+'FA - Historical Financials'!I29</f>
        <v>0.10297242943574247</v>
      </c>
      <c r="J66" s="779">
        <f>+'FA - Historical Financials'!J29</f>
        <v>0.23371278158281353</v>
      </c>
      <c r="K66" s="689">
        <f>+'FA - Historical Financials'!K29</f>
        <v>0.192</v>
      </c>
      <c r="L66" s="689">
        <f>+'FA - Historical Financials'!L29</f>
        <v>0.59330622041469439</v>
      </c>
      <c r="M66" s="689">
        <f>+'FA - Historical Financials'!M29</f>
        <v>0.34251853368231733</v>
      </c>
      <c r="N66" s="779">
        <f>+'FA - Historical Financials'!N29</f>
        <v>0.30207481602616504</v>
      </c>
      <c r="O66" s="689">
        <f>+'FA - Historical Financials'!O29</f>
        <v>0.33294465056409495</v>
      </c>
      <c r="P66" s="689">
        <f>+'FA - Historical Financials'!P29</f>
        <v>0.11791724343061083</v>
      </c>
      <c r="Q66" s="689">
        <f>+'FA - Historical Financials'!Q29</f>
        <v>4.2303763733557265E-2</v>
      </c>
      <c r="R66" s="779">
        <f>+'FA - Historical Financials'!R29</f>
        <v>-8.116424820732937E-3</v>
      </c>
      <c r="S66" s="689">
        <f>+'FA - Historical Financials'!S29</f>
        <v>-6.4308698605968884E-2</v>
      </c>
      <c r="T66" s="799">
        <f>186.4/P31-1</f>
        <v>-7.5217924102380929E-2</v>
      </c>
      <c r="U66" s="799">
        <f>+'FA - Historical Financials'!U29</f>
        <v>-3.3842105774178677E-2</v>
      </c>
      <c r="V66" s="913">
        <f>+'FA - Historical Financials'!V29</f>
        <v>-5.9557032321893612E-2</v>
      </c>
      <c r="W66" s="799">
        <f>+'FA - Historical Financials'!W29</f>
        <v>-5.0999999999999997E-2</v>
      </c>
      <c r="X66" s="799">
        <f>+'FA - Historical Financials'!X29</f>
        <v>-2.1999999999999999E-2</v>
      </c>
      <c r="Y66" s="799">
        <f>+'FA - Historical Financials'!Y29</f>
        <v>-1.7999999999999999E-2</v>
      </c>
      <c r="Z66" s="736"/>
      <c r="AA66" s="736"/>
      <c r="AB66" s="689"/>
      <c r="AC66" s="689">
        <f>+'FA - Historical Financials'!AH14</f>
        <v>5.684698204733829E-2</v>
      </c>
      <c r="AD66" s="689">
        <f>+'FA - Historical Financials'!AI29</f>
        <v>0.35038711273995687</v>
      </c>
      <c r="AE66" s="799">
        <f>+'FA - Historical Financials'!AJ29</f>
        <v>9.9651127692880204E-2</v>
      </c>
      <c r="AF66" s="799">
        <f>+'FA - Historical Financials'!AK29</f>
        <v>-5.8039743669590776E-2</v>
      </c>
    </row>
    <row r="67" spans="1:32" ht="12" x14ac:dyDescent="0.3">
      <c r="A67" s="778" t="str">
        <f>+A48</f>
        <v>STER</v>
      </c>
      <c r="B67" s="470"/>
      <c r="C67" s="736"/>
      <c r="D67" s="736"/>
      <c r="E67" s="736"/>
      <c r="F67" s="736"/>
      <c r="G67" s="689">
        <v>8.4680557995455277E-2</v>
      </c>
      <c r="H67" s="689">
        <v>-0.32449355966189164</v>
      </c>
      <c r="I67" s="689">
        <v>-0.12178973646619713</v>
      </c>
      <c r="J67" s="779">
        <v>4.7325180565086042E-2</v>
      </c>
      <c r="K67" s="689">
        <v>0.1436179272751468</v>
      </c>
      <c r="L67" s="689">
        <v>0.76674289527724193</v>
      </c>
      <c r="M67" s="689">
        <v>0.43178302635237564</v>
      </c>
      <c r="N67" s="779">
        <v>0.3231637444330222</v>
      </c>
      <c r="O67" s="689">
        <v>0.30442699289660607</v>
      </c>
      <c r="P67" s="689">
        <v>0.22836327575818444</v>
      </c>
      <c r="Q67" s="689">
        <v>0.124</v>
      </c>
      <c r="R67" s="779">
        <v>-4.2999999999999997E-2</v>
      </c>
      <c r="S67" s="689">
        <v>-7.0999999999999994E-2</v>
      </c>
      <c r="T67" s="799">
        <v>-0.10100000000000001</v>
      </c>
      <c r="U67" s="799">
        <v>-0.11899999999999999</v>
      </c>
      <c r="V67" s="913">
        <v>-2.8000000000000001E-2</v>
      </c>
      <c r="W67" s="799">
        <v>-4.9000000000000002E-2</v>
      </c>
      <c r="X67" s="799">
        <v>-8.9999999999999993E-3</v>
      </c>
      <c r="Y67" s="799">
        <f>+'STER - Historical Financials'!Y27</f>
        <v>1.4999999999999999E-2</v>
      </c>
      <c r="Z67" s="736"/>
      <c r="AA67" s="736"/>
      <c r="AB67" s="689"/>
      <c r="AC67" s="689">
        <v>-8.8564644209726026E-2</v>
      </c>
      <c r="AD67" s="689">
        <v>0.39061994857864163</v>
      </c>
      <c r="AE67" s="799">
        <f>SUMPRODUCT(O67:R67,K32:N32)/SUM(K32:N32)</f>
        <v>0.14390711561590563</v>
      </c>
      <c r="AF67" s="799">
        <f>+SUMPRODUCT(S67:V67,O32:R32)/AE32</f>
        <v>-8.1990766606414869E-2</v>
      </c>
    </row>
    <row r="68" spans="1:32" ht="13.5" x14ac:dyDescent="0.3">
      <c r="A68" s="778" t="str">
        <f>+A49</f>
        <v>HRT</v>
      </c>
      <c r="B68" s="470"/>
      <c r="C68" s="736"/>
      <c r="D68" s="736"/>
      <c r="E68" s="736"/>
      <c r="F68" s="736"/>
      <c r="G68" s="786">
        <v>-1.4309401294910054E-2</v>
      </c>
      <c r="H68" s="786">
        <v>-0.39686699098026568</v>
      </c>
      <c r="I68" s="786">
        <v>-0.22313545759660439</v>
      </c>
      <c r="J68" s="787">
        <v>-2.929775388438062E-2</v>
      </c>
      <c r="K68" s="786">
        <v>-3.825919747042085E-2</v>
      </c>
      <c r="L68" s="786">
        <v>0.68379865924973682</v>
      </c>
      <c r="M68" s="786">
        <v>0.56475510339341806</v>
      </c>
      <c r="N68" s="787">
        <v>0.32146069568642327</v>
      </c>
      <c r="O68" s="786">
        <v>0.33022502446896657</v>
      </c>
      <c r="P68" s="786">
        <v>0.2618669798520723</v>
      </c>
      <c r="Q68" s="786">
        <v>3.5999999999999997E-2</v>
      </c>
      <c r="R68" s="787">
        <f>+R49+0.9%</f>
        <v>-0.10771552479676028</v>
      </c>
      <c r="S68" s="786">
        <f>+S49</f>
        <v>-0.11707454544539564</v>
      </c>
      <c r="T68" s="800">
        <f>+T49</f>
        <v>-0.13571338599679705</v>
      </c>
      <c r="U68" s="800">
        <f>+U49-1%</f>
        <v>-0.11480592288269785</v>
      </c>
      <c r="V68" s="1097">
        <f>+V49-1%</f>
        <v>-6.3004641826622118E-2</v>
      </c>
      <c r="W68" s="800">
        <f>+W49-1%</f>
        <v>-2.2807286530975295E-2</v>
      </c>
      <c r="X68" s="800"/>
      <c r="Y68" s="800"/>
      <c r="Z68" s="736"/>
      <c r="AA68" s="736"/>
      <c r="AB68" s="1094"/>
      <c r="AC68" s="786">
        <v>-0.17315643909364178</v>
      </c>
      <c r="AD68" s="786">
        <v>0.34743329993472444</v>
      </c>
      <c r="AE68" s="800">
        <f>SUMPRODUCT(O68:R68,K33:N33)/SUM(K33:N33)</f>
        <v>0.11194744243998443</v>
      </c>
      <c r="AF68" s="800">
        <f>+AF49</f>
        <v>-0.10508412382789456</v>
      </c>
    </row>
    <row r="69" spans="1:32" s="470" customFormat="1" x14ac:dyDescent="0.25">
      <c r="A69" s="766" t="str">
        <f>+A50</f>
        <v>Total Revenue</v>
      </c>
      <c r="C69" s="767"/>
      <c r="D69" s="767"/>
      <c r="E69" s="767"/>
      <c r="F69" s="767"/>
      <c r="G69" s="769">
        <f t="shared" ref="G69:T69" si="29">+SUMPRODUCT(G66:G68,C31:C33)/C34</f>
        <v>2.1195472927750487E-2</v>
      </c>
      <c r="H69" s="769">
        <f t="shared" si="29"/>
        <v>-0.29899752035696198</v>
      </c>
      <c r="I69" s="769">
        <f t="shared" si="29"/>
        <v>-9.5811222569617202E-2</v>
      </c>
      <c r="J69" s="770">
        <f t="shared" si="29"/>
        <v>7.6913606208958443E-2</v>
      </c>
      <c r="K69" s="769">
        <f t="shared" si="29"/>
        <v>8.4422954720269963E-2</v>
      </c>
      <c r="L69" s="769">
        <f t="shared" si="29"/>
        <v>0.6765737120333245</v>
      </c>
      <c r="M69" s="769">
        <f t="shared" si="29"/>
        <v>0.44520062143999517</v>
      </c>
      <c r="N69" s="770">
        <f t="shared" si="29"/>
        <v>0.31498960499487422</v>
      </c>
      <c r="O69" s="769">
        <f t="shared" si="29"/>
        <v>0.32253782400032632</v>
      </c>
      <c r="P69" s="769">
        <f t="shared" si="29"/>
        <v>0.20218790932044201</v>
      </c>
      <c r="Q69" s="769">
        <f t="shared" si="29"/>
        <v>6.4439657740062189E-2</v>
      </c>
      <c r="R69" s="770">
        <f t="shared" si="29"/>
        <v>-5.2294343204576751E-2</v>
      </c>
      <c r="S69" s="769">
        <f t="shared" si="29"/>
        <v>-8.4581565512157106E-2</v>
      </c>
      <c r="T69" s="773">
        <f t="shared" si="29"/>
        <v>-0.10500329020532409</v>
      </c>
      <c r="U69" s="773">
        <f t="shared" ref="U69" si="30">+SUMPRODUCT(U66:U68,Q31:Q33)/Q34</f>
        <v>-8.9071929602266411E-2</v>
      </c>
      <c r="V69" s="774">
        <f t="shared" ref="V69:W69" si="31">+SUMPRODUCT(V66:V68,R31:R33)/R34</f>
        <v>-5.1029003322368698E-2</v>
      </c>
      <c r="W69" s="773">
        <f t="shared" si="31"/>
        <v>-4.0995351170505526E-2</v>
      </c>
      <c r="X69" s="773"/>
      <c r="Y69" s="773"/>
      <c r="Z69" s="767"/>
      <c r="AA69" s="767"/>
      <c r="AB69" s="777"/>
      <c r="AC69" s="769">
        <f>+SUMPRODUCT(AC66:AC68,AB31:AB33)/AB34</f>
        <v>-7.9171848573150932E-2</v>
      </c>
      <c r="AD69" s="769">
        <f>+SUMPRODUCT(AD66:AD68,AC31:AC33)/AC34</f>
        <v>0.36147649257516101</v>
      </c>
      <c r="AE69" s="773">
        <f>+SUMPRODUCT(AE66:AE68,AD31:AD33)/AD34</f>
        <v>0.11758778444364333</v>
      </c>
      <c r="AF69" s="773">
        <f>+SUMPRODUCT(AF66:AF68,AE31:AE33)/AE34</f>
        <v>-8.1666782584268002E-2</v>
      </c>
    </row>
    <row r="70" spans="1:32" s="470" customFormat="1" hidden="1" outlineLevel="1" x14ac:dyDescent="0.25">
      <c r="A70" s="766"/>
      <c r="C70" s="767"/>
      <c r="D70" s="767"/>
      <c r="E70" s="767"/>
      <c r="F70" s="767"/>
      <c r="G70" s="769"/>
      <c r="H70" s="769"/>
      <c r="I70" s="769"/>
      <c r="J70" s="770"/>
      <c r="K70" s="769"/>
      <c r="L70" s="769"/>
      <c r="M70" s="769"/>
      <c r="N70" s="770"/>
      <c r="O70" s="769"/>
      <c r="P70" s="769"/>
      <c r="Q70" s="769"/>
      <c r="R70" s="770"/>
      <c r="S70" s="769"/>
      <c r="T70" s="773"/>
      <c r="U70" s="773"/>
      <c r="V70" s="774"/>
      <c r="W70" s="773"/>
      <c r="X70" s="773"/>
      <c r="Y70" s="773"/>
      <c r="Z70" s="767"/>
      <c r="AA70" s="767"/>
      <c r="AB70" s="769"/>
      <c r="AC70" s="769"/>
      <c r="AD70" s="769"/>
      <c r="AE70" s="773"/>
      <c r="AF70" s="773"/>
    </row>
    <row r="71" spans="1:32" ht="12" hidden="1" outlineLevel="1" x14ac:dyDescent="0.3">
      <c r="A71" s="778" t="str">
        <f>+A52</f>
        <v>EFX - Verification Services</v>
      </c>
      <c r="B71" s="470"/>
      <c r="C71" s="736"/>
      <c r="D71" s="736"/>
      <c r="E71" s="736"/>
      <c r="F71" s="736"/>
      <c r="G71" s="689"/>
      <c r="H71" s="689"/>
      <c r="I71" s="689"/>
      <c r="J71" s="779"/>
      <c r="K71" s="689"/>
      <c r="L71" s="689"/>
      <c r="M71" s="689"/>
      <c r="N71" s="779">
        <v>0.17</v>
      </c>
      <c r="O71" s="689">
        <v>0.22</v>
      </c>
      <c r="P71" s="689">
        <v>0.17</v>
      </c>
      <c r="Q71" s="689">
        <v>0.03</v>
      </c>
      <c r="R71" s="779">
        <v>-7.0000000000000007E-2</v>
      </c>
      <c r="S71" s="689">
        <v>-0.11</v>
      </c>
      <c r="T71" s="799">
        <v>-0.06</v>
      </c>
      <c r="U71" s="799">
        <v>0.01</v>
      </c>
      <c r="V71" s="913"/>
      <c r="W71" s="799"/>
      <c r="X71" s="799"/>
      <c r="Y71" s="799"/>
      <c r="Z71" s="736"/>
      <c r="AA71" s="736"/>
      <c r="AB71" s="689"/>
      <c r="AC71" s="689"/>
      <c r="AD71" s="689"/>
      <c r="AE71" s="799" cm="1">
        <f t="array" ref="AE71">+SUMPRODUCT(O71:R71,K36:N36/SUM(K36:N36))</f>
        <v>8.3298943443132378E-2</v>
      </c>
      <c r="AF71" s="799"/>
    </row>
    <row r="72" spans="1:32" s="789" customFormat="1" ht="12" hidden="1" outlineLevel="1" x14ac:dyDescent="0.3">
      <c r="A72" s="778" t="str">
        <f>+A53</f>
        <v>EFX - Employer Services</v>
      </c>
      <c r="B72" s="783"/>
      <c r="C72" s="784"/>
      <c r="D72" s="784"/>
      <c r="E72" s="784"/>
      <c r="F72" s="784"/>
      <c r="G72" s="786"/>
      <c r="H72" s="786"/>
      <c r="I72" s="786"/>
      <c r="J72" s="787"/>
      <c r="K72" s="786"/>
      <c r="L72" s="786"/>
      <c r="M72" s="786"/>
      <c r="N72" s="787">
        <v>0.16</v>
      </c>
      <c r="O72" s="786">
        <v>0.12</v>
      </c>
      <c r="P72" s="786">
        <v>-0.09</v>
      </c>
      <c r="Q72" s="786">
        <v>-0.12</v>
      </c>
      <c r="R72" s="787">
        <v>-0.03</v>
      </c>
      <c r="S72" s="786">
        <v>-0.01</v>
      </c>
      <c r="T72" s="800">
        <v>-0.02</v>
      </c>
      <c r="U72" s="800">
        <v>0.09</v>
      </c>
      <c r="V72" s="1097"/>
      <c r="W72" s="800"/>
      <c r="X72" s="800"/>
      <c r="Y72" s="800"/>
      <c r="Z72" s="784"/>
      <c r="AA72" s="784"/>
      <c r="AB72" s="786"/>
      <c r="AC72" s="786"/>
      <c r="AD72" s="786"/>
      <c r="AE72" s="800" cm="1">
        <f t="array" ref="AE72">+SUMPRODUCT(O72:R72,K37:N37/SUM(K37:N37))</f>
        <v>-3.2863508442776732E-2</v>
      </c>
      <c r="AF72" s="800"/>
    </row>
    <row r="73" spans="1:32" ht="12" hidden="1" outlineLevel="1" x14ac:dyDescent="0.3">
      <c r="A73" s="798" t="str">
        <f>+A54</f>
        <v>EFX - EWS</v>
      </c>
      <c r="B73" s="470"/>
      <c r="C73" s="736"/>
      <c r="D73" s="736"/>
      <c r="E73" s="736"/>
      <c r="F73" s="736"/>
      <c r="G73" s="689"/>
      <c r="H73" s="689"/>
      <c r="I73" s="689"/>
      <c r="J73" s="779"/>
      <c r="K73" s="689"/>
      <c r="L73" s="689"/>
      <c r="M73" s="689"/>
      <c r="N73" s="779">
        <v>0.17</v>
      </c>
      <c r="O73" s="689">
        <v>0.2</v>
      </c>
      <c r="P73" s="689">
        <v>0.11</v>
      </c>
      <c r="Q73" s="689">
        <v>0</v>
      </c>
      <c r="R73" s="779">
        <v>-0.06</v>
      </c>
      <c r="S73" s="689">
        <v>-0.09</v>
      </c>
      <c r="T73" s="799">
        <v>-0.05</v>
      </c>
      <c r="U73" s="799">
        <v>0.03</v>
      </c>
      <c r="V73" s="913"/>
      <c r="W73" s="799"/>
      <c r="X73" s="799"/>
      <c r="Y73" s="799"/>
      <c r="Z73" s="736"/>
      <c r="AA73" s="736"/>
      <c r="AB73" s="689"/>
      <c r="AC73" s="689"/>
      <c r="AD73" s="689"/>
      <c r="AE73" s="799" cm="1">
        <f t="array" ref="AE73">+SUMPRODUCT(O73:R73,K38:N38/SUM(K38:N38))</f>
        <v>5.933182666797681E-2</v>
      </c>
      <c r="AF73" s="799"/>
    </row>
    <row r="74" spans="1:32" collapsed="1" x14ac:dyDescent="0.25">
      <c r="J74" s="1090"/>
      <c r="N74" s="1090"/>
      <c r="R74" s="1090"/>
      <c r="V74" s="1410"/>
      <c r="AE74" s="794"/>
      <c r="AF74" s="794"/>
    </row>
    <row r="75" spans="1:32" ht="12" x14ac:dyDescent="0.3">
      <c r="A75" s="782" t="s">
        <v>617</v>
      </c>
      <c r="B75" s="470"/>
      <c r="C75" s="736"/>
      <c r="D75" s="736"/>
      <c r="E75" s="736"/>
      <c r="F75" s="736"/>
      <c r="G75" s="736"/>
      <c r="H75" s="736"/>
      <c r="I75" s="736"/>
      <c r="J75" s="825"/>
      <c r="K75" s="736"/>
      <c r="L75" s="736"/>
      <c r="M75" s="736"/>
      <c r="N75" s="825"/>
      <c r="O75" s="824"/>
      <c r="P75" s="736"/>
      <c r="Q75" s="736"/>
      <c r="R75" s="752"/>
      <c r="S75" s="736"/>
      <c r="T75" s="736"/>
      <c r="U75" s="736"/>
      <c r="V75" s="752"/>
      <c r="W75" s="736"/>
      <c r="X75" s="736"/>
      <c r="Y75" s="736"/>
      <c r="Z75" s="736"/>
      <c r="AA75" s="736"/>
      <c r="AB75" s="736"/>
      <c r="AC75" s="736"/>
      <c r="AD75" s="736"/>
      <c r="AE75" s="736"/>
      <c r="AF75" s="736"/>
    </row>
    <row r="76" spans="1:32" ht="12" x14ac:dyDescent="0.3">
      <c r="A76" s="778" t="str">
        <f>+A66</f>
        <v>FA</v>
      </c>
      <c r="B76" s="470"/>
      <c r="C76" s="736"/>
      <c r="D76" s="736"/>
      <c r="E76" s="736"/>
      <c r="F76" s="736"/>
      <c r="G76" s="689"/>
      <c r="H76" s="689"/>
      <c r="I76" s="689"/>
      <c r="J76" s="779"/>
      <c r="K76" s="689">
        <f t="shared" ref="K76:Q76" si="32">((1+K66)*(1+G66))^(1/2)-1</f>
        <v>9.5999466840190228E-2</v>
      </c>
      <c r="L76" s="689">
        <f t="shared" si="32"/>
        <v>0.17554276778536826</v>
      </c>
      <c r="M76" s="689">
        <f t="shared" si="32"/>
        <v>0.21686520562389977</v>
      </c>
      <c r="N76" s="779">
        <f t="shared" si="32"/>
        <v>0.26743297381304165</v>
      </c>
      <c r="O76" s="689">
        <f t="shared" si="32"/>
        <v>0.26050387681767995</v>
      </c>
      <c r="P76" s="689">
        <f t="shared" si="32"/>
        <v>0.33461024193089428</v>
      </c>
      <c r="Q76" s="689">
        <f t="shared" si="32"/>
        <v>0.18292523877848499</v>
      </c>
      <c r="R76" s="779">
        <f t="shared" ref="R76:W76" si="33">((1+R66)*(1+N66))^(1/2)-1</f>
        <v>0.13644472970352539</v>
      </c>
      <c r="S76" s="689">
        <f t="shared" si="33"/>
        <v>0.11679215379251762</v>
      </c>
      <c r="T76" s="799">
        <f t="shared" si="33"/>
        <v>1.6774227181975743E-2</v>
      </c>
      <c r="U76" s="799">
        <f t="shared" si="33"/>
        <v>3.5088487464680629E-3</v>
      </c>
      <c r="V76" s="913">
        <f t="shared" si="33"/>
        <v>-3.4179140299423816E-2</v>
      </c>
      <c r="W76" s="799">
        <f t="shared" si="33"/>
        <v>-5.7677844353145047E-2</v>
      </c>
      <c r="X76" s="799">
        <f t="shared" ref="X76:X77" si="34">((1+X66)*(1+T66))^(1/2)-1</f>
        <v>-4.8981140971499193E-2</v>
      </c>
      <c r="Y76" s="799">
        <f t="shared" ref="Y76:Y77" si="35">((1+Y66)*(1+U66))^(1/2)-1</f>
        <v>-2.5953259781771765E-2</v>
      </c>
      <c r="Z76" s="736"/>
      <c r="AA76" s="736"/>
      <c r="AB76" s="689"/>
      <c r="AC76" s="689"/>
      <c r="AD76" s="689">
        <f t="shared" ref="AD76" si="36">((1+AD66)*(1+AC66))^(1/2)-1</f>
        <v>0.19463490016608942</v>
      </c>
      <c r="AE76" s="799">
        <f>((1+AE66)*(1+AD66))^(1/2)-1</f>
        <v>0.21858717839407205</v>
      </c>
      <c r="AF76" s="799">
        <f>((1+AF66)*(1+AE66))^(1/2)-1</f>
        <v>1.7756187952502112E-2</v>
      </c>
    </row>
    <row r="77" spans="1:32" ht="12" x14ac:dyDescent="0.3">
      <c r="A77" s="778" t="str">
        <f>+A67</f>
        <v>STER</v>
      </c>
      <c r="B77" s="470"/>
      <c r="C77" s="736"/>
      <c r="D77" s="736"/>
      <c r="E77" s="736"/>
      <c r="F77" s="736"/>
      <c r="G77" s="689"/>
      <c r="H77" s="689"/>
      <c r="I77" s="689"/>
      <c r="J77" s="779"/>
      <c r="K77" s="689">
        <f t="shared" ref="K77:R77" si="37">((1+K67)*(1+G67))^(1/2)-1</f>
        <v>0.1137594585413908</v>
      </c>
      <c r="L77" s="689">
        <f t="shared" si="37"/>
        <v>9.2449634620000776E-2</v>
      </c>
      <c r="M77" s="689">
        <f t="shared" si="37"/>
        <v>0.12134140603838661</v>
      </c>
      <c r="N77" s="779">
        <f t="shared" si="37"/>
        <v>0.17719272320019464</v>
      </c>
      <c r="O77" s="689">
        <f t="shared" si="37"/>
        <v>0.22137876758119934</v>
      </c>
      <c r="P77" s="689">
        <f t="shared" si="37"/>
        <v>0.47316057857426119</v>
      </c>
      <c r="Q77" s="689">
        <f t="shared" si="37"/>
        <v>0.26859139269509091</v>
      </c>
      <c r="R77" s="779">
        <f t="shared" si="37"/>
        <v>0.12528560971088676</v>
      </c>
      <c r="S77" s="689">
        <f t="shared" ref="S77:V79" si="38">((1+S67)*(1+O67))^(1/2)-1</f>
        <v>0.10082363546616646</v>
      </c>
      <c r="T77" s="799">
        <f t="shared" si="38"/>
        <v>5.0856119983419878E-2</v>
      </c>
      <c r="U77" s="799">
        <f t="shared" ref="U77" si="39">((1+U67)*(1+Q67))^(1/2)-1</f>
        <v>-4.8899558340292915E-3</v>
      </c>
      <c r="V77" s="913">
        <f t="shared" ref="V77:W77" si="40">((1+V67)*(1+R67))^(1/2)-1</f>
        <v>-3.5529160627445489E-2</v>
      </c>
      <c r="W77" s="799">
        <f t="shared" si="40"/>
        <v>-6.0064363905698026E-2</v>
      </c>
      <c r="X77" s="799">
        <f t="shared" si="34"/>
        <v>-5.6120240708595337E-2</v>
      </c>
      <c r="Y77" s="799">
        <f t="shared" si="35"/>
        <v>-5.4370579983892497E-2</v>
      </c>
      <c r="Z77" s="736"/>
      <c r="AA77" s="736"/>
      <c r="AB77" s="689"/>
      <c r="AC77" s="689"/>
      <c r="AD77" s="689">
        <f t="shared" ref="AD77:AE77" si="41">((1+AD67)*(1+AC67))^(1/2)-1</f>
        <v>0.1258153434741538</v>
      </c>
      <c r="AE77" s="799">
        <f t="shared" si="41"/>
        <v>0.26124543777035436</v>
      </c>
      <c r="AF77" s="799">
        <f>((1+AF67)*(1+AE67))^(1/2)-1</f>
        <v>2.475230874588652E-2</v>
      </c>
    </row>
    <row r="78" spans="1:32" ht="13.5" x14ac:dyDescent="0.3">
      <c r="A78" s="778" t="str">
        <f>+A68</f>
        <v>HRT</v>
      </c>
      <c r="B78" s="470"/>
      <c r="C78" s="736"/>
      <c r="D78" s="736"/>
      <c r="E78" s="736"/>
      <c r="F78" s="736"/>
      <c r="G78" s="786"/>
      <c r="H78" s="786"/>
      <c r="I78" s="786"/>
      <c r="J78" s="787"/>
      <c r="K78" s="786">
        <f t="shared" ref="K78:R78" si="42">((1+K68)*(1+G68))^(1/2)-1</f>
        <v>-2.6357936691057571E-2</v>
      </c>
      <c r="L78" s="786">
        <f t="shared" si="42"/>
        <v>7.7472659038515523E-3</v>
      </c>
      <c r="M78" s="786">
        <f t="shared" si="42"/>
        <v>0.10254376664652454</v>
      </c>
      <c r="N78" s="787">
        <f t="shared" si="42"/>
        <v>0.13258327087076482</v>
      </c>
      <c r="O78" s="786">
        <f t="shared" si="42"/>
        <v>0.13107545397188813</v>
      </c>
      <c r="P78" s="786">
        <f t="shared" si="42"/>
        <v>0.45764533711957323</v>
      </c>
      <c r="Q78" s="786">
        <f t="shared" si="42"/>
        <v>0.27321886850438304</v>
      </c>
      <c r="R78" s="787">
        <f t="shared" si="42"/>
        <v>8.5872397361802522E-2</v>
      </c>
      <c r="S78" s="786">
        <f t="shared" si="38"/>
        <v>8.3738683626810584E-2</v>
      </c>
      <c r="T78" s="800">
        <f t="shared" si="38"/>
        <v>4.4325016141428808E-2</v>
      </c>
      <c r="U78" s="800">
        <f t="shared" si="38"/>
        <v>-4.2366947159025337E-2</v>
      </c>
      <c r="V78" s="1097">
        <f t="shared" si="38"/>
        <v>-8.5633327687626104E-2</v>
      </c>
      <c r="W78" s="800">
        <f t="shared" ref="W78:W79" si="43">((1+W68)*(1+S68))^(1/2)-1</f>
        <v>-7.1136005258527701E-2</v>
      </c>
      <c r="X78" s="800"/>
      <c r="Y78" s="800"/>
      <c r="Z78" s="736"/>
      <c r="AA78" s="736"/>
      <c r="AB78" s="1095"/>
      <c r="AC78" s="1095"/>
      <c r="AD78" s="786">
        <f t="shared" ref="AD78:AE78" si="44">((1+AD68)*(1+AC68))^(1/2)-1</f>
        <v>5.551719446053216E-2</v>
      </c>
      <c r="AE78" s="800">
        <f t="shared" si="44"/>
        <v>0.22404044529618594</v>
      </c>
      <c r="AF78" s="800">
        <f>((1+AF68)*(1+AE68))^(1/2)-1</f>
        <v>-2.4532994849261192E-3</v>
      </c>
    </row>
    <row r="79" spans="1:32" s="470" customFormat="1" x14ac:dyDescent="0.25">
      <c r="A79" s="766" t="str">
        <f>+A69</f>
        <v>Total Revenue</v>
      </c>
      <c r="C79" s="767"/>
      <c r="D79" s="767"/>
      <c r="E79" s="767"/>
      <c r="F79" s="767"/>
      <c r="G79" s="769"/>
      <c r="H79" s="769"/>
      <c r="I79" s="769"/>
      <c r="J79" s="770"/>
      <c r="K79" s="769">
        <f t="shared" ref="K79:R79" si="45">((1+K69)*(1+G69))^(1/2)-1</f>
        <v>5.2334458287513597E-2</v>
      </c>
      <c r="L79" s="769">
        <f t="shared" si="45"/>
        <v>8.4104390471551049E-2</v>
      </c>
      <c r="M79" s="769">
        <f t="shared" si="45"/>
        <v>0.143124745179396</v>
      </c>
      <c r="N79" s="770">
        <f t="shared" si="45"/>
        <v>0.19001268801736892</v>
      </c>
      <c r="O79" s="769">
        <f t="shared" si="45"/>
        <v>0.1975768763765231</v>
      </c>
      <c r="P79" s="769">
        <f t="shared" si="45"/>
        <v>0.4197030132006323</v>
      </c>
      <c r="Q79" s="769">
        <f t="shared" si="45"/>
        <v>0.24029385826557803</v>
      </c>
      <c r="R79" s="770">
        <f t="shared" si="45"/>
        <v>0.11634362419499733</v>
      </c>
      <c r="S79" s="769">
        <f t="shared" si="38"/>
        <v>0.10030700461159348</v>
      </c>
      <c r="T79" s="773">
        <f t="shared" si="38"/>
        <v>3.7282132978649019E-2</v>
      </c>
      <c r="U79" s="773">
        <f t="shared" ref="U79" si="46">((1+U69)*(1+Q69))^(1/2)-1</f>
        <v>-1.5303110861022984E-2</v>
      </c>
      <c r="V79" s="774">
        <f t="shared" ref="V79" si="47">((1+V69)*(1+R69))^(1/2)-1</f>
        <v>-5.1661884301710592E-2</v>
      </c>
      <c r="W79" s="773">
        <f t="shared" si="43"/>
        <v>-6.3041871640968528E-2</v>
      </c>
      <c r="X79" s="773"/>
      <c r="Y79" s="773"/>
      <c r="Z79" s="767"/>
      <c r="AA79" s="767"/>
      <c r="AB79" s="777"/>
      <c r="AC79" s="777"/>
      <c r="AD79" s="769">
        <f t="shared" ref="AD79:AE79" si="48">((1+AD69)*(1+AC69))^(1/2)-1</f>
        <v>0.11968115187721895</v>
      </c>
      <c r="AE79" s="773">
        <f t="shared" si="48"/>
        <v>0.2335191514156465</v>
      </c>
      <c r="AF79" s="773">
        <f>((1+AF69)*(1+AE69))^(1/2)-1</f>
        <v>1.3073534267207254E-2</v>
      </c>
    </row>
    <row r="80" spans="1:32" s="470" customFormat="1" x14ac:dyDescent="0.25">
      <c r="A80" s="766"/>
      <c r="C80" s="767"/>
      <c r="D80" s="767"/>
      <c r="E80" s="767"/>
      <c r="F80" s="767"/>
      <c r="G80" s="769"/>
      <c r="H80" s="769"/>
      <c r="I80" s="769"/>
      <c r="J80" s="770"/>
      <c r="K80" s="769"/>
      <c r="L80" s="769"/>
      <c r="M80" s="769"/>
      <c r="N80" s="770"/>
      <c r="O80" s="769"/>
      <c r="P80" s="769"/>
      <c r="Q80" s="769"/>
      <c r="R80" s="770"/>
      <c r="S80" s="769"/>
      <c r="T80" s="773"/>
      <c r="U80" s="773"/>
      <c r="V80" s="774"/>
      <c r="W80" s="773"/>
      <c r="X80" s="773"/>
      <c r="Y80" s="773"/>
      <c r="Z80" s="767"/>
      <c r="AA80" s="767"/>
      <c r="AB80" s="769"/>
      <c r="AC80" s="769"/>
      <c r="AD80" s="769"/>
      <c r="AE80" s="773"/>
      <c r="AF80" s="773"/>
    </row>
    <row r="81" spans="1:32" ht="12" hidden="1" outlineLevel="2" x14ac:dyDescent="0.3">
      <c r="A81" s="778" t="str">
        <f>+A71</f>
        <v>EFX - Verification Services</v>
      </c>
      <c r="B81" s="470"/>
      <c r="C81" s="736"/>
      <c r="D81" s="736"/>
      <c r="E81" s="736"/>
      <c r="F81" s="736"/>
      <c r="G81" s="689"/>
      <c r="H81" s="689"/>
      <c r="I81" s="689"/>
      <c r="J81" s="779"/>
      <c r="K81" s="689"/>
      <c r="L81" s="689"/>
      <c r="M81" s="689"/>
      <c r="N81" s="779"/>
      <c r="O81" s="689"/>
      <c r="P81" s="689"/>
      <c r="Q81" s="689"/>
      <c r="R81" s="779">
        <f t="shared" ref="R81:R83" si="49">((1+R71)*(1+N71))^(1/2)-1</f>
        <v>4.312031904282243E-2</v>
      </c>
      <c r="S81" s="689">
        <f t="shared" ref="S81:S83" si="50">((1+S71)*(1+O71))^(1/2)-1</f>
        <v>4.2017274328981502E-2</v>
      </c>
      <c r="T81" s="799">
        <f t="shared" ref="T81:T83" si="51">((1+T71)*(1+P71))^(1/2)-1</f>
        <v>4.8713497576912124E-2</v>
      </c>
      <c r="U81" s="799">
        <f t="shared" ref="U81:U83" si="52">((1+U71)*(1+Q71))^(1/2)-1</f>
        <v>1.9950979214197417E-2</v>
      </c>
      <c r="V81" s="913"/>
      <c r="W81" s="799"/>
      <c r="X81" s="799"/>
      <c r="Y81" s="799"/>
      <c r="Z81" s="736"/>
      <c r="AA81" s="736"/>
      <c r="AB81" s="689"/>
      <c r="AC81" s="689"/>
      <c r="AD81" s="689"/>
      <c r="AE81" s="799"/>
      <c r="AF81" s="799"/>
    </row>
    <row r="82" spans="1:32" s="789" customFormat="1" ht="12" hidden="1" outlineLevel="2" x14ac:dyDescent="0.3">
      <c r="A82" s="778" t="str">
        <f t="shared" ref="A82:A83" si="53">+A72</f>
        <v>EFX - Employer Services</v>
      </c>
      <c r="B82" s="783"/>
      <c r="C82" s="784"/>
      <c r="D82" s="784"/>
      <c r="E82" s="784"/>
      <c r="F82" s="784"/>
      <c r="G82" s="786"/>
      <c r="H82" s="786"/>
      <c r="I82" s="786"/>
      <c r="J82" s="787"/>
      <c r="K82" s="786"/>
      <c r="L82" s="786"/>
      <c r="M82" s="786"/>
      <c r="N82" s="787"/>
      <c r="O82" s="786"/>
      <c r="P82" s="786"/>
      <c r="Q82" s="786"/>
      <c r="R82" s="787">
        <f t="shared" si="49"/>
        <v>6.0754448494089397E-2</v>
      </c>
      <c r="S82" s="786">
        <f t="shared" si="50"/>
        <v>5.299572648705464E-2</v>
      </c>
      <c r="T82" s="800">
        <f t="shared" si="51"/>
        <v>-5.5648370573757044E-2</v>
      </c>
      <c r="U82" s="800">
        <f t="shared" si="52"/>
        <v>-2.0612436264376477E-2</v>
      </c>
      <c r="V82" s="1097"/>
      <c r="W82" s="800"/>
      <c r="X82" s="800"/>
      <c r="Y82" s="800"/>
      <c r="Z82" s="784"/>
      <c r="AA82" s="784"/>
      <c r="AB82" s="786"/>
      <c r="AC82" s="786"/>
      <c r="AD82" s="786"/>
      <c r="AE82" s="800"/>
      <c r="AF82" s="800"/>
    </row>
    <row r="83" spans="1:32" ht="12" hidden="1" outlineLevel="2" x14ac:dyDescent="0.3">
      <c r="A83" s="798" t="str">
        <f t="shared" si="53"/>
        <v>EFX - EWS</v>
      </c>
      <c r="B83" s="470"/>
      <c r="C83" s="736"/>
      <c r="D83" s="736"/>
      <c r="E83" s="736"/>
      <c r="F83" s="736"/>
      <c r="G83" s="689"/>
      <c r="H83" s="689"/>
      <c r="I83" s="689"/>
      <c r="J83" s="779"/>
      <c r="K83" s="689"/>
      <c r="L83" s="689"/>
      <c r="M83" s="689"/>
      <c r="N83" s="779"/>
      <c r="O83" s="689"/>
      <c r="P83" s="689"/>
      <c r="Q83" s="689"/>
      <c r="R83" s="779">
        <f t="shared" si="49"/>
        <v>4.8713497576912124E-2</v>
      </c>
      <c r="S83" s="689">
        <f t="shared" si="50"/>
        <v>4.4988038209050618E-2</v>
      </c>
      <c r="T83" s="799">
        <f t="shared" si="51"/>
        <v>2.6888504171704186E-2</v>
      </c>
      <c r="U83" s="799">
        <f t="shared" si="52"/>
        <v>1.4889156509221957E-2</v>
      </c>
      <c r="V83" s="913"/>
      <c r="W83" s="799"/>
      <c r="X83" s="799"/>
      <c r="Y83" s="799"/>
      <c r="Z83" s="736"/>
      <c r="AA83" s="736"/>
      <c r="AB83" s="689"/>
      <c r="AC83" s="689"/>
      <c r="AD83" s="689"/>
      <c r="AE83" s="799"/>
      <c r="AF83" s="799"/>
    </row>
    <row r="84" spans="1:32" ht="12" hidden="1" outlineLevel="1" x14ac:dyDescent="0.3">
      <c r="A84" s="798"/>
      <c r="B84" s="470"/>
      <c r="C84" s="736"/>
      <c r="D84" s="736"/>
      <c r="E84" s="736"/>
      <c r="F84" s="736"/>
      <c r="G84" s="689"/>
      <c r="H84" s="689"/>
      <c r="I84" s="689"/>
      <c r="J84" s="779"/>
      <c r="K84" s="689"/>
      <c r="L84" s="689"/>
      <c r="M84" s="689"/>
      <c r="N84" s="779"/>
      <c r="O84" s="689"/>
      <c r="P84" s="689"/>
      <c r="Q84" s="689"/>
      <c r="R84" s="779"/>
      <c r="S84" s="689"/>
      <c r="T84" s="799"/>
      <c r="U84" s="799"/>
      <c r="V84" s="913"/>
      <c r="W84" s="799"/>
      <c r="X84" s="799"/>
      <c r="Y84" s="799"/>
      <c r="Z84" s="736"/>
      <c r="AA84" s="736"/>
      <c r="AB84" s="689"/>
      <c r="AC84" s="689"/>
      <c r="AD84" s="689"/>
      <c r="AE84" s="799"/>
      <c r="AF84" s="799"/>
    </row>
    <row r="85" spans="1:32" ht="12" hidden="1" outlineLevel="1" x14ac:dyDescent="0.3">
      <c r="A85" s="798"/>
      <c r="B85" s="470"/>
      <c r="C85" s="736"/>
      <c r="D85" s="736"/>
      <c r="E85" s="736"/>
      <c r="F85" s="736"/>
      <c r="G85" s="689"/>
      <c r="H85" s="689"/>
      <c r="I85" s="689"/>
      <c r="J85" s="779"/>
      <c r="K85" s="689"/>
      <c r="L85" s="689"/>
      <c r="M85" s="689"/>
      <c r="N85" s="779"/>
      <c r="O85" s="689"/>
      <c r="P85" s="689"/>
      <c r="Q85" s="689"/>
      <c r="R85" s="779"/>
      <c r="S85" s="689"/>
      <c r="T85" s="799"/>
      <c r="U85" s="799"/>
      <c r="V85" s="913"/>
      <c r="W85" s="799"/>
      <c r="X85" s="799"/>
      <c r="Y85" s="799"/>
      <c r="Z85" s="736"/>
      <c r="AA85" s="736"/>
      <c r="AB85" s="689"/>
      <c r="AC85" s="689"/>
      <c r="AD85" s="689"/>
      <c r="AE85" s="799"/>
      <c r="AF85" s="799"/>
    </row>
    <row r="86" spans="1:32" ht="12" hidden="1" outlineLevel="1" x14ac:dyDescent="0.3">
      <c r="A86" s="798"/>
      <c r="B86" s="470"/>
      <c r="C86" s="736"/>
      <c r="D86" s="736"/>
      <c r="E86" s="736"/>
      <c r="F86" s="736"/>
      <c r="G86" s="689"/>
      <c r="H86" s="689"/>
      <c r="I86" s="689"/>
      <c r="J86" s="779"/>
      <c r="K86" s="689"/>
      <c r="L86" s="689"/>
      <c r="M86" s="689"/>
      <c r="N86" s="779"/>
      <c r="O86" s="689"/>
      <c r="P86" s="689"/>
      <c r="Q86" s="689"/>
      <c r="R86" s="779"/>
      <c r="S86" s="689"/>
      <c r="T86" s="799"/>
      <c r="U86" s="799"/>
      <c r="V86" s="913"/>
      <c r="W86" s="799"/>
      <c r="X86" s="799"/>
      <c r="Y86" s="799"/>
      <c r="Z86" s="736"/>
      <c r="AA86" s="736"/>
      <c r="AB86" s="689"/>
      <c r="AC86" s="689"/>
      <c r="AD86" s="689"/>
      <c r="AE86" s="799"/>
      <c r="AF86" s="799"/>
    </row>
    <row r="87" spans="1:32" ht="12" hidden="1" outlineLevel="1" x14ac:dyDescent="0.3">
      <c r="A87" s="798"/>
      <c r="B87" s="470"/>
      <c r="C87" s="736"/>
      <c r="D87" s="736"/>
      <c r="E87" s="736"/>
      <c r="F87" s="736"/>
      <c r="G87" s="689"/>
      <c r="H87" s="689"/>
      <c r="I87" s="689"/>
      <c r="J87" s="779"/>
      <c r="K87" s="689"/>
      <c r="L87" s="689"/>
      <c r="M87" s="689"/>
      <c r="N87" s="779"/>
      <c r="O87" s="689"/>
      <c r="P87" s="689"/>
      <c r="Q87" s="689"/>
      <c r="R87" s="779"/>
      <c r="S87" s="689"/>
      <c r="T87" s="799"/>
      <c r="U87" s="799"/>
      <c r="V87" s="913"/>
      <c r="W87" s="799"/>
      <c r="X87" s="799"/>
      <c r="Y87" s="799"/>
      <c r="Z87" s="736"/>
      <c r="AA87" s="736"/>
      <c r="AB87" s="689"/>
      <c r="AC87" s="689"/>
      <c r="AD87" s="689"/>
      <c r="AE87" s="799"/>
      <c r="AF87" s="799"/>
    </row>
    <row r="88" spans="1:32" hidden="1" outlineLevel="1" x14ac:dyDescent="0.25">
      <c r="J88" s="1090"/>
      <c r="N88" s="1090"/>
      <c r="R88" s="1090"/>
      <c r="V88" s="1410"/>
      <c r="AE88" s="794"/>
      <c r="AF88" s="794"/>
    </row>
    <row r="89" spans="1:32" hidden="1" outlineLevel="1" x14ac:dyDescent="0.25">
      <c r="J89" s="1090"/>
      <c r="N89" s="1090"/>
      <c r="R89" s="1090"/>
      <c r="V89" s="1410"/>
      <c r="AE89" s="794"/>
      <c r="AF89" s="794"/>
    </row>
    <row r="90" spans="1:32" hidden="1" outlineLevel="1" x14ac:dyDescent="0.25">
      <c r="J90" s="1090"/>
      <c r="N90" s="1090"/>
      <c r="R90" s="1090"/>
      <c r="V90" s="1410"/>
      <c r="AE90" s="794"/>
      <c r="AF90" s="794"/>
    </row>
    <row r="91" spans="1:32" hidden="1" outlineLevel="1" x14ac:dyDescent="0.25">
      <c r="J91" s="1090"/>
      <c r="N91" s="1090"/>
      <c r="R91" s="1090"/>
      <c r="V91" s="1410"/>
      <c r="AE91" s="794"/>
      <c r="AF91" s="794"/>
    </row>
    <row r="92" spans="1:32" hidden="1" outlineLevel="1" x14ac:dyDescent="0.25">
      <c r="J92" s="1090"/>
      <c r="N92" s="1090"/>
      <c r="R92" s="1090"/>
      <c r="V92" s="1410"/>
      <c r="AE92" s="794"/>
      <c r="AF92" s="794"/>
    </row>
    <row r="93" spans="1:32" hidden="1" outlineLevel="1" x14ac:dyDescent="0.25">
      <c r="J93" s="1090"/>
      <c r="N93" s="1090"/>
      <c r="R93" s="1090"/>
      <c r="V93" s="1410"/>
      <c r="AE93" s="794"/>
      <c r="AF93" s="794"/>
    </row>
    <row r="94" spans="1:32" hidden="1" outlineLevel="1" x14ac:dyDescent="0.25">
      <c r="J94" s="1090"/>
      <c r="N94" s="1090"/>
      <c r="R94" s="1090"/>
      <c r="V94" s="1410"/>
      <c r="AE94" s="794"/>
      <c r="AF94" s="794"/>
    </row>
    <row r="95" spans="1:32" hidden="1" outlineLevel="1" x14ac:dyDescent="0.25">
      <c r="J95" s="1090"/>
      <c r="N95" s="1090"/>
      <c r="R95" s="1090"/>
      <c r="V95" s="1410"/>
      <c r="AE95" s="794"/>
      <c r="AF95" s="794"/>
    </row>
    <row r="96" spans="1:32" hidden="1" outlineLevel="1" x14ac:dyDescent="0.25">
      <c r="J96" s="1090"/>
      <c r="N96" s="1090"/>
      <c r="R96" s="1090"/>
      <c r="V96" s="1410"/>
      <c r="AE96" s="794"/>
      <c r="AF96" s="794"/>
    </row>
    <row r="97" spans="1:33" hidden="1" outlineLevel="1" x14ac:dyDescent="0.25">
      <c r="J97" s="1090"/>
      <c r="N97" s="1090"/>
      <c r="R97" s="1090"/>
      <c r="V97" s="1410"/>
      <c r="AE97" s="794"/>
      <c r="AF97" s="794"/>
    </row>
    <row r="98" spans="1:33" hidden="1" outlineLevel="1" x14ac:dyDescent="0.25">
      <c r="J98" s="1090"/>
      <c r="N98" s="1090"/>
      <c r="R98" s="1090"/>
      <c r="V98" s="1410"/>
      <c r="AE98" s="794"/>
      <c r="AF98" s="794"/>
    </row>
    <row r="99" spans="1:33" hidden="1" outlineLevel="1" x14ac:dyDescent="0.25">
      <c r="J99" s="1090"/>
      <c r="N99" s="1090"/>
      <c r="R99" s="1090"/>
      <c r="V99" s="1410"/>
      <c r="AE99" s="794"/>
      <c r="AF99" s="794"/>
    </row>
    <row r="100" spans="1:33" hidden="1" outlineLevel="1" x14ac:dyDescent="0.25">
      <c r="J100" s="1090"/>
      <c r="N100" s="1090"/>
      <c r="R100" s="1090"/>
      <c r="V100" s="1410"/>
      <c r="AE100" s="794"/>
      <c r="AF100" s="794"/>
    </row>
    <row r="101" spans="1:33" hidden="1" outlineLevel="1" x14ac:dyDescent="0.25">
      <c r="J101" s="1090"/>
      <c r="N101" s="1090"/>
      <c r="R101" s="1090"/>
      <c r="V101" s="1410"/>
      <c r="AE101" s="794"/>
      <c r="AF101" s="794"/>
    </row>
    <row r="102" spans="1:33" hidden="1" outlineLevel="1" x14ac:dyDescent="0.25">
      <c r="J102" s="1090"/>
      <c r="N102" s="1090"/>
      <c r="R102" s="1090"/>
      <c r="V102" s="1410"/>
      <c r="AE102" s="794"/>
      <c r="AF102" s="794"/>
    </row>
    <row r="103" spans="1:33" hidden="1" outlineLevel="1" x14ac:dyDescent="0.25">
      <c r="J103" s="1090"/>
      <c r="N103" s="1090"/>
      <c r="R103" s="1090"/>
      <c r="V103" s="1410"/>
      <c r="AE103" s="794"/>
      <c r="AF103" s="794"/>
    </row>
    <row r="104" spans="1:33" hidden="1" outlineLevel="1" x14ac:dyDescent="0.25">
      <c r="J104" s="1090"/>
      <c r="N104" s="1090"/>
      <c r="R104" s="1090"/>
      <c r="V104" s="1410"/>
      <c r="AE104" s="794"/>
      <c r="AF104" s="794"/>
    </row>
    <row r="105" spans="1:33" hidden="1" outlineLevel="1" x14ac:dyDescent="0.25">
      <c r="J105" s="1090"/>
      <c r="N105" s="1090"/>
      <c r="R105" s="1090"/>
      <c r="V105" s="1410"/>
      <c r="AE105" s="794"/>
      <c r="AF105" s="794"/>
    </row>
    <row r="106" spans="1:33" hidden="1" outlineLevel="1" x14ac:dyDescent="0.25">
      <c r="J106" s="1090"/>
      <c r="N106" s="1090"/>
      <c r="R106" s="1090"/>
      <c r="V106" s="1410"/>
      <c r="AE106" s="794"/>
      <c r="AF106" s="794"/>
    </row>
    <row r="107" spans="1:33" hidden="1" outlineLevel="1" x14ac:dyDescent="0.25">
      <c r="J107" s="1090"/>
      <c r="N107" s="1090"/>
      <c r="R107" s="1090"/>
      <c r="V107" s="1410"/>
      <c r="AE107" s="794"/>
      <c r="AF107" s="794"/>
    </row>
    <row r="108" spans="1:33" hidden="1" outlineLevel="1" x14ac:dyDescent="0.25">
      <c r="J108" s="1090"/>
      <c r="N108" s="1090"/>
      <c r="R108" s="1090"/>
      <c r="V108" s="1410"/>
      <c r="AE108" s="794"/>
      <c r="AF108" s="794"/>
    </row>
    <row r="109" spans="1:33" hidden="1" outlineLevel="1" x14ac:dyDescent="0.25">
      <c r="J109" s="1090"/>
      <c r="N109" s="1090"/>
      <c r="R109" s="1090"/>
      <c r="V109" s="1410"/>
      <c r="AE109" s="794"/>
      <c r="AF109" s="794"/>
    </row>
    <row r="110" spans="1:33" ht="12" collapsed="1" x14ac:dyDescent="0.3">
      <c r="A110" s="782" t="s">
        <v>618</v>
      </c>
      <c r="B110" s="470"/>
      <c r="C110" s="736"/>
      <c r="D110" s="736"/>
      <c r="E110" s="736"/>
      <c r="F110" s="736"/>
      <c r="G110" s="736"/>
      <c r="H110" s="736"/>
      <c r="I110" s="736"/>
      <c r="J110" s="825"/>
      <c r="K110" s="736"/>
      <c r="L110" s="736"/>
      <c r="M110" s="736"/>
      <c r="N110" s="825"/>
      <c r="O110" s="824"/>
      <c r="P110" s="736"/>
      <c r="Q110" s="736"/>
      <c r="R110" s="752"/>
      <c r="S110" s="736"/>
      <c r="T110" s="736"/>
      <c r="U110" s="736"/>
      <c r="V110" s="752"/>
      <c r="W110" s="736"/>
      <c r="X110" s="736"/>
      <c r="Y110" s="736"/>
      <c r="Z110" s="736"/>
      <c r="AA110" s="736"/>
      <c r="AB110" s="736"/>
      <c r="AC110" s="736"/>
      <c r="AD110" s="736"/>
      <c r="AE110" s="736"/>
      <c r="AF110" s="736"/>
      <c r="AG110" s="460" t="s">
        <v>619</v>
      </c>
    </row>
    <row r="111" spans="1:33" ht="12" x14ac:dyDescent="0.3">
      <c r="A111" s="778" t="str">
        <f>+A76</f>
        <v>FA</v>
      </c>
      <c r="B111" s="470"/>
      <c r="C111" s="736"/>
      <c r="D111" s="736"/>
      <c r="E111" s="736"/>
      <c r="F111" s="736"/>
      <c r="G111" s="689"/>
      <c r="H111" s="689"/>
      <c r="I111" s="689"/>
      <c r="J111" s="779"/>
      <c r="K111" s="689"/>
      <c r="L111" s="689"/>
      <c r="M111" s="689"/>
      <c r="N111" s="779"/>
      <c r="O111" s="689">
        <f t="shared" ref="O111:V114" si="54">((1+O66)*(1+K66)*(1+G66))^(1/3)-1</f>
        <v>0.16988794884212588</v>
      </c>
      <c r="P111" s="689">
        <f t="shared" si="54"/>
        <v>0.15601155281545398</v>
      </c>
      <c r="Q111" s="689">
        <f t="shared" si="54"/>
        <v>0.15565024987455578</v>
      </c>
      <c r="R111" s="779">
        <f t="shared" si="54"/>
        <v>0.16798401929761786</v>
      </c>
      <c r="S111" s="689">
        <f t="shared" si="54"/>
        <v>0.14131884403901096</v>
      </c>
      <c r="T111" s="799">
        <f t="shared" si="54"/>
        <v>0.18099874685540884</v>
      </c>
      <c r="U111" s="799">
        <f t="shared" ref="U111:U114" si="55">((1+U66)*(1+Q66)*(1+M66))^(1/3)-1</f>
        <v>0.10574309039445939</v>
      </c>
      <c r="V111" s="913">
        <f t="shared" ref="V111:W112" si="56">((1+V66)*(1+R66)*(1+N66))^(1/3)-1</f>
        <v>6.6947459631384376E-2</v>
      </c>
      <c r="W111" s="799">
        <f t="shared" si="56"/>
        <v>5.7800188799679963E-2</v>
      </c>
      <c r="X111" s="799">
        <f t="shared" ref="X111:X112" si="57">((1+X66)*(1+T66)*(1+P66))^(1/3)-1</f>
        <v>3.681619981073192E-3</v>
      </c>
      <c r="Y111" s="799">
        <f t="shared" ref="Y111:Y112" si="58">((1+Y66)*(1+U66)*(1+Q66))^(1/3)-1</f>
        <v>-3.7126099681435987E-3</v>
      </c>
      <c r="Z111" s="736"/>
      <c r="AA111" s="736"/>
      <c r="AB111" s="689"/>
      <c r="AC111" s="689"/>
      <c r="AD111" s="689">
        <f t="shared" ref="AD111:AF112" si="59">((1+AD66)*(1+AC66)*(1+AB66))^(1/3)-1</f>
        <v>0.1258748867712316</v>
      </c>
      <c r="AE111" s="799">
        <f t="shared" si="59"/>
        <v>0.1620953767001696</v>
      </c>
      <c r="AF111" s="799">
        <f>((1+AF66)*(1+AE66)*(1+AD66))^(1/3)-1</f>
        <v>0.118360782448105</v>
      </c>
      <c r="AG111" s="460">
        <f>((1+AF66)*(1+AE66)*(1+AD66)*(1+AC66))^(1/4)-1</f>
        <v>0.10265455242703148</v>
      </c>
    </row>
    <row r="112" spans="1:33" ht="12" x14ac:dyDescent="0.3">
      <c r="A112" s="778" t="str">
        <f>+A77</f>
        <v>STER</v>
      </c>
      <c r="B112" s="470"/>
      <c r="C112" s="736"/>
      <c r="D112" s="736"/>
      <c r="E112" s="736"/>
      <c r="F112" s="736"/>
      <c r="G112" s="689"/>
      <c r="H112" s="689"/>
      <c r="I112" s="689"/>
      <c r="J112" s="779"/>
      <c r="K112" s="689"/>
      <c r="L112" s="689"/>
      <c r="M112" s="689"/>
      <c r="N112" s="779"/>
      <c r="O112" s="689">
        <f t="shared" si="54"/>
        <v>0.17399846550325049</v>
      </c>
      <c r="P112" s="689">
        <f t="shared" si="54"/>
        <v>0.13599535908053961</v>
      </c>
      <c r="Q112" s="689">
        <f t="shared" si="54"/>
        <v>0.12222690458288277</v>
      </c>
      <c r="R112" s="779">
        <f t="shared" si="54"/>
        <v>9.867445043809564E-2</v>
      </c>
      <c r="S112" s="689">
        <f t="shared" si="54"/>
        <v>0.1149074443690401</v>
      </c>
      <c r="T112" s="799">
        <f t="shared" si="54"/>
        <v>0.24954899551387166</v>
      </c>
      <c r="U112" s="799">
        <f t="shared" si="55"/>
        <v>0.12341394306267017</v>
      </c>
      <c r="V112" s="913">
        <f t="shared" si="56"/>
        <v>7.1677053268188518E-2</v>
      </c>
      <c r="W112" s="799">
        <f t="shared" si="56"/>
        <v>4.8428140984898782E-2</v>
      </c>
      <c r="X112" s="799">
        <f t="shared" si="57"/>
        <v>3.0512798866662694E-2</v>
      </c>
      <c r="Y112" s="799">
        <f t="shared" si="58"/>
        <v>1.6963408007732994E-3</v>
      </c>
      <c r="Z112" s="736"/>
      <c r="AA112" s="736"/>
      <c r="AB112" s="689"/>
      <c r="AC112" s="689"/>
      <c r="AD112" s="689">
        <f t="shared" si="59"/>
        <v>8.2209749632172535E-2</v>
      </c>
      <c r="AE112" s="799">
        <f t="shared" si="59"/>
        <v>0.13181391581283775</v>
      </c>
      <c r="AF112" s="799">
        <f t="shared" si="59"/>
        <v>0.13452853111962515</v>
      </c>
      <c r="AG112" s="460">
        <f t="shared" ref="AG112:AG114" si="60">((1+AF67)*(1+AE67)*(1+AD67)*(1+AC67))^(1/4)-1</f>
        <v>7.4095839507202665E-2</v>
      </c>
    </row>
    <row r="113" spans="1:33" ht="13.5" x14ac:dyDescent="0.45">
      <c r="A113" s="778" t="str">
        <f>+A78</f>
        <v>HRT</v>
      </c>
      <c r="B113" s="470"/>
      <c r="C113" s="736"/>
      <c r="D113" s="736"/>
      <c r="E113" s="736"/>
      <c r="F113" s="736"/>
      <c r="G113" s="786"/>
      <c r="H113" s="786"/>
      <c r="I113" s="786"/>
      <c r="J113" s="787"/>
      <c r="K113" s="786"/>
      <c r="L113" s="786"/>
      <c r="M113" s="786"/>
      <c r="N113" s="787"/>
      <c r="O113" s="786">
        <f t="shared" si="54"/>
        <v>8.0375158915857003E-2</v>
      </c>
      <c r="P113" s="786">
        <f t="shared" si="54"/>
        <v>8.6189527038015523E-2</v>
      </c>
      <c r="Q113" s="786">
        <f t="shared" si="54"/>
        <v>7.990067005892465E-2</v>
      </c>
      <c r="R113" s="787">
        <f t="shared" si="54"/>
        <v>4.6038992916692223E-2</v>
      </c>
      <c r="S113" s="786">
        <f t="shared" si="54"/>
        <v>4.1443541317177868E-2</v>
      </c>
      <c r="T113" s="800">
        <f t="shared" si="54"/>
        <v>0.22458003337804122</v>
      </c>
      <c r="U113" s="800">
        <f t="shared" si="55"/>
        <v>0.12792843107058127</v>
      </c>
      <c r="V113" s="1097">
        <f t="shared" si="54"/>
        <v>3.3788449605620441E-2</v>
      </c>
      <c r="W113" s="800">
        <f t="shared" ref="W113:W114" si="61">((1+W68)*(1+S68)*(1+O68))^(1/3)-1</f>
        <v>4.699142250538979E-2</v>
      </c>
      <c r="X113" s="800"/>
      <c r="Y113" s="800"/>
      <c r="Z113" s="736"/>
      <c r="AA113" s="736"/>
      <c r="AB113" s="1095"/>
      <c r="AC113" s="1095"/>
      <c r="AD113" s="790" t="s">
        <v>126</v>
      </c>
      <c r="AE113" s="800">
        <f>((1+AE68)*(1+AD68)*(1+AC68))^(1/3)-1</f>
        <v>7.4001682421709791E-2</v>
      </c>
      <c r="AF113" s="800">
        <f>((1+AF68)*(1+AE68)*(1+AD68))^(1/3)-1</f>
        <v>0.10270137565494508</v>
      </c>
      <c r="AG113" s="460">
        <f t="shared" si="60"/>
        <v>2.6122650890735954E-2</v>
      </c>
    </row>
    <row r="114" spans="1:33" s="470" customFormat="1" x14ac:dyDescent="0.25">
      <c r="A114" s="766" t="str">
        <f>+A79</f>
        <v>Total Revenue</v>
      </c>
      <c r="C114" s="767"/>
      <c r="D114" s="767"/>
      <c r="E114" s="767"/>
      <c r="F114" s="767"/>
      <c r="G114" s="769"/>
      <c r="H114" s="769"/>
      <c r="I114" s="769"/>
      <c r="J114" s="770"/>
      <c r="K114" s="769"/>
      <c r="L114" s="769"/>
      <c r="M114" s="769"/>
      <c r="N114" s="770"/>
      <c r="O114" s="769">
        <f t="shared" si="54"/>
        <v>0.1356344575424826</v>
      </c>
      <c r="P114" s="769">
        <f t="shared" si="54"/>
        <v>0.12211711757369503</v>
      </c>
      <c r="Q114" s="769">
        <f t="shared" si="54"/>
        <v>0.1162704620179007</v>
      </c>
      <c r="R114" s="770">
        <f t="shared" si="54"/>
        <v>0.10304243108149014</v>
      </c>
      <c r="S114" s="769">
        <f t="shared" si="54"/>
        <v>9.4986636947911762E-2</v>
      </c>
      <c r="T114" s="773">
        <f t="shared" si="54"/>
        <v>0.21732203210813572</v>
      </c>
      <c r="U114" s="773">
        <f t="shared" si="55"/>
        <v>0.1190369419495545</v>
      </c>
      <c r="V114" s="774">
        <f t="shared" ref="V114" si="62">((1+V69)*(1+R69)*(1+N69))^(1/3)-1</f>
        <v>5.7506171751168011E-2</v>
      </c>
      <c r="W114" s="773">
        <f t="shared" si="61"/>
        <v>5.1032525350918956E-2</v>
      </c>
      <c r="X114" s="773"/>
      <c r="Y114" s="773"/>
      <c r="Z114" s="767"/>
      <c r="AA114" s="767"/>
      <c r="AB114" s="777"/>
      <c r="AC114" s="777"/>
      <c r="AD114" s="777" t="s">
        <v>126</v>
      </c>
      <c r="AE114" s="773">
        <f>((1+AE69)*(1+AD69)*(1+AC69))^(1/3)-1</f>
        <v>0.11898292741585337</v>
      </c>
      <c r="AF114" s="773">
        <f>((1+AF69)*(1+AE69)*(1+AD69))^(1/3)-1</f>
        <v>0.11797140542834805</v>
      </c>
      <c r="AG114" s="460">
        <f t="shared" si="60"/>
        <v>6.5044290996685294E-2</v>
      </c>
    </row>
    <row r="115" spans="1:33" x14ac:dyDescent="0.25">
      <c r="J115" s="1090"/>
      <c r="N115" s="1090"/>
      <c r="R115" s="1090"/>
      <c r="V115" s="1410"/>
      <c r="AE115" s="794"/>
      <c r="AF115" s="794"/>
    </row>
    <row r="116" spans="1:33" hidden="1" outlineLevel="1" x14ac:dyDescent="0.25">
      <c r="J116" s="1090"/>
      <c r="N116" s="1090"/>
      <c r="R116" s="1090"/>
      <c r="V116" s="1410"/>
      <c r="AE116" s="794"/>
      <c r="AF116" s="794"/>
    </row>
    <row r="117" spans="1:33" hidden="1" outlineLevel="1" x14ac:dyDescent="0.25">
      <c r="J117" s="1090"/>
      <c r="N117" s="1090"/>
      <c r="R117" s="1090"/>
      <c r="V117" s="1410"/>
      <c r="AE117" s="794"/>
      <c r="AF117" s="794">
        <f>((1+AF66)*(1+AE66)*(1+AD66)*(1+AC66))^(1/4)-1</f>
        <v>0.10265455242703148</v>
      </c>
    </row>
    <row r="118" spans="1:33" hidden="1" outlineLevel="1" x14ac:dyDescent="0.25">
      <c r="J118" s="1090"/>
      <c r="N118" s="1090"/>
      <c r="R118" s="1090"/>
      <c r="V118" s="1410"/>
      <c r="AE118" s="794"/>
      <c r="AF118" s="794">
        <f t="shared" ref="AF118:AF120" si="63">((1+AF67)*(1+AE67)*(1+AD67)*(1+AC67))^(1/4)-1</f>
        <v>7.4095839507202665E-2</v>
      </c>
    </row>
    <row r="119" spans="1:33" hidden="1" outlineLevel="1" x14ac:dyDescent="0.25">
      <c r="J119" s="1090"/>
      <c r="N119" s="1090"/>
      <c r="R119" s="1090"/>
      <c r="V119" s="1410"/>
      <c r="AE119" s="794"/>
      <c r="AF119" s="794">
        <f t="shared" si="63"/>
        <v>2.6122650890735954E-2</v>
      </c>
    </row>
    <row r="120" spans="1:33" hidden="1" outlineLevel="1" x14ac:dyDescent="0.25">
      <c r="J120" s="1090"/>
      <c r="N120" s="1090"/>
      <c r="R120" s="1090"/>
      <c r="V120" s="1410"/>
      <c r="AE120" s="794"/>
      <c r="AF120" s="794">
        <f t="shared" si="63"/>
        <v>6.5044290996685294E-2</v>
      </c>
    </row>
    <row r="121" spans="1:33" ht="11.25" customHeight="1" collapsed="1" x14ac:dyDescent="0.25">
      <c r="A121" s="748" t="s">
        <v>620</v>
      </c>
      <c r="C121" s="744"/>
      <c r="D121" s="744"/>
      <c r="E121" s="744"/>
      <c r="F121" s="744"/>
      <c r="G121" s="744"/>
      <c r="H121" s="744"/>
      <c r="I121" s="744"/>
      <c r="J121" s="745"/>
      <c r="K121" s="744"/>
      <c r="L121" s="744"/>
      <c r="M121" s="744"/>
      <c r="N121" s="745"/>
      <c r="O121" s="744"/>
      <c r="P121" s="744"/>
      <c r="Q121" s="744"/>
      <c r="R121" s="745"/>
      <c r="S121" s="744"/>
      <c r="T121" s="736"/>
      <c r="U121" s="736"/>
      <c r="V121" s="752"/>
      <c r="W121" s="736"/>
      <c r="X121" s="736"/>
      <c r="Y121" s="736"/>
      <c r="Z121" s="736"/>
      <c r="AA121" s="736"/>
      <c r="AB121" s="744"/>
      <c r="AC121" s="744"/>
      <c r="AD121" s="744"/>
      <c r="AE121" s="736"/>
      <c r="AF121" s="736"/>
    </row>
    <row r="122" spans="1:33" x14ac:dyDescent="0.25">
      <c r="A122" s="512" t="s">
        <v>174</v>
      </c>
      <c r="B122" s="470"/>
      <c r="C122" s="736"/>
      <c r="D122" s="736"/>
      <c r="E122" s="736"/>
      <c r="F122" s="736"/>
      <c r="G122" s="736">
        <f>+'FA - Historical Financials'!G40</f>
        <v>53.928999999999981</v>
      </c>
      <c r="H122" s="736">
        <f>+'FA - Historical Financials'!H40</f>
        <v>52.614999999999995</v>
      </c>
      <c r="I122" s="736">
        <f>+'FA - Historical Financials'!I40</f>
        <v>69.322999999999993</v>
      </c>
      <c r="J122" s="752">
        <f>+'FA - Historical Financials'!J40</f>
        <v>72.991000000000014</v>
      </c>
      <c r="K122" s="736">
        <f>+'FA - Historical Financials'!K40</f>
        <v>66.158000000000001</v>
      </c>
      <c r="L122" s="736">
        <f>+'FA - Historical Financials'!L40</f>
        <v>89.998999999999995</v>
      </c>
      <c r="M122" s="736">
        <f>+'FA - Historical Financials'!M40</f>
        <v>98.718999999999994</v>
      </c>
      <c r="N122" s="752">
        <f>+'FA - Historical Financials'!N40</f>
        <v>105.41200000000001</v>
      </c>
      <c r="O122" s="736">
        <f>+'FA - Historical Financials'!O40</f>
        <v>93.724000000000004</v>
      </c>
      <c r="P122" s="736">
        <f>+'FA - Historical Financials'!P40</f>
        <v>101.54600000000001</v>
      </c>
      <c r="Q122" s="736">
        <f>+'FA - Historical Financials'!Q40</f>
        <v>101.97799999999999</v>
      </c>
      <c r="R122" s="752">
        <f>+'FA - Historical Financials'!R40</f>
        <v>104.95</v>
      </c>
      <c r="S122" s="736">
        <f>+'FA - Historical Financials'!S40</f>
        <v>84.734000000000009</v>
      </c>
      <c r="T122" s="736">
        <f>+'FA - Historical Financials'!T40</f>
        <v>92.631</v>
      </c>
      <c r="U122" s="736">
        <f>+'FA - Historical Financials'!U40</f>
        <v>99.284000000000006</v>
      </c>
      <c r="V122" s="752">
        <f>+'FA - Historical Financials'!V40</f>
        <v>101.61400000000002</v>
      </c>
      <c r="W122" s="736">
        <f>+'FA - Historical Financials'!W40</f>
        <v>82.581000000000003</v>
      </c>
      <c r="X122" s="736">
        <f>+'FA - Historical Financials'!X40</f>
        <v>92.61</v>
      </c>
      <c r="Y122" s="736">
        <f>+'FA - Historical Financials'!Y40</f>
        <v>98.653999999999996</v>
      </c>
      <c r="Z122" s="750"/>
      <c r="AA122" s="750"/>
      <c r="AB122" s="736">
        <f>+'FA - Historical Financials'!AG40</f>
        <v>236.61399999999998</v>
      </c>
      <c r="AC122" s="736">
        <f>SUM(G122:J122)</f>
        <v>248.85799999999998</v>
      </c>
      <c r="AD122" s="736">
        <f>SUM(K122:N122)</f>
        <v>360.28800000000001</v>
      </c>
      <c r="AE122" s="736">
        <f t="shared" ref="AE122" si="64">SUM(O122:R122)</f>
        <v>402.19799999999998</v>
      </c>
      <c r="AF122" s="736">
        <f>+SUM(S122:V122)</f>
        <v>378.26300000000003</v>
      </c>
    </row>
    <row r="123" spans="1:33" x14ac:dyDescent="0.25">
      <c r="A123" s="512" t="s">
        <v>175</v>
      </c>
      <c r="B123" s="470"/>
      <c r="C123" s="736"/>
      <c r="D123" s="736"/>
      <c r="E123" s="736"/>
      <c r="F123" s="736"/>
      <c r="G123" s="736">
        <v>64.7</v>
      </c>
      <c r="H123" s="736">
        <v>44.9</v>
      </c>
      <c r="I123" s="736">
        <v>62.5</v>
      </c>
      <c r="J123" s="752">
        <v>64.7</v>
      </c>
      <c r="K123" s="736">
        <v>71.8</v>
      </c>
      <c r="L123" s="736">
        <v>83.7</v>
      </c>
      <c r="M123" s="736">
        <v>86.9</v>
      </c>
      <c r="N123" s="752">
        <v>86.3</v>
      </c>
      <c r="O123" s="736">
        <v>91</v>
      </c>
      <c r="P123" s="736">
        <v>98</v>
      </c>
      <c r="Q123" s="736">
        <f>199.299-106.422</f>
        <v>92.87700000000001</v>
      </c>
      <c r="R123" s="752">
        <f>+R32-92.729</f>
        <v>77.190999999999988</v>
      </c>
      <c r="S123" s="736">
        <f>+S32-94.754</f>
        <v>84.52</v>
      </c>
      <c r="T123" s="736">
        <f>+T32-102.056</f>
        <v>88.327999999999989</v>
      </c>
      <c r="U123" s="736">
        <f>+U32-95.882</f>
        <v>84.683999999999997</v>
      </c>
      <c r="V123" s="752">
        <f>+AF123-U123-T123-S123</f>
        <v>77.45499999999997</v>
      </c>
      <c r="W123" s="736">
        <f>+W32-104.041</f>
        <v>81.957999999999998</v>
      </c>
      <c r="X123" s="736">
        <f>+X32-110.859</f>
        <v>89.668999999999997</v>
      </c>
      <c r="Y123" s="736"/>
      <c r="Z123" s="750"/>
      <c r="AA123" s="750"/>
      <c r="AB123" s="736">
        <v>277.10000000000002</v>
      </c>
      <c r="AC123" s="736">
        <f t="shared" ref="AC123:AC124" si="65">SUM(G123:J123)</f>
        <v>236.8</v>
      </c>
      <c r="AD123" s="736">
        <f t="shared" ref="AD123:AD124" si="66">SUM(K123:N123)</f>
        <v>328.7</v>
      </c>
      <c r="AE123" s="736">
        <f t="shared" ref="AE123:AE124" si="67">SUM(O123:R123)</f>
        <v>359.06799999999998</v>
      </c>
      <c r="AF123" s="736">
        <f>+AF32-384.653</f>
        <v>334.98699999999997</v>
      </c>
    </row>
    <row r="124" spans="1:33" ht="13" x14ac:dyDescent="0.4">
      <c r="A124" s="512" t="s">
        <v>606</v>
      </c>
      <c r="B124" s="470"/>
      <c r="C124" s="757"/>
      <c r="D124" s="757"/>
      <c r="E124" s="757"/>
      <c r="F124" s="757"/>
      <c r="G124" s="757">
        <v>68.531166666666664</v>
      </c>
      <c r="H124" s="757">
        <v>45.455766666666669</v>
      </c>
      <c r="I124" s="757">
        <v>60.990466666666663</v>
      </c>
      <c r="J124" s="758">
        <v>63.40079999999999</v>
      </c>
      <c r="K124" s="757">
        <v>63.370399999999997</v>
      </c>
      <c r="L124" s="757">
        <v>78.666899999999998</v>
      </c>
      <c r="M124" s="757">
        <v>93.653000000000006</v>
      </c>
      <c r="N124" s="758">
        <v>87.694999999999993</v>
      </c>
      <c r="O124" s="757">
        <v>86.308000000000007</v>
      </c>
      <c r="P124" s="757">
        <v>102.30200000000001</v>
      </c>
      <c r="Q124" s="757">
        <v>99.454999999999998</v>
      </c>
      <c r="R124" s="758">
        <v>82.863</v>
      </c>
      <c r="S124" s="757">
        <v>76.995999999999995</v>
      </c>
      <c r="T124" s="757">
        <f>+T33-98.576</f>
        <v>93.548000000000002</v>
      </c>
      <c r="U124" s="757">
        <f>+U33-94.422</f>
        <v>93.84</v>
      </c>
      <c r="V124" s="758">
        <v>81.599999999999994</v>
      </c>
      <c r="W124" s="757">
        <f>+W33-91.638</f>
        <v>81.561999999999983</v>
      </c>
      <c r="X124" s="757"/>
      <c r="Y124" s="757"/>
      <c r="Z124" s="755"/>
      <c r="AA124" s="755"/>
      <c r="AB124" s="757">
        <v>290.95819999999998</v>
      </c>
      <c r="AC124" s="757">
        <f t="shared" si="65"/>
        <v>238.37819999999999</v>
      </c>
      <c r="AD124" s="757">
        <f t="shared" si="66"/>
        <v>323.38529999999997</v>
      </c>
      <c r="AE124" s="757">
        <f t="shared" si="67"/>
        <v>370.928</v>
      </c>
      <c r="AF124" s="757">
        <f>+SUM(S124:V124)</f>
        <v>345.98400000000004</v>
      </c>
    </row>
    <row r="125" spans="1:33" s="761" customFormat="1" x14ac:dyDescent="0.25">
      <c r="A125" s="505" t="s">
        <v>621</v>
      </c>
      <c r="C125" s="762"/>
      <c r="D125" s="762"/>
      <c r="E125" s="762"/>
      <c r="F125" s="762"/>
      <c r="G125" s="762">
        <f t="shared" ref="G125" si="68">SUM(G122:G124)</f>
        <v>187.16016666666667</v>
      </c>
      <c r="H125" s="762">
        <f t="shared" ref="H125" si="69">SUM(H122:H124)</f>
        <v>142.97076666666666</v>
      </c>
      <c r="I125" s="762">
        <f t="shared" ref="I125" si="70">SUM(I122:I124)</f>
        <v>192.81346666666664</v>
      </c>
      <c r="J125" s="763">
        <f t="shared" ref="J125" si="71">SUM(J122:J124)</f>
        <v>201.09180000000003</v>
      </c>
      <c r="K125" s="762">
        <f t="shared" ref="K125" si="72">SUM(K122:K124)</f>
        <v>201.32839999999999</v>
      </c>
      <c r="L125" s="762">
        <f t="shared" ref="L125" si="73">SUM(L122:L124)</f>
        <v>252.36590000000001</v>
      </c>
      <c r="M125" s="762">
        <f t="shared" ref="M125" si="74">SUM(M122:M124)</f>
        <v>279.27199999999999</v>
      </c>
      <c r="N125" s="763">
        <f t="shared" ref="N125" si="75">SUM(N122:N124)</f>
        <v>279.40699999999998</v>
      </c>
      <c r="O125" s="762">
        <f t="shared" ref="O125" si="76">SUM(O122:O124)</f>
        <v>271.03199999999998</v>
      </c>
      <c r="P125" s="762">
        <f>SUM(P122:P124)</f>
        <v>301.84800000000001</v>
      </c>
      <c r="Q125" s="762">
        <f t="shared" ref="Q125" si="77">SUM(Q122:Q124)</f>
        <v>294.31</v>
      </c>
      <c r="R125" s="763">
        <f t="shared" ref="R125:W125" si="78">SUM(R122:R124)</f>
        <v>265.00400000000002</v>
      </c>
      <c r="S125" s="762">
        <f t="shared" si="78"/>
        <v>246.25</v>
      </c>
      <c r="T125" s="762">
        <f t="shared" si="78"/>
        <v>274.50700000000001</v>
      </c>
      <c r="U125" s="762">
        <f t="shared" si="78"/>
        <v>277.80799999999999</v>
      </c>
      <c r="V125" s="763">
        <f t="shared" si="78"/>
        <v>260.66899999999998</v>
      </c>
      <c r="W125" s="762">
        <f t="shared" si="78"/>
        <v>246.10099999999997</v>
      </c>
      <c r="X125" s="762"/>
      <c r="Y125" s="762"/>
      <c r="Z125" s="762"/>
      <c r="AA125" s="762"/>
      <c r="AB125" s="762">
        <f t="shared" ref="AB125" si="79">SUM(AB122:AB124)</f>
        <v>804.67219999999998</v>
      </c>
      <c r="AC125" s="762">
        <f t="shared" ref="AC125" si="80">SUM(AC122:AC124)</f>
        <v>724.03620000000001</v>
      </c>
      <c r="AD125" s="762">
        <f t="shared" ref="AD125" si="81">SUM(AD122:AD124)</f>
        <v>1012.3733</v>
      </c>
      <c r="AE125" s="762">
        <f t="shared" ref="AE125" si="82">SUM(AE122:AE124)</f>
        <v>1132.194</v>
      </c>
      <c r="AF125" s="762">
        <f>+SUM(S125:V125)</f>
        <v>1059.2339999999999</v>
      </c>
    </row>
    <row r="126" spans="1:33" ht="12" x14ac:dyDescent="0.3">
      <c r="A126" s="778"/>
      <c r="B126" s="470"/>
      <c r="C126" s="744"/>
      <c r="D126" s="689"/>
      <c r="E126" s="689"/>
      <c r="F126" s="689"/>
      <c r="G126" s="689"/>
      <c r="H126" s="689"/>
      <c r="I126" s="689"/>
      <c r="J126" s="779"/>
      <c r="K126" s="689"/>
      <c r="L126" s="689"/>
      <c r="M126" s="689"/>
      <c r="N126" s="779"/>
      <c r="O126" s="689"/>
      <c r="P126" s="780"/>
      <c r="Q126" s="780"/>
      <c r="R126" s="1092"/>
      <c r="S126" s="780"/>
      <c r="T126" s="799"/>
      <c r="U126" s="799"/>
      <c r="V126" s="913"/>
      <c r="W126" s="799"/>
      <c r="X126" s="799"/>
      <c r="Y126" s="799"/>
      <c r="Z126" s="744"/>
      <c r="AA126" s="744"/>
      <c r="AB126" s="689"/>
      <c r="AC126" s="689"/>
      <c r="AD126" s="689"/>
      <c r="AE126" s="799"/>
      <c r="AF126" s="799"/>
    </row>
    <row r="127" spans="1:33" ht="12" x14ac:dyDescent="0.3">
      <c r="A127" s="782" t="s">
        <v>622</v>
      </c>
      <c r="B127" s="470"/>
      <c r="C127" s="736"/>
      <c r="D127" s="736"/>
      <c r="E127" s="736"/>
      <c r="F127" s="736"/>
      <c r="G127" s="736"/>
      <c r="H127" s="736"/>
      <c r="I127" s="736"/>
      <c r="J127" s="752"/>
      <c r="K127" s="736"/>
      <c r="L127" s="736"/>
      <c r="M127" s="736"/>
      <c r="N127" s="752"/>
      <c r="O127" s="736"/>
      <c r="P127" s="736"/>
      <c r="Q127" s="736"/>
      <c r="R127" s="752"/>
      <c r="S127" s="736"/>
      <c r="T127" s="736"/>
      <c r="U127" s="736"/>
      <c r="V127" s="752"/>
      <c r="W127" s="736"/>
      <c r="X127" s="736"/>
      <c r="Y127" s="736"/>
      <c r="Z127" s="736"/>
      <c r="AA127" s="736"/>
      <c r="AB127" s="736"/>
      <c r="AC127" s="736"/>
      <c r="AD127" s="736"/>
      <c r="AE127" s="736"/>
      <c r="AF127" s="736"/>
    </row>
    <row r="128" spans="1:33" ht="12" x14ac:dyDescent="0.3">
      <c r="A128" s="778" t="str">
        <f>+A122</f>
        <v>FA</v>
      </c>
      <c r="B128" s="470"/>
      <c r="C128" s="736"/>
      <c r="D128" s="736"/>
      <c r="E128" s="736"/>
      <c r="F128" s="736"/>
      <c r="G128" s="689">
        <f t="shared" ref="G128:W129" si="83">+G122/G31</f>
        <v>0.48655256723716367</v>
      </c>
      <c r="H128" s="689">
        <f t="shared" si="83"/>
        <v>0.50112864667168289</v>
      </c>
      <c r="I128" s="689">
        <f t="shared" si="83"/>
        <v>0.50682858354413718</v>
      </c>
      <c r="J128" s="779">
        <f t="shared" si="83"/>
        <v>0.46626507563368796</v>
      </c>
      <c r="K128" s="689">
        <f t="shared" si="83"/>
        <v>0.50093132429772091</v>
      </c>
      <c r="L128" s="689">
        <f t="shared" si="83"/>
        <v>0.51479185018246709</v>
      </c>
      <c r="M128" s="689">
        <f t="shared" si="83"/>
        <v>0.51185013506717059</v>
      </c>
      <c r="N128" s="779">
        <f t="shared" si="83"/>
        <v>0.49598178156701078</v>
      </c>
      <c r="O128" s="689">
        <f t="shared" si="83"/>
        <v>0.49359335583865688</v>
      </c>
      <c r="P128" s="689">
        <f t="shared" si="83"/>
        <v>0.50379785772049157</v>
      </c>
      <c r="Q128" s="689">
        <f t="shared" si="83"/>
        <v>0.49507248065402504</v>
      </c>
      <c r="R128" s="779">
        <f t="shared" si="83"/>
        <v>0.49366165714151322</v>
      </c>
      <c r="S128" s="689">
        <f t="shared" si="83"/>
        <v>0.48275979945305381</v>
      </c>
      <c r="T128" s="799">
        <f t="shared" si="83"/>
        <v>0.49985700024282981</v>
      </c>
      <c r="U128" s="799">
        <f t="shared" si="83"/>
        <v>0.49551815695434309</v>
      </c>
      <c r="V128" s="913">
        <f t="shared" si="83"/>
        <v>0.50164394111432564</v>
      </c>
      <c r="W128" s="799">
        <f t="shared" si="83"/>
        <v>0.4874451055390282</v>
      </c>
      <c r="X128" s="799">
        <f t="shared" ref="X128:Y128" si="84">+X122/X31</f>
        <v>0.50182610297703556</v>
      </c>
      <c r="Y128" s="799">
        <f t="shared" si="84"/>
        <v>0.49545246812207772</v>
      </c>
      <c r="Z128" s="736"/>
      <c r="AA128" s="736"/>
      <c r="AB128" s="689">
        <f>+AB122/AB31</f>
        <v>0.49113783218858909</v>
      </c>
      <c r="AC128" s="689">
        <f>+AC122/AC31</f>
        <v>0.48876764201007949</v>
      </c>
      <c r="AD128" s="689">
        <f>+AD122/AD31</f>
        <v>0.50581290055384354</v>
      </c>
      <c r="AE128" s="799">
        <f>+AE122/AE31</f>
        <v>0.49652664183609596</v>
      </c>
      <c r="AF128" s="799">
        <f>+AF122/AF31</f>
        <v>0.49526357067197724</v>
      </c>
    </row>
    <row r="129" spans="1:32" ht="12" x14ac:dyDescent="0.3">
      <c r="A129" s="778" t="str">
        <f t="shared" ref="A129:A131" si="85">+A123</f>
        <v>STER</v>
      </c>
      <c r="B129" s="470"/>
      <c r="C129" s="736"/>
      <c r="D129" s="736"/>
      <c r="E129" s="736"/>
      <c r="F129" s="736"/>
      <c r="G129" s="689">
        <f t="shared" ref="G129:U129" si="86">+G123/G32</f>
        <v>0.54198498860742528</v>
      </c>
      <c r="H129" s="689">
        <f t="shared" si="86"/>
        <v>0.50693793679646837</v>
      </c>
      <c r="I129" s="689">
        <f t="shared" si="86"/>
        <v>0.53145219098606067</v>
      </c>
      <c r="J129" s="779">
        <f t="shared" si="86"/>
        <v>0.5034890154571906</v>
      </c>
      <c r="K129" s="689">
        <f t="shared" si="86"/>
        <v>0.51517543230250407</v>
      </c>
      <c r="L129" s="689">
        <f t="shared" si="86"/>
        <v>0.52533139184575217</v>
      </c>
      <c r="M129" s="689">
        <f t="shared" si="86"/>
        <v>0.5125120166079844</v>
      </c>
      <c r="N129" s="779">
        <f t="shared" si="86"/>
        <v>0.49703678532963963</v>
      </c>
      <c r="O129" s="689">
        <f t="shared" si="86"/>
        <v>0.47402746233825765</v>
      </c>
      <c r="P129" s="689">
        <f t="shared" si="86"/>
        <v>0.47667456260244856</v>
      </c>
      <c r="Q129" s="689">
        <f t="shared" si="86"/>
        <v>0.46601839447262661</v>
      </c>
      <c r="R129" s="779">
        <f t="shared" si="86"/>
        <v>0.45427848399246701</v>
      </c>
      <c r="S129" s="689">
        <f t="shared" si="86"/>
        <v>0.47145709918895096</v>
      </c>
      <c r="T129" s="799">
        <f t="shared" si="86"/>
        <v>0.46394655013026304</v>
      </c>
      <c r="U129" s="799">
        <f t="shared" si="86"/>
        <v>0.46899194754272672</v>
      </c>
      <c r="V129" s="913">
        <f t="shared" si="83"/>
        <v>0.45718822307220097</v>
      </c>
      <c r="W129" s="799">
        <f t="shared" si="83"/>
        <v>0.44063677761708397</v>
      </c>
      <c r="X129" s="799">
        <f t="shared" ref="X129" si="87">+X123/X32</f>
        <v>0.44716448575759993</v>
      </c>
      <c r="Y129" s="799"/>
      <c r="Z129" s="736"/>
      <c r="AA129" s="736"/>
      <c r="AB129" s="689">
        <f t="shared" ref="AB129:AE131" si="88">+AB123/AB32</f>
        <v>0.55741561922418048</v>
      </c>
      <c r="AC129" s="689">
        <f t="shared" si="88"/>
        <v>0.52152547964707174</v>
      </c>
      <c r="AD129" s="689">
        <f t="shared" si="88"/>
        <v>0.51208629596624933</v>
      </c>
      <c r="AE129" s="799">
        <f t="shared" si="88"/>
        <v>0.46827911974981157</v>
      </c>
      <c r="AF129" s="799">
        <f t="shared" ref="AF129" si="89">+AF123/AF32</f>
        <v>0.46549246845645043</v>
      </c>
    </row>
    <row r="130" spans="1:32" ht="12" x14ac:dyDescent="0.3">
      <c r="A130" s="778" t="str">
        <f t="shared" si="85"/>
        <v>HRT</v>
      </c>
      <c r="B130" s="470"/>
      <c r="C130" s="736"/>
      <c r="D130" s="736"/>
      <c r="E130" s="736"/>
      <c r="F130" s="736"/>
      <c r="G130" s="786">
        <f t="shared" ref="G130:V130" si="90">+G124/G33</f>
        <v>0.44273124717631468</v>
      </c>
      <c r="H130" s="786">
        <f t="shared" si="90"/>
        <v>0.434337932877424</v>
      </c>
      <c r="I130" s="786">
        <f t="shared" si="90"/>
        <v>0.46673972412646086</v>
      </c>
      <c r="J130" s="787">
        <f t="shared" si="90"/>
        <v>0.42238252717470953</v>
      </c>
      <c r="K130" s="786">
        <f t="shared" si="90"/>
        <v>0.42371987191531268</v>
      </c>
      <c r="L130" s="786">
        <f t="shared" si="90"/>
        <v>0.44448619337691164</v>
      </c>
      <c r="M130" s="786">
        <f t="shared" si="90"/>
        <v>0.45688624799371652</v>
      </c>
      <c r="N130" s="787">
        <f t="shared" si="90"/>
        <v>0.44171275449041475</v>
      </c>
      <c r="O130" s="786">
        <f t="shared" si="90"/>
        <v>0.43433931689740379</v>
      </c>
      <c r="P130" s="786">
        <f t="shared" si="90"/>
        <v>0.46021449264930814</v>
      </c>
      <c r="Q130" s="786">
        <f t="shared" si="90"/>
        <v>0.47291289235056083</v>
      </c>
      <c r="R130" s="787">
        <f t="shared" si="90"/>
        <v>0.47252540459164472</v>
      </c>
      <c r="S130" s="786">
        <f t="shared" si="90"/>
        <v>0.43885617878903599</v>
      </c>
      <c r="T130" s="800">
        <f t="shared" si="90"/>
        <v>0.48691470092232103</v>
      </c>
      <c r="U130" s="800">
        <f t="shared" si="90"/>
        <v>0.49845428179876983</v>
      </c>
      <c r="V130" s="1097">
        <f t="shared" si="90"/>
        <v>0.49136794185479382</v>
      </c>
      <c r="W130" s="800">
        <f t="shared" ref="W130" si="91">+W124/W33</f>
        <v>0.47091224018475741</v>
      </c>
      <c r="X130" s="800"/>
      <c r="Y130" s="800"/>
      <c r="Z130" s="736"/>
      <c r="AA130" s="736"/>
      <c r="AB130" s="786">
        <f t="shared" si="88"/>
        <v>0.44931896006169675</v>
      </c>
      <c r="AC130" s="786">
        <f t="shared" si="88"/>
        <v>0.44125864249098473</v>
      </c>
      <c r="AD130" s="786">
        <f t="shared" si="88"/>
        <v>0.44295945983336621</v>
      </c>
      <c r="AE130" s="800">
        <f t="shared" si="88"/>
        <v>0.45982733912836504</v>
      </c>
      <c r="AF130" s="800">
        <f t="shared" ref="AF130" si="92">+AF124/AF33</f>
        <v>0.47926859675855388</v>
      </c>
    </row>
    <row r="131" spans="1:32" s="470" customFormat="1" x14ac:dyDescent="0.25">
      <c r="A131" s="766" t="str">
        <f t="shared" si="85"/>
        <v>Total Gross Profit</v>
      </c>
      <c r="C131" s="767"/>
      <c r="D131" s="767"/>
      <c r="E131" s="767"/>
      <c r="F131" s="767"/>
      <c r="G131" s="769">
        <f t="shared" ref="G131:V131" si="93">+G125/G34</f>
        <v>0.48612171698439266</v>
      </c>
      <c r="H131" s="769">
        <f t="shared" si="93"/>
        <v>0.47941486908012554</v>
      </c>
      <c r="I131" s="769">
        <f t="shared" si="93"/>
        <v>0.50074435505142967</v>
      </c>
      <c r="J131" s="770">
        <f t="shared" si="93"/>
        <v>0.46212054185440854</v>
      </c>
      <c r="K131" s="769">
        <f t="shared" si="93"/>
        <v>0.47821779379582718</v>
      </c>
      <c r="L131" s="769">
        <f t="shared" si="93"/>
        <v>0.49373349149026124</v>
      </c>
      <c r="M131" s="769">
        <f t="shared" si="93"/>
        <v>0.49219164441624591</v>
      </c>
      <c r="N131" s="770">
        <f t="shared" si="93"/>
        <v>0.47786794824652151</v>
      </c>
      <c r="O131" s="769">
        <f t="shared" si="93"/>
        <v>0.4668425875527934</v>
      </c>
      <c r="P131" s="769">
        <f t="shared" si="93"/>
        <v>0.47954702880637512</v>
      </c>
      <c r="Q131" s="769">
        <f t="shared" si="93"/>
        <v>0.47809573935814215</v>
      </c>
      <c r="R131" s="770">
        <f t="shared" si="93"/>
        <v>0.47502227193449459</v>
      </c>
      <c r="S131" s="769">
        <f t="shared" si="93"/>
        <v>0.46441146572973424</v>
      </c>
      <c r="T131" s="773">
        <f t="shared" si="93"/>
        <v>0.48343762052611466</v>
      </c>
      <c r="U131" s="773">
        <f t="shared" si="93"/>
        <v>0.48807432289982994</v>
      </c>
      <c r="V131" s="774">
        <f t="shared" si="93"/>
        <v>0.48447434694124109</v>
      </c>
      <c r="W131" s="773">
        <f t="shared" ref="W131" si="94">+W125/W34</f>
        <v>0.46555810939909004</v>
      </c>
      <c r="X131" s="773"/>
      <c r="Y131" s="773"/>
      <c r="Z131" s="767"/>
      <c r="AA131" s="767"/>
      <c r="AB131" s="769">
        <f t="shared" si="88"/>
        <v>0.49474556767175154</v>
      </c>
      <c r="AC131" s="769">
        <f t="shared" si="88"/>
        <v>0.48158959722698075</v>
      </c>
      <c r="AD131" s="769">
        <f t="shared" si="88"/>
        <v>0.48572891389609002</v>
      </c>
      <c r="AE131" s="773">
        <f t="shared" si="88"/>
        <v>0.47501859681229869</v>
      </c>
      <c r="AF131" s="773">
        <f t="shared" ref="AF131" si="95">+AF125/AF34</f>
        <v>0.48031266480176626</v>
      </c>
    </row>
    <row r="132" spans="1:32" x14ac:dyDescent="0.25">
      <c r="J132" s="1090"/>
      <c r="N132" s="1090"/>
      <c r="R132" s="1090"/>
      <c r="V132" s="1410"/>
      <c r="AE132" s="794"/>
      <c r="AF132" s="794"/>
    </row>
    <row r="133" spans="1:32" ht="11.25" customHeight="1" x14ac:dyDescent="0.25">
      <c r="A133" s="748" t="s">
        <v>233</v>
      </c>
      <c r="C133" s="744"/>
      <c r="D133" s="744"/>
      <c r="E133" s="744"/>
      <c r="F133" s="744"/>
      <c r="G133" s="744"/>
      <c r="H133" s="744"/>
      <c r="I133" s="744"/>
      <c r="J133" s="745"/>
      <c r="K133" s="744"/>
      <c r="L133" s="744"/>
      <c r="M133" s="744"/>
      <c r="N133" s="745"/>
      <c r="O133" s="744"/>
      <c r="P133" s="744"/>
      <c r="Q133" s="744"/>
      <c r="R133" s="745"/>
      <c r="S133" s="744"/>
      <c r="T133" s="736"/>
      <c r="U133" s="736"/>
      <c r="V133" s="752"/>
      <c r="W133" s="736"/>
      <c r="X133" s="736"/>
      <c r="Y133" s="736"/>
      <c r="Z133" s="736"/>
      <c r="AA133" s="736"/>
      <c r="AB133" s="744"/>
      <c r="AC133" s="744"/>
      <c r="AD133" s="744"/>
      <c r="AE133" s="736"/>
      <c r="AF133" s="736"/>
    </row>
    <row r="134" spans="1:32" x14ac:dyDescent="0.25">
      <c r="A134" s="512" t="s">
        <v>174</v>
      </c>
      <c r="B134" s="470"/>
      <c r="C134" s="736">
        <f>+'FA - Historical Financials'!C75</f>
        <v>25.092000000000002</v>
      </c>
      <c r="D134" s="736">
        <f>+'FA - Historical Financials'!D75</f>
        <v>33.361999999999995</v>
      </c>
      <c r="E134" s="736">
        <f>+'FA - Historical Financials'!E75</f>
        <v>33.490999999999993</v>
      </c>
      <c r="F134" s="736">
        <f>+'FA - Historical Financials'!F75</f>
        <v>31.828000000000003</v>
      </c>
      <c r="G134" s="736">
        <f>+'FA - Historical Financials'!G75</f>
        <v>27.210999999999999</v>
      </c>
      <c r="H134" s="736">
        <f>+'FA - Historical Financials'!H75</f>
        <v>31.655000000000005</v>
      </c>
      <c r="I134" s="736">
        <f>+'FA - Historical Financials'!I75</f>
        <v>43.287000000000006</v>
      </c>
      <c r="J134" s="752">
        <f>+'FA - Historical Financials'!J75</f>
        <v>44.644999999999996</v>
      </c>
      <c r="K134" s="736">
        <f>+'FA - Historical Financials'!K75</f>
        <v>36.590000000000003</v>
      </c>
      <c r="L134" s="736">
        <f>+'FA - Historical Financials'!L75</f>
        <v>56.322000000000003</v>
      </c>
      <c r="M134" s="736">
        <f>+'FA - Historical Financials'!M75</f>
        <v>63.943999999999996</v>
      </c>
      <c r="N134" s="752">
        <f>+'FA - Historical Financials'!N75</f>
        <v>69.438000000000002</v>
      </c>
      <c r="O134" s="736">
        <f>+'FA - Historical Financials'!O75</f>
        <v>53.599999999999994</v>
      </c>
      <c r="P134" s="736">
        <f>+'FA - Historical Financials'!P75</f>
        <v>60.833999999999996</v>
      </c>
      <c r="Q134" s="736">
        <f>+'FA - Historical Financials'!Q75</f>
        <v>64.188000000000002</v>
      </c>
      <c r="R134" s="752">
        <f>+'FA - Historical Financials'!R75</f>
        <v>70.287999999999997</v>
      </c>
      <c r="S134" s="736">
        <f>+'FA - Historical Financials'!S75</f>
        <v>48.559999999999995</v>
      </c>
      <c r="T134" s="736">
        <f>+'FA - Historical Financials'!T75</f>
        <v>55.970999999999997</v>
      </c>
      <c r="U134" s="736">
        <f>+'FA - Historical Financials'!U75</f>
        <v>64.790999999999997</v>
      </c>
      <c r="V134" s="752">
        <f>+'FA - Historical Financials'!V75</f>
        <v>68.233999999999995</v>
      </c>
      <c r="W134" s="736">
        <f>+'FA - Historical Financials'!W75</f>
        <v>46.558</v>
      </c>
      <c r="X134" s="736">
        <f>+'FA - Historical Financials'!X75</f>
        <v>55.761000000000003</v>
      </c>
      <c r="Y134" s="736">
        <f>+'FA - Historical Financials'!Y75</f>
        <v>64.046000000000006</v>
      </c>
      <c r="Z134" s="750"/>
      <c r="AA134" s="750"/>
      <c r="AB134" s="736">
        <f t="shared" ref="AB134:AB135" si="96">SUM(C134:F134)</f>
        <v>123.773</v>
      </c>
      <c r="AC134" s="736">
        <f>SUM(G134:J134)</f>
        <v>146.798</v>
      </c>
      <c r="AD134" s="736">
        <f>SUM(K134:N134)</f>
        <v>226.29399999999998</v>
      </c>
      <c r="AE134" s="736">
        <f t="shared" ref="AE134" si="97">SUM(O134:R134)</f>
        <v>248.91000000000003</v>
      </c>
      <c r="AF134" s="736">
        <f>+'FA - Historical Financials'!AK75</f>
        <v>237.55599999999998</v>
      </c>
    </row>
    <row r="135" spans="1:32" x14ac:dyDescent="0.25">
      <c r="A135" s="512" t="s">
        <v>175</v>
      </c>
      <c r="B135" s="470"/>
      <c r="C135" s="736">
        <v>24.0198</v>
      </c>
      <c r="D135" s="736">
        <v>35.342800000000004</v>
      </c>
      <c r="E135" s="736">
        <v>35.883599999999994</v>
      </c>
      <c r="F135" s="736">
        <v>23.737499999999997</v>
      </c>
      <c r="G135" s="736">
        <v>27.590300000000003</v>
      </c>
      <c r="H135" s="736">
        <v>13.938399999999998</v>
      </c>
      <c r="I135" s="736">
        <v>30.402999999999992</v>
      </c>
      <c r="J135" s="752">
        <v>27.90140000000001</v>
      </c>
      <c r="K135" s="736">
        <v>36.804400000000001</v>
      </c>
      <c r="L135" s="736">
        <v>47.033000000000001</v>
      </c>
      <c r="M135" s="736">
        <v>51.299500000000002</v>
      </c>
      <c r="N135" s="752">
        <v>44.048999999999999</v>
      </c>
      <c r="O135" s="736">
        <v>47.636000000000003</v>
      </c>
      <c r="P135" s="736">
        <v>56.472000000000001</v>
      </c>
      <c r="Q135" s="736">
        <v>53.097999999999999</v>
      </c>
      <c r="R135" s="752">
        <v>41.296999999999997</v>
      </c>
      <c r="S135" s="736">
        <v>45.555</v>
      </c>
      <c r="T135" s="736">
        <v>49.997</v>
      </c>
      <c r="U135" s="736">
        <v>47.555999999999997</v>
      </c>
      <c r="V135" s="752">
        <f>+AF135-SUM(S135:U135)</f>
        <v>41.915999999999997</v>
      </c>
      <c r="W135" s="736">
        <v>38.51</v>
      </c>
      <c r="X135" s="736">
        <v>46.283999999999999</v>
      </c>
      <c r="Y135" s="736">
        <f>+'STER - Historical Financials'!Y64</f>
        <v>45.288999999999994</v>
      </c>
      <c r="Z135" s="750"/>
      <c r="AA135" s="750"/>
      <c r="AB135" s="736">
        <f t="shared" si="96"/>
        <v>118.98369999999998</v>
      </c>
      <c r="AC135" s="736">
        <f t="shared" ref="AC135:AC136" si="98">SUM(G135:J135)</f>
        <v>99.833100000000002</v>
      </c>
      <c r="AD135" s="736">
        <f t="shared" ref="AD135:AD136" si="99">SUM(K135:N135)</f>
        <v>179.1859</v>
      </c>
      <c r="AE135" s="736">
        <f t="shared" ref="AE135:AE136" si="100">SUM(O135:R135)</f>
        <v>198.50300000000001</v>
      </c>
      <c r="AF135" s="736">
        <v>185.024</v>
      </c>
    </row>
    <row r="136" spans="1:32" ht="13" x14ac:dyDescent="0.4">
      <c r="A136" s="512" t="s">
        <v>606</v>
      </c>
      <c r="B136" s="470"/>
      <c r="C136" s="757">
        <v>32.543000000000006</v>
      </c>
      <c r="D136" s="757">
        <v>42.583299999999987</v>
      </c>
      <c r="E136" s="757">
        <v>43.393999999999998</v>
      </c>
      <c r="F136" s="757">
        <v>27.599899999999987</v>
      </c>
      <c r="G136" s="757">
        <v>32.429199999999987</v>
      </c>
      <c r="H136" s="757">
        <v>12.390200000000009</v>
      </c>
      <c r="I136" s="757">
        <v>28.075899999999994</v>
      </c>
      <c r="J136" s="758">
        <v>20.031899999999986</v>
      </c>
      <c r="K136" s="757">
        <v>26.857199999999999</v>
      </c>
      <c r="L136" s="757">
        <v>38.426099999999991</v>
      </c>
      <c r="M136" s="757">
        <v>51.622</v>
      </c>
      <c r="N136" s="758">
        <v>42.752000000000002</v>
      </c>
      <c r="O136" s="757">
        <v>41.725999999999999</v>
      </c>
      <c r="P136" s="757">
        <v>53.674999999999997</v>
      </c>
      <c r="Q136" s="757">
        <v>53.972000000000001</v>
      </c>
      <c r="R136" s="758">
        <v>38.936999999999998</v>
      </c>
      <c r="S136" s="757">
        <v>33.040999999999997</v>
      </c>
      <c r="T136" s="757">
        <v>52.697000000000003</v>
      </c>
      <c r="U136" s="757">
        <v>52.110999999999997</v>
      </c>
      <c r="V136" s="758">
        <f>+AF136-SUM(S136:U136)</f>
        <v>42.509000000000015</v>
      </c>
      <c r="W136" s="757">
        <v>40.311999999999998</v>
      </c>
      <c r="X136" s="757"/>
      <c r="Y136" s="757"/>
      <c r="Z136" s="755"/>
      <c r="AA136" s="755"/>
      <c r="AB136" s="757">
        <f>SUM(C136:F136)</f>
        <v>146.12019999999998</v>
      </c>
      <c r="AC136" s="757">
        <f t="shared" si="98"/>
        <v>92.927199999999971</v>
      </c>
      <c r="AD136" s="757">
        <f t="shared" si="99"/>
        <v>159.65729999999999</v>
      </c>
      <c r="AE136" s="757">
        <f t="shared" si="100"/>
        <v>188.31</v>
      </c>
      <c r="AF136" s="757">
        <v>180.358</v>
      </c>
    </row>
    <row r="137" spans="1:32" s="761" customFormat="1" x14ac:dyDescent="0.25">
      <c r="A137" s="505" t="s">
        <v>275</v>
      </c>
      <c r="C137" s="762">
        <f t="shared" ref="C137" si="101">SUM(C134:C136)</f>
        <v>81.654800000000009</v>
      </c>
      <c r="D137" s="762">
        <f t="shared" ref="D137" si="102">SUM(D134:D136)</f>
        <v>111.28809999999999</v>
      </c>
      <c r="E137" s="762">
        <f t="shared" ref="E137" si="103">SUM(E134:E136)</f>
        <v>112.76859999999999</v>
      </c>
      <c r="F137" s="762">
        <f t="shared" ref="F137" si="104">SUM(F134:F136)</f>
        <v>83.165399999999991</v>
      </c>
      <c r="G137" s="762">
        <f t="shared" ref="G137" si="105">SUM(G134:G136)</f>
        <v>87.230499999999978</v>
      </c>
      <c r="H137" s="762">
        <f t="shared" ref="H137" si="106">SUM(H134:H136)</f>
        <v>57.98360000000001</v>
      </c>
      <c r="I137" s="762">
        <f t="shared" ref="I137" si="107">SUM(I134:I136)</f>
        <v>101.76589999999999</v>
      </c>
      <c r="J137" s="763">
        <f t="shared" ref="J137" si="108">SUM(J134:J136)</f>
        <v>92.578299999999984</v>
      </c>
      <c r="K137" s="762">
        <f t="shared" ref="K137" si="109">SUM(K134:K136)</f>
        <v>100.2516</v>
      </c>
      <c r="L137" s="762">
        <f t="shared" ref="L137" si="110">SUM(L134:L136)</f>
        <v>141.78109999999998</v>
      </c>
      <c r="M137" s="762">
        <f t="shared" ref="M137" si="111">SUM(M134:M136)</f>
        <v>166.8655</v>
      </c>
      <c r="N137" s="763">
        <f t="shared" ref="N137" si="112">SUM(N134:N136)</f>
        <v>156.239</v>
      </c>
      <c r="O137" s="762">
        <f t="shared" ref="O137" si="113">SUM(O134:O136)</f>
        <v>142.96199999999999</v>
      </c>
      <c r="P137" s="762">
        <f>SUM(P134:P136)</f>
        <v>170.98099999999999</v>
      </c>
      <c r="Q137" s="762">
        <f t="shared" ref="Q137" si="114">SUM(Q134:Q136)</f>
        <v>171.25800000000001</v>
      </c>
      <c r="R137" s="763">
        <f t="shared" ref="R137:W137" si="115">SUM(R134:R136)</f>
        <v>150.52199999999999</v>
      </c>
      <c r="S137" s="762">
        <f t="shared" si="115"/>
        <v>127.15599999999999</v>
      </c>
      <c r="T137" s="762">
        <f t="shared" si="115"/>
        <v>158.66499999999999</v>
      </c>
      <c r="U137" s="762">
        <f t="shared" si="115"/>
        <v>164.458</v>
      </c>
      <c r="V137" s="763">
        <f t="shared" si="115"/>
        <v>152.65899999999999</v>
      </c>
      <c r="W137" s="762">
        <f t="shared" si="115"/>
        <v>125.38</v>
      </c>
      <c r="X137" s="762"/>
      <c r="Y137" s="762"/>
      <c r="Z137" s="762"/>
      <c r="AA137" s="762"/>
      <c r="AB137" s="762">
        <f t="shared" ref="AB137" si="116">SUM(AB134:AB136)</f>
        <v>388.87689999999998</v>
      </c>
      <c r="AC137" s="762">
        <f t="shared" ref="AC137" si="117">SUM(AC134:AC136)</f>
        <v>339.55829999999997</v>
      </c>
      <c r="AD137" s="762">
        <f t="shared" ref="AD137" si="118">SUM(AD134:AD136)</f>
        <v>565.13720000000001</v>
      </c>
      <c r="AE137" s="762">
        <f t="shared" ref="AE137:AF137" si="119">SUM(AE134:AE136)</f>
        <v>635.72299999999996</v>
      </c>
      <c r="AF137" s="762">
        <f t="shared" si="119"/>
        <v>602.93799999999999</v>
      </c>
    </row>
    <row r="138" spans="1:32" ht="12" x14ac:dyDescent="0.3">
      <c r="A138" s="778"/>
      <c r="B138" s="470"/>
      <c r="C138" s="744"/>
      <c r="D138" s="689"/>
      <c r="E138" s="689"/>
      <c r="F138" s="689"/>
      <c r="G138" s="689"/>
      <c r="H138" s="689"/>
      <c r="I138" s="689"/>
      <c r="J138" s="779"/>
      <c r="K138" s="689"/>
      <c r="L138" s="689"/>
      <c r="M138" s="689"/>
      <c r="N138" s="779"/>
      <c r="O138" s="689"/>
      <c r="P138" s="780"/>
      <c r="Q138" s="780"/>
      <c r="R138" s="1092"/>
      <c r="S138" s="780"/>
      <c r="T138" s="799"/>
      <c r="U138" s="799"/>
      <c r="V138" s="913"/>
      <c r="W138" s="799"/>
      <c r="X138" s="799"/>
      <c r="Y138" s="799"/>
      <c r="Z138" s="744"/>
      <c r="AA138" s="744"/>
      <c r="AB138" s="689"/>
      <c r="AC138" s="689"/>
      <c r="AD138" s="689"/>
      <c r="AE138" s="799"/>
      <c r="AF138" s="799"/>
    </row>
    <row r="139" spans="1:32" ht="12" x14ac:dyDescent="0.3">
      <c r="A139" s="782" t="s">
        <v>29</v>
      </c>
      <c r="B139" s="470"/>
      <c r="C139" s="736"/>
      <c r="D139" s="736"/>
      <c r="E139" s="736"/>
      <c r="F139" s="736"/>
      <c r="G139" s="736"/>
      <c r="H139" s="736"/>
      <c r="I139" s="736"/>
      <c r="J139" s="752"/>
      <c r="K139" s="736"/>
      <c r="L139" s="736"/>
      <c r="M139" s="736"/>
      <c r="N139" s="752"/>
      <c r="O139" s="736"/>
      <c r="P139" s="736"/>
      <c r="Q139" s="736"/>
      <c r="R139" s="752"/>
      <c r="S139" s="736"/>
      <c r="T139" s="736"/>
      <c r="U139" s="736"/>
      <c r="V139" s="752"/>
      <c r="W139" s="736"/>
      <c r="X139" s="736"/>
      <c r="Y139" s="736"/>
      <c r="Z139" s="736"/>
      <c r="AA139" s="736"/>
      <c r="AB139" s="736"/>
      <c r="AC139" s="736"/>
      <c r="AD139" s="736"/>
      <c r="AE139" s="736"/>
      <c r="AF139" s="736"/>
    </row>
    <row r="140" spans="1:32" ht="12" x14ac:dyDescent="0.3">
      <c r="A140" s="778" t="str">
        <f>+A134</f>
        <v>FA</v>
      </c>
      <c r="B140" s="470"/>
      <c r="C140" s="736"/>
      <c r="D140" s="736"/>
      <c r="E140" s="736"/>
      <c r="F140" s="736"/>
      <c r="G140" s="689">
        <f t="shared" ref="G140:S143" si="120">+G134/C134-1</f>
        <v>8.4449226845209502E-2</v>
      </c>
      <c r="H140" s="689">
        <f t="shared" si="120"/>
        <v>-5.1165997242371253E-2</v>
      </c>
      <c r="I140" s="689">
        <f t="shared" si="120"/>
        <v>0.29249649159475721</v>
      </c>
      <c r="J140" s="779">
        <f t="shared" si="120"/>
        <v>0.40269573960035165</v>
      </c>
      <c r="K140" s="689">
        <f t="shared" si="120"/>
        <v>0.3446767851236634</v>
      </c>
      <c r="L140" s="689">
        <f t="shared" si="120"/>
        <v>0.77924498499447137</v>
      </c>
      <c r="M140" s="689">
        <f t="shared" si="120"/>
        <v>0.47721024788042565</v>
      </c>
      <c r="N140" s="779">
        <f t="shared" si="120"/>
        <v>0.55533654384589548</v>
      </c>
      <c r="O140" s="689">
        <f t="shared" si="120"/>
        <v>0.46488111505875884</v>
      </c>
      <c r="P140" s="689">
        <f t="shared" si="120"/>
        <v>8.0110791520187297E-2</v>
      </c>
      <c r="Q140" s="689">
        <f t="shared" si="120"/>
        <v>3.8158388590017189E-3</v>
      </c>
      <c r="R140" s="779">
        <f t="shared" si="120"/>
        <v>1.2241135977418605E-2</v>
      </c>
      <c r="S140" s="689">
        <f t="shared" si="120"/>
        <v>-9.4029850746268684E-2</v>
      </c>
      <c r="T140" s="799">
        <f t="shared" ref="T140:W142" si="121">+T134/P134-1</f>
        <v>-7.9938849985205618E-2</v>
      </c>
      <c r="U140" s="799">
        <f t="shared" si="121"/>
        <v>9.3942793045427297E-3</v>
      </c>
      <c r="V140" s="913">
        <f t="shared" si="121"/>
        <v>-2.9222626906442062E-2</v>
      </c>
      <c r="W140" s="799">
        <f t="shared" si="121"/>
        <v>-4.1227347611202503E-2</v>
      </c>
      <c r="X140" s="799">
        <f t="shared" ref="X140:Y141" si="122">+X134/T134-1</f>
        <v>-3.7519429704667706E-3</v>
      </c>
      <c r="Y140" s="799">
        <f t="shared" si="122"/>
        <v>-1.1498510595607248E-2</v>
      </c>
      <c r="Z140" s="736"/>
      <c r="AA140" s="736"/>
      <c r="AB140" s="689"/>
      <c r="AC140" s="689">
        <f t="shared" ref="AC140:AF143" si="123">+AC134/AB134-1</f>
        <v>0.18602603152545383</v>
      </c>
      <c r="AD140" s="689">
        <f t="shared" si="123"/>
        <v>0.54153326339595886</v>
      </c>
      <c r="AE140" s="799">
        <f t="shared" si="123"/>
        <v>9.9940784996509269E-2</v>
      </c>
      <c r="AF140" s="799">
        <f t="shared" si="123"/>
        <v>-4.5614880880639808E-2</v>
      </c>
    </row>
    <row r="141" spans="1:32" ht="12" x14ac:dyDescent="0.3">
      <c r="A141" s="778" t="str">
        <f>+A135</f>
        <v>STER</v>
      </c>
      <c r="B141" s="470"/>
      <c r="C141" s="736"/>
      <c r="D141" s="736"/>
      <c r="E141" s="736"/>
      <c r="F141" s="736"/>
      <c r="G141" s="689">
        <f t="shared" si="120"/>
        <v>0.14864819856951361</v>
      </c>
      <c r="H141" s="689">
        <f t="shared" si="120"/>
        <v>-0.60562264449902115</v>
      </c>
      <c r="I141" s="689">
        <f t="shared" si="120"/>
        <v>-0.15273272469874832</v>
      </c>
      <c r="J141" s="779">
        <f t="shared" si="120"/>
        <v>0.17541442864665657</v>
      </c>
      <c r="K141" s="689">
        <f t="shared" si="120"/>
        <v>0.3339615734515391</v>
      </c>
      <c r="L141" s="689">
        <f t="shared" si="120"/>
        <v>2.3743471273603864</v>
      </c>
      <c r="M141" s="689">
        <f t="shared" si="120"/>
        <v>0.68731704108147285</v>
      </c>
      <c r="N141" s="779">
        <f t="shared" si="120"/>
        <v>0.5787379844738969</v>
      </c>
      <c r="O141" s="689">
        <f t="shared" si="120"/>
        <v>0.29430176826683763</v>
      </c>
      <c r="P141" s="689">
        <f t="shared" si="120"/>
        <v>0.20068887802181457</v>
      </c>
      <c r="Q141" s="689">
        <f t="shared" si="120"/>
        <v>3.5058821236074289E-2</v>
      </c>
      <c r="R141" s="779">
        <f t="shared" si="120"/>
        <v>-6.2475879134600176E-2</v>
      </c>
      <c r="S141" s="689">
        <f t="shared" si="120"/>
        <v>-4.3685447980518988E-2</v>
      </c>
      <c r="T141" s="799">
        <f t="shared" si="121"/>
        <v>-0.11465859186853666</v>
      </c>
      <c r="U141" s="799">
        <f t="shared" ref="U141" si="124">+U135/Q135-1</f>
        <v>-0.10437304606576525</v>
      </c>
      <c r="V141" s="913">
        <f t="shared" ref="V141:W141" si="125">+V135/R135-1</f>
        <v>1.4988982250526695E-2</v>
      </c>
      <c r="W141" s="799">
        <f t="shared" si="125"/>
        <v>-0.15464822741740758</v>
      </c>
      <c r="X141" s="799">
        <f t="shared" si="122"/>
        <v>-7.4264455867352086E-2</v>
      </c>
      <c r="Y141" s="799">
        <f t="shared" si="122"/>
        <v>-4.7670115232568033E-2</v>
      </c>
      <c r="Z141" s="736"/>
      <c r="AA141" s="736"/>
      <c r="AB141" s="689"/>
      <c r="AC141" s="689">
        <f t="shared" si="123"/>
        <v>-0.16095145805685973</v>
      </c>
      <c r="AD141" s="689">
        <f t="shared" si="123"/>
        <v>0.79485461234800892</v>
      </c>
      <c r="AE141" s="799">
        <f t="shared" si="123"/>
        <v>0.10780479937316501</v>
      </c>
      <c r="AF141" s="799">
        <f t="shared" si="123"/>
        <v>-6.7903255870188417E-2</v>
      </c>
    </row>
    <row r="142" spans="1:32" ht="12" x14ac:dyDescent="0.3">
      <c r="A142" s="778" t="str">
        <f>+A136</f>
        <v>HRT</v>
      </c>
      <c r="B142" s="470"/>
      <c r="C142" s="736"/>
      <c r="D142" s="736"/>
      <c r="E142" s="736"/>
      <c r="F142" s="736"/>
      <c r="G142" s="786">
        <f t="shared" si="120"/>
        <v>-3.4969117782631676E-3</v>
      </c>
      <c r="H142" s="786">
        <f t="shared" si="120"/>
        <v>-0.70903617145688536</v>
      </c>
      <c r="I142" s="786">
        <f t="shared" si="120"/>
        <v>-0.35300041480389011</v>
      </c>
      <c r="J142" s="787">
        <f t="shared" si="120"/>
        <v>-0.27420389204308726</v>
      </c>
      <c r="K142" s="786">
        <f t="shared" si="120"/>
        <v>-0.1718204581056576</v>
      </c>
      <c r="L142" s="786">
        <f t="shared" si="120"/>
        <v>2.1013300834530488</v>
      </c>
      <c r="M142" s="786">
        <f t="shared" si="120"/>
        <v>0.83865877852535498</v>
      </c>
      <c r="N142" s="787">
        <f t="shared" si="120"/>
        <v>1.1341959574478722</v>
      </c>
      <c r="O142" s="786">
        <f t="shared" si="120"/>
        <v>0.55362435399073617</v>
      </c>
      <c r="P142" s="786">
        <f t="shared" si="120"/>
        <v>0.39683704565386568</v>
      </c>
      <c r="Q142" s="786">
        <f t="shared" si="120"/>
        <v>4.5523226531323902E-2</v>
      </c>
      <c r="R142" s="787">
        <f t="shared" si="120"/>
        <v>-8.9235591317365359E-2</v>
      </c>
      <c r="S142" s="786">
        <f t="shared" si="120"/>
        <v>-0.20814360350860384</v>
      </c>
      <c r="T142" s="800">
        <f t="shared" si="121"/>
        <v>-1.8220773171867655E-2</v>
      </c>
      <c r="U142" s="800">
        <f t="shared" si="121"/>
        <v>-3.4480841918031691E-2</v>
      </c>
      <c r="V142" s="1097">
        <f t="shared" si="121"/>
        <v>9.1737935639623513E-2</v>
      </c>
      <c r="W142" s="800">
        <f t="shared" ref="W142:W143" si="126">+W136/S136-1</f>
        <v>0.22005992554704767</v>
      </c>
      <c r="X142" s="800"/>
      <c r="Y142" s="800"/>
      <c r="Z142" s="736"/>
      <c r="AA142" s="736"/>
      <c r="AB142" s="786"/>
      <c r="AC142" s="786">
        <f t="shared" si="123"/>
        <v>-0.36403591016163417</v>
      </c>
      <c r="AD142" s="786">
        <f t="shared" si="123"/>
        <v>0.71809007481125064</v>
      </c>
      <c r="AE142" s="800">
        <f t="shared" si="123"/>
        <v>0.17946376394940922</v>
      </c>
      <c r="AF142" s="800">
        <f t="shared" si="123"/>
        <v>-4.2228240666985273E-2</v>
      </c>
    </row>
    <row r="143" spans="1:32" s="470" customFormat="1" x14ac:dyDescent="0.25">
      <c r="A143" s="766" t="str">
        <f>+A137</f>
        <v>Total Adj. EBITDA</v>
      </c>
      <c r="C143" s="767"/>
      <c r="D143" s="767"/>
      <c r="E143" s="767"/>
      <c r="F143" s="767"/>
      <c r="G143" s="769">
        <f t="shared" si="120"/>
        <v>6.8283799605166839E-2</v>
      </c>
      <c r="H143" s="769">
        <f t="shared" si="120"/>
        <v>-0.47897753668181942</v>
      </c>
      <c r="I143" s="769">
        <f t="shared" si="120"/>
        <v>-9.7568826783342222E-2</v>
      </c>
      <c r="J143" s="770">
        <f t="shared" si="120"/>
        <v>0.11318288615217376</v>
      </c>
      <c r="K143" s="769">
        <f t="shared" si="120"/>
        <v>0.14927233020560493</v>
      </c>
      <c r="L143" s="769">
        <f t="shared" si="120"/>
        <v>1.4451931235728717</v>
      </c>
      <c r="M143" s="769">
        <f t="shared" si="120"/>
        <v>0.63969954572209375</v>
      </c>
      <c r="N143" s="770">
        <f t="shared" si="120"/>
        <v>0.68764170437348748</v>
      </c>
      <c r="O143" s="769">
        <f t="shared" si="120"/>
        <v>0.42603210322827767</v>
      </c>
      <c r="P143" s="769">
        <f t="shared" si="120"/>
        <v>0.20595058156552604</v>
      </c>
      <c r="Q143" s="769">
        <f t="shared" si="120"/>
        <v>2.6323595950031642E-2</v>
      </c>
      <c r="R143" s="770">
        <f t="shared" si="120"/>
        <v>-3.6591376032872769E-2</v>
      </c>
      <c r="S143" s="769">
        <f t="shared" si="120"/>
        <v>-0.11056084833732038</v>
      </c>
      <c r="T143" s="773">
        <f>+T137/P137-1</f>
        <v>-7.203139530123237E-2</v>
      </c>
      <c r="U143" s="773">
        <f t="shared" ref="U143:V143" si="127">+U137/Q137-1</f>
        <v>-3.9706174310105258E-2</v>
      </c>
      <c r="V143" s="774">
        <f t="shared" si="127"/>
        <v>1.4197260201166628E-2</v>
      </c>
      <c r="W143" s="773">
        <f t="shared" si="126"/>
        <v>-1.3967095536191687E-2</v>
      </c>
      <c r="X143" s="773"/>
      <c r="Y143" s="773"/>
      <c r="Z143" s="767"/>
      <c r="AA143" s="767"/>
      <c r="AB143" s="769"/>
      <c r="AC143" s="769">
        <f t="shared" si="123"/>
        <v>-0.12682316691991735</v>
      </c>
      <c r="AD143" s="769">
        <f t="shared" si="123"/>
        <v>0.66433039628246471</v>
      </c>
      <c r="AE143" s="773">
        <f t="shared" si="123"/>
        <v>0.12490028969956324</v>
      </c>
      <c r="AF143" s="773">
        <f t="shared" si="123"/>
        <v>-5.1571203181259739E-2</v>
      </c>
    </row>
    <row r="144" spans="1:32" ht="12" x14ac:dyDescent="0.3">
      <c r="A144" s="778"/>
      <c r="B144" s="470"/>
      <c r="C144" s="744"/>
      <c r="D144" s="689"/>
      <c r="E144" s="689"/>
      <c r="F144" s="689"/>
      <c r="G144" s="689"/>
      <c r="H144" s="689"/>
      <c r="I144" s="689"/>
      <c r="J144" s="779"/>
      <c r="K144" s="689"/>
      <c r="L144" s="689"/>
      <c r="M144" s="689"/>
      <c r="N144" s="779"/>
      <c r="O144" s="689"/>
      <c r="P144" s="780"/>
      <c r="Q144" s="780"/>
      <c r="R144" s="1092"/>
      <c r="S144" s="780"/>
      <c r="T144" s="799"/>
      <c r="U144" s="799"/>
      <c r="V144" s="913"/>
      <c r="W144" s="799"/>
      <c r="X144" s="799"/>
      <c r="Y144" s="799"/>
      <c r="Z144" s="744"/>
      <c r="AA144" s="744"/>
      <c r="AB144" s="689"/>
      <c r="AC144" s="689"/>
      <c r="AD144" s="689"/>
      <c r="AE144" s="799"/>
      <c r="AF144" s="799"/>
    </row>
    <row r="145" spans="1:32" ht="12" x14ac:dyDescent="0.3">
      <c r="A145" s="782" t="s">
        <v>622</v>
      </c>
      <c r="B145" s="470"/>
      <c r="C145" s="736"/>
      <c r="D145" s="736"/>
      <c r="E145" s="736"/>
      <c r="F145" s="736"/>
      <c r="G145" s="736"/>
      <c r="H145" s="736"/>
      <c r="I145" s="736"/>
      <c r="J145" s="752"/>
      <c r="K145" s="736"/>
      <c r="L145" s="736"/>
      <c r="M145" s="736"/>
      <c r="N145" s="752"/>
      <c r="O145" s="736"/>
      <c r="P145" s="736"/>
      <c r="Q145" s="736"/>
      <c r="R145" s="779"/>
      <c r="S145" s="736"/>
      <c r="T145" s="736"/>
      <c r="U145" s="736"/>
      <c r="V145" s="752"/>
      <c r="W145" s="736"/>
      <c r="X145" s="736"/>
      <c r="Y145" s="736"/>
      <c r="Z145" s="736"/>
      <c r="AA145" s="736"/>
      <c r="AB145" s="736"/>
      <c r="AC145" s="736"/>
      <c r="AD145" s="736"/>
      <c r="AE145" s="736"/>
      <c r="AF145" s="736"/>
    </row>
    <row r="146" spans="1:32" ht="12" x14ac:dyDescent="0.3">
      <c r="A146" s="778" t="str">
        <f>+A134</f>
        <v>FA</v>
      </c>
      <c r="B146" s="470"/>
      <c r="C146" s="689">
        <f t="shared" ref="C146:W146" si="128">+C134/C31</f>
        <v>0.22876001713967931</v>
      </c>
      <c r="D146" s="689">
        <f t="shared" si="128"/>
        <v>0.27431117981269681</v>
      </c>
      <c r="E146" s="689">
        <f t="shared" si="128"/>
        <v>0.27059279787345775</v>
      </c>
      <c r="F146" s="689">
        <f t="shared" si="128"/>
        <v>0.25122740547793843</v>
      </c>
      <c r="G146" s="689">
        <f t="shared" si="128"/>
        <v>0.24550023006342531</v>
      </c>
      <c r="H146" s="689">
        <f t="shared" si="128"/>
        <v>0.30149629022887248</v>
      </c>
      <c r="I146" s="689">
        <f t="shared" si="128"/>
        <v>0.31647633391334873</v>
      </c>
      <c r="J146" s="779">
        <f t="shared" si="128"/>
        <v>0.28519138389206877</v>
      </c>
      <c r="K146" s="689">
        <f t="shared" si="128"/>
        <v>0.2770500492163247</v>
      </c>
      <c r="L146" s="689">
        <f t="shared" si="128"/>
        <v>0.32216031940329243</v>
      </c>
      <c r="M146" s="689">
        <f t="shared" si="128"/>
        <v>0.33154453587187027</v>
      </c>
      <c r="N146" s="779">
        <f t="shared" si="128"/>
        <v>0.32671785895770966</v>
      </c>
      <c r="O146" s="689">
        <f t="shared" si="128"/>
        <v>0.28228206086970259</v>
      </c>
      <c r="P146" s="689">
        <f t="shared" si="128"/>
        <v>0.30181433908345362</v>
      </c>
      <c r="Q146" s="689">
        <f t="shared" si="128"/>
        <v>0.31161341062013925</v>
      </c>
      <c r="R146" s="779">
        <f t="shared" si="128"/>
        <v>0.33061925256943953</v>
      </c>
      <c r="S146" s="689">
        <f t="shared" si="128"/>
        <v>0.27666362807657241</v>
      </c>
      <c r="T146" s="799">
        <f t="shared" si="128"/>
        <v>0.30203167579526752</v>
      </c>
      <c r="U146" s="799">
        <f t="shared" si="128"/>
        <v>0.32336647301910521</v>
      </c>
      <c r="V146" s="913">
        <f t="shared" si="128"/>
        <v>0.3368548888735301</v>
      </c>
      <c r="W146" s="799">
        <f t="shared" si="128"/>
        <v>0.27481465741134248</v>
      </c>
      <c r="X146" s="799">
        <f t="shared" ref="X146:Y146" si="129">+X134/X31</f>
        <v>0.30215230890943184</v>
      </c>
      <c r="Y146" s="799">
        <f t="shared" si="129"/>
        <v>0.32164685439360385</v>
      </c>
      <c r="Z146" s="736"/>
      <c r="AA146" s="736"/>
      <c r="AB146" s="689">
        <f t="shared" ref="AB146:AF149" si="130">+AB134/AB31</f>
        <v>0.25691464961277966</v>
      </c>
      <c r="AC146" s="689">
        <f t="shared" si="130"/>
        <v>0.28831748351186481</v>
      </c>
      <c r="AD146" s="689">
        <f t="shared" si="130"/>
        <v>0.31769702159919688</v>
      </c>
      <c r="AE146" s="799">
        <f t="shared" si="130"/>
        <v>0.30728757084675373</v>
      </c>
      <c r="AF146" s="799">
        <f t="shared" si="130"/>
        <v>0.31103447282592322</v>
      </c>
    </row>
    <row r="147" spans="1:32" ht="12" x14ac:dyDescent="0.3">
      <c r="A147" s="778" t="str">
        <f>+A135</f>
        <v>STER</v>
      </c>
      <c r="B147" s="470"/>
      <c r="C147" s="689">
        <f t="shared" ref="C147:W147" si="131">+C135/C32</f>
        <v>0.2173324526560563</v>
      </c>
      <c r="D147" s="689">
        <f t="shared" si="131"/>
        <v>0.26693897219266127</v>
      </c>
      <c r="E147" s="689">
        <f t="shared" si="131"/>
        <v>0.27027845378272786</v>
      </c>
      <c r="F147" s="689">
        <f t="shared" si="131"/>
        <v>0.19548460417198524</v>
      </c>
      <c r="G147" s="689">
        <f t="shared" si="131"/>
        <v>0.23112099584506099</v>
      </c>
      <c r="H147" s="689">
        <f t="shared" si="131"/>
        <v>0.15736979372480833</v>
      </c>
      <c r="I147" s="689">
        <f t="shared" si="131"/>
        <v>0.25852385540078715</v>
      </c>
      <c r="J147" s="779">
        <f t="shared" si="131"/>
        <v>0.21712594151278614</v>
      </c>
      <c r="K147" s="689">
        <f t="shared" si="131"/>
        <v>0.26407691755758056</v>
      </c>
      <c r="L147" s="689">
        <f t="shared" si="131"/>
        <v>0.29519607350873672</v>
      </c>
      <c r="M147" s="689">
        <f t="shared" si="131"/>
        <v>0.30255017486744873</v>
      </c>
      <c r="N147" s="779">
        <f t="shared" si="131"/>
        <v>0.2536960991539432</v>
      </c>
      <c r="O147" s="689">
        <f t="shared" si="131"/>
        <v>0.24814035380159608</v>
      </c>
      <c r="P147" s="689">
        <f t="shared" si="131"/>
        <v>0.27468128468658648</v>
      </c>
      <c r="Q147" s="689">
        <f t="shared" si="131"/>
        <v>0.26642381547323368</v>
      </c>
      <c r="R147" s="779">
        <f t="shared" si="131"/>
        <v>0.24303790018832391</v>
      </c>
      <c r="S147" s="689">
        <f t="shared" si="131"/>
        <v>0.25410823655410153</v>
      </c>
      <c r="T147" s="799">
        <f t="shared" si="131"/>
        <v>0.26261135389528534</v>
      </c>
      <c r="U147" s="799">
        <f t="shared" si="131"/>
        <v>0.26337184187499307</v>
      </c>
      <c r="V147" s="913">
        <f t="shared" si="131"/>
        <v>0.24741464796713422</v>
      </c>
      <c r="W147" s="799">
        <f t="shared" si="131"/>
        <v>0.2070441238931392</v>
      </c>
      <c r="X147" s="799">
        <f t="shared" ref="X147:Y147" si="132">+X135/X32</f>
        <v>0.23081065985797494</v>
      </c>
      <c r="Y147" s="799">
        <f t="shared" si="132"/>
        <v>0.23165728900255753</v>
      </c>
      <c r="Z147" s="736"/>
      <c r="AA147" s="736"/>
      <c r="AB147" s="689">
        <f t="shared" si="130"/>
        <v>0.23934815161704842</v>
      </c>
      <c r="AC147" s="689">
        <f t="shared" si="130"/>
        <v>0.21987122196855607</v>
      </c>
      <c r="AD147" s="689">
        <f t="shared" si="130"/>
        <v>0.27915620267836555</v>
      </c>
      <c r="AE147" s="799">
        <f t="shared" si="130"/>
        <v>0.25887801226424201</v>
      </c>
      <c r="AF147" s="799">
        <f t="shared" si="130"/>
        <v>0.25710633094324942</v>
      </c>
    </row>
    <row r="148" spans="1:32" ht="12" x14ac:dyDescent="0.3">
      <c r="A148" s="778" t="str">
        <f>+A136</f>
        <v>HRT</v>
      </c>
      <c r="B148" s="470"/>
      <c r="C148" s="786">
        <f t="shared" ref="C148:V148" si="133">+C136/C33</f>
        <v>0.20858076247379362</v>
      </c>
      <c r="D148" s="786">
        <f t="shared" si="133"/>
        <v>0.24731218391445445</v>
      </c>
      <c r="E148" s="786">
        <f t="shared" si="133"/>
        <v>0.26118244129805157</v>
      </c>
      <c r="F148" s="786">
        <f t="shared" si="133"/>
        <v>0.18015141912183688</v>
      </c>
      <c r="G148" s="786">
        <f t="shared" si="133"/>
        <v>0.2095020537263601</v>
      </c>
      <c r="H148" s="786">
        <f t="shared" si="133"/>
        <v>0.1183905640708116</v>
      </c>
      <c r="I148" s="786">
        <f t="shared" si="133"/>
        <v>0.21485550999667871</v>
      </c>
      <c r="J148" s="787">
        <f t="shared" si="133"/>
        <v>0.13345453915583178</v>
      </c>
      <c r="K148" s="786">
        <f t="shared" si="133"/>
        <v>0.17957799452116346</v>
      </c>
      <c r="L148" s="786">
        <f t="shared" si="133"/>
        <v>0.21711635917165342</v>
      </c>
      <c r="M148" s="786">
        <f t="shared" si="133"/>
        <v>0.25183797522697227</v>
      </c>
      <c r="N148" s="787">
        <f t="shared" si="133"/>
        <v>0.21533843069700909</v>
      </c>
      <c r="O148" s="786">
        <f t="shared" si="133"/>
        <v>0.20998334264333629</v>
      </c>
      <c r="P148" s="786">
        <f t="shared" si="133"/>
        <v>0.2414616810321559</v>
      </c>
      <c r="Q148" s="786">
        <f t="shared" si="133"/>
        <v>0.25663923006328965</v>
      </c>
      <c r="R148" s="787">
        <f t="shared" si="133"/>
        <v>0.22203784172169569</v>
      </c>
      <c r="S148" s="786">
        <f t="shared" si="133"/>
        <v>0.188324679247864</v>
      </c>
      <c r="T148" s="800">
        <f t="shared" si="133"/>
        <v>0.27428639836772084</v>
      </c>
      <c r="U148" s="800">
        <f t="shared" si="133"/>
        <v>0.27680041644091741</v>
      </c>
      <c r="V148" s="1097">
        <f t="shared" si="133"/>
        <v>0.25597499804295881</v>
      </c>
      <c r="W148" s="800">
        <f t="shared" ref="W148" si="134">+W136/W33</f>
        <v>0.23274826789838338</v>
      </c>
      <c r="X148" s="800"/>
      <c r="Y148" s="800"/>
      <c r="Z148" s="736"/>
      <c r="AA148" s="736"/>
      <c r="AB148" s="786">
        <f t="shared" si="130"/>
        <v>0.22564951360025989</v>
      </c>
      <c r="AC148" s="786">
        <f t="shared" si="130"/>
        <v>0.17201627549200482</v>
      </c>
      <c r="AD148" s="786">
        <f t="shared" si="130"/>
        <v>0.21869179386463672</v>
      </c>
      <c r="AE148" s="800">
        <f t="shared" si="130"/>
        <v>0.23344176290617702</v>
      </c>
      <c r="AF148" s="800">
        <f t="shared" si="130"/>
        <v>0.24983792769081592</v>
      </c>
    </row>
    <row r="149" spans="1:32" s="470" customFormat="1" x14ac:dyDescent="0.25">
      <c r="A149" s="766" t="str">
        <f>+A137</f>
        <v>Total Adj. EBITDA</v>
      </c>
      <c r="C149" s="769">
        <f t="shared" ref="C149:V149" si="135">+C137/C34</f>
        <v>0.21703478013795319</v>
      </c>
      <c r="D149" s="769">
        <f t="shared" si="135"/>
        <v>0.26111358904866827</v>
      </c>
      <c r="E149" s="769">
        <f t="shared" si="135"/>
        <v>0.2667950857235058</v>
      </c>
      <c r="F149" s="769">
        <f t="shared" si="135"/>
        <v>0.20722814471838014</v>
      </c>
      <c r="G149" s="769">
        <f t="shared" si="135"/>
        <v>0.226568725539393</v>
      </c>
      <c r="H149" s="769">
        <f t="shared" si="135"/>
        <v>0.19443275468757393</v>
      </c>
      <c r="I149" s="769">
        <f t="shared" si="135"/>
        <v>0.26429014965964487</v>
      </c>
      <c r="J149" s="770">
        <f t="shared" si="135"/>
        <v>0.21275026709174602</v>
      </c>
      <c r="K149" s="769">
        <f t="shared" si="135"/>
        <v>0.23812884310659474</v>
      </c>
      <c r="L149" s="769">
        <f t="shared" si="135"/>
        <v>0.27738326584665307</v>
      </c>
      <c r="M149" s="769">
        <f t="shared" si="135"/>
        <v>0.2940853534952988</v>
      </c>
      <c r="N149" s="770">
        <f t="shared" si="135"/>
        <v>0.26721453065273343</v>
      </c>
      <c r="O149" s="769">
        <f t="shared" si="135"/>
        <v>0.24624675315727459</v>
      </c>
      <c r="P149" s="769">
        <f t="shared" si="135"/>
        <v>0.27163814413990756</v>
      </c>
      <c r="Q149" s="769">
        <f t="shared" si="135"/>
        <v>0.27820230413848224</v>
      </c>
      <c r="R149" s="770">
        <f t="shared" si="135"/>
        <v>0.26981216289612225</v>
      </c>
      <c r="S149" s="769">
        <f t="shared" si="135"/>
        <v>0.23980793639118814</v>
      </c>
      <c r="T149" s="773">
        <f t="shared" si="135"/>
        <v>0.27942686365293412</v>
      </c>
      <c r="U149" s="773">
        <f t="shared" si="135"/>
        <v>0.28893238134056698</v>
      </c>
      <c r="V149" s="774">
        <f t="shared" si="135"/>
        <v>0.28372905611984134</v>
      </c>
      <c r="W149" s="773">
        <f t="shared" ref="W149" si="136">+W137/W34</f>
        <v>0.23718585359855471</v>
      </c>
      <c r="X149" s="773"/>
      <c r="Y149" s="773"/>
      <c r="Z149" s="767"/>
      <c r="AA149" s="767"/>
      <c r="AB149" s="769">
        <f t="shared" si="130"/>
        <v>0.23909751404973473</v>
      </c>
      <c r="AC149" s="769">
        <f t="shared" si="130"/>
        <v>0.22585575822324669</v>
      </c>
      <c r="AD149" s="769">
        <f t="shared" si="130"/>
        <v>0.27114847690894001</v>
      </c>
      <c r="AE149" s="773">
        <f t="shared" si="130"/>
        <v>0.26672129283612611</v>
      </c>
      <c r="AF149" s="773">
        <f t="shared" si="130"/>
        <v>0.2734039480324908</v>
      </c>
    </row>
    <row r="150" spans="1:32" x14ac:dyDescent="0.25">
      <c r="J150" s="1090"/>
      <c r="N150" s="1090"/>
      <c r="R150" s="1090"/>
      <c r="V150" s="1410"/>
      <c r="AE150" s="794"/>
      <c r="AF150" s="794"/>
    </row>
    <row r="151" spans="1:32" ht="11.25" customHeight="1" x14ac:dyDescent="0.25">
      <c r="A151" s="748" t="s">
        <v>37</v>
      </c>
      <c r="C151" s="744"/>
      <c r="D151" s="744"/>
      <c r="E151" s="744"/>
      <c r="F151" s="744"/>
      <c r="G151" s="744"/>
      <c r="H151" s="744"/>
      <c r="I151" s="744"/>
      <c r="J151" s="745"/>
      <c r="K151" s="744"/>
      <c r="L151" s="744"/>
      <c r="M151" s="744"/>
      <c r="N151" s="745"/>
      <c r="O151" s="744"/>
      <c r="P151" s="744"/>
      <c r="Q151" s="744"/>
      <c r="R151" s="745"/>
      <c r="S151" s="744"/>
      <c r="T151" s="736"/>
      <c r="U151" s="736"/>
      <c r="V151" s="752"/>
      <c r="W151" s="736"/>
      <c r="X151" s="736"/>
      <c r="Y151" s="736"/>
      <c r="Z151" s="736"/>
      <c r="AA151" s="736"/>
      <c r="AB151" s="744"/>
      <c r="AC151" s="744"/>
      <c r="AD151" s="744"/>
      <c r="AE151" s="736"/>
      <c r="AF151" s="736"/>
    </row>
    <row r="152" spans="1:32" x14ac:dyDescent="0.25">
      <c r="A152" s="512" t="s">
        <v>174</v>
      </c>
      <c r="B152" s="470"/>
      <c r="C152" s="736">
        <f>+'FA - Historical Financials'!C90</f>
        <v>0.35399999999999998</v>
      </c>
      <c r="D152" s="736">
        <f>+'FA - Historical Financials'!D90</f>
        <v>0.32400000000000001</v>
      </c>
      <c r="E152" s="736">
        <f>+'FA - Historical Financials'!E90</f>
        <v>0.27400000000000002</v>
      </c>
      <c r="F152" s="736">
        <f>+'FA - Historical Financials'!F90</f>
        <v>0.26400000000000001</v>
      </c>
      <c r="G152" s="736">
        <f>+'FA - Historical Financials'!G90</f>
        <v>4.2569999999999997</v>
      </c>
      <c r="H152" s="736">
        <f>+'FA - Historical Financials'!H90</f>
        <v>0.52</v>
      </c>
      <c r="I152" s="736">
        <f>+'FA - Historical Financials'!I90</f>
        <v>0.53</v>
      </c>
      <c r="J152" s="752">
        <f>+'FA - Historical Financials'!J90</f>
        <v>0.54500000000000004</v>
      </c>
      <c r="K152" s="736">
        <f>+'FA - Historical Financials'!K90</f>
        <v>0.56200000000000006</v>
      </c>
      <c r="L152" s="736">
        <f>+'FA - Historical Financials'!L90</f>
        <v>2.6640000000000001</v>
      </c>
      <c r="M152" s="736">
        <f>+'FA - Historical Financials'!M90</f>
        <v>1.343</v>
      </c>
      <c r="N152" s="752">
        <f>+'FA - Historical Financials'!N90</f>
        <v>4.9610000000000003</v>
      </c>
      <c r="O152" s="736">
        <f>+'FA - Historical Financials'!O90</f>
        <v>1.859</v>
      </c>
      <c r="P152" s="736">
        <f>+'FA - Historical Financials'!P90</f>
        <v>1.9430000000000001</v>
      </c>
      <c r="Q152" s="736">
        <f>+'FA - Historical Financials'!Q90</f>
        <v>2.0219999999999998</v>
      </c>
      <c r="R152" s="752">
        <f>+'FA - Historical Financials'!R90</f>
        <v>2.032</v>
      </c>
      <c r="S152" s="736">
        <f>+'FA - Historical Financials'!S90</f>
        <v>2.0579999999999998</v>
      </c>
      <c r="T152" s="736">
        <f>+'FA - Historical Financials'!T90</f>
        <v>3.601</v>
      </c>
      <c r="U152" s="736">
        <f>+'FA - Historical Financials'!U90</f>
        <v>4.79</v>
      </c>
      <c r="V152" s="752">
        <f>+'FA - Historical Financials'!V90</f>
        <v>4.8159999999999998</v>
      </c>
      <c r="W152" s="736">
        <f>+'FA - Historical Financials'!W90</f>
        <v>4.7510000000000003</v>
      </c>
      <c r="X152" s="736">
        <f>+'FA - Historical Financials'!X90</f>
        <v>5.048</v>
      </c>
      <c r="Y152" s="736">
        <f>+'FA - Historical Financials'!Y90</f>
        <v>5</v>
      </c>
      <c r="Z152" s="750"/>
      <c r="AA152" s="750"/>
      <c r="AB152" s="736">
        <f t="shared" ref="AB152:AB153" si="137">SUM(C152:F152)</f>
        <v>1.216</v>
      </c>
      <c r="AC152" s="736">
        <f>SUM(G152:J152)</f>
        <v>5.8519999999999994</v>
      </c>
      <c r="AD152" s="736">
        <f>SUM(K152:N152)</f>
        <v>9.5300000000000011</v>
      </c>
      <c r="AE152" s="736">
        <f>SUM(O152:R152)</f>
        <v>7.8559999999999999</v>
      </c>
      <c r="AF152" s="736">
        <f>SUM(S152:V152)</f>
        <v>15.265000000000001</v>
      </c>
    </row>
    <row r="153" spans="1:32" x14ac:dyDescent="0.25">
      <c r="A153" s="512" t="s">
        <v>175</v>
      </c>
      <c r="B153" s="470"/>
      <c r="C153" s="736">
        <v>0.5171</v>
      </c>
      <c r="D153" s="736">
        <v>0.2326</v>
      </c>
      <c r="E153" s="736">
        <v>0.24890000000000001</v>
      </c>
      <c r="F153" s="736">
        <v>0.504</v>
      </c>
      <c r="G153" s="736">
        <v>0.54510000000000003</v>
      </c>
      <c r="H153" s="736">
        <v>0.64100000000000001</v>
      </c>
      <c r="I153" s="753">
        <v>0.57020000000000004</v>
      </c>
      <c r="J153" s="752">
        <v>1.7084000000000001</v>
      </c>
      <c r="K153" s="736">
        <v>0.89949999999999997</v>
      </c>
      <c r="L153" s="736">
        <v>0.75600000000000001</v>
      </c>
      <c r="M153" s="753">
        <f>+O153</f>
        <v>5.1079999999999997</v>
      </c>
      <c r="N153" s="752">
        <v>5.3440000000000003</v>
      </c>
      <c r="O153" s="736">
        <v>5.1079999999999997</v>
      </c>
      <c r="P153" s="736">
        <v>6.0229999999999997</v>
      </c>
      <c r="Q153" s="736">
        <f>17.424-P153-O153</f>
        <v>6.2930000000000001</v>
      </c>
      <c r="R153" s="752">
        <v>6.3810000000000002</v>
      </c>
      <c r="S153" s="736">
        <v>5.1079999999999997</v>
      </c>
      <c r="T153" s="736">
        <v>9.3580000000000005</v>
      </c>
      <c r="U153" s="736">
        <v>9.7829999999999995</v>
      </c>
      <c r="V153" s="752">
        <f>+AF153-U153-T153-S153</f>
        <v>10.400999999999996</v>
      </c>
      <c r="W153" s="736">
        <v>9.3420000000000005</v>
      </c>
      <c r="X153" s="736">
        <v>11.702999999999999</v>
      </c>
      <c r="Y153" s="736">
        <f>+'STER - Historical Financials'!Y69</f>
        <v>11.535</v>
      </c>
      <c r="Z153" s="750"/>
      <c r="AA153" s="750"/>
      <c r="AB153" s="736">
        <f t="shared" si="137"/>
        <v>1.5026000000000002</v>
      </c>
      <c r="AC153" s="736">
        <f t="shared" ref="AC153:AC154" si="138">SUM(G153:J153)</f>
        <v>3.4647000000000006</v>
      </c>
      <c r="AD153" s="736">
        <f t="shared" ref="AD153:AD154" si="139">SUM(K153:N153)</f>
        <v>12.1075</v>
      </c>
      <c r="AE153" s="736">
        <f t="shared" ref="AE153:AE155" si="140">SUM(O153:R153)</f>
        <v>23.805</v>
      </c>
      <c r="AF153" s="736">
        <v>34.65</v>
      </c>
    </row>
    <row r="154" spans="1:32" ht="13" x14ac:dyDescent="0.4">
      <c r="A154" s="512" t="s">
        <v>606</v>
      </c>
      <c r="B154" s="470"/>
      <c r="C154" s="757">
        <v>0.7974</v>
      </c>
      <c r="D154" s="757">
        <v>0.82440000000000002</v>
      </c>
      <c r="E154" s="757">
        <v>0.86099999999999999</v>
      </c>
      <c r="F154" s="757">
        <v>0.90710000000000002</v>
      </c>
      <c r="G154" s="757">
        <v>0.73899999999999999</v>
      </c>
      <c r="H154" s="757">
        <v>0.95099999999999996</v>
      </c>
      <c r="I154" s="757">
        <v>0.88060000000000005</v>
      </c>
      <c r="J154" s="758">
        <v>0.64800000000000002</v>
      </c>
      <c r="K154" s="757">
        <v>0.8227000000000001</v>
      </c>
      <c r="L154" s="757">
        <v>0.82920000000000005</v>
      </c>
      <c r="M154" s="757">
        <v>0.84099999999999997</v>
      </c>
      <c r="N154" s="758">
        <v>2.0350000000000001</v>
      </c>
      <c r="O154" s="757">
        <v>2.794</v>
      </c>
      <c r="P154" s="757">
        <v>4.5110000000000001</v>
      </c>
      <c r="Q154" s="757">
        <v>1.282</v>
      </c>
      <c r="R154" s="758">
        <v>2.887</v>
      </c>
      <c r="S154" s="757">
        <v>3.8279999999999998</v>
      </c>
      <c r="T154" s="757">
        <v>5.2430000000000003</v>
      </c>
      <c r="U154" s="757">
        <v>4.8179999999999996</v>
      </c>
      <c r="V154" s="758">
        <v>4.8490000000000002</v>
      </c>
      <c r="W154" s="757">
        <v>3.6</v>
      </c>
      <c r="X154" s="757"/>
      <c r="Y154" s="757"/>
      <c r="Z154" s="755"/>
      <c r="AA154" s="755"/>
      <c r="AB154" s="757">
        <f>SUM(C154:F154)</f>
        <v>3.3898999999999999</v>
      </c>
      <c r="AC154" s="757">
        <f t="shared" si="138"/>
        <v>3.2185999999999999</v>
      </c>
      <c r="AD154" s="757">
        <f t="shared" si="139"/>
        <v>4.5279000000000007</v>
      </c>
      <c r="AE154" s="757">
        <f t="shared" si="140"/>
        <v>11.474</v>
      </c>
      <c r="AF154" s="757">
        <f>SUM(S154:V154)</f>
        <v>18.738</v>
      </c>
    </row>
    <row r="155" spans="1:32" s="761" customFormat="1" x14ac:dyDescent="0.25">
      <c r="A155" s="505" t="s">
        <v>358</v>
      </c>
      <c r="C155" s="762">
        <f t="shared" ref="C155" si="141">SUM(C152:C154)</f>
        <v>1.6684999999999999</v>
      </c>
      <c r="D155" s="762">
        <f t="shared" ref="D155" si="142">SUM(D152:D154)</f>
        <v>1.381</v>
      </c>
      <c r="E155" s="762">
        <f t="shared" ref="E155" si="143">SUM(E152:E154)</f>
        <v>1.3839000000000001</v>
      </c>
      <c r="F155" s="762">
        <f t="shared" ref="F155" si="144">SUM(F152:F154)</f>
        <v>1.6751</v>
      </c>
      <c r="G155" s="762">
        <f t="shared" ref="G155" si="145">SUM(G152:G154)</f>
        <v>5.5410999999999992</v>
      </c>
      <c r="H155" s="762">
        <f t="shared" ref="H155" si="146">SUM(H152:H154)</f>
        <v>2.1120000000000001</v>
      </c>
      <c r="I155" s="762">
        <f t="shared" ref="I155" si="147">SUM(I152:I154)</f>
        <v>1.9808000000000001</v>
      </c>
      <c r="J155" s="763">
        <f t="shared" ref="J155" si="148">SUM(J152:J154)</f>
        <v>2.9014000000000002</v>
      </c>
      <c r="K155" s="762">
        <f t="shared" ref="K155" si="149">SUM(K152:K154)</f>
        <v>2.2842000000000002</v>
      </c>
      <c r="L155" s="762">
        <f t="shared" ref="L155" si="150">SUM(L152:L154)</f>
        <v>4.2492000000000001</v>
      </c>
      <c r="M155" s="762">
        <f t="shared" ref="M155" si="151">SUM(M152:M154)</f>
        <v>7.2919999999999998</v>
      </c>
      <c r="N155" s="763">
        <f t="shared" ref="N155" si="152">SUM(N152:N154)</f>
        <v>12.34</v>
      </c>
      <c r="O155" s="762">
        <f t="shared" ref="O155" si="153">SUM(O152:O154)</f>
        <v>9.7609999999999992</v>
      </c>
      <c r="P155" s="762">
        <f>SUM(P152:P154)</f>
        <v>12.477</v>
      </c>
      <c r="Q155" s="762">
        <f t="shared" ref="Q155:V155" si="154">SUM(Q152:Q154)</f>
        <v>9.5969999999999995</v>
      </c>
      <c r="R155" s="763">
        <f t="shared" si="154"/>
        <v>11.3</v>
      </c>
      <c r="S155" s="762">
        <f t="shared" si="154"/>
        <v>10.994</v>
      </c>
      <c r="T155" s="762">
        <f t="shared" si="154"/>
        <v>18.201999999999998</v>
      </c>
      <c r="U155" s="762">
        <f t="shared" si="154"/>
        <v>19.390999999999998</v>
      </c>
      <c r="V155" s="763">
        <f t="shared" si="154"/>
        <v>20.065999999999995</v>
      </c>
      <c r="W155" s="762">
        <f t="shared" ref="W155" si="155">SUM(W152:W154)</f>
        <v>17.693000000000001</v>
      </c>
      <c r="X155" s="762"/>
      <c r="Y155" s="762"/>
      <c r="Z155" s="762"/>
      <c r="AA155" s="762"/>
      <c r="AB155" s="762">
        <f t="shared" ref="AB155" si="156">SUM(AB152:AB154)</f>
        <v>6.1085000000000003</v>
      </c>
      <c r="AC155" s="762">
        <f t="shared" ref="AC155" si="157">SUM(AC152:AC154)</f>
        <v>12.535300000000001</v>
      </c>
      <c r="AD155" s="762">
        <f t="shared" ref="AD155" si="158">SUM(AD152:AD154)</f>
        <v>26.165400000000005</v>
      </c>
      <c r="AE155" s="762">
        <f t="shared" si="140"/>
        <v>43.135000000000005</v>
      </c>
      <c r="AF155" s="762">
        <f>SUM(S155:V155)</f>
        <v>68.652999999999992</v>
      </c>
    </row>
    <row r="156" spans="1:32" ht="12" x14ac:dyDescent="0.3">
      <c r="A156" s="778"/>
      <c r="B156" s="470"/>
      <c r="C156" s="744"/>
      <c r="D156" s="689"/>
      <c r="E156" s="689"/>
      <c r="F156" s="689"/>
      <c r="G156" s="689"/>
      <c r="H156" s="689"/>
      <c r="I156" s="689"/>
      <c r="J156" s="779"/>
      <c r="K156" s="689"/>
      <c r="L156" s="689"/>
      <c r="M156" s="689"/>
      <c r="N156" s="779"/>
      <c r="O156" s="689"/>
      <c r="P156" s="780"/>
      <c r="Q156" s="780"/>
      <c r="R156" s="1092"/>
      <c r="S156" s="780"/>
      <c r="T156" s="799"/>
      <c r="U156" s="799"/>
      <c r="V156" s="913"/>
      <c r="W156" s="799"/>
      <c r="X156" s="799"/>
      <c r="Y156" s="799"/>
      <c r="Z156" s="744"/>
      <c r="AA156" s="744"/>
      <c r="AB156" s="689"/>
      <c r="AC156" s="689"/>
      <c r="AD156" s="689"/>
      <c r="AE156" s="799"/>
      <c r="AF156" s="799"/>
    </row>
    <row r="157" spans="1:32" ht="12" hidden="1" outlineLevel="1" x14ac:dyDescent="0.3">
      <c r="A157" s="782" t="s">
        <v>622</v>
      </c>
      <c r="B157" s="470"/>
      <c r="C157" s="736"/>
      <c r="D157" s="736"/>
      <c r="E157" s="736"/>
      <c r="F157" s="736"/>
      <c r="G157" s="736"/>
      <c r="H157" s="736"/>
      <c r="I157" s="736"/>
      <c r="J157" s="752"/>
      <c r="K157" s="736"/>
      <c r="L157" s="736"/>
      <c r="M157" s="736"/>
      <c r="N157" s="752"/>
      <c r="O157" s="736"/>
      <c r="P157" s="736"/>
      <c r="Q157" s="736"/>
      <c r="R157" s="752"/>
      <c r="S157" s="736"/>
      <c r="T157" s="736"/>
      <c r="U157" s="736"/>
      <c r="V157" s="752"/>
      <c r="W157" s="736"/>
      <c r="X157" s="736"/>
      <c r="Y157" s="736"/>
      <c r="Z157" s="736"/>
      <c r="AA157" s="736"/>
      <c r="AB157" s="736"/>
      <c r="AC157" s="736"/>
      <c r="AD157" s="736"/>
      <c r="AE157" s="736"/>
      <c r="AF157" s="736"/>
    </row>
    <row r="158" spans="1:32" ht="12" hidden="1" outlineLevel="1" x14ac:dyDescent="0.3">
      <c r="A158" s="778" t="str">
        <f>+A152</f>
        <v>FA</v>
      </c>
      <c r="B158" s="470"/>
      <c r="C158" s="689">
        <f t="shared" ref="C158:R158" si="159">+C152/C31</f>
        <v>3.2273651389863886E-3</v>
      </c>
      <c r="D158" s="689">
        <f t="shared" si="159"/>
        <v>2.6640136160695936E-3</v>
      </c>
      <c r="E158" s="689">
        <f t="shared" si="159"/>
        <v>2.2138015173427919E-3</v>
      </c>
      <c r="F158" s="689">
        <f t="shared" si="159"/>
        <v>2.0838266635093547E-3</v>
      </c>
      <c r="G158" s="689">
        <f t="shared" si="159"/>
        <v>3.8407058887214789E-2</v>
      </c>
      <c r="H158" s="689">
        <f t="shared" si="159"/>
        <v>4.9527111331231612E-3</v>
      </c>
      <c r="I158" s="689">
        <f t="shared" si="159"/>
        <v>3.8748921610200476E-3</v>
      </c>
      <c r="J158" s="779">
        <f t="shared" si="159"/>
        <v>3.4814493049877371E-3</v>
      </c>
      <c r="K158" s="689">
        <f t="shared" si="159"/>
        <v>4.2553191489361712E-3</v>
      </c>
      <c r="L158" s="689">
        <f t="shared" si="159"/>
        <v>1.523800807660188E-2</v>
      </c>
      <c r="M158" s="689">
        <f t="shared" si="159"/>
        <v>6.9633477992606307E-3</v>
      </c>
      <c r="N158" s="779">
        <f t="shared" si="159"/>
        <v>2.3342367267046828E-2</v>
      </c>
      <c r="O158" s="689">
        <f t="shared" si="159"/>
        <v>9.7903423723279311E-3</v>
      </c>
      <c r="P158" s="689">
        <f t="shared" si="159"/>
        <v>9.6397616602418128E-3</v>
      </c>
      <c r="Q158" s="689">
        <f t="shared" si="159"/>
        <v>9.8162011010457014E-3</v>
      </c>
      <c r="R158" s="779">
        <f t="shared" si="159"/>
        <v>9.5580799172134811E-3</v>
      </c>
      <c r="S158" s="795"/>
      <c r="T158" s="799"/>
      <c r="U158" s="799"/>
      <c r="V158" s="913"/>
      <c r="W158" s="799"/>
      <c r="X158" s="799"/>
      <c r="Y158" s="799"/>
      <c r="Z158" s="736"/>
      <c r="AA158" s="736"/>
      <c r="AB158" s="689">
        <f t="shared" ref="AB158:AE161" si="160">+AB152/AB31</f>
        <v>2.5240417048075108E-3</v>
      </c>
      <c r="AC158" s="689">
        <f t="shared" si="160"/>
        <v>1.1493575617593106E-2</v>
      </c>
      <c r="AD158" s="689">
        <f t="shared" si="160"/>
        <v>1.3379288075867442E-2</v>
      </c>
      <c r="AE158" s="799">
        <f t="shared" si="160"/>
        <v>9.6984900428753254E-3</v>
      </c>
      <c r="AF158" s="799"/>
    </row>
    <row r="159" spans="1:32" ht="12" hidden="1" outlineLevel="1" x14ac:dyDescent="0.3">
      <c r="A159" s="778" t="str">
        <f t="shared" ref="A159:A161" si="161">+A153</f>
        <v>STER</v>
      </c>
      <c r="B159" s="470"/>
      <c r="C159" s="689">
        <f t="shared" ref="C159:R159" si="162">+C153/C32</f>
        <v>4.6787488350630195E-3</v>
      </c>
      <c r="D159" s="689">
        <f t="shared" si="162"/>
        <v>1.7567936024314146E-3</v>
      </c>
      <c r="E159" s="689">
        <f t="shared" si="162"/>
        <v>1.8747368476552233E-3</v>
      </c>
      <c r="F159" s="689">
        <f t="shared" si="162"/>
        <v>4.1505735862108718E-3</v>
      </c>
      <c r="G159" s="689">
        <f t="shared" si="162"/>
        <v>4.5662444712505027E-3</v>
      </c>
      <c r="H159" s="689">
        <f t="shared" si="162"/>
        <v>7.2371317925731902E-3</v>
      </c>
      <c r="I159" s="689">
        <f t="shared" si="162"/>
        <v>4.8485446288040286E-3</v>
      </c>
      <c r="J159" s="779">
        <f t="shared" si="162"/>
        <v>1.3294600216492496E-2</v>
      </c>
      <c r="K159" s="689">
        <f t="shared" si="162"/>
        <v>6.4540431943746852E-3</v>
      </c>
      <c r="L159" s="689">
        <f t="shared" si="162"/>
        <v>4.7449287005422777E-3</v>
      </c>
      <c r="M159" s="689">
        <f t="shared" si="162"/>
        <v>3.0125562495208102E-2</v>
      </c>
      <c r="N159" s="779">
        <f t="shared" si="162"/>
        <v>3.0778268607202716E-2</v>
      </c>
      <c r="O159" s="689">
        <f t="shared" si="162"/>
        <v>2.6608047006855165E-2</v>
      </c>
      <c r="P159" s="689">
        <f t="shared" si="162"/>
        <v>2.9296029495454564E-2</v>
      </c>
      <c r="Q159" s="689">
        <f t="shared" si="162"/>
        <v>3.1575672732928918E-2</v>
      </c>
      <c r="R159" s="779">
        <f t="shared" si="162"/>
        <v>3.7552966101694917E-2</v>
      </c>
      <c r="S159" s="795"/>
      <c r="T159" s="799"/>
      <c r="U159" s="799"/>
      <c r="V159" s="913"/>
      <c r="W159" s="799"/>
      <c r="X159" s="799"/>
      <c r="Y159" s="799"/>
      <c r="Z159" s="736"/>
      <c r="AA159" s="736"/>
      <c r="AB159" s="689">
        <f t="shared" si="160"/>
        <v>3.0226369882578622E-3</v>
      </c>
      <c r="AC159" s="689">
        <f t="shared" si="160"/>
        <v>7.6306137218463254E-3</v>
      </c>
      <c r="AD159" s="689">
        <f t="shared" si="160"/>
        <v>1.8862442435081728E-2</v>
      </c>
      <c r="AE159" s="799">
        <f t="shared" si="160"/>
        <v>3.1045329702575182E-2</v>
      </c>
      <c r="AF159" s="799"/>
    </row>
    <row r="160" spans="1:32" ht="12" hidden="1" outlineLevel="1" x14ac:dyDescent="0.3">
      <c r="A160" s="778" t="str">
        <f t="shared" si="161"/>
        <v>HRT</v>
      </c>
      <c r="B160" s="470"/>
      <c r="C160" s="786">
        <f t="shared" ref="C160:P160" si="163">+C154/C33</f>
        <v>5.1108471866946198E-3</v>
      </c>
      <c r="D160" s="786">
        <f t="shared" si="163"/>
        <v>4.7878901921428428E-3</v>
      </c>
      <c r="E160" s="786">
        <f t="shared" si="163"/>
        <v>5.1822390643319911E-3</v>
      </c>
      <c r="F160" s="786">
        <f t="shared" si="163"/>
        <v>5.9208675497164232E-3</v>
      </c>
      <c r="G160" s="786">
        <f t="shared" si="163"/>
        <v>4.7741547032853163E-3</v>
      </c>
      <c r="H160" s="786">
        <f t="shared" si="163"/>
        <v>9.0869740949574458E-3</v>
      </c>
      <c r="I160" s="786">
        <f t="shared" si="163"/>
        <v>6.7389384526613692E-3</v>
      </c>
      <c r="J160" s="787">
        <f t="shared" si="163"/>
        <v>4.3170413876356742E-3</v>
      </c>
      <c r="K160" s="786">
        <f t="shared" si="163"/>
        <v>5.5009016611024678E-3</v>
      </c>
      <c r="L160" s="786">
        <f t="shared" si="163"/>
        <v>4.6851719280680331E-3</v>
      </c>
      <c r="M160" s="786">
        <f t="shared" si="163"/>
        <v>4.1028192856898934E-3</v>
      </c>
      <c r="N160" s="787">
        <f t="shared" si="163"/>
        <v>1.0250133478396648E-2</v>
      </c>
      <c r="O160" s="786">
        <f t="shared" si="163"/>
        <v>1.4060620700414169E-2</v>
      </c>
      <c r="P160" s="786">
        <f t="shared" si="163"/>
        <v>2.0293127957821244E-2</v>
      </c>
      <c r="Q160" s="797">
        <f t="shared" ref="Q160" si="164">+P160</f>
        <v>2.0293127957821244E-2</v>
      </c>
      <c r="R160" s="1096">
        <f t="shared" ref="R160" si="165">+Q160</f>
        <v>2.0293127957821244E-2</v>
      </c>
      <c r="S160" s="797"/>
      <c r="T160" s="800"/>
      <c r="U160" s="800"/>
      <c r="V160" s="1097"/>
      <c r="W160" s="800"/>
      <c r="X160" s="800"/>
      <c r="Y160" s="800"/>
      <c r="Z160" s="736"/>
      <c r="AA160" s="736"/>
      <c r="AB160" s="786">
        <f t="shared" si="160"/>
        <v>5.234931831146694E-3</v>
      </c>
      <c r="AC160" s="786">
        <f t="shared" si="160"/>
        <v>5.9579066656325263E-3</v>
      </c>
      <c r="AD160" s="786">
        <f t="shared" si="160"/>
        <v>6.2021252610415479E-3</v>
      </c>
      <c r="AE160" s="800">
        <f t="shared" si="160"/>
        <v>1.4223943431498461E-2</v>
      </c>
      <c r="AF160" s="800"/>
    </row>
    <row r="161" spans="1:32" s="470" customFormat="1" hidden="1" outlineLevel="1" x14ac:dyDescent="0.25">
      <c r="A161" s="766" t="str">
        <f t="shared" si="161"/>
        <v>Total SBC</v>
      </c>
      <c r="C161" s="769">
        <f t="shared" ref="C161:P161" si="166">+C155/C34</f>
        <v>4.434797839933168E-3</v>
      </c>
      <c r="D161" s="769">
        <f t="shared" si="166"/>
        <v>3.2402194527196612E-3</v>
      </c>
      <c r="E161" s="769">
        <f t="shared" si="166"/>
        <v>3.2741181422200833E-3</v>
      </c>
      <c r="F161" s="769">
        <f t="shared" si="166"/>
        <v>4.1739457180240656E-3</v>
      </c>
      <c r="G161" s="769">
        <f t="shared" si="166"/>
        <v>1.4392213332335946E-2</v>
      </c>
      <c r="H161" s="769">
        <f t="shared" si="166"/>
        <v>7.0820366086299588E-3</v>
      </c>
      <c r="I161" s="769">
        <f t="shared" si="166"/>
        <v>5.144217546799318E-3</v>
      </c>
      <c r="J161" s="770">
        <f t="shared" si="166"/>
        <v>6.6675843576733647E-3</v>
      </c>
      <c r="K161" s="769">
        <f t="shared" si="166"/>
        <v>5.425688003224724E-3</v>
      </c>
      <c r="L161" s="769">
        <f t="shared" si="166"/>
        <v>8.3132164529376509E-3</v>
      </c>
      <c r="M161" s="769">
        <f t="shared" si="166"/>
        <v>1.2851490557890749E-2</v>
      </c>
      <c r="N161" s="770">
        <f t="shared" si="166"/>
        <v>2.1105020566278138E-2</v>
      </c>
      <c r="O161" s="769">
        <f t="shared" si="166"/>
        <v>1.6812961189464036E-2</v>
      </c>
      <c r="P161" s="769">
        <f t="shared" si="166"/>
        <v>1.9822255832131212E-2</v>
      </c>
      <c r="Q161" s="769">
        <f>+Q155/Q34</f>
        <v>1.5589972514084095E-2</v>
      </c>
      <c r="R161" s="770">
        <f>+R155/R34</f>
        <v>2.0255360948739601E-2</v>
      </c>
      <c r="S161" s="769"/>
      <c r="T161" s="773"/>
      <c r="U161" s="773"/>
      <c r="V161" s="774"/>
      <c r="W161" s="773"/>
      <c r="X161" s="773"/>
      <c r="Y161" s="773"/>
      <c r="Z161" s="767"/>
      <c r="AA161" s="767"/>
      <c r="AB161" s="769">
        <f t="shared" si="160"/>
        <v>3.7557570649550146E-3</v>
      </c>
      <c r="AC161" s="769">
        <f t="shared" si="160"/>
        <v>8.3378014498713907E-3</v>
      </c>
      <c r="AD161" s="769">
        <f t="shared" si="160"/>
        <v>1.2553957442039174E-2</v>
      </c>
      <c r="AE161" s="773">
        <f t="shared" si="160"/>
        <v>1.8097540857395913E-2</v>
      </c>
      <c r="AF161" s="773"/>
    </row>
    <row r="162" spans="1:32" hidden="1" outlineLevel="1" x14ac:dyDescent="0.25">
      <c r="J162" s="1090"/>
      <c r="N162" s="1090"/>
      <c r="R162" s="1090"/>
      <c r="V162" s="1410"/>
      <c r="AE162" s="794"/>
      <c r="AF162" s="794"/>
    </row>
    <row r="163" spans="1:32" ht="11.25" customHeight="1" collapsed="1" x14ac:dyDescent="0.25">
      <c r="A163" s="748" t="s">
        <v>145</v>
      </c>
      <c r="C163" s="744"/>
      <c r="D163" s="744"/>
      <c r="E163" s="744"/>
      <c r="F163" s="744"/>
      <c r="G163" s="744"/>
      <c r="H163" s="744"/>
      <c r="I163" s="744"/>
      <c r="J163" s="745"/>
      <c r="K163" s="744"/>
      <c r="L163" s="744"/>
      <c r="M163" s="744"/>
      <c r="N163" s="745"/>
      <c r="O163" s="744"/>
      <c r="P163" s="744"/>
      <c r="Q163" s="744"/>
      <c r="R163" s="745"/>
      <c r="S163" s="744"/>
      <c r="T163" s="736"/>
      <c r="U163" s="736"/>
      <c r="V163" s="752"/>
      <c r="W163" s="736"/>
      <c r="X163" s="736"/>
      <c r="Y163" s="736"/>
      <c r="Z163" s="736"/>
      <c r="AA163" s="736"/>
      <c r="AB163" s="744"/>
      <c r="AC163" s="744"/>
      <c r="AD163" s="744"/>
      <c r="AE163" s="736"/>
      <c r="AF163" s="736"/>
    </row>
    <row r="164" spans="1:32" x14ac:dyDescent="0.25">
      <c r="A164" s="512" t="s">
        <v>174</v>
      </c>
      <c r="B164" s="470"/>
      <c r="C164" s="736">
        <f t="shared" ref="C164:W164" si="167">+C134-C152</f>
        <v>24.738000000000003</v>
      </c>
      <c r="D164" s="736">
        <f t="shared" si="167"/>
        <v>33.037999999999997</v>
      </c>
      <c r="E164" s="736">
        <f t="shared" si="167"/>
        <v>33.216999999999992</v>
      </c>
      <c r="F164" s="736">
        <f t="shared" si="167"/>
        <v>31.564000000000004</v>
      </c>
      <c r="G164" s="736">
        <f t="shared" si="167"/>
        <v>22.954000000000001</v>
      </c>
      <c r="H164" s="736">
        <f t="shared" si="167"/>
        <v>31.135000000000005</v>
      </c>
      <c r="I164" s="736">
        <f t="shared" si="167"/>
        <v>42.757000000000005</v>
      </c>
      <c r="J164" s="752">
        <f t="shared" si="167"/>
        <v>44.099999999999994</v>
      </c>
      <c r="K164" s="736">
        <f t="shared" si="167"/>
        <v>36.028000000000006</v>
      </c>
      <c r="L164" s="736">
        <f t="shared" si="167"/>
        <v>53.658000000000001</v>
      </c>
      <c r="M164" s="736">
        <f t="shared" si="167"/>
        <v>62.600999999999999</v>
      </c>
      <c r="N164" s="752">
        <f t="shared" si="167"/>
        <v>64.477000000000004</v>
      </c>
      <c r="O164" s="736">
        <f t="shared" si="167"/>
        <v>51.740999999999993</v>
      </c>
      <c r="P164" s="736">
        <f t="shared" si="167"/>
        <v>58.890999999999998</v>
      </c>
      <c r="Q164" s="736">
        <f t="shared" si="167"/>
        <v>62.166000000000004</v>
      </c>
      <c r="R164" s="752">
        <f t="shared" si="167"/>
        <v>68.256</v>
      </c>
      <c r="S164" s="736">
        <f t="shared" si="167"/>
        <v>46.501999999999995</v>
      </c>
      <c r="T164" s="736">
        <f t="shared" si="167"/>
        <v>52.37</v>
      </c>
      <c r="U164" s="736">
        <f t="shared" si="167"/>
        <v>60.000999999999998</v>
      </c>
      <c r="V164" s="752">
        <f t="shared" si="167"/>
        <v>63.417999999999992</v>
      </c>
      <c r="W164" s="736">
        <f t="shared" si="167"/>
        <v>41.807000000000002</v>
      </c>
      <c r="X164" s="736">
        <f t="shared" ref="X164:Y164" si="168">+X134-X152</f>
        <v>50.713000000000001</v>
      </c>
      <c r="Y164" s="736">
        <f t="shared" si="168"/>
        <v>59.046000000000006</v>
      </c>
      <c r="Z164" s="750"/>
      <c r="AA164" s="750"/>
      <c r="AB164" s="736">
        <f t="shared" ref="AB164:AE167" si="169">+AB134-AB152</f>
        <v>122.557</v>
      </c>
      <c r="AC164" s="736">
        <f t="shared" si="169"/>
        <v>140.946</v>
      </c>
      <c r="AD164" s="736">
        <f t="shared" si="169"/>
        <v>216.76399999999998</v>
      </c>
      <c r="AE164" s="736">
        <f t="shared" si="169"/>
        <v>241.05400000000003</v>
      </c>
      <c r="AF164" s="736">
        <f>SUM(S164:V164)</f>
        <v>222.291</v>
      </c>
    </row>
    <row r="165" spans="1:32" x14ac:dyDescent="0.25">
      <c r="A165" s="512" t="s">
        <v>175</v>
      </c>
      <c r="B165" s="470"/>
      <c r="C165" s="736">
        <f t="shared" ref="C165:W165" si="170">+C135-C153</f>
        <v>23.502700000000001</v>
      </c>
      <c r="D165" s="736">
        <f t="shared" si="170"/>
        <v>35.110200000000006</v>
      </c>
      <c r="E165" s="736">
        <f t="shared" si="170"/>
        <v>35.634699999999995</v>
      </c>
      <c r="F165" s="736">
        <f t="shared" si="170"/>
        <v>23.233499999999996</v>
      </c>
      <c r="G165" s="736">
        <f t="shared" si="170"/>
        <v>27.045200000000001</v>
      </c>
      <c r="H165" s="736">
        <f t="shared" si="170"/>
        <v>13.297399999999998</v>
      </c>
      <c r="I165" s="736">
        <f t="shared" si="170"/>
        <v>29.832799999999992</v>
      </c>
      <c r="J165" s="752">
        <f t="shared" si="170"/>
        <v>26.193000000000008</v>
      </c>
      <c r="K165" s="736">
        <f t="shared" si="170"/>
        <v>35.904899999999998</v>
      </c>
      <c r="L165" s="736">
        <f t="shared" si="170"/>
        <v>46.277000000000001</v>
      </c>
      <c r="M165" s="736">
        <f t="shared" si="170"/>
        <v>46.191500000000005</v>
      </c>
      <c r="N165" s="752">
        <f t="shared" si="170"/>
        <v>38.704999999999998</v>
      </c>
      <c r="O165" s="736">
        <f t="shared" si="170"/>
        <v>42.528000000000006</v>
      </c>
      <c r="P165" s="736">
        <f t="shared" si="170"/>
        <v>50.448999999999998</v>
      </c>
      <c r="Q165" s="736">
        <f t="shared" si="170"/>
        <v>46.805</v>
      </c>
      <c r="R165" s="752">
        <f t="shared" si="170"/>
        <v>34.915999999999997</v>
      </c>
      <c r="S165" s="736">
        <f t="shared" si="170"/>
        <v>40.447000000000003</v>
      </c>
      <c r="T165" s="736">
        <f t="shared" si="170"/>
        <v>40.638999999999996</v>
      </c>
      <c r="U165" s="736">
        <f t="shared" si="170"/>
        <v>37.772999999999996</v>
      </c>
      <c r="V165" s="752">
        <f t="shared" si="170"/>
        <v>31.515000000000001</v>
      </c>
      <c r="W165" s="736">
        <f t="shared" si="170"/>
        <v>29.167999999999999</v>
      </c>
      <c r="X165" s="736">
        <f t="shared" ref="X165:Y165" si="171">+X135-X153</f>
        <v>34.581000000000003</v>
      </c>
      <c r="Y165" s="736">
        <f t="shared" si="171"/>
        <v>33.753999999999991</v>
      </c>
      <c r="Z165" s="750"/>
      <c r="AA165" s="750"/>
      <c r="AB165" s="736">
        <f t="shared" si="169"/>
        <v>117.48109999999998</v>
      </c>
      <c r="AC165" s="736">
        <f t="shared" si="169"/>
        <v>96.368400000000008</v>
      </c>
      <c r="AD165" s="736">
        <f t="shared" si="169"/>
        <v>167.07840000000002</v>
      </c>
      <c r="AE165" s="736">
        <f t="shared" si="169"/>
        <v>174.69800000000001</v>
      </c>
      <c r="AF165" s="736">
        <f>SUM(S165:V165)</f>
        <v>150.374</v>
      </c>
    </row>
    <row r="166" spans="1:32" ht="13" x14ac:dyDescent="0.4">
      <c r="A166" s="512" t="s">
        <v>606</v>
      </c>
      <c r="B166" s="470"/>
      <c r="C166" s="757">
        <f t="shared" ref="C166:V166" si="172">+C136-C154</f>
        <v>31.745600000000007</v>
      </c>
      <c r="D166" s="757">
        <f t="shared" si="172"/>
        <v>41.75889999999999</v>
      </c>
      <c r="E166" s="757">
        <f t="shared" si="172"/>
        <v>42.533000000000001</v>
      </c>
      <c r="F166" s="757">
        <f t="shared" si="172"/>
        <v>26.692799999999988</v>
      </c>
      <c r="G166" s="757">
        <f t="shared" si="172"/>
        <v>31.690199999999987</v>
      </c>
      <c r="H166" s="757">
        <f t="shared" si="172"/>
        <v>11.439200000000008</v>
      </c>
      <c r="I166" s="757">
        <f t="shared" si="172"/>
        <v>27.195299999999992</v>
      </c>
      <c r="J166" s="758">
        <f t="shared" si="172"/>
        <v>19.383899999999986</v>
      </c>
      <c r="K166" s="757">
        <f t="shared" si="172"/>
        <v>26.034499999999998</v>
      </c>
      <c r="L166" s="757">
        <f t="shared" si="172"/>
        <v>37.596899999999991</v>
      </c>
      <c r="M166" s="757">
        <f t="shared" si="172"/>
        <v>50.780999999999999</v>
      </c>
      <c r="N166" s="758">
        <f t="shared" si="172"/>
        <v>40.716999999999999</v>
      </c>
      <c r="O166" s="757">
        <f t="shared" si="172"/>
        <v>38.932000000000002</v>
      </c>
      <c r="P166" s="757">
        <f t="shared" si="172"/>
        <v>49.163999999999994</v>
      </c>
      <c r="Q166" s="757">
        <f t="shared" si="172"/>
        <v>52.69</v>
      </c>
      <c r="R166" s="758">
        <f t="shared" si="172"/>
        <v>36.049999999999997</v>
      </c>
      <c r="S166" s="757">
        <f t="shared" si="172"/>
        <v>29.212999999999997</v>
      </c>
      <c r="T166" s="757">
        <f t="shared" si="172"/>
        <v>47.454000000000001</v>
      </c>
      <c r="U166" s="757">
        <f t="shared" si="172"/>
        <v>47.292999999999999</v>
      </c>
      <c r="V166" s="758">
        <f t="shared" si="172"/>
        <v>37.660000000000011</v>
      </c>
      <c r="W166" s="757">
        <f t="shared" ref="W166" si="173">+W136-W154</f>
        <v>36.711999999999996</v>
      </c>
      <c r="X166" s="757"/>
      <c r="Y166" s="757"/>
      <c r="Z166" s="755"/>
      <c r="AA166" s="755"/>
      <c r="AB166" s="757">
        <f t="shared" si="169"/>
        <v>142.73029999999997</v>
      </c>
      <c r="AC166" s="757">
        <f t="shared" si="169"/>
        <v>89.708599999999976</v>
      </c>
      <c r="AD166" s="757">
        <f t="shared" si="169"/>
        <v>155.1294</v>
      </c>
      <c r="AE166" s="757">
        <f t="shared" si="169"/>
        <v>176.83600000000001</v>
      </c>
      <c r="AF166" s="757">
        <f>SUM(S166:V166)</f>
        <v>161.62</v>
      </c>
    </row>
    <row r="167" spans="1:32" s="761" customFormat="1" x14ac:dyDescent="0.25">
      <c r="A167" s="505" t="s">
        <v>623</v>
      </c>
      <c r="C167" s="762">
        <f t="shared" ref="C167:V167" si="174">+C137-C155</f>
        <v>79.986300000000014</v>
      </c>
      <c r="D167" s="762">
        <f t="shared" si="174"/>
        <v>109.90709999999999</v>
      </c>
      <c r="E167" s="762">
        <f t="shared" si="174"/>
        <v>111.3847</v>
      </c>
      <c r="F167" s="762">
        <f t="shared" si="174"/>
        <v>81.490299999999991</v>
      </c>
      <c r="G167" s="762">
        <f t="shared" si="174"/>
        <v>81.689399999999978</v>
      </c>
      <c r="H167" s="762">
        <f t="shared" si="174"/>
        <v>55.871600000000008</v>
      </c>
      <c r="I167" s="762">
        <f t="shared" si="174"/>
        <v>99.785099999999986</v>
      </c>
      <c r="J167" s="763">
        <f t="shared" si="174"/>
        <v>89.676899999999989</v>
      </c>
      <c r="K167" s="762">
        <f t="shared" si="174"/>
        <v>97.967399999999998</v>
      </c>
      <c r="L167" s="762">
        <f t="shared" si="174"/>
        <v>137.53189999999998</v>
      </c>
      <c r="M167" s="762">
        <f t="shared" si="174"/>
        <v>159.5735</v>
      </c>
      <c r="N167" s="763">
        <f t="shared" si="174"/>
        <v>143.899</v>
      </c>
      <c r="O167" s="762">
        <f t="shared" si="174"/>
        <v>133.20099999999999</v>
      </c>
      <c r="P167" s="762">
        <f t="shared" si="174"/>
        <v>158.50399999999999</v>
      </c>
      <c r="Q167" s="762">
        <f t="shared" si="174"/>
        <v>161.661</v>
      </c>
      <c r="R167" s="763">
        <f t="shared" si="174"/>
        <v>139.22199999999998</v>
      </c>
      <c r="S167" s="762">
        <f t="shared" si="174"/>
        <v>116.16199999999999</v>
      </c>
      <c r="T167" s="762">
        <f t="shared" si="174"/>
        <v>140.46299999999999</v>
      </c>
      <c r="U167" s="762">
        <f t="shared" si="174"/>
        <v>145.06700000000001</v>
      </c>
      <c r="V167" s="763">
        <f t="shared" si="174"/>
        <v>132.59299999999999</v>
      </c>
      <c r="W167" s="762">
        <f t="shared" ref="W167" si="175">+W137-W155</f>
        <v>107.687</v>
      </c>
      <c r="X167" s="762"/>
      <c r="Y167" s="762"/>
      <c r="Z167" s="762"/>
      <c r="AA167" s="762"/>
      <c r="AB167" s="762">
        <f t="shared" si="169"/>
        <v>382.76839999999999</v>
      </c>
      <c r="AC167" s="762">
        <f t="shared" si="169"/>
        <v>327.02299999999997</v>
      </c>
      <c r="AD167" s="762">
        <f t="shared" si="169"/>
        <v>538.97180000000003</v>
      </c>
      <c r="AE167" s="762">
        <f t="shared" si="169"/>
        <v>592.58799999999997</v>
      </c>
      <c r="AF167" s="762">
        <f>SUM(S167:V167)</f>
        <v>534.28499999999997</v>
      </c>
    </row>
    <row r="168" spans="1:32" ht="12" x14ac:dyDescent="0.3">
      <c r="A168" s="778"/>
      <c r="B168" s="470"/>
      <c r="C168" s="744"/>
      <c r="D168" s="689"/>
      <c r="E168" s="689"/>
      <c r="F168" s="689"/>
      <c r="G168" s="689"/>
      <c r="H168" s="689"/>
      <c r="I168" s="689"/>
      <c r="J168" s="779"/>
      <c r="K168" s="689"/>
      <c r="L168" s="689"/>
      <c r="M168" s="689"/>
      <c r="N168" s="779"/>
      <c r="O168" s="689"/>
      <c r="P168" s="780"/>
      <c r="Q168" s="780"/>
      <c r="R168" s="1092"/>
      <c r="S168" s="780"/>
      <c r="T168" s="799"/>
      <c r="U168" s="799"/>
      <c r="V168" s="913"/>
      <c r="W168" s="799"/>
      <c r="X168" s="799"/>
      <c r="Y168" s="799"/>
      <c r="Z168" s="744"/>
      <c r="AA168" s="744"/>
      <c r="AB168" s="689"/>
      <c r="AC168" s="689"/>
      <c r="AD168" s="689"/>
      <c r="AE168" s="799"/>
      <c r="AF168" s="799"/>
    </row>
    <row r="169" spans="1:32" ht="12" x14ac:dyDescent="0.3">
      <c r="A169" s="782" t="s">
        <v>29</v>
      </c>
      <c r="B169" s="470"/>
      <c r="C169" s="736"/>
      <c r="D169" s="736"/>
      <c r="E169" s="736"/>
      <c r="F169" s="736"/>
      <c r="G169" s="736"/>
      <c r="H169" s="736"/>
      <c r="I169" s="736"/>
      <c r="J169" s="752"/>
      <c r="K169" s="736"/>
      <c r="L169" s="736"/>
      <c r="M169" s="736"/>
      <c r="N169" s="752"/>
      <c r="O169" s="736"/>
      <c r="P169" s="736"/>
      <c r="Q169" s="736"/>
      <c r="R169" s="752"/>
      <c r="S169" s="736"/>
      <c r="T169" s="736"/>
      <c r="U169" s="736"/>
      <c r="V169" s="752"/>
      <c r="W169" s="736"/>
      <c r="X169" s="736"/>
      <c r="Y169" s="736"/>
      <c r="Z169" s="736"/>
      <c r="AA169" s="736"/>
      <c r="AB169" s="736"/>
      <c r="AC169" s="736"/>
      <c r="AD169" s="736"/>
      <c r="AE169" s="736"/>
      <c r="AF169" s="736"/>
    </row>
    <row r="170" spans="1:32" ht="12" x14ac:dyDescent="0.3">
      <c r="A170" s="778" t="str">
        <f>+A164</f>
        <v>FA</v>
      </c>
      <c r="B170" s="470"/>
      <c r="C170" s="736"/>
      <c r="D170" s="736"/>
      <c r="E170" s="736"/>
      <c r="F170" s="736"/>
      <c r="G170" s="689">
        <f t="shared" ref="G170:S173" si="176">+G164/C164-1</f>
        <v>-7.2115773304228359E-2</v>
      </c>
      <c r="H170" s="689">
        <f t="shared" si="176"/>
        <v>-5.7600339003571421E-2</v>
      </c>
      <c r="I170" s="689">
        <f t="shared" si="176"/>
        <v>0.28720233615317503</v>
      </c>
      <c r="J170" s="779">
        <f t="shared" si="176"/>
        <v>0.39716132302623208</v>
      </c>
      <c r="K170" s="689">
        <f t="shared" si="176"/>
        <v>0.56957393046963523</v>
      </c>
      <c r="L170" s="689">
        <f t="shared" si="176"/>
        <v>0.72339810502649726</v>
      </c>
      <c r="M170" s="689">
        <f t="shared" si="176"/>
        <v>0.4641111396964237</v>
      </c>
      <c r="N170" s="779">
        <f t="shared" si="176"/>
        <v>0.46206349206349229</v>
      </c>
      <c r="O170" s="689">
        <f t="shared" si="176"/>
        <v>0.43613300766070795</v>
      </c>
      <c r="P170" s="689">
        <f t="shared" si="176"/>
        <v>9.7525066159752427E-2</v>
      </c>
      <c r="Q170" s="689">
        <f t="shared" si="176"/>
        <v>-6.9487707864090975E-3</v>
      </c>
      <c r="R170" s="779">
        <f t="shared" si="176"/>
        <v>5.8610046993501586E-2</v>
      </c>
      <c r="S170" s="689">
        <f t="shared" si="176"/>
        <v>-0.10125432442357118</v>
      </c>
      <c r="T170" s="799">
        <f t="shared" ref="T170:W172" si="177">+T164/P164-1</f>
        <v>-0.11072999269837502</v>
      </c>
      <c r="U170" s="799">
        <f t="shared" si="177"/>
        <v>-3.482611073577202E-2</v>
      </c>
      <c r="V170" s="913">
        <f t="shared" si="177"/>
        <v>-7.0880215658696843E-2</v>
      </c>
      <c r="W170" s="799">
        <f t="shared" si="177"/>
        <v>-0.1009633994236806</v>
      </c>
      <c r="X170" s="799">
        <f t="shared" ref="X170:X171" si="178">+X164/T164-1</f>
        <v>-3.1640252052701823E-2</v>
      </c>
      <c r="Y170" s="799">
        <f t="shared" ref="Y170:Y171" si="179">+Y164/U164-1</f>
        <v>-1.5916401393309965E-2</v>
      </c>
      <c r="Z170" s="736"/>
      <c r="AA170" s="736"/>
      <c r="AB170" s="689"/>
      <c r="AC170" s="689">
        <f t="shared" ref="AC170:AF173" si="180">+AC164/AB164-1</f>
        <v>0.1500444691041718</v>
      </c>
      <c r="AD170" s="689">
        <f t="shared" si="180"/>
        <v>0.53792232486200375</v>
      </c>
      <c r="AE170" s="799">
        <f t="shared" si="180"/>
        <v>0.11205735269694261</v>
      </c>
      <c r="AF170" s="799">
        <f t="shared" si="180"/>
        <v>-7.7837331054452674E-2</v>
      </c>
    </row>
    <row r="171" spans="1:32" ht="12" x14ac:dyDescent="0.3">
      <c r="A171" s="778" t="str">
        <f>+A165</f>
        <v>STER</v>
      </c>
      <c r="B171" s="470"/>
      <c r="C171" s="736"/>
      <c r="D171" s="736"/>
      <c r="E171" s="736"/>
      <c r="F171" s="736"/>
      <c r="G171" s="689">
        <f t="shared" si="176"/>
        <v>0.15072736323911728</v>
      </c>
      <c r="H171" s="689">
        <f t="shared" si="176"/>
        <v>-0.62126675439046219</v>
      </c>
      <c r="I171" s="689">
        <f t="shared" si="176"/>
        <v>-0.16281601921722377</v>
      </c>
      <c r="J171" s="779">
        <f t="shared" si="176"/>
        <v>0.12738072180257021</v>
      </c>
      <c r="K171" s="689">
        <f t="shared" si="176"/>
        <v>0.32758862940558764</v>
      </c>
      <c r="L171" s="689">
        <f t="shared" si="176"/>
        <v>2.4801540150706161</v>
      </c>
      <c r="M171" s="689">
        <f t="shared" si="176"/>
        <v>0.54834611568475022</v>
      </c>
      <c r="N171" s="779">
        <f t="shared" si="176"/>
        <v>0.47768487763906342</v>
      </c>
      <c r="O171" s="689">
        <f t="shared" si="176"/>
        <v>0.18446228787714225</v>
      </c>
      <c r="P171" s="689">
        <f t="shared" si="176"/>
        <v>9.0152775676902053E-2</v>
      </c>
      <c r="Q171" s="689">
        <f t="shared" si="176"/>
        <v>1.3281664375480284E-2</v>
      </c>
      <c r="R171" s="779">
        <f t="shared" si="176"/>
        <v>-9.7894328898075256E-2</v>
      </c>
      <c r="S171" s="689">
        <f t="shared" si="176"/>
        <v>-4.8932468021068543E-2</v>
      </c>
      <c r="T171" s="799">
        <f t="shared" si="177"/>
        <v>-0.19445380483260333</v>
      </c>
      <c r="U171" s="799">
        <f t="shared" ref="U171" si="181">+U165/Q165-1</f>
        <v>-0.1929708364490974</v>
      </c>
      <c r="V171" s="913">
        <f t="shared" ref="V171:W171" si="182">+V165/R165-1</f>
        <v>-9.7405201053958002E-2</v>
      </c>
      <c r="W171" s="799">
        <f t="shared" si="182"/>
        <v>-0.27885875343041522</v>
      </c>
      <c r="X171" s="799">
        <f t="shared" si="178"/>
        <v>-0.14906862865720105</v>
      </c>
      <c r="Y171" s="799">
        <f t="shared" si="179"/>
        <v>-0.10639875043020164</v>
      </c>
      <c r="Z171" s="736"/>
      <c r="AA171" s="736"/>
      <c r="AB171" s="689"/>
      <c r="AC171" s="689">
        <f t="shared" si="180"/>
        <v>-0.1797114599710079</v>
      </c>
      <c r="AD171" s="689">
        <f t="shared" si="180"/>
        <v>0.73374674685892893</v>
      </c>
      <c r="AE171" s="799">
        <f t="shared" si="180"/>
        <v>4.5604937562246262E-2</v>
      </c>
      <c r="AF171" s="799">
        <f t="shared" si="180"/>
        <v>-0.13923456479181218</v>
      </c>
    </row>
    <row r="172" spans="1:32" ht="12" x14ac:dyDescent="0.3">
      <c r="A172" s="778" t="str">
        <f>+A166</f>
        <v>HRT</v>
      </c>
      <c r="B172" s="470"/>
      <c r="C172" s="736"/>
      <c r="D172" s="736"/>
      <c r="E172" s="736"/>
      <c r="F172" s="736"/>
      <c r="G172" s="786">
        <f t="shared" si="176"/>
        <v>-1.7451237336834069E-3</v>
      </c>
      <c r="H172" s="786">
        <f t="shared" si="176"/>
        <v>-0.72606558122939036</v>
      </c>
      <c r="I172" s="786">
        <f t="shared" si="176"/>
        <v>-0.36060705804904447</v>
      </c>
      <c r="J172" s="787">
        <f t="shared" si="176"/>
        <v>-0.27381541089732075</v>
      </c>
      <c r="K172" s="786">
        <f t="shared" si="176"/>
        <v>-0.17846842241450012</v>
      </c>
      <c r="L172" s="786">
        <f t="shared" si="176"/>
        <v>2.2866721449052347</v>
      </c>
      <c r="M172" s="786">
        <f t="shared" si="176"/>
        <v>0.86727118288822003</v>
      </c>
      <c r="N172" s="787">
        <f t="shared" si="176"/>
        <v>1.1005576793111822</v>
      </c>
      <c r="O172" s="786">
        <f t="shared" si="176"/>
        <v>0.49540033417196438</v>
      </c>
      <c r="P172" s="786">
        <f t="shared" si="176"/>
        <v>0.30766100396575258</v>
      </c>
      <c r="Q172" s="786">
        <f t="shared" si="176"/>
        <v>3.7592800456863751E-2</v>
      </c>
      <c r="R172" s="787">
        <f t="shared" si="176"/>
        <v>-0.11462042881351775</v>
      </c>
      <c r="S172" s="786">
        <f t="shared" si="176"/>
        <v>-0.24964039864378929</v>
      </c>
      <c r="T172" s="800">
        <f t="shared" si="177"/>
        <v>-3.4781547473761165E-2</v>
      </c>
      <c r="U172" s="800">
        <f t="shared" si="177"/>
        <v>-0.10242930347314483</v>
      </c>
      <c r="V172" s="1097">
        <f t="shared" si="177"/>
        <v>4.466019417475775E-2</v>
      </c>
      <c r="W172" s="800">
        <f t="shared" ref="W172:W173" si="183">+W166/S166-1</f>
        <v>0.25670078389757989</v>
      </c>
      <c r="X172" s="800"/>
      <c r="Y172" s="800"/>
      <c r="Z172" s="736"/>
      <c r="AA172" s="736"/>
      <c r="AB172" s="786"/>
      <c r="AC172" s="786">
        <f t="shared" si="180"/>
        <v>-0.37148173863573475</v>
      </c>
      <c r="AD172" s="786">
        <f t="shared" si="180"/>
        <v>0.72925895622047432</v>
      </c>
      <c r="AE172" s="800">
        <f t="shared" si="180"/>
        <v>0.13992576519989131</v>
      </c>
      <c r="AF172" s="800">
        <f t="shared" si="180"/>
        <v>-8.6045827772625483E-2</v>
      </c>
    </row>
    <row r="173" spans="1:32" s="470" customFormat="1" x14ac:dyDescent="0.25">
      <c r="A173" s="766" t="str">
        <f>+A167</f>
        <v>Total EBITDA</v>
      </c>
      <c r="C173" s="767"/>
      <c r="D173" s="767"/>
      <c r="E173" s="767"/>
      <c r="F173" s="767"/>
      <c r="G173" s="769">
        <f t="shared" si="176"/>
        <v>2.1292396322869944E-2</v>
      </c>
      <c r="H173" s="769">
        <f t="shared" si="176"/>
        <v>-0.49164703645169405</v>
      </c>
      <c r="I173" s="769">
        <f t="shared" si="176"/>
        <v>-0.10413997613675852</v>
      </c>
      <c r="J173" s="770">
        <f t="shared" si="176"/>
        <v>0.10046103646691695</v>
      </c>
      <c r="K173" s="769">
        <f t="shared" si="176"/>
        <v>0.19926697955915973</v>
      </c>
      <c r="L173" s="769">
        <f t="shared" si="176"/>
        <v>1.4615708159422671</v>
      </c>
      <c r="M173" s="769">
        <f t="shared" si="176"/>
        <v>0.599171619810974</v>
      </c>
      <c r="N173" s="770">
        <f t="shared" si="176"/>
        <v>0.60463842974054649</v>
      </c>
      <c r="O173" s="769">
        <f t="shared" si="176"/>
        <v>0.35964616801099147</v>
      </c>
      <c r="P173" s="769">
        <f t="shared" si="176"/>
        <v>0.15248898619156726</v>
      </c>
      <c r="Q173" s="769">
        <f t="shared" si="176"/>
        <v>1.3081746029259378E-2</v>
      </c>
      <c r="R173" s="770">
        <f t="shared" si="176"/>
        <v>-3.2501963182510085E-2</v>
      </c>
      <c r="S173" s="769">
        <f t="shared" si="176"/>
        <v>-0.1279194600641137</v>
      </c>
      <c r="T173" s="773">
        <f>+T167/P167-1</f>
        <v>-0.11382047140766161</v>
      </c>
      <c r="U173" s="773">
        <f t="shared" ref="U173:V173" si="184">+U167/Q167-1</f>
        <v>-0.10264689690154083</v>
      </c>
      <c r="V173" s="774">
        <f t="shared" si="184"/>
        <v>-4.7614601140624213E-2</v>
      </c>
      <c r="W173" s="773">
        <f t="shared" si="183"/>
        <v>-7.2958454572063069E-2</v>
      </c>
      <c r="X173" s="773"/>
      <c r="Y173" s="773"/>
      <c r="Z173" s="767"/>
      <c r="AA173" s="767"/>
      <c r="AB173" s="769"/>
      <c r="AC173" s="769">
        <f t="shared" si="180"/>
        <v>-0.14563741416480569</v>
      </c>
      <c r="AD173" s="769">
        <f t="shared" si="180"/>
        <v>0.64811588175755253</v>
      </c>
      <c r="AE173" s="773">
        <f t="shared" si="180"/>
        <v>9.947867402339039E-2</v>
      </c>
      <c r="AF173" s="773">
        <f t="shared" si="180"/>
        <v>-9.8387074999831237E-2</v>
      </c>
    </row>
    <row r="174" spans="1:32" ht="12" x14ac:dyDescent="0.3">
      <c r="A174" s="778"/>
      <c r="B174" s="470"/>
      <c r="C174" s="744"/>
      <c r="D174" s="689"/>
      <c r="E174" s="689"/>
      <c r="F174" s="689"/>
      <c r="G174" s="689"/>
      <c r="H174" s="689"/>
      <c r="I174" s="689"/>
      <c r="J174" s="779"/>
      <c r="K174" s="689"/>
      <c r="L174" s="689"/>
      <c r="M174" s="689"/>
      <c r="N174" s="779"/>
      <c r="O174" s="689"/>
      <c r="P174" s="780"/>
      <c r="Q174" s="780"/>
      <c r="R174" s="1092"/>
      <c r="S174" s="780"/>
      <c r="T174" s="799"/>
      <c r="U174" s="799"/>
      <c r="V174" s="913"/>
      <c r="W174" s="799"/>
      <c r="X174" s="799"/>
      <c r="Y174" s="799"/>
      <c r="Z174" s="744"/>
      <c r="AA174" s="744"/>
      <c r="AB174" s="689"/>
      <c r="AC174" s="689"/>
      <c r="AD174" s="689"/>
      <c r="AE174" s="799"/>
      <c r="AF174" s="799"/>
    </row>
    <row r="175" spans="1:32" ht="12" x14ac:dyDescent="0.3">
      <c r="A175" s="782" t="s">
        <v>622</v>
      </c>
      <c r="B175" s="470"/>
      <c r="C175" s="736"/>
      <c r="D175" s="736"/>
      <c r="E175" s="736"/>
      <c r="F175" s="736"/>
      <c r="G175" s="736"/>
      <c r="H175" s="736"/>
      <c r="I175" s="736"/>
      <c r="J175" s="752"/>
      <c r="K175" s="736"/>
      <c r="L175" s="736"/>
      <c r="M175" s="736"/>
      <c r="N175" s="752"/>
      <c r="O175" s="736"/>
      <c r="P175" s="736"/>
      <c r="Q175" s="736"/>
      <c r="R175" s="752"/>
      <c r="S175" s="736"/>
      <c r="T175" s="736"/>
      <c r="U175" s="736"/>
      <c r="V175" s="752"/>
      <c r="W175" s="736"/>
      <c r="X175" s="736"/>
      <c r="Y175" s="736"/>
      <c r="Z175" s="736"/>
      <c r="AA175" s="736"/>
      <c r="AB175" s="736"/>
      <c r="AC175" s="736"/>
      <c r="AD175" s="736"/>
      <c r="AE175" s="736"/>
      <c r="AF175" s="736"/>
    </row>
    <row r="176" spans="1:32" ht="12" x14ac:dyDescent="0.3">
      <c r="A176" s="778" t="str">
        <f>+A164</f>
        <v>FA</v>
      </c>
      <c r="B176" s="470"/>
      <c r="C176" s="689">
        <f t="shared" ref="C176:W176" si="185">+C164/C31</f>
        <v>0.22553265200069292</v>
      </c>
      <c r="D176" s="689">
        <f t="shared" si="185"/>
        <v>0.27164716619662721</v>
      </c>
      <c r="E176" s="689">
        <f t="shared" si="185"/>
        <v>0.26837899635611495</v>
      </c>
      <c r="F176" s="689">
        <f t="shared" si="185"/>
        <v>0.24914357881442906</v>
      </c>
      <c r="G176" s="689">
        <f t="shared" si="185"/>
        <v>0.20709317117621054</v>
      </c>
      <c r="H176" s="689">
        <f t="shared" si="185"/>
        <v>0.2965435790957493</v>
      </c>
      <c r="I176" s="689">
        <f t="shared" si="185"/>
        <v>0.31260144175232862</v>
      </c>
      <c r="J176" s="779">
        <f t="shared" si="185"/>
        <v>0.28170993458708105</v>
      </c>
      <c r="K176" s="689">
        <f t="shared" si="185"/>
        <v>0.27279473006738858</v>
      </c>
      <c r="L176" s="689">
        <f t="shared" si="185"/>
        <v>0.30692231132669057</v>
      </c>
      <c r="M176" s="689">
        <f t="shared" si="185"/>
        <v>0.32458118807260966</v>
      </c>
      <c r="N176" s="779">
        <f t="shared" si="185"/>
        <v>0.30337549169066286</v>
      </c>
      <c r="O176" s="689">
        <f t="shared" si="185"/>
        <v>0.27249171849737464</v>
      </c>
      <c r="P176" s="689">
        <f t="shared" si="185"/>
        <v>0.29217457742321179</v>
      </c>
      <c r="Q176" s="689">
        <f t="shared" si="185"/>
        <v>0.30179720951909356</v>
      </c>
      <c r="R176" s="779">
        <f t="shared" si="185"/>
        <v>0.32106117265222606</v>
      </c>
      <c r="S176" s="689">
        <f t="shared" si="185"/>
        <v>0.2649384685505925</v>
      </c>
      <c r="T176" s="799">
        <f t="shared" si="185"/>
        <v>0.2825998974718722</v>
      </c>
      <c r="U176" s="799">
        <f t="shared" si="185"/>
        <v>0.29945998283124708</v>
      </c>
      <c r="V176" s="913">
        <f t="shared" si="185"/>
        <v>0.31307945221709893</v>
      </c>
      <c r="W176" s="799">
        <f t="shared" si="185"/>
        <v>0.24677126127402371</v>
      </c>
      <c r="X176" s="799">
        <f t="shared" ref="X176:Y176" si="186">+X164/X31</f>
        <v>0.27479869517627042</v>
      </c>
      <c r="Y176" s="799">
        <f t="shared" si="186"/>
        <v>0.29653624214665603</v>
      </c>
      <c r="Z176" s="736"/>
      <c r="AA176" s="736"/>
      <c r="AB176" s="689">
        <f t="shared" ref="AB176:AF179" si="187">+AB164/AB31</f>
        <v>0.25439060790797213</v>
      </c>
      <c r="AC176" s="689">
        <f t="shared" si="187"/>
        <v>0.27682390789427169</v>
      </c>
      <c r="AD176" s="689">
        <f t="shared" si="187"/>
        <v>0.30431773352332947</v>
      </c>
      <c r="AE176" s="799">
        <f t="shared" si="187"/>
        <v>0.29758908080387841</v>
      </c>
      <c r="AF176" s="799">
        <f t="shared" si="187"/>
        <v>0.29104785397526184</v>
      </c>
    </row>
    <row r="177" spans="1:32" ht="12" x14ac:dyDescent="0.3">
      <c r="A177" s="778" t="str">
        <f>+A165</f>
        <v>STER</v>
      </c>
      <c r="B177" s="470"/>
      <c r="C177" s="689">
        <f t="shared" ref="C177:W177" si="188">+C165/C32</f>
        <v>0.2126537038209933</v>
      </c>
      <c r="D177" s="689">
        <f t="shared" si="188"/>
        <v>0.26518217859022986</v>
      </c>
      <c r="E177" s="689">
        <f t="shared" si="188"/>
        <v>0.26840371693507259</v>
      </c>
      <c r="F177" s="689">
        <f t="shared" si="188"/>
        <v>0.19133403058577436</v>
      </c>
      <c r="G177" s="689">
        <f t="shared" si="188"/>
        <v>0.22655475137381048</v>
      </c>
      <c r="H177" s="689">
        <f t="shared" si="188"/>
        <v>0.15013266193223512</v>
      </c>
      <c r="I177" s="689">
        <f t="shared" si="188"/>
        <v>0.25367531077198313</v>
      </c>
      <c r="J177" s="779">
        <f t="shared" si="188"/>
        <v>0.20383134129629363</v>
      </c>
      <c r="K177" s="689">
        <f t="shared" si="188"/>
        <v>0.25762287436320586</v>
      </c>
      <c r="L177" s="689">
        <f t="shared" si="188"/>
        <v>0.29045114480819439</v>
      </c>
      <c r="M177" s="689">
        <f t="shared" si="188"/>
        <v>0.27242461237224064</v>
      </c>
      <c r="N177" s="779">
        <f t="shared" si="188"/>
        <v>0.22291783054674047</v>
      </c>
      <c r="O177" s="689">
        <f t="shared" si="188"/>
        <v>0.22153230679474092</v>
      </c>
      <c r="P177" s="689">
        <f t="shared" si="188"/>
        <v>0.24538525519113188</v>
      </c>
      <c r="Q177" s="689">
        <f t="shared" si="188"/>
        <v>0.23484814274030477</v>
      </c>
      <c r="R177" s="779">
        <f t="shared" si="188"/>
        <v>0.20548493408662899</v>
      </c>
      <c r="S177" s="689">
        <f t="shared" si="188"/>
        <v>0.22561553822640207</v>
      </c>
      <c r="T177" s="799">
        <f t="shared" si="188"/>
        <v>0.21345806370283216</v>
      </c>
      <c r="U177" s="799">
        <f t="shared" si="188"/>
        <v>0.20919220672773389</v>
      </c>
      <c r="V177" s="913">
        <f t="shared" si="188"/>
        <v>0.18602139113188843</v>
      </c>
      <c r="W177" s="799">
        <f t="shared" si="188"/>
        <v>0.15681804740885705</v>
      </c>
      <c r="X177" s="799">
        <f t="shared" ref="X177:Y177" si="189">+X165/X32</f>
        <v>0.17244973270565708</v>
      </c>
      <c r="Y177" s="799">
        <f t="shared" si="189"/>
        <v>0.17265473145780047</v>
      </c>
      <c r="Z177" s="736"/>
      <c r="AA177" s="736"/>
      <c r="AB177" s="689">
        <f t="shared" si="187"/>
        <v>0.23632551462879053</v>
      </c>
      <c r="AC177" s="689">
        <f t="shared" si="187"/>
        <v>0.21224060824670976</v>
      </c>
      <c r="AD177" s="689">
        <f t="shared" si="187"/>
        <v>0.26029376024328388</v>
      </c>
      <c r="AE177" s="799">
        <f t="shared" si="187"/>
        <v>0.22783268256166683</v>
      </c>
      <c r="AF177" s="799">
        <f t="shared" si="187"/>
        <v>0.20895725640598076</v>
      </c>
    </row>
    <row r="178" spans="1:32" ht="12" x14ac:dyDescent="0.3">
      <c r="A178" s="778" t="str">
        <f>+A166</f>
        <v>HRT</v>
      </c>
      <c r="B178" s="470"/>
      <c r="C178" s="786">
        <f t="shared" ref="C178:V178" si="190">+C166/C33</f>
        <v>0.20346991528709901</v>
      </c>
      <c r="D178" s="786">
        <f t="shared" si="190"/>
        <v>0.24252429372231163</v>
      </c>
      <c r="E178" s="786">
        <f t="shared" si="190"/>
        <v>0.25600020223371961</v>
      </c>
      <c r="F178" s="786">
        <f t="shared" si="190"/>
        <v>0.17423055157212047</v>
      </c>
      <c r="G178" s="786">
        <f t="shared" si="190"/>
        <v>0.20472789902307478</v>
      </c>
      <c r="H178" s="786">
        <f t="shared" si="190"/>
        <v>0.10930358997585415</v>
      </c>
      <c r="I178" s="786">
        <f t="shared" si="190"/>
        <v>0.20811657154401733</v>
      </c>
      <c r="J178" s="787">
        <f t="shared" si="190"/>
        <v>0.12913749776819611</v>
      </c>
      <c r="K178" s="786">
        <f t="shared" si="190"/>
        <v>0.17407709286006098</v>
      </c>
      <c r="L178" s="786">
        <f t="shared" si="190"/>
        <v>0.21243118724358537</v>
      </c>
      <c r="M178" s="786">
        <f t="shared" si="190"/>
        <v>0.24773515594128237</v>
      </c>
      <c r="N178" s="787">
        <f t="shared" si="190"/>
        <v>0.20508829721861244</v>
      </c>
      <c r="O178" s="786">
        <f t="shared" si="190"/>
        <v>0.19592272194292212</v>
      </c>
      <c r="P178" s="786">
        <f t="shared" si="190"/>
        <v>0.22116855307433464</v>
      </c>
      <c r="Q178" s="786">
        <f t="shared" si="190"/>
        <v>0.25054326376704089</v>
      </c>
      <c r="R178" s="787">
        <f t="shared" si="190"/>
        <v>0.20557475393756913</v>
      </c>
      <c r="S178" s="786">
        <f t="shared" si="190"/>
        <v>0.1665061243566433</v>
      </c>
      <c r="T178" s="800">
        <f t="shared" si="190"/>
        <v>0.24699673127771649</v>
      </c>
      <c r="U178" s="800">
        <f t="shared" si="190"/>
        <v>0.25120842230508544</v>
      </c>
      <c r="V178" s="1097">
        <f t="shared" si="190"/>
        <v>0.22677593983151401</v>
      </c>
      <c r="W178" s="800">
        <f t="shared" ref="W178" si="191">+W166/W33</f>
        <v>0.21196304849884526</v>
      </c>
      <c r="X178" s="800"/>
      <c r="Y178" s="800"/>
      <c r="Z178" s="736"/>
      <c r="AA178" s="736"/>
      <c r="AB178" s="786">
        <f t="shared" si="187"/>
        <v>0.22041458176911319</v>
      </c>
      <c r="AC178" s="786">
        <f t="shared" si="187"/>
        <v>0.16605836882637232</v>
      </c>
      <c r="AD178" s="786">
        <f t="shared" si="187"/>
        <v>0.21248966860359519</v>
      </c>
      <c r="AE178" s="800">
        <f t="shared" si="187"/>
        <v>0.21921781947467855</v>
      </c>
      <c r="AF178" s="800">
        <f t="shared" si="187"/>
        <v>0.22388142401994737</v>
      </c>
    </row>
    <row r="179" spans="1:32" s="470" customFormat="1" x14ac:dyDescent="0.25">
      <c r="A179" s="766" t="str">
        <f>+A167</f>
        <v>Total EBITDA</v>
      </c>
      <c r="C179" s="769">
        <f t="shared" ref="C179:V179" si="192">+C167/C34</f>
        <v>0.21259998229802005</v>
      </c>
      <c r="D179" s="769">
        <f t="shared" si="192"/>
        <v>0.25787336959594859</v>
      </c>
      <c r="E179" s="769">
        <f t="shared" si="192"/>
        <v>0.26352096758128568</v>
      </c>
      <c r="F179" s="769">
        <f t="shared" si="192"/>
        <v>0.20305419900035607</v>
      </c>
      <c r="G179" s="769">
        <f t="shared" si="192"/>
        <v>0.21217651220705708</v>
      </c>
      <c r="H179" s="769">
        <f t="shared" si="192"/>
        <v>0.18735071807894396</v>
      </c>
      <c r="I179" s="769">
        <f t="shared" si="192"/>
        <v>0.25914593211284559</v>
      </c>
      <c r="J179" s="770">
        <f t="shared" si="192"/>
        <v>0.20608268273407268</v>
      </c>
      <c r="K179" s="769">
        <f t="shared" si="192"/>
        <v>0.23270315510337003</v>
      </c>
      <c r="L179" s="769">
        <f t="shared" si="192"/>
        <v>0.26907004939371543</v>
      </c>
      <c r="M179" s="769">
        <f t="shared" si="192"/>
        <v>0.28123386293740804</v>
      </c>
      <c r="N179" s="770">
        <f t="shared" si="192"/>
        <v>0.24610951008645526</v>
      </c>
      <c r="O179" s="769">
        <f t="shared" si="192"/>
        <v>0.22943379196781058</v>
      </c>
      <c r="P179" s="769">
        <f t="shared" si="192"/>
        <v>0.25181588830777635</v>
      </c>
      <c r="Q179" s="769">
        <f t="shared" si="192"/>
        <v>0.26261233162439818</v>
      </c>
      <c r="R179" s="770">
        <f t="shared" si="192"/>
        <v>0.24955680194738264</v>
      </c>
      <c r="S179" s="769">
        <f t="shared" si="192"/>
        <v>0.21907396825217212</v>
      </c>
      <c r="T179" s="773">
        <f t="shared" si="192"/>
        <v>0.24737109979694377</v>
      </c>
      <c r="U179" s="773">
        <f t="shared" si="192"/>
        <v>0.25486479079115659</v>
      </c>
      <c r="V179" s="774">
        <f t="shared" si="192"/>
        <v>0.24643477776022457</v>
      </c>
      <c r="W179" s="773">
        <f t="shared" ref="W179" si="193">+W167/W34</f>
        <v>0.20371536940873791</v>
      </c>
      <c r="X179" s="773"/>
      <c r="Y179" s="773"/>
      <c r="Z179" s="767"/>
      <c r="AA179" s="767"/>
      <c r="AB179" s="769">
        <f t="shared" si="187"/>
        <v>0.23534175698477972</v>
      </c>
      <c r="AC179" s="769">
        <f t="shared" si="187"/>
        <v>0.21751795677337529</v>
      </c>
      <c r="AD179" s="769">
        <f t="shared" si="187"/>
        <v>0.25859451946690087</v>
      </c>
      <c r="AE179" s="773">
        <f t="shared" si="187"/>
        <v>0.24862375197873018</v>
      </c>
      <c r="AF179" s="773">
        <f t="shared" si="187"/>
        <v>0.24227305025481782</v>
      </c>
    </row>
    <row r="180" spans="1:32" x14ac:dyDescent="0.25">
      <c r="J180" s="1090"/>
      <c r="N180" s="1090"/>
      <c r="R180" s="1090"/>
      <c r="V180" s="1410"/>
      <c r="AE180" s="794"/>
      <c r="AF180" s="794"/>
    </row>
    <row r="181" spans="1:32" ht="11.25" customHeight="1" collapsed="1" x14ac:dyDescent="0.25">
      <c r="A181" s="748" t="s">
        <v>40</v>
      </c>
      <c r="C181" s="744"/>
      <c r="D181" s="744"/>
      <c r="E181" s="744"/>
      <c r="F181" s="744"/>
      <c r="G181" s="744"/>
      <c r="H181" s="744"/>
      <c r="I181" s="744"/>
      <c r="J181" s="745"/>
      <c r="K181" s="744"/>
      <c r="L181" s="744"/>
      <c r="M181" s="744"/>
      <c r="N181" s="745"/>
      <c r="O181" s="744"/>
      <c r="P181" s="744"/>
      <c r="Q181" s="744"/>
      <c r="R181" s="745"/>
      <c r="S181" s="744"/>
      <c r="T181" s="736"/>
      <c r="U181" s="736"/>
      <c r="V181" s="752"/>
      <c r="W181" s="736"/>
      <c r="X181" s="736"/>
      <c r="Y181" s="736"/>
      <c r="Z181" s="736"/>
      <c r="AA181" s="736"/>
      <c r="AB181" s="744"/>
      <c r="AC181" s="744"/>
      <c r="AD181" s="744"/>
      <c r="AE181" s="736"/>
      <c r="AF181" s="736"/>
    </row>
    <row r="182" spans="1:32" x14ac:dyDescent="0.25">
      <c r="A182" s="512" t="s">
        <v>174</v>
      </c>
      <c r="B182" s="470"/>
      <c r="C182" s="736"/>
      <c r="D182" s="736"/>
      <c r="E182" s="736"/>
      <c r="F182" s="736"/>
      <c r="G182" s="736">
        <f>+'FA - Historical Financials'!G96</f>
        <v>5.2080000000000002</v>
      </c>
      <c r="H182" s="736">
        <f>+'FA - Historical Financials'!H96</f>
        <v>5.1120000000000001</v>
      </c>
      <c r="I182" s="736">
        <f>+'FA - Historical Financials'!I96</f>
        <v>5.2480000000000002</v>
      </c>
      <c r="J182" s="752">
        <f>+'FA - Historical Financials'!J96</f>
        <v>4.8500000000000005</v>
      </c>
      <c r="K182" s="736">
        <f>+'FA - Historical Financials'!K96</f>
        <v>5.4379999999999997</v>
      </c>
      <c r="L182" s="736">
        <f>+'FA - Historical Financials'!L96</f>
        <v>6.81</v>
      </c>
      <c r="M182" s="736">
        <f>+'FA - Historical Financials'!M96</f>
        <v>6.7470000000000008</v>
      </c>
      <c r="N182" s="752">
        <f>+'FA - Historical Financials'!N96</f>
        <v>6.4549999999999992</v>
      </c>
      <c r="O182" s="736">
        <f>+'FA - Historical Financials'!O96</f>
        <v>7.7899999999999991</v>
      </c>
      <c r="P182" s="736">
        <f>+'FA - Historical Financials'!P96</f>
        <v>8.07</v>
      </c>
      <c r="Q182" s="736">
        <f>+'FA - Historical Financials'!Q96</f>
        <v>7.1650000000000009</v>
      </c>
      <c r="R182" s="752">
        <f>+'FA - Historical Financials'!R96</f>
        <v>6.8719999999999999</v>
      </c>
      <c r="S182" s="736">
        <f>+'FA - Historical Financials'!S96</f>
        <v>6.1349999999999998</v>
      </c>
      <c r="T182" s="736">
        <f>+'FA - Historical Financials'!T96</f>
        <v>7.0609999999999991</v>
      </c>
      <c r="U182" s="736">
        <f>+'FA - Historical Financials'!U96</f>
        <v>7.4799999999999986</v>
      </c>
      <c r="V182" s="752">
        <f>+'FA - Historical Financials'!V96</f>
        <v>7.1270000000000016</v>
      </c>
      <c r="W182" s="736">
        <f>+'FA - Historical Financials'!W96</f>
        <v>6.4559999999999995</v>
      </c>
      <c r="X182" s="736">
        <f>+'FA - Historical Financials'!X96</f>
        <v>7.4080000000000004</v>
      </c>
      <c r="Y182" s="736">
        <f>+'FA - Historical Financials'!Y96</f>
        <v>7.9059999999999997</v>
      </c>
      <c r="Z182" s="750"/>
      <c r="AA182" s="750"/>
      <c r="AB182" s="736">
        <v>19.844999999999999</v>
      </c>
      <c r="AC182" s="736">
        <f>SUM(G182:J182)</f>
        <v>20.418000000000003</v>
      </c>
      <c r="AD182" s="736">
        <f>SUM(K182:N182)</f>
        <v>25.45</v>
      </c>
      <c r="AE182" s="736">
        <f>SUM(O182:R182)</f>
        <v>29.896999999999998</v>
      </c>
      <c r="AF182" s="736">
        <f>SUM(S182:V182)</f>
        <v>27.802999999999997</v>
      </c>
    </row>
    <row r="183" spans="1:32" x14ac:dyDescent="0.25">
      <c r="A183" s="512" t="s">
        <v>175</v>
      </c>
      <c r="B183" s="470"/>
      <c r="C183" s="736"/>
      <c r="D183" s="736"/>
      <c r="E183" s="736"/>
      <c r="F183" s="736"/>
      <c r="G183" s="736">
        <v>5.7</v>
      </c>
      <c r="H183" s="736">
        <v>3.8459999999999992</v>
      </c>
      <c r="I183" s="736">
        <v>3.5390000000000015</v>
      </c>
      <c r="J183" s="752">
        <v>3.4170000000000016</v>
      </c>
      <c r="K183" s="736">
        <v>4.1849999999999996</v>
      </c>
      <c r="L183" s="736">
        <v>5.1101000000000001</v>
      </c>
      <c r="M183" s="736">
        <v>5.3109000000000002</v>
      </c>
      <c r="N183" s="752">
        <v>4.4880000000000013</v>
      </c>
      <c r="O183" s="736">
        <v>5.2370000000000001</v>
      </c>
      <c r="P183" s="736">
        <v>5.6449999999999996</v>
      </c>
      <c r="Q183" s="736">
        <f>2.619+11.987-P183-O183</f>
        <v>3.7240000000000002</v>
      </c>
      <c r="R183" s="752">
        <f>+AE183-SUM(O183:Q183)</f>
        <v>5.5810000000000013</v>
      </c>
      <c r="S183" s="736">
        <f>1.495+3.742</f>
        <v>5.2370000000000001</v>
      </c>
      <c r="T183" s="736">
        <v>3.963000000000001</v>
      </c>
      <c r="U183" s="736">
        <f>1.377+13.364-T183-S183</f>
        <v>5.5410000000000004</v>
      </c>
      <c r="V183" s="752">
        <f>+AF183-U183-T183-S183</f>
        <v>5.6209999999999969</v>
      </c>
      <c r="W183" s="736">
        <v>5.62</v>
      </c>
      <c r="X183" s="736">
        <f>10.355+0.993-W183</f>
        <v>5.7280000000000006</v>
      </c>
      <c r="Y183" s="736"/>
      <c r="Z183" s="750"/>
      <c r="AA183" s="750"/>
      <c r="AB183" s="736">
        <v>31.888199999999998</v>
      </c>
      <c r="AC183" s="736">
        <f t="shared" ref="AC183:AC184" si="194">SUM(G183:J183)</f>
        <v>16.502000000000002</v>
      </c>
      <c r="AD183" s="736">
        <f t="shared" ref="AD183:AD184" si="195">SUM(K183:N183)</f>
        <v>19.094000000000001</v>
      </c>
      <c r="AE183" s="736">
        <f>4.498+15.689</f>
        <v>20.187000000000001</v>
      </c>
      <c r="AF183" s="736">
        <f>2.56+17.802</f>
        <v>20.361999999999998</v>
      </c>
    </row>
    <row r="184" spans="1:32" ht="13" x14ac:dyDescent="0.4">
      <c r="A184" s="512" t="s">
        <v>606</v>
      </c>
      <c r="B184" s="470"/>
      <c r="C184" s="757"/>
      <c r="D184" s="757"/>
      <c r="E184" s="757"/>
      <c r="F184" s="757"/>
      <c r="G184" s="757">
        <v>3.2519999999999998</v>
      </c>
      <c r="H184" s="757">
        <v>4.5259999999999998</v>
      </c>
      <c r="I184" s="757">
        <v>1.4023999999999996</v>
      </c>
      <c r="J184" s="758">
        <v>2.93</v>
      </c>
      <c r="K184" s="757">
        <v>2.6749999999999998</v>
      </c>
      <c r="L184" s="757">
        <v>4.0830000000000002</v>
      </c>
      <c r="M184" s="757">
        <v>3.2250000000000001</v>
      </c>
      <c r="N184" s="758">
        <v>4.0540000000000003</v>
      </c>
      <c r="O184" s="757">
        <v>4.5289999999999999</v>
      </c>
      <c r="P184" s="757">
        <v>3.6509999999999998</v>
      </c>
      <c r="Q184" s="757">
        <v>4.9420000000000002</v>
      </c>
      <c r="R184" s="758">
        <v>3.8090000000000002</v>
      </c>
      <c r="S184" s="757">
        <v>3.6110000000000002</v>
      </c>
      <c r="T184" s="757">
        <f>2.102+5.261-S184</f>
        <v>3.7519999999999993</v>
      </c>
      <c r="U184" s="757">
        <f>2.049+8.829-T184-S184</f>
        <v>3.515000000000001</v>
      </c>
      <c r="V184" s="758">
        <f>0.6+2.4</f>
        <v>3</v>
      </c>
      <c r="W184" s="757">
        <f>2.6+2.9</f>
        <v>5.5</v>
      </c>
      <c r="X184" s="757"/>
      <c r="Y184" s="757"/>
      <c r="Z184" s="755"/>
      <c r="AA184" s="755"/>
      <c r="AB184" s="757">
        <v>14.374000000000001</v>
      </c>
      <c r="AC184" s="757">
        <f t="shared" si="194"/>
        <v>12.110399999999998</v>
      </c>
      <c r="AD184" s="757">
        <f t="shared" si="195"/>
        <v>14.037000000000001</v>
      </c>
      <c r="AE184" s="757">
        <f t="shared" ref="AE184:AE185" si="196">SUM(O184:R184)</f>
        <v>16.931000000000001</v>
      </c>
      <c r="AF184" s="757">
        <f>SUM(S184:V184)</f>
        <v>13.878</v>
      </c>
    </row>
    <row r="185" spans="1:32" s="761" customFormat="1" x14ac:dyDescent="0.25">
      <c r="A185" s="505" t="s">
        <v>624</v>
      </c>
      <c r="C185" s="762"/>
      <c r="D185" s="762"/>
      <c r="E185" s="762"/>
      <c r="F185" s="762"/>
      <c r="G185" s="762">
        <f>+SUM(G182:G184)</f>
        <v>14.16</v>
      </c>
      <c r="H185" s="762">
        <f t="shared" ref="H185:P185" si="197">+SUM(H182:H184)</f>
        <v>13.483999999999998</v>
      </c>
      <c r="I185" s="762">
        <f t="shared" si="197"/>
        <v>10.189400000000003</v>
      </c>
      <c r="J185" s="763">
        <f t="shared" si="197"/>
        <v>11.197000000000003</v>
      </c>
      <c r="K185" s="762">
        <f t="shared" si="197"/>
        <v>12.297999999999998</v>
      </c>
      <c r="L185" s="762">
        <f t="shared" si="197"/>
        <v>16.0031</v>
      </c>
      <c r="M185" s="762">
        <f t="shared" si="197"/>
        <v>15.2829</v>
      </c>
      <c r="N185" s="763">
        <f t="shared" si="197"/>
        <v>14.997000000000002</v>
      </c>
      <c r="O185" s="762">
        <f t="shared" si="197"/>
        <v>17.555999999999997</v>
      </c>
      <c r="P185" s="762">
        <f t="shared" si="197"/>
        <v>17.366</v>
      </c>
      <c r="Q185" s="762">
        <f t="shared" ref="Q185" si="198">SUM(Q182:Q184)</f>
        <v>15.831000000000001</v>
      </c>
      <c r="R185" s="763">
        <f t="shared" ref="R185:W185" si="199">SUM(R182:R184)</f>
        <v>16.262</v>
      </c>
      <c r="S185" s="762">
        <f t="shared" si="199"/>
        <v>14.983000000000001</v>
      </c>
      <c r="T185" s="762">
        <f t="shared" si="199"/>
        <v>14.776</v>
      </c>
      <c r="U185" s="762">
        <f t="shared" si="199"/>
        <v>16.536000000000001</v>
      </c>
      <c r="V185" s="763">
        <f t="shared" si="199"/>
        <v>15.747999999999998</v>
      </c>
      <c r="W185" s="762">
        <f t="shared" si="199"/>
        <v>17.576000000000001</v>
      </c>
      <c r="X185" s="762"/>
      <c r="Y185" s="762"/>
      <c r="Z185" s="762"/>
      <c r="AA185" s="762"/>
      <c r="AB185" s="762">
        <f t="shared" ref="AB185" si="200">+SUM(AB182:AB184)</f>
        <v>66.107199999999992</v>
      </c>
      <c r="AC185" s="762">
        <f t="shared" ref="AC185" si="201">+SUM(AC182:AC184)</f>
        <v>49.0304</v>
      </c>
      <c r="AD185" s="762">
        <f t="shared" ref="AD185" si="202">+SUM(AD182:AD184)</f>
        <v>58.580999999999996</v>
      </c>
      <c r="AE185" s="762">
        <f t="shared" si="196"/>
        <v>67.015000000000001</v>
      </c>
      <c r="AF185" s="762">
        <f>SUM(S185:V185)</f>
        <v>62.042999999999999</v>
      </c>
    </row>
    <row r="186" spans="1:32" ht="12" x14ac:dyDescent="0.3">
      <c r="A186" s="778"/>
      <c r="B186" s="470"/>
      <c r="C186" s="744"/>
      <c r="D186" s="689"/>
      <c r="E186" s="689"/>
      <c r="F186" s="689"/>
      <c r="G186" s="689"/>
      <c r="H186" s="689"/>
      <c r="I186" s="689"/>
      <c r="J186" s="779"/>
      <c r="K186" s="689"/>
      <c r="L186" s="689"/>
      <c r="M186" s="689"/>
      <c r="N186" s="779"/>
      <c r="O186" s="689"/>
      <c r="P186" s="780"/>
      <c r="Q186" s="780"/>
      <c r="R186" s="1092"/>
      <c r="S186" s="780"/>
      <c r="T186" s="799"/>
      <c r="U186" s="799"/>
      <c r="V186" s="913"/>
      <c r="W186" s="799"/>
      <c r="X186" s="799"/>
      <c r="Y186" s="799"/>
      <c r="Z186" s="744"/>
      <c r="AA186" s="744"/>
      <c r="AB186" s="689"/>
      <c r="AC186" s="689"/>
      <c r="AD186" s="689"/>
      <c r="AE186" s="799"/>
      <c r="AF186" s="799"/>
    </row>
    <row r="187" spans="1:32" ht="12" x14ac:dyDescent="0.3">
      <c r="A187" s="782" t="s">
        <v>622</v>
      </c>
      <c r="B187" s="470"/>
      <c r="C187" s="736"/>
      <c r="D187" s="736"/>
      <c r="E187" s="736"/>
      <c r="F187" s="736"/>
      <c r="G187" s="736"/>
      <c r="H187" s="736"/>
      <c r="I187" s="736"/>
      <c r="J187" s="752"/>
      <c r="K187" s="736"/>
      <c r="L187" s="736"/>
      <c r="M187" s="736"/>
      <c r="N187" s="752"/>
      <c r="O187" s="736"/>
      <c r="P187" s="736"/>
      <c r="Q187" s="736"/>
      <c r="R187" s="752"/>
      <c r="S187" s="736"/>
      <c r="T187" s="736"/>
      <c r="U187" s="736"/>
      <c r="V187" s="752"/>
      <c r="W187" s="736"/>
      <c r="X187" s="736"/>
      <c r="Y187" s="736"/>
      <c r="Z187" s="736"/>
      <c r="AA187" s="736"/>
      <c r="AB187" s="736"/>
      <c r="AC187" s="736"/>
      <c r="AD187" s="736"/>
      <c r="AE187" s="736"/>
      <c r="AF187" s="736"/>
    </row>
    <row r="188" spans="1:32" ht="12" x14ac:dyDescent="0.3">
      <c r="A188" s="778" t="str">
        <f>+A182</f>
        <v>FA</v>
      </c>
      <c r="B188" s="470"/>
      <c r="C188" s="689"/>
      <c r="D188" s="689"/>
      <c r="E188" s="689"/>
      <c r="F188" s="689"/>
      <c r="G188" s="689">
        <f t="shared" ref="G188:W188" si="203">+G182/G31</f>
        <v>4.6987071337706042E-2</v>
      </c>
      <c r="H188" s="689">
        <f t="shared" si="203"/>
        <v>4.8688960216395384E-2</v>
      </c>
      <c r="I188" s="689">
        <f t="shared" si="203"/>
        <v>3.8368743511383412E-2</v>
      </c>
      <c r="J188" s="779">
        <f t="shared" si="203"/>
        <v>3.0981704824202799E-2</v>
      </c>
      <c r="K188" s="689">
        <f t="shared" si="203"/>
        <v>4.117513439842508E-2</v>
      </c>
      <c r="L188" s="689">
        <f t="shared" si="203"/>
        <v>3.8953016141763809E-2</v>
      </c>
      <c r="M188" s="689">
        <f t="shared" si="203"/>
        <v>3.498265644200408E-2</v>
      </c>
      <c r="N188" s="779">
        <f t="shared" si="203"/>
        <v>3.0371896937872858E-2</v>
      </c>
      <c r="O188" s="689">
        <f t="shared" si="203"/>
        <v>4.1025695040578042E-2</v>
      </c>
      <c r="P188" s="689">
        <f t="shared" si="203"/>
        <v>4.0037507255867952E-2</v>
      </c>
      <c r="Q188" s="689">
        <f t="shared" si="203"/>
        <v>3.4783917353606565E-2</v>
      </c>
      <c r="R188" s="779">
        <f t="shared" si="203"/>
        <v>3.2324372633410946E-2</v>
      </c>
      <c r="S188" s="689">
        <f t="shared" si="203"/>
        <v>3.4953281677301731E-2</v>
      </c>
      <c r="T188" s="799">
        <f t="shared" si="203"/>
        <v>3.8102690014299972E-2</v>
      </c>
      <c r="U188" s="799">
        <f t="shared" si="203"/>
        <v>3.7332055658701159E-2</v>
      </c>
      <c r="V188" s="913">
        <f t="shared" si="203"/>
        <v>3.518428925464797E-2</v>
      </c>
      <c r="W188" s="799">
        <f t="shared" si="203"/>
        <v>3.8107380648817107E-2</v>
      </c>
      <c r="X188" s="799">
        <f t="shared" ref="X188:Y188" si="204">+X182/X31</f>
        <v>4.0141753275606089E-2</v>
      </c>
      <c r="Y188" s="799">
        <f t="shared" si="204"/>
        <v>3.9704900084873866E-2</v>
      </c>
      <c r="Z188" s="736"/>
      <c r="AA188" s="736"/>
      <c r="AB188" s="689">
        <f>+AB182/AB31</f>
        <v>4.1192111539395601E-2</v>
      </c>
      <c r="AC188" s="689">
        <f>+AC182/AC31</f>
        <v>4.0101815953522912E-2</v>
      </c>
      <c r="AD188" s="689">
        <f>+AD182/AD31</f>
        <v>3.5729578334819136E-2</v>
      </c>
      <c r="AE188" s="799">
        <f>+AE182/AE31</f>
        <v>3.6908828514745876E-2</v>
      </c>
      <c r="AF188" s="799">
        <f>+AF182/AF31</f>
        <v>3.6402749027509909E-2</v>
      </c>
    </row>
    <row r="189" spans="1:32" ht="12" x14ac:dyDescent="0.3">
      <c r="A189" s="778" t="str">
        <f t="shared" ref="A189:A191" si="205">+A183</f>
        <v>STER</v>
      </c>
      <c r="B189" s="470"/>
      <c r="C189" s="689"/>
      <c r="D189" s="689"/>
      <c r="E189" s="689"/>
      <c r="F189" s="689"/>
      <c r="G189" s="689">
        <f t="shared" ref="G189:T189" si="206">+G183/G32</f>
        <v>4.7748291113791717E-2</v>
      </c>
      <c r="H189" s="689">
        <f t="shared" si="206"/>
        <v>4.3422790755439131E-2</v>
      </c>
      <c r="I189" s="689">
        <f t="shared" si="206"/>
        <v>3.0092948862394709E-2</v>
      </c>
      <c r="J189" s="779">
        <f t="shared" si="206"/>
        <v>2.6590756813249166E-2</v>
      </c>
      <c r="K189" s="689">
        <f t="shared" si="206"/>
        <v>3.0027983066657098E-2</v>
      </c>
      <c r="L189" s="689">
        <f t="shared" si="206"/>
        <v>3.2072830889736892E-2</v>
      </c>
      <c r="M189" s="689">
        <f t="shared" si="206"/>
        <v>3.132221023018808E-2</v>
      </c>
      <c r="N189" s="779">
        <f t="shared" si="206"/>
        <v>2.5848216599761571E-2</v>
      </c>
      <c r="O189" s="689">
        <f t="shared" si="206"/>
        <v>2.7280020002917092E-2</v>
      </c>
      <c r="P189" s="689">
        <f t="shared" si="206"/>
        <v>2.7457427611130833E-2</v>
      </c>
      <c r="Q189" s="689">
        <f t="shared" si="206"/>
        <v>1.8685492651744365E-2</v>
      </c>
      <c r="R189" s="779">
        <f t="shared" si="206"/>
        <v>3.2844868173258011E-2</v>
      </c>
      <c r="S189" s="689">
        <f t="shared" si="206"/>
        <v>2.9212267255709138E-2</v>
      </c>
      <c r="T189" s="799">
        <f t="shared" si="206"/>
        <v>2.0815824859231873E-2</v>
      </c>
      <c r="U189" s="799">
        <f t="shared" ref="U189:W189" si="207">+U183/U32</f>
        <v>3.0686840268932137E-2</v>
      </c>
      <c r="V189" s="913">
        <f t="shared" si="207"/>
        <v>3.3178684421778334E-2</v>
      </c>
      <c r="W189" s="799">
        <f t="shared" si="207"/>
        <v>3.0215216210839845E-2</v>
      </c>
      <c r="X189" s="799">
        <f t="shared" ref="X189" si="208">+X183/X32</f>
        <v>2.8564589483762871E-2</v>
      </c>
      <c r="Y189" s="799"/>
      <c r="Z189" s="736"/>
      <c r="AA189" s="736"/>
      <c r="AB189" s="689">
        <f t="shared" ref="AB189:AE191" si="209">+AB183/AB32</f>
        <v>6.4146448029391956E-2</v>
      </c>
      <c r="AC189" s="689">
        <f t="shared" si="209"/>
        <v>3.6343806862905316E-2</v>
      </c>
      <c r="AD189" s="689">
        <f t="shared" si="209"/>
        <v>2.9746807834437377E-2</v>
      </c>
      <c r="AE189" s="799">
        <f t="shared" si="209"/>
        <v>2.632690908237283E-2</v>
      </c>
      <c r="AF189" s="799">
        <f t="shared" ref="AF189" si="210">+AF183/AF32</f>
        <v>2.829470290700906E-2</v>
      </c>
    </row>
    <row r="190" spans="1:32" ht="12" x14ac:dyDescent="0.3">
      <c r="A190" s="778" t="str">
        <f t="shared" si="205"/>
        <v>HRT</v>
      </c>
      <c r="B190" s="470"/>
      <c r="C190" s="786"/>
      <c r="D190" s="786"/>
      <c r="E190" s="786"/>
      <c r="F190" s="786"/>
      <c r="G190" s="786">
        <f t="shared" ref="G190:T190" si="211">+G184/G33</f>
        <v>2.1008864810668264E-2</v>
      </c>
      <c r="H190" s="786">
        <f t="shared" si="211"/>
        <v>4.3246734756863719E-2</v>
      </c>
      <c r="I190" s="786">
        <f t="shared" si="211"/>
        <v>1.0732100029539293E-2</v>
      </c>
      <c r="J190" s="787">
        <f t="shared" si="211"/>
        <v>1.9519955657056366E-2</v>
      </c>
      <c r="K190" s="786">
        <f t="shared" si="211"/>
        <v>1.7886121239150479E-2</v>
      </c>
      <c r="L190" s="786">
        <f t="shared" si="211"/>
        <v>2.306989505825106E-2</v>
      </c>
      <c r="M190" s="786">
        <f t="shared" si="211"/>
        <v>1.5733165512901198E-2</v>
      </c>
      <c r="N190" s="787">
        <f t="shared" si="211"/>
        <v>2.0419676226742022E-2</v>
      </c>
      <c r="O190" s="786">
        <f t="shared" si="211"/>
        <v>2.2791893755252601E-2</v>
      </c>
      <c r="P190" s="786">
        <f t="shared" si="211"/>
        <v>1.6424342756374496E-2</v>
      </c>
      <c r="Q190" s="786">
        <f t="shared" si="211"/>
        <v>2.3499427017208505E-2</v>
      </c>
      <c r="R190" s="1097">
        <f t="shared" si="211"/>
        <v>2.1720783293986155E-2</v>
      </c>
      <c r="S190" s="800">
        <f t="shared" si="211"/>
        <v>2.0581714135892892E-2</v>
      </c>
      <c r="T190" s="800">
        <f t="shared" si="211"/>
        <v>1.9529054152526492E-2</v>
      </c>
      <c r="U190" s="800">
        <f t="shared" ref="U190:V190" si="212">+U184/U33</f>
        <v>1.8670788581869952E-2</v>
      </c>
      <c r="V190" s="1097">
        <f t="shared" si="212"/>
        <v>1.8064997862308599E-2</v>
      </c>
      <c r="W190" s="800">
        <f t="shared" ref="W190" si="213">+W184/W33</f>
        <v>3.1755196304849888E-2</v>
      </c>
      <c r="X190" s="800"/>
      <c r="Y190" s="800"/>
      <c r="Z190" s="736"/>
      <c r="AA190" s="736"/>
      <c r="AB190" s="786">
        <f t="shared" si="209"/>
        <v>2.2197383445205634E-2</v>
      </c>
      <c r="AC190" s="786">
        <f t="shared" si="209"/>
        <v>2.2417396658011603E-2</v>
      </c>
      <c r="AD190" s="786">
        <f t="shared" si="209"/>
        <v>1.9227286885584973E-2</v>
      </c>
      <c r="AE190" s="800">
        <f t="shared" si="209"/>
        <v>2.0988808282961516E-2</v>
      </c>
      <c r="AF190" s="800">
        <f t="shared" ref="AF190" si="214">+AF184/AF33</f>
        <v>1.9224269289375262E-2</v>
      </c>
    </row>
    <row r="191" spans="1:32" s="470" customFormat="1" x14ac:dyDescent="0.25">
      <c r="A191" s="766" t="str">
        <f t="shared" si="205"/>
        <v>Total Capex</v>
      </c>
      <c r="C191" s="769"/>
      <c r="D191" s="769"/>
      <c r="E191" s="769"/>
      <c r="F191" s="769"/>
      <c r="G191" s="769">
        <f t="shared" ref="G191:T191" si="215">+G185/G34</f>
        <v>3.6778571183677798E-2</v>
      </c>
      <c r="H191" s="769">
        <f t="shared" si="215"/>
        <v>4.5215048120628008E-2</v>
      </c>
      <c r="I191" s="769">
        <f t="shared" si="215"/>
        <v>2.6462283052987166E-2</v>
      </c>
      <c r="J191" s="770">
        <f t="shared" si="215"/>
        <v>2.5731351090118107E-2</v>
      </c>
      <c r="K191" s="769">
        <f t="shared" si="215"/>
        <v>2.9211588767908959E-2</v>
      </c>
      <c r="L191" s="769">
        <f t="shared" si="215"/>
        <v>3.130877205544727E-2</v>
      </c>
      <c r="M191" s="769">
        <f t="shared" si="215"/>
        <v>2.693472916170989E-2</v>
      </c>
      <c r="N191" s="770">
        <f t="shared" si="215"/>
        <v>2.564927013229119E-2</v>
      </c>
      <c r="O191" s="769">
        <f t="shared" si="215"/>
        <v>3.0239560151852328E-2</v>
      </c>
      <c r="P191" s="769">
        <f t="shared" si="215"/>
        <v>2.7589428130222859E-2</v>
      </c>
      <c r="Q191" s="769">
        <f t="shared" si="215"/>
        <v>2.5716875572623251E-2</v>
      </c>
      <c r="R191" s="774">
        <f t="shared" si="215"/>
        <v>2.9149794668000297E-2</v>
      </c>
      <c r="S191" s="773">
        <f t="shared" si="215"/>
        <v>2.8256962400116176E-2</v>
      </c>
      <c r="T191" s="773">
        <f t="shared" si="215"/>
        <v>2.6022193535661643E-2</v>
      </c>
      <c r="U191" s="773">
        <f t="shared" ref="U191:V191" si="216">+U185/U34</f>
        <v>2.9051708386625252E-2</v>
      </c>
      <c r="V191" s="774">
        <f t="shared" si="216"/>
        <v>2.9268927320205564E-2</v>
      </c>
      <c r="W191" s="773">
        <f t="shared" ref="W191" si="217">+W185/W34</f>
        <v>3.3249151083491767E-2</v>
      </c>
      <c r="X191" s="773"/>
      <c r="Y191" s="773"/>
      <c r="Z191" s="767"/>
      <c r="AA191" s="767"/>
      <c r="AB191" s="769">
        <f t="shared" si="209"/>
        <v>4.0645425791011561E-2</v>
      </c>
      <c r="AC191" s="769">
        <f t="shared" si="209"/>
        <v>3.2612361906597706E-2</v>
      </c>
      <c r="AD191" s="769">
        <f t="shared" si="209"/>
        <v>2.8106712716491879E-2</v>
      </c>
      <c r="AE191" s="773">
        <f t="shared" si="209"/>
        <v>2.8116534149956806E-2</v>
      </c>
      <c r="AF191" s="773">
        <f t="shared" ref="AF191" si="218">+AF185/AF34</f>
        <v>2.8133574509783474E-2</v>
      </c>
    </row>
    <row r="192" spans="1:32" x14ac:dyDescent="0.25">
      <c r="J192" s="1090"/>
      <c r="N192" s="1090"/>
      <c r="R192" s="1090"/>
      <c r="V192" s="1410"/>
      <c r="AE192" s="794"/>
      <c r="AF192" s="794"/>
    </row>
    <row r="193" spans="1:32" ht="11.25" customHeight="1" collapsed="1" x14ac:dyDescent="0.25">
      <c r="A193" s="748" t="s">
        <v>138</v>
      </c>
      <c r="C193" s="744"/>
      <c r="D193" s="744"/>
      <c r="E193" s="744"/>
      <c r="F193" s="744"/>
      <c r="G193" s="744"/>
      <c r="H193" s="744"/>
      <c r="I193" s="744"/>
      <c r="J193" s="745"/>
      <c r="K193" s="744"/>
      <c r="L193" s="744"/>
      <c r="M193" s="744"/>
      <c r="N193" s="745"/>
      <c r="O193" s="744"/>
      <c r="P193" s="744"/>
      <c r="Q193" s="744"/>
      <c r="R193" s="745"/>
      <c r="S193" s="744"/>
      <c r="T193" s="736"/>
      <c r="U193" s="736"/>
      <c r="V193" s="752"/>
      <c r="W193" s="736"/>
      <c r="X193" s="736"/>
      <c r="Y193" s="736"/>
      <c r="Z193" s="736"/>
      <c r="AA193" s="736"/>
      <c r="AB193" s="744"/>
      <c r="AC193" s="744"/>
      <c r="AD193" s="744"/>
      <c r="AE193" s="736"/>
      <c r="AF193" s="736"/>
    </row>
    <row r="194" spans="1:32" x14ac:dyDescent="0.25">
      <c r="A194" s="512" t="s">
        <v>174</v>
      </c>
      <c r="B194" s="470"/>
      <c r="C194" s="736"/>
      <c r="D194" s="736"/>
      <c r="E194" s="736"/>
      <c r="F194" s="736"/>
      <c r="G194" s="736">
        <f t="shared" ref="G194:W194" si="219">+G164-G182</f>
        <v>17.746000000000002</v>
      </c>
      <c r="H194" s="736">
        <f t="shared" si="219"/>
        <v>26.023000000000003</v>
      </c>
      <c r="I194" s="736">
        <f t="shared" si="219"/>
        <v>37.509000000000007</v>
      </c>
      <c r="J194" s="752">
        <f t="shared" si="219"/>
        <v>39.249999999999993</v>
      </c>
      <c r="K194" s="736">
        <f t="shared" si="219"/>
        <v>30.590000000000007</v>
      </c>
      <c r="L194" s="736">
        <f t="shared" si="219"/>
        <v>46.847999999999999</v>
      </c>
      <c r="M194" s="736">
        <f t="shared" si="219"/>
        <v>55.853999999999999</v>
      </c>
      <c r="N194" s="752">
        <f t="shared" si="219"/>
        <v>58.022000000000006</v>
      </c>
      <c r="O194" s="736">
        <f t="shared" si="219"/>
        <v>43.950999999999993</v>
      </c>
      <c r="P194" s="736">
        <f t="shared" si="219"/>
        <v>50.820999999999998</v>
      </c>
      <c r="Q194" s="736">
        <f t="shared" si="219"/>
        <v>55.001000000000005</v>
      </c>
      <c r="R194" s="752">
        <f t="shared" si="219"/>
        <v>61.384</v>
      </c>
      <c r="S194" s="736">
        <f t="shared" si="219"/>
        <v>40.366999999999997</v>
      </c>
      <c r="T194" s="736">
        <f t="shared" si="219"/>
        <v>45.308999999999997</v>
      </c>
      <c r="U194" s="736">
        <f t="shared" si="219"/>
        <v>52.521000000000001</v>
      </c>
      <c r="V194" s="752">
        <f t="shared" si="219"/>
        <v>56.29099999999999</v>
      </c>
      <c r="W194" s="736">
        <f t="shared" si="219"/>
        <v>35.350999999999999</v>
      </c>
      <c r="X194" s="736">
        <f t="shared" ref="X194:Y194" si="220">+X164-X182</f>
        <v>43.305</v>
      </c>
      <c r="Y194" s="736">
        <f t="shared" si="220"/>
        <v>51.140000000000008</v>
      </c>
      <c r="Z194" s="750"/>
      <c r="AA194" s="750"/>
      <c r="AB194" s="736">
        <f t="shared" ref="AB194:AF197" si="221">+AB164-AB182</f>
        <v>102.712</v>
      </c>
      <c r="AC194" s="736">
        <f t="shared" si="221"/>
        <v>120.52799999999999</v>
      </c>
      <c r="AD194" s="736">
        <f t="shared" si="221"/>
        <v>191.31399999999999</v>
      </c>
      <c r="AE194" s="736">
        <f t="shared" si="221"/>
        <v>211.15700000000004</v>
      </c>
      <c r="AF194" s="736">
        <f>SUM(S194:V194)</f>
        <v>194.488</v>
      </c>
    </row>
    <row r="195" spans="1:32" x14ac:dyDescent="0.25">
      <c r="A195" s="512" t="s">
        <v>175</v>
      </c>
      <c r="B195" s="470"/>
      <c r="C195" s="736"/>
      <c r="D195" s="736"/>
      <c r="E195" s="736"/>
      <c r="F195" s="736"/>
      <c r="G195" s="736">
        <f t="shared" ref="G195:T195" si="222">+G165-G183</f>
        <v>21.345200000000002</v>
      </c>
      <c r="H195" s="736">
        <f t="shared" si="222"/>
        <v>9.4513999999999996</v>
      </c>
      <c r="I195" s="736">
        <f t="shared" si="222"/>
        <v>26.29379999999999</v>
      </c>
      <c r="J195" s="752">
        <f t="shared" si="222"/>
        <v>22.776000000000007</v>
      </c>
      <c r="K195" s="736">
        <f t="shared" si="222"/>
        <v>31.719899999999999</v>
      </c>
      <c r="L195" s="736">
        <f t="shared" si="222"/>
        <v>41.166899999999998</v>
      </c>
      <c r="M195" s="736">
        <f t="shared" si="222"/>
        <v>40.880600000000001</v>
      </c>
      <c r="N195" s="752">
        <f t="shared" si="222"/>
        <v>34.216999999999999</v>
      </c>
      <c r="O195" s="736">
        <f t="shared" si="222"/>
        <v>37.291000000000004</v>
      </c>
      <c r="P195" s="736">
        <f t="shared" si="222"/>
        <v>44.804000000000002</v>
      </c>
      <c r="Q195" s="736">
        <f t="shared" si="222"/>
        <v>43.081000000000003</v>
      </c>
      <c r="R195" s="752">
        <f t="shared" si="222"/>
        <v>29.334999999999994</v>
      </c>
      <c r="S195" s="736">
        <f t="shared" si="222"/>
        <v>35.21</v>
      </c>
      <c r="T195" s="736">
        <f t="shared" si="222"/>
        <v>36.675999999999995</v>
      </c>
      <c r="U195" s="736">
        <f t="shared" ref="U195:W195" si="223">+U165-U183</f>
        <v>32.231999999999999</v>
      </c>
      <c r="V195" s="752">
        <f t="shared" si="223"/>
        <v>25.894000000000005</v>
      </c>
      <c r="W195" s="736">
        <f t="shared" si="223"/>
        <v>23.547999999999998</v>
      </c>
      <c r="X195" s="736">
        <f t="shared" ref="X195" si="224">+X165-X183</f>
        <v>28.853000000000002</v>
      </c>
      <c r="Y195" s="736"/>
      <c r="Z195" s="750"/>
      <c r="AA195" s="750"/>
      <c r="AB195" s="736">
        <f t="shared" si="221"/>
        <v>85.592899999999986</v>
      </c>
      <c r="AC195" s="736">
        <f t="shared" si="221"/>
        <v>79.866399999999999</v>
      </c>
      <c r="AD195" s="736">
        <f t="shared" si="221"/>
        <v>147.98440000000002</v>
      </c>
      <c r="AE195" s="736">
        <f t="shared" si="221"/>
        <v>154.511</v>
      </c>
      <c r="AF195" s="736">
        <f t="shared" si="221"/>
        <v>130.012</v>
      </c>
    </row>
    <row r="196" spans="1:32" ht="13" x14ac:dyDescent="0.4">
      <c r="A196" s="512" t="s">
        <v>606</v>
      </c>
      <c r="B196" s="470"/>
      <c r="C196" s="757"/>
      <c r="D196" s="757"/>
      <c r="E196" s="757"/>
      <c r="F196" s="757"/>
      <c r="G196" s="757">
        <f t="shared" ref="G196:R196" si="225">+G166-G184</f>
        <v>28.438199999999988</v>
      </c>
      <c r="H196" s="757">
        <f t="shared" si="225"/>
        <v>6.9132000000000087</v>
      </c>
      <c r="I196" s="757">
        <f t="shared" si="225"/>
        <v>25.792899999999992</v>
      </c>
      <c r="J196" s="758">
        <f t="shared" si="225"/>
        <v>16.453899999999987</v>
      </c>
      <c r="K196" s="757">
        <f t="shared" si="225"/>
        <v>23.359499999999997</v>
      </c>
      <c r="L196" s="757">
        <f t="shared" si="225"/>
        <v>33.513899999999992</v>
      </c>
      <c r="M196" s="757">
        <f t="shared" si="225"/>
        <v>47.555999999999997</v>
      </c>
      <c r="N196" s="758">
        <f t="shared" si="225"/>
        <v>36.662999999999997</v>
      </c>
      <c r="O196" s="757">
        <f t="shared" si="225"/>
        <v>34.403000000000006</v>
      </c>
      <c r="P196" s="757">
        <f t="shared" si="225"/>
        <v>45.512999999999991</v>
      </c>
      <c r="Q196" s="757">
        <f t="shared" si="225"/>
        <v>47.747999999999998</v>
      </c>
      <c r="R196" s="758">
        <f t="shared" si="225"/>
        <v>32.241</v>
      </c>
      <c r="S196" s="757">
        <f t="shared" ref="S196:T196" si="226">+S166-S184</f>
        <v>25.601999999999997</v>
      </c>
      <c r="T196" s="757">
        <f t="shared" si="226"/>
        <v>43.701999999999998</v>
      </c>
      <c r="U196" s="757">
        <f t="shared" ref="U196:V196" si="227">+U166-U184</f>
        <v>43.777999999999999</v>
      </c>
      <c r="V196" s="758">
        <f t="shared" si="227"/>
        <v>34.660000000000011</v>
      </c>
      <c r="W196" s="757">
        <f t="shared" ref="W196" si="228">+W166-W184</f>
        <v>31.211999999999996</v>
      </c>
      <c r="X196" s="757"/>
      <c r="Y196" s="757"/>
      <c r="Z196" s="755"/>
      <c r="AA196" s="755"/>
      <c r="AB196" s="757">
        <f t="shared" si="221"/>
        <v>128.35629999999998</v>
      </c>
      <c r="AC196" s="757">
        <f t="shared" si="221"/>
        <v>77.598199999999977</v>
      </c>
      <c r="AD196" s="757">
        <f t="shared" si="221"/>
        <v>141.0924</v>
      </c>
      <c r="AE196" s="757">
        <f t="shared" si="221"/>
        <v>159.905</v>
      </c>
      <c r="AF196" s="757">
        <f>SUM(S196:V196)</f>
        <v>147.74200000000002</v>
      </c>
    </row>
    <row r="197" spans="1:32" s="761" customFormat="1" x14ac:dyDescent="0.25">
      <c r="A197" s="505" t="s">
        <v>623</v>
      </c>
      <c r="C197" s="762"/>
      <c r="D197" s="762"/>
      <c r="E197" s="762"/>
      <c r="F197" s="762"/>
      <c r="G197" s="762">
        <f t="shared" ref="G197:R197" si="229">+G167-G185</f>
        <v>67.529399999999981</v>
      </c>
      <c r="H197" s="762">
        <f t="shared" si="229"/>
        <v>42.387600000000006</v>
      </c>
      <c r="I197" s="762">
        <f t="shared" si="229"/>
        <v>89.595699999999979</v>
      </c>
      <c r="J197" s="763">
        <f t="shared" si="229"/>
        <v>78.479899999999986</v>
      </c>
      <c r="K197" s="762">
        <f t="shared" si="229"/>
        <v>85.669399999999996</v>
      </c>
      <c r="L197" s="762">
        <f t="shared" si="229"/>
        <v>121.52879999999998</v>
      </c>
      <c r="M197" s="762">
        <f t="shared" si="229"/>
        <v>144.29059999999998</v>
      </c>
      <c r="N197" s="763">
        <f t="shared" si="229"/>
        <v>128.90199999999999</v>
      </c>
      <c r="O197" s="762">
        <f t="shared" si="229"/>
        <v>115.645</v>
      </c>
      <c r="P197" s="762">
        <f t="shared" si="229"/>
        <v>141.13799999999998</v>
      </c>
      <c r="Q197" s="762">
        <f t="shared" si="229"/>
        <v>145.83000000000001</v>
      </c>
      <c r="R197" s="763">
        <f t="shared" si="229"/>
        <v>122.95999999999998</v>
      </c>
      <c r="S197" s="762">
        <f t="shared" ref="S197:T197" si="230">+S167-S185</f>
        <v>101.17899999999999</v>
      </c>
      <c r="T197" s="762">
        <f t="shared" si="230"/>
        <v>125.687</v>
      </c>
      <c r="U197" s="762">
        <f t="shared" ref="U197:V197" si="231">+U167-U185</f>
        <v>128.53100000000001</v>
      </c>
      <c r="V197" s="763">
        <f t="shared" si="231"/>
        <v>116.845</v>
      </c>
      <c r="W197" s="762">
        <f t="shared" ref="W197" si="232">+W167-W185</f>
        <v>90.11099999999999</v>
      </c>
      <c r="X197" s="762"/>
      <c r="Y197" s="762"/>
      <c r="Z197" s="762"/>
      <c r="AA197" s="762"/>
      <c r="AB197" s="762">
        <f t="shared" si="221"/>
        <v>316.66120000000001</v>
      </c>
      <c r="AC197" s="762">
        <f t="shared" si="221"/>
        <v>277.99259999999998</v>
      </c>
      <c r="AD197" s="762">
        <f t="shared" si="221"/>
        <v>480.39080000000001</v>
      </c>
      <c r="AE197" s="762">
        <f t="shared" si="221"/>
        <v>525.57299999999998</v>
      </c>
      <c r="AF197" s="762">
        <f t="shared" si="221"/>
        <v>472.24199999999996</v>
      </c>
    </row>
    <row r="198" spans="1:32" ht="12" x14ac:dyDescent="0.3">
      <c r="A198" s="778"/>
      <c r="B198" s="470"/>
      <c r="C198" s="744"/>
      <c r="D198" s="689"/>
      <c r="E198" s="689"/>
      <c r="F198" s="689"/>
      <c r="G198" s="689"/>
      <c r="H198" s="689"/>
      <c r="I198" s="689"/>
      <c r="J198" s="779"/>
      <c r="K198" s="689"/>
      <c r="L198" s="689"/>
      <c r="M198" s="689"/>
      <c r="N198" s="779"/>
      <c r="O198" s="689"/>
      <c r="P198" s="780"/>
      <c r="Q198" s="780"/>
      <c r="R198" s="1092"/>
      <c r="S198" s="780"/>
      <c r="T198" s="799"/>
      <c r="U198" s="799"/>
      <c r="V198" s="913"/>
      <c r="W198" s="799"/>
      <c r="X198" s="799"/>
      <c r="Y198" s="799"/>
      <c r="Z198" s="744"/>
      <c r="AA198" s="744"/>
      <c r="AB198" s="689"/>
      <c r="AC198" s="689"/>
      <c r="AD198" s="689"/>
      <c r="AE198" s="799"/>
      <c r="AF198" s="799"/>
    </row>
    <row r="199" spans="1:32" ht="12" x14ac:dyDescent="0.3">
      <c r="A199" s="782" t="s">
        <v>29</v>
      </c>
      <c r="B199" s="470"/>
      <c r="C199" s="736"/>
      <c r="D199" s="736"/>
      <c r="E199" s="736"/>
      <c r="F199" s="736"/>
      <c r="G199" s="736"/>
      <c r="H199" s="736"/>
      <c r="I199" s="736"/>
      <c r="J199" s="752"/>
      <c r="K199" s="736"/>
      <c r="L199" s="736"/>
      <c r="M199" s="736"/>
      <c r="N199" s="752"/>
      <c r="O199" s="736"/>
      <c r="P199" s="736"/>
      <c r="Q199" s="736"/>
      <c r="R199" s="752"/>
      <c r="S199" s="736"/>
      <c r="T199" s="736"/>
      <c r="U199" s="736"/>
      <c r="V199" s="752"/>
      <c r="W199" s="736"/>
      <c r="X199" s="736"/>
      <c r="Y199" s="736"/>
      <c r="Z199" s="736"/>
      <c r="AA199" s="736"/>
      <c r="AB199" s="736"/>
      <c r="AC199" s="736"/>
      <c r="AD199" s="736"/>
      <c r="AE199" s="736"/>
      <c r="AF199" s="736"/>
    </row>
    <row r="200" spans="1:32" ht="12" x14ac:dyDescent="0.3">
      <c r="A200" s="778" t="str">
        <f>+A194</f>
        <v>FA</v>
      </c>
      <c r="B200" s="470"/>
      <c r="C200" s="736"/>
      <c r="D200" s="736"/>
      <c r="E200" s="736"/>
      <c r="F200" s="736"/>
      <c r="G200" s="689"/>
      <c r="H200" s="689"/>
      <c r="I200" s="689"/>
      <c r="J200" s="779"/>
      <c r="K200" s="689">
        <f t="shared" ref="K200:K203" si="233">+K194/G194-1</f>
        <v>0.72376873661670249</v>
      </c>
      <c r="L200" s="689">
        <f t="shared" ref="L200:L203" si="234">+L194/H194-1</f>
        <v>0.80025362179610315</v>
      </c>
      <c r="M200" s="689">
        <f t="shared" ref="M200:M203" si="235">+M194/I194-1</f>
        <v>0.48908262017115867</v>
      </c>
      <c r="N200" s="779">
        <f t="shared" ref="N200:N203" si="236">+N194/J194-1</f>
        <v>0.4782675159235672</v>
      </c>
      <c r="O200" s="689">
        <f t="shared" ref="O200:O203" si="237">+O194/K194-1</f>
        <v>0.43677672441974447</v>
      </c>
      <c r="P200" s="689">
        <f t="shared" ref="P200:P203" si="238">+P194/L194-1</f>
        <v>8.4806181693989124E-2</v>
      </c>
      <c r="Q200" s="689">
        <f t="shared" ref="Q200:Q203" si="239">+Q194/M194-1</f>
        <v>-1.5271959036058158E-2</v>
      </c>
      <c r="R200" s="779">
        <f t="shared" ref="R200:R203" si="240">+R194/N194-1</f>
        <v>5.7943538657750482E-2</v>
      </c>
      <c r="S200" s="689">
        <f t="shared" ref="S200:S203" si="241">+S194/O194-1</f>
        <v>-8.1545357329753543E-2</v>
      </c>
      <c r="T200" s="799">
        <f t="shared" ref="T200:T202" si="242">+T194/P194-1</f>
        <v>-0.10845910155250782</v>
      </c>
      <c r="U200" s="799">
        <f t="shared" ref="U200:U203" si="243">+U194/Q194-1</f>
        <v>-4.509008927110425E-2</v>
      </c>
      <c r="V200" s="913">
        <f t="shared" ref="V200:W203" si="244">+V194/R194-1</f>
        <v>-8.2969503453668936E-2</v>
      </c>
      <c r="W200" s="799">
        <f t="shared" si="244"/>
        <v>-0.12425991527733049</v>
      </c>
      <c r="X200" s="799">
        <f t="shared" ref="X200:Y201" si="245">+X194/T194-1</f>
        <v>-4.4229623253658201E-2</v>
      </c>
      <c r="Y200" s="799">
        <f t="shared" si="245"/>
        <v>-2.6294244207078932E-2</v>
      </c>
      <c r="Z200" s="736"/>
      <c r="AA200" s="736"/>
      <c r="AB200" s="689"/>
      <c r="AC200" s="689">
        <f t="shared" ref="AC200:AC203" si="246">+AC194/AB194-1</f>
        <v>0.17345587662590534</v>
      </c>
      <c r="AD200" s="689">
        <f t="shared" ref="AD200:AD203" si="247">+AD194/AC194-1</f>
        <v>0.58729921677950347</v>
      </c>
      <c r="AE200" s="799">
        <f t="shared" ref="AE200:AE203" si="248">+AE194/AD194-1</f>
        <v>0.10371953960504743</v>
      </c>
      <c r="AF200" s="799">
        <f t="shared" ref="AF200:AF203" si="249">+AF194/AE194-1</f>
        <v>-7.8941261715216759E-2</v>
      </c>
    </row>
    <row r="201" spans="1:32" ht="12" x14ac:dyDescent="0.3">
      <c r="A201" s="778" t="str">
        <f>+A195</f>
        <v>STER</v>
      </c>
      <c r="B201" s="470"/>
      <c r="C201" s="736"/>
      <c r="D201" s="736"/>
      <c r="E201" s="736"/>
      <c r="F201" s="736"/>
      <c r="G201" s="689"/>
      <c r="H201" s="689"/>
      <c r="I201" s="689"/>
      <c r="J201" s="779"/>
      <c r="K201" s="689">
        <f t="shared" si="233"/>
        <v>0.48604370069149017</v>
      </c>
      <c r="L201" s="689">
        <f t="shared" si="234"/>
        <v>3.3556404342213852</v>
      </c>
      <c r="M201" s="689">
        <f t="shared" si="235"/>
        <v>0.55476195909301884</v>
      </c>
      <c r="N201" s="779">
        <f t="shared" si="236"/>
        <v>0.50232701088865417</v>
      </c>
      <c r="O201" s="689">
        <f t="shared" si="237"/>
        <v>0.17563422331091849</v>
      </c>
      <c r="P201" s="689">
        <f t="shared" si="238"/>
        <v>8.8350106517614879E-2</v>
      </c>
      <c r="Q201" s="689">
        <f t="shared" si="239"/>
        <v>5.3825041706824228E-2</v>
      </c>
      <c r="R201" s="779">
        <f t="shared" si="240"/>
        <v>-0.14267761638951415</v>
      </c>
      <c r="S201" s="689">
        <f t="shared" si="241"/>
        <v>-5.5804349574964496E-2</v>
      </c>
      <c r="T201" s="799">
        <f t="shared" si="242"/>
        <v>-0.18141237389518805</v>
      </c>
      <c r="U201" s="799">
        <f t="shared" si="243"/>
        <v>-0.25182795199740027</v>
      </c>
      <c r="V201" s="913">
        <f t="shared" si="244"/>
        <v>-0.11730015340037458</v>
      </c>
      <c r="W201" s="799">
        <f t="shared" si="244"/>
        <v>-0.33121272365805177</v>
      </c>
      <c r="X201" s="799">
        <f t="shared" si="245"/>
        <v>-0.21330025084523929</v>
      </c>
      <c r="Y201" s="799"/>
      <c r="Z201" s="736"/>
      <c r="AA201" s="736"/>
      <c r="AB201" s="689"/>
      <c r="AC201" s="689">
        <f t="shared" si="246"/>
        <v>-6.6903913759201905E-2</v>
      </c>
      <c r="AD201" s="689">
        <f t="shared" si="247"/>
        <v>0.85289934190097494</v>
      </c>
      <c r="AE201" s="799">
        <f t="shared" si="248"/>
        <v>4.4103297374587846E-2</v>
      </c>
      <c r="AF201" s="799">
        <f t="shared" si="249"/>
        <v>-0.15855829034825997</v>
      </c>
    </row>
    <row r="202" spans="1:32" ht="12" x14ac:dyDescent="0.3">
      <c r="A202" s="778" t="str">
        <f>+A196</f>
        <v>HRT</v>
      </c>
      <c r="B202" s="470"/>
      <c r="C202" s="736"/>
      <c r="D202" s="736"/>
      <c r="E202" s="736"/>
      <c r="F202" s="736"/>
      <c r="G202" s="786"/>
      <c r="H202" s="786"/>
      <c r="I202" s="786"/>
      <c r="J202" s="787"/>
      <c r="K202" s="786">
        <f t="shared" si="233"/>
        <v>-0.17858725235774386</v>
      </c>
      <c r="L202" s="786">
        <f t="shared" si="234"/>
        <v>3.8478128797083766</v>
      </c>
      <c r="M202" s="786">
        <f t="shared" si="235"/>
        <v>0.84376320615363176</v>
      </c>
      <c r="N202" s="787">
        <f t="shared" si="236"/>
        <v>1.2282255270786879</v>
      </c>
      <c r="O202" s="786">
        <f t="shared" si="237"/>
        <v>0.47276268755752526</v>
      </c>
      <c r="P202" s="786">
        <f t="shared" si="238"/>
        <v>0.35803353235523172</v>
      </c>
      <c r="Q202" s="786">
        <f t="shared" si="239"/>
        <v>4.0373454453697111E-3</v>
      </c>
      <c r="R202" s="787">
        <f t="shared" si="240"/>
        <v>-0.12061206120612056</v>
      </c>
      <c r="S202" s="786">
        <f t="shared" si="241"/>
        <v>-0.25582071330988598</v>
      </c>
      <c r="T202" s="800">
        <f t="shared" si="242"/>
        <v>-3.9790828993913729E-2</v>
      </c>
      <c r="U202" s="800">
        <f t="shared" si="243"/>
        <v>-8.3144843763089504E-2</v>
      </c>
      <c r="V202" s="1097">
        <f t="shared" si="244"/>
        <v>7.5028690177104007E-2</v>
      </c>
      <c r="W202" s="800">
        <f t="shared" si="244"/>
        <v>0.21912350597609564</v>
      </c>
      <c r="X202" s="800"/>
      <c r="Y202" s="800"/>
      <c r="Z202" s="736"/>
      <c r="AA202" s="736"/>
      <c r="AB202" s="786"/>
      <c r="AC202" s="786">
        <f t="shared" si="246"/>
        <v>-0.39544689275088174</v>
      </c>
      <c r="AD202" s="786">
        <f t="shared" si="247"/>
        <v>0.8182432066723202</v>
      </c>
      <c r="AE202" s="800">
        <f t="shared" si="248"/>
        <v>0.13333531784844554</v>
      </c>
      <c r="AF202" s="800">
        <f t="shared" si="249"/>
        <v>-7.6063912948312939E-2</v>
      </c>
    </row>
    <row r="203" spans="1:32" s="470" customFormat="1" x14ac:dyDescent="0.25">
      <c r="A203" s="766" t="str">
        <f>+A197</f>
        <v>Total EBITDA</v>
      </c>
      <c r="C203" s="767"/>
      <c r="D203" s="767"/>
      <c r="E203" s="767"/>
      <c r="F203" s="767"/>
      <c r="G203" s="769"/>
      <c r="H203" s="769"/>
      <c r="I203" s="769"/>
      <c r="J203" s="770"/>
      <c r="K203" s="769">
        <f t="shared" si="233"/>
        <v>0.26862374017835222</v>
      </c>
      <c r="L203" s="769">
        <f t="shared" si="234"/>
        <v>1.8670837697817277</v>
      </c>
      <c r="M203" s="769">
        <f t="shared" si="235"/>
        <v>0.61046344858067991</v>
      </c>
      <c r="N203" s="770">
        <f t="shared" si="236"/>
        <v>0.64248425392998731</v>
      </c>
      <c r="O203" s="769">
        <f t="shared" si="237"/>
        <v>0.34989856354777782</v>
      </c>
      <c r="P203" s="769">
        <f t="shared" si="238"/>
        <v>0.16135434563658979</v>
      </c>
      <c r="Q203" s="769">
        <f t="shared" si="239"/>
        <v>1.066874765230752E-2</v>
      </c>
      <c r="R203" s="770">
        <f t="shared" si="240"/>
        <v>-4.6097034956788963E-2</v>
      </c>
      <c r="S203" s="769">
        <f t="shared" si="241"/>
        <v>-0.12508971421159587</v>
      </c>
      <c r="T203" s="773">
        <f>+T197/P197-1</f>
        <v>-0.10947441511145106</v>
      </c>
      <c r="U203" s="773">
        <f t="shared" si="243"/>
        <v>-0.11862442570115894</v>
      </c>
      <c r="V203" s="774">
        <f t="shared" si="244"/>
        <v>-4.9731620039036972E-2</v>
      </c>
      <c r="W203" s="773">
        <f t="shared" si="244"/>
        <v>-0.10939028849860144</v>
      </c>
      <c r="X203" s="773"/>
      <c r="Y203" s="773"/>
      <c r="Z203" s="767"/>
      <c r="AA203" s="767"/>
      <c r="AB203" s="769"/>
      <c r="AC203" s="769">
        <f t="shared" si="246"/>
        <v>-0.12211347648527837</v>
      </c>
      <c r="AD203" s="769">
        <f t="shared" si="247"/>
        <v>0.72807045942949578</v>
      </c>
      <c r="AE203" s="773">
        <f t="shared" si="248"/>
        <v>9.4053008508905522E-2</v>
      </c>
      <c r="AF203" s="773">
        <f t="shared" si="249"/>
        <v>-0.10147210758543534</v>
      </c>
    </row>
    <row r="204" spans="1:32" ht="12" x14ac:dyDescent="0.3">
      <c r="A204" s="778"/>
      <c r="B204" s="470"/>
      <c r="C204" s="744"/>
      <c r="D204" s="689"/>
      <c r="E204" s="689"/>
      <c r="F204" s="689"/>
      <c r="G204" s="689"/>
      <c r="H204" s="689"/>
      <c r="I204" s="689"/>
      <c r="J204" s="779"/>
      <c r="K204" s="689"/>
      <c r="L204" s="689"/>
      <c r="M204" s="689"/>
      <c r="N204" s="779"/>
      <c r="O204" s="689"/>
      <c r="P204" s="780"/>
      <c r="Q204" s="780"/>
      <c r="R204" s="1092"/>
      <c r="S204" s="780"/>
      <c r="T204" s="799"/>
      <c r="U204" s="799"/>
      <c r="V204" s="913"/>
      <c r="W204" s="799"/>
      <c r="X204" s="799"/>
      <c r="Y204" s="799"/>
      <c r="Z204" s="744"/>
      <c r="AA204" s="744"/>
      <c r="AB204" s="689"/>
      <c r="AC204" s="689"/>
      <c r="AD204" s="689"/>
      <c r="AE204" s="799"/>
      <c r="AF204" s="799"/>
    </row>
    <row r="205" spans="1:32" ht="12" x14ac:dyDescent="0.3">
      <c r="A205" s="782" t="s">
        <v>622</v>
      </c>
      <c r="B205" s="470"/>
      <c r="C205" s="736"/>
      <c r="D205" s="736"/>
      <c r="E205" s="736"/>
      <c r="F205" s="736"/>
      <c r="G205" s="736"/>
      <c r="H205" s="736"/>
      <c r="I205" s="736"/>
      <c r="J205" s="752"/>
      <c r="K205" s="736"/>
      <c r="L205" s="736"/>
      <c r="M205" s="736"/>
      <c r="N205" s="752"/>
      <c r="O205" s="736"/>
      <c r="P205" s="736"/>
      <c r="Q205" s="736"/>
      <c r="R205" s="752"/>
      <c r="S205" s="736"/>
      <c r="T205" s="736"/>
      <c r="U205" s="736"/>
      <c r="V205" s="752"/>
      <c r="W205" s="736"/>
      <c r="X205" s="736"/>
      <c r="Y205" s="736"/>
      <c r="Z205" s="736"/>
      <c r="AA205" s="736"/>
      <c r="AB205" s="736"/>
      <c r="AC205" s="736"/>
      <c r="AD205" s="736"/>
      <c r="AE205" s="736"/>
      <c r="AF205" s="736"/>
    </row>
    <row r="206" spans="1:32" ht="12" x14ac:dyDescent="0.3">
      <c r="A206" s="778" t="str">
        <f>+A194</f>
        <v>FA</v>
      </c>
      <c r="B206" s="470"/>
      <c r="C206" s="689"/>
      <c r="D206" s="689"/>
      <c r="E206" s="689"/>
      <c r="F206" s="689"/>
      <c r="G206" s="689">
        <f t="shared" ref="G206:W206" si="250">+G194/G31</f>
        <v>0.16010609983850452</v>
      </c>
      <c r="H206" s="689">
        <f t="shared" si="250"/>
        <v>0.24785461887935389</v>
      </c>
      <c r="I206" s="689">
        <f t="shared" si="250"/>
        <v>0.27423269824094526</v>
      </c>
      <c r="J206" s="779">
        <f t="shared" si="250"/>
        <v>0.25072822976287823</v>
      </c>
      <c r="K206" s="689">
        <f t="shared" si="250"/>
        <v>0.23161959566896348</v>
      </c>
      <c r="L206" s="689">
        <f t="shared" si="250"/>
        <v>0.26796929518492674</v>
      </c>
      <c r="M206" s="689">
        <f t="shared" si="250"/>
        <v>0.28959853163060556</v>
      </c>
      <c r="N206" s="779">
        <f t="shared" si="250"/>
        <v>0.27300359475279001</v>
      </c>
      <c r="O206" s="689">
        <f t="shared" si="250"/>
        <v>0.23146602345679659</v>
      </c>
      <c r="P206" s="689">
        <f t="shared" si="250"/>
        <v>0.25213707016734388</v>
      </c>
      <c r="Q206" s="689">
        <f t="shared" si="250"/>
        <v>0.26701329216548703</v>
      </c>
      <c r="R206" s="779">
        <f t="shared" si="250"/>
        <v>0.28873680001881513</v>
      </c>
      <c r="S206" s="689">
        <f t="shared" si="250"/>
        <v>0.22998518687329075</v>
      </c>
      <c r="T206" s="799">
        <f t="shared" si="250"/>
        <v>0.24449720745757222</v>
      </c>
      <c r="U206" s="799">
        <f t="shared" si="250"/>
        <v>0.26212792717254596</v>
      </c>
      <c r="V206" s="913">
        <f t="shared" si="250"/>
        <v>0.27789516296245098</v>
      </c>
      <c r="W206" s="799">
        <f t="shared" si="250"/>
        <v>0.20866388062520658</v>
      </c>
      <c r="X206" s="799">
        <f t="shared" ref="X206:Y206" si="251">+X194/X31</f>
        <v>0.23465694190066433</v>
      </c>
      <c r="Y206" s="799">
        <f t="shared" si="251"/>
        <v>0.25683134206178221</v>
      </c>
      <c r="Z206" s="736"/>
      <c r="AA206" s="736"/>
      <c r="AB206" s="689">
        <f t="shared" ref="AB206:AF209" si="252">+AB194/AB31</f>
        <v>0.21319849636857655</v>
      </c>
      <c r="AC206" s="689">
        <f t="shared" si="252"/>
        <v>0.23672209194074878</v>
      </c>
      <c r="AD206" s="689">
        <f t="shared" si="252"/>
        <v>0.26858815518851031</v>
      </c>
      <c r="AE206" s="799">
        <f t="shared" si="252"/>
        <v>0.26068025228913255</v>
      </c>
      <c r="AF206" s="799">
        <f t="shared" si="252"/>
        <v>0.25464510494775194</v>
      </c>
    </row>
    <row r="207" spans="1:32" ht="12" x14ac:dyDescent="0.3">
      <c r="A207" s="778" t="str">
        <f>+A195</f>
        <v>STER</v>
      </c>
      <c r="B207" s="470"/>
      <c r="C207" s="689"/>
      <c r="D207" s="689"/>
      <c r="E207" s="689"/>
      <c r="F207" s="689"/>
      <c r="G207" s="689">
        <f t="shared" ref="G207:W207" si="253">+G195/G32</f>
        <v>0.17880646026001878</v>
      </c>
      <c r="H207" s="689">
        <f t="shared" si="253"/>
        <v>0.10670987117679602</v>
      </c>
      <c r="I207" s="689">
        <f t="shared" si="253"/>
        <v>0.22358236190958841</v>
      </c>
      <c r="J207" s="779">
        <f t="shared" si="253"/>
        <v>0.17724058448304447</v>
      </c>
      <c r="K207" s="689">
        <f t="shared" si="253"/>
        <v>0.22759489129654875</v>
      </c>
      <c r="L207" s="689">
        <f t="shared" si="253"/>
        <v>0.2583783139184575</v>
      </c>
      <c r="M207" s="689">
        <f t="shared" si="253"/>
        <v>0.24110240214205256</v>
      </c>
      <c r="N207" s="779">
        <f t="shared" si="253"/>
        <v>0.19706961394697892</v>
      </c>
      <c r="O207" s="689">
        <f t="shared" si="253"/>
        <v>0.19425228679182382</v>
      </c>
      <c r="P207" s="689">
        <f t="shared" si="253"/>
        <v>0.21792782758000107</v>
      </c>
      <c r="Q207" s="689">
        <f t="shared" si="253"/>
        <v>0.21616265008856042</v>
      </c>
      <c r="R207" s="779">
        <f t="shared" si="253"/>
        <v>0.17264006591337097</v>
      </c>
      <c r="S207" s="689">
        <f t="shared" si="253"/>
        <v>0.19640327097069291</v>
      </c>
      <c r="T207" s="799">
        <f t="shared" si="253"/>
        <v>0.19264223884360029</v>
      </c>
      <c r="U207" s="799">
        <f t="shared" si="253"/>
        <v>0.17850536645880177</v>
      </c>
      <c r="V207" s="913">
        <f t="shared" si="253"/>
        <v>0.1528427067101101</v>
      </c>
      <c r="W207" s="799">
        <f t="shared" si="253"/>
        <v>0.12660283119801718</v>
      </c>
      <c r="X207" s="799">
        <f t="shared" ref="X207" si="254">+X195/X32</f>
        <v>0.14388514322189422</v>
      </c>
      <c r="Y207" s="799"/>
      <c r="Z207" s="736"/>
      <c r="AA207" s="736"/>
      <c r="AB207" s="689">
        <f t="shared" si="252"/>
        <v>0.17217906659939861</v>
      </c>
      <c r="AC207" s="689">
        <f t="shared" si="252"/>
        <v>0.17589680138380442</v>
      </c>
      <c r="AD207" s="689">
        <f t="shared" si="252"/>
        <v>0.23054695240884648</v>
      </c>
      <c r="AE207" s="799">
        <f t="shared" si="252"/>
        <v>0.20150577347929399</v>
      </c>
      <c r="AF207" s="799">
        <f t="shared" si="252"/>
        <v>0.1806625534989717</v>
      </c>
    </row>
    <row r="208" spans="1:32" ht="12" x14ac:dyDescent="0.3">
      <c r="A208" s="778" t="str">
        <f>+A196</f>
        <v>HRT</v>
      </c>
      <c r="B208" s="470"/>
      <c r="C208" s="786"/>
      <c r="D208" s="786"/>
      <c r="E208" s="786"/>
      <c r="F208" s="786"/>
      <c r="G208" s="786">
        <f t="shared" ref="G208:V208" si="255">+G196/G33</f>
        <v>0.18371903421240654</v>
      </c>
      <c r="H208" s="786">
        <f t="shared" si="255"/>
        <v>6.6056855218990421E-2</v>
      </c>
      <c r="I208" s="786">
        <f t="shared" si="255"/>
        <v>0.19738447151447805</v>
      </c>
      <c r="J208" s="787">
        <f t="shared" si="255"/>
        <v>0.10961754211113975</v>
      </c>
      <c r="K208" s="786">
        <f t="shared" si="255"/>
        <v>0.1561909716209105</v>
      </c>
      <c r="L208" s="786">
        <f t="shared" si="255"/>
        <v>0.18936129218533432</v>
      </c>
      <c r="M208" s="786">
        <f t="shared" si="255"/>
        <v>0.23200199042838116</v>
      </c>
      <c r="N208" s="787">
        <f t="shared" si="255"/>
        <v>0.1846686209918704</v>
      </c>
      <c r="O208" s="786">
        <f t="shared" si="255"/>
        <v>0.17313082818766956</v>
      </c>
      <c r="P208" s="786">
        <f t="shared" si="255"/>
        <v>0.20474421031796011</v>
      </c>
      <c r="Q208" s="786">
        <f t="shared" si="255"/>
        <v>0.22704383674983239</v>
      </c>
      <c r="R208" s="787">
        <f t="shared" si="255"/>
        <v>0.183853970643583</v>
      </c>
      <c r="S208" s="786">
        <f t="shared" si="255"/>
        <v>0.14592441022075039</v>
      </c>
      <c r="T208" s="800">
        <f t="shared" si="255"/>
        <v>0.22746767712518998</v>
      </c>
      <c r="U208" s="800">
        <f t="shared" si="255"/>
        <v>0.23253763372321551</v>
      </c>
      <c r="V208" s="1097">
        <f t="shared" si="255"/>
        <v>0.20871094196920539</v>
      </c>
      <c r="W208" s="800">
        <f t="shared" ref="W208" si="256">+W196/W33</f>
        <v>0.18020785219399538</v>
      </c>
      <c r="X208" s="800"/>
      <c r="Y208" s="800"/>
      <c r="Z208" s="736"/>
      <c r="AA208" s="736"/>
      <c r="AB208" s="786">
        <f t="shared" si="252"/>
        <v>0.19821719832390755</v>
      </c>
      <c r="AC208" s="786">
        <f t="shared" si="252"/>
        <v>0.14364097216836072</v>
      </c>
      <c r="AD208" s="786">
        <f t="shared" si="252"/>
        <v>0.19326238171801019</v>
      </c>
      <c r="AE208" s="800">
        <f t="shared" si="252"/>
        <v>0.19822901119171704</v>
      </c>
      <c r="AF208" s="800">
        <f t="shared" si="252"/>
        <v>0.20465715473057214</v>
      </c>
    </row>
    <row r="209" spans="1:32" s="470" customFormat="1" x14ac:dyDescent="0.25">
      <c r="A209" s="766" t="str">
        <f>+A197</f>
        <v>Total EBITDA</v>
      </c>
      <c r="C209" s="769"/>
      <c r="D209" s="769"/>
      <c r="E209" s="769"/>
      <c r="F209" s="769"/>
      <c r="G209" s="769">
        <f t="shared" ref="G209:V209" si="257">+G197/G34</f>
        <v>0.17539794102337927</v>
      </c>
      <c r="H209" s="769">
        <f t="shared" si="257"/>
        <v>0.14213566995831595</v>
      </c>
      <c r="I209" s="769">
        <f t="shared" si="257"/>
        <v>0.23268364905985839</v>
      </c>
      <c r="J209" s="770">
        <f t="shared" si="257"/>
        <v>0.18035133164395456</v>
      </c>
      <c r="K209" s="769">
        <f t="shared" si="257"/>
        <v>0.20349156633546106</v>
      </c>
      <c r="L209" s="769">
        <f t="shared" si="257"/>
        <v>0.23776127733826816</v>
      </c>
      <c r="M209" s="769">
        <f t="shared" si="257"/>
        <v>0.25429913377569813</v>
      </c>
      <c r="N209" s="770">
        <f t="shared" si="257"/>
        <v>0.22046023995416406</v>
      </c>
      <c r="O209" s="769">
        <f t="shared" si="257"/>
        <v>0.19919423181595824</v>
      </c>
      <c r="P209" s="769">
        <f t="shared" si="257"/>
        <v>0.22422646017755346</v>
      </c>
      <c r="Q209" s="769">
        <f t="shared" si="257"/>
        <v>0.23689545605177492</v>
      </c>
      <c r="R209" s="770">
        <f t="shared" si="257"/>
        <v>0.22040700727938237</v>
      </c>
      <c r="S209" s="769">
        <f t="shared" si="257"/>
        <v>0.19081700585205594</v>
      </c>
      <c r="T209" s="773">
        <f t="shared" si="257"/>
        <v>0.22134890626128212</v>
      </c>
      <c r="U209" s="773">
        <f t="shared" si="257"/>
        <v>0.22581308240453135</v>
      </c>
      <c r="V209" s="774">
        <f t="shared" si="257"/>
        <v>0.21716585044001901</v>
      </c>
      <c r="W209" s="773">
        <f t="shared" ref="W209" si="258">+W197/W34</f>
        <v>0.17046621832524614</v>
      </c>
      <c r="X209" s="773"/>
      <c r="Y209" s="773"/>
      <c r="Z209" s="767"/>
      <c r="AA209" s="767"/>
      <c r="AB209" s="769">
        <f t="shared" si="252"/>
        <v>0.19469633119376817</v>
      </c>
      <c r="AC209" s="769">
        <f t="shared" si="252"/>
        <v>0.1849055948667776</v>
      </c>
      <c r="AD209" s="769">
        <f t="shared" si="252"/>
        <v>0.23048780675040897</v>
      </c>
      <c r="AE209" s="773">
        <f t="shared" si="252"/>
        <v>0.22050721782877339</v>
      </c>
      <c r="AF209" s="773">
        <f t="shared" si="252"/>
        <v>0.21413947574503434</v>
      </c>
    </row>
    <row r="210" spans="1:32" x14ac:dyDescent="0.25">
      <c r="J210" s="1090"/>
      <c r="N210" s="1090"/>
      <c r="R210" s="1090"/>
      <c r="V210" s="1410"/>
      <c r="AE210" s="794"/>
      <c r="AF210" s="794"/>
    </row>
    <row r="211" spans="1:32" x14ac:dyDescent="0.25">
      <c r="A211" s="867" t="s">
        <v>625</v>
      </c>
      <c r="B211" s="868"/>
      <c r="J211" s="1090"/>
      <c r="N211" s="1090"/>
      <c r="R211" s="1090"/>
      <c r="U211" s="736"/>
      <c r="V211" s="1410"/>
      <c r="W211" s="794" t="s">
        <v>610</v>
      </c>
      <c r="AE211" s="794"/>
      <c r="AF211" s="736"/>
    </row>
    <row r="212" spans="1:32" x14ac:dyDescent="0.25">
      <c r="J212" s="1090"/>
      <c r="N212" s="1090"/>
      <c r="R212" s="1090"/>
      <c r="U212" s="736"/>
      <c r="V212" s="1410"/>
      <c r="W212" s="736">
        <f>SUM(T194:W194)</f>
        <v>189.47199999999998</v>
      </c>
      <c r="X212" s="736"/>
      <c r="Y212" s="736"/>
      <c r="AE212" s="794"/>
      <c r="AF212" s="736"/>
    </row>
    <row r="213" spans="1:32" ht="11.25" customHeight="1" collapsed="1" x14ac:dyDescent="0.25">
      <c r="A213" s="748" t="s">
        <v>626</v>
      </c>
      <c r="C213" s="744"/>
      <c r="D213" s="744"/>
      <c r="E213" s="744"/>
      <c r="F213" s="744"/>
      <c r="G213" s="744"/>
      <c r="H213" s="744"/>
      <c r="I213" s="744"/>
      <c r="J213" s="745"/>
      <c r="K213" s="744"/>
      <c r="L213" s="744"/>
      <c r="M213" s="744"/>
      <c r="N213" s="745"/>
      <c r="O213" s="744"/>
      <c r="P213" s="744"/>
      <c r="Q213" s="744"/>
      <c r="R213" s="745"/>
      <c r="S213" s="744"/>
      <c r="T213" s="736"/>
      <c r="U213" s="824"/>
      <c r="V213" s="752"/>
      <c r="W213" s="736">
        <f>SUM(T197:W197)-W212</f>
        <v>271.702</v>
      </c>
      <c r="X213" s="736"/>
      <c r="Y213" s="736"/>
      <c r="Z213" s="736"/>
      <c r="AA213" s="736"/>
      <c r="AB213" s="744"/>
      <c r="AC213" s="744"/>
      <c r="AD213" s="744"/>
      <c r="AE213" s="736"/>
      <c r="AF213" s="824"/>
    </row>
    <row r="214" spans="1:32" x14ac:dyDescent="0.25">
      <c r="A214" s="512" t="s">
        <v>174</v>
      </c>
      <c r="B214" s="470"/>
      <c r="C214" s="736"/>
      <c r="D214" s="736"/>
      <c r="E214" s="736"/>
      <c r="F214" s="736"/>
      <c r="G214" s="736">
        <f>+'FA - Historical Financials'!G46</f>
        <v>18.610000000000007</v>
      </c>
      <c r="H214" s="736">
        <f>+'FA - Historical Financials'!H46</f>
        <v>13.803999999999998</v>
      </c>
      <c r="I214" s="736">
        <f>+'FA - Historical Financials'!I46</f>
        <v>17.742999999999999</v>
      </c>
      <c r="J214" s="752">
        <f>+'FA - Historical Financials'!J46</f>
        <v>16.692</v>
      </c>
      <c r="K214" s="736">
        <f>+'FA - Historical Financials'!K46</f>
        <v>19.068999999999999</v>
      </c>
      <c r="L214" s="736">
        <f>+'FA - Historical Financials'!L46</f>
        <v>22.064</v>
      </c>
      <c r="M214" s="736">
        <f>+'FA - Historical Financials'!M46</f>
        <v>23.516999999999999</v>
      </c>
      <c r="N214" s="752">
        <f>+'FA - Historical Financials'!N46</f>
        <v>24.296000000000003</v>
      </c>
      <c r="O214" s="736">
        <f>+'FA - Historical Financials'!O46</f>
        <v>26.555</v>
      </c>
      <c r="P214" s="736">
        <f>+'FA - Historical Financials'!P46</f>
        <v>28.077999999999999</v>
      </c>
      <c r="Q214" s="736">
        <f>+'FA - Historical Financials'!Q46</f>
        <v>24.942</v>
      </c>
      <c r="R214" s="752">
        <f>+'FA - Historical Financials'!R46</f>
        <v>23.133000000000003</v>
      </c>
      <c r="S214" s="736">
        <f>+'FA - Historical Financials'!S46</f>
        <v>24.006999999999998</v>
      </c>
      <c r="T214" s="736"/>
      <c r="U214" s="736"/>
      <c r="V214" s="752"/>
      <c r="W214" s="736"/>
      <c r="X214" s="736"/>
      <c r="Y214" s="736"/>
      <c r="Z214" s="750"/>
      <c r="AA214" s="750"/>
      <c r="AB214" s="736">
        <f>+'FA - Historical Financials'!AG46</f>
        <v>79.694000000000003</v>
      </c>
      <c r="AC214" s="736">
        <f>SUM(G214:J214)</f>
        <v>66.84899999999999</v>
      </c>
      <c r="AD214" s="736">
        <f>SUM(K214:N214)</f>
        <v>88.945999999999998</v>
      </c>
      <c r="AE214" s="736">
        <f>SUM(O214:R214)</f>
        <v>102.708</v>
      </c>
      <c r="AF214" s="736"/>
    </row>
    <row r="215" spans="1:32" ht="12" x14ac:dyDescent="0.3">
      <c r="A215" s="512" t="s">
        <v>175</v>
      </c>
      <c r="B215" s="470"/>
      <c r="C215" s="736"/>
      <c r="D215" s="736"/>
      <c r="E215" s="736"/>
      <c r="F215" s="736"/>
      <c r="G215" s="736">
        <v>32.5</v>
      </c>
      <c r="H215" s="736">
        <v>28.9</v>
      </c>
      <c r="I215" s="736">
        <v>25.4</v>
      </c>
      <c r="J215" s="752">
        <v>35.700000000000003</v>
      </c>
      <c r="K215" s="736">
        <v>29.6</v>
      </c>
      <c r="L215" s="736">
        <v>38.6</v>
      </c>
      <c r="M215" s="736">
        <v>85</v>
      </c>
      <c r="N215" s="752">
        <v>45.5</v>
      </c>
      <c r="O215" s="736">
        <v>42.3</v>
      </c>
      <c r="P215" s="736">
        <v>41.9</v>
      </c>
      <c r="Q215" s="736">
        <v>42.411000000000001</v>
      </c>
      <c r="R215" s="752">
        <v>48.829000000000001</v>
      </c>
      <c r="S215" s="736">
        <v>47.451000000000001</v>
      </c>
      <c r="T215" s="736">
        <v>44.91</v>
      </c>
      <c r="U215" s="736"/>
      <c r="V215" s="752"/>
      <c r="W215" s="799">
        <f>W212/SUM(T31:W31)</f>
        <v>0.25007622182597139</v>
      </c>
      <c r="X215" s="799"/>
      <c r="Y215" s="799"/>
      <c r="Z215" s="750"/>
      <c r="AA215" s="750"/>
      <c r="AB215" s="736">
        <v>147.19999999999999</v>
      </c>
      <c r="AC215" s="736">
        <f t="shared" ref="AC215" si="259">SUM(G215:J215)</f>
        <v>122.5</v>
      </c>
      <c r="AD215" s="736">
        <f t="shared" ref="AD215" si="260">SUM(K215:N215)</f>
        <v>198.7</v>
      </c>
      <c r="AE215" s="736">
        <f>SUM(O215:R215)</f>
        <v>175.44</v>
      </c>
      <c r="AF215" s="736"/>
    </row>
    <row r="216" spans="1:32" ht="13" x14ac:dyDescent="0.4">
      <c r="A216" s="512" t="s">
        <v>606</v>
      </c>
      <c r="B216" s="470"/>
      <c r="C216" s="757"/>
      <c r="D216" s="757"/>
      <c r="E216" s="757"/>
      <c r="F216" s="757"/>
      <c r="G216" s="897" t="s">
        <v>126</v>
      </c>
      <c r="H216" s="897" t="s">
        <v>126</v>
      </c>
      <c r="I216" s="897" t="s">
        <v>126</v>
      </c>
      <c r="J216" s="1098" t="s">
        <v>126</v>
      </c>
      <c r="K216" s="897" t="s">
        <v>126</v>
      </c>
      <c r="L216" s="897" t="s">
        <v>126</v>
      </c>
      <c r="M216" s="897" t="s">
        <v>126</v>
      </c>
      <c r="N216" s="1098" t="s">
        <v>126</v>
      </c>
      <c r="O216" s="897" t="s">
        <v>126</v>
      </c>
      <c r="P216" s="897" t="s">
        <v>126</v>
      </c>
      <c r="Q216" s="897" t="s">
        <v>126</v>
      </c>
      <c r="R216" s="1098" t="s">
        <v>126</v>
      </c>
      <c r="S216" s="897" t="s">
        <v>126</v>
      </c>
      <c r="T216" s="897" t="s">
        <v>126</v>
      </c>
      <c r="U216" s="897"/>
      <c r="V216" s="1098"/>
      <c r="W216" s="799">
        <f>W213/SUM(T32:W33)</f>
        <v>0.18789669284891339</v>
      </c>
      <c r="X216" s="799"/>
      <c r="Y216" s="799"/>
      <c r="Z216" s="755"/>
      <c r="AA216" s="755"/>
      <c r="AB216" s="897" t="s">
        <v>126</v>
      </c>
      <c r="AC216" s="757">
        <f>173.579-AC228</f>
        <v>114.27900000000001</v>
      </c>
      <c r="AD216" s="757">
        <f>188.298-AD228</f>
        <v>105.19800000000001</v>
      </c>
      <c r="AE216" s="897">
        <f>200.853-AE228</f>
        <v>78.953000000000003</v>
      </c>
      <c r="AF216" s="897"/>
    </row>
    <row r="217" spans="1:32" s="761" customFormat="1" x14ac:dyDescent="0.25">
      <c r="A217" s="505" t="s">
        <v>627</v>
      </c>
      <c r="C217" s="762"/>
      <c r="D217" s="762"/>
      <c r="E217" s="762"/>
      <c r="F217" s="762"/>
      <c r="G217" s="901" t="s">
        <v>126</v>
      </c>
      <c r="H217" s="901" t="s">
        <v>126</v>
      </c>
      <c r="I217" s="901" t="s">
        <v>126</v>
      </c>
      <c r="J217" s="1099" t="s">
        <v>126</v>
      </c>
      <c r="K217" s="901" t="s">
        <v>126</v>
      </c>
      <c r="L217" s="901" t="s">
        <v>126</v>
      </c>
      <c r="M217" s="901" t="s">
        <v>126</v>
      </c>
      <c r="N217" s="1099" t="s">
        <v>126</v>
      </c>
      <c r="O217" s="901" t="s">
        <v>126</v>
      </c>
      <c r="P217" s="901" t="s">
        <v>126</v>
      </c>
      <c r="Q217" s="901" t="s">
        <v>126</v>
      </c>
      <c r="R217" s="1099" t="s">
        <v>126</v>
      </c>
      <c r="S217" s="901" t="s">
        <v>126</v>
      </c>
      <c r="T217" s="901" t="s">
        <v>126</v>
      </c>
      <c r="U217" s="901"/>
      <c r="V217" s="1099"/>
      <c r="W217" s="901"/>
      <c r="X217" s="901"/>
      <c r="Y217" s="901"/>
      <c r="Z217" s="762"/>
      <c r="AA217" s="762"/>
      <c r="AB217" s="901" t="s">
        <v>126</v>
      </c>
      <c r="AC217" s="762">
        <f t="shared" ref="AC217" si="261">+SUM(AC214:AC216)</f>
        <v>303.62799999999999</v>
      </c>
      <c r="AD217" s="762">
        <f t="shared" ref="AD217:AE217" si="262">+SUM(AD214:AD216)</f>
        <v>392.84399999999994</v>
      </c>
      <c r="AE217" s="901">
        <f t="shared" si="262"/>
        <v>357.101</v>
      </c>
      <c r="AF217" s="901"/>
    </row>
    <row r="218" spans="1:32" ht="12" x14ac:dyDescent="0.3">
      <c r="A218" s="778"/>
      <c r="B218" s="470"/>
      <c r="C218" s="744"/>
      <c r="D218" s="689"/>
      <c r="E218" s="689"/>
      <c r="F218" s="689"/>
      <c r="G218" s="689"/>
      <c r="H218" s="689"/>
      <c r="I218" s="689"/>
      <c r="J218" s="779"/>
      <c r="K218" s="689"/>
      <c r="L218" s="689"/>
      <c r="M218" s="689"/>
      <c r="N218" s="779"/>
      <c r="O218" s="689"/>
      <c r="P218" s="780"/>
      <c r="Q218" s="780"/>
      <c r="R218" s="1092"/>
      <c r="S218" s="799"/>
      <c r="T218" s="799"/>
      <c r="U218" s="799"/>
      <c r="V218" s="913"/>
      <c r="W218" s="799"/>
      <c r="X218" s="799"/>
      <c r="Y218" s="799"/>
      <c r="Z218" s="744"/>
      <c r="AA218" s="744"/>
      <c r="AB218" s="689"/>
      <c r="AC218" s="689"/>
      <c r="AD218" s="689"/>
      <c r="AE218" s="799"/>
      <c r="AF218" s="799"/>
    </row>
    <row r="219" spans="1:32" ht="12" x14ac:dyDescent="0.3">
      <c r="A219" s="782" t="s">
        <v>622</v>
      </c>
      <c r="B219" s="470"/>
      <c r="C219" s="736"/>
      <c r="D219" s="736"/>
      <c r="E219" s="736"/>
      <c r="F219" s="736"/>
      <c r="G219" s="736"/>
      <c r="H219" s="736"/>
      <c r="I219" s="736"/>
      <c r="J219" s="752"/>
      <c r="K219" s="736"/>
      <c r="L219" s="736"/>
      <c r="M219" s="736"/>
      <c r="N219" s="752"/>
      <c r="O219" s="736"/>
      <c r="P219" s="736"/>
      <c r="Q219" s="736"/>
      <c r="R219" s="752"/>
      <c r="S219" s="736"/>
      <c r="T219" s="736"/>
      <c r="U219" s="736"/>
      <c r="V219" s="752"/>
      <c r="W219" s="736"/>
      <c r="X219" s="736"/>
      <c r="Y219" s="736"/>
      <c r="Z219" s="736"/>
      <c r="AA219" s="736"/>
      <c r="AB219" s="736"/>
      <c r="AC219" s="736"/>
      <c r="AD219" s="736"/>
      <c r="AE219" s="736"/>
      <c r="AF219" s="736"/>
    </row>
    <row r="220" spans="1:32" ht="12" x14ac:dyDescent="0.3">
      <c r="A220" s="778" t="str">
        <f>+A214</f>
        <v>FA</v>
      </c>
      <c r="B220" s="470"/>
      <c r="C220" s="689"/>
      <c r="D220" s="689"/>
      <c r="E220" s="689"/>
      <c r="F220" s="689"/>
      <c r="G220" s="689">
        <f t="shared" ref="G220:T220" si="263">+G214/G31</f>
        <v>0.1679011900143452</v>
      </c>
      <c r="H220" s="689">
        <f t="shared" si="263"/>
        <v>0.13147543169544634</v>
      </c>
      <c r="I220" s="689">
        <f t="shared" si="263"/>
        <v>0.12972115398675224</v>
      </c>
      <c r="J220" s="779">
        <f t="shared" si="263"/>
        <v>0.10662816843826661</v>
      </c>
      <c r="K220" s="689">
        <f t="shared" si="263"/>
        <v>0.14438555311577195</v>
      </c>
      <c r="L220" s="689">
        <f t="shared" si="263"/>
        <v>0.12620548431011405</v>
      </c>
      <c r="M220" s="689">
        <f t="shared" si="263"/>
        <v>0.12193376782964427</v>
      </c>
      <c r="N220" s="779">
        <f t="shared" si="263"/>
        <v>0.11431690286639182</v>
      </c>
      <c r="O220" s="689">
        <f t="shared" si="263"/>
        <v>0.13985074862677149</v>
      </c>
      <c r="P220" s="689">
        <f t="shared" si="263"/>
        <v>0.13930274209792567</v>
      </c>
      <c r="Q220" s="689">
        <f t="shared" si="263"/>
        <v>0.12108589904168245</v>
      </c>
      <c r="R220" s="779">
        <f t="shared" si="263"/>
        <v>0.1088125308685529</v>
      </c>
      <c r="S220" s="799">
        <f t="shared" si="263"/>
        <v>0.13677643573381948</v>
      </c>
      <c r="T220" s="799">
        <f t="shared" si="263"/>
        <v>0</v>
      </c>
      <c r="U220" s="799"/>
      <c r="V220" s="913"/>
      <c r="W220" s="799"/>
      <c r="X220" s="799"/>
      <c r="Y220" s="799"/>
      <c r="Z220" s="736"/>
      <c r="AA220" s="736"/>
      <c r="AB220" s="689">
        <f t="shared" ref="AB220:AE221" si="264">+AB214/AB31</f>
        <v>0.16542021350569883</v>
      </c>
      <c r="AC220" s="689">
        <f t="shared" si="264"/>
        <v>0.13129426460363661</v>
      </c>
      <c r="AD220" s="689">
        <f t="shared" si="264"/>
        <v>0.12487241943295964</v>
      </c>
      <c r="AE220" s="799">
        <f t="shared" si="264"/>
        <v>0.12679639960840616</v>
      </c>
      <c r="AF220" s="799"/>
    </row>
    <row r="221" spans="1:32" ht="12" x14ac:dyDescent="0.3">
      <c r="A221" s="778" t="str">
        <f t="shared" ref="A221:A223" si="265">+A215</f>
        <v>STER</v>
      </c>
      <c r="B221" s="470"/>
      <c r="C221" s="689"/>
      <c r="D221" s="689"/>
      <c r="E221" s="689"/>
      <c r="F221" s="689"/>
      <c r="G221" s="689">
        <f t="shared" ref="G221:T221" si="266">+G215/G32</f>
        <v>0.27224902828039138</v>
      </c>
      <c r="H221" s="689">
        <f t="shared" si="266"/>
        <v>0.3262919014124262</v>
      </c>
      <c r="I221" s="689">
        <f t="shared" si="266"/>
        <v>0.21598217041673504</v>
      </c>
      <c r="J221" s="779">
        <f t="shared" si="266"/>
        <v>0.27781387715334938</v>
      </c>
      <c r="K221" s="689">
        <f t="shared" si="266"/>
        <v>0.21238430078209083</v>
      </c>
      <c r="L221" s="689">
        <f t="shared" si="266"/>
        <v>0.2422675235991163</v>
      </c>
      <c r="M221" s="689">
        <f t="shared" si="266"/>
        <v>0.50130634535878793</v>
      </c>
      <c r="N221" s="779">
        <f t="shared" si="266"/>
        <v>0.26205299805908</v>
      </c>
      <c r="O221" s="689">
        <f t="shared" si="266"/>
        <v>0.22034463359239886</v>
      </c>
      <c r="P221" s="689">
        <f t="shared" si="266"/>
        <v>0.20380269564329176</v>
      </c>
      <c r="Q221" s="689">
        <f t="shared" si="266"/>
        <v>0.21280086703897161</v>
      </c>
      <c r="R221" s="779">
        <f t="shared" si="266"/>
        <v>0.28736464218455748</v>
      </c>
      <c r="S221" s="799">
        <f t="shared" si="266"/>
        <v>0.2646842263797316</v>
      </c>
      <c r="T221" s="799">
        <f t="shared" si="266"/>
        <v>0.23589167156903942</v>
      </c>
      <c r="U221" s="799"/>
      <c r="V221" s="913"/>
      <c r="W221" s="799"/>
      <c r="X221" s="799"/>
      <c r="Y221" s="799"/>
      <c r="Z221" s="736"/>
      <c r="AA221" s="736"/>
      <c r="AB221" s="689">
        <f t="shared" si="264"/>
        <v>0.2961081889202431</v>
      </c>
      <c r="AC221" s="689">
        <f t="shared" si="264"/>
        <v>0.26979253064512793</v>
      </c>
      <c r="AD221" s="689">
        <f t="shared" si="264"/>
        <v>0.30955749013840506</v>
      </c>
      <c r="AE221" s="799">
        <f t="shared" si="264"/>
        <v>0.22880036307581558</v>
      </c>
      <c r="AF221" s="799"/>
    </row>
    <row r="222" spans="1:32" ht="13.5" x14ac:dyDescent="0.45">
      <c r="A222" s="778" t="str">
        <f t="shared" si="265"/>
        <v>HRT</v>
      </c>
      <c r="B222" s="470"/>
      <c r="C222" s="786"/>
      <c r="D222" s="786"/>
      <c r="E222" s="786"/>
      <c r="F222" s="786"/>
      <c r="G222" s="1100" t="s">
        <v>126</v>
      </c>
      <c r="H222" s="1100" t="s">
        <v>126</v>
      </c>
      <c r="I222" s="1100" t="s">
        <v>126</v>
      </c>
      <c r="J222" s="1101" t="s">
        <v>126</v>
      </c>
      <c r="K222" s="1094" t="s">
        <v>126</v>
      </c>
      <c r="L222" s="1094" t="s">
        <v>126</v>
      </c>
      <c r="M222" s="1094" t="s">
        <v>126</v>
      </c>
      <c r="N222" s="1101" t="s">
        <v>126</v>
      </c>
      <c r="O222" s="1094" t="s">
        <v>126</v>
      </c>
      <c r="P222" s="1094" t="s">
        <v>126</v>
      </c>
      <c r="Q222" s="1094" t="s">
        <v>126</v>
      </c>
      <c r="R222" s="1101" t="s">
        <v>126</v>
      </c>
      <c r="S222" s="790" t="s">
        <v>126</v>
      </c>
      <c r="T222" s="1094" t="s">
        <v>126</v>
      </c>
      <c r="U222" s="1183"/>
      <c r="V222" s="1101"/>
      <c r="W222" s="1094"/>
      <c r="X222" s="1094"/>
      <c r="Y222" s="1094"/>
      <c r="Z222" s="736"/>
      <c r="AA222" s="736"/>
      <c r="AB222" s="1094" t="s">
        <v>126</v>
      </c>
      <c r="AC222" s="786">
        <f t="shared" ref="AC222:AE223" si="267">+AC216/AC33</f>
        <v>0.21154030194551032</v>
      </c>
      <c r="AD222" s="786">
        <f t="shared" si="267"/>
        <v>0.14409575591577745</v>
      </c>
      <c r="AE222" s="1094">
        <f t="shared" si="267"/>
        <v>9.787545805709412E-2</v>
      </c>
      <c r="AF222" s="1183"/>
    </row>
    <row r="223" spans="1:32" s="470" customFormat="1" x14ac:dyDescent="0.25">
      <c r="A223" s="766" t="str">
        <f t="shared" si="265"/>
        <v>Total SGA</v>
      </c>
      <c r="C223" s="769"/>
      <c r="D223" s="769"/>
      <c r="E223" s="769"/>
      <c r="F223" s="769"/>
      <c r="G223" s="1102" t="s">
        <v>126</v>
      </c>
      <c r="H223" s="1102" t="s">
        <v>126</v>
      </c>
      <c r="I223" s="1102" t="s">
        <v>126</v>
      </c>
      <c r="J223" s="1103" t="s">
        <v>126</v>
      </c>
      <c r="K223" s="1104" t="s">
        <v>126</v>
      </c>
      <c r="L223" s="1104" t="s">
        <v>126</v>
      </c>
      <c r="M223" s="1104" t="s">
        <v>126</v>
      </c>
      <c r="N223" s="1103" t="s">
        <v>126</v>
      </c>
      <c r="O223" s="1104" t="s">
        <v>126</v>
      </c>
      <c r="P223" s="1104" t="s">
        <v>126</v>
      </c>
      <c r="Q223" s="1104" t="s">
        <v>126</v>
      </c>
      <c r="R223" s="1103" t="s">
        <v>126</v>
      </c>
      <c r="S223" s="1105" t="s">
        <v>126</v>
      </c>
      <c r="T223" s="1104" t="s">
        <v>126</v>
      </c>
      <c r="U223" s="1184"/>
      <c r="V223" s="1103"/>
      <c r="W223" s="1104"/>
      <c r="X223" s="1104"/>
      <c r="Y223" s="1104"/>
      <c r="Z223" s="767"/>
      <c r="AA223" s="767"/>
      <c r="AB223" s="1104" t="s">
        <v>126</v>
      </c>
      <c r="AC223" s="769">
        <f t="shared" si="267"/>
        <v>0.20195687208296176</v>
      </c>
      <c r="AD223" s="769">
        <f t="shared" si="267"/>
        <v>0.18848352623542675</v>
      </c>
      <c r="AE223" s="1104">
        <f t="shared" si="267"/>
        <v>0.14982380752792249</v>
      </c>
      <c r="AF223" s="1184"/>
    </row>
    <row r="224" spans="1:32" x14ac:dyDescent="0.25">
      <c r="J224" s="1090"/>
      <c r="N224" s="1090"/>
      <c r="R224" s="1090"/>
      <c r="S224" s="794"/>
      <c r="V224" s="1410"/>
      <c r="AE224" s="1093"/>
    </row>
    <row r="225" spans="1:32" ht="11.25" customHeight="1" collapsed="1" x14ac:dyDescent="0.25">
      <c r="A225" s="748" t="s">
        <v>230</v>
      </c>
      <c r="C225" s="744"/>
      <c r="D225" s="744"/>
      <c r="E225" s="744"/>
      <c r="F225" s="744"/>
      <c r="G225" s="744"/>
      <c r="H225" s="744"/>
      <c r="I225" s="744"/>
      <c r="J225" s="745"/>
      <c r="K225" s="744"/>
      <c r="L225" s="744"/>
      <c r="M225" s="744"/>
      <c r="N225" s="745"/>
      <c r="O225" s="744"/>
      <c r="P225" s="744"/>
      <c r="Q225" s="744"/>
      <c r="R225" s="745"/>
      <c r="S225" s="736"/>
      <c r="T225" s="736"/>
      <c r="U225" s="736"/>
      <c r="V225" s="752"/>
      <c r="W225" s="736"/>
      <c r="X225" s="736"/>
      <c r="Y225" s="736"/>
      <c r="Z225" s="736"/>
      <c r="AA225" s="736"/>
      <c r="AB225" s="744"/>
      <c r="AC225" s="744"/>
      <c r="AD225" s="744"/>
      <c r="AE225" s="792"/>
      <c r="AF225" s="744"/>
    </row>
    <row r="226" spans="1:32" x14ac:dyDescent="0.25">
      <c r="A226" s="512" t="s">
        <v>174</v>
      </c>
      <c r="B226" s="470"/>
      <c r="C226" s="736"/>
      <c r="D226" s="736"/>
      <c r="E226" s="736"/>
      <c r="F226" s="736"/>
      <c r="G226" s="736">
        <f>+'FA - Historical Financials'!G45</f>
        <v>8.1080000000000023</v>
      </c>
      <c r="H226" s="736">
        <f>+'FA - Historical Financials'!H45</f>
        <v>7.1559999999999997</v>
      </c>
      <c r="I226" s="736">
        <f>+'FA - Historical Financials'!I45</f>
        <v>8.2929999999999993</v>
      </c>
      <c r="J226" s="752">
        <f>+'FA - Historical Financials'!J45</f>
        <v>11.654</v>
      </c>
      <c r="K226" s="736">
        <f>+'FA - Historical Financials'!K45</f>
        <v>10.499000000000001</v>
      </c>
      <c r="L226" s="736">
        <f>+'FA - Historical Financials'!L45</f>
        <v>11.613</v>
      </c>
      <c r="M226" s="736">
        <f>+'FA - Historical Financials'!M45</f>
        <v>11.258000000000001</v>
      </c>
      <c r="N226" s="752">
        <f>+'FA - Historical Financials'!N45</f>
        <v>11.678000000000001</v>
      </c>
      <c r="O226" s="736">
        <f>+'FA - Historical Financials'!O45</f>
        <v>13.568999999999999</v>
      </c>
      <c r="P226" s="736">
        <f>+'FA - Historical Financials'!P45</f>
        <v>12.634</v>
      </c>
      <c r="Q226" s="736">
        <f>+'FA - Historical Financials'!Q45</f>
        <v>12.848000000000001</v>
      </c>
      <c r="R226" s="752">
        <f>+'FA - Historical Financials'!R45</f>
        <v>11.529</v>
      </c>
      <c r="S226" s="736">
        <f>+'FA - Historical Financials'!S45</f>
        <v>12.167</v>
      </c>
      <c r="T226" s="736"/>
      <c r="U226" s="736"/>
      <c r="V226" s="752"/>
      <c r="W226" s="736"/>
      <c r="X226" s="736"/>
      <c r="Y226" s="736"/>
      <c r="Z226" s="750"/>
      <c r="AA226" s="750"/>
      <c r="AB226" s="736">
        <f>+'FA - Historical Financials'!AG45</f>
        <v>33.146999999999998</v>
      </c>
      <c r="AC226" s="736">
        <f>SUM(G226:J226)</f>
        <v>35.210999999999999</v>
      </c>
      <c r="AD226" s="736">
        <f>SUM(K226:N226)</f>
        <v>45.048000000000002</v>
      </c>
      <c r="AE226" s="754">
        <f t="shared" ref="AE226:AE227" si="268">SUM(O226:R226)</f>
        <v>50.58</v>
      </c>
      <c r="AF226" s="736"/>
    </row>
    <row r="227" spans="1:32" x14ac:dyDescent="0.25">
      <c r="A227" s="512" t="s">
        <v>175</v>
      </c>
      <c r="B227" s="470"/>
      <c r="C227" s="736"/>
      <c r="D227" s="736"/>
      <c r="E227" s="736"/>
      <c r="F227" s="736"/>
      <c r="G227" s="736">
        <v>11.1</v>
      </c>
      <c r="H227" s="736">
        <v>11</v>
      </c>
      <c r="I227" s="736">
        <v>10.8</v>
      </c>
      <c r="J227" s="752">
        <v>11.4</v>
      </c>
      <c r="K227" s="736">
        <v>10.4</v>
      </c>
      <c r="L227" s="736">
        <v>10</v>
      </c>
      <c r="M227" s="736">
        <v>12.1</v>
      </c>
      <c r="N227" s="752">
        <v>11.9</v>
      </c>
      <c r="O227" s="736">
        <v>12.6</v>
      </c>
      <c r="P227" s="736">
        <v>12.5</v>
      </c>
      <c r="Q227" s="736">
        <v>13.715</v>
      </c>
      <c r="R227" s="752">
        <v>11.680999999999999</v>
      </c>
      <c r="S227" s="736">
        <v>11.952</v>
      </c>
      <c r="T227" s="736">
        <v>11.428000000000001</v>
      </c>
      <c r="U227" s="736"/>
      <c r="V227" s="752"/>
      <c r="W227" s="736"/>
      <c r="X227" s="736"/>
      <c r="Y227" s="736"/>
      <c r="Z227" s="750"/>
      <c r="AA227" s="750"/>
      <c r="AB227" s="736">
        <v>44.9</v>
      </c>
      <c r="AC227" s="736">
        <f t="shared" ref="AC227" si="269">SUM(G227:J227)</f>
        <v>44.300000000000004</v>
      </c>
      <c r="AD227" s="736">
        <f t="shared" ref="AD227" si="270">SUM(K227:N227)</f>
        <v>44.4</v>
      </c>
      <c r="AE227" s="754">
        <f t="shared" si="268"/>
        <v>50.495999999999995</v>
      </c>
      <c r="AF227" s="736"/>
    </row>
    <row r="228" spans="1:32" ht="13" x14ac:dyDescent="0.4">
      <c r="A228" s="512" t="s">
        <v>606</v>
      </c>
      <c r="B228" s="470"/>
      <c r="C228" s="757"/>
      <c r="D228" s="757"/>
      <c r="E228" s="757"/>
      <c r="F228" s="757"/>
      <c r="G228" s="897" t="s">
        <v>126</v>
      </c>
      <c r="H228" s="897" t="s">
        <v>126</v>
      </c>
      <c r="I228" s="897" t="s">
        <v>126</v>
      </c>
      <c r="J228" s="1098" t="s">
        <v>126</v>
      </c>
      <c r="K228" s="897" t="s">
        <v>126</v>
      </c>
      <c r="L228" s="897" t="s">
        <v>126</v>
      </c>
      <c r="M228" s="897" t="s">
        <v>126</v>
      </c>
      <c r="N228" s="1098" t="s">
        <v>126</v>
      </c>
      <c r="O228" s="897" t="s">
        <v>126</v>
      </c>
      <c r="P228" s="897" t="s">
        <v>126</v>
      </c>
      <c r="Q228" s="897" t="s">
        <v>126</v>
      </c>
      <c r="R228" s="1098" t="s">
        <v>126</v>
      </c>
      <c r="S228" s="897" t="s">
        <v>126</v>
      </c>
      <c r="T228" s="897" t="s">
        <v>126</v>
      </c>
      <c r="U228" s="897"/>
      <c r="V228" s="1098"/>
      <c r="W228" s="897"/>
      <c r="X228" s="897"/>
      <c r="Y228" s="897"/>
      <c r="Z228" s="755"/>
      <c r="AA228" s="755"/>
      <c r="AB228" s="897" t="s">
        <v>126</v>
      </c>
      <c r="AC228" s="757">
        <v>59.3</v>
      </c>
      <c r="AD228" s="757">
        <v>83.1</v>
      </c>
      <c r="AE228" s="1035">
        <v>121.9</v>
      </c>
      <c r="AF228" s="757"/>
    </row>
    <row r="229" spans="1:32" s="761" customFormat="1" x14ac:dyDescent="0.25">
      <c r="A229" s="505" t="s">
        <v>628</v>
      </c>
      <c r="C229" s="762"/>
      <c r="D229" s="762"/>
      <c r="E229" s="762"/>
      <c r="F229" s="762"/>
      <c r="G229" s="901" t="s">
        <v>126</v>
      </c>
      <c r="H229" s="901" t="s">
        <v>126</v>
      </c>
      <c r="I229" s="901" t="s">
        <v>126</v>
      </c>
      <c r="J229" s="1099" t="s">
        <v>126</v>
      </c>
      <c r="K229" s="901" t="s">
        <v>126</v>
      </c>
      <c r="L229" s="901" t="s">
        <v>126</v>
      </c>
      <c r="M229" s="901" t="s">
        <v>126</v>
      </c>
      <c r="N229" s="1099" t="s">
        <v>126</v>
      </c>
      <c r="O229" s="901" t="s">
        <v>126</v>
      </c>
      <c r="P229" s="901" t="s">
        <v>126</v>
      </c>
      <c r="Q229" s="901" t="s">
        <v>126</v>
      </c>
      <c r="R229" s="1099" t="s">
        <v>126</v>
      </c>
      <c r="S229" s="901" t="s">
        <v>126</v>
      </c>
      <c r="T229" s="901" t="s">
        <v>126</v>
      </c>
      <c r="U229" s="901"/>
      <c r="V229" s="1099"/>
      <c r="W229" s="901"/>
      <c r="X229" s="901"/>
      <c r="Y229" s="901"/>
      <c r="Z229" s="762"/>
      <c r="AA229" s="762"/>
      <c r="AB229" s="901" t="s">
        <v>126</v>
      </c>
      <c r="AC229" s="762">
        <f t="shared" ref="AC229" si="271">+SUM(AC226:AC228)</f>
        <v>138.81099999999998</v>
      </c>
      <c r="AD229" s="762">
        <f t="shared" ref="AD229:AE229" si="272">+SUM(AD226:AD228)</f>
        <v>172.548</v>
      </c>
      <c r="AE229" s="764">
        <f t="shared" si="272"/>
        <v>222.976</v>
      </c>
      <c r="AF229" s="762"/>
    </row>
    <row r="230" spans="1:32" ht="12" x14ac:dyDescent="0.3">
      <c r="A230" s="778"/>
      <c r="B230" s="470"/>
      <c r="C230" s="744"/>
      <c r="D230" s="689"/>
      <c r="E230" s="689"/>
      <c r="F230" s="689"/>
      <c r="G230" s="689"/>
      <c r="H230" s="689"/>
      <c r="I230" s="689"/>
      <c r="J230" s="779"/>
      <c r="K230" s="689"/>
      <c r="L230" s="689"/>
      <c r="M230" s="689"/>
      <c r="N230" s="779"/>
      <c r="O230" s="689"/>
      <c r="P230" s="780"/>
      <c r="Q230" s="780"/>
      <c r="R230" s="1092"/>
      <c r="S230" s="780"/>
      <c r="T230" s="799"/>
      <c r="U230" s="799"/>
      <c r="V230" s="913"/>
      <c r="W230" s="799"/>
      <c r="X230" s="799"/>
      <c r="Y230" s="799"/>
      <c r="Z230" s="744"/>
      <c r="AA230" s="744"/>
      <c r="AB230" s="689"/>
      <c r="AC230" s="689"/>
      <c r="AD230" s="689"/>
      <c r="AE230" s="781"/>
      <c r="AF230" s="689"/>
    </row>
    <row r="231" spans="1:32" ht="12" x14ac:dyDescent="0.3">
      <c r="A231" s="782" t="s">
        <v>622</v>
      </c>
      <c r="B231" s="470"/>
      <c r="C231" s="736"/>
      <c r="D231" s="736"/>
      <c r="E231" s="736"/>
      <c r="F231" s="736"/>
      <c r="G231" s="736"/>
      <c r="H231" s="736"/>
      <c r="I231" s="736"/>
      <c r="J231" s="752"/>
      <c r="K231" s="736"/>
      <c r="L231" s="736"/>
      <c r="M231" s="736"/>
      <c r="N231" s="752"/>
      <c r="O231" s="736"/>
      <c r="P231" s="736"/>
      <c r="Q231" s="736"/>
      <c r="R231" s="752"/>
      <c r="S231" s="736"/>
      <c r="T231" s="736"/>
      <c r="U231" s="736"/>
      <c r="V231" s="752"/>
      <c r="W231" s="736"/>
      <c r="X231" s="736"/>
      <c r="Y231" s="736"/>
      <c r="Z231" s="736"/>
      <c r="AA231" s="736"/>
      <c r="AB231" s="736"/>
      <c r="AC231" s="736"/>
      <c r="AD231" s="736"/>
      <c r="AE231" s="754"/>
      <c r="AF231" s="736"/>
    </row>
    <row r="232" spans="1:32" ht="12" x14ac:dyDescent="0.3">
      <c r="A232" s="778" t="str">
        <f>+A226</f>
        <v>FA</v>
      </c>
      <c r="B232" s="470"/>
      <c r="C232" s="689"/>
      <c r="D232" s="689"/>
      <c r="E232" s="689"/>
      <c r="F232" s="689"/>
      <c r="G232" s="689">
        <f t="shared" ref="G232:T232" si="273">+G226/G31</f>
        <v>7.3151147159393373E-2</v>
      </c>
      <c r="H232" s="689">
        <f t="shared" si="273"/>
        <v>6.8156924747364109E-2</v>
      </c>
      <c r="I232" s="689">
        <f t="shared" si="273"/>
        <v>6.063109564403632E-2</v>
      </c>
      <c r="J232" s="779">
        <f t="shared" si="273"/>
        <v>7.444552330335244E-2</v>
      </c>
      <c r="K232" s="689">
        <f t="shared" si="273"/>
        <v>7.9495721965624294E-2</v>
      </c>
      <c r="L232" s="689">
        <f t="shared" si="273"/>
        <v>6.6426046469060668E-2</v>
      </c>
      <c r="M232" s="689">
        <f t="shared" si="273"/>
        <v>5.8371831365656136E-2</v>
      </c>
      <c r="N232" s="779">
        <f t="shared" si="273"/>
        <v>5.4947019742909269E-2</v>
      </c>
      <c r="O232" s="689">
        <f t="shared" si="273"/>
        <v>7.1460546342182726E-2</v>
      </c>
      <c r="P232" s="689">
        <f t="shared" si="273"/>
        <v>6.2680776539112235E-2</v>
      </c>
      <c r="Q232" s="689">
        <f t="shared" si="273"/>
        <v>6.237317099220336E-2</v>
      </c>
      <c r="R232" s="779">
        <f t="shared" si="273"/>
        <v>5.4229873703520781E-2</v>
      </c>
      <c r="S232" s="689">
        <f t="shared" si="273"/>
        <v>6.9319735642661806E-2</v>
      </c>
      <c r="T232" s="799">
        <f t="shared" si="273"/>
        <v>0</v>
      </c>
      <c r="U232" s="799"/>
      <c r="V232" s="913"/>
      <c r="W232" s="799"/>
      <c r="X232" s="799"/>
      <c r="Y232" s="799"/>
      <c r="Z232" s="736"/>
      <c r="AA232" s="736"/>
      <c r="AB232" s="689">
        <f t="shared" ref="AB232:AE233" si="274">+AB226/AB31</f>
        <v>6.8802969070110659E-2</v>
      </c>
      <c r="AC232" s="689">
        <f t="shared" si="274"/>
        <v>6.9155893894578074E-2</v>
      </c>
      <c r="AD232" s="689">
        <f t="shared" si="274"/>
        <v>6.3243459521686932E-2</v>
      </c>
      <c r="AE232" s="781">
        <f t="shared" si="274"/>
        <v>6.2442671380936093E-2</v>
      </c>
      <c r="AF232" s="689"/>
    </row>
    <row r="233" spans="1:32" ht="12" x14ac:dyDescent="0.3">
      <c r="A233" s="778" t="str">
        <f t="shared" ref="A233:A235" si="275">+A227</f>
        <v>STER</v>
      </c>
      <c r="B233" s="470"/>
      <c r="C233" s="689"/>
      <c r="D233" s="689"/>
      <c r="E233" s="689"/>
      <c r="F233" s="689"/>
      <c r="G233" s="689">
        <f t="shared" ref="G233:T233" si="276">+G227/G32</f>
        <v>9.2983514274225965E-2</v>
      </c>
      <c r="H233" s="689">
        <f t="shared" si="276"/>
        <v>0.124194149326529</v>
      </c>
      <c r="I233" s="689">
        <f t="shared" si="276"/>
        <v>9.1834938602391281E-2</v>
      </c>
      <c r="J233" s="779">
        <f t="shared" si="276"/>
        <v>8.8713675057372071E-2</v>
      </c>
      <c r="K233" s="689">
        <f t="shared" si="276"/>
        <v>7.4621511085599487E-2</v>
      </c>
      <c r="L233" s="689">
        <f t="shared" si="276"/>
        <v>6.2763607150030126E-2</v>
      </c>
      <c r="M233" s="689">
        <f t="shared" si="276"/>
        <v>7.1362432692250982E-2</v>
      </c>
      <c r="N233" s="779">
        <f t="shared" si="276"/>
        <v>6.8536937953913232E-2</v>
      </c>
      <c r="O233" s="689">
        <f t="shared" si="276"/>
        <v>6.563457170837414E-2</v>
      </c>
      <c r="P233" s="689">
        <f t="shared" si="276"/>
        <v>6.0800326862557208E-2</v>
      </c>
      <c r="Q233" s="689">
        <f t="shared" si="276"/>
        <v>6.8816200783747034E-2</v>
      </c>
      <c r="R233" s="779">
        <f t="shared" si="276"/>
        <v>6.8744114877589454E-2</v>
      </c>
      <c r="S233" s="689">
        <f t="shared" si="276"/>
        <v>6.6668897888148865E-2</v>
      </c>
      <c r="T233" s="799">
        <f t="shared" si="276"/>
        <v>6.002605260946299E-2</v>
      </c>
      <c r="U233" s="799"/>
      <c r="V233" s="913"/>
      <c r="W233" s="799"/>
      <c r="X233" s="799"/>
      <c r="Y233" s="799"/>
      <c r="Z233" s="736"/>
      <c r="AA233" s="736"/>
      <c r="AB233" s="689">
        <f t="shared" si="274"/>
        <v>9.0321044038851328E-2</v>
      </c>
      <c r="AC233" s="689">
        <f t="shared" si="274"/>
        <v>9.756578863329933E-2</v>
      </c>
      <c r="AD233" s="689">
        <f t="shared" si="274"/>
        <v>6.9171376759663741E-2</v>
      </c>
      <c r="AE233" s="781">
        <f t="shared" si="274"/>
        <v>6.5854441027567157E-2</v>
      </c>
      <c r="AF233" s="689"/>
    </row>
    <row r="234" spans="1:32" ht="13.5" x14ac:dyDescent="0.45">
      <c r="A234" s="778" t="str">
        <f t="shared" si="275"/>
        <v>HRT</v>
      </c>
      <c r="B234" s="470"/>
      <c r="C234" s="786"/>
      <c r="D234" s="786"/>
      <c r="E234" s="786"/>
      <c r="F234" s="786"/>
      <c r="G234" s="1100" t="s">
        <v>126</v>
      </c>
      <c r="H234" s="1100" t="s">
        <v>126</v>
      </c>
      <c r="I234" s="1100" t="s">
        <v>126</v>
      </c>
      <c r="J234" s="1101" t="s">
        <v>126</v>
      </c>
      <c r="K234" s="1094" t="s">
        <v>126</v>
      </c>
      <c r="L234" s="1094" t="s">
        <v>126</v>
      </c>
      <c r="M234" s="1094" t="s">
        <v>126</v>
      </c>
      <c r="N234" s="1101" t="s">
        <v>126</v>
      </c>
      <c r="O234" s="1094" t="s">
        <v>126</v>
      </c>
      <c r="P234" s="1094" t="s">
        <v>126</v>
      </c>
      <c r="Q234" s="1094" t="s">
        <v>126</v>
      </c>
      <c r="R234" s="1101" t="s">
        <v>126</v>
      </c>
      <c r="S234" s="790" t="s">
        <v>126</v>
      </c>
      <c r="T234" s="1094" t="s">
        <v>126</v>
      </c>
      <c r="U234" s="1183"/>
      <c r="V234" s="1101"/>
      <c r="W234" s="1094"/>
      <c r="X234" s="1094"/>
      <c r="Y234" s="1094"/>
      <c r="Z234" s="736"/>
      <c r="AA234" s="736"/>
      <c r="AB234" s="1094" t="s">
        <v>126</v>
      </c>
      <c r="AC234" s="786">
        <f t="shared" ref="AC234:AE235" si="277">+AC228/AC33</f>
        <v>0.10976942312558528</v>
      </c>
      <c r="AD234" s="786">
        <f t="shared" si="277"/>
        <v>0.11382685332992172</v>
      </c>
      <c r="AE234" s="788">
        <f t="shared" si="277"/>
        <v>0.15111545270173107</v>
      </c>
      <c r="AF234" s="786"/>
    </row>
    <row r="235" spans="1:32" s="470" customFormat="1" x14ac:dyDescent="0.25">
      <c r="A235" s="766" t="str">
        <f t="shared" si="275"/>
        <v>Total R&amp;D</v>
      </c>
      <c r="C235" s="769"/>
      <c r="D235" s="769"/>
      <c r="E235" s="769"/>
      <c r="F235" s="769"/>
      <c r="G235" s="1102" t="s">
        <v>126</v>
      </c>
      <c r="H235" s="1102" t="s">
        <v>126</v>
      </c>
      <c r="I235" s="1102" t="s">
        <v>126</v>
      </c>
      <c r="J235" s="1103" t="s">
        <v>126</v>
      </c>
      <c r="K235" s="1104" t="s">
        <v>126</v>
      </c>
      <c r="L235" s="1104" t="s">
        <v>126</v>
      </c>
      <c r="M235" s="1104" t="s">
        <v>126</v>
      </c>
      <c r="N235" s="1103" t="s">
        <v>126</v>
      </c>
      <c r="O235" s="1104" t="s">
        <v>126</v>
      </c>
      <c r="P235" s="1104" t="s">
        <v>126</v>
      </c>
      <c r="Q235" s="1104" t="s">
        <v>126</v>
      </c>
      <c r="R235" s="1103" t="s">
        <v>126</v>
      </c>
      <c r="S235" s="1105" t="s">
        <v>126</v>
      </c>
      <c r="T235" s="1104" t="s">
        <v>126</v>
      </c>
      <c r="U235" s="1184"/>
      <c r="V235" s="1103"/>
      <c r="W235" s="1104"/>
      <c r="X235" s="1104"/>
      <c r="Y235" s="1104"/>
      <c r="Z235" s="767"/>
      <c r="AA235" s="767"/>
      <c r="AB235" s="1104" t="s">
        <v>126</v>
      </c>
      <c r="AC235" s="769">
        <f t="shared" si="277"/>
        <v>9.2329545926950085E-2</v>
      </c>
      <c r="AD235" s="769">
        <f t="shared" si="277"/>
        <v>8.2787201751510581E-2</v>
      </c>
      <c r="AE235" s="772">
        <f t="shared" si="277"/>
        <v>9.3550881423871801E-2</v>
      </c>
      <c r="AF235" s="769"/>
    </row>
    <row r="236" spans="1:32" ht="11.25" hidden="1" customHeight="1" outlineLevel="1" collapsed="1" x14ac:dyDescent="0.25">
      <c r="A236" s="748" t="s">
        <v>629</v>
      </c>
      <c r="C236" s="744"/>
      <c r="D236" s="744"/>
      <c r="E236" s="744"/>
      <c r="F236" s="744"/>
      <c r="G236" s="744"/>
      <c r="I236" s="744"/>
      <c r="J236" s="745"/>
      <c r="K236" s="744"/>
      <c r="L236" s="744"/>
      <c r="M236" s="744"/>
      <c r="N236" s="745"/>
      <c r="O236" s="744"/>
      <c r="P236" s="744"/>
      <c r="Q236" s="792"/>
      <c r="R236" s="744"/>
      <c r="S236" s="744"/>
      <c r="T236" s="736"/>
      <c r="U236" s="736"/>
      <c r="V236" s="736"/>
      <c r="W236" s="736"/>
      <c r="X236" s="736"/>
      <c r="Y236" s="736"/>
      <c r="Z236" s="736"/>
      <c r="AA236" s="736"/>
      <c r="AB236" s="744"/>
      <c r="AC236" s="744"/>
      <c r="AD236" s="792"/>
      <c r="AE236" s="744"/>
      <c r="AF236" s="744"/>
    </row>
    <row r="237" spans="1:32" hidden="1" outlineLevel="1" x14ac:dyDescent="0.25">
      <c r="A237" s="512" t="s">
        <v>174</v>
      </c>
      <c r="B237" s="470"/>
      <c r="C237" s="736"/>
      <c r="D237" s="736"/>
      <c r="E237" s="736"/>
      <c r="F237" s="736"/>
      <c r="G237" s="736">
        <f t="shared" ref="G237:P237" si="278">+G249-G182</f>
        <v>-22.726000000000006</v>
      </c>
      <c r="H237" s="736">
        <f t="shared" si="278"/>
        <v>16.599000000000004</v>
      </c>
      <c r="I237" s="736">
        <f t="shared" si="278"/>
        <v>8.9690000000000083</v>
      </c>
      <c r="J237" s="752">
        <f t="shared" si="278"/>
        <v>30.375</v>
      </c>
      <c r="K237" s="736">
        <f t="shared" si="278"/>
        <v>18.274999999999991</v>
      </c>
      <c r="L237" s="736">
        <f t="shared" si="278"/>
        <v>25.575000000000006</v>
      </c>
      <c r="M237" s="736">
        <f t="shared" si="278"/>
        <v>21.014999999999993</v>
      </c>
      <c r="N237" s="752">
        <f t="shared" si="278"/>
        <v>58.362000000000009</v>
      </c>
      <c r="O237" s="736">
        <f t="shared" si="278"/>
        <v>33.792999999999992</v>
      </c>
      <c r="P237" s="736">
        <f t="shared" si="278"/>
        <v>46.759</v>
      </c>
      <c r="Q237" s="754"/>
      <c r="R237" s="736"/>
      <c r="S237" s="736"/>
      <c r="T237" s="736"/>
      <c r="U237" s="736"/>
      <c r="V237" s="736"/>
      <c r="W237" s="736"/>
      <c r="X237" s="736"/>
      <c r="Y237" s="736"/>
      <c r="Z237" s="750"/>
      <c r="AA237" s="750"/>
      <c r="AB237" s="736">
        <f t="shared" ref="AB237:AD239" si="279">+AB249-AB182</f>
        <v>51.738</v>
      </c>
      <c r="AC237" s="736">
        <f t="shared" si="279"/>
        <v>33.216999999999999</v>
      </c>
      <c r="AD237" s="754">
        <f t="shared" si="279"/>
        <v>123.22699999999999</v>
      </c>
      <c r="AE237" s="736"/>
      <c r="AF237" s="736"/>
    </row>
    <row r="238" spans="1:32" hidden="1" outlineLevel="1" x14ac:dyDescent="0.25">
      <c r="A238" s="512" t="s">
        <v>175</v>
      </c>
      <c r="B238" s="470"/>
      <c r="C238" s="736"/>
      <c r="D238" s="736"/>
      <c r="E238" s="736"/>
      <c r="F238" s="736"/>
      <c r="G238" s="736">
        <f t="shared" ref="G238:P238" si="280">+G250-G183</f>
        <v>-12.488699999999998</v>
      </c>
      <c r="H238" s="736">
        <f t="shared" si="280"/>
        <v>23.168699999999994</v>
      </c>
      <c r="I238" s="736">
        <f t="shared" si="280"/>
        <v>2.0881999999999881</v>
      </c>
      <c r="J238" s="752">
        <f t="shared" si="280"/>
        <v>6.9150000000000169</v>
      </c>
      <c r="K238" s="736">
        <f t="shared" si="280"/>
        <v>17.798500000000004</v>
      </c>
      <c r="L238" s="736">
        <f t="shared" si="280"/>
        <v>18.1967</v>
      </c>
      <c r="M238" s="736">
        <f t="shared" si="280"/>
        <v>-11.674899999999987</v>
      </c>
      <c r="N238" s="752">
        <f t="shared" si="280"/>
        <v>25.190999999999995</v>
      </c>
      <c r="O238" s="736">
        <f t="shared" si="280"/>
        <v>-1.7920000000000003</v>
      </c>
      <c r="P238" s="736">
        <f t="shared" si="280"/>
        <v>24.189</v>
      </c>
      <c r="Q238" s="754"/>
      <c r="R238" s="736"/>
      <c r="S238" s="736"/>
      <c r="T238" s="736"/>
      <c r="U238" s="736"/>
      <c r="V238" s="736"/>
      <c r="W238" s="736"/>
      <c r="X238" s="736"/>
      <c r="Y238" s="736"/>
      <c r="Z238" s="750"/>
      <c r="AA238" s="750"/>
      <c r="AB238" s="736">
        <f t="shared" si="279"/>
        <v>4.2914999999999992</v>
      </c>
      <c r="AC238" s="736">
        <f t="shared" si="279"/>
        <v>19.683200000000006</v>
      </c>
      <c r="AD238" s="754">
        <f t="shared" si="279"/>
        <v>49.511300000000013</v>
      </c>
      <c r="AE238" s="736"/>
      <c r="AF238" s="736"/>
    </row>
    <row r="239" spans="1:32" ht="13" hidden="1" outlineLevel="1" x14ac:dyDescent="0.4">
      <c r="A239" s="512" t="s">
        <v>606</v>
      </c>
      <c r="B239" s="470"/>
      <c r="C239" s="757"/>
      <c r="D239" s="757"/>
      <c r="E239" s="757"/>
      <c r="F239" s="757"/>
      <c r="G239" s="757">
        <f t="shared" ref="G239:P239" si="281">+G251-G184</f>
        <v>-5.6909000000000045</v>
      </c>
      <c r="H239" s="757">
        <f t="shared" si="281"/>
        <v>6.1220000000000105</v>
      </c>
      <c r="I239" s="757">
        <f t="shared" si="281"/>
        <v>-1.8712000000000208</v>
      </c>
      <c r="J239" s="758">
        <f t="shared" si="281"/>
        <v>5.7214000000000063</v>
      </c>
      <c r="K239" s="757">
        <f t="shared" si="281"/>
        <v>0.51729999999999654</v>
      </c>
      <c r="L239" s="757">
        <f t="shared" si="281"/>
        <v>-7.6258999999999952</v>
      </c>
      <c r="M239" s="757">
        <f t="shared" si="281"/>
        <v>16.168999999999997</v>
      </c>
      <c r="N239" s="758">
        <f t="shared" si="281"/>
        <v>24.376999999999995</v>
      </c>
      <c r="O239" s="757">
        <f t="shared" si="281"/>
        <v>-6.5438000000000001</v>
      </c>
      <c r="P239" s="757">
        <f t="shared" si="281"/>
        <v>34.229799999999997</v>
      </c>
      <c r="Q239" s="760"/>
      <c r="R239" s="757"/>
      <c r="S239" s="757"/>
      <c r="T239" s="757"/>
      <c r="U239" s="757"/>
      <c r="V239" s="757"/>
      <c r="W239" s="757"/>
      <c r="X239" s="757"/>
      <c r="Y239" s="757"/>
      <c r="Z239" s="755"/>
      <c r="AA239" s="755"/>
      <c r="AB239" s="757">
        <f t="shared" si="279"/>
        <v>7.649499999999998</v>
      </c>
      <c r="AC239" s="757">
        <f t="shared" si="279"/>
        <v>4.281299999999991</v>
      </c>
      <c r="AD239" s="760">
        <f t="shared" si="279"/>
        <v>33.43739999999999</v>
      </c>
      <c r="AE239" s="757"/>
      <c r="AF239" s="757"/>
    </row>
    <row r="240" spans="1:32" s="761" customFormat="1" hidden="1" outlineLevel="1" x14ac:dyDescent="0.25">
      <c r="A240" s="505" t="s">
        <v>630</v>
      </c>
      <c r="C240" s="762"/>
      <c r="D240" s="762"/>
      <c r="E240" s="762"/>
      <c r="F240" s="762"/>
      <c r="G240" s="762">
        <f>SUM(G237:G239)</f>
        <v>-40.905600000000014</v>
      </c>
      <c r="H240" s="762">
        <f t="shared" ref="H240:P240" si="282">SUM(H237:H239)</f>
        <v>45.889700000000005</v>
      </c>
      <c r="I240" s="762">
        <f t="shared" si="282"/>
        <v>9.1859999999999751</v>
      </c>
      <c r="J240" s="763">
        <f t="shared" si="282"/>
        <v>43.011400000000023</v>
      </c>
      <c r="K240" s="762">
        <f t="shared" si="282"/>
        <v>36.590799999999994</v>
      </c>
      <c r="L240" s="762">
        <f t="shared" si="282"/>
        <v>36.145800000000015</v>
      </c>
      <c r="M240" s="762">
        <f t="shared" si="282"/>
        <v>25.509100000000004</v>
      </c>
      <c r="N240" s="763">
        <f t="shared" si="282"/>
        <v>107.92999999999999</v>
      </c>
      <c r="O240" s="762">
        <f t="shared" si="282"/>
        <v>25.45719999999999</v>
      </c>
      <c r="P240" s="762">
        <f t="shared" si="282"/>
        <v>105.1778</v>
      </c>
      <c r="Q240" s="764"/>
      <c r="R240" s="762"/>
      <c r="S240" s="762"/>
      <c r="T240" s="762"/>
      <c r="U240" s="762"/>
      <c r="V240" s="762"/>
      <c r="W240" s="762"/>
      <c r="X240" s="762"/>
      <c r="Y240" s="762"/>
      <c r="Z240" s="762"/>
      <c r="AA240" s="762"/>
      <c r="AB240" s="762">
        <f t="shared" ref="AB240:AD240" si="283">SUM(AB237:AB239)</f>
        <v>63.678999999999995</v>
      </c>
      <c r="AC240" s="762">
        <f t="shared" si="283"/>
        <v>57.1815</v>
      </c>
      <c r="AD240" s="764">
        <f t="shared" si="283"/>
        <v>206.17570000000001</v>
      </c>
      <c r="AE240" s="762"/>
      <c r="AF240" s="762"/>
    </row>
    <row r="241" spans="1:32" ht="12" hidden="1" outlineLevel="1" x14ac:dyDescent="0.3">
      <c r="A241" s="778"/>
      <c r="B241" s="470"/>
      <c r="C241" s="744"/>
      <c r="D241" s="689"/>
      <c r="E241" s="689"/>
      <c r="F241" s="689"/>
      <c r="G241" s="689"/>
      <c r="H241" s="689"/>
      <c r="I241" s="689"/>
      <c r="J241" s="779"/>
      <c r="K241" s="689"/>
      <c r="L241" s="689"/>
      <c r="M241" s="689"/>
      <c r="N241" s="779"/>
      <c r="O241" s="689"/>
      <c r="P241" s="780"/>
      <c r="Q241" s="1006"/>
      <c r="R241" s="780"/>
      <c r="S241" s="780"/>
      <c r="T241" s="799"/>
      <c r="U241" s="799"/>
      <c r="V241" s="799"/>
      <c r="W241" s="799"/>
      <c r="X241" s="799"/>
      <c r="Y241" s="799"/>
      <c r="Z241" s="744"/>
      <c r="AA241" s="744"/>
      <c r="AB241" s="689"/>
      <c r="AC241" s="689"/>
      <c r="AD241" s="781"/>
      <c r="AE241" s="689"/>
      <c r="AF241" s="689"/>
    </row>
    <row r="242" spans="1:32" ht="12" hidden="1" outlineLevel="1" x14ac:dyDescent="0.3">
      <c r="A242" s="782" t="s">
        <v>622</v>
      </c>
      <c r="B242" s="470"/>
      <c r="C242" s="736"/>
      <c r="D242" s="736"/>
      <c r="E242" s="736"/>
      <c r="F242" s="736"/>
      <c r="G242" s="736"/>
      <c r="H242" s="736"/>
      <c r="I242" s="736"/>
      <c r="J242" s="752"/>
      <c r="K242" s="736"/>
      <c r="L242" s="736"/>
      <c r="M242" s="736"/>
      <c r="N242" s="752"/>
      <c r="O242" s="736"/>
      <c r="P242" s="736"/>
      <c r="Q242" s="754"/>
      <c r="R242" s="736"/>
      <c r="S242" s="736"/>
      <c r="T242" s="736"/>
      <c r="U242" s="736"/>
      <c r="V242" s="736"/>
      <c r="W242" s="736"/>
      <c r="X242" s="736"/>
      <c r="Y242" s="736"/>
      <c r="Z242" s="736"/>
      <c r="AA242" s="736"/>
      <c r="AB242" s="736"/>
      <c r="AC242" s="736"/>
      <c r="AD242" s="754"/>
      <c r="AE242" s="736"/>
      <c r="AF242" s="736"/>
    </row>
    <row r="243" spans="1:32" ht="12" hidden="1" outlineLevel="1" x14ac:dyDescent="0.3">
      <c r="A243" s="778" t="str">
        <f>+A237</f>
        <v>FA</v>
      </c>
      <c r="B243" s="470"/>
      <c r="C243" s="689"/>
      <c r="D243" s="689"/>
      <c r="E243" s="689"/>
      <c r="F243" s="689"/>
      <c r="G243" s="689">
        <f t="shared" ref="G243:P243" si="284">+G237/G31</f>
        <v>-0.20503613349091931</v>
      </c>
      <c r="H243" s="689">
        <f t="shared" si="284"/>
        <v>0.1580962540359834</v>
      </c>
      <c r="I243" s="689">
        <f t="shared" si="284"/>
        <v>6.5573410928658177E-2</v>
      </c>
      <c r="J243" s="779">
        <f t="shared" si="284"/>
        <v>0.19403490392477524</v>
      </c>
      <c r="K243" s="689">
        <f t="shared" si="284"/>
        <v>0.1383735897630044</v>
      </c>
      <c r="L243" s="689">
        <f t="shared" si="284"/>
        <v>0.14628830951917912</v>
      </c>
      <c r="M243" s="689">
        <f t="shared" si="284"/>
        <v>0.10896109754390328</v>
      </c>
      <c r="N243" s="779">
        <f t="shared" si="284"/>
        <v>0.27460335384789097</v>
      </c>
      <c r="O243" s="689">
        <f t="shared" si="284"/>
        <v>0.17796935975690034</v>
      </c>
      <c r="P243" s="689">
        <f t="shared" si="284"/>
        <v>0.23198436205416723</v>
      </c>
      <c r="Q243" s="781"/>
      <c r="R243" s="689"/>
      <c r="S243" s="689"/>
      <c r="T243" s="799"/>
      <c r="U243" s="799"/>
      <c r="V243" s="799"/>
      <c r="W243" s="799"/>
      <c r="X243" s="799"/>
      <c r="Y243" s="799"/>
      <c r="Z243" s="736"/>
      <c r="AA243" s="736"/>
      <c r="AB243" s="689">
        <f t="shared" ref="AB243:AD246" si="285">+AB237/AB31</f>
        <v>0.10739216260142352</v>
      </c>
      <c r="AC243" s="689">
        <f t="shared" si="285"/>
        <v>6.5239593521802836E-2</v>
      </c>
      <c r="AD243" s="781">
        <f t="shared" si="285"/>
        <v>0.17299995086305531</v>
      </c>
      <c r="AE243" s="689"/>
      <c r="AF243" s="689"/>
    </row>
    <row r="244" spans="1:32" ht="12" hidden="1" outlineLevel="1" x14ac:dyDescent="0.3">
      <c r="A244" s="778" t="str">
        <f t="shared" ref="A244:A246" si="286">+A238</f>
        <v>STER</v>
      </c>
      <c r="B244" s="470"/>
      <c r="C244" s="689"/>
      <c r="D244" s="689"/>
      <c r="E244" s="689"/>
      <c r="F244" s="689"/>
      <c r="G244" s="689">
        <f t="shared" ref="G244:P244" si="287">+G238/G32</f>
        <v>-0.10461650583031763</v>
      </c>
      <c r="H244" s="689">
        <f t="shared" si="287"/>
        <v>0.26158336250014108</v>
      </c>
      <c r="I244" s="689">
        <f t="shared" si="287"/>
        <v>1.7756455443473367E-2</v>
      </c>
      <c r="J244" s="779">
        <f t="shared" si="287"/>
        <v>5.3811847633485031E-2</v>
      </c>
      <c r="K244" s="689">
        <f t="shared" si="287"/>
        <v>0.12770682356317717</v>
      </c>
      <c r="L244" s="689">
        <f t="shared" si="287"/>
        <v>0.11420905302269532</v>
      </c>
      <c r="M244" s="689">
        <f t="shared" si="287"/>
        <v>-6.8855311193285959E-2</v>
      </c>
      <c r="N244" s="779">
        <f t="shared" si="287"/>
        <v>0.14508521041991831</v>
      </c>
      <c r="O244" s="689">
        <f t="shared" si="287"/>
        <v>-9.3346946429687678E-3</v>
      </c>
      <c r="P244" s="689">
        <f t="shared" si="287"/>
        <v>0.11765592851827171</v>
      </c>
      <c r="Q244" s="781"/>
      <c r="R244" s="689"/>
      <c r="S244" s="689"/>
      <c r="T244" s="799"/>
      <c r="U244" s="799"/>
      <c r="V244" s="799"/>
      <c r="W244" s="799"/>
      <c r="X244" s="799"/>
      <c r="Y244" s="799"/>
      <c r="Z244" s="736"/>
      <c r="AA244" s="736"/>
      <c r="AB244" s="689">
        <f t="shared" si="285"/>
        <v>8.6328009018425481E-3</v>
      </c>
      <c r="AC244" s="689">
        <f t="shared" si="285"/>
        <v>4.3350043585258638E-2</v>
      </c>
      <c r="AD244" s="781">
        <f t="shared" si="285"/>
        <v>7.7134342030647299E-2</v>
      </c>
      <c r="AE244" s="689"/>
      <c r="AF244" s="689"/>
    </row>
    <row r="245" spans="1:32" ht="12" hidden="1" outlineLevel="1" x14ac:dyDescent="0.3">
      <c r="A245" s="778" t="str">
        <f t="shared" si="286"/>
        <v>HRT</v>
      </c>
      <c r="B245" s="470"/>
      <c r="C245" s="786"/>
      <c r="D245" s="786"/>
      <c r="E245" s="786"/>
      <c r="F245" s="786"/>
      <c r="G245" s="786">
        <f t="shared" ref="G245:P245" si="288">+G239/G33</f>
        <v>-3.6764867389616276E-2</v>
      </c>
      <c r="H245" s="786">
        <f t="shared" si="288"/>
        <v>5.8496798537675691E-2</v>
      </c>
      <c r="I245" s="786">
        <f t="shared" si="288"/>
        <v>-1.4319670261889727E-2</v>
      </c>
      <c r="J245" s="787">
        <f t="shared" si="288"/>
        <v>3.8116544128424031E-2</v>
      </c>
      <c r="K245" s="786">
        <f t="shared" si="288"/>
        <v>3.4588749596308342E-3</v>
      </c>
      <c r="L245" s="786">
        <f t="shared" si="288"/>
        <v>-4.3088100104020734E-2</v>
      </c>
      <c r="M245" s="786">
        <f t="shared" si="288"/>
        <v>7.8880481605612215E-2</v>
      </c>
      <c r="N245" s="787">
        <f t="shared" si="288"/>
        <v>0.12278501415374694</v>
      </c>
      <c r="O245" s="786">
        <f t="shared" si="288"/>
        <v>-3.2931241853747399E-2</v>
      </c>
      <c r="P245" s="786">
        <f t="shared" si="288"/>
        <v>0.15398574847497884</v>
      </c>
      <c r="Q245" s="788"/>
      <c r="R245" s="786"/>
      <c r="S245" s="786"/>
      <c r="T245" s="800"/>
      <c r="U245" s="800"/>
      <c r="V245" s="800"/>
      <c r="W245" s="800"/>
      <c r="X245" s="800"/>
      <c r="Y245" s="800"/>
      <c r="Z245" s="736"/>
      <c r="AA245" s="736"/>
      <c r="AB245" s="786">
        <f t="shared" si="285"/>
        <v>1.1812918092674304E-2</v>
      </c>
      <c r="AC245" s="786">
        <f t="shared" si="285"/>
        <v>7.9250561758443059E-3</v>
      </c>
      <c r="AD245" s="788">
        <f t="shared" si="285"/>
        <v>4.5801131474535781E-2</v>
      </c>
      <c r="AE245" s="786"/>
      <c r="AF245" s="786"/>
    </row>
    <row r="246" spans="1:32" s="470" customFormat="1" hidden="1" outlineLevel="1" x14ac:dyDescent="0.25">
      <c r="A246" s="766" t="str">
        <f t="shared" si="286"/>
        <v>Total FCF</v>
      </c>
      <c r="C246" s="769"/>
      <c r="D246" s="769"/>
      <c r="E246" s="769"/>
      <c r="F246" s="769"/>
      <c r="G246" s="769">
        <f t="shared" ref="G246:P246" si="289">+G240/G34</f>
        <v>-0.10624643512789908</v>
      </c>
      <c r="H246" s="769">
        <f t="shared" si="289"/>
        <v>0.15387904136318478</v>
      </c>
      <c r="I246" s="769">
        <f t="shared" si="289"/>
        <v>2.3856412754896205E-2</v>
      </c>
      <c r="J246" s="770">
        <f t="shared" si="289"/>
        <v>9.8842675205635999E-2</v>
      </c>
      <c r="K246" s="769">
        <f t="shared" si="289"/>
        <v>8.691457166114841E-2</v>
      </c>
      <c r="L246" s="769">
        <f t="shared" si="289"/>
        <v>7.0716337019814057E-2</v>
      </c>
      <c r="M246" s="769">
        <f t="shared" si="289"/>
        <v>4.4957481869211592E-2</v>
      </c>
      <c r="N246" s="770">
        <f t="shared" si="289"/>
        <v>0.18459196675189624</v>
      </c>
      <c r="O246" s="769">
        <f t="shared" si="289"/>
        <v>4.3849084683170135E-2</v>
      </c>
      <c r="P246" s="769">
        <f t="shared" si="289"/>
        <v>0.16709635805568088</v>
      </c>
      <c r="Q246" s="772"/>
      <c r="R246" s="769"/>
      <c r="S246" s="769"/>
      <c r="T246" s="773"/>
      <c r="U246" s="773"/>
      <c r="V246" s="773"/>
      <c r="W246" s="773"/>
      <c r="X246" s="773"/>
      <c r="Y246" s="773"/>
      <c r="Z246" s="767"/>
      <c r="AA246" s="767"/>
      <c r="AB246" s="769">
        <f t="shared" si="285"/>
        <v>3.9152468550261166E-2</v>
      </c>
      <c r="AC246" s="769">
        <f t="shared" si="285"/>
        <v>3.8034031383837714E-2</v>
      </c>
      <c r="AD246" s="772">
        <f t="shared" si="285"/>
        <v>9.8921513272590342E-2</v>
      </c>
      <c r="AE246" s="769"/>
      <c r="AF246" s="769"/>
    </row>
    <row r="247" spans="1:32" hidden="1" outlineLevel="1" x14ac:dyDescent="0.25">
      <c r="J247" s="1090"/>
      <c r="N247" s="1090"/>
      <c r="Q247" s="1093"/>
      <c r="AD247" s="1093"/>
    </row>
    <row r="248" spans="1:32" ht="11.25" hidden="1" customHeight="1" outlineLevel="1" collapsed="1" x14ac:dyDescent="0.25">
      <c r="A248" s="748" t="s">
        <v>150</v>
      </c>
      <c r="C248" s="744"/>
      <c r="D248" s="744"/>
      <c r="E248" s="744"/>
      <c r="F248" s="744"/>
      <c r="G248" s="744"/>
      <c r="H248" s="744"/>
      <c r="I248" s="744"/>
      <c r="J248" s="745"/>
      <c r="K248" s="744"/>
      <c r="L248" s="744"/>
      <c r="M248" s="744"/>
      <c r="N248" s="745"/>
      <c r="O248" s="744"/>
      <c r="P248" s="744"/>
      <c r="Q248" s="792"/>
      <c r="R248" s="744"/>
      <c r="S248" s="744"/>
      <c r="T248" s="736"/>
      <c r="U248" s="736"/>
      <c r="V248" s="736"/>
      <c r="W248" s="736"/>
      <c r="X248" s="736"/>
      <c r="Y248" s="736"/>
      <c r="Z248" s="736"/>
      <c r="AA248" s="736"/>
      <c r="AB248" s="744"/>
      <c r="AC248" s="744"/>
      <c r="AD248" s="792"/>
      <c r="AE248" s="744"/>
      <c r="AF248" s="744"/>
    </row>
    <row r="249" spans="1:32" hidden="1" outlineLevel="1" x14ac:dyDescent="0.25">
      <c r="A249" s="512" t="s">
        <v>174</v>
      </c>
      <c r="B249" s="470"/>
      <c r="C249" s="736"/>
      <c r="D249" s="736"/>
      <c r="E249" s="736"/>
      <c r="F249" s="736"/>
      <c r="G249" s="736">
        <f>+'FA - Historical Financials'!G133</f>
        <v>-17.518000000000008</v>
      </c>
      <c r="H249" s="736">
        <f>+'FA - Historical Financials'!H133</f>
        <v>21.711000000000006</v>
      </c>
      <c r="I249" s="736">
        <f>+'FA - Historical Financials'!I133</f>
        <v>14.217000000000008</v>
      </c>
      <c r="J249" s="752">
        <f>+'FA - Historical Financials'!J133</f>
        <v>35.225000000000001</v>
      </c>
      <c r="K249" s="736">
        <f>+'FA - Historical Financials'!K133</f>
        <v>23.71299999999999</v>
      </c>
      <c r="L249" s="736">
        <f>+'FA - Historical Financials'!L133</f>
        <v>32.385000000000005</v>
      </c>
      <c r="M249" s="736">
        <f>+'FA - Historical Financials'!M133</f>
        <v>27.761999999999993</v>
      </c>
      <c r="N249" s="752">
        <f>+'FA - Historical Financials'!N133</f>
        <v>64.817000000000007</v>
      </c>
      <c r="O249" s="736">
        <f>+'FA - Historical Financials'!O133</f>
        <v>41.582999999999991</v>
      </c>
      <c r="P249" s="736">
        <f>+'FA - Historical Financials'!P133</f>
        <v>54.829000000000001</v>
      </c>
      <c r="Q249" s="1007"/>
      <c r="R249" s="753"/>
      <c r="S249" s="753"/>
      <c r="T249" s="736"/>
      <c r="U249" s="736"/>
      <c r="V249" s="736"/>
      <c r="W249" s="736"/>
      <c r="X249" s="736"/>
      <c r="Y249" s="736"/>
      <c r="Z249" s="750"/>
      <c r="AA249" s="750"/>
      <c r="AB249" s="736">
        <f>+'FA - Historical Financials'!AG133</f>
        <v>71.582999999999998</v>
      </c>
      <c r="AC249" s="736">
        <f>SUM(G249:J249)</f>
        <v>53.635000000000005</v>
      </c>
      <c r="AD249" s="754">
        <f>SUM(K249:N249)</f>
        <v>148.67699999999999</v>
      </c>
      <c r="AE249" s="736"/>
      <c r="AF249" s="736"/>
    </row>
    <row r="250" spans="1:32" hidden="1" outlineLevel="1" x14ac:dyDescent="0.25">
      <c r="A250" s="512" t="s">
        <v>175</v>
      </c>
      <c r="B250" s="470"/>
      <c r="C250" s="736"/>
      <c r="D250" s="736"/>
      <c r="E250" s="736"/>
      <c r="F250" s="736"/>
      <c r="G250" s="736">
        <v>-6.7886999999999968</v>
      </c>
      <c r="H250" s="736">
        <v>27.014699999999994</v>
      </c>
      <c r="I250" s="736">
        <v>5.6271999999999895</v>
      </c>
      <c r="J250" s="752">
        <v>10.332000000000019</v>
      </c>
      <c r="K250" s="736">
        <v>21.983500000000003</v>
      </c>
      <c r="L250" s="736">
        <v>23.306799999999999</v>
      </c>
      <c r="M250" s="736">
        <v>-6.3639999999999857</v>
      </c>
      <c r="N250" s="752">
        <v>29.678999999999998</v>
      </c>
      <c r="O250" s="736">
        <v>3.4449999999999998</v>
      </c>
      <c r="P250" s="736">
        <v>29.834</v>
      </c>
      <c r="Q250" s="1007"/>
      <c r="R250" s="753"/>
      <c r="S250" s="753"/>
      <c r="T250" s="736"/>
      <c r="U250" s="736"/>
      <c r="V250" s="736"/>
      <c r="W250" s="736"/>
      <c r="X250" s="736"/>
      <c r="Y250" s="736"/>
      <c r="Z250" s="750"/>
      <c r="AA250" s="750"/>
      <c r="AB250" s="736">
        <v>36.179699999999997</v>
      </c>
      <c r="AC250" s="736">
        <f t="shared" ref="AC250:AC251" si="290">SUM(G250:J250)</f>
        <v>36.185200000000009</v>
      </c>
      <c r="AD250" s="754">
        <f t="shared" ref="AD250:AD251" si="291">SUM(K250:N250)</f>
        <v>68.605300000000014</v>
      </c>
      <c r="AE250" s="736"/>
      <c r="AF250" s="736"/>
    </row>
    <row r="251" spans="1:32" ht="13" hidden="1" outlineLevel="1" x14ac:dyDescent="0.4">
      <c r="A251" s="512" t="s">
        <v>606</v>
      </c>
      <c r="B251" s="470"/>
      <c r="C251" s="757"/>
      <c r="D251" s="757"/>
      <c r="E251" s="757"/>
      <c r="F251" s="757"/>
      <c r="G251" s="757">
        <v>-2.4389000000000052</v>
      </c>
      <c r="H251" s="757">
        <v>10.64800000000001</v>
      </c>
      <c r="I251" s="757">
        <v>-0.46880000000002109</v>
      </c>
      <c r="J251" s="758">
        <v>8.651400000000006</v>
      </c>
      <c r="K251" s="757">
        <v>3.1922999999999964</v>
      </c>
      <c r="L251" s="757">
        <v>-3.5428999999999951</v>
      </c>
      <c r="M251" s="757">
        <v>19.393999999999998</v>
      </c>
      <c r="N251" s="758">
        <v>28.430999999999994</v>
      </c>
      <c r="O251" s="757">
        <v>-2.0148000000000001</v>
      </c>
      <c r="P251" s="757">
        <v>37.880800000000001</v>
      </c>
      <c r="Q251" s="1106"/>
      <c r="R251" s="759"/>
      <c r="S251" s="759"/>
      <c r="T251" s="757"/>
      <c r="U251" s="757"/>
      <c r="V251" s="757"/>
      <c r="W251" s="757"/>
      <c r="X251" s="757"/>
      <c r="Y251" s="757"/>
      <c r="Z251" s="755"/>
      <c r="AA251" s="755"/>
      <c r="AB251" s="757">
        <v>22.023499999999999</v>
      </c>
      <c r="AC251" s="757">
        <f t="shared" si="290"/>
        <v>16.39169999999999</v>
      </c>
      <c r="AD251" s="760">
        <f t="shared" si="291"/>
        <v>47.474399999999989</v>
      </c>
      <c r="AE251" s="757"/>
      <c r="AF251" s="757"/>
    </row>
    <row r="252" spans="1:32" s="761" customFormat="1" hidden="1" outlineLevel="1" x14ac:dyDescent="0.25">
      <c r="A252" s="505" t="s">
        <v>631</v>
      </c>
      <c r="C252" s="762"/>
      <c r="D252" s="762"/>
      <c r="E252" s="762"/>
      <c r="F252" s="762"/>
      <c r="G252" s="762">
        <f>+SUM(G249:G251)</f>
        <v>-26.74560000000001</v>
      </c>
      <c r="H252" s="762">
        <f t="shared" ref="H252" si="292">+SUM(H249:H251)</f>
        <v>59.373700000000014</v>
      </c>
      <c r="I252" s="762">
        <f t="shared" ref="I252" si="293">+SUM(I249:I251)</f>
        <v>19.375399999999978</v>
      </c>
      <c r="J252" s="763">
        <f t="shared" ref="J252" si="294">+SUM(J249:J251)</f>
        <v>54.208400000000026</v>
      </c>
      <c r="K252" s="762">
        <f t="shared" ref="K252" si="295">+SUM(K249:K251)</f>
        <v>48.888799999999989</v>
      </c>
      <c r="L252" s="762">
        <f t="shared" ref="L252" si="296">+SUM(L249:L251)</f>
        <v>52.148900000000005</v>
      </c>
      <c r="M252" s="762">
        <f t="shared" ref="M252" si="297">+SUM(M249:M251)</f>
        <v>40.792000000000002</v>
      </c>
      <c r="N252" s="763">
        <f t="shared" ref="N252" si="298">+SUM(N249:N251)</f>
        <v>122.92700000000001</v>
      </c>
      <c r="O252" s="762">
        <f t="shared" ref="O252" si="299">+SUM(O249:O251)</f>
        <v>43.013199999999991</v>
      </c>
      <c r="P252" s="762">
        <f t="shared" ref="P252" si="300">+SUM(P249:P251)</f>
        <v>122.5438</v>
      </c>
      <c r="Q252" s="764"/>
      <c r="R252" s="762"/>
      <c r="S252" s="762"/>
      <c r="T252" s="762"/>
      <c r="U252" s="762"/>
      <c r="V252" s="762"/>
      <c r="W252" s="762"/>
      <c r="X252" s="762"/>
      <c r="Y252" s="762"/>
      <c r="Z252" s="762"/>
      <c r="AA252" s="762"/>
      <c r="AB252" s="762">
        <f t="shared" ref="AB252" si="301">+SUM(AB249:AB251)</f>
        <v>129.78620000000001</v>
      </c>
      <c r="AC252" s="762">
        <f t="shared" ref="AC252" si="302">+SUM(AC249:AC251)</f>
        <v>106.2119</v>
      </c>
      <c r="AD252" s="764">
        <f t="shared" ref="AD252" si="303">+SUM(AD249:AD251)</f>
        <v>264.75670000000002</v>
      </c>
      <c r="AE252" s="762"/>
      <c r="AF252" s="762"/>
    </row>
    <row r="253" spans="1:32" hidden="1" outlineLevel="1" x14ac:dyDescent="0.25">
      <c r="J253" s="1090"/>
      <c r="N253" s="1090"/>
      <c r="Q253" s="1093"/>
      <c r="AD253" s="1093"/>
    </row>
    <row r="254" spans="1:32" hidden="1" outlineLevel="1" x14ac:dyDescent="0.25">
      <c r="J254" s="1090"/>
      <c r="N254" s="1090"/>
      <c r="Q254" s="1093"/>
      <c r="AD254" s="1093"/>
    </row>
    <row r="255" spans="1:32" ht="12" collapsed="1" x14ac:dyDescent="0.3">
      <c r="A255" s="460" t="s">
        <v>174</v>
      </c>
      <c r="Q255" s="731"/>
      <c r="R255" s="731"/>
      <c r="S255" s="731"/>
      <c r="T255" s="1067"/>
      <c r="U255" s="1067"/>
      <c r="V255" s="1067"/>
      <c r="W255" s="1067"/>
      <c r="X255" s="1067"/>
      <c r="Y255" s="1067"/>
      <c r="Z255" s="731"/>
      <c r="AA255" s="731"/>
    </row>
    <row r="256" spans="1:32" x14ac:dyDescent="0.25">
      <c r="A256" s="470" t="s">
        <v>632</v>
      </c>
      <c r="B256" s="470"/>
      <c r="AB256" s="732"/>
    </row>
    <row r="257" spans="1:38" s="541" customFormat="1" ht="12.5" thickBot="1" x14ac:dyDescent="0.35">
      <c r="A257" s="733"/>
      <c r="B257" s="733"/>
      <c r="T257" s="1068"/>
      <c r="U257" s="1068"/>
      <c r="V257" s="1068"/>
      <c r="W257" s="1068"/>
      <c r="X257" s="1068"/>
      <c r="Y257" s="1068"/>
    </row>
    <row r="258" spans="1:38" s="1110" customFormat="1" ht="73.5" customHeight="1" thickBot="1" x14ac:dyDescent="0.35">
      <c r="A258" s="1107" t="s">
        <v>633</v>
      </c>
      <c r="B258" s="1108"/>
      <c r="C258" s="1108"/>
      <c r="D258" s="1108"/>
      <c r="E258" s="1108"/>
      <c r="F258" s="1108"/>
      <c r="G258" s="1109" t="s">
        <v>100</v>
      </c>
      <c r="H258" s="2366" t="s">
        <v>634</v>
      </c>
      <c r="I258" s="2366"/>
      <c r="J258" s="2366"/>
      <c r="K258" s="2366"/>
      <c r="L258" s="2366"/>
      <c r="M258" s="2366"/>
      <c r="N258" s="2366"/>
      <c r="O258" s="2366"/>
      <c r="P258" s="2366"/>
      <c r="Q258" s="2366"/>
      <c r="R258" s="2366"/>
      <c r="S258" s="2366"/>
      <c r="T258" s="2366"/>
      <c r="U258" s="2366"/>
      <c r="V258" s="2366"/>
      <c r="W258" s="2366"/>
      <c r="X258" s="2366"/>
      <c r="Y258" s="2366"/>
      <c r="Z258" s="2366"/>
      <c r="AA258" s="2366"/>
      <c r="AB258" s="2366"/>
      <c r="AC258" s="2366"/>
      <c r="AD258" s="2366"/>
      <c r="AE258" s="2367"/>
      <c r="AF258" s="1413"/>
    </row>
    <row r="259" spans="1:38" s="1112" customFormat="1" ht="30" customHeight="1" x14ac:dyDescent="0.35">
      <c r="A259" s="1111" t="s">
        <v>174</v>
      </c>
      <c r="B259" s="1111"/>
      <c r="C259" s="1111"/>
      <c r="D259" s="1111"/>
      <c r="E259" s="1111"/>
      <c r="F259" s="1111"/>
      <c r="G259" s="1111" t="s">
        <v>100</v>
      </c>
      <c r="H259" s="2363" t="s">
        <v>635</v>
      </c>
      <c r="I259" s="2363"/>
      <c r="J259" s="2363"/>
      <c r="K259" s="2363"/>
      <c r="L259" s="2363"/>
      <c r="M259" s="2363"/>
      <c r="N259" s="2363"/>
      <c r="O259" s="2363"/>
      <c r="P259" s="2363"/>
      <c r="Q259" s="2363"/>
      <c r="R259" s="2363"/>
      <c r="S259" s="2363"/>
      <c r="T259" s="2363"/>
      <c r="U259" s="2363"/>
      <c r="V259" s="2363"/>
      <c r="W259" s="2363"/>
      <c r="X259" s="2363"/>
      <c r="Y259" s="2363"/>
      <c r="Z259" s="2363"/>
      <c r="AA259" s="2363"/>
      <c r="AB259" s="2363"/>
      <c r="AC259" s="2363"/>
      <c r="AD259" s="2363"/>
      <c r="AE259" s="2363"/>
      <c r="AF259" s="1411"/>
    </row>
    <row r="260" spans="1:38" s="1112" customFormat="1" ht="12" x14ac:dyDescent="0.35">
      <c r="A260" s="1111" t="s">
        <v>174</v>
      </c>
      <c r="B260" s="1111"/>
      <c r="C260" s="1111"/>
      <c r="D260" s="1111"/>
      <c r="E260" s="1111"/>
      <c r="F260" s="1111"/>
      <c r="G260" s="1111" t="s">
        <v>100</v>
      </c>
      <c r="H260" s="2363" t="s">
        <v>636</v>
      </c>
      <c r="I260" s="2363"/>
      <c r="J260" s="2363"/>
      <c r="K260" s="2363"/>
      <c r="L260" s="2363"/>
      <c r="M260" s="2363"/>
      <c r="N260" s="2363"/>
      <c r="O260" s="2363"/>
      <c r="P260" s="2363"/>
      <c r="Q260" s="2363"/>
      <c r="R260" s="2363"/>
      <c r="S260" s="2363"/>
      <c r="T260" s="2363"/>
      <c r="U260" s="2363"/>
      <c r="V260" s="2363"/>
      <c r="W260" s="2363"/>
      <c r="X260" s="2363"/>
      <c r="Y260" s="2363"/>
      <c r="Z260" s="2363"/>
      <c r="AA260" s="2363"/>
      <c r="AB260" s="2363"/>
      <c r="AC260" s="2363"/>
      <c r="AD260" s="2363"/>
      <c r="AE260" s="2363"/>
      <c r="AF260" s="1411"/>
    </row>
    <row r="261" spans="1:38" s="1112" customFormat="1" ht="12" x14ac:dyDescent="0.35">
      <c r="A261" s="1111" t="s">
        <v>174</v>
      </c>
      <c r="B261" s="1111"/>
      <c r="C261" s="1111"/>
      <c r="D261" s="1111"/>
      <c r="E261" s="1111"/>
      <c r="F261" s="1111"/>
      <c r="G261" s="1111" t="s">
        <v>100</v>
      </c>
      <c r="H261" s="2363" t="s">
        <v>637</v>
      </c>
      <c r="I261" s="2363"/>
      <c r="J261" s="2363"/>
      <c r="K261" s="2363"/>
      <c r="L261" s="2363"/>
      <c r="M261" s="2363"/>
      <c r="N261" s="2363"/>
      <c r="O261" s="2363"/>
      <c r="P261" s="2363"/>
      <c r="Q261" s="2363"/>
      <c r="R261" s="2363"/>
      <c r="S261" s="2363"/>
      <c r="T261" s="2363"/>
      <c r="U261" s="2363"/>
      <c r="V261" s="2363"/>
      <c r="W261" s="2363"/>
      <c r="X261" s="2363"/>
      <c r="Y261" s="2363"/>
      <c r="Z261" s="2363"/>
      <c r="AA261" s="2363"/>
      <c r="AB261" s="2363"/>
      <c r="AC261" s="2363"/>
      <c r="AD261" s="2363"/>
      <c r="AE261" s="2363"/>
      <c r="AF261" s="1411"/>
    </row>
    <row r="262" spans="1:38" s="1112" customFormat="1" ht="28.5" customHeight="1" x14ac:dyDescent="0.35">
      <c r="A262" s="1111" t="s">
        <v>174</v>
      </c>
      <c r="B262" s="1111"/>
      <c r="C262" s="1111"/>
      <c r="D262" s="1111"/>
      <c r="E262" s="1111"/>
      <c r="F262" s="1111"/>
      <c r="G262" s="1111" t="s">
        <v>100</v>
      </c>
      <c r="H262" s="2363" t="s">
        <v>638</v>
      </c>
      <c r="I262" s="2363"/>
      <c r="J262" s="2363"/>
      <c r="K262" s="2363"/>
      <c r="L262" s="2363"/>
      <c r="M262" s="2363"/>
      <c r="N262" s="2363"/>
      <c r="O262" s="2363"/>
      <c r="P262" s="2363"/>
      <c r="Q262" s="2363"/>
      <c r="R262" s="2363"/>
      <c r="S262" s="2363"/>
      <c r="T262" s="2363"/>
      <c r="U262" s="2363"/>
      <c r="V262" s="2363"/>
      <c r="W262" s="2363"/>
      <c r="X262" s="2363"/>
      <c r="Y262" s="2363"/>
      <c r="Z262" s="2363"/>
      <c r="AA262" s="2363"/>
      <c r="AB262" s="2363"/>
      <c r="AC262" s="2363"/>
      <c r="AD262" s="2363"/>
      <c r="AE262" s="2363"/>
      <c r="AF262" s="1411"/>
    </row>
    <row r="263" spans="1:38" s="1112" customFormat="1" ht="32.25" customHeight="1" x14ac:dyDescent="0.35">
      <c r="A263" s="1111" t="s">
        <v>174</v>
      </c>
      <c r="B263" s="1111"/>
      <c r="C263" s="1111"/>
      <c r="D263" s="1111"/>
      <c r="E263" s="1111"/>
      <c r="F263" s="1111"/>
      <c r="G263" s="1111" t="s">
        <v>100</v>
      </c>
      <c r="H263" s="2363" t="s">
        <v>639</v>
      </c>
      <c r="I263" s="2363"/>
      <c r="J263" s="2363"/>
      <c r="K263" s="2363"/>
      <c r="L263" s="2363"/>
      <c r="M263" s="2363"/>
      <c r="N263" s="2363"/>
      <c r="O263" s="2363"/>
      <c r="P263" s="2363"/>
      <c r="Q263" s="2363"/>
      <c r="R263" s="2363"/>
      <c r="S263" s="2363"/>
      <c r="T263" s="2363"/>
      <c r="U263" s="2363"/>
      <c r="V263" s="2363"/>
      <c r="W263" s="2363"/>
      <c r="X263" s="2363"/>
      <c r="Y263" s="2363"/>
      <c r="Z263" s="2363"/>
      <c r="AA263" s="2363"/>
      <c r="AB263" s="2363"/>
      <c r="AC263" s="2363"/>
      <c r="AD263" s="2363"/>
      <c r="AE263" s="2363"/>
      <c r="AF263" s="1411"/>
    </row>
    <row r="264" spans="1:38" s="1112" customFormat="1" ht="12" x14ac:dyDescent="0.35">
      <c r="A264" s="1111" t="s">
        <v>174</v>
      </c>
      <c r="B264" s="1111"/>
      <c r="C264" s="1111"/>
      <c r="D264" s="1111"/>
      <c r="E264" s="1111"/>
      <c r="F264" s="1111"/>
      <c r="G264" s="1111" t="s">
        <v>100</v>
      </c>
      <c r="H264" s="2363" t="s">
        <v>640</v>
      </c>
      <c r="I264" s="2363"/>
      <c r="J264" s="2363"/>
      <c r="K264" s="2363"/>
      <c r="L264" s="2363"/>
      <c r="M264" s="2363"/>
      <c r="N264" s="2363"/>
      <c r="O264" s="2363"/>
      <c r="P264" s="2363"/>
      <c r="Q264" s="2363"/>
      <c r="R264" s="2363"/>
      <c r="S264" s="2363"/>
      <c r="T264" s="2363"/>
      <c r="U264" s="2363"/>
      <c r="V264" s="2363"/>
      <c r="W264" s="2363"/>
      <c r="X264" s="2363"/>
      <c r="Y264" s="2363"/>
      <c r="Z264" s="2363"/>
      <c r="AA264" s="2363"/>
      <c r="AB264" s="2363"/>
      <c r="AC264" s="2363"/>
      <c r="AD264" s="2363"/>
      <c r="AE264" s="2363"/>
      <c r="AF264" s="1411"/>
    </row>
    <row r="265" spans="1:38" s="1112" customFormat="1" ht="30.75" customHeight="1" x14ac:dyDescent="0.35">
      <c r="A265" s="1111" t="s">
        <v>174</v>
      </c>
      <c r="B265" s="1111"/>
      <c r="C265" s="1111"/>
      <c r="D265" s="1111"/>
      <c r="E265" s="1111"/>
      <c r="F265" s="1111"/>
      <c r="G265" s="1111" t="s">
        <v>100</v>
      </c>
      <c r="H265" s="2363" t="s">
        <v>641</v>
      </c>
      <c r="I265" s="2363"/>
      <c r="J265" s="2363"/>
      <c r="K265" s="2363"/>
      <c r="L265" s="2363"/>
      <c r="M265" s="2363"/>
      <c r="N265" s="2363"/>
      <c r="O265" s="2363"/>
      <c r="P265" s="2363"/>
      <c r="Q265" s="2363"/>
      <c r="R265" s="2363"/>
      <c r="S265" s="2363"/>
      <c r="T265" s="2363"/>
      <c r="U265" s="2363"/>
      <c r="V265" s="2363"/>
      <c r="W265" s="2363"/>
      <c r="X265" s="2363"/>
      <c r="Y265" s="2363"/>
      <c r="Z265" s="2363"/>
      <c r="AA265" s="2363"/>
      <c r="AB265" s="2363"/>
      <c r="AC265" s="2363"/>
      <c r="AD265" s="2363"/>
      <c r="AE265" s="2363"/>
      <c r="AF265" s="1411"/>
    </row>
    <row r="266" spans="1:38" s="1112" customFormat="1" ht="12" x14ac:dyDescent="0.35">
      <c r="A266" s="1111" t="s">
        <v>174</v>
      </c>
      <c r="B266" s="1111"/>
      <c r="C266" s="1111"/>
      <c r="D266" s="1111"/>
      <c r="E266" s="1111"/>
      <c r="F266" s="1111"/>
      <c r="G266" s="1111" t="s">
        <v>100</v>
      </c>
      <c r="H266" s="2363" t="s">
        <v>642</v>
      </c>
      <c r="I266" s="2363"/>
      <c r="J266" s="2363"/>
      <c r="K266" s="2363"/>
      <c r="L266" s="2363"/>
      <c r="M266" s="2363"/>
      <c r="N266" s="2363"/>
      <c r="O266" s="2363"/>
      <c r="P266" s="2363"/>
      <c r="Q266" s="2363"/>
      <c r="R266" s="2363"/>
      <c r="S266" s="2363"/>
      <c r="T266" s="2363"/>
      <c r="U266" s="2363"/>
      <c r="V266" s="2363"/>
      <c r="W266" s="2363"/>
      <c r="X266" s="2363"/>
      <c r="Y266" s="2363"/>
      <c r="Z266" s="2363"/>
      <c r="AA266" s="2363"/>
      <c r="AB266" s="2363"/>
      <c r="AC266" s="2363"/>
      <c r="AD266" s="2363"/>
      <c r="AE266" s="2363"/>
      <c r="AF266" s="1411"/>
    </row>
    <row r="267" spans="1:38" s="1112" customFormat="1" ht="48.75" customHeight="1" x14ac:dyDescent="0.35">
      <c r="A267" s="1111" t="s">
        <v>174</v>
      </c>
      <c r="B267" s="1111"/>
      <c r="C267" s="1111"/>
      <c r="D267" s="1111"/>
      <c r="E267" s="1111"/>
      <c r="F267" s="1111"/>
      <c r="G267" s="1111" t="s">
        <v>100</v>
      </c>
      <c r="H267" s="2363" t="s">
        <v>643</v>
      </c>
      <c r="I267" s="2363"/>
      <c r="J267" s="2363"/>
      <c r="K267" s="2363"/>
      <c r="L267" s="2363"/>
      <c r="M267" s="2363"/>
      <c r="N267" s="2363"/>
      <c r="O267" s="2363"/>
      <c r="P267" s="2363"/>
      <c r="Q267" s="2363"/>
      <c r="R267" s="2363"/>
      <c r="S267" s="2363"/>
      <c r="T267" s="2363"/>
      <c r="U267" s="2363"/>
      <c r="V267" s="2363"/>
      <c r="W267" s="2363"/>
      <c r="X267" s="2363"/>
      <c r="Y267" s="2363"/>
      <c r="Z267" s="2363"/>
      <c r="AA267" s="2363"/>
      <c r="AB267" s="2363"/>
      <c r="AC267" s="2363"/>
      <c r="AD267" s="2363"/>
      <c r="AE267" s="2363"/>
      <c r="AF267" s="1411"/>
    </row>
    <row r="268" spans="1:38" s="1112" customFormat="1" ht="32.25" customHeight="1" x14ac:dyDescent="0.35">
      <c r="A268" s="1111" t="s">
        <v>174</v>
      </c>
      <c r="B268" s="1111"/>
      <c r="C268" s="1111"/>
      <c r="D268" s="1111"/>
      <c r="E268" s="1111"/>
      <c r="F268" s="1111"/>
      <c r="G268" s="1111" t="s">
        <v>100</v>
      </c>
      <c r="H268" s="2363" t="s">
        <v>644</v>
      </c>
      <c r="I268" s="2363"/>
      <c r="J268" s="2363"/>
      <c r="K268" s="2363"/>
      <c r="L268" s="2363"/>
      <c r="M268" s="2363"/>
      <c r="N268" s="2363"/>
      <c r="O268" s="2363"/>
      <c r="P268" s="2363"/>
      <c r="Q268" s="2363"/>
      <c r="R268" s="2363"/>
      <c r="S268" s="2363"/>
      <c r="T268" s="2363"/>
      <c r="U268" s="2363"/>
      <c r="V268" s="2363"/>
      <c r="W268" s="2363"/>
      <c r="X268" s="2363"/>
      <c r="Y268" s="2363"/>
      <c r="Z268" s="2363"/>
      <c r="AA268" s="2363"/>
      <c r="AB268" s="2363"/>
      <c r="AC268" s="2363"/>
      <c r="AD268" s="2363"/>
      <c r="AE268" s="2363"/>
      <c r="AF268" s="1411"/>
      <c r="AL268" s="1112" t="s">
        <v>645</v>
      </c>
    </row>
    <row r="269" spans="1:38" s="1112" customFormat="1" ht="34.5" customHeight="1" x14ac:dyDescent="0.35">
      <c r="A269" s="1111" t="s">
        <v>174</v>
      </c>
      <c r="B269" s="1111"/>
      <c r="C269" s="1111"/>
      <c r="D269" s="1111"/>
      <c r="E269" s="1111"/>
      <c r="F269" s="1111"/>
      <c r="G269" s="1111" t="s">
        <v>100</v>
      </c>
      <c r="H269" s="2363" t="s">
        <v>646</v>
      </c>
      <c r="I269" s="2363"/>
      <c r="J269" s="2363"/>
      <c r="K269" s="2363"/>
      <c r="L269" s="2363"/>
      <c r="M269" s="2363"/>
      <c r="N269" s="2363"/>
      <c r="O269" s="2363"/>
      <c r="P269" s="2363"/>
      <c r="Q269" s="2363"/>
      <c r="R269" s="2363"/>
      <c r="S269" s="2363"/>
      <c r="T269" s="2363"/>
      <c r="U269" s="2363"/>
      <c r="V269" s="2363"/>
      <c r="W269" s="2363"/>
      <c r="X269" s="2363"/>
      <c r="Y269" s="2363"/>
      <c r="Z269" s="2363"/>
      <c r="AA269" s="2363"/>
      <c r="AB269" s="2363"/>
      <c r="AC269" s="2363"/>
      <c r="AD269" s="2363"/>
      <c r="AE269" s="2363"/>
      <c r="AF269" s="1411"/>
      <c r="AL269" s="1112" t="s">
        <v>647</v>
      </c>
    </row>
    <row r="270" spans="1:38" s="1112" customFormat="1" ht="48.75" customHeight="1" x14ac:dyDescent="0.35">
      <c r="A270" s="1111" t="s">
        <v>174</v>
      </c>
      <c r="B270" s="1111"/>
      <c r="C270" s="1111"/>
      <c r="D270" s="1111"/>
      <c r="E270" s="1111"/>
      <c r="F270" s="1111"/>
      <c r="G270" s="1111" t="s">
        <v>100</v>
      </c>
      <c r="H270" s="2363" t="s">
        <v>648</v>
      </c>
      <c r="I270" s="2363"/>
      <c r="J270" s="2363"/>
      <c r="K270" s="2363"/>
      <c r="L270" s="2363"/>
      <c r="M270" s="2363"/>
      <c r="N270" s="2363"/>
      <c r="O270" s="2363"/>
      <c r="P270" s="2363"/>
      <c r="Q270" s="2363"/>
      <c r="R270" s="2363"/>
      <c r="S270" s="2363"/>
      <c r="T270" s="2363"/>
      <c r="U270" s="2363"/>
      <c r="V270" s="2363"/>
      <c r="W270" s="2363"/>
      <c r="X270" s="2363"/>
      <c r="Y270" s="2363"/>
      <c r="Z270" s="2363"/>
      <c r="AA270" s="2363"/>
      <c r="AB270" s="2363"/>
      <c r="AC270" s="2363"/>
      <c r="AD270" s="2363"/>
      <c r="AE270" s="2363"/>
      <c r="AF270" s="1411"/>
      <c r="AL270" s="1112" t="s">
        <v>649</v>
      </c>
    </row>
    <row r="271" spans="1:38" s="1112" customFormat="1" ht="35.25" customHeight="1" x14ac:dyDescent="0.35">
      <c r="A271" s="1111" t="s">
        <v>174</v>
      </c>
      <c r="B271" s="1111"/>
      <c r="C271" s="1111"/>
      <c r="D271" s="1111"/>
      <c r="E271" s="1111"/>
      <c r="F271" s="1111"/>
      <c r="G271" s="1111" t="s">
        <v>100</v>
      </c>
      <c r="H271" s="2363" t="s">
        <v>650</v>
      </c>
      <c r="I271" s="2363"/>
      <c r="J271" s="2363"/>
      <c r="K271" s="2363"/>
      <c r="L271" s="2363"/>
      <c r="M271" s="2363"/>
      <c r="N271" s="2363"/>
      <c r="O271" s="2363"/>
      <c r="P271" s="2363"/>
      <c r="Q271" s="2363"/>
      <c r="R271" s="2363"/>
      <c r="S271" s="2363"/>
      <c r="T271" s="2363"/>
      <c r="U271" s="2363"/>
      <c r="V271" s="2363"/>
      <c r="W271" s="2363"/>
      <c r="X271" s="2363"/>
      <c r="Y271" s="2363"/>
      <c r="Z271" s="2363"/>
      <c r="AA271" s="2363"/>
      <c r="AB271" s="2363"/>
      <c r="AC271" s="2363"/>
      <c r="AD271" s="2363"/>
      <c r="AE271" s="2363"/>
      <c r="AF271" s="1411"/>
    </row>
    <row r="272" spans="1:38" s="1112" customFormat="1" ht="48.75" customHeight="1" x14ac:dyDescent="0.35">
      <c r="A272" s="1111" t="s">
        <v>174</v>
      </c>
      <c r="B272" s="1111"/>
      <c r="C272" s="1111"/>
      <c r="D272" s="1111"/>
      <c r="E272" s="1111"/>
      <c r="F272" s="1111"/>
      <c r="G272" s="1111" t="s">
        <v>100</v>
      </c>
      <c r="H272" s="2363" t="s">
        <v>651</v>
      </c>
      <c r="I272" s="2363"/>
      <c r="J272" s="2363"/>
      <c r="K272" s="2363"/>
      <c r="L272" s="2363"/>
      <c r="M272" s="2363"/>
      <c r="N272" s="2363"/>
      <c r="O272" s="2363"/>
      <c r="P272" s="2363"/>
      <c r="Q272" s="2363"/>
      <c r="R272" s="2363"/>
      <c r="S272" s="2363"/>
      <c r="T272" s="2363"/>
      <c r="U272" s="2363"/>
      <c r="V272" s="2363"/>
      <c r="W272" s="2363"/>
      <c r="X272" s="2363"/>
      <c r="Y272" s="2363"/>
      <c r="Z272" s="2363"/>
      <c r="AA272" s="2363"/>
      <c r="AB272" s="2363"/>
      <c r="AC272" s="2363"/>
      <c r="AD272" s="2363"/>
      <c r="AE272" s="2363"/>
      <c r="AF272" s="1411"/>
    </row>
    <row r="273" spans="1:32" s="1112" customFormat="1" ht="12" x14ac:dyDescent="0.35">
      <c r="A273" s="1111" t="s">
        <v>174</v>
      </c>
      <c r="B273" s="1111"/>
      <c r="C273" s="1111"/>
      <c r="D273" s="1111"/>
      <c r="E273" s="1111"/>
      <c r="F273" s="1111"/>
      <c r="G273" s="1111" t="s">
        <v>100</v>
      </c>
      <c r="H273" s="2363" t="s">
        <v>652</v>
      </c>
      <c r="I273" s="2363"/>
      <c r="J273" s="2363"/>
      <c r="K273" s="2363"/>
      <c r="L273" s="2363"/>
      <c r="M273" s="2363"/>
      <c r="N273" s="2363"/>
      <c r="O273" s="2363"/>
      <c r="P273" s="2363"/>
      <c r="Q273" s="2363"/>
      <c r="R273" s="2363"/>
      <c r="S273" s="2363"/>
      <c r="T273" s="2363"/>
      <c r="U273" s="2363"/>
      <c r="V273" s="2363"/>
      <c r="W273" s="2363"/>
      <c r="X273" s="2363"/>
      <c r="Y273" s="2363"/>
      <c r="Z273" s="2363"/>
      <c r="AA273" s="2363"/>
      <c r="AB273" s="2363"/>
      <c r="AC273" s="2363"/>
      <c r="AD273" s="2363"/>
      <c r="AE273" s="2363"/>
      <c r="AF273" s="1411"/>
    </row>
    <row r="274" spans="1:32" s="1112" customFormat="1" ht="37.5" customHeight="1" x14ac:dyDescent="0.35">
      <c r="A274" s="1111" t="s">
        <v>174</v>
      </c>
      <c r="B274" s="1111"/>
      <c r="C274" s="1111"/>
      <c r="D274" s="1111"/>
      <c r="E274" s="1111"/>
      <c r="F274" s="1111"/>
      <c r="G274" s="1111" t="s">
        <v>100</v>
      </c>
      <c r="H274" s="2363" t="s">
        <v>653</v>
      </c>
      <c r="I274" s="2363"/>
      <c r="J274" s="2363"/>
      <c r="K274" s="2363"/>
      <c r="L274" s="2363"/>
      <c r="M274" s="2363"/>
      <c r="N274" s="2363"/>
      <c r="O274" s="2363"/>
      <c r="P274" s="2363"/>
      <c r="Q274" s="2363"/>
      <c r="R274" s="2363"/>
      <c r="S274" s="2363"/>
      <c r="T274" s="2363"/>
      <c r="U274" s="2363"/>
      <c r="V274" s="2363"/>
      <c r="W274" s="2363"/>
      <c r="X274" s="2363"/>
      <c r="Y274" s="2363"/>
      <c r="Z274" s="2363"/>
      <c r="AA274" s="2363"/>
      <c r="AB274" s="2363"/>
      <c r="AC274" s="2363"/>
      <c r="AD274" s="2363"/>
      <c r="AE274" s="2363"/>
      <c r="AF274" s="1411"/>
    </row>
    <row r="275" spans="1:32" s="1112" customFormat="1" ht="12" x14ac:dyDescent="0.35">
      <c r="A275" s="1111" t="s">
        <v>174</v>
      </c>
      <c r="B275" s="1111"/>
      <c r="C275" s="1111"/>
      <c r="D275" s="1111"/>
      <c r="E275" s="1111"/>
      <c r="F275" s="1111"/>
      <c r="G275" s="1111" t="s">
        <v>100</v>
      </c>
      <c r="H275" s="2363" t="s">
        <v>654</v>
      </c>
      <c r="I275" s="2363"/>
      <c r="J275" s="2363"/>
      <c r="K275" s="2363"/>
      <c r="L275" s="2363"/>
      <c r="M275" s="2363"/>
      <c r="N275" s="2363"/>
      <c r="O275" s="2363"/>
      <c r="P275" s="2363"/>
      <c r="Q275" s="2363"/>
      <c r="R275" s="2363"/>
      <c r="S275" s="2363"/>
      <c r="T275" s="2363"/>
      <c r="U275" s="2363"/>
      <c r="V275" s="2363"/>
      <c r="W275" s="2363"/>
      <c r="X275" s="2363"/>
      <c r="Y275" s="2363"/>
      <c r="Z275" s="2363"/>
      <c r="AA275" s="2363"/>
      <c r="AB275" s="2363"/>
      <c r="AC275" s="2363"/>
      <c r="AD275" s="2363"/>
      <c r="AE275" s="2363"/>
      <c r="AF275" s="1411"/>
    </row>
    <row r="276" spans="1:32" s="1112" customFormat="1" ht="32.25" customHeight="1" x14ac:dyDescent="0.35">
      <c r="A276" s="1111" t="s">
        <v>174</v>
      </c>
      <c r="B276" s="1111"/>
      <c r="C276" s="1111"/>
      <c r="D276" s="1111"/>
      <c r="E276" s="1111"/>
      <c r="F276" s="1111"/>
      <c r="G276" s="1111" t="s">
        <v>100</v>
      </c>
      <c r="H276" s="2363" t="s">
        <v>655</v>
      </c>
      <c r="I276" s="2363"/>
      <c r="J276" s="2363"/>
      <c r="K276" s="2363"/>
      <c r="L276" s="2363"/>
      <c r="M276" s="2363"/>
      <c r="N276" s="2363"/>
      <c r="O276" s="2363"/>
      <c r="P276" s="2363"/>
      <c r="Q276" s="2363"/>
      <c r="R276" s="2363"/>
      <c r="S276" s="2363"/>
      <c r="T276" s="2363"/>
      <c r="U276" s="2363"/>
      <c r="V276" s="2363"/>
      <c r="W276" s="2363"/>
      <c r="X276" s="2363"/>
      <c r="Y276" s="2363"/>
      <c r="Z276" s="2363"/>
      <c r="AA276" s="2363"/>
      <c r="AB276" s="2363"/>
      <c r="AC276" s="2363"/>
      <c r="AD276" s="2363"/>
      <c r="AE276" s="2363"/>
      <c r="AF276" s="1411"/>
    </row>
    <row r="277" spans="1:32" s="1112" customFormat="1" ht="35.25" customHeight="1" x14ac:dyDescent="0.35">
      <c r="A277" s="1111" t="s">
        <v>174</v>
      </c>
      <c r="B277" s="1111"/>
      <c r="C277" s="1111"/>
      <c r="D277" s="1111"/>
      <c r="E277" s="1111"/>
      <c r="F277" s="1111"/>
      <c r="G277" s="1111" t="s">
        <v>100</v>
      </c>
      <c r="H277" s="2363" t="s">
        <v>656</v>
      </c>
      <c r="I277" s="2363"/>
      <c r="J277" s="2363"/>
      <c r="K277" s="2363"/>
      <c r="L277" s="2363"/>
      <c r="M277" s="2363"/>
      <c r="N277" s="2363"/>
      <c r="O277" s="2363"/>
      <c r="P277" s="2363"/>
      <c r="Q277" s="2363"/>
      <c r="R277" s="2363"/>
      <c r="S277" s="2363"/>
      <c r="T277" s="2363"/>
      <c r="U277" s="2363"/>
      <c r="V277" s="2363"/>
      <c r="W277" s="2363"/>
      <c r="X277" s="2363"/>
      <c r="Y277" s="2363"/>
      <c r="Z277" s="2363"/>
      <c r="AA277" s="2363"/>
      <c r="AB277" s="2363"/>
      <c r="AC277" s="2363"/>
      <c r="AD277" s="2363"/>
      <c r="AE277" s="2363"/>
      <c r="AF277" s="1411"/>
    </row>
    <row r="278" spans="1:32" s="1112" customFormat="1" ht="12" x14ac:dyDescent="0.35">
      <c r="A278" s="1111" t="s">
        <v>174</v>
      </c>
      <c r="B278" s="1111"/>
      <c r="C278" s="1111"/>
      <c r="D278" s="1111"/>
      <c r="E278" s="1111"/>
      <c r="F278" s="1111"/>
      <c r="G278" s="1111" t="s">
        <v>100</v>
      </c>
      <c r="H278" s="2363" t="s">
        <v>657</v>
      </c>
      <c r="I278" s="2363"/>
      <c r="J278" s="2363"/>
      <c r="K278" s="2363"/>
      <c r="L278" s="2363"/>
      <c r="M278" s="2363"/>
      <c r="N278" s="2363"/>
      <c r="O278" s="2363"/>
      <c r="P278" s="2363"/>
      <c r="Q278" s="2363"/>
      <c r="R278" s="2363"/>
      <c r="S278" s="2363"/>
      <c r="T278" s="2363"/>
      <c r="U278" s="2363"/>
      <c r="V278" s="2363"/>
      <c r="W278" s="2363"/>
      <c r="X278" s="2363"/>
      <c r="Y278" s="2363"/>
      <c r="Z278" s="2363"/>
      <c r="AA278" s="2363"/>
      <c r="AB278" s="2363"/>
      <c r="AC278" s="2363"/>
      <c r="AD278" s="2363"/>
      <c r="AE278" s="2363"/>
      <c r="AF278" s="1411"/>
    </row>
    <row r="279" spans="1:32" s="1112" customFormat="1" ht="48.75" customHeight="1" x14ac:dyDescent="0.35">
      <c r="A279" s="1111" t="s">
        <v>174</v>
      </c>
      <c r="B279" s="1111"/>
      <c r="C279" s="1111"/>
      <c r="D279" s="1111"/>
      <c r="E279" s="1111"/>
      <c r="F279" s="1111"/>
      <c r="G279" s="1111" t="s">
        <v>100</v>
      </c>
      <c r="H279" s="2363" t="s">
        <v>658</v>
      </c>
      <c r="I279" s="2363"/>
      <c r="J279" s="2363"/>
      <c r="K279" s="2363"/>
      <c r="L279" s="2363"/>
      <c r="M279" s="2363"/>
      <c r="N279" s="2363"/>
      <c r="O279" s="2363"/>
      <c r="P279" s="2363"/>
      <c r="Q279" s="2363"/>
      <c r="R279" s="2363"/>
      <c r="S279" s="2363"/>
      <c r="T279" s="2363"/>
      <c r="U279" s="2363"/>
      <c r="V279" s="2363"/>
      <c r="W279" s="2363"/>
      <c r="X279" s="2363"/>
      <c r="Y279" s="2363"/>
      <c r="Z279" s="2363"/>
      <c r="AA279" s="2363"/>
      <c r="AB279" s="2363"/>
      <c r="AC279" s="2363"/>
      <c r="AD279" s="2363"/>
      <c r="AE279" s="2363"/>
      <c r="AF279" s="1411"/>
    </row>
    <row r="280" spans="1:32" s="1112" customFormat="1" ht="33.75" customHeight="1" x14ac:dyDescent="0.35">
      <c r="A280" s="1111" t="s">
        <v>174</v>
      </c>
      <c r="B280" s="1111"/>
      <c r="C280" s="1111"/>
      <c r="D280" s="1111"/>
      <c r="E280" s="1111"/>
      <c r="F280" s="1111"/>
      <c r="G280" s="1111" t="s">
        <v>100</v>
      </c>
      <c r="H280" s="2363" t="s">
        <v>659</v>
      </c>
      <c r="I280" s="2363"/>
      <c r="J280" s="2363"/>
      <c r="K280" s="2363"/>
      <c r="L280" s="2363"/>
      <c r="M280" s="2363"/>
      <c r="N280" s="2363"/>
      <c r="O280" s="2363"/>
      <c r="P280" s="2363"/>
      <c r="Q280" s="2363"/>
      <c r="R280" s="2363"/>
      <c r="S280" s="2363"/>
      <c r="T280" s="2363"/>
      <c r="U280" s="2363"/>
      <c r="V280" s="2363"/>
      <c r="W280" s="2363"/>
      <c r="X280" s="2363"/>
      <c r="Y280" s="2363"/>
      <c r="Z280" s="2363"/>
      <c r="AA280" s="2363"/>
      <c r="AB280" s="2363"/>
      <c r="AC280" s="2363"/>
      <c r="AD280" s="2363"/>
      <c r="AE280" s="2363"/>
      <c r="AF280" s="1411"/>
    </row>
    <row r="281" spans="1:32" s="1112" customFormat="1" ht="12" x14ac:dyDescent="0.35">
      <c r="A281" s="1111" t="s">
        <v>174</v>
      </c>
      <c r="B281" s="1111"/>
      <c r="C281" s="1111"/>
      <c r="D281" s="1111"/>
      <c r="E281" s="1111"/>
      <c r="F281" s="1111"/>
      <c r="G281" s="1111" t="s">
        <v>100</v>
      </c>
      <c r="H281" s="2363" t="s">
        <v>660</v>
      </c>
      <c r="I281" s="2363"/>
      <c r="J281" s="2363"/>
      <c r="K281" s="2363"/>
      <c r="L281" s="2363"/>
      <c r="M281" s="2363"/>
      <c r="N281" s="2363"/>
      <c r="O281" s="2363"/>
      <c r="P281" s="2363"/>
      <c r="Q281" s="2363"/>
      <c r="R281" s="2363"/>
      <c r="S281" s="2363"/>
      <c r="T281" s="2363"/>
      <c r="U281" s="2363"/>
      <c r="V281" s="2363"/>
      <c r="W281" s="2363"/>
      <c r="X281" s="2363"/>
      <c r="Y281" s="2363"/>
      <c r="Z281" s="2363"/>
      <c r="AA281" s="2363"/>
      <c r="AB281" s="2363"/>
      <c r="AC281" s="2363"/>
      <c r="AD281" s="2363"/>
      <c r="AE281" s="2363"/>
      <c r="AF281" s="1411"/>
    </row>
    <row r="282" spans="1:32" s="1114" customFormat="1" ht="12" x14ac:dyDescent="0.35">
      <c r="A282" s="1113" t="s">
        <v>606</v>
      </c>
      <c r="B282" s="1113"/>
      <c r="C282" s="1113"/>
      <c r="D282" s="1113"/>
      <c r="E282" s="1113"/>
      <c r="F282" s="1113"/>
      <c r="G282" s="1113" t="s">
        <v>100</v>
      </c>
      <c r="H282" s="2364" t="s">
        <v>661</v>
      </c>
      <c r="I282" s="2364"/>
      <c r="J282" s="2364"/>
      <c r="K282" s="2364"/>
      <c r="L282" s="2364"/>
      <c r="M282" s="2364"/>
      <c r="N282" s="2364"/>
      <c r="O282" s="2364"/>
      <c r="P282" s="2364"/>
      <c r="Q282" s="2364"/>
      <c r="R282" s="2364"/>
      <c r="S282" s="2364"/>
      <c r="T282" s="2364"/>
      <c r="U282" s="2364"/>
      <c r="V282" s="2364"/>
      <c r="W282" s="2364"/>
      <c r="X282" s="2364"/>
      <c r="Y282" s="2364"/>
      <c r="Z282" s="2364"/>
      <c r="AA282" s="2364"/>
      <c r="AB282" s="2364"/>
      <c r="AC282" s="2364"/>
      <c r="AD282" s="2364"/>
      <c r="AE282" s="2364"/>
      <c r="AF282" s="1411"/>
    </row>
    <row r="283" spans="1:32" s="1110" customFormat="1" ht="12" x14ac:dyDescent="0.3">
      <c r="A283" s="1113" t="s">
        <v>606</v>
      </c>
      <c r="B283" s="1113"/>
      <c r="C283" s="1113"/>
      <c r="D283" s="1113"/>
      <c r="E283" s="1113"/>
      <c r="F283" s="1113"/>
      <c r="G283" s="1113" t="s">
        <v>100</v>
      </c>
      <c r="H283" s="2365" t="s">
        <v>662</v>
      </c>
      <c r="I283" s="2365"/>
      <c r="J283" s="2365"/>
      <c r="K283" s="2365"/>
      <c r="L283" s="2365"/>
      <c r="M283" s="2365"/>
      <c r="N283" s="2365"/>
      <c r="O283" s="2365"/>
      <c r="P283" s="2365"/>
      <c r="Q283" s="2365"/>
      <c r="R283" s="2365"/>
      <c r="S283" s="2365"/>
      <c r="T283" s="2365"/>
      <c r="U283" s="2365"/>
      <c r="V283" s="2365"/>
      <c r="W283" s="2365"/>
      <c r="X283" s="2365"/>
      <c r="Y283" s="2365"/>
      <c r="Z283" s="2365"/>
      <c r="AA283" s="2365"/>
      <c r="AB283" s="2365"/>
      <c r="AC283" s="2365"/>
      <c r="AD283" s="2365"/>
      <c r="AE283" s="2365"/>
      <c r="AF283" s="1412"/>
    </row>
    <row r="284" spans="1:32" s="1110" customFormat="1" ht="49.5" customHeight="1" x14ac:dyDescent="0.3">
      <c r="A284" s="1113" t="s">
        <v>606</v>
      </c>
      <c r="B284" s="1113"/>
      <c r="C284" s="1113"/>
      <c r="D284" s="1113"/>
      <c r="E284" s="1113"/>
      <c r="F284" s="1113"/>
      <c r="G284" s="1113" t="s">
        <v>100</v>
      </c>
      <c r="H284" s="2364" t="s">
        <v>663</v>
      </c>
      <c r="I284" s="2364"/>
      <c r="J284" s="2364"/>
      <c r="K284" s="2364"/>
      <c r="L284" s="2364"/>
      <c r="M284" s="2364"/>
      <c r="N284" s="2364"/>
      <c r="O284" s="2364"/>
      <c r="P284" s="2364"/>
      <c r="Q284" s="2364"/>
      <c r="R284" s="2364"/>
      <c r="S284" s="2364"/>
      <c r="T284" s="2364"/>
      <c r="U284" s="2364"/>
      <c r="V284" s="2364"/>
      <c r="W284" s="2364"/>
      <c r="X284" s="2364"/>
      <c r="Y284" s="2364"/>
      <c r="Z284" s="2364"/>
      <c r="AA284" s="2364"/>
      <c r="AB284" s="2364"/>
      <c r="AC284" s="2364"/>
      <c r="AD284" s="2364"/>
      <c r="AE284" s="2364"/>
      <c r="AF284" s="1411"/>
    </row>
    <row r="285" spans="1:32" s="1110" customFormat="1" ht="12" x14ac:dyDescent="0.3">
      <c r="A285" s="1113" t="s">
        <v>606</v>
      </c>
      <c r="B285" s="1113"/>
      <c r="C285" s="1113"/>
      <c r="D285" s="1113"/>
      <c r="E285" s="1113"/>
      <c r="F285" s="1113"/>
      <c r="G285" s="1113" t="s">
        <v>100</v>
      </c>
      <c r="H285" s="2364" t="s">
        <v>664</v>
      </c>
      <c r="I285" s="2364"/>
      <c r="J285" s="2364"/>
      <c r="K285" s="2364"/>
      <c r="L285" s="2364"/>
      <c r="M285" s="2364"/>
      <c r="N285" s="2364"/>
      <c r="O285" s="2364"/>
      <c r="P285" s="2364"/>
      <c r="Q285" s="2364"/>
      <c r="R285" s="2364"/>
      <c r="S285" s="2364"/>
      <c r="T285" s="2364"/>
      <c r="U285" s="2364"/>
      <c r="V285" s="2364"/>
      <c r="W285" s="2364"/>
      <c r="X285" s="2364"/>
      <c r="Y285" s="2364"/>
      <c r="Z285" s="2364"/>
      <c r="AA285" s="2364"/>
      <c r="AB285" s="2364"/>
      <c r="AC285" s="2364"/>
      <c r="AD285" s="2364"/>
      <c r="AE285" s="2364"/>
      <c r="AF285" s="1411"/>
    </row>
    <row r="286" spans="1:32" s="1110" customFormat="1" ht="38.25" customHeight="1" x14ac:dyDescent="0.3">
      <c r="A286" s="1113" t="s">
        <v>606</v>
      </c>
      <c r="B286" s="1113"/>
      <c r="C286" s="1113"/>
      <c r="D286" s="1113"/>
      <c r="E286" s="1113"/>
      <c r="F286" s="1113"/>
      <c r="G286" s="1113" t="s">
        <v>100</v>
      </c>
      <c r="H286" s="2364" t="s">
        <v>665</v>
      </c>
      <c r="I286" s="2364"/>
      <c r="J286" s="2364"/>
      <c r="K286" s="2364"/>
      <c r="L286" s="2364"/>
      <c r="M286" s="2364"/>
      <c r="N286" s="2364"/>
      <c r="O286" s="2364"/>
      <c r="P286" s="2364"/>
      <c r="Q286" s="2364"/>
      <c r="R286" s="2364"/>
      <c r="S286" s="2364"/>
      <c r="T286" s="2364"/>
      <c r="U286" s="2364"/>
      <c r="V286" s="2364"/>
      <c r="W286" s="2364"/>
      <c r="X286" s="2364"/>
      <c r="Y286" s="2364"/>
      <c r="Z286" s="2364"/>
      <c r="AA286" s="2364"/>
      <c r="AB286" s="2364"/>
      <c r="AC286" s="2364"/>
      <c r="AD286" s="2364"/>
      <c r="AE286" s="2364"/>
      <c r="AF286" s="1411"/>
    </row>
    <row r="287" spans="1:32" s="1110" customFormat="1" ht="38.25" customHeight="1" x14ac:dyDescent="0.3">
      <c r="A287" s="1113" t="s">
        <v>606</v>
      </c>
      <c r="B287" s="1113"/>
      <c r="C287" s="1113"/>
      <c r="D287" s="1113"/>
      <c r="E287" s="1113"/>
      <c r="F287" s="1113"/>
      <c r="G287" s="1113" t="s">
        <v>100</v>
      </c>
      <c r="H287" s="2364" t="s">
        <v>666</v>
      </c>
      <c r="I287" s="2364"/>
      <c r="J287" s="2364"/>
      <c r="K287" s="2364"/>
      <c r="L287" s="2364"/>
      <c r="M287" s="2364"/>
      <c r="N287" s="2364"/>
      <c r="O287" s="2364"/>
      <c r="P287" s="2364"/>
      <c r="Q287" s="2364"/>
      <c r="R287" s="2364"/>
      <c r="S287" s="2364"/>
      <c r="T287" s="2364"/>
      <c r="U287" s="2364"/>
      <c r="V287" s="2364"/>
      <c r="W287" s="2364"/>
      <c r="X287" s="2364"/>
      <c r="Y287" s="2364"/>
      <c r="Z287" s="2364"/>
      <c r="AA287" s="2364"/>
      <c r="AB287" s="2364"/>
      <c r="AC287" s="2364"/>
      <c r="AD287" s="2364"/>
      <c r="AE287" s="2364"/>
      <c r="AF287" s="1411"/>
    </row>
    <row r="288" spans="1:32" s="1110" customFormat="1" ht="51.75" customHeight="1" x14ac:dyDescent="0.3">
      <c r="A288" s="1113" t="s">
        <v>606</v>
      </c>
      <c r="B288" s="1113"/>
      <c r="C288" s="1113"/>
      <c r="D288" s="1113"/>
      <c r="E288" s="1113"/>
      <c r="F288" s="1113"/>
      <c r="G288" s="1113" t="s">
        <v>100</v>
      </c>
      <c r="H288" s="2364" t="s">
        <v>667</v>
      </c>
      <c r="I288" s="2364"/>
      <c r="J288" s="2364"/>
      <c r="K288" s="2364"/>
      <c r="L288" s="2364"/>
      <c r="M288" s="2364"/>
      <c r="N288" s="2364"/>
      <c r="O288" s="2364"/>
      <c r="P288" s="2364"/>
      <c r="Q288" s="2364"/>
      <c r="R288" s="2364"/>
      <c r="S288" s="2364"/>
      <c r="T288" s="2364"/>
      <c r="U288" s="2364"/>
      <c r="V288" s="2364"/>
      <c r="W288" s="2364"/>
      <c r="X288" s="2364"/>
      <c r="Y288" s="2364"/>
      <c r="Z288" s="2364"/>
      <c r="AA288" s="2364"/>
      <c r="AB288" s="2364"/>
      <c r="AC288" s="2364"/>
      <c r="AD288" s="2364"/>
      <c r="AE288" s="2364"/>
      <c r="AF288" s="1411"/>
    </row>
    <row r="289" spans="1:32" s="1110" customFormat="1" ht="48" customHeight="1" x14ac:dyDescent="0.3">
      <c r="A289" s="1113" t="s">
        <v>606</v>
      </c>
      <c r="B289" s="1113"/>
      <c r="C289" s="1113"/>
      <c r="D289" s="1113"/>
      <c r="E289" s="1113"/>
      <c r="F289" s="1113"/>
      <c r="G289" s="1113" t="s">
        <v>100</v>
      </c>
      <c r="H289" s="2364" t="s">
        <v>668</v>
      </c>
      <c r="I289" s="2364"/>
      <c r="J289" s="2364"/>
      <c r="K289" s="2364"/>
      <c r="L289" s="2364"/>
      <c r="M289" s="2364"/>
      <c r="N289" s="2364"/>
      <c r="O289" s="2364"/>
      <c r="P289" s="2364"/>
      <c r="Q289" s="2364"/>
      <c r="R289" s="2364"/>
      <c r="S289" s="2364"/>
      <c r="T289" s="2364"/>
      <c r="U289" s="2364"/>
      <c r="V289" s="2364"/>
      <c r="W289" s="2364"/>
      <c r="X289" s="2364"/>
      <c r="Y289" s="2364"/>
      <c r="Z289" s="2364"/>
      <c r="AA289" s="2364"/>
      <c r="AB289" s="2364"/>
      <c r="AC289" s="2364"/>
      <c r="AD289" s="2364"/>
      <c r="AE289" s="2364"/>
      <c r="AF289" s="1411"/>
    </row>
    <row r="290" spans="1:32" s="1110" customFormat="1" ht="38.25" customHeight="1" x14ac:dyDescent="0.3">
      <c r="A290" s="1113" t="s">
        <v>606</v>
      </c>
      <c r="B290" s="1113"/>
      <c r="C290" s="1113"/>
      <c r="D290" s="1113"/>
      <c r="E290" s="1113"/>
      <c r="F290" s="1113"/>
      <c r="G290" s="1113" t="s">
        <v>100</v>
      </c>
      <c r="H290" s="2364" t="s">
        <v>669</v>
      </c>
      <c r="I290" s="2364"/>
      <c r="J290" s="2364"/>
      <c r="K290" s="2364"/>
      <c r="L290" s="2364"/>
      <c r="M290" s="2364"/>
      <c r="N290" s="2364"/>
      <c r="O290" s="2364"/>
      <c r="P290" s="2364"/>
      <c r="Q290" s="2364"/>
      <c r="R290" s="2364"/>
      <c r="S290" s="2364"/>
      <c r="T290" s="2364"/>
      <c r="U290" s="2364"/>
      <c r="V290" s="2364"/>
      <c r="W290" s="2364"/>
      <c r="X290" s="2364"/>
      <c r="Y290" s="2364"/>
      <c r="Z290" s="2364"/>
      <c r="AA290" s="2364"/>
      <c r="AB290" s="2364"/>
      <c r="AC290" s="2364"/>
      <c r="AD290" s="2364"/>
      <c r="AE290" s="2364"/>
      <c r="AF290" s="1411"/>
    </row>
    <row r="291" spans="1:32" s="1110" customFormat="1" ht="63" customHeight="1" x14ac:dyDescent="0.3">
      <c r="A291" s="1113" t="s">
        <v>606</v>
      </c>
      <c r="B291" s="1113"/>
      <c r="C291" s="1113"/>
      <c r="D291" s="1113"/>
      <c r="E291" s="1113"/>
      <c r="F291" s="1113"/>
      <c r="G291" s="1113" t="s">
        <v>100</v>
      </c>
      <c r="H291" s="2364" t="s">
        <v>670</v>
      </c>
      <c r="I291" s="2364"/>
      <c r="J291" s="2364"/>
      <c r="K291" s="2364"/>
      <c r="L291" s="2364"/>
      <c r="M291" s="2364"/>
      <c r="N291" s="2364"/>
      <c r="O291" s="2364"/>
      <c r="P291" s="2364"/>
      <c r="Q291" s="2364"/>
      <c r="R291" s="2364"/>
      <c r="S291" s="2364"/>
      <c r="T291" s="2364"/>
      <c r="U291" s="2364"/>
      <c r="V291" s="2364"/>
      <c r="W291" s="2364"/>
      <c r="X291" s="2364"/>
      <c r="Y291" s="2364"/>
      <c r="Z291" s="2364"/>
      <c r="AA291" s="2364"/>
      <c r="AB291" s="2364"/>
      <c r="AC291" s="2364"/>
      <c r="AD291" s="2364"/>
      <c r="AE291" s="2364"/>
      <c r="AF291" s="1411"/>
    </row>
    <row r="292" spans="1:32" s="1110" customFormat="1" ht="64.5" customHeight="1" x14ac:dyDescent="0.3">
      <c r="A292" s="1113" t="s">
        <v>606</v>
      </c>
      <c r="B292" s="1113"/>
      <c r="C292" s="1113"/>
      <c r="D292" s="1113"/>
      <c r="E292" s="1113"/>
      <c r="F292" s="1113"/>
      <c r="G292" s="1113" t="s">
        <v>100</v>
      </c>
      <c r="H292" s="2364" t="s">
        <v>671</v>
      </c>
      <c r="I292" s="2364"/>
      <c r="J292" s="2364"/>
      <c r="K292" s="2364"/>
      <c r="L292" s="2364"/>
      <c r="M292" s="2364"/>
      <c r="N292" s="2364"/>
      <c r="O292" s="2364"/>
      <c r="P292" s="2364"/>
      <c r="Q292" s="2364"/>
      <c r="R292" s="2364"/>
      <c r="S292" s="2364"/>
      <c r="T292" s="2364"/>
      <c r="U292" s="2364"/>
      <c r="V292" s="2364"/>
      <c r="W292" s="2364"/>
      <c r="X292" s="2364"/>
      <c r="Y292" s="2364"/>
      <c r="Z292" s="2364"/>
      <c r="AA292" s="2364"/>
      <c r="AB292" s="2364"/>
      <c r="AC292" s="2364"/>
      <c r="AD292" s="2364"/>
      <c r="AE292" s="2364"/>
      <c r="AF292" s="1411"/>
    </row>
    <row r="293" spans="1:32" s="1110" customFormat="1" ht="33.75" customHeight="1" x14ac:dyDescent="0.3">
      <c r="A293" s="1113" t="s">
        <v>606</v>
      </c>
      <c r="B293" s="1113"/>
      <c r="C293" s="1113"/>
      <c r="D293" s="1113"/>
      <c r="E293" s="1113"/>
      <c r="F293" s="1113"/>
      <c r="G293" s="1113" t="s">
        <v>100</v>
      </c>
      <c r="H293" s="2364" t="s">
        <v>672</v>
      </c>
      <c r="I293" s="2364"/>
      <c r="J293" s="2364"/>
      <c r="K293" s="2364"/>
      <c r="L293" s="2364"/>
      <c r="M293" s="2364"/>
      <c r="N293" s="2364"/>
      <c r="O293" s="2364"/>
      <c r="P293" s="2364"/>
      <c r="Q293" s="2364"/>
      <c r="R293" s="2364"/>
      <c r="S293" s="2364"/>
      <c r="T293" s="2364"/>
      <c r="U293" s="2364"/>
      <c r="V293" s="2364"/>
      <c r="W293" s="2364"/>
      <c r="X293" s="2364"/>
      <c r="Y293" s="2364"/>
      <c r="Z293" s="2364"/>
      <c r="AA293" s="2364"/>
      <c r="AB293" s="2364"/>
      <c r="AC293" s="2364"/>
      <c r="AD293" s="2364"/>
      <c r="AE293" s="2364"/>
      <c r="AF293" s="1411"/>
    </row>
    <row r="294" spans="1:32" s="1110" customFormat="1" ht="33" customHeight="1" x14ac:dyDescent="0.3">
      <c r="A294" s="1113" t="s">
        <v>606</v>
      </c>
      <c r="B294" s="1113"/>
      <c r="C294" s="1113"/>
      <c r="D294" s="1113"/>
      <c r="E294" s="1113"/>
      <c r="F294" s="1113"/>
      <c r="G294" s="1113" t="s">
        <v>100</v>
      </c>
      <c r="H294" s="2364" t="s">
        <v>673</v>
      </c>
      <c r="I294" s="2364"/>
      <c r="J294" s="2364"/>
      <c r="K294" s="2364"/>
      <c r="L294" s="2364"/>
      <c r="M294" s="2364"/>
      <c r="N294" s="2364"/>
      <c r="O294" s="2364"/>
      <c r="P294" s="2364"/>
      <c r="Q294" s="2364"/>
      <c r="R294" s="2364"/>
      <c r="S294" s="2364"/>
      <c r="T294" s="2364"/>
      <c r="U294" s="2364"/>
      <c r="V294" s="2364"/>
      <c r="W294" s="2364"/>
      <c r="X294" s="2364"/>
      <c r="Y294" s="2364"/>
      <c r="Z294" s="2364"/>
      <c r="AA294" s="2364"/>
      <c r="AB294" s="2364"/>
      <c r="AC294" s="2364"/>
      <c r="AD294" s="2364"/>
      <c r="AE294" s="2364"/>
      <c r="AF294" s="1411"/>
    </row>
    <row r="295" spans="1:32" s="1110" customFormat="1" ht="62.25" customHeight="1" x14ac:dyDescent="0.3">
      <c r="A295" s="1113" t="s">
        <v>606</v>
      </c>
      <c r="B295" s="1113"/>
      <c r="C295" s="1113"/>
      <c r="D295" s="1113"/>
      <c r="E295" s="1113"/>
      <c r="F295" s="1113"/>
      <c r="G295" s="1113" t="s">
        <v>100</v>
      </c>
      <c r="H295" s="2364" t="s">
        <v>674</v>
      </c>
      <c r="I295" s="2364"/>
      <c r="J295" s="2364"/>
      <c r="K295" s="2364"/>
      <c r="L295" s="2364"/>
      <c r="M295" s="2364"/>
      <c r="N295" s="2364"/>
      <c r="O295" s="2364"/>
      <c r="P295" s="2364"/>
      <c r="Q295" s="2364"/>
      <c r="R295" s="2364"/>
      <c r="S295" s="2364"/>
      <c r="T295" s="2364"/>
      <c r="U295" s="2364"/>
      <c r="V295" s="2364"/>
      <c r="W295" s="2364"/>
      <c r="X295" s="2364"/>
      <c r="Y295" s="2364"/>
      <c r="Z295" s="2364"/>
      <c r="AA295" s="2364"/>
      <c r="AB295" s="2364"/>
      <c r="AC295" s="2364"/>
      <c r="AD295" s="2364"/>
      <c r="AE295" s="2364"/>
      <c r="AF295" s="1411"/>
    </row>
    <row r="296" spans="1:32" s="1110" customFormat="1" ht="45.75" customHeight="1" x14ac:dyDescent="0.3">
      <c r="A296" s="1113" t="s">
        <v>606</v>
      </c>
      <c r="B296" s="1113"/>
      <c r="C296" s="1113"/>
      <c r="D296" s="1113"/>
      <c r="E296" s="1113"/>
      <c r="F296" s="1113"/>
      <c r="G296" s="1113" t="s">
        <v>100</v>
      </c>
      <c r="H296" s="2364" t="s">
        <v>675</v>
      </c>
      <c r="I296" s="2364"/>
      <c r="J296" s="2364"/>
      <c r="K296" s="2364"/>
      <c r="L296" s="2364"/>
      <c r="M296" s="2364"/>
      <c r="N296" s="2364"/>
      <c r="O296" s="2364"/>
      <c r="P296" s="2364"/>
      <c r="Q296" s="2364"/>
      <c r="R296" s="2364"/>
      <c r="S296" s="2364"/>
      <c r="T296" s="2364"/>
      <c r="U296" s="2364"/>
      <c r="V296" s="2364"/>
      <c r="W296" s="2364"/>
      <c r="X296" s="2364"/>
      <c r="Y296" s="2364"/>
      <c r="Z296" s="2364"/>
      <c r="AA296" s="2364"/>
      <c r="AB296" s="2364"/>
      <c r="AC296" s="2364"/>
      <c r="AD296" s="2364"/>
      <c r="AE296" s="2364"/>
      <c r="AF296" s="1411"/>
    </row>
    <row r="297" spans="1:32" s="1110" customFormat="1" ht="63.75" customHeight="1" x14ac:dyDescent="0.3">
      <c r="A297" s="1113" t="s">
        <v>606</v>
      </c>
      <c r="B297" s="1113"/>
      <c r="C297" s="1113"/>
      <c r="D297" s="1113"/>
      <c r="E297" s="1113"/>
      <c r="F297" s="1113"/>
      <c r="G297" s="1113" t="s">
        <v>100</v>
      </c>
      <c r="H297" s="2364" t="s">
        <v>676</v>
      </c>
      <c r="I297" s="2364"/>
      <c r="J297" s="2364"/>
      <c r="K297" s="2364"/>
      <c r="L297" s="2364"/>
      <c r="M297" s="2364"/>
      <c r="N297" s="2364"/>
      <c r="O297" s="2364"/>
      <c r="P297" s="2364"/>
      <c r="Q297" s="2364"/>
      <c r="R297" s="2364"/>
      <c r="S297" s="2364"/>
      <c r="T297" s="2364"/>
      <c r="U297" s="2364"/>
      <c r="V297" s="2364"/>
      <c r="W297" s="2364"/>
      <c r="X297" s="2364"/>
      <c r="Y297" s="2364"/>
      <c r="Z297" s="2364"/>
      <c r="AA297" s="2364"/>
      <c r="AB297" s="2364"/>
      <c r="AC297" s="2364"/>
      <c r="AD297" s="2364"/>
      <c r="AE297" s="2364"/>
      <c r="AF297" s="1411"/>
    </row>
    <row r="298" spans="1:32" s="1110" customFormat="1" ht="38.25" customHeight="1" x14ac:dyDescent="0.3">
      <c r="A298" s="1113" t="s">
        <v>606</v>
      </c>
      <c r="B298" s="1113"/>
      <c r="C298" s="1113"/>
      <c r="D298" s="1113"/>
      <c r="E298" s="1113"/>
      <c r="F298" s="1113"/>
      <c r="G298" s="1113" t="s">
        <v>100</v>
      </c>
      <c r="H298" s="2364" t="s">
        <v>677</v>
      </c>
      <c r="I298" s="2364"/>
      <c r="J298" s="2364"/>
      <c r="K298" s="2364"/>
      <c r="L298" s="2364"/>
      <c r="M298" s="2364"/>
      <c r="N298" s="2364"/>
      <c r="O298" s="2364"/>
      <c r="P298" s="2364"/>
      <c r="Q298" s="2364"/>
      <c r="R298" s="2364"/>
      <c r="S298" s="2364"/>
      <c r="T298" s="2364"/>
      <c r="U298" s="2364"/>
      <c r="V298" s="2364"/>
      <c r="W298" s="2364"/>
      <c r="X298" s="2364"/>
      <c r="Y298" s="2364"/>
      <c r="Z298" s="2364"/>
      <c r="AA298" s="2364"/>
      <c r="AB298" s="2364"/>
      <c r="AC298" s="2364"/>
      <c r="AD298" s="2364"/>
      <c r="AE298" s="2364"/>
      <c r="AF298" s="1411"/>
    </row>
    <row r="299" spans="1:32" s="1110" customFormat="1" ht="12" x14ac:dyDescent="0.3">
      <c r="A299" s="1113" t="s">
        <v>606</v>
      </c>
      <c r="B299" s="1113"/>
      <c r="C299" s="1113"/>
      <c r="D299" s="1113"/>
      <c r="E299" s="1113"/>
      <c r="F299" s="1113"/>
      <c r="G299" s="1113" t="s">
        <v>100</v>
      </c>
      <c r="H299" s="2364" t="s">
        <v>678</v>
      </c>
      <c r="I299" s="2364"/>
      <c r="J299" s="2364"/>
      <c r="K299" s="2364"/>
      <c r="L299" s="2364"/>
      <c r="M299" s="2364"/>
      <c r="N299" s="2364"/>
      <c r="O299" s="2364"/>
      <c r="P299" s="2364"/>
      <c r="Q299" s="2364"/>
      <c r="R299" s="2364"/>
      <c r="S299" s="2364"/>
      <c r="T299" s="2364"/>
      <c r="U299" s="2364"/>
      <c r="V299" s="2364"/>
      <c r="W299" s="2364"/>
      <c r="X299" s="2364"/>
      <c r="Y299" s="2364"/>
      <c r="Z299" s="2364"/>
      <c r="AA299" s="2364"/>
      <c r="AB299" s="2364"/>
      <c r="AC299" s="2364"/>
      <c r="AD299" s="2364"/>
      <c r="AE299" s="2364"/>
      <c r="AF299" s="1411"/>
    </row>
    <row r="300" spans="1:32" s="1110" customFormat="1" ht="38.25" customHeight="1" x14ac:dyDescent="0.3">
      <c r="A300" s="1113" t="s">
        <v>606</v>
      </c>
      <c r="B300" s="1113"/>
      <c r="C300" s="1113"/>
      <c r="D300" s="1113"/>
      <c r="E300" s="1113"/>
      <c r="F300" s="1113"/>
      <c r="G300" s="1113" t="s">
        <v>100</v>
      </c>
      <c r="H300" s="2364" t="s">
        <v>679</v>
      </c>
      <c r="I300" s="2364"/>
      <c r="J300" s="2364"/>
      <c r="K300" s="2364"/>
      <c r="L300" s="2364"/>
      <c r="M300" s="2364"/>
      <c r="N300" s="2364"/>
      <c r="O300" s="2364"/>
      <c r="P300" s="2364"/>
      <c r="Q300" s="2364"/>
      <c r="R300" s="2364"/>
      <c r="S300" s="2364"/>
      <c r="T300" s="2364"/>
      <c r="U300" s="2364"/>
      <c r="V300" s="2364"/>
      <c r="W300" s="2364"/>
      <c r="X300" s="2364"/>
      <c r="Y300" s="2364"/>
      <c r="Z300" s="2364"/>
      <c r="AA300" s="2364"/>
      <c r="AB300" s="2364"/>
      <c r="AC300" s="2364"/>
      <c r="AD300" s="2364"/>
      <c r="AE300" s="2364"/>
      <c r="AF300" s="1411"/>
    </row>
    <row r="301" spans="1:32" s="1110" customFormat="1" ht="43.5" customHeight="1" x14ac:dyDescent="0.3">
      <c r="A301" s="1113" t="s">
        <v>606</v>
      </c>
      <c r="B301" s="1113"/>
      <c r="C301" s="1113"/>
      <c r="D301" s="1113"/>
      <c r="E301" s="1113"/>
      <c r="F301" s="1113"/>
      <c r="G301" s="1113" t="s">
        <v>100</v>
      </c>
      <c r="H301" s="2364" t="s">
        <v>680</v>
      </c>
      <c r="I301" s="2364"/>
      <c r="J301" s="2364"/>
      <c r="K301" s="2364"/>
      <c r="L301" s="2364"/>
      <c r="M301" s="2364"/>
      <c r="N301" s="2364"/>
      <c r="O301" s="2364"/>
      <c r="P301" s="2364"/>
      <c r="Q301" s="2364"/>
      <c r="R301" s="2364"/>
      <c r="S301" s="2364"/>
      <c r="T301" s="2364"/>
      <c r="U301" s="2364"/>
      <c r="V301" s="2364"/>
      <c r="W301" s="2364"/>
      <c r="X301" s="2364"/>
      <c r="Y301" s="2364"/>
      <c r="Z301" s="2364"/>
      <c r="AA301" s="2364"/>
      <c r="AB301" s="2364"/>
      <c r="AC301" s="2364"/>
      <c r="AD301" s="2364"/>
      <c r="AE301" s="2364"/>
      <c r="AF301" s="1411"/>
    </row>
    <row r="302" spans="1:32" s="1110" customFormat="1" ht="79.5" customHeight="1" x14ac:dyDescent="0.3">
      <c r="A302" s="1113" t="s">
        <v>606</v>
      </c>
      <c r="B302" s="1113"/>
      <c r="C302" s="1113"/>
      <c r="D302" s="1113"/>
      <c r="E302" s="1113"/>
      <c r="F302" s="1113"/>
      <c r="G302" s="1113" t="s">
        <v>100</v>
      </c>
      <c r="H302" s="2364" t="s">
        <v>681</v>
      </c>
      <c r="I302" s="2364"/>
      <c r="J302" s="2364"/>
      <c r="K302" s="2364"/>
      <c r="L302" s="2364"/>
      <c r="M302" s="2364"/>
      <c r="N302" s="2364"/>
      <c r="O302" s="2364"/>
      <c r="P302" s="2364"/>
      <c r="Q302" s="2364"/>
      <c r="R302" s="2364"/>
      <c r="S302" s="2364"/>
      <c r="T302" s="2364"/>
      <c r="U302" s="2364"/>
      <c r="V302" s="2364"/>
      <c r="W302" s="2364"/>
      <c r="X302" s="2364"/>
      <c r="Y302" s="2364"/>
      <c r="Z302" s="2364"/>
      <c r="AA302" s="2364"/>
      <c r="AB302" s="2364"/>
      <c r="AC302" s="2364"/>
      <c r="AD302" s="2364"/>
      <c r="AE302" s="2364"/>
      <c r="AF302" s="1411"/>
    </row>
    <row r="303" spans="1:32" ht="12" collapsed="1" x14ac:dyDescent="0.3">
      <c r="A303" s="460" t="s">
        <v>174</v>
      </c>
      <c r="Q303" s="731"/>
      <c r="R303" s="731"/>
      <c r="S303" s="731"/>
      <c r="T303" s="1067"/>
      <c r="U303" s="1067"/>
      <c r="V303" s="1067"/>
      <c r="W303" s="1067"/>
      <c r="X303" s="1067"/>
      <c r="Y303" s="1067"/>
      <c r="Z303" s="731"/>
      <c r="AA303" s="731"/>
    </row>
    <row r="304" spans="1:32" x14ac:dyDescent="0.25">
      <c r="A304" s="470" t="s">
        <v>632</v>
      </c>
      <c r="B304" s="470"/>
      <c r="AB304" s="732"/>
    </row>
    <row r="305" spans="1:32" s="541" customFormat="1" ht="12" x14ac:dyDescent="0.3">
      <c r="A305" s="733"/>
      <c r="B305" s="733"/>
      <c r="T305" s="1068"/>
      <c r="U305" s="1068"/>
      <c r="V305" s="1068"/>
      <c r="W305" s="1068"/>
      <c r="X305" s="1068"/>
      <c r="Y305" s="1068"/>
    </row>
    <row r="306" spans="1:32" s="1115" customFormat="1" ht="31.5" customHeight="1" x14ac:dyDescent="0.3">
      <c r="A306" s="1111" t="s">
        <v>175</v>
      </c>
      <c r="B306" s="1111"/>
      <c r="C306" s="1111"/>
      <c r="D306" s="1111"/>
      <c r="E306" s="1111"/>
      <c r="F306" s="1111"/>
      <c r="G306" s="1111" t="s">
        <v>100</v>
      </c>
      <c r="H306" s="2363" t="s">
        <v>682</v>
      </c>
      <c r="I306" s="2363"/>
      <c r="J306" s="2363"/>
      <c r="K306" s="2363"/>
      <c r="L306" s="2363"/>
      <c r="M306" s="2363"/>
      <c r="N306" s="2363"/>
      <c r="O306" s="2363"/>
      <c r="P306" s="2363"/>
      <c r="Q306" s="2363"/>
      <c r="R306" s="2363"/>
      <c r="S306" s="2363"/>
      <c r="T306" s="2363"/>
      <c r="U306" s="2363"/>
      <c r="V306" s="2363"/>
      <c r="W306" s="2363"/>
      <c r="X306" s="2363"/>
      <c r="Y306" s="2363"/>
      <c r="Z306" s="2363"/>
      <c r="AA306" s="2363"/>
      <c r="AB306" s="2363"/>
      <c r="AC306" s="2363"/>
      <c r="AD306" s="2363"/>
      <c r="AE306" s="2363"/>
      <c r="AF306" s="1411"/>
    </row>
    <row r="307" spans="1:32" s="1115" customFormat="1" ht="36" customHeight="1" x14ac:dyDescent="0.3">
      <c r="A307" s="1111" t="s">
        <v>175</v>
      </c>
      <c r="B307" s="1111"/>
      <c r="C307" s="1111"/>
      <c r="D307" s="1111"/>
      <c r="E307" s="1111"/>
      <c r="F307" s="1111"/>
      <c r="G307" s="1111" t="s">
        <v>100</v>
      </c>
      <c r="H307" s="2363" t="s">
        <v>683</v>
      </c>
      <c r="I307" s="2363"/>
      <c r="J307" s="2363"/>
      <c r="K307" s="2363"/>
      <c r="L307" s="2363"/>
      <c r="M307" s="2363"/>
      <c r="N307" s="2363"/>
      <c r="O307" s="2363"/>
      <c r="P307" s="2363"/>
      <c r="Q307" s="2363"/>
      <c r="R307" s="2363"/>
      <c r="S307" s="2363"/>
      <c r="T307" s="2363"/>
      <c r="U307" s="2363"/>
      <c r="V307" s="2363"/>
      <c r="W307" s="2363"/>
      <c r="X307" s="2363"/>
      <c r="Y307" s="2363"/>
      <c r="Z307" s="2363"/>
      <c r="AA307" s="2363"/>
      <c r="AB307" s="2363"/>
      <c r="AC307" s="2363"/>
      <c r="AD307" s="2363"/>
      <c r="AE307" s="2363"/>
      <c r="AF307" s="1411"/>
    </row>
    <row r="308" spans="1:32" s="1115" customFormat="1" ht="51" customHeight="1" x14ac:dyDescent="0.3">
      <c r="A308" s="1111" t="s">
        <v>175</v>
      </c>
      <c r="B308" s="1111"/>
      <c r="C308" s="1111"/>
      <c r="D308" s="1111"/>
      <c r="E308" s="1111"/>
      <c r="F308" s="1111"/>
      <c r="G308" s="1111" t="s">
        <v>100</v>
      </c>
      <c r="H308" s="2363" t="s">
        <v>684</v>
      </c>
      <c r="I308" s="2363"/>
      <c r="J308" s="2363"/>
      <c r="K308" s="2363"/>
      <c r="L308" s="2363"/>
      <c r="M308" s="2363"/>
      <c r="N308" s="2363"/>
      <c r="O308" s="2363"/>
      <c r="P308" s="2363"/>
      <c r="Q308" s="2363"/>
      <c r="R308" s="2363"/>
      <c r="S308" s="2363"/>
      <c r="T308" s="2363"/>
      <c r="U308" s="2363"/>
      <c r="V308" s="2363"/>
      <c r="W308" s="2363"/>
      <c r="X308" s="2363"/>
      <c r="Y308" s="2363"/>
      <c r="Z308" s="2363"/>
      <c r="AA308" s="2363"/>
      <c r="AB308" s="2363"/>
      <c r="AC308" s="2363"/>
      <c r="AD308" s="2363"/>
      <c r="AE308" s="2363"/>
      <c r="AF308" s="1411"/>
    </row>
    <row r="309" spans="1:32" s="1115" customFormat="1" ht="36" customHeight="1" x14ac:dyDescent="0.3">
      <c r="A309" s="1111" t="s">
        <v>175</v>
      </c>
      <c r="B309" s="1111"/>
      <c r="C309" s="1111"/>
      <c r="D309" s="1111"/>
      <c r="E309" s="1111"/>
      <c r="F309" s="1111"/>
      <c r="G309" s="1111" t="s">
        <v>100</v>
      </c>
      <c r="H309" s="2363" t="s">
        <v>685</v>
      </c>
      <c r="I309" s="2363"/>
      <c r="J309" s="2363"/>
      <c r="K309" s="2363"/>
      <c r="L309" s="2363"/>
      <c r="M309" s="2363"/>
      <c r="N309" s="2363"/>
      <c r="O309" s="2363"/>
      <c r="P309" s="2363"/>
      <c r="Q309" s="2363"/>
      <c r="R309" s="2363"/>
      <c r="S309" s="2363"/>
      <c r="T309" s="2363"/>
      <c r="U309" s="2363"/>
      <c r="V309" s="2363"/>
      <c r="W309" s="2363"/>
      <c r="X309" s="2363"/>
      <c r="Y309" s="2363"/>
      <c r="Z309" s="2363"/>
      <c r="AA309" s="2363"/>
      <c r="AB309" s="2363"/>
      <c r="AC309" s="2363"/>
      <c r="AD309" s="2363"/>
      <c r="AE309" s="2363"/>
      <c r="AF309" s="1411"/>
    </row>
    <row r="310" spans="1:32" s="1115" customFormat="1" ht="37.5" customHeight="1" x14ac:dyDescent="0.3">
      <c r="A310" s="1111" t="s">
        <v>175</v>
      </c>
      <c r="B310" s="1111"/>
      <c r="C310" s="1111"/>
      <c r="D310" s="1111"/>
      <c r="E310" s="1111"/>
      <c r="F310" s="1111"/>
      <c r="G310" s="1111" t="s">
        <v>100</v>
      </c>
      <c r="H310" s="2363" t="s">
        <v>686</v>
      </c>
      <c r="I310" s="2363"/>
      <c r="J310" s="2363"/>
      <c r="K310" s="2363"/>
      <c r="L310" s="2363"/>
      <c r="M310" s="2363"/>
      <c r="N310" s="2363"/>
      <c r="O310" s="2363"/>
      <c r="P310" s="2363"/>
      <c r="Q310" s="2363"/>
      <c r="R310" s="2363"/>
      <c r="S310" s="2363"/>
      <c r="T310" s="2363"/>
      <c r="U310" s="2363"/>
      <c r="V310" s="2363"/>
      <c r="W310" s="2363"/>
      <c r="X310" s="2363"/>
      <c r="Y310" s="2363"/>
      <c r="Z310" s="2363"/>
      <c r="AA310" s="2363"/>
      <c r="AB310" s="2363"/>
      <c r="AC310" s="2363"/>
      <c r="AD310" s="2363"/>
      <c r="AE310" s="2363"/>
      <c r="AF310" s="1411"/>
    </row>
    <row r="311" spans="1:32" s="1115" customFormat="1" ht="34.5" customHeight="1" x14ac:dyDescent="0.3">
      <c r="A311" s="1111" t="s">
        <v>175</v>
      </c>
      <c r="B311" s="1111"/>
      <c r="C311" s="1111"/>
      <c r="D311" s="1111"/>
      <c r="E311" s="1111"/>
      <c r="F311" s="1111"/>
      <c r="G311" s="1111" t="s">
        <v>100</v>
      </c>
      <c r="H311" s="2363" t="s">
        <v>687</v>
      </c>
      <c r="I311" s="2363"/>
      <c r="J311" s="2363"/>
      <c r="K311" s="2363"/>
      <c r="L311" s="2363"/>
      <c r="M311" s="2363"/>
      <c r="N311" s="2363"/>
      <c r="O311" s="2363"/>
      <c r="P311" s="2363"/>
      <c r="Q311" s="2363"/>
      <c r="R311" s="2363"/>
      <c r="S311" s="2363"/>
      <c r="T311" s="2363"/>
      <c r="U311" s="2363"/>
      <c r="V311" s="2363"/>
      <c r="W311" s="2363"/>
      <c r="X311" s="2363"/>
      <c r="Y311" s="2363"/>
      <c r="Z311" s="2363"/>
      <c r="AA311" s="2363"/>
      <c r="AB311" s="2363"/>
      <c r="AC311" s="2363"/>
      <c r="AD311" s="2363"/>
      <c r="AE311" s="2363"/>
      <c r="AF311" s="1411"/>
    </row>
    <row r="312" spans="1:32" s="1115" customFormat="1" ht="34.5" customHeight="1" x14ac:dyDescent="0.3">
      <c r="A312" s="1111" t="s">
        <v>175</v>
      </c>
      <c r="B312" s="1111"/>
      <c r="C312" s="1111"/>
      <c r="D312" s="1111"/>
      <c r="E312" s="1111"/>
      <c r="F312" s="1111"/>
      <c r="G312" s="1111" t="s">
        <v>100</v>
      </c>
      <c r="H312" s="2363" t="s">
        <v>688</v>
      </c>
      <c r="I312" s="2363"/>
      <c r="J312" s="2363"/>
      <c r="K312" s="2363"/>
      <c r="L312" s="2363"/>
      <c r="M312" s="2363"/>
      <c r="N312" s="2363"/>
      <c r="O312" s="2363"/>
      <c r="P312" s="2363"/>
      <c r="Q312" s="2363"/>
      <c r="R312" s="2363"/>
      <c r="S312" s="2363"/>
      <c r="T312" s="2363"/>
      <c r="U312" s="2363"/>
      <c r="V312" s="2363"/>
      <c r="W312" s="2363"/>
      <c r="X312" s="2363"/>
      <c r="Y312" s="2363"/>
      <c r="Z312" s="2363"/>
      <c r="AA312" s="2363"/>
      <c r="AB312" s="2363"/>
      <c r="AC312" s="2363"/>
      <c r="AD312" s="2363"/>
      <c r="AE312" s="2363"/>
      <c r="AF312" s="1411"/>
    </row>
    <row r="313" spans="1:32" s="1115" customFormat="1" ht="37.5" customHeight="1" x14ac:dyDescent="0.3">
      <c r="A313" s="1111" t="s">
        <v>175</v>
      </c>
      <c r="B313" s="1111"/>
      <c r="C313" s="1111"/>
      <c r="D313" s="1111"/>
      <c r="E313" s="1111"/>
      <c r="F313" s="1111"/>
      <c r="G313" s="1111" t="s">
        <v>100</v>
      </c>
      <c r="H313" s="2363" t="s">
        <v>689</v>
      </c>
      <c r="I313" s="2363"/>
      <c r="J313" s="2363"/>
      <c r="K313" s="2363"/>
      <c r="L313" s="2363"/>
      <c r="M313" s="2363"/>
      <c r="N313" s="2363"/>
      <c r="O313" s="2363"/>
      <c r="P313" s="2363"/>
      <c r="Q313" s="2363"/>
      <c r="R313" s="2363"/>
      <c r="S313" s="2363"/>
      <c r="T313" s="2363"/>
      <c r="U313" s="2363"/>
      <c r="V313" s="2363"/>
      <c r="W313" s="2363"/>
      <c r="X313" s="2363"/>
      <c r="Y313" s="2363"/>
      <c r="Z313" s="2363"/>
      <c r="AA313" s="2363"/>
      <c r="AB313" s="2363"/>
      <c r="AC313" s="2363"/>
      <c r="AD313" s="2363"/>
      <c r="AE313" s="2363"/>
      <c r="AF313" s="1411"/>
    </row>
    <row r="314" spans="1:32" s="1115" customFormat="1" ht="37.5" customHeight="1" x14ac:dyDescent="0.3">
      <c r="A314" s="1111" t="s">
        <v>175</v>
      </c>
      <c r="B314" s="1111"/>
      <c r="C314" s="1111"/>
      <c r="D314" s="1111"/>
      <c r="E314" s="1111"/>
      <c r="F314" s="1111"/>
      <c r="G314" s="1111" t="s">
        <v>100</v>
      </c>
      <c r="H314" s="2363" t="s">
        <v>690</v>
      </c>
      <c r="I314" s="2363"/>
      <c r="J314" s="2363"/>
      <c r="K314" s="2363"/>
      <c r="L314" s="2363"/>
      <c r="M314" s="2363"/>
      <c r="N314" s="2363"/>
      <c r="O314" s="2363"/>
      <c r="P314" s="2363"/>
      <c r="Q314" s="2363"/>
      <c r="R314" s="2363"/>
      <c r="S314" s="2363"/>
      <c r="T314" s="2363"/>
      <c r="U314" s="2363"/>
      <c r="V314" s="2363"/>
      <c r="W314" s="2363"/>
      <c r="X314" s="2363"/>
      <c r="Y314" s="2363"/>
      <c r="Z314" s="2363"/>
      <c r="AA314" s="2363"/>
      <c r="AB314" s="2363"/>
      <c r="AC314" s="2363"/>
      <c r="AD314" s="2363"/>
      <c r="AE314" s="2363"/>
      <c r="AF314" s="1411"/>
    </row>
    <row r="315" spans="1:32" s="1115" customFormat="1" ht="31.5" customHeight="1" x14ac:dyDescent="0.3">
      <c r="A315" s="1111" t="s">
        <v>175</v>
      </c>
      <c r="B315" s="1111"/>
      <c r="C315" s="1111"/>
      <c r="D315" s="1111"/>
      <c r="E315" s="1111"/>
      <c r="F315" s="1111"/>
      <c r="G315" s="1111" t="s">
        <v>100</v>
      </c>
      <c r="H315" s="2363" t="s">
        <v>691</v>
      </c>
      <c r="I315" s="2363"/>
      <c r="J315" s="2363"/>
      <c r="K315" s="2363"/>
      <c r="L315" s="2363"/>
      <c r="M315" s="2363"/>
      <c r="N315" s="2363"/>
      <c r="O315" s="2363"/>
      <c r="P315" s="2363"/>
      <c r="Q315" s="2363"/>
      <c r="R315" s="2363"/>
      <c r="S315" s="2363"/>
      <c r="T315" s="2363"/>
      <c r="U315" s="2363"/>
      <c r="V315" s="2363"/>
      <c r="W315" s="2363"/>
      <c r="X315" s="2363"/>
      <c r="Y315" s="2363"/>
      <c r="Z315" s="2363"/>
      <c r="AA315" s="2363"/>
      <c r="AB315" s="2363"/>
      <c r="AC315" s="2363"/>
      <c r="AD315" s="2363"/>
      <c r="AE315" s="2363"/>
      <c r="AF315" s="1411"/>
    </row>
    <row r="316" spans="1:32" s="1115" customFormat="1" ht="37.5" customHeight="1" x14ac:dyDescent="0.3">
      <c r="A316" s="1111" t="s">
        <v>175</v>
      </c>
      <c r="B316" s="1111"/>
      <c r="C316" s="1111"/>
      <c r="D316" s="1111"/>
      <c r="E316" s="1111"/>
      <c r="F316" s="1111"/>
      <c r="G316" s="1111" t="s">
        <v>100</v>
      </c>
      <c r="H316" s="2363" t="s">
        <v>692</v>
      </c>
      <c r="I316" s="2363"/>
      <c r="J316" s="2363"/>
      <c r="K316" s="2363"/>
      <c r="L316" s="2363"/>
      <c r="M316" s="2363"/>
      <c r="N316" s="2363"/>
      <c r="O316" s="2363"/>
      <c r="P316" s="2363"/>
      <c r="Q316" s="2363"/>
      <c r="R316" s="2363"/>
      <c r="S316" s="2363"/>
      <c r="T316" s="2363"/>
      <c r="U316" s="2363"/>
      <c r="V316" s="2363"/>
      <c r="W316" s="2363"/>
      <c r="X316" s="2363"/>
      <c r="Y316" s="2363"/>
      <c r="Z316" s="2363"/>
      <c r="AA316" s="2363"/>
      <c r="AB316" s="2363"/>
      <c r="AC316" s="2363"/>
      <c r="AD316" s="2363"/>
      <c r="AE316" s="2363"/>
      <c r="AF316" s="1411"/>
    </row>
    <row r="317" spans="1:32" s="1115" customFormat="1" ht="48" customHeight="1" x14ac:dyDescent="0.3">
      <c r="A317" s="1111" t="s">
        <v>175</v>
      </c>
      <c r="B317" s="1111"/>
      <c r="C317" s="1111"/>
      <c r="D317" s="1111"/>
      <c r="E317" s="1111"/>
      <c r="F317" s="1111"/>
      <c r="G317" s="1111" t="s">
        <v>100</v>
      </c>
      <c r="H317" s="2363" t="s">
        <v>693</v>
      </c>
      <c r="I317" s="2363"/>
      <c r="J317" s="2363"/>
      <c r="K317" s="2363"/>
      <c r="L317" s="2363"/>
      <c r="M317" s="2363"/>
      <c r="N317" s="2363"/>
      <c r="O317" s="2363"/>
      <c r="P317" s="2363"/>
      <c r="Q317" s="2363"/>
      <c r="R317" s="2363"/>
      <c r="S317" s="2363"/>
      <c r="T317" s="2363"/>
      <c r="U317" s="2363"/>
      <c r="V317" s="2363"/>
      <c r="W317" s="2363"/>
      <c r="X317" s="2363"/>
      <c r="Y317" s="2363"/>
      <c r="Z317" s="2363"/>
      <c r="AA317" s="2363"/>
      <c r="AB317" s="2363"/>
      <c r="AC317" s="2363"/>
      <c r="AD317" s="2363"/>
      <c r="AE317" s="2363"/>
      <c r="AF317" s="1411"/>
    </row>
    <row r="318" spans="1:32" s="1115" customFormat="1" ht="50.25" customHeight="1" x14ac:dyDescent="0.3">
      <c r="A318" s="1111" t="s">
        <v>175</v>
      </c>
      <c r="B318" s="1111"/>
      <c r="C318" s="1111"/>
      <c r="D318" s="1111"/>
      <c r="E318" s="1111"/>
      <c r="F318" s="1111"/>
      <c r="G318" s="1111" t="s">
        <v>100</v>
      </c>
      <c r="H318" s="2363" t="s">
        <v>694</v>
      </c>
      <c r="I318" s="2363"/>
      <c r="J318" s="2363"/>
      <c r="K318" s="2363"/>
      <c r="L318" s="2363"/>
      <c r="M318" s="2363"/>
      <c r="N318" s="2363"/>
      <c r="O318" s="2363"/>
      <c r="P318" s="2363"/>
      <c r="Q318" s="2363"/>
      <c r="R318" s="2363"/>
      <c r="S318" s="2363"/>
      <c r="T318" s="2363"/>
      <c r="U318" s="2363"/>
      <c r="V318" s="2363"/>
      <c r="W318" s="2363"/>
      <c r="X318" s="2363"/>
      <c r="Y318" s="2363"/>
      <c r="Z318" s="2363"/>
      <c r="AA318" s="2363"/>
      <c r="AB318" s="2363"/>
      <c r="AC318" s="2363"/>
      <c r="AD318" s="2363"/>
      <c r="AE318" s="2363"/>
      <c r="AF318" s="1411"/>
    </row>
    <row r="319" spans="1:32" s="1116" customFormat="1" ht="35.25" customHeight="1" x14ac:dyDescent="0.25">
      <c r="A319" s="1111" t="s">
        <v>175</v>
      </c>
      <c r="B319" s="1111"/>
      <c r="C319" s="1111"/>
      <c r="D319" s="1111"/>
      <c r="E319" s="1111"/>
      <c r="F319" s="1111"/>
      <c r="G319" s="1111" t="s">
        <v>100</v>
      </c>
      <c r="H319" s="2363" t="s">
        <v>695</v>
      </c>
      <c r="I319" s="2363"/>
      <c r="J319" s="2363"/>
      <c r="K319" s="2363"/>
      <c r="L319" s="2363"/>
      <c r="M319" s="2363"/>
      <c r="N319" s="2363"/>
      <c r="O319" s="2363"/>
      <c r="P319" s="2363"/>
      <c r="Q319" s="2363"/>
      <c r="R319" s="2363"/>
      <c r="S319" s="2363"/>
      <c r="T319" s="2363"/>
      <c r="U319" s="2363"/>
      <c r="V319" s="2363"/>
      <c r="W319" s="2363"/>
      <c r="X319" s="2363"/>
      <c r="Y319" s="2363"/>
      <c r="Z319" s="2363"/>
      <c r="AA319" s="2363"/>
      <c r="AB319" s="2363"/>
      <c r="AC319" s="2363"/>
      <c r="AD319" s="2363"/>
      <c r="AE319" s="2363"/>
      <c r="AF319" s="1411"/>
    </row>
    <row r="320" spans="1:32" s="1116" customFormat="1" ht="31.5" customHeight="1" x14ac:dyDescent="0.25">
      <c r="A320" s="1111" t="s">
        <v>175</v>
      </c>
      <c r="B320" s="1111"/>
      <c r="C320" s="1111"/>
      <c r="D320" s="1111"/>
      <c r="E320" s="1111"/>
      <c r="F320" s="1111"/>
      <c r="G320" s="1111" t="s">
        <v>100</v>
      </c>
      <c r="H320" s="2363" t="s">
        <v>696</v>
      </c>
      <c r="I320" s="2363"/>
      <c r="J320" s="2363"/>
      <c r="K320" s="2363"/>
      <c r="L320" s="2363"/>
      <c r="M320" s="2363"/>
      <c r="N320" s="2363"/>
      <c r="O320" s="2363"/>
      <c r="P320" s="2363"/>
      <c r="Q320" s="2363"/>
      <c r="R320" s="2363"/>
      <c r="S320" s="2363"/>
      <c r="T320" s="2363"/>
      <c r="U320" s="2363"/>
      <c r="V320" s="2363"/>
      <c r="W320" s="2363"/>
      <c r="X320" s="2363"/>
      <c r="Y320" s="2363"/>
      <c r="Z320" s="2363"/>
      <c r="AA320" s="2363"/>
      <c r="AB320" s="2363"/>
      <c r="AC320" s="2363"/>
      <c r="AD320" s="2363"/>
      <c r="AE320" s="2363"/>
      <c r="AF320" s="1411"/>
    </row>
    <row r="321" spans="1:32" s="1116" customFormat="1" ht="39.75" customHeight="1" x14ac:dyDescent="0.25">
      <c r="A321" s="1111" t="s">
        <v>175</v>
      </c>
      <c r="B321" s="1111"/>
      <c r="C321" s="1111"/>
      <c r="D321" s="1111"/>
      <c r="E321" s="1111"/>
      <c r="F321" s="1111"/>
      <c r="G321" s="1111" t="s">
        <v>100</v>
      </c>
      <c r="H321" s="2363" t="s">
        <v>697</v>
      </c>
      <c r="I321" s="2363"/>
      <c r="J321" s="2363"/>
      <c r="K321" s="2363"/>
      <c r="L321" s="2363"/>
      <c r="M321" s="2363"/>
      <c r="N321" s="2363"/>
      <c r="O321" s="2363"/>
      <c r="P321" s="2363"/>
      <c r="Q321" s="2363"/>
      <c r="R321" s="2363"/>
      <c r="S321" s="2363"/>
      <c r="T321" s="2363"/>
      <c r="U321" s="2363"/>
      <c r="V321" s="2363"/>
      <c r="W321" s="2363"/>
      <c r="X321" s="2363"/>
      <c r="Y321" s="2363"/>
      <c r="Z321" s="2363"/>
      <c r="AA321" s="2363"/>
      <c r="AB321" s="2363"/>
      <c r="AC321" s="2363"/>
      <c r="AD321" s="2363"/>
      <c r="AE321" s="2363"/>
      <c r="AF321" s="1411"/>
    </row>
  </sheetData>
  <mergeCells count="61">
    <mergeCell ref="H258:AE258"/>
    <mergeCell ref="H319:AE319"/>
    <mergeCell ref="H320:AE320"/>
    <mergeCell ref="H300:AE300"/>
    <mergeCell ref="H301:AE301"/>
    <mergeCell ref="H302:AE302"/>
    <mergeCell ref="H306:AE306"/>
    <mergeCell ref="H307:AE307"/>
    <mergeCell ref="H308:AE308"/>
    <mergeCell ref="H294:AE294"/>
    <mergeCell ref="H295:AE295"/>
    <mergeCell ref="H296:AE296"/>
    <mergeCell ref="H297:AE297"/>
    <mergeCell ref="H298:AE298"/>
    <mergeCell ref="H293:AE293"/>
    <mergeCell ref="H280:AE280"/>
    <mergeCell ref="H321:AE321"/>
    <mergeCell ref="H309:AE309"/>
    <mergeCell ref="H310:AE310"/>
    <mergeCell ref="H311:AE311"/>
    <mergeCell ref="H312:AE312"/>
    <mergeCell ref="H313:AE313"/>
    <mergeCell ref="H314:AE314"/>
    <mergeCell ref="H315:AE315"/>
    <mergeCell ref="H316:AE316"/>
    <mergeCell ref="H318:AE318"/>
    <mergeCell ref="H281:AE281"/>
    <mergeCell ref="H282:AE282"/>
    <mergeCell ref="H283:AE283"/>
    <mergeCell ref="H317:AE317"/>
    <mergeCell ref="H284:AE284"/>
    <mergeCell ref="H285:AE285"/>
    <mergeCell ref="H286:AE286"/>
    <mergeCell ref="H287:AE287"/>
    <mergeCell ref="H299:AE299"/>
    <mergeCell ref="H288:AE288"/>
    <mergeCell ref="H289:AE289"/>
    <mergeCell ref="H290:AE290"/>
    <mergeCell ref="H291:AE291"/>
    <mergeCell ref="H292:AE292"/>
    <mergeCell ref="H279:AE279"/>
    <mergeCell ref="H268:AE268"/>
    <mergeCell ref="H269:AE269"/>
    <mergeCell ref="H270:AE270"/>
    <mergeCell ref="H271:AE271"/>
    <mergeCell ref="H272:AE272"/>
    <mergeCell ref="H273:AE273"/>
    <mergeCell ref="H274:AE274"/>
    <mergeCell ref="H275:AE275"/>
    <mergeCell ref="H276:AE276"/>
    <mergeCell ref="H277:AE277"/>
    <mergeCell ref="H278:AE278"/>
    <mergeCell ref="H259:AE259"/>
    <mergeCell ref="H267:AE267"/>
    <mergeCell ref="H260:AE260"/>
    <mergeCell ref="H261:AE261"/>
    <mergeCell ref="H262:AE262"/>
    <mergeCell ref="H263:AE263"/>
    <mergeCell ref="H264:AE264"/>
    <mergeCell ref="H265:AE265"/>
    <mergeCell ref="H266:AE266"/>
  </mergeCells>
  <hyperlinks>
    <hyperlink ref="G123" r:id="rId1" tooltip="Gross Profit_x000a_ FY: 2022, FQ: 2_x000a_ Period End Date: Jun-30-2022_x000a_ Filing Date: Aug-09-2022_x000a_ Period Type: Quarterly_x000a_ Value: 98.0, Currency: USD, Millions" display="javascript:void(0);" xr:uid="{2DD0453C-A5A8-4183-A79A-DB10C9C7E493}"/>
    <hyperlink ref="G135" r:id="rId2" tooltip="Gross Profit_x000a_ FY: 2022, FQ: 2_x000a_ Period End Date: Jun-30-2022_x000a_ Filing Date: Aug-09-2022_x000a_ Period Type: Quarterly_x000a_ Value: 98.0, Currency: USD, Millions" display="javascript:void(0);" xr:uid="{A7804543-F07F-47C4-8CD1-809A7593F29E}"/>
    <hyperlink ref="G165" r:id="rId3" tooltip="Gross Profit_x000a_ FY: 2022, FQ: 2_x000a_ Period End Date: Jun-30-2022_x000a_ Filing Date: Aug-09-2022_x000a_ Period Type: Quarterly_x000a_ Value: 98.0, Currency: USD, Millions" display="javascript:void(0);" xr:uid="{2BA91E94-4187-4DF9-880D-0A559810AD04}"/>
    <hyperlink ref="G195" r:id="rId4" tooltip="Gross Profit_x000a_ FY: 2022, FQ: 2_x000a_ Period End Date: Jun-30-2022_x000a_ Filing Date: Aug-09-2022_x000a_ Period Type: Quarterly_x000a_ Value: 98.0, Currency: USD, Millions" display="javascript:void(0);" xr:uid="{98798B42-FA72-4ADB-98B5-96D63F4C8569}"/>
    <hyperlink ref="G238" r:id="rId5" tooltip="Gross Profit_x000a_ FY: 2022, FQ: 2_x000a_ Period End Date: Jun-30-2022_x000a_ Filing Date: Aug-09-2022_x000a_ Period Type: Quarterly_x000a_ Value: 98.0, Currency: USD, Millions" display="javascript:void(0);" xr:uid="{A0122413-0503-4D84-B42D-FC320048AB76}"/>
    <hyperlink ref="G215" r:id="rId6" tooltip="Selling General &amp; Admin Exp._x000a_ FY: 2020, FQ: 1_x000a_ Period End Date: Mar-31-2020_x000a_ Filing Date: Jul-12-2021_x000a_ Period Type: Quarterly_x000a_ Value: 32.5, Currency: USD, Millions" display="javascript:void(0);" xr:uid="{677B1AA5-C67B-462D-82C6-DF57D707C09A}"/>
    <hyperlink ref="H215" r:id="rId7" tooltip="Selling General &amp; Admin Exp._x000a_ FY: 2020, FQ: 2_x000a_ Period End Date: Jun-30-2020_x000a_ Filing Date: Aug-27-2021_x000a_ Period Type: Quarterly_x000a_ Value: 28.9, Currency: USD, Millions" display="javascript:void(0);" xr:uid="{3B7509E2-25E2-40CD-8001-204F26B3AC50}"/>
    <hyperlink ref="I215" r:id="rId8" tooltip="Selling General &amp; Admin Exp._x000a_ FY: 2020, FQ: 3_x000a_ Period End Date: Sep-30-2020_x000a_ Filing Date: Nov-10-2021_x000a_ Period Type: Quarterly_x000a_ Value: 25.4, Currency: USD, Millions" display="javascript:void(0);" xr:uid="{26526F4A-B587-4D6B-9075-D0BAB598A844}"/>
    <hyperlink ref="J215" r:id="rId9" tooltip="Selling General &amp; Admin Exp._x000a_ FY: 2020, FQ: 4_x000a_ Period End Date: Dec-31-2020_x000a_ Filing Date: Mar-16-2022_x000a_ Period Type: Quarterly_x000a_ Value: 35.7, Currency: USD, Millions" display="javascript:void(0);" xr:uid="{08A208DF-8488-4189-8FCB-357BF8E2550F}"/>
    <hyperlink ref="K215" r:id="rId10" tooltip="Selling General &amp; Admin Exp._x000a_ FY: 2021, FQ: 1_x000a_ Period End Date: Mar-31-2021_x000a_ Filing Date: May-10-2022_x000a_ Period Type: Quarterly_x000a_ Value: 29.6, Currency: USD, Millions" display="javascript:void(0);" xr:uid="{DB486E4F-BA9A-4639-A0E0-408533126524}"/>
    <hyperlink ref="L215" r:id="rId11" tooltip="Selling General &amp; Admin Exp._x000a_ FY: 2021, FQ: 2_x000a_ Period End Date: Jun-30-2021_x000a_ Filing Date: Aug-09-2022_x000a_ Period Type: Quarterly_x000a_ Value: 38.6, Currency: USD, Millions" display="javascript:void(0);" xr:uid="{4AA56F6C-18BD-4CCC-AAF8-7C4878C3507A}"/>
    <hyperlink ref="M215" r:id="rId12" tooltip="Selling General &amp; Admin Exp._x000a_ FY: 2021, FQ: 3_x000a_ Period End Date: Sep-30-2021_x000a_ Filing Date: Nov-10-2021_x000a_ Period Type: Quarterly_x000a_ Value: 85.0, Currency: USD, Millions" display="javascript:void(0);" xr:uid="{C3A41E77-F5E3-47FD-8D2D-977F299B9C4D}"/>
    <hyperlink ref="N215" r:id="rId13" tooltip="Selling General &amp; Admin Exp._x000a_ FY: 2021, FQ: 4_x000a_ Period End Date: Dec-31-2021_x000a_ Filing Date: Mar-16-2022_x000a_ Period Type: Quarterly_x000a_ Value: 45.5, Currency: USD, Millions" display="javascript:void(0);" xr:uid="{6D913971-60B5-466D-BB4B-EBFD560315CF}"/>
    <hyperlink ref="O215" r:id="rId14" tooltip="Selling General &amp; Admin Exp._x000a_ FY: 2022, FQ: 1_x000a_ Period End Date: Mar-31-2022_x000a_ Filing Date: May-10-2022_x000a_ Period Type: Quarterly_x000a_ Value: 42.3, Currency: USD, Millions" display="javascript:void(0);" xr:uid="{FE3EC123-FAD9-4A4F-B98F-5E6AFB43AA4D}"/>
    <hyperlink ref="P215" r:id="rId15" tooltip="Selling General &amp; Admin Exp._x000a_ FY: 2022, FQ: 2_x000a_ Period End Date: Jun-30-2022_x000a_ Filing Date: Aug-09-2022_x000a_ Period Type: Quarterly_x000a_ Value: 41.9, Currency: USD, Millions" display="javascript:void(0);" xr:uid="{20E3C8E6-FF2B-4703-A4E5-3C932E8784FE}"/>
    <hyperlink ref="G227" r:id="rId16" tooltip="R &amp; D Exp._x000a_ FY: 2020, FQ: 1_x000a_ Period End Date: Mar-31-2020_x000a_ Filing Date: Jul-12-2021_x000a_ Period Type: Quarterly_x000a_ Value: 11.1, Currency: USD, Millions" display="javascript:void(0);" xr:uid="{4A728547-9634-4FA2-A83D-48A0D33D79C8}"/>
    <hyperlink ref="H227" r:id="rId17" tooltip="R &amp; D Exp._x000a_ FY: 2020, FQ: 2_x000a_ Period End Date: Jun-30-2020_x000a_ Filing Date: Aug-27-2021_x000a_ Period Type: Quarterly_x000a_ Value: 11.0, Currency: USD, Millions" display="javascript:void(0);" xr:uid="{0DD8E484-0FA8-41F2-985A-905A56897707}"/>
    <hyperlink ref="I227" r:id="rId18" tooltip="R &amp; D Exp._x000a_ FY: 2020, FQ: 3_x000a_ Period End Date: Sep-30-2020_x000a_ Filing Date: Nov-10-2021_x000a_ Period Type: Quarterly_x000a_ Value: 10.8, Currency: USD, Millions" display="javascript:void(0);" xr:uid="{3ECE6F6D-1C3A-4AF1-89CE-0A0FD5C49FD3}"/>
    <hyperlink ref="J227" r:id="rId19" tooltip="R &amp; D Exp._x000a_ FY: 2020, FQ: 4_x000a_ Period End Date: Dec-31-2020_x000a_ Filing Date: Mar-16-2022_x000a_ Period Type: Quarterly_x000a_ Value: 11.4, Currency: USD, Millions" display="javascript:void(0);" xr:uid="{5109D319-6B46-412F-B665-BE4FEB6D241D}"/>
    <hyperlink ref="K227" r:id="rId20" tooltip="R &amp; D Exp._x000a_ FY: 2021, FQ: 1_x000a_ Period End Date: Mar-31-2021_x000a_ Filing Date: May-10-2022_x000a_ Period Type: Quarterly_x000a_ Value: 10.4, Currency: USD, Millions" display="javascript:void(0);" xr:uid="{1D2D6656-78C3-486F-B348-B52B01C2862D}"/>
    <hyperlink ref="L227" r:id="rId21" tooltip="R &amp; D Exp._x000a_ FY: 2021, FQ: 2_x000a_ Period End Date: Jun-30-2021_x000a_ Filing Date: Aug-09-2022_x000a_ Period Type: Quarterly_x000a_ Value: 10.0, Currency: USD, Millions" display="javascript:void(0);" xr:uid="{A67EF4A9-2F97-4C1C-8808-C2D664A1ADBF}"/>
    <hyperlink ref="M227" r:id="rId22" tooltip="R &amp; D Exp._x000a_ FY: 2021, FQ: 3_x000a_ Period End Date: Sep-30-2021_x000a_ Filing Date: Nov-10-2021_x000a_ Period Type: Quarterly_x000a_ Value: 12.1, Currency: USD, Millions" display="javascript:void(0);" xr:uid="{F311B848-C78C-4383-A83B-E2AE35294A16}"/>
    <hyperlink ref="N227" r:id="rId23" tooltip="R &amp; D Exp._x000a_ FY: 2021, FQ: 4_x000a_ Period End Date: Dec-31-2021_x000a_ Filing Date: Mar-16-2022_x000a_ Period Type: Quarterly_x000a_ Value: 11.9, Currency: USD, Millions" display="javascript:void(0);" xr:uid="{E30ABBE1-0ACE-44E7-B810-5789AE5D0605}"/>
    <hyperlink ref="O227" r:id="rId24" tooltip="R &amp; D Exp._x000a_ FY: 2022, FQ: 1_x000a_ Period End Date: Mar-31-2022_x000a_ Filing Date: May-10-2022_x000a_ Period Type: Quarterly_x000a_ Value: 12.6, Currency: USD, Millions" display="javascript:void(0);" xr:uid="{4C3C72B6-0C93-4467-BC70-AAAF34AF1876}"/>
    <hyperlink ref="P227" r:id="rId25" tooltip="R &amp; D Exp._x000a_ FY: 2022, FQ: 2_x000a_ Period End Date: Jun-30-2022_x000a_ Filing Date: Aug-09-2022_x000a_ Period Type: Quarterly_x000a_ Value: 12.5, Currency: USD, Millions" display="javascript:void(0);" xr:uid="{302D7863-5D25-44C6-8B66-4A2F1FEB4AD7}"/>
  </hyperlinks>
  <pageMargins left="0.3" right="0.3" top="0.3" bottom="0.3" header="0.3" footer="0.3"/>
  <pageSetup scale="35" fitToHeight="0" orientation="landscape" r:id="rId26"/>
  <headerFooter>
    <oddFooter>Page &amp;P</oddFooter>
  </headerFooter>
  <rowBreaks count="2" manualBreakCount="2">
    <brk id="254" max="23" man="1"/>
    <brk id="302" max="23" man="1"/>
  </rowBreaks>
  <colBreaks count="1" manualBreakCount="1">
    <brk id="32" max="1048575" man="1"/>
  </colBreaks>
  <drawing r:id="rId2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3D238-3F82-448D-81A8-AB8D4E1C5F4C}">
  <sheetPr>
    <pageSetUpPr fitToPage="1"/>
  </sheetPr>
  <dimension ref="A1:G23"/>
  <sheetViews>
    <sheetView view="pageBreakPreview" zoomScale="85" zoomScaleNormal="100" zoomScaleSheetLayoutView="85" workbookViewId="0">
      <selection activeCell="C6" sqref="C6"/>
    </sheetView>
  </sheetViews>
  <sheetFormatPr defaultColWidth="8.7265625" defaultRowHeight="14" x14ac:dyDescent="0.3"/>
  <cols>
    <col min="1" max="1" width="14.1796875" style="700" customWidth="1"/>
    <col min="2" max="2" width="8.7265625" style="700"/>
    <col min="3" max="3" width="147" style="700" customWidth="1"/>
    <col min="4" max="4" width="8.7265625" style="700"/>
    <col min="5" max="5" width="10.81640625" style="700" bestFit="1" customWidth="1"/>
    <col min="6" max="16384" width="8.7265625" style="700"/>
  </cols>
  <sheetData>
    <row r="1" spans="1:7" ht="14.5" x14ac:dyDescent="0.35">
      <c r="A1" s="700" t="s">
        <v>698</v>
      </c>
      <c r="C1" s="701"/>
      <c r="D1"/>
      <c r="E1"/>
      <c r="F1"/>
      <c r="G1"/>
    </row>
    <row r="2" spans="1:7" ht="14.5" x14ac:dyDescent="0.35">
      <c r="A2" s="702" t="s">
        <v>699</v>
      </c>
      <c r="C2" s="701">
        <f t="shared" ref="C2" ca="1" si="0">TODAY()</f>
        <v>45797</v>
      </c>
      <c r="D2"/>
      <c r="E2"/>
      <c r="F2"/>
      <c r="G2"/>
    </row>
    <row r="3" spans="1:7" ht="14.5" x14ac:dyDescent="0.35">
      <c r="A3" s="703"/>
      <c r="B3" s="704"/>
      <c r="C3" s="705"/>
      <c r="D3"/>
      <c r="E3"/>
      <c r="F3"/>
      <c r="G3"/>
    </row>
    <row r="4" spans="1:7" ht="14.5" x14ac:dyDescent="0.35">
      <c r="D4"/>
      <c r="E4"/>
      <c r="F4"/>
      <c r="G4"/>
    </row>
    <row r="5" spans="1:7" s="702" customFormat="1" ht="14.5" thickBot="1" x14ac:dyDescent="0.35">
      <c r="A5" s="706" t="s">
        <v>323</v>
      </c>
      <c r="B5" s="706" t="s">
        <v>700</v>
      </c>
      <c r="C5" s="706" t="s">
        <v>701</v>
      </c>
    </row>
    <row r="6" spans="1:7" s="702" customFormat="1" ht="14.5" thickBot="1" x14ac:dyDescent="0.35">
      <c r="A6" s="707">
        <v>45608</v>
      </c>
      <c r="B6" s="708" t="s">
        <v>13</v>
      </c>
      <c r="C6" s="709" t="s">
        <v>702</v>
      </c>
    </row>
    <row r="7" spans="1:7" s="702" customFormat="1" ht="84.5" thickBot="1" x14ac:dyDescent="0.35">
      <c r="A7" s="707">
        <v>45608</v>
      </c>
      <c r="B7" s="708" t="s">
        <v>13</v>
      </c>
      <c r="C7" s="711" t="s">
        <v>703</v>
      </c>
    </row>
    <row r="8" spans="1:7" s="702" customFormat="1" ht="56.5" thickBot="1" x14ac:dyDescent="0.35">
      <c r="A8" s="707">
        <v>45512</v>
      </c>
      <c r="B8" s="708" t="s">
        <v>13</v>
      </c>
      <c r="C8" s="709" t="s">
        <v>704</v>
      </c>
    </row>
    <row r="9" spans="1:7" s="702" customFormat="1" ht="56.5" thickBot="1" x14ac:dyDescent="0.35">
      <c r="A9" s="707">
        <v>45512</v>
      </c>
      <c r="B9" s="708" t="s">
        <v>13</v>
      </c>
      <c r="C9" s="711" t="s">
        <v>705</v>
      </c>
    </row>
    <row r="10" spans="1:7" s="702" customFormat="1" ht="84" x14ac:dyDescent="0.3">
      <c r="A10" s="707">
        <v>45421</v>
      </c>
      <c r="B10" s="708" t="s">
        <v>13</v>
      </c>
      <c r="C10" s="709" t="s">
        <v>706</v>
      </c>
    </row>
    <row r="11" spans="1:7" s="702" customFormat="1" ht="112.5" thickBot="1" x14ac:dyDescent="0.35">
      <c r="A11" s="716">
        <v>45421</v>
      </c>
      <c r="B11" s="710" t="s">
        <v>13</v>
      </c>
      <c r="C11" s="711" t="s">
        <v>707</v>
      </c>
    </row>
    <row r="12" spans="1:7" s="702" customFormat="1" ht="56" x14ac:dyDescent="0.3">
      <c r="A12" s="707">
        <v>45351</v>
      </c>
      <c r="B12" s="708" t="s">
        <v>13</v>
      </c>
      <c r="C12" s="709" t="s">
        <v>708</v>
      </c>
    </row>
    <row r="13" spans="1:7" s="702" customFormat="1" ht="42.5" thickBot="1" x14ac:dyDescent="0.35">
      <c r="A13" s="716">
        <v>45351</v>
      </c>
      <c r="B13" s="710" t="s">
        <v>13</v>
      </c>
      <c r="C13" s="711" t="s">
        <v>709</v>
      </c>
    </row>
    <row r="14" spans="1:7" s="702" customFormat="1" ht="42" x14ac:dyDescent="0.3">
      <c r="A14" s="707">
        <v>45239</v>
      </c>
      <c r="B14" s="708" t="s">
        <v>710</v>
      </c>
      <c r="C14" s="709" t="s">
        <v>711</v>
      </c>
    </row>
    <row r="15" spans="1:7" s="702" customFormat="1" ht="28.5" thickBot="1" x14ac:dyDescent="0.35">
      <c r="A15" s="716">
        <v>45239</v>
      </c>
      <c r="B15" s="710" t="s">
        <v>712</v>
      </c>
      <c r="C15" s="711" t="s">
        <v>713</v>
      </c>
    </row>
    <row r="16" spans="1:7" s="702" customFormat="1" x14ac:dyDescent="0.3">
      <c r="A16" s="707">
        <v>45147</v>
      </c>
      <c r="B16" s="708" t="s">
        <v>714</v>
      </c>
      <c r="C16" s="709" t="s">
        <v>715</v>
      </c>
    </row>
    <row r="17" spans="1:3" s="702" customFormat="1" ht="70.5" thickBot="1" x14ac:dyDescent="0.35">
      <c r="A17" s="716">
        <v>45147</v>
      </c>
      <c r="B17" s="710" t="s">
        <v>712</v>
      </c>
      <c r="C17" s="711" t="s">
        <v>716</v>
      </c>
    </row>
    <row r="18" spans="1:3" s="702" customFormat="1" ht="28" x14ac:dyDescent="0.3">
      <c r="A18" s="707">
        <v>45056</v>
      </c>
      <c r="B18" s="708" t="s">
        <v>717</v>
      </c>
      <c r="C18" s="709" t="s">
        <v>718</v>
      </c>
    </row>
    <row r="19" spans="1:3" s="702" customFormat="1" ht="28.5" thickBot="1" x14ac:dyDescent="0.35">
      <c r="A19" s="716">
        <v>45056</v>
      </c>
      <c r="B19" s="710" t="s">
        <v>712</v>
      </c>
      <c r="C19" s="711" t="s">
        <v>719</v>
      </c>
    </row>
    <row r="20" spans="1:3" ht="84" x14ac:dyDescent="0.3">
      <c r="A20" s="707">
        <v>44985</v>
      </c>
      <c r="B20" s="708" t="s">
        <v>720</v>
      </c>
      <c r="C20" s="709" t="s">
        <v>721</v>
      </c>
    </row>
    <row r="21" spans="1:3" ht="46" customHeight="1" x14ac:dyDescent="0.3">
      <c r="A21" s="713">
        <v>44985</v>
      </c>
      <c r="B21" s="714" t="s">
        <v>717</v>
      </c>
      <c r="C21" s="715" t="s">
        <v>722</v>
      </c>
    </row>
    <row r="22" spans="1:3" ht="112.5" thickBot="1" x14ac:dyDescent="0.35">
      <c r="A22" s="716">
        <v>44985</v>
      </c>
      <c r="B22" s="710" t="s">
        <v>712</v>
      </c>
      <c r="C22" s="711" t="s">
        <v>723</v>
      </c>
    </row>
    <row r="23" spans="1:3" x14ac:dyDescent="0.3">
      <c r="A23" s="712"/>
      <c r="B23" s="712"/>
      <c r="C23" s="712"/>
    </row>
  </sheetData>
  <pageMargins left="0.3" right="0.3" top="0.3" bottom="0.3" header="0.3" footer="0.3"/>
  <pageSetup scale="81" fitToHeight="0" orientation="portrait" r:id="rId1"/>
  <headerFooter>
    <oddFooter>Page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5C21F-48D0-4380-AAEC-80E483E34BB5}">
  <sheetPr>
    <pageSetUpPr fitToPage="1"/>
  </sheetPr>
  <dimension ref="A1:XFD134"/>
  <sheetViews>
    <sheetView view="pageBreakPreview" zoomScale="60" zoomScaleNormal="70" workbookViewId="0">
      <pane xSplit="1" ySplit="4" topLeftCell="B98" activePane="bottomRight" state="frozen"/>
      <selection pane="topRight" activeCell="F82" sqref="F82"/>
      <selection pane="bottomLeft" activeCell="F82" sqref="F82"/>
      <selection pane="bottomRight" activeCell="H142" sqref="H142"/>
    </sheetView>
  </sheetViews>
  <sheetFormatPr defaultColWidth="8.7265625" defaultRowHeight="15.5" outlineLevelRow="1" x14ac:dyDescent="0.35"/>
  <cols>
    <col min="1" max="1" width="28" style="1185" customWidth="1"/>
    <col min="2" max="2" width="8.1796875" style="1185" customWidth="1"/>
    <col min="3" max="4" width="23.81640625" style="1185" customWidth="1"/>
    <col min="5" max="5" width="27.81640625" style="1185" customWidth="1"/>
    <col min="6" max="6" width="23.81640625" style="1185" customWidth="1"/>
    <col min="7" max="7" width="27.81640625" style="1186" customWidth="1"/>
    <col min="8" max="8" width="23.81640625" style="1185" customWidth="1"/>
    <col min="9" max="16384" width="8.7265625" style="1185"/>
  </cols>
  <sheetData>
    <row r="1" spans="1:9" x14ac:dyDescent="0.35">
      <c r="A1" s="1185" t="s">
        <v>174</v>
      </c>
    </row>
    <row r="2" spans="1:9" x14ac:dyDescent="0.35">
      <c r="A2" s="1187" t="s">
        <v>724</v>
      </c>
    </row>
    <row r="3" spans="1:9" s="1189" customFormat="1" x14ac:dyDescent="0.35">
      <c r="A3" s="1188" t="s">
        <v>725</v>
      </c>
      <c r="G3" s="1190"/>
    </row>
    <row r="4" spans="1:9" ht="18.5" x14ac:dyDescent="0.65">
      <c r="C4" s="1191" t="s">
        <v>174</v>
      </c>
      <c r="D4" s="1191" t="s">
        <v>175</v>
      </c>
      <c r="E4" s="1191" t="s">
        <v>726</v>
      </c>
      <c r="F4" s="1191" t="s">
        <v>727</v>
      </c>
      <c r="G4" s="1191" t="s">
        <v>35</v>
      </c>
      <c r="H4" s="1191" t="s">
        <v>728</v>
      </c>
    </row>
    <row r="5" spans="1:9" x14ac:dyDescent="0.35">
      <c r="A5" s="1192" t="s">
        <v>71</v>
      </c>
    </row>
    <row r="6" spans="1:9" x14ac:dyDescent="0.35">
      <c r="C6" s="1259"/>
    </row>
    <row r="7" spans="1:9" x14ac:dyDescent="0.35">
      <c r="A7" s="1193" t="s">
        <v>71</v>
      </c>
      <c r="C7" s="1259"/>
    </row>
    <row r="8" spans="1:9" x14ac:dyDescent="0.35">
      <c r="A8" s="1185" t="s">
        <v>729</v>
      </c>
      <c r="C8" s="1194">
        <v>16.73</v>
      </c>
      <c r="D8" s="1258">
        <f>+C8</f>
        <v>16.73</v>
      </c>
      <c r="E8" s="1194"/>
      <c r="F8" s="1196">
        <f>+C8</f>
        <v>16.73</v>
      </c>
      <c r="G8" s="1195"/>
      <c r="H8" s="1196">
        <f>+C8</f>
        <v>16.73</v>
      </c>
      <c r="I8" s="1196"/>
    </row>
    <row r="9" spans="1:9" s="1197" customFormat="1" ht="18.5" x14ac:dyDescent="0.65">
      <c r="A9" s="1185" t="s">
        <v>77</v>
      </c>
      <c r="C9" s="1198">
        <f>+'FA Base'!E90</f>
        <v>144.09631200000001</v>
      </c>
      <c r="D9" s="1199">
        <v>27.15</v>
      </c>
      <c r="E9" s="1221"/>
      <c r="F9" s="1200">
        <f>+C9+27.15</f>
        <v>171.24631200000002</v>
      </c>
      <c r="G9" s="1263"/>
      <c r="H9" s="1211">
        <f>+F9</f>
        <v>171.24631200000002</v>
      </c>
    </row>
    <row r="10" spans="1:9" s="1187" customFormat="1" x14ac:dyDescent="0.35">
      <c r="A10" s="1201" t="s">
        <v>74</v>
      </c>
      <c r="C10" s="1202">
        <f>+C9*C8</f>
        <v>2410.7312997600002</v>
      </c>
      <c r="D10" s="1203">
        <f>+D9*D8</f>
        <v>454.21949999999998</v>
      </c>
      <c r="E10" s="1204"/>
      <c r="F10" s="1202">
        <f>+F9*F8</f>
        <v>2864.9507997600003</v>
      </c>
      <c r="G10" s="1204"/>
      <c r="H10" s="1202">
        <f>+H9*H8</f>
        <v>2864.9507997600003</v>
      </c>
    </row>
    <row r="11" spans="1:9" s="1187" customFormat="1" x14ac:dyDescent="0.35">
      <c r="A11" s="1185" t="s">
        <v>730</v>
      </c>
      <c r="C11" s="1205">
        <f>+'FA - Historical Financials'!X126</f>
        <v>559.37199999999996</v>
      </c>
      <c r="D11" s="1257">
        <f>16.73*(98.9-D9)</f>
        <v>1200.3775000000001</v>
      </c>
      <c r="E11" s="1247"/>
      <c r="F11" s="1231">
        <f>+E11+D11+C11</f>
        <v>1759.7494999999999</v>
      </c>
      <c r="G11" s="1231"/>
      <c r="H11" s="1206">
        <f>+SUM(F11:G11)</f>
        <v>1759.7494999999999</v>
      </c>
    </row>
    <row r="12" spans="1:9" s="1187" customFormat="1" x14ac:dyDescent="0.35">
      <c r="A12" s="1185" t="s">
        <v>731</v>
      </c>
      <c r="C12" s="1205">
        <f>+'FA - Historical Financials'!X127</f>
        <v>-269.56299999999999</v>
      </c>
      <c r="D12" s="1203">
        <v>0</v>
      </c>
      <c r="E12" s="1204"/>
      <c r="F12" s="1231">
        <f t="shared" ref="F12:F14" si="0">+E12+D12+C12</f>
        <v>-269.56299999999999</v>
      </c>
      <c r="G12" s="1231"/>
      <c r="H12" s="1206">
        <f t="shared" ref="H12:H14" si="1">+SUM(F12:G12)</f>
        <v>-269.56299999999999</v>
      </c>
    </row>
    <row r="13" spans="1:9" x14ac:dyDescent="0.35">
      <c r="A13" s="1185" t="s">
        <v>732</v>
      </c>
      <c r="C13" s="1243">
        <v>0</v>
      </c>
      <c r="D13" s="1245">
        <f>+'PF Basic Historical Fin'!X158-D14</f>
        <v>552.71400000000006</v>
      </c>
      <c r="E13" s="1207"/>
      <c r="F13" s="1231">
        <f t="shared" si="0"/>
        <v>552.71400000000006</v>
      </c>
      <c r="G13" s="1231"/>
      <c r="H13" s="1206">
        <f t="shared" si="1"/>
        <v>552.71400000000006</v>
      </c>
    </row>
    <row r="14" spans="1:9" s="1197" customFormat="1" ht="18.5" x14ac:dyDescent="0.65">
      <c r="A14" s="1185" t="s">
        <v>733</v>
      </c>
      <c r="C14" s="1244">
        <v>0</v>
      </c>
      <c r="D14" s="1246">
        <v>-74.2</v>
      </c>
      <c r="E14" s="1248"/>
      <c r="F14" s="1229">
        <f t="shared" si="0"/>
        <v>-74.2</v>
      </c>
      <c r="G14" s="1229"/>
      <c r="H14" s="1208">
        <f t="shared" si="1"/>
        <v>-74.2</v>
      </c>
    </row>
    <row r="15" spans="1:9" s="1197" customFormat="1" ht="18.5" x14ac:dyDescent="0.65">
      <c r="A15" s="1209" t="s">
        <v>52</v>
      </c>
      <c r="C15" s="1210">
        <f>+SUM(C11:C14)</f>
        <v>289.80899999999997</v>
      </c>
      <c r="D15" s="1210">
        <f>+SUM(D11:D14)</f>
        <v>1678.8915</v>
      </c>
      <c r="E15" s="1249"/>
      <c r="F15" s="1210">
        <f>+SUM(F11:F14)</f>
        <v>1968.7004999999997</v>
      </c>
      <c r="G15" s="1216"/>
      <c r="H15" s="1210">
        <f>+SUM(H11:H14)</f>
        <v>1968.7004999999997</v>
      </c>
    </row>
    <row r="16" spans="1:9" s="1187" customFormat="1" x14ac:dyDescent="0.35">
      <c r="A16" s="1201" t="s">
        <v>76</v>
      </c>
      <c r="C16" s="1202">
        <f>+C15+C10</f>
        <v>2700.5402997600004</v>
      </c>
      <c r="D16" s="1202">
        <f>+D15+D10</f>
        <v>2133.1109999999999</v>
      </c>
      <c r="E16" s="1203"/>
      <c r="F16" s="1203">
        <f>+F15+F10</f>
        <v>4833.6512997600003</v>
      </c>
      <c r="G16" s="1203"/>
      <c r="H16" s="1203">
        <f>+H15+H10</f>
        <v>4833.6512997600003</v>
      </c>
    </row>
    <row r="17" spans="1:8" x14ac:dyDescent="0.35">
      <c r="D17" s="1240"/>
      <c r="E17" s="1240"/>
      <c r="F17" s="1240"/>
      <c r="H17" s="1240"/>
    </row>
    <row r="18" spans="1:8" x14ac:dyDescent="0.35">
      <c r="A18" s="1223" t="s">
        <v>231</v>
      </c>
      <c r="D18" s="1240"/>
      <c r="E18" s="1240"/>
      <c r="F18" s="1240"/>
      <c r="H18" s="1240"/>
    </row>
    <row r="19" spans="1:8" x14ac:dyDescent="0.35">
      <c r="A19" s="1209" t="s">
        <v>734</v>
      </c>
      <c r="D19" s="1240">
        <f>+D11+D10</f>
        <v>1654.597</v>
      </c>
      <c r="E19" s="1240"/>
      <c r="F19" s="1240"/>
      <c r="H19" s="1240"/>
    </row>
    <row r="20" spans="1:8" x14ac:dyDescent="0.35">
      <c r="A20" s="1209" t="s">
        <v>735</v>
      </c>
      <c r="D20" s="1240">
        <f>+D16-D19</f>
        <v>478.5139999999999</v>
      </c>
      <c r="E20" s="1240"/>
      <c r="F20" s="1240"/>
      <c r="H20" s="1240"/>
    </row>
    <row r="21" spans="1:8" x14ac:dyDescent="0.35">
      <c r="D21" s="1240"/>
      <c r="E21" s="1240"/>
      <c r="F21" s="1240"/>
      <c r="H21" s="1240"/>
    </row>
    <row r="22" spans="1:8" x14ac:dyDescent="0.35">
      <c r="A22" s="1192" t="s">
        <v>169</v>
      </c>
      <c r="D22" s="1196"/>
    </row>
    <row r="24" spans="1:8" x14ac:dyDescent="0.35">
      <c r="A24" s="1193" t="s">
        <v>119</v>
      </c>
    </row>
    <row r="25" spans="1:8" x14ac:dyDescent="0.35">
      <c r="A25" s="1185" t="s">
        <v>736</v>
      </c>
      <c r="C25" s="1212">
        <f>+C16/C89</f>
        <v>11.368015540588328</v>
      </c>
      <c r="D25" s="1212">
        <f>+D16/D89</f>
        <v>11.528834097198201</v>
      </c>
      <c r="E25" s="1212"/>
      <c r="F25" s="1212">
        <f>+F16/F89</f>
        <v>11.438428935964788</v>
      </c>
      <c r="H25" s="1212">
        <f>+H16/H89</f>
        <v>10.228218078970757</v>
      </c>
    </row>
    <row r="26" spans="1:8" x14ac:dyDescent="0.35">
      <c r="A26" s="1185" t="s">
        <v>59</v>
      </c>
      <c r="C26" s="1212">
        <f>+C16/C80</f>
        <v>12.148671335141776</v>
      </c>
      <c r="D26" s="1212">
        <f>+D16/D80</f>
        <v>14.185371141287723</v>
      </c>
      <c r="E26" s="1212"/>
      <c r="F26" s="1212">
        <f>+F16/F80</f>
        <v>12.970499777977542</v>
      </c>
      <c r="H26" s="1212">
        <f>+H16/H80</f>
        <v>11.436128611926705</v>
      </c>
    </row>
    <row r="27" spans="1:8" x14ac:dyDescent="0.35">
      <c r="C27" s="1212"/>
      <c r="D27" s="1212"/>
      <c r="E27" s="1212"/>
      <c r="F27" s="1212"/>
      <c r="H27" s="1212"/>
    </row>
    <row r="28" spans="1:8" x14ac:dyDescent="0.35">
      <c r="A28" s="1185" t="s">
        <v>737</v>
      </c>
      <c r="C28" s="1212">
        <f>+C16/C90</f>
        <v>12.87485899968058</v>
      </c>
      <c r="D28" s="1212">
        <f>+D16/D90</f>
        <v>12.954482515698825</v>
      </c>
      <c r="E28" s="1212"/>
      <c r="F28" s="1212">
        <f>+F16/F90</f>
        <v>12.909876206241739</v>
      </c>
      <c r="H28" s="1212">
        <f>+H16/H90</f>
        <v>11.38897376332128</v>
      </c>
    </row>
    <row r="29" spans="1:8" x14ac:dyDescent="0.35">
      <c r="A29" s="1185" t="s">
        <v>738</v>
      </c>
      <c r="C29" s="1212">
        <f>+C16/C93</f>
        <v>13.885382644481924</v>
      </c>
      <c r="D29" s="1212">
        <f>+D16/D93</f>
        <v>16.407031658616127</v>
      </c>
      <c r="E29" s="1212"/>
      <c r="F29" s="1212">
        <f>+F16/F93</f>
        <v>14.895689675685672</v>
      </c>
      <c r="H29" s="1212">
        <f>+H16/H93</f>
        <v>12.906946060774366</v>
      </c>
    </row>
    <row r="30" spans="1:8" x14ac:dyDescent="0.35">
      <c r="C30" s="1212"/>
      <c r="D30" s="1212"/>
      <c r="E30" s="1212"/>
      <c r="F30" s="1212"/>
      <c r="H30" s="1212"/>
    </row>
    <row r="31" spans="1:8" x14ac:dyDescent="0.35">
      <c r="A31" s="1185" t="s">
        <v>739</v>
      </c>
      <c r="C31" s="1212">
        <f>+C10/C99</f>
        <v>16.535869205695942</v>
      </c>
      <c r="D31" s="1212">
        <f>+D19/D99</f>
        <v>16.899162496169954</v>
      </c>
      <c r="E31" s="1252" t="s">
        <v>740</v>
      </c>
      <c r="F31" s="1212">
        <f>+F10/F99</f>
        <v>17.746636396957982</v>
      </c>
      <c r="G31" s="1252" t="s">
        <v>740</v>
      </c>
      <c r="H31" s="1212">
        <f>+H10/H99</f>
        <v>14.401349677255309</v>
      </c>
    </row>
    <row r="32" spans="1:8" x14ac:dyDescent="0.35">
      <c r="A32" s="1185" t="s">
        <v>741</v>
      </c>
      <c r="C32" s="1212">
        <f>+C10/C98</f>
        <v>19.788031050068643</v>
      </c>
      <c r="D32" s="1212">
        <f>+D19/D98</f>
        <v>23.599256905890197</v>
      </c>
      <c r="E32" s="1252" t="s">
        <v>740</v>
      </c>
      <c r="F32" s="1212">
        <f>+F10/F98</f>
        <v>23.104438051754361</v>
      </c>
      <c r="G32" s="1252" t="s">
        <v>740</v>
      </c>
      <c r="H32" s="1212">
        <f>+H10/H98</f>
        <v>17.739631146652332</v>
      </c>
    </row>
    <row r="33" spans="1:9 16384:16384" x14ac:dyDescent="0.35">
      <c r="A33" s="1185" t="s">
        <v>742</v>
      </c>
      <c r="C33" s="1212">
        <f>+C10/C100</f>
        <v>19.949985412460823</v>
      </c>
      <c r="D33" s="1212">
        <f>+D19/D100</f>
        <v>23.355087320603708</v>
      </c>
      <c r="E33" s="1252" t="s">
        <v>740</v>
      </c>
      <c r="F33" s="1212">
        <f>+F10/F100</f>
        <v>23.152236208799984</v>
      </c>
      <c r="G33" s="1252" t="s">
        <v>740</v>
      </c>
      <c r="H33" s="1212">
        <f>+H10/H100</f>
        <v>17.767795574394036</v>
      </c>
    </row>
    <row r="34" spans="1:9 16384:16384" x14ac:dyDescent="0.35">
      <c r="C34" s="1212"/>
      <c r="D34" s="1212"/>
      <c r="E34" s="1212"/>
      <c r="F34" s="1212"/>
      <c r="H34" s="1212"/>
    </row>
    <row r="35" spans="1:9 16384:16384" x14ac:dyDescent="0.35">
      <c r="A35" s="1185" t="s">
        <v>743</v>
      </c>
      <c r="C35" s="1212">
        <f>+C15/C89</f>
        <v>1.2199607671454309</v>
      </c>
      <c r="D35" s="1212">
        <f>+D20/D89</f>
        <v>2.5862266516776198</v>
      </c>
      <c r="E35" s="1212"/>
      <c r="F35" s="1212">
        <f>+F15/F89</f>
        <v>4.6587640210137717</v>
      </c>
      <c r="H35" s="1212">
        <f>+H15/H89</f>
        <v>4.1658565745482239</v>
      </c>
    </row>
    <row r="36" spans="1:9 16384:16384" x14ac:dyDescent="0.35">
      <c r="A36" s="1185" t="s">
        <v>744</v>
      </c>
      <c r="C36" s="1212">
        <f>+C15/C80</f>
        <v>1.3037369934005425</v>
      </c>
      <c r="D36" s="1212">
        <f>+D20/D80</f>
        <v>3.1821591498530326</v>
      </c>
      <c r="E36" s="1212"/>
      <c r="F36" s="1212">
        <f>+F15/F80</f>
        <v>5.2827619980411358</v>
      </c>
      <c r="H36" s="1212">
        <f>+H15/H80</f>
        <v>4.6578271207694035</v>
      </c>
    </row>
    <row r="37" spans="1:9 16384:16384" x14ac:dyDescent="0.35">
      <c r="C37" s="1212"/>
      <c r="D37" s="1212"/>
      <c r="E37" s="1212"/>
      <c r="F37" s="1212"/>
      <c r="H37" s="1212"/>
    </row>
    <row r="38" spans="1:9 16384:16384" x14ac:dyDescent="0.35">
      <c r="A38" s="1193" t="s">
        <v>13</v>
      </c>
      <c r="C38" s="1212"/>
      <c r="D38" s="1212"/>
      <c r="E38" s="1212"/>
      <c r="F38" s="1212"/>
      <c r="H38" s="1212"/>
    </row>
    <row r="39" spans="1:9 16384:16384" x14ac:dyDescent="0.35">
      <c r="A39" s="1185" t="s">
        <v>736</v>
      </c>
      <c r="C39" s="1212">
        <f>+C16/C89</f>
        <v>11.368015540588328</v>
      </c>
      <c r="D39" s="1212">
        <f t="shared" ref="D39:F39" si="2">+D16/D89</f>
        <v>11.528834097198201</v>
      </c>
      <c r="E39" s="1212"/>
      <c r="F39" s="1212">
        <f t="shared" si="2"/>
        <v>11.438428935964788</v>
      </c>
      <c r="H39" s="1212">
        <f t="shared" ref="H39" si="3">+H16/H89</f>
        <v>10.228218078970757</v>
      </c>
    </row>
    <row r="40" spans="1:9 16384:16384" x14ac:dyDescent="0.35">
      <c r="A40" s="1185" t="s">
        <v>59</v>
      </c>
      <c r="C40" s="1212">
        <f>+C16/C109</f>
        <v>12.451811009536421</v>
      </c>
      <c r="D40" s="1212" t="e">
        <f t="shared" ref="D40:F40" si="4">+D16/D109</f>
        <v>#VALUE!</v>
      </c>
      <c r="E40" s="1212"/>
      <c r="F40" s="1212" t="e">
        <f t="shared" si="4"/>
        <v>#VALUE!</v>
      </c>
      <c r="H40" s="1212" t="e">
        <f t="shared" ref="H40" si="5">+H16/H109</f>
        <v>#VALUE!</v>
      </c>
    </row>
    <row r="41" spans="1:9 16384:16384" x14ac:dyDescent="0.35">
      <c r="C41" s="1212"/>
      <c r="D41" s="1212"/>
      <c r="E41" s="1212"/>
      <c r="F41" s="1212"/>
      <c r="H41" s="1212"/>
    </row>
    <row r="42" spans="1:9 16384:16384" x14ac:dyDescent="0.35">
      <c r="A42" s="1185" t="s">
        <v>737</v>
      </c>
      <c r="C42" s="1212">
        <f>+C16/C119</f>
        <v>12.941163723685873</v>
      </c>
      <c r="D42" s="1212" t="e">
        <f t="shared" ref="D42:F42" si="6">+D16/D119</f>
        <v>#VALUE!</v>
      </c>
      <c r="E42" s="1212"/>
      <c r="F42" s="1212" t="e">
        <f t="shared" si="6"/>
        <v>#VALUE!</v>
      </c>
      <c r="H42" s="1212" t="e">
        <f t="shared" ref="H42" si="7">+H16/H119</f>
        <v>#VALUE!</v>
      </c>
    </row>
    <row r="43" spans="1:9 16384:16384" x14ac:dyDescent="0.35">
      <c r="A43" s="1185" t="s">
        <v>738</v>
      </c>
      <c r="C43" s="1212">
        <f>+C16/C122</f>
        <v>14.297702391251354</v>
      </c>
      <c r="D43" s="1212" t="e">
        <f t="shared" ref="D43:F43" si="8">+D16/D122</f>
        <v>#VALUE!</v>
      </c>
      <c r="E43" s="1212"/>
      <c r="F43" s="1212" t="e">
        <f t="shared" si="8"/>
        <v>#VALUE!</v>
      </c>
      <c r="H43" s="1212" t="e">
        <f t="shared" ref="H43" si="9">+H16/H122</f>
        <v>#VALUE!</v>
      </c>
    </row>
    <row r="44" spans="1:9 16384:16384" x14ac:dyDescent="0.35">
      <c r="C44" s="1212"/>
      <c r="D44" s="1212"/>
      <c r="E44" s="1212"/>
      <c r="F44" s="1212"/>
      <c r="H44" s="1212"/>
    </row>
    <row r="45" spans="1:9 16384:16384" x14ac:dyDescent="0.35">
      <c r="A45" s="1185" t="s">
        <v>739</v>
      </c>
      <c r="C45" s="1212">
        <f>+C10/C128</f>
        <v>17.923652786319703</v>
      </c>
      <c r="D45" s="1212" t="e">
        <f>+D19/D128</f>
        <v>#VALUE!</v>
      </c>
      <c r="E45" s="1252" t="s">
        <v>740</v>
      </c>
      <c r="F45" s="1212" t="e">
        <f>+F10/F128</f>
        <v>#VALUE!</v>
      </c>
      <c r="G45" s="1252" t="s">
        <v>740</v>
      </c>
      <c r="H45" s="1212" t="e">
        <f t="shared" ref="H45" si="10">+H10/H128</f>
        <v>#VALUE!</v>
      </c>
      <c r="I45" s="1260"/>
    </row>
    <row r="46" spans="1:9 16384:16384" x14ac:dyDescent="0.35">
      <c r="A46" s="1185" t="s">
        <v>741</v>
      </c>
      <c r="C46" s="1212">
        <f>+C10/C127</f>
        <v>21.293711906789696</v>
      </c>
      <c r="D46" s="1212" t="e">
        <f>+D19/D127</f>
        <v>#VALUE!</v>
      </c>
      <c r="E46" s="1252" t="s">
        <v>740</v>
      </c>
      <c r="F46" s="1212" t="e">
        <f>+F10/F127</f>
        <v>#VALUE!</v>
      </c>
      <c r="G46" s="1252" t="s">
        <v>740</v>
      </c>
      <c r="H46" s="1212" t="e">
        <f t="shared" ref="H46" si="11">+H10/H127</f>
        <v>#VALUE!</v>
      </c>
    </row>
    <row r="47" spans="1:9 16384:16384" x14ac:dyDescent="0.35">
      <c r="A47" s="1185" t="s">
        <v>742</v>
      </c>
      <c r="C47" s="1212">
        <f>+C10/C129</f>
        <v>20.957859286037369</v>
      </c>
      <c r="D47" s="1212" t="e">
        <f>+D19/D129</f>
        <v>#VALUE!</v>
      </c>
      <c r="E47" s="1252" t="s">
        <v>740</v>
      </c>
      <c r="F47" s="1212" t="e">
        <f>+F10/F129</f>
        <v>#VALUE!</v>
      </c>
      <c r="G47" s="1252" t="s">
        <v>740</v>
      </c>
      <c r="H47" s="1212" t="e">
        <f t="shared" ref="H47" si="12">+H10/H129</f>
        <v>#VALUE!</v>
      </c>
    </row>
    <row r="48" spans="1:9 16384:16384" x14ac:dyDescent="0.35">
      <c r="C48" s="1212"/>
      <c r="D48" s="1212"/>
      <c r="E48" s="1212"/>
      <c r="F48" s="1212"/>
      <c r="H48" s="1212"/>
      <c r="XFD48" s="1212"/>
    </row>
    <row r="49" spans="1:8 16384:16384" x14ac:dyDescent="0.35">
      <c r="A49" s="1185" t="s">
        <v>743</v>
      </c>
      <c r="C49" s="1212">
        <f>+C15/C118</f>
        <v>1.224484779458342</v>
      </c>
      <c r="D49" s="1212" t="e">
        <f>+D20/D118</f>
        <v>#VALUE!</v>
      </c>
      <c r="E49" s="1212"/>
      <c r="F49" s="1212">
        <f>+F15/F118</f>
        <v>8.3180432545643068</v>
      </c>
      <c r="H49" s="1212">
        <f>+H15/H118</f>
        <v>6.8672807299254455</v>
      </c>
      <c r="XFD49" s="1212"/>
    </row>
    <row r="50" spans="1:8 16384:16384" x14ac:dyDescent="0.35">
      <c r="A50" s="1185" t="s">
        <v>744</v>
      </c>
      <c r="C50" s="1212">
        <f>+C15/C109</f>
        <v>1.336268485674309</v>
      </c>
      <c r="D50" s="1212" t="e">
        <f>+D20/D109</f>
        <v>#VALUE!</v>
      </c>
      <c r="F50" s="1212" t="e">
        <f>+F15/F109</f>
        <v>#VALUE!</v>
      </c>
      <c r="H50" s="1212" t="e">
        <f>+H15/H109</f>
        <v>#VALUE!</v>
      </c>
    </row>
    <row r="52" spans="1:8 16384:16384" x14ac:dyDescent="0.35">
      <c r="A52" s="1192" t="s">
        <v>745</v>
      </c>
    </row>
    <row r="54" spans="1:8 16384:16384" x14ac:dyDescent="0.35">
      <c r="A54" s="1193" t="s">
        <v>746</v>
      </c>
    </row>
    <row r="55" spans="1:8 16384:16384" x14ac:dyDescent="0.35">
      <c r="A55" s="1185" t="s">
        <v>115</v>
      </c>
      <c r="C55" s="1213">
        <f>+'FA - Historical Financials'!AG29</f>
        <v>8.2981677786642408E-2</v>
      </c>
      <c r="D55" s="1213">
        <v>6.1351910038065685E-2</v>
      </c>
      <c r="E55" s="1213"/>
      <c r="F55" s="1213"/>
      <c r="H55" s="1213">
        <f>+SUMPRODUCT($C$55:$D$55,$C$75:$D$75)/SUM($C$75:$D$75)</f>
        <v>7.2488462491125033E-2</v>
      </c>
    </row>
    <row r="56" spans="1:8 16384:16384" x14ac:dyDescent="0.35">
      <c r="A56" s="1185" t="s">
        <v>116</v>
      </c>
      <c r="C56" s="1213">
        <f>+'FA - Historical Financials'!AH29</f>
        <v>5.6178009511735218E-2</v>
      </c>
      <c r="D56" s="1213">
        <f>+'Peer benchmarking'!AC67</f>
        <v>-8.8564644209726026E-2</v>
      </c>
      <c r="E56" s="1213"/>
      <c r="F56" s="1213"/>
      <c r="H56" s="1213">
        <f>+SUMPRODUCT($C$56:$D$56,$C$75:$D$75)/SUM($C$75:$D$75)</f>
        <v>-1.4040767018759477E-2</v>
      </c>
    </row>
    <row r="57" spans="1:8 16384:16384" x14ac:dyDescent="0.35">
      <c r="A57" s="1185" t="s">
        <v>117</v>
      </c>
      <c r="C57" s="1213">
        <f>+'FA - Historical Financials'!AI29</f>
        <v>0.35038711273995687</v>
      </c>
      <c r="D57" s="1213">
        <f>+'Peer benchmarking'!AD67</f>
        <v>0.39061994857864163</v>
      </c>
      <c r="E57" s="1213"/>
      <c r="F57" s="1213"/>
      <c r="H57" s="1213">
        <f>+SUMPRODUCT($C$57:$D$57,$C$75:$D$75)/SUM($C$75:$D$75)</f>
        <v>0.36990520527390491</v>
      </c>
    </row>
    <row r="58" spans="1:8 16384:16384" x14ac:dyDescent="0.35">
      <c r="A58" s="1185" t="s">
        <v>118</v>
      </c>
      <c r="C58" s="1213">
        <f>+'FA - Historical Financials'!AJ29</f>
        <v>9.9651127692880204E-2</v>
      </c>
      <c r="D58" s="1213">
        <f>+'Peer benchmarking'!AE67</f>
        <v>0.14390711561590563</v>
      </c>
      <c r="E58" s="1213"/>
      <c r="F58" s="1213"/>
      <c r="H58" s="1213">
        <f>+SUMPRODUCT($C$58:$D$58,$C$75:$D$75)/SUM($C$75:$D$75)</f>
        <v>0.12112096568606344</v>
      </c>
    </row>
    <row r="59" spans="1:8 16384:16384" x14ac:dyDescent="0.35">
      <c r="A59" s="1185" t="s">
        <v>119</v>
      </c>
      <c r="C59" s="1213">
        <f>+'FA - Historical Financials'!AK29</f>
        <v>-5.8039743669590776E-2</v>
      </c>
      <c r="D59" s="1213">
        <f>+'Peer benchmarking'!AF67</f>
        <v>-8.1990766606414869E-2</v>
      </c>
      <c r="E59" s="1213"/>
      <c r="F59" s="1213"/>
      <c r="H59" s="1213">
        <f>+SUMPRODUCT($C$59:$D$59,$C$75:$D$75)/SUM($C$75:$D$75)</f>
        <v>-6.9659065853043586E-2</v>
      </c>
    </row>
    <row r="60" spans="1:8 16384:16384" x14ac:dyDescent="0.35">
      <c r="A60" s="1185" t="s">
        <v>13</v>
      </c>
      <c r="C60" s="1213">
        <f>+Upside!I10</f>
        <v>3.6305860079265603E-2</v>
      </c>
      <c r="D60" s="1214" t="s">
        <v>126</v>
      </c>
      <c r="E60" s="1214"/>
      <c r="F60" s="1214"/>
      <c r="H60" s="1213"/>
    </row>
    <row r="62" spans="1:8 16384:16384" x14ac:dyDescent="0.35">
      <c r="A62" s="1193" t="s">
        <v>746</v>
      </c>
    </row>
    <row r="63" spans="1:8 16384:16384" x14ac:dyDescent="0.35">
      <c r="A63" s="1185" t="s">
        <v>747</v>
      </c>
      <c r="C63" s="1213">
        <f>((1+C59)*(1+C58)*(1+C57))^(1/3)-1</f>
        <v>0.118360782448105</v>
      </c>
      <c r="D63" s="1213">
        <f t="shared" ref="D63" si="13">((1+D59)*(1+D58)*(1+D57))^(1/3)-1</f>
        <v>0.13452853111962515</v>
      </c>
      <c r="E63" s="1213"/>
      <c r="F63" s="1213"/>
      <c r="H63" s="1213">
        <f>+SUMPRODUCT($C$63:$D$63,$C$75:$D$75)/SUM($C$75:$D$75)</f>
        <v>0.12620421699747683</v>
      </c>
    </row>
    <row r="64" spans="1:8 16384:16384" x14ac:dyDescent="0.35">
      <c r="A64" s="1185" t="s">
        <v>748</v>
      </c>
      <c r="C64" s="1213">
        <f>((1+C59)*(1+C58)*(1+C57)*(1+C56))^(1/4)-1</f>
        <v>0.10248001893622449</v>
      </c>
      <c r="D64" s="1213">
        <f t="shared" ref="D64" si="14">((1+D59)*(1+D58)*(1+D57)*(1+D56))^(1/4)-1</f>
        <v>7.4095839507202665E-2</v>
      </c>
      <c r="E64" s="1213"/>
      <c r="F64" s="1213"/>
      <c r="H64" s="1213">
        <f>+SUMPRODUCT($C$64:$D$64,$C$75:$D$75)/SUM($C$75:$D$75)</f>
        <v>8.8710046498359577E-2</v>
      </c>
    </row>
    <row r="65" spans="1:17" x14ac:dyDescent="0.35">
      <c r="A65" s="1185" t="s">
        <v>749</v>
      </c>
      <c r="C65" s="1213">
        <f>((1+C59)*(1+C58)*(1+C57)*(1+C56)*(1+C55))^(1/5)-1</f>
        <v>9.8552466642946257E-2</v>
      </c>
      <c r="D65" s="1213">
        <f t="shared" ref="D65" si="15">((1+D59)*(1+D58)*(1+D57)*(1+D56)*(1+D55))^(1/5)-1</f>
        <v>7.1534870448112908E-2</v>
      </c>
      <c r="E65" s="1213"/>
      <c r="F65" s="1213"/>
      <c r="H65" s="1213">
        <f>+SUMPRODUCT($C$65:$D$65,$C$75:$D$75)/SUM($C$75:$D$75)</f>
        <v>8.5445462585614584E-2</v>
      </c>
    </row>
    <row r="67" spans="1:17" x14ac:dyDescent="0.35">
      <c r="A67" s="1193" t="s">
        <v>750</v>
      </c>
      <c r="J67" s="1185" t="s">
        <v>174</v>
      </c>
      <c r="K67" s="1185">
        <v>0</v>
      </c>
      <c r="L67" s="1185">
        <v>1</v>
      </c>
      <c r="M67" s="1185">
        <v>2</v>
      </c>
      <c r="N67" s="1185">
        <v>3</v>
      </c>
      <c r="O67" s="1185">
        <v>4</v>
      </c>
      <c r="P67" s="1185">
        <v>5</v>
      </c>
    </row>
    <row r="68" spans="1:17" x14ac:dyDescent="0.35">
      <c r="A68" s="1185" t="s">
        <v>747</v>
      </c>
      <c r="C68" s="1213">
        <f>+Q74</f>
        <v>0.14699390897676712</v>
      </c>
      <c r="D68" s="1213">
        <f>+Q85</f>
        <v>9.3487209720592102E-2</v>
      </c>
      <c r="E68" s="1215"/>
      <c r="F68" s="1215"/>
      <c r="H68" s="1213">
        <f>+SUMPRODUCT($C$68:$D$68,$C$89:$D$89)/SUM($C$89:$D$89)</f>
        <v>0.12356633662792303</v>
      </c>
      <c r="J68" s="1185" t="s">
        <v>751</v>
      </c>
      <c r="M68" s="1185">
        <v>100</v>
      </c>
      <c r="N68" s="1185">
        <f>+M68*(1+$C$63)</f>
        <v>111.83607824481049</v>
      </c>
      <c r="O68" s="1185">
        <f>+N68*(1+$C$63)</f>
        <v>125.07308397179376</v>
      </c>
      <c r="P68" s="1185">
        <f>+O68*(1+$C$63)</f>
        <v>139.87683205389283</v>
      </c>
    </row>
    <row r="69" spans="1:17" x14ac:dyDescent="0.35">
      <c r="A69" s="1185" t="s">
        <v>748</v>
      </c>
      <c r="C69" s="1213">
        <f>+Q75</f>
        <v>0.15644675375646311</v>
      </c>
      <c r="D69" s="1213">
        <f>+Q85</f>
        <v>9.3487209720592102E-2</v>
      </c>
      <c r="E69" s="1215"/>
      <c r="F69" s="1215"/>
      <c r="H69" s="1213">
        <f>+SUMPRODUCT($C$69:$D$69,$C$89:$D$89)/SUM($C$89:$D$89)</f>
        <v>0.12888031266674518</v>
      </c>
      <c r="J69" s="1185" t="s">
        <v>752</v>
      </c>
      <c r="L69" s="1185">
        <v>100</v>
      </c>
      <c r="M69" s="1185">
        <f>+L69*(1+$C$64)</f>
        <v>110.24800189362244</v>
      </c>
      <c r="N69" s="1185">
        <f t="shared" ref="N69:P69" si="16">+M69*(1+$C$64)</f>
        <v>121.54621921536179</v>
      </c>
      <c r="O69" s="1185">
        <f t="shared" si="16"/>
        <v>134.00227806217856</v>
      </c>
      <c r="P69" s="1185">
        <f t="shared" si="16"/>
        <v>147.73483405548785</v>
      </c>
    </row>
    <row r="70" spans="1:17" x14ac:dyDescent="0.35">
      <c r="A70" s="1185" t="s">
        <v>749</v>
      </c>
      <c r="C70" s="1215" t="s">
        <v>126</v>
      </c>
      <c r="D70" s="1215" t="s">
        <v>126</v>
      </c>
      <c r="E70" s="1215"/>
      <c r="F70" s="1215"/>
      <c r="H70" s="1215" t="s">
        <v>126</v>
      </c>
      <c r="J70" s="1185" t="s">
        <v>753</v>
      </c>
      <c r="K70" s="1185">
        <v>100</v>
      </c>
      <c r="L70" s="1185">
        <f>+K70*(1+$C$65)</f>
        <v>109.85524666429463</v>
      </c>
      <c r="M70" s="1185">
        <f t="shared" ref="M70:P70" si="17">+L70*(1+$C$65)</f>
        <v>120.68175219673016</v>
      </c>
      <c r="N70" s="1185">
        <f t="shared" si="17"/>
        <v>132.57523655451072</v>
      </c>
      <c r="O70" s="1185">
        <f t="shared" si="17"/>
        <v>145.64085313272986</v>
      </c>
      <c r="P70" s="1185">
        <f t="shared" si="17"/>
        <v>159.99411845294344</v>
      </c>
    </row>
    <row r="72" spans="1:17" x14ac:dyDescent="0.35">
      <c r="A72" s="1192" t="s">
        <v>754</v>
      </c>
      <c r="J72" s="1185" t="s">
        <v>755</v>
      </c>
      <c r="L72" s="1185">
        <f>+'PF Basic Historical Fin'!AG59</f>
        <v>0.25691464961277966</v>
      </c>
      <c r="M72" s="1185">
        <f>+'PF Basic Historical Fin'!AH59</f>
        <v>0.28831748351186481</v>
      </c>
      <c r="N72" s="1185">
        <f>+'PF Basic Historical Fin'!AI59</f>
        <v>0.31769702159919688</v>
      </c>
      <c r="O72" s="1185">
        <f>+'PF Basic Historical Fin'!AJ59</f>
        <v>0.30728757084675373</v>
      </c>
      <c r="P72" s="1185">
        <f>+'PF Basic Historical Fin'!AK59</f>
        <v>0.31103447282592322</v>
      </c>
    </row>
    <row r="74" spans="1:17" x14ac:dyDescent="0.35">
      <c r="A74" s="1193" t="s">
        <v>756</v>
      </c>
      <c r="M74" s="1218">
        <f>+M68*M$72</f>
        <v>28.83174835118648</v>
      </c>
      <c r="N74" s="1218">
        <f t="shared" ref="N74:P74" si="18">+N68*N$72</f>
        <v>35.529988965711034</v>
      </c>
      <c r="O74" s="1218">
        <f t="shared" si="18"/>
        <v>38.433404152004556</v>
      </c>
      <c r="P74" s="1218">
        <f t="shared" si="18"/>
        <v>43.506516718442754</v>
      </c>
      <c r="Q74" s="1185">
        <f>(P74/M74)^(1/3)-1</f>
        <v>0.14699390897676712</v>
      </c>
    </row>
    <row r="75" spans="1:17" x14ac:dyDescent="0.35">
      <c r="A75" s="1185" t="s">
        <v>28</v>
      </c>
      <c r="C75" s="1216">
        <f>+'Peer benchmarking'!AF31</f>
        <v>763.76100000000008</v>
      </c>
      <c r="D75" s="1216">
        <f>+'Peer benchmarking'!AF32</f>
        <v>719.64</v>
      </c>
      <c r="E75" s="1216"/>
      <c r="F75" s="1216">
        <f>+SUM(C75:D75)</f>
        <v>1483.4010000000001</v>
      </c>
      <c r="G75" s="1247">
        <v>0</v>
      </c>
      <c r="H75" s="1216">
        <f>+G75+F75</f>
        <v>1483.4010000000001</v>
      </c>
      <c r="L75" s="1218">
        <f>+L69*L$72</f>
        <v>25.691464961277966</v>
      </c>
      <c r="M75" s="1218">
        <f>+M69*M$72</f>
        <v>31.78642646818053</v>
      </c>
      <c r="N75" s="1218">
        <f t="shared" ref="N75:P75" si="19">+N69*N$72</f>
        <v>38.614871831363516</v>
      </c>
      <c r="O75" s="1218">
        <f t="shared" si="19"/>
        <v>41.177234513658085</v>
      </c>
      <c r="P75" s="1218">
        <f t="shared" si="19"/>
        <v>45.950626228473915</v>
      </c>
      <c r="Q75" s="1185">
        <f>(P75/L75)^(1/4)-1</f>
        <v>0.15644675375646311</v>
      </c>
    </row>
    <row r="76" spans="1:17" x14ac:dyDescent="0.35">
      <c r="A76" s="1185" t="s">
        <v>620</v>
      </c>
      <c r="C76" s="1216">
        <f>+'Peer benchmarking'!AF122</f>
        <v>378.26300000000003</v>
      </c>
      <c r="D76" s="1216">
        <f>+'Peer benchmarking'!AF123</f>
        <v>334.98699999999997</v>
      </c>
      <c r="E76" s="1216"/>
      <c r="F76" s="1216">
        <f>+SUM(C76:D76)</f>
        <v>713.25</v>
      </c>
      <c r="H76" s="1216"/>
    </row>
    <row r="77" spans="1:17" s="1218" customFormat="1" x14ac:dyDescent="0.35">
      <c r="A77" s="1217" t="s">
        <v>33</v>
      </c>
      <c r="C77" s="1219">
        <f>+C76/C75</f>
        <v>0.49526357067197724</v>
      </c>
      <c r="D77" s="1219">
        <f>+D76/D75</f>
        <v>0.46549246845645043</v>
      </c>
      <c r="E77" s="1219"/>
      <c r="F77" s="1219"/>
      <c r="G77" s="1253"/>
      <c r="H77" s="1219"/>
      <c r="J77" s="1185" t="s">
        <v>175</v>
      </c>
      <c r="K77" s="1185"/>
      <c r="L77" s="1185"/>
      <c r="M77" s="1185"/>
      <c r="N77" s="1185"/>
      <c r="O77" s="1185"/>
      <c r="P77" s="1185"/>
      <c r="Q77" s="1185"/>
    </row>
    <row r="78" spans="1:17" x14ac:dyDescent="0.35">
      <c r="G78" s="1230"/>
      <c r="J78" s="1185" t="s">
        <v>751</v>
      </c>
      <c r="M78" s="1185">
        <v>100</v>
      </c>
      <c r="N78" s="1185">
        <f>+M78*(1+$D$63)</f>
        <v>113.45285311196251</v>
      </c>
      <c r="O78" s="1185">
        <f t="shared" ref="O78:P78" si="20">+N78*(1+$D$63)</f>
        <v>128.71549879244543</v>
      </c>
      <c r="P78" s="1185">
        <f t="shared" si="20"/>
        <v>146.03140577732299</v>
      </c>
    </row>
    <row r="79" spans="1:17" s="1197" customFormat="1" ht="18.5" x14ac:dyDescent="0.65">
      <c r="A79" s="1185" t="s">
        <v>258</v>
      </c>
      <c r="C79" s="1210">
        <f>+C76-C80</f>
        <v>155.97200000000004</v>
      </c>
      <c r="D79" s="1210">
        <f>+D76-D80</f>
        <v>184.61299999999997</v>
      </c>
      <c r="E79" s="1210"/>
      <c r="F79" s="1210">
        <f t="shared" ref="F79:F80" si="21">+SUM(C79:D79)</f>
        <v>340.58500000000004</v>
      </c>
      <c r="G79" s="1234"/>
      <c r="H79" s="1210"/>
      <c r="J79" s="1185" t="s">
        <v>752</v>
      </c>
      <c r="K79" s="1185"/>
      <c r="L79" s="1185">
        <v>100</v>
      </c>
      <c r="M79" s="1185">
        <f>+L79*(1+$D$64)</f>
        <v>107.40958395072026</v>
      </c>
      <c r="N79" s="1185">
        <f t="shared" ref="N79:P79" si="22">+M79*(1+$D$64)</f>
        <v>115.36818724466823</v>
      </c>
      <c r="O79" s="1185">
        <f t="shared" si="22"/>
        <v>123.91648993098607</v>
      </c>
      <c r="P79" s="1185">
        <f t="shared" si="22"/>
        <v>133.09818628120831</v>
      </c>
      <c r="Q79" s="1185"/>
    </row>
    <row r="80" spans="1:17" x14ac:dyDescent="0.35">
      <c r="A80" s="1209" t="s">
        <v>188</v>
      </c>
      <c r="C80" s="1216">
        <f>+'Peer benchmarking'!AF164</f>
        <v>222.291</v>
      </c>
      <c r="D80" s="1216">
        <f>+'Peer benchmarking'!AF165</f>
        <v>150.374</v>
      </c>
      <c r="E80" s="1216"/>
      <c r="F80" s="1216">
        <f t="shared" si="21"/>
        <v>372.66499999999996</v>
      </c>
      <c r="G80" s="1247">
        <v>50</v>
      </c>
      <c r="H80" s="1216">
        <f>+G80+F80</f>
        <v>422.66499999999996</v>
      </c>
      <c r="J80" s="1185" t="s">
        <v>753</v>
      </c>
      <c r="K80" s="1185">
        <v>100</v>
      </c>
      <c r="L80" s="1185">
        <f>+K80*(1+$D$65)</f>
        <v>107.15348704481129</v>
      </c>
      <c r="M80" s="1185">
        <f t="shared" ref="M80:P80" si="23">+L80*(1+$D$65)</f>
        <v>114.81869785862541</v>
      </c>
      <c r="N80" s="1185">
        <f t="shared" si="23"/>
        <v>123.0322385349632</v>
      </c>
      <c r="O80" s="1185">
        <f t="shared" si="23"/>
        <v>131.83333377950311</v>
      </c>
      <c r="P80" s="1185">
        <f t="shared" si="23"/>
        <v>141.26401423216268</v>
      </c>
      <c r="Q80" s="1218"/>
    </row>
    <row r="81" spans="1:17" s="1218" customFormat="1" x14ac:dyDescent="0.35">
      <c r="A81" s="1222" t="s">
        <v>33</v>
      </c>
      <c r="C81" s="1219">
        <f>+C80/C75</f>
        <v>0.29104785397526184</v>
      </c>
      <c r="D81" s="1219">
        <f>+D80/D75</f>
        <v>0.20895725640598076</v>
      </c>
      <c r="E81" s="1219"/>
      <c r="F81" s="1219">
        <f>+F80/F75</f>
        <v>0.25122337115857407</v>
      </c>
      <c r="G81" s="1253"/>
      <c r="H81" s="1219">
        <f>+H80/H75</f>
        <v>0.28492969871262047</v>
      </c>
      <c r="J81" s="1185"/>
      <c r="K81" s="1185"/>
      <c r="L81" s="1185"/>
      <c r="M81" s="1185"/>
      <c r="N81" s="1185"/>
      <c r="O81" s="1185"/>
      <c r="P81" s="1185"/>
      <c r="Q81" s="1185"/>
    </row>
    <row r="82" spans="1:17" ht="18.5" x14ac:dyDescent="0.65">
      <c r="A82" s="1209"/>
      <c r="G82" s="1230"/>
      <c r="J82" s="1185" t="s">
        <v>755</v>
      </c>
      <c r="L82" s="1185">
        <f>+'PF Basic Historical Fin'!AG60</f>
        <v>0.23934815161704842</v>
      </c>
      <c r="M82" s="1185">
        <f>+'PF Basic Historical Fin'!AH60</f>
        <v>0.21987122196855607</v>
      </c>
      <c r="N82" s="1185">
        <f>+'PF Basic Historical Fin'!AI60</f>
        <v>0.27915620267836555</v>
      </c>
      <c r="O82" s="1185">
        <f>+'PF Basic Historical Fin'!AJ60</f>
        <v>0.25887801226424201</v>
      </c>
      <c r="P82" s="1185">
        <f>+'PF Basic Historical Fin'!AK60</f>
        <v>0.25710633094324942</v>
      </c>
      <c r="Q82" s="1197"/>
    </row>
    <row r="83" spans="1:17" s="1197" customFormat="1" ht="18.5" x14ac:dyDescent="0.65">
      <c r="A83" s="1185" t="s">
        <v>260</v>
      </c>
      <c r="C83" s="1210">
        <f>+Upside!H32</f>
        <v>26.813999999999993</v>
      </c>
      <c r="D83" s="1210">
        <v>21.094999999999999</v>
      </c>
      <c r="E83" s="1210"/>
      <c r="F83" s="1210">
        <f t="shared" ref="F83" si="24">+SUM(C83:D83)</f>
        <v>47.908999999999992</v>
      </c>
      <c r="G83" s="1254">
        <v>0</v>
      </c>
      <c r="H83" s="1210">
        <f>+G83+F83</f>
        <v>47.908999999999992</v>
      </c>
      <c r="J83" s="1185"/>
      <c r="K83" s="1185"/>
      <c r="L83" s="1185"/>
      <c r="M83" s="1185"/>
      <c r="N83" s="1185"/>
      <c r="O83" s="1185"/>
      <c r="P83" s="1185"/>
      <c r="Q83" s="1185"/>
    </row>
    <row r="84" spans="1:17" x14ac:dyDescent="0.35">
      <c r="A84" s="1209" t="s">
        <v>237</v>
      </c>
      <c r="C84" s="1216">
        <f>+C80-C83</f>
        <v>195.477</v>
      </c>
      <c r="D84" s="1216">
        <f>+D80-D83</f>
        <v>129.279</v>
      </c>
      <c r="E84" s="1216"/>
      <c r="F84" s="1216">
        <f>+F80-F83</f>
        <v>324.75599999999997</v>
      </c>
      <c r="G84" s="1247">
        <v>50</v>
      </c>
      <c r="H84" s="1216">
        <f>+G84+F84</f>
        <v>374.75599999999997</v>
      </c>
      <c r="J84" s="1218"/>
      <c r="K84" s="1218"/>
      <c r="M84" s="1218">
        <f t="shared" ref="M84:P85" si="25">+M78*M$82</f>
        <v>21.987122196855609</v>
      </c>
      <c r="N84" s="1218">
        <f t="shared" si="25"/>
        <v>31.671067657761842</v>
      </c>
      <c r="O84" s="1218">
        <f t="shared" si="25"/>
        <v>33.321612474988719</v>
      </c>
      <c r="P84" s="1218">
        <f t="shared" si="25"/>
        <v>37.545598941892351</v>
      </c>
      <c r="Q84" s="1185">
        <f>(P84/M84)^(1/3)-1</f>
        <v>0.19526320089598648</v>
      </c>
    </row>
    <row r="85" spans="1:17" x14ac:dyDescent="0.35">
      <c r="A85" s="1222" t="s">
        <v>33</v>
      </c>
      <c r="C85" s="1219">
        <f>+C84/C75</f>
        <v>0.25594001264793564</v>
      </c>
      <c r="D85" s="1219">
        <f>+D84/D75</f>
        <v>0.17964398866099715</v>
      </c>
      <c r="E85" s="1219"/>
      <c r="F85" s="1219">
        <f>+F84/F75</f>
        <v>0.21892664222283789</v>
      </c>
      <c r="G85" s="1253"/>
      <c r="H85" s="1219">
        <f>+H84/H75</f>
        <v>0.25263296977688432</v>
      </c>
      <c r="I85" s="1218"/>
      <c r="L85" s="1218">
        <f>+L79*L$82</f>
        <v>23.934815161704844</v>
      </c>
      <c r="M85" s="1218">
        <f t="shared" si="25"/>
        <v>23.616276474379074</v>
      </c>
      <c r="N85" s="1218">
        <f t="shared" si="25"/>
        <v>32.205745061108232</v>
      </c>
      <c r="O85" s="1218">
        <f t="shared" si="25"/>
        <v>32.079254600095638</v>
      </c>
      <c r="P85" s="1218">
        <f t="shared" si="25"/>
        <v>34.220386329962601</v>
      </c>
      <c r="Q85" s="1185">
        <f>(P85/L85)^(1/4)-1</f>
        <v>9.3487209720592102E-2</v>
      </c>
    </row>
    <row r="86" spans="1:17" ht="18.5" x14ac:dyDescent="0.65">
      <c r="A86" s="1209"/>
      <c r="G86" s="1230"/>
      <c r="J86" s="1197"/>
      <c r="K86" s="1197"/>
      <c r="L86" s="1197"/>
      <c r="M86" s="1197"/>
      <c r="N86" s="1197"/>
      <c r="O86" s="1197"/>
      <c r="P86" s="1197"/>
      <c r="Q86" s="1197"/>
    </row>
    <row r="87" spans="1:17" x14ac:dyDescent="0.35">
      <c r="A87" s="1223" t="s">
        <v>231</v>
      </c>
      <c r="G87" s="1230"/>
    </row>
    <row r="88" spans="1:17" ht="18.5" x14ac:dyDescent="0.65">
      <c r="A88" s="1209" t="s">
        <v>37</v>
      </c>
      <c r="C88" s="1210">
        <f>+C89-C80</f>
        <v>15.264999999999986</v>
      </c>
      <c r="D88" s="1210">
        <f>+D89-D80</f>
        <v>34.650000000000006</v>
      </c>
      <c r="E88" s="1210"/>
      <c r="F88" s="1210">
        <f t="shared" ref="F88:F89" si="26">+SUM(C88:D88)</f>
        <v>49.914999999999992</v>
      </c>
      <c r="G88" s="1254">
        <v>0</v>
      </c>
      <c r="H88" s="1210">
        <f>+G88+F88</f>
        <v>49.914999999999992</v>
      </c>
    </row>
    <row r="89" spans="1:17" x14ac:dyDescent="0.35">
      <c r="A89" s="1224" t="s">
        <v>233</v>
      </c>
      <c r="C89" s="1216">
        <f>+'FA Base'!H14</f>
        <v>237.55599999999998</v>
      </c>
      <c r="D89" s="1216">
        <f>+'Peer benchmarking'!AF135</f>
        <v>185.024</v>
      </c>
      <c r="E89" s="1216"/>
      <c r="F89" s="1216">
        <f t="shared" si="26"/>
        <v>422.58</v>
      </c>
      <c r="G89" s="1247">
        <v>50</v>
      </c>
      <c r="H89" s="1216">
        <f>+G89+F89</f>
        <v>472.58</v>
      </c>
    </row>
    <row r="90" spans="1:17" x14ac:dyDescent="0.35">
      <c r="A90" s="1224" t="s">
        <v>757</v>
      </c>
      <c r="C90" s="1216">
        <f t="shared" ref="C90:F90" si="27">+C89-C92</f>
        <v>209.75299999999999</v>
      </c>
      <c r="D90" s="1216">
        <f t="shared" si="27"/>
        <v>164.66200000000001</v>
      </c>
      <c r="E90" s="1216"/>
      <c r="F90" s="1216">
        <f t="shared" si="27"/>
        <v>374.41499999999996</v>
      </c>
      <c r="G90" s="1247">
        <v>50</v>
      </c>
      <c r="H90" s="1216">
        <f>+G90+F90</f>
        <v>424.41499999999996</v>
      </c>
    </row>
    <row r="91" spans="1:17" x14ac:dyDescent="0.35">
      <c r="A91" s="1209"/>
      <c r="G91" s="1230"/>
    </row>
    <row r="92" spans="1:17" s="1197" customFormat="1" ht="18.5" x14ac:dyDescent="0.65">
      <c r="A92" s="1185" t="s">
        <v>40</v>
      </c>
      <c r="C92" s="1210">
        <f>+'Peer benchmarking'!AF182</f>
        <v>27.802999999999997</v>
      </c>
      <c r="D92" s="1210">
        <f>+'Peer benchmarking'!AF183</f>
        <v>20.361999999999998</v>
      </c>
      <c r="E92" s="1210"/>
      <c r="F92" s="1210">
        <f t="shared" ref="F92" si="28">+SUM(C92:D92)</f>
        <v>48.164999999999992</v>
      </c>
      <c r="G92" s="1254">
        <v>0</v>
      </c>
      <c r="H92" s="1210">
        <f>+G92+F92</f>
        <v>48.164999999999992</v>
      </c>
    </row>
    <row r="93" spans="1:17" x14ac:dyDescent="0.35">
      <c r="A93" s="1209" t="s">
        <v>758</v>
      </c>
      <c r="C93" s="1216">
        <f>+C80-C92</f>
        <v>194.488</v>
      </c>
      <c r="D93" s="1216">
        <f>+D80-D92</f>
        <v>130.012</v>
      </c>
      <c r="E93" s="1216"/>
      <c r="F93" s="1216">
        <f>+F80-F92</f>
        <v>324.5</v>
      </c>
      <c r="G93" s="1247">
        <v>50</v>
      </c>
      <c r="H93" s="1216">
        <f>+G93+F93</f>
        <v>374.5</v>
      </c>
    </row>
    <row r="94" spans="1:17" s="1218" customFormat="1" x14ac:dyDescent="0.35">
      <c r="A94" s="1222" t="s">
        <v>33</v>
      </c>
      <c r="C94" s="1219">
        <f>+C93/C75</f>
        <v>0.25464510494775194</v>
      </c>
      <c r="D94" s="1219">
        <f>+D93/D75</f>
        <v>0.1806625534989717</v>
      </c>
      <c r="E94" s="1219"/>
      <c r="F94" s="1219">
        <f>+F93/F75</f>
        <v>0.21875406582576121</v>
      </c>
      <c r="G94" s="1220"/>
      <c r="H94" s="1219">
        <f>+H93/H75</f>
        <v>0.25246039337980758</v>
      </c>
    </row>
    <row r="95" spans="1:17" x14ac:dyDescent="0.35">
      <c r="A95" s="1209"/>
    </row>
    <row r="96" spans="1:17" x14ac:dyDescent="0.35">
      <c r="A96" s="1225" t="s">
        <v>44</v>
      </c>
      <c r="C96" s="1216">
        <f>+'FA - Historical Financials'!AK105</f>
        <v>33.04</v>
      </c>
      <c r="D96" s="1216">
        <v>35.795999999999999</v>
      </c>
      <c r="E96" s="1255" t="s">
        <v>759</v>
      </c>
      <c r="F96" s="1235">
        <f>+H96</f>
        <v>159.42263888888886</v>
      </c>
      <c r="G96" s="1255" t="s">
        <v>759</v>
      </c>
      <c r="H96" s="1235">
        <f>+H125</f>
        <v>159.42263888888886</v>
      </c>
    </row>
    <row r="97" spans="1:9" ht="18.5" x14ac:dyDescent="0.65">
      <c r="A97" s="1225" t="s">
        <v>143</v>
      </c>
      <c r="C97" s="1210">
        <f>0.25*(C84-C96)</f>
        <v>40.609250000000003</v>
      </c>
      <c r="D97" s="1210">
        <f>0.25*(D84-D96)</f>
        <v>23.370750000000001</v>
      </c>
      <c r="E97" s="1255" t="s">
        <v>760</v>
      </c>
      <c r="F97" s="1210">
        <f>0.25*(F84-F96)</f>
        <v>41.333340277777779</v>
      </c>
      <c r="G97" s="1255" t="s">
        <v>760</v>
      </c>
      <c r="H97" s="1210">
        <f>0.25*(H84-H96)</f>
        <v>53.833340277777779</v>
      </c>
    </row>
    <row r="98" spans="1:9" s="1187" customFormat="1" outlineLevel="1" x14ac:dyDescent="0.35">
      <c r="A98" s="1201" t="s">
        <v>761</v>
      </c>
      <c r="C98" s="1226">
        <f>+C84-C96-C97</f>
        <v>121.82775000000001</v>
      </c>
      <c r="D98" s="1226">
        <f>+D84-D96-D97</f>
        <v>70.112250000000003</v>
      </c>
      <c r="E98" s="1226"/>
      <c r="F98" s="1226">
        <f>+F84-F96-F97</f>
        <v>124.00002083333334</v>
      </c>
      <c r="G98" s="1256">
        <f>+H98-F98</f>
        <v>37.5</v>
      </c>
      <c r="H98" s="1226">
        <f>+H84-H96-H97</f>
        <v>161.50002083333334</v>
      </c>
    </row>
    <row r="99" spans="1:9" s="1187" customFormat="1" outlineLevel="1" x14ac:dyDescent="0.35">
      <c r="A99" s="1201" t="s">
        <v>365</v>
      </c>
      <c r="C99" s="1251">
        <f>+'FA - Detailed Disclosure'!AM92</f>
        <v>145.78800000000001</v>
      </c>
      <c r="D99" s="1250">
        <v>97.91</v>
      </c>
      <c r="E99" s="1226"/>
      <c r="F99" s="1226">
        <f>(F89-F83-F96)*0.75</f>
        <v>161.43627083333337</v>
      </c>
      <c r="G99" s="1256">
        <f t="shared" ref="G99:G100" si="29">+H99-F99</f>
        <v>37.5</v>
      </c>
      <c r="H99" s="1226">
        <f>(H89-H83-H96)*0.75</f>
        <v>198.93627083333337</v>
      </c>
    </row>
    <row r="100" spans="1:9" s="1187" customFormat="1" x14ac:dyDescent="0.35">
      <c r="A100" s="1201" t="s">
        <v>48</v>
      </c>
      <c r="C100" s="1226">
        <f>+C93-C96-C97</f>
        <v>120.83875</v>
      </c>
      <c r="D100" s="1226">
        <f>+D93-D96-D97</f>
        <v>70.845250000000007</v>
      </c>
      <c r="E100" s="1226"/>
      <c r="F100" s="1226">
        <f>+F93-F96-F97</f>
        <v>123.74402083333337</v>
      </c>
      <c r="G100" s="1256">
        <f t="shared" si="29"/>
        <v>37.5</v>
      </c>
      <c r="H100" s="1226">
        <f>+H93-H96-H97</f>
        <v>161.24402083333337</v>
      </c>
    </row>
    <row r="101" spans="1:9" x14ac:dyDescent="0.35">
      <c r="A101" s="1201"/>
    </row>
    <row r="102" spans="1:9" x14ac:dyDescent="0.35">
      <c r="A102" s="1201"/>
    </row>
    <row r="103" spans="1:9" x14ac:dyDescent="0.35">
      <c r="A103" s="1193" t="s">
        <v>13</v>
      </c>
    </row>
    <row r="104" spans="1:9" x14ac:dyDescent="0.35">
      <c r="A104" s="1185" t="s">
        <v>28</v>
      </c>
      <c r="C104" s="1205">
        <f>+'FA Base'!I8</f>
        <v>761.31163923597103</v>
      </c>
      <c r="D104" s="1216" t="str">
        <f>_xll.VAData("STER_US","FY-2024","Revenue","consensus.vaactuals")</f>
        <v>#AuthenticationFailed</v>
      </c>
      <c r="E104" s="1216"/>
      <c r="F104" s="1216">
        <f>+SUM(C104:D104)</f>
        <v>761.31163923597103</v>
      </c>
      <c r="G104" s="1247">
        <v>0</v>
      </c>
      <c r="H104" s="1216">
        <f>+G104+F104</f>
        <v>761.31163923597103</v>
      </c>
    </row>
    <row r="105" spans="1:9" x14ac:dyDescent="0.35">
      <c r="A105" s="1185" t="s">
        <v>620</v>
      </c>
      <c r="C105" s="1216">
        <f>+C106*C104</f>
        <v>377.96031961798553</v>
      </c>
      <c r="D105" s="1216" t="str">
        <f>_xll.VAData("STER_US","FY-2024","Gross profit/(loss)","consensus.vaactuals")</f>
        <v>#AuthenticationFailed</v>
      </c>
      <c r="E105" s="1216"/>
      <c r="F105" s="1216">
        <f>+SUM(C105:D105)</f>
        <v>377.96031961798553</v>
      </c>
      <c r="H105" s="1216"/>
    </row>
    <row r="106" spans="1:9" s="1218" customFormat="1" x14ac:dyDescent="0.35">
      <c r="A106" s="1217" t="s">
        <v>33</v>
      </c>
      <c r="C106" s="1227">
        <f>+'FA - Historical Financials'!AL42</f>
        <v>0.49645939998670569</v>
      </c>
      <c r="D106" s="1228" t="e">
        <f>+D105/D104</f>
        <v>#VALUE!</v>
      </c>
      <c r="E106" s="1228"/>
      <c r="F106" s="1219"/>
      <c r="G106" s="1253"/>
      <c r="H106" s="1219"/>
    </row>
    <row r="107" spans="1:9" x14ac:dyDescent="0.35">
      <c r="G107" s="1230"/>
    </row>
    <row r="108" spans="1:9" ht="18.5" x14ac:dyDescent="0.65">
      <c r="A108" s="1185" t="s">
        <v>258</v>
      </c>
      <c r="C108" s="1229">
        <f>+C105-C109</f>
        <v>161.08100000000002</v>
      </c>
      <c r="D108" s="1229" t="e">
        <f>+D105-D109</f>
        <v>#VALUE!</v>
      </c>
      <c r="E108" s="1229"/>
      <c r="F108" s="1210" t="e">
        <f t="shared" ref="F108:F109" si="30">+SUM(C108:D108)</f>
        <v>#VALUE!</v>
      </c>
      <c r="G108" s="1234"/>
      <c r="H108" s="1210"/>
    </row>
    <row r="109" spans="1:9" x14ac:dyDescent="0.35">
      <c r="A109" s="1209" t="s">
        <v>188</v>
      </c>
      <c r="C109" s="1205">
        <f>+'FA Base'!I20</f>
        <v>216.87931961798552</v>
      </c>
      <c r="D109" s="1231" t="e">
        <f>+D118-D117</f>
        <v>#VALUE!</v>
      </c>
      <c r="E109" s="1231"/>
      <c r="F109" s="1216" t="e">
        <f t="shared" si="30"/>
        <v>#VALUE!</v>
      </c>
      <c r="G109" s="1247">
        <v>50</v>
      </c>
      <c r="H109" s="1216" t="e">
        <f>+G109+F109</f>
        <v>#VALUE!</v>
      </c>
    </row>
    <row r="110" spans="1:9" x14ac:dyDescent="0.35">
      <c r="A110" s="1222" t="s">
        <v>33</v>
      </c>
      <c r="C110" s="1219">
        <f t="shared" ref="C110:D110" si="31">+C109/C104</f>
        <v>0.28487587531912545</v>
      </c>
      <c r="D110" s="1219" t="e">
        <f t="shared" si="31"/>
        <v>#VALUE!</v>
      </c>
      <c r="E110" s="1219"/>
      <c r="F110" s="1219" t="e">
        <f>+F109/F104</f>
        <v>#VALUE!</v>
      </c>
      <c r="G110" s="1253"/>
      <c r="H110" s="1219" t="e">
        <f>+H109/H104</f>
        <v>#VALUE!</v>
      </c>
    </row>
    <row r="111" spans="1:9" x14ac:dyDescent="0.35">
      <c r="A111" s="1222"/>
      <c r="C111" s="1219"/>
      <c r="D111" s="1219"/>
      <c r="E111" s="1219"/>
      <c r="G111" s="1230"/>
    </row>
    <row r="112" spans="1:9" ht="18.5" x14ac:dyDescent="0.65">
      <c r="A112" s="1185" t="s">
        <v>260</v>
      </c>
      <c r="C112" s="1210">
        <f>+Upside!I32</f>
        <v>29.814258865863255</v>
      </c>
      <c r="D112" s="1210" t="e">
        <f>+D83/D75*D104</f>
        <v>#VALUE!</v>
      </c>
      <c r="E112" s="1210"/>
      <c r="F112" s="1210" t="e">
        <f t="shared" ref="F112" si="32">+SUM(C112:D112)</f>
        <v>#VALUE!</v>
      </c>
      <c r="G112" s="1254">
        <v>0</v>
      </c>
      <c r="H112" s="1210" t="e">
        <f>+G112+F112</f>
        <v>#VALUE!</v>
      </c>
      <c r="I112" s="1197"/>
    </row>
    <row r="113" spans="1:10" x14ac:dyDescent="0.35">
      <c r="A113" s="1209" t="s">
        <v>140</v>
      </c>
      <c r="C113" s="1216">
        <f>+C109-C112</f>
        <v>187.06506075212226</v>
      </c>
      <c r="D113" s="1216" t="e">
        <f>+D109-D112</f>
        <v>#VALUE!</v>
      </c>
      <c r="E113" s="1216"/>
      <c r="F113" s="1216" t="e">
        <f>+F109-F112</f>
        <v>#VALUE!</v>
      </c>
      <c r="G113" s="1247">
        <v>50</v>
      </c>
      <c r="H113" s="1216" t="e">
        <f>+G113+F113</f>
        <v>#VALUE!</v>
      </c>
    </row>
    <row r="114" spans="1:10" x14ac:dyDescent="0.35">
      <c r="A114" s="1222" t="s">
        <v>33</v>
      </c>
      <c r="C114" s="1219">
        <f>+C113/C104</f>
        <v>0.24571417421104322</v>
      </c>
      <c r="D114" s="1219" t="e">
        <f t="shared" ref="D114" si="33">+D113/D104</f>
        <v>#VALUE!</v>
      </c>
      <c r="E114" s="1219"/>
      <c r="F114" s="1219" t="e">
        <f>+F113/F104</f>
        <v>#VALUE!</v>
      </c>
      <c r="G114" s="1253"/>
      <c r="H114" s="1219" t="e">
        <f>+H113/H104</f>
        <v>#VALUE!</v>
      </c>
    </row>
    <row r="115" spans="1:10" x14ac:dyDescent="0.35">
      <c r="A115" s="1209"/>
      <c r="G115" s="1230"/>
    </row>
    <row r="116" spans="1:10" x14ac:dyDescent="0.35">
      <c r="A116" s="1223" t="s">
        <v>231</v>
      </c>
      <c r="G116" s="1230"/>
    </row>
    <row r="117" spans="1:10" s="1232" customFormat="1" ht="18.5" x14ac:dyDescent="0.65">
      <c r="A117" s="1209" t="s">
        <v>37</v>
      </c>
      <c r="C117" s="1233">
        <f>+Upside!I19</f>
        <v>20.805146255081208</v>
      </c>
      <c r="D117" s="1261">
        <v>20</v>
      </c>
      <c r="E117" s="1229"/>
      <c r="F117" s="1210">
        <f t="shared" ref="F117:F118" si="34">+SUM(C117:D117)</f>
        <v>40.805146255081212</v>
      </c>
      <c r="G117" s="1254">
        <v>0</v>
      </c>
      <c r="H117" s="1210">
        <f>+G117+F117</f>
        <v>40.805146255081212</v>
      </c>
      <c r="I117" s="1233"/>
    </row>
    <row r="118" spans="1:10" x14ac:dyDescent="0.35">
      <c r="A118" s="1224" t="s">
        <v>233</v>
      </c>
      <c r="C118" s="1205">
        <f>+'FA Base'!I14</f>
        <v>236.67831961798552</v>
      </c>
      <c r="D118" s="1231" t="str">
        <f>_xll.VAData("STER_US","FY-2024","EBITDA - Operating","consensus.vaactuals")</f>
        <v>#AuthenticationFailed</v>
      </c>
      <c r="E118" s="1231"/>
      <c r="F118" s="1216">
        <f t="shared" si="34"/>
        <v>236.67831961798552</v>
      </c>
      <c r="G118" s="1247">
        <v>50</v>
      </c>
      <c r="H118" s="1216">
        <f>+G118+F118</f>
        <v>286.67831961798549</v>
      </c>
    </row>
    <row r="119" spans="1:10" x14ac:dyDescent="0.35">
      <c r="A119" s="1224" t="s">
        <v>757</v>
      </c>
      <c r="C119" s="1216">
        <f>+C118-C121</f>
        <v>208.67831961798552</v>
      </c>
      <c r="D119" s="1216" t="e">
        <f>+D118-D121</f>
        <v>#VALUE!</v>
      </c>
      <c r="E119" s="1216"/>
      <c r="F119" s="1216" t="e">
        <f t="shared" ref="F119" si="35">+F118-F121</f>
        <v>#VALUE!</v>
      </c>
      <c r="G119" s="1247">
        <v>50</v>
      </c>
      <c r="H119" s="1216" t="e">
        <f>+G119+F119</f>
        <v>#VALUE!</v>
      </c>
    </row>
    <row r="120" spans="1:10" ht="18.5" x14ac:dyDescent="0.65">
      <c r="A120" s="1209"/>
      <c r="G120" s="1230"/>
      <c r="J120" s="1197"/>
    </row>
    <row r="121" spans="1:10" s="1197" customFormat="1" ht="18.5" x14ac:dyDescent="0.65">
      <c r="A121" s="1185" t="s">
        <v>40</v>
      </c>
      <c r="C121" s="1210">
        <f>+Upside!I25</f>
        <v>28.000000000000004</v>
      </c>
      <c r="D121" s="1210" t="e">
        <f>+D92/D75*D104</f>
        <v>#VALUE!</v>
      </c>
      <c r="E121" s="1210"/>
      <c r="F121" s="1210" t="e">
        <f t="shared" ref="F121" si="36">+SUM(C121:D121)</f>
        <v>#VALUE!</v>
      </c>
      <c r="G121" s="1254">
        <v>0</v>
      </c>
      <c r="H121" s="1210" t="e">
        <f>+G121+F121</f>
        <v>#VALUE!</v>
      </c>
    </row>
    <row r="122" spans="1:10" x14ac:dyDescent="0.35">
      <c r="A122" s="1209" t="s">
        <v>762</v>
      </c>
      <c r="C122" s="1216">
        <f>+C109-C121</f>
        <v>188.87931961798552</v>
      </c>
      <c r="D122" s="1216" t="e">
        <f>+D109-D121</f>
        <v>#VALUE!</v>
      </c>
      <c r="E122" s="1216"/>
      <c r="F122" s="1216" t="e">
        <f>+F109-F121</f>
        <v>#VALUE!</v>
      </c>
      <c r="G122" s="1247">
        <v>50</v>
      </c>
      <c r="H122" s="1216" t="e">
        <f>+G122+F122</f>
        <v>#VALUE!</v>
      </c>
    </row>
    <row r="123" spans="1:10" s="1218" customFormat="1" x14ac:dyDescent="0.35">
      <c r="A123" s="1222" t="s">
        <v>33</v>
      </c>
      <c r="C123" s="1228">
        <f>+C122/C104</f>
        <v>0.24809724412927536</v>
      </c>
      <c r="D123" s="1228" t="e">
        <f>+D122/D104</f>
        <v>#VALUE!</v>
      </c>
      <c r="E123" s="1228"/>
      <c r="F123" s="1219" t="e">
        <f>+F122/F104</f>
        <v>#VALUE!</v>
      </c>
      <c r="G123" s="1220"/>
      <c r="H123" s="1219" t="e">
        <f>+H122/H104</f>
        <v>#VALUE!</v>
      </c>
    </row>
    <row r="124" spans="1:10" x14ac:dyDescent="0.35">
      <c r="A124" s="1209"/>
    </row>
    <row r="125" spans="1:10" x14ac:dyDescent="0.35">
      <c r="A125" s="1225" t="s">
        <v>44</v>
      </c>
      <c r="C125" s="1216">
        <f>+'FA Base'!I35</f>
        <v>36.113999999999997</v>
      </c>
      <c r="D125" s="1216" t="str">
        <f>_xll.VAData("STER_US","FY-2024","Interest/(expense), net","consensus.vaactuals")</f>
        <v>#AuthenticationFailed</v>
      </c>
      <c r="E125" s="1216"/>
      <c r="F125" s="1235">
        <f>+H125</f>
        <v>159.42263888888886</v>
      </c>
      <c r="G125" s="1255" t="s">
        <v>759</v>
      </c>
      <c r="H125" s="1235">
        <f>+'PF interest'!I18</f>
        <v>159.42263888888886</v>
      </c>
      <c r="I125" s="1216"/>
    </row>
    <row r="126" spans="1:10" s="1197" customFormat="1" ht="18.5" x14ac:dyDescent="0.65">
      <c r="A126" s="1225" t="s">
        <v>143</v>
      </c>
      <c r="C126" s="1210">
        <f>+(C109-C112-C125)*0.25</f>
        <v>37.737765188030565</v>
      </c>
      <c r="D126" s="1210" t="e">
        <f>+(D109-D112-D125)*0.25</f>
        <v>#VALUE!</v>
      </c>
      <c r="E126" s="1210"/>
      <c r="F126" s="1210" t="e">
        <f>0.25*(F113-F125)</f>
        <v>#VALUE!</v>
      </c>
      <c r="G126" s="1255" t="s">
        <v>760</v>
      </c>
      <c r="H126" s="1210" t="e">
        <f>0.25*(H122-H125)</f>
        <v>#VALUE!</v>
      </c>
      <c r="I126" s="1236"/>
    </row>
    <row r="127" spans="1:10" s="1187" customFormat="1" x14ac:dyDescent="0.35">
      <c r="A127" s="1201" t="s">
        <v>761</v>
      </c>
      <c r="C127" s="1226">
        <f>+C113-C125-C126</f>
        <v>113.21329556409169</v>
      </c>
      <c r="D127" s="1226" t="e">
        <f>+D113-D125-D126</f>
        <v>#VALUE!</v>
      </c>
      <c r="E127" s="1226"/>
      <c r="F127" s="1226" t="e">
        <f>+F113-F125-F126</f>
        <v>#VALUE!</v>
      </c>
      <c r="G127" s="1256" t="e">
        <f>+H127-F127</f>
        <v>#VALUE!</v>
      </c>
      <c r="H127" s="1226" t="e">
        <f>+H113-H125-H126</f>
        <v>#VALUE!</v>
      </c>
    </row>
    <row r="128" spans="1:10" s="1187" customFormat="1" x14ac:dyDescent="0.35">
      <c r="A128" s="1201" t="s">
        <v>365</v>
      </c>
      <c r="C128" s="1242">
        <v>134.5</v>
      </c>
      <c r="D128" s="1226" t="str">
        <f>_xll.VAData("STER_US","FY-2024","Net income/(loss) - Operating","consensus.vaactuals","CD")</f>
        <v>#AuthenticationFailed</v>
      </c>
      <c r="E128" s="1226"/>
      <c r="F128" s="1226" t="e">
        <f>(F118-F112-F125)*0.75</f>
        <v>#VALUE!</v>
      </c>
      <c r="G128" s="1256" t="e">
        <f t="shared" ref="G128:G129" si="37">+H128-F128</f>
        <v>#VALUE!</v>
      </c>
      <c r="H128" s="1226" t="e">
        <f>(H118-H112-H125)*0.75</f>
        <v>#VALUE!</v>
      </c>
    </row>
    <row r="129" spans="1:8" x14ac:dyDescent="0.35">
      <c r="A129" s="1201" t="s">
        <v>48</v>
      </c>
      <c r="C129" s="1226">
        <f>+C122-C125-C126</f>
        <v>115.02755442995495</v>
      </c>
      <c r="D129" s="1226" t="e">
        <f>+D122-D125-D126</f>
        <v>#VALUE!</v>
      </c>
      <c r="E129" s="1226"/>
      <c r="F129" s="1226" t="e">
        <f>+F122-F125-F126</f>
        <v>#VALUE!</v>
      </c>
      <c r="G129" s="1256" t="e">
        <f t="shared" si="37"/>
        <v>#VALUE!</v>
      </c>
      <c r="H129" s="1226" t="e">
        <f>+H122-H125-H126</f>
        <v>#VALUE!</v>
      </c>
    </row>
    <row r="131" spans="1:8" x14ac:dyDescent="0.35">
      <c r="A131" s="1185" t="s">
        <v>763</v>
      </c>
      <c r="C131" s="1216">
        <f>+H15</f>
        <v>1968.7004999999997</v>
      </c>
      <c r="D131" s="1237"/>
      <c r="E131" s="1237"/>
      <c r="F131" s="1237"/>
    </row>
    <row r="132" spans="1:8" x14ac:dyDescent="0.35">
      <c r="C132" s="1226"/>
    </row>
    <row r="133" spans="1:8" x14ac:dyDescent="0.35">
      <c r="A133" s="1185" t="s">
        <v>764</v>
      </c>
      <c r="C133" s="1238">
        <f>+'FA Base'!H36</f>
        <v>9.5856470601888108E-2</v>
      </c>
    </row>
    <row r="134" spans="1:8" x14ac:dyDescent="0.35">
      <c r="A134" s="1185" t="s">
        <v>765</v>
      </c>
      <c r="C134" s="1239">
        <f>+H125/C131</f>
        <v>8.0978614516981573E-2</v>
      </c>
    </row>
  </sheetData>
  <pageMargins left="0.3" right="0.3" top="0.3" bottom="0.3" header="0.3" footer="0.3"/>
  <pageSetup scale="54" fitToHeight="0" orientation="portrait" r:id="rId1"/>
  <headerFooter>
    <oddFooter>Page &amp;P</oddFooter>
  </headerFooter>
  <rowBreaks count="1" manualBreakCount="1">
    <brk id="71" max="16383" man="1"/>
  </row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C0617-671D-4839-AB9B-D6F201F20476}">
  <sheetPr>
    <pageSetUpPr fitToPage="1"/>
  </sheetPr>
  <dimension ref="A1:AB96"/>
  <sheetViews>
    <sheetView view="pageBreakPreview" zoomScale="66" zoomScaleNormal="70" zoomScaleSheetLayoutView="66" workbookViewId="0">
      <selection activeCell="B1" sqref="B1"/>
    </sheetView>
  </sheetViews>
  <sheetFormatPr defaultColWidth="9.1796875" defaultRowHeight="10" outlineLevelRow="1" x14ac:dyDescent="0.2"/>
  <cols>
    <col min="1" max="1" width="1.453125" style="1" customWidth="1"/>
    <col min="2" max="2" width="16.81640625" style="1" customWidth="1"/>
    <col min="3" max="3" width="3.453125" style="1" customWidth="1"/>
    <col min="4" max="20" width="11.81640625" style="1" customWidth="1"/>
    <col min="21" max="21" width="14.1796875" style="1" bestFit="1" customWidth="1"/>
    <col min="22" max="22" width="10.453125" style="1" bestFit="1" customWidth="1"/>
    <col min="23" max="16384" width="9.1796875" style="1"/>
  </cols>
  <sheetData>
    <row r="1" spans="1:22" ht="10.5" x14ac:dyDescent="0.25">
      <c r="B1" s="1" t="s">
        <v>766</v>
      </c>
      <c r="G1" s="1265"/>
      <c r="H1" s="1265"/>
      <c r="I1" s="1266" t="s">
        <v>781</v>
      </c>
      <c r="J1" s="1265"/>
      <c r="K1" s="1265"/>
      <c r="L1" s="1265"/>
      <c r="P1" s="2"/>
      <c r="R1" s="2"/>
      <c r="S1" s="2"/>
      <c r="T1" s="2">
        <f t="shared" ref="T1" ca="1" si="0">TODAY()</f>
        <v>45797</v>
      </c>
    </row>
    <row r="2" spans="1:22" ht="10.5" x14ac:dyDescent="0.25">
      <c r="B2" s="3" t="s">
        <v>768</v>
      </c>
      <c r="C2" s="3"/>
    </row>
    <row r="3" spans="1:22" s="4" customFormat="1" x14ac:dyDescent="0.2">
      <c r="B3" s="5" t="s">
        <v>6</v>
      </c>
      <c r="C3" s="5"/>
      <c r="F3" s="56"/>
      <c r="G3" s="6"/>
      <c r="H3" s="6"/>
      <c r="I3" s="6">
        <f ca="1">TODAY()</f>
        <v>45797</v>
      </c>
      <c r="J3" s="6">
        <v>46022</v>
      </c>
      <c r="K3" s="6">
        <f t="shared" ref="K3:T3" si="1">+J3+365.25</f>
        <v>46387.25</v>
      </c>
      <c r="L3" s="6">
        <f t="shared" si="1"/>
        <v>46752.5</v>
      </c>
      <c r="M3" s="6">
        <f t="shared" si="1"/>
        <v>47117.75</v>
      </c>
      <c r="N3" s="6">
        <f t="shared" si="1"/>
        <v>47483</v>
      </c>
      <c r="O3" s="6">
        <f t="shared" si="1"/>
        <v>47848.25</v>
      </c>
      <c r="P3" s="6">
        <f t="shared" si="1"/>
        <v>48213.5</v>
      </c>
      <c r="Q3" s="6">
        <f t="shared" si="1"/>
        <v>48578.75</v>
      </c>
      <c r="R3" s="6">
        <f t="shared" si="1"/>
        <v>48944</v>
      </c>
      <c r="S3" s="6">
        <f t="shared" si="1"/>
        <v>49309.25</v>
      </c>
      <c r="T3" s="6">
        <f t="shared" si="1"/>
        <v>49674.5</v>
      </c>
    </row>
    <row r="4" spans="1:22" ht="10.5" x14ac:dyDescent="0.25">
      <c r="D4" s="7" t="s">
        <v>7</v>
      </c>
      <c r="E4" s="8"/>
      <c r="F4" s="8"/>
      <c r="G4" s="8"/>
      <c r="H4" s="8"/>
      <c r="I4" s="8"/>
      <c r="J4" s="8"/>
      <c r="K4" s="8"/>
      <c r="L4" s="8"/>
      <c r="M4" s="8"/>
      <c r="N4" s="8"/>
      <c r="O4" s="8"/>
      <c r="P4" s="8"/>
      <c r="Q4" s="8"/>
      <c r="R4" s="8"/>
      <c r="S4" s="8"/>
      <c r="T4" s="8"/>
    </row>
    <row r="5" spans="1:22" ht="13.5" x14ac:dyDescent="0.55000000000000004">
      <c r="D5" s="9" t="s">
        <v>8</v>
      </c>
      <c r="E5" s="9" t="s">
        <v>9</v>
      </c>
      <c r="F5" s="9" t="s">
        <v>10</v>
      </c>
      <c r="G5" s="9" t="s">
        <v>11</v>
      </c>
      <c r="H5" s="9" t="s">
        <v>12</v>
      </c>
      <c r="I5" s="98" t="s">
        <v>13</v>
      </c>
      <c r="J5" s="9" t="s">
        <v>14</v>
      </c>
      <c r="K5" s="9" t="s">
        <v>15</v>
      </c>
      <c r="L5" s="9" t="s">
        <v>16</v>
      </c>
      <c r="M5" s="9" t="s">
        <v>17</v>
      </c>
      <c r="N5" s="9" t="s">
        <v>18</v>
      </c>
      <c r="O5" s="9" t="s">
        <v>19</v>
      </c>
      <c r="P5" s="9" t="s">
        <v>20</v>
      </c>
      <c r="Q5" s="9" t="s">
        <v>21</v>
      </c>
      <c r="R5" s="9" t="s">
        <v>22</v>
      </c>
      <c r="S5" s="9" t="s">
        <v>23</v>
      </c>
      <c r="T5" s="9" t="s">
        <v>24</v>
      </c>
    </row>
    <row r="6" spans="1:22" ht="10.5" x14ac:dyDescent="0.25">
      <c r="A6" s="1" t="s">
        <v>26</v>
      </c>
      <c r="B6" s="11" t="s">
        <v>27</v>
      </c>
      <c r="C6" s="3"/>
      <c r="H6" s="1131"/>
      <c r="I6" s="1153"/>
    </row>
    <row r="7" spans="1:22" x14ac:dyDescent="0.2">
      <c r="G7" s="692"/>
      <c r="H7" s="1131"/>
      <c r="I7" s="1181" t="s">
        <v>769</v>
      </c>
      <c r="M7" s="88"/>
      <c r="U7" s="57"/>
    </row>
    <row r="8" spans="1:22" x14ac:dyDescent="0.2">
      <c r="B8" s="1" t="s">
        <v>28</v>
      </c>
      <c r="D8" s="70">
        <f>+'FA - Historical Financials'!AG12</f>
        <v>481.76699999999994</v>
      </c>
      <c r="E8" s="70">
        <f>+'FA - Historical Financials'!AH12</f>
        <v>509.15399999999994</v>
      </c>
      <c r="F8" s="70">
        <f>+'FA - Historical Financials'!AI12</f>
        <v>712.29500000000007</v>
      </c>
      <c r="G8" s="70">
        <f>+'FA - Historical Financials'!AJ12</f>
        <v>810.02300000000002</v>
      </c>
      <c r="H8" s="1132">
        <f>+'FA - Historical Financials'!AK12</f>
        <v>763.76100000000008</v>
      </c>
      <c r="I8" s="1167">
        <v>800</v>
      </c>
      <c r="J8" s="49">
        <f t="shared" ref="J8:T8" si="2">+I8*(1+J9)</f>
        <v>854.95189117682935</v>
      </c>
      <c r="K8" s="49">
        <f t="shared" si="2"/>
        <v>923.34804247097577</v>
      </c>
      <c r="L8" s="49">
        <f t="shared" si="2"/>
        <v>997.21588586865391</v>
      </c>
      <c r="M8" s="49">
        <f>+L8*(1+M9)</f>
        <v>1076.9931567381464</v>
      </c>
      <c r="N8" s="49">
        <f t="shared" si="2"/>
        <v>1163.1526092771981</v>
      </c>
      <c r="O8" s="49">
        <f t="shared" si="2"/>
        <v>1256.204818019374</v>
      </c>
      <c r="P8" s="49">
        <f t="shared" si="2"/>
        <v>1356.701203460924</v>
      </c>
      <c r="Q8" s="49">
        <f t="shared" si="2"/>
        <v>1465.2372997377981</v>
      </c>
      <c r="R8" s="49">
        <f t="shared" si="2"/>
        <v>1582.4562837168221</v>
      </c>
      <c r="S8" s="49">
        <f t="shared" si="2"/>
        <v>1709.0527864141679</v>
      </c>
      <c r="T8" s="49">
        <f t="shared" si="2"/>
        <v>1845.7770093273016</v>
      </c>
      <c r="U8" s="57"/>
    </row>
    <row r="9" spans="1:22" s="12" customFormat="1" x14ac:dyDescent="0.2">
      <c r="B9" s="13" t="s">
        <v>29</v>
      </c>
      <c r="C9" s="14"/>
      <c r="D9" s="15">
        <f>+'FA - Historical Financials'!AG13</f>
        <v>7.8E-2</v>
      </c>
      <c r="E9" s="15">
        <f>IFERROR(IF(OR(E8&lt;0, D8&lt;0), "NM", E8/D8-1),"N/A")</f>
        <v>5.684698204733829E-2</v>
      </c>
      <c r="F9" s="15">
        <f>IFERROR(IF(OR(F8&lt;0, E8&lt;0), "NM", F8/E8-1),"N/A")</f>
        <v>0.39897751957168204</v>
      </c>
      <c r="G9" s="15">
        <f>IFERROR(IF(OR(G8&lt;0, F8&lt;0), "NM", G8/F8-1),"N/A")</f>
        <v>0.13720158080570544</v>
      </c>
      <c r="H9" s="1133">
        <f t="shared" ref="H9:I9" si="3">IFERROR(IF(OR(H8&lt;0, G8&lt;0), "NM", H8/G8-1),"N/A")</f>
        <v>-5.7111958549325048E-2</v>
      </c>
      <c r="I9" s="1160">
        <f t="shared" si="3"/>
        <v>4.7448089127357873E-2</v>
      </c>
      <c r="J9" s="59">
        <f>+'FA Base'!J9</f>
        <v>6.8689863971036713E-2</v>
      </c>
      <c r="K9" s="59">
        <v>0.08</v>
      </c>
      <c r="L9" s="59">
        <v>0.08</v>
      </c>
      <c r="M9" s="59">
        <v>0.08</v>
      </c>
      <c r="N9" s="59">
        <v>0.08</v>
      </c>
      <c r="O9" s="59">
        <v>0.08</v>
      </c>
      <c r="P9" s="59">
        <v>0.08</v>
      </c>
      <c r="Q9" s="59">
        <v>0.08</v>
      </c>
      <c r="R9" s="59">
        <v>0.08</v>
      </c>
      <c r="S9" s="59">
        <v>0.08</v>
      </c>
      <c r="T9" s="59">
        <v>0.08</v>
      </c>
      <c r="V9" s="1"/>
    </row>
    <row r="10" spans="1:22" s="12" customFormat="1" x14ac:dyDescent="0.2">
      <c r="B10" s="13" t="s">
        <v>30</v>
      </c>
      <c r="C10" s="14"/>
      <c r="D10" s="15">
        <f>+'FA - Historical Financials'!AG29</f>
        <v>8.2981677786642408E-2</v>
      </c>
      <c r="E10" s="15">
        <f>+'FA - Historical Financials'!AH29</f>
        <v>5.6178009511735218E-2</v>
      </c>
      <c r="F10" s="15">
        <f>+'FA - Historical Financials'!AI29</f>
        <v>0.35038711273995687</v>
      </c>
      <c r="G10" s="15">
        <f>+'FA - Historical Financials'!AJ29</f>
        <v>9.9651127692880204E-2</v>
      </c>
      <c r="H10" s="1133">
        <f>+'FA - Historical Financials'!AK29</f>
        <v>-5.8039743669590776E-2</v>
      </c>
      <c r="I10" s="1160">
        <f>+I9-0.851*10/H8</f>
        <v>3.6305860079265603E-2</v>
      </c>
      <c r="J10" s="59">
        <f>+'FA Base'!J10</f>
        <v>6.5860468374287551E-2</v>
      </c>
      <c r="K10" s="15">
        <f t="shared" ref="K10:T10" si="4">+K9</f>
        <v>0.08</v>
      </c>
      <c r="L10" s="15">
        <f t="shared" si="4"/>
        <v>0.08</v>
      </c>
      <c r="M10" s="15">
        <f t="shared" si="4"/>
        <v>0.08</v>
      </c>
      <c r="N10" s="15">
        <f t="shared" si="4"/>
        <v>0.08</v>
      </c>
      <c r="O10" s="15">
        <f t="shared" si="4"/>
        <v>0.08</v>
      </c>
      <c r="P10" s="15">
        <f t="shared" si="4"/>
        <v>0.08</v>
      </c>
      <c r="Q10" s="15">
        <f t="shared" si="4"/>
        <v>0.08</v>
      </c>
      <c r="R10" s="15">
        <f t="shared" si="4"/>
        <v>0.08</v>
      </c>
      <c r="S10" s="15">
        <f t="shared" si="4"/>
        <v>0.08</v>
      </c>
      <c r="T10" s="15">
        <f t="shared" si="4"/>
        <v>0.08</v>
      </c>
      <c r="V10" s="1"/>
    </row>
    <row r="11" spans="1:22" s="12" customFormat="1" x14ac:dyDescent="0.2">
      <c r="B11" s="13"/>
      <c r="C11" s="14"/>
      <c r="D11" s="33"/>
      <c r="E11" s="33"/>
      <c r="F11" s="16"/>
      <c r="G11" s="16"/>
      <c r="H11" s="1131"/>
      <c r="I11" s="1156" t="s">
        <v>31</v>
      </c>
      <c r="J11" s="16"/>
      <c r="K11" s="16"/>
      <c r="L11" s="16"/>
      <c r="M11" s="16"/>
      <c r="N11" s="16"/>
      <c r="O11" s="16"/>
      <c r="P11" s="16"/>
      <c r="Q11" s="16"/>
      <c r="R11" s="16"/>
      <c r="S11" s="16"/>
      <c r="T11" s="16"/>
    </row>
    <row r="12" spans="1:22" s="12" customFormat="1" x14ac:dyDescent="0.2">
      <c r="B12" s="13"/>
      <c r="C12" s="14"/>
      <c r="D12" s="33"/>
      <c r="E12" s="33"/>
      <c r="F12" s="16"/>
      <c r="G12" s="16"/>
      <c r="H12" s="1131"/>
      <c r="I12" s="1156"/>
      <c r="J12" s="16"/>
      <c r="K12" s="16"/>
      <c r="L12" s="16"/>
      <c r="M12" s="16"/>
      <c r="N12" s="16"/>
      <c r="O12" s="16"/>
      <c r="P12" s="16"/>
      <c r="Q12" s="16"/>
      <c r="R12" s="16"/>
      <c r="S12" s="16"/>
      <c r="T12" s="16"/>
    </row>
    <row r="13" spans="1:22" s="12" customFormat="1" x14ac:dyDescent="0.2">
      <c r="B13" s="13"/>
      <c r="C13" s="14"/>
      <c r="D13" s="33"/>
      <c r="E13" s="33"/>
      <c r="F13" s="16"/>
      <c r="G13" s="16"/>
      <c r="H13" s="1131"/>
      <c r="I13" s="1181" t="s">
        <v>770</v>
      </c>
      <c r="J13" s="16"/>
      <c r="K13" s="16"/>
      <c r="L13" s="16"/>
      <c r="M13" s="16"/>
      <c r="N13" s="16"/>
      <c r="O13" s="16"/>
      <c r="P13" s="16"/>
      <c r="Q13" s="16"/>
      <c r="R13" s="16"/>
      <c r="S13" s="16"/>
      <c r="T13" s="16"/>
    </row>
    <row r="14" spans="1:22" s="12" customFormat="1" x14ac:dyDescent="0.2">
      <c r="B14" s="18" t="s">
        <v>233</v>
      </c>
      <c r="C14" s="14"/>
      <c r="D14" s="40">
        <f>+D20+D19</f>
        <v>123.773</v>
      </c>
      <c r="E14" s="40">
        <f t="shared" ref="E14:T14" si="5">+E20+E19</f>
        <v>146.798</v>
      </c>
      <c r="F14" s="40">
        <f t="shared" si="5"/>
        <v>226.29399999999998</v>
      </c>
      <c r="G14" s="49">
        <f t="shared" si="5"/>
        <v>248.91000000000003</v>
      </c>
      <c r="H14" s="1134">
        <f t="shared" si="5"/>
        <v>237.55599999999998</v>
      </c>
      <c r="I14" s="1167">
        <v>248</v>
      </c>
      <c r="J14" s="49">
        <f t="shared" si="5"/>
        <v>274.15745369573227</v>
      </c>
      <c r="K14" s="49">
        <f t="shared" si="5"/>
        <v>306.7144616917974</v>
      </c>
      <c r="L14" s="49">
        <f t="shared" si="5"/>
        <v>341.87603032754771</v>
      </c>
      <c r="M14" s="49">
        <f t="shared" si="5"/>
        <v>379.85052445415806</v>
      </c>
      <c r="N14" s="49">
        <f t="shared" si="5"/>
        <v>420.86297811089725</v>
      </c>
      <c r="O14" s="49">
        <f t="shared" si="5"/>
        <v>465.15642806017553</v>
      </c>
      <c r="P14" s="49">
        <f t="shared" si="5"/>
        <v>512.9933540053961</v>
      </c>
      <c r="Q14" s="49">
        <f t="shared" si="5"/>
        <v>564.65723402623439</v>
      </c>
      <c r="R14" s="49">
        <f t="shared" si="5"/>
        <v>620.45422444873975</v>
      </c>
      <c r="S14" s="49">
        <f t="shared" si="5"/>
        <v>680.71497410504548</v>
      </c>
      <c r="T14" s="49">
        <f t="shared" si="5"/>
        <v>745.79658373385575</v>
      </c>
    </row>
    <row r="15" spans="1:22" s="12" customFormat="1" ht="11.25" customHeight="1" x14ac:dyDescent="0.2">
      <c r="B15" s="13" t="s">
        <v>29</v>
      </c>
      <c r="C15" s="14"/>
      <c r="D15" s="15"/>
      <c r="E15" s="15">
        <f t="shared" ref="E15:T15" si="6">IF(OR(E14&lt;0, D14&lt;0), "NM", E14/D14-1)</f>
        <v>0.18602603152545383</v>
      </c>
      <c r="F15" s="15">
        <f t="shared" si="6"/>
        <v>0.54153326339595886</v>
      </c>
      <c r="G15" s="15">
        <f t="shared" si="6"/>
        <v>9.9940784996509269E-2</v>
      </c>
      <c r="H15" s="1133">
        <f t="shared" si="6"/>
        <v>-4.5614880880639808E-2</v>
      </c>
      <c r="I15" s="1155">
        <f t="shared" si="6"/>
        <v>4.3964370506322847E-2</v>
      </c>
      <c r="J15" s="15">
        <f t="shared" si="6"/>
        <v>0.10547360361182379</v>
      </c>
      <c r="K15" s="15">
        <f t="shared" si="6"/>
        <v>0.11875295585506063</v>
      </c>
      <c r="L15" s="15">
        <f t="shared" si="6"/>
        <v>0.11463942209246869</v>
      </c>
      <c r="M15" s="15">
        <f t="shared" si="6"/>
        <v>0.1110767961422372</v>
      </c>
      <c r="N15" s="15">
        <f t="shared" si="6"/>
        <v>0.10796998033811778</v>
      </c>
      <c r="O15" s="15">
        <f t="shared" si="6"/>
        <v>0.10524434852430042</v>
      </c>
      <c r="P15" s="15">
        <f t="shared" si="6"/>
        <v>0.10284051355522084</v>
      </c>
      <c r="Q15" s="15">
        <f t="shared" si="6"/>
        <v>0.10071062250115403</v>
      </c>
      <c r="R15" s="15">
        <f t="shared" si="6"/>
        <v>9.8815683321101355E-2</v>
      </c>
      <c r="S15" s="15">
        <f t="shared" si="6"/>
        <v>9.7123602808645737E-2</v>
      </c>
      <c r="T15" s="15">
        <f t="shared" si="6"/>
        <v>9.5607724384754178E-2</v>
      </c>
    </row>
    <row r="16" spans="1:22" s="12" customFormat="1" x14ac:dyDescent="0.2">
      <c r="B16" s="13" t="s">
        <v>33</v>
      </c>
      <c r="C16" s="14"/>
      <c r="D16" s="19">
        <f t="shared" ref="D16:T16" si="7">+D14/D$8</f>
        <v>0.25691464961277966</v>
      </c>
      <c r="E16" s="19">
        <f t="shared" si="7"/>
        <v>0.28831748351186481</v>
      </c>
      <c r="F16" s="19">
        <f t="shared" si="7"/>
        <v>0.31769702159919688</v>
      </c>
      <c r="G16" s="19">
        <f t="shared" si="7"/>
        <v>0.30728757084675373</v>
      </c>
      <c r="H16" s="1135">
        <f t="shared" si="7"/>
        <v>0.31103447282592322</v>
      </c>
      <c r="I16" s="1158">
        <f t="shared" si="7"/>
        <v>0.31</v>
      </c>
      <c r="J16" s="19">
        <f t="shared" si="7"/>
        <v>0.32067003596934368</v>
      </c>
      <c r="K16" s="19">
        <f t="shared" si="7"/>
        <v>0.33217643573597394</v>
      </c>
      <c r="L16" s="19">
        <f t="shared" si="7"/>
        <v>0.34283050959396483</v>
      </c>
      <c r="M16" s="19">
        <f t="shared" si="7"/>
        <v>0.3526953927958083</v>
      </c>
      <c r="N16" s="19">
        <f t="shared" si="7"/>
        <v>0.36182954390862637</v>
      </c>
      <c r="O16" s="19">
        <f t="shared" si="7"/>
        <v>0.37028709123530967</v>
      </c>
      <c r="P16" s="19">
        <f t="shared" si="7"/>
        <v>0.37811815357483131</v>
      </c>
      <c r="Q16" s="19">
        <f t="shared" si="7"/>
        <v>0.38536913722253652</v>
      </c>
      <c r="R16" s="19">
        <f t="shared" si="7"/>
        <v>0.39208301097041176</v>
      </c>
      <c r="S16" s="19">
        <f t="shared" si="7"/>
        <v>0.39829956073696288</v>
      </c>
      <c r="T16" s="19">
        <f t="shared" si="7"/>
        <v>0.40405562533562128</v>
      </c>
    </row>
    <row r="17" spans="2:24" s="12" customFormat="1" x14ac:dyDescent="0.2">
      <c r="B17" s="13" t="s">
        <v>34</v>
      </c>
      <c r="C17" s="14"/>
      <c r="D17" s="19"/>
      <c r="E17" s="19">
        <f t="shared" ref="E17:T17" si="8">(E14-D14)/(E8-D8)</f>
        <v>0.84072735239347152</v>
      </c>
      <c r="F17" s="19">
        <f t="shared" si="8"/>
        <v>0.39133409799105018</v>
      </c>
      <c r="G17" s="19">
        <f t="shared" si="8"/>
        <v>0.2314178127046502</v>
      </c>
      <c r="H17" s="1135">
        <f t="shared" si="8"/>
        <v>0.24542821322035485</v>
      </c>
      <c r="I17" s="1158">
        <f t="shared" si="8"/>
        <v>0.28819779795248324</v>
      </c>
      <c r="J17" s="19">
        <f t="shared" si="8"/>
        <v>0.47600643281885174</v>
      </c>
      <c r="K17" s="19">
        <f t="shared" si="8"/>
        <v>0.47600643281885169</v>
      </c>
      <c r="L17" s="19">
        <f t="shared" si="8"/>
        <v>0.47600643281885135</v>
      </c>
      <c r="M17" s="19">
        <f t="shared" si="8"/>
        <v>0.47600643281885124</v>
      </c>
      <c r="N17" s="19">
        <f t="shared" si="8"/>
        <v>0.47600643281885202</v>
      </c>
      <c r="O17" s="19">
        <f t="shared" si="8"/>
        <v>0.47600643281885113</v>
      </c>
      <c r="P17" s="19">
        <f t="shared" si="8"/>
        <v>0.47600643281885124</v>
      </c>
      <c r="Q17" s="19">
        <f t="shared" si="8"/>
        <v>0.47600643281885169</v>
      </c>
      <c r="R17" s="19">
        <f t="shared" si="8"/>
        <v>0.47600643281885202</v>
      </c>
      <c r="S17" s="19">
        <f t="shared" si="8"/>
        <v>0.47600643281885174</v>
      </c>
      <c r="T17" s="19">
        <f t="shared" si="8"/>
        <v>0.4760064328188518</v>
      </c>
    </row>
    <row r="18" spans="2:24" s="12" customFormat="1" x14ac:dyDescent="0.2">
      <c r="B18" s="18"/>
      <c r="C18" s="14"/>
      <c r="D18" s="40"/>
      <c r="E18" s="40"/>
      <c r="F18" s="40"/>
      <c r="G18" s="49"/>
      <c r="H18" s="1134"/>
      <c r="I18" s="1157"/>
      <c r="J18" s="49"/>
      <c r="K18" s="49"/>
      <c r="L18" s="49"/>
      <c r="M18" s="49"/>
      <c r="N18" s="49"/>
      <c r="O18" s="49"/>
      <c r="P18" s="49"/>
      <c r="Q18" s="49"/>
      <c r="R18" s="49"/>
      <c r="S18" s="49"/>
      <c r="T18" s="49"/>
    </row>
    <row r="19" spans="2:24" s="1011" customFormat="1" ht="11.5" x14ac:dyDescent="0.35">
      <c r="B19" s="18" t="s">
        <v>37</v>
      </c>
      <c r="C19" s="1012"/>
      <c r="D19" s="54">
        <f>+'FA - Historical Financials'!AG90</f>
        <v>1.216</v>
      </c>
      <c r="E19" s="54">
        <f>+'FA - Historical Financials'!AH90</f>
        <v>5.8519999999999994</v>
      </c>
      <c r="F19" s="54">
        <f>+'FA - Historical Financials'!AI90</f>
        <v>9.5300000000000011</v>
      </c>
      <c r="G19" s="54">
        <f>+'FA - Historical Financials'!AJ90</f>
        <v>7.8559999999999999</v>
      </c>
      <c r="H19" s="1136">
        <f>+'FA - Historical Financials'!AK90</f>
        <v>15.265000000000001</v>
      </c>
      <c r="I19" s="1171">
        <f>+'FA Base'!I19/'FA Base'!I8*Upside!I8</f>
        <v>20.805146255081208</v>
      </c>
      <c r="J19" s="1015">
        <f t="shared" ref="J19" si="9">+I19/I8*J8</f>
        <v>22.234248921240258</v>
      </c>
      <c r="K19" s="1015">
        <f t="shared" ref="K19" si="10">+J19/J8*K8</f>
        <v>24.012988834939478</v>
      </c>
      <c r="L19" s="1015">
        <f t="shared" ref="L19" si="11">+K19/K8*L8</f>
        <v>25.934027941734637</v>
      </c>
      <c r="M19" s="1015">
        <f t="shared" ref="M19" si="12">+L19/L8*M8</f>
        <v>28.008750177073409</v>
      </c>
      <c r="N19" s="1015">
        <f t="shared" ref="N19" si="13">+M19/M8*N8</f>
        <v>30.249450191239283</v>
      </c>
      <c r="O19" s="1015">
        <f t="shared" ref="O19" si="14">+N19/N8*O8</f>
        <v>32.669406206538426</v>
      </c>
      <c r="P19" s="1015">
        <f t="shared" ref="P19" si="15">+O19/O8*P8</f>
        <v>35.282958703061503</v>
      </c>
      <c r="Q19" s="1015">
        <f t="shared" ref="Q19" si="16">+P19/P8*Q8</f>
        <v>38.105595399306424</v>
      </c>
      <c r="R19" s="1015">
        <f t="shared" ref="R19" si="17">+Q19/Q8*R8</f>
        <v>41.154043031250943</v>
      </c>
      <c r="S19" s="1015">
        <f t="shared" ref="S19" si="18">+R19/R8*S8</f>
        <v>44.44636647375102</v>
      </c>
      <c r="T19" s="1015">
        <f t="shared" ref="T19" si="19">+S19/S8*T8</f>
        <v>48.002075791651109</v>
      </c>
    </row>
    <row r="20" spans="2:24" s="12" customFormat="1" x14ac:dyDescent="0.2">
      <c r="B20" s="22" t="s">
        <v>188</v>
      </c>
      <c r="C20" s="14"/>
      <c r="D20" s="70">
        <f>+'FA - Historical Financials'!AG91</f>
        <v>122.557</v>
      </c>
      <c r="E20" s="70">
        <f>+'FA - Historical Financials'!AH91</f>
        <v>140.946</v>
      </c>
      <c r="F20" s="70">
        <f>+'FA - Historical Financials'!AI91</f>
        <v>216.76399999999998</v>
      </c>
      <c r="G20" s="70">
        <f>+'FA - Historical Financials'!AJ91</f>
        <v>241.05400000000003</v>
      </c>
      <c r="H20" s="1132">
        <f>+'FA - Historical Financials'!AK91</f>
        <v>222.291</v>
      </c>
      <c r="I20" s="1157">
        <f>+I14-I19</f>
        <v>227.19485374491879</v>
      </c>
      <c r="J20" s="49">
        <f>+I20+(J8-I8)*J23</f>
        <v>251.92320477449201</v>
      </c>
      <c r="K20" s="49">
        <f t="shared" ref="K20:T20" si="20">+J20+(K8-J8)*K23</f>
        <v>282.70147285685789</v>
      </c>
      <c r="L20" s="49">
        <f t="shared" si="20"/>
        <v>315.94200238581305</v>
      </c>
      <c r="M20" s="49">
        <f t="shared" si="20"/>
        <v>351.84177427708465</v>
      </c>
      <c r="N20" s="49">
        <f t="shared" si="20"/>
        <v>390.61352791965794</v>
      </c>
      <c r="O20" s="49">
        <f t="shared" si="20"/>
        <v>432.48702185363709</v>
      </c>
      <c r="P20" s="49">
        <f t="shared" si="20"/>
        <v>477.71039530233463</v>
      </c>
      <c r="Q20" s="49">
        <f t="shared" si="20"/>
        <v>526.55163862692802</v>
      </c>
      <c r="R20" s="49">
        <f t="shared" si="20"/>
        <v>579.30018141748883</v>
      </c>
      <c r="S20" s="49">
        <f t="shared" si="20"/>
        <v>636.26860763129446</v>
      </c>
      <c r="T20" s="49">
        <f t="shared" si="20"/>
        <v>697.79450794220463</v>
      </c>
      <c r="V20" s="33"/>
      <c r="W20" s="33"/>
      <c r="X20" s="33"/>
    </row>
    <row r="21" spans="2:24" s="12" customFormat="1" x14ac:dyDescent="0.2">
      <c r="B21" s="24" t="s">
        <v>29</v>
      </c>
      <c r="C21" s="14"/>
      <c r="D21" s="15"/>
      <c r="E21" s="15">
        <f>IFERROR(IF(OR(E20&lt;0, D20&lt;0), "NM", E20/D20-1),"N/A")</f>
        <v>0.1500444691041718</v>
      </c>
      <c r="F21" s="15">
        <f>IFERROR(IF(OR(F20&lt;0, E20&lt;0), "NM", F20/E20-1),"N/A")</f>
        <v>0.53792232486200375</v>
      </c>
      <c r="G21" s="15">
        <f>IFERROR(IF(OR(G20&lt;0, F20&lt;0), "NM", G20/F20-1),"N/A")</f>
        <v>0.11205735269694261</v>
      </c>
      <c r="H21" s="1133">
        <f t="shared" ref="H21:J21" si="21">IFERROR(IF(OR(H20&lt;0, G20&lt;0), "NM", H20/G20-1),"N/A")</f>
        <v>-7.7837331054452674E-2</v>
      </c>
      <c r="I21" s="1155">
        <f t="shared" si="21"/>
        <v>2.2060514123013464E-2</v>
      </c>
      <c r="J21" s="15">
        <f t="shared" si="21"/>
        <v>0.1088420385495914</v>
      </c>
      <c r="K21" s="15">
        <f t="shared" ref="K21" si="22">IFERROR(IF(OR(K20&lt;0, J20&lt;0), "NM", K20/J20-1),"N/A")</f>
        <v>0.12217321588107355</v>
      </c>
      <c r="L21" s="15">
        <f t="shared" ref="L21" si="23">IFERROR(IF(OR(L20&lt;0, K20&lt;0), "NM", L20/K20-1),"N/A")</f>
        <v>0.1175817345167709</v>
      </c>
      <c r="M21" s="15">
        <f t="shared" ref="M21" si="24">IFERROR(IF(OR(M20&lt;0, L20&lt;0), "NM", M20/L20-1),"N/A")</f>
        <v>0.11362772793796672</v>
      </c>
      <c r="N21" s="15">
        <f t="shared" ref="N21" si="25">IFERROR(IF(OR(N20&lt;0, M20&lt;0), "NM", N20/M20-1),"N/A")</f>
        <v>0.1101965612873459</v>
      </c>
      <c r="O21" s="15">
        <f t="shared" ref="O21" si="26">IFERROR(IF(OR(O20&lt;0, N20&lt;0), "NM", O20/N20-1),"N/A")</f>
        <v>0.10719929275616824</v>
      </c>
      <c r="P21" s="15">
        <f t="shared" ref="P21" si="27">IFERROR(IF(OR(P20&lt;0, O20&lt;0), "NM", P20/O20-1),"N/A")</f>
        <v>0.10456585091240522</v>
      </c>
      <c r="Q21" s="15">
        <f t="shared" ref="Q21" si="28">IFERROR(IF(OR(Q20&lt;0, P20&lt;0), "NM", Q20/P20-1),"N/A")</f>
        <v>0.10224027738329333</v>
      </c>
      <c r="R21" s="15">
        <f t="shared" ref="R21" si="29">IFERROR(IF(OR(R20&lt;0, Q20&lt;0), "NM", R20/Q20-1),"N/A")</f>
        <v>0.10017734049429894</v>
      </c>
      <c r="S21" s="15">
        <f t="shared" ref="S21" si="30">IFERROR(IF(OR(S20&lt;0, R20&lt;0), "NM", S20/R20-1),"N/A")</f>
        <v>9.8340080050397516E-2</v>
      </c>
      <c r="T21" s="15">
        <f t="shared" ref="T21" si="31">IFERROR(IF(OR(T20&lt;0, S20&lt;0), "NM", T20/S20-1),"N/A")</f>
        <v>9.6697997627070098E-2</v>
      </c>
    </row>
    <row r="22" spans="2:24" s="12" customFormat="1" x14ac:dyDescent="0.2">
      <c r="B22" s="24" t="s">
        <v>33</v>
      </c>
      <c r="C22" s="14"/>
      <c r="D22" s="15">
        <f>+IFERROR(D20/D$8,"N/A")</f>
        <v>0.25439060790797213</v>
      </c>
      <c r="E22" s="15">
        <f>+IFERROR(E20/E$8,"N/A")</f>
        <v>0.27682390789427169</v>
      </c>
      <c r="F22" s="15">
        <f>+IFERROR(F20/F$8,"N/A")</f>
        <v>0.30431773352332947</v>
      </c>
      <c r="G22" s="15">
        <f>+IFERROR(G20/G$8,"N/A")</f>
        <v>0.29758908080387841</v>
      </c>
      <c r="H22" s="1133">
        <f t="shared" ref="H22:J22" si="32">+IFERROR(H20/H$8,"N/A")</f>
        <v>0.29104785397526184</v>
      </c>
      <c r="I22" s="1155">
        <f t="shared" si="32"/>
        <v>0.28399356718114849</v>
      </c>
      <c r="J22" s="15">
        <f t="shared" si="32"/>
        <v>0.29466360315049217</v>
      </c>
      <c r="K22" s="15">
        <f t="shared" ref="K22:T22" si="33">+IFERROR(K20/K$8,"N/A")</f>
        <v>0.30617000291712237</v>
      </c>
      <c r="L22" s="15">
        <f t="shared" si="33"/>
        <v>0.31682407677511332</v>
      </c>
      <c r="M22" s="15">
        <f t="shared" si="33"/>
        <v>0.32668895997695679</v>
      </c>
      <c r="N22" s="15">
        <f t="shared" si="33"/>
        <v>0.33582311108977481</v>
      </c>
      <c r="O22" s="15">
        <f t="shared" si="33"/>
        <v>0.34428065841645816</v>
      </c>
      <c r="P22" s="15">
        <f t="shared" si="33"/>
        <v>0.3521117207559798</v>
      </c>
      <c r="Q22" s="15">
        <f t="shared" si="33"/>
        <v>0.35936270440368506</v>
      </c>
      <c r="R22" s="15">
        <f t="shared" si="33"/>
        <v>0.36607657815156025</v>
      </c>
      <c r="S22" s="15">
        <f t="shared" si="33"/>
        <v>0.37229312791811137</v>
      </c>
      <c r="T22" s="15">
        <f t="shared" si="33"/>
        <v>0.37804919251676977</v>
      </c>
      <c r="U22" s="59"/>
    </row>
    <row r="23" spans="2:24" s="12" customFormat="1" x14ac:dyDescent="0.2">
      <c r="B23" s="24" t="s">
        <v>39</v>
      </c>
      <c r="C23" s="14"/>
      <c r="D23" s="15"/>
      <c r="E23" s="16">
        <f t="shared" ref="E23:I23" si="34">(E20-D20)/(E8-D8)</f>
        <v>0.67144995800927432</v>
      </c>
      <c r="F23" s="16">
        <f t="shared" si="34"/>
        <v>0.37322844723615584</v>
      </c>
      <c r="G23" s="16">
        <f t="shared" si="34"/>
        <v>0.24854698755730253</v>
      </c>
      <c r="H23" s="1137">
        <f t="shared" si="34"/>
        <v>0.40558125459340399</v>
      </c>
      <c r="I23" s="1160">
        <f t="shared" si="34"/>
        <v>0.13531978655367979</v>
      </c>
      <c r="J23" s="59">
        <v>0.45</v>
      </c>
      <c r="K23" s="59">
        <f>+J23</f>
        <v>0.45</v>
      </c>
      <c r="L23" s="59">
        <f t="shared" ref="L23:T23" si="35">+K23</f>
        <v>0.45</v>
      </c>
      <c r="M23" s="59">
        <f t="shared" si="35"/>
        <v>0.45</v>
      </c>
      <c r="N23" s="59">
        <f t="shared" si="35"/>
        <v>0.45</v>
      </c>
      <c r="O23" s="59">
        <f t="shared" si="35"/>
        <v>0.45</v>
      </c>
      <c r="P23" s="59">
        <f t="shared" si="35"/>
        <v>0.45</v>
      </c>
      <c r="Q23" s="59">
        <f t="shared" si="35"/>
        <v>0.45</v>
      </c>
      <c r="R23" s="59">
        <f t="shared" si="35"/>
        <v>0.45</v>
      </c>
      <c r="S23" s="59">
        <f t="shared" si="35"/>
        <v>0.45</v>
      </c>
      <c r="T23" s="59">
        <f t="shared" si="35"/>
        <v>0.45</v>
      </c>
      <c r="U23" s="59"/>
    </row>
    <row r="24" spans="2:24" x14ac:dyDescent="0.2">
      <c r="F24" s="20"/>
      <c r="G24" s="20"/>
      <c r="H24" s="1138"/>
      <c r="I24" s="1161"/>
      <c r="J24" s="20"/>
      <c r="K24" s="20"/>
      <c r="L24" s="20"/>
      <c r="M24" s="20"/>
      <c r="N24" s="20"/>
      <c r="O24" s="20"/>
      <c r="P24" s="20"/>
      <c r="Q24" s="20"/>
      <c r="R24" s="20"/>
      <c r="S24" s="20"/>
      <c r="T24" s="20"/>
    </row>
    <row r="25" spans="2:24" x14ac:dyDescent="0.2">
      <c r="B25" s="1" t="s">
        <v>40</v>
      </c>
      <c r="D25" s="70">
        <f>+'FA - Historical Financials'!AG96</f>
        <v>19.844999999999999</v>
      </c>
      <c r="E25" s="70">
        <f>+'FA - Historical Financials'!AH96</f>
        <v>20.418000000000003</v>
      </c>
      <c r="F25" s="70">
        <f>+'FA - Historical Financials'!AI96</f>
        <v>25.45</v>
      </c>
      <c r="G25" s="70">
        <f>+'FA - Historical Financials'!AJ96</f>
        <v>29.896999999999998</v>
      </c>
      <c r="H25" s="1132">
        <f>+'FA - Historical Financials'!AK96</f>
        <v>27.802999999999997</v>
      </c>
      <c r="I25" s="1157">
        <f t="shared" ref="I25:T25" si="36">+I26*I$8</f>
        <v>28.000000000000004</v>
      </c>
      <c r="J25" s="49">
        <f t="shared" si="36"/>
        <v>29.923316191189031</v>
      </c>
      <c r="K25" s="49">
        <f t="shared" si="36"/>
        <v>32.317181486484152</v>
      </c>
      <c r="L25" s="49">
        <f t="shared" si="36"/>
        <v>34.902556005402893</v>
      </c>
      <c r="M25" s="49">
        <f t="shared" si="36"/>
        <v>37.694760485835126</v>
      </c>
      <c r="N25" s="49">
        <f t="shared" si="36"/>
        <v>40.710341324701936</v>
      </c>
      <c r="O25" s="49">
        <f t="shared" si="36"/>
        <v>43.967168630678096</v>
      </c>
      <c r="P25" s="49">
        <f t="shared" si="36"/>
        <v>47.484542121132343</v>
      </c>
      <c r="Q25" s="49">
        <f t="shared" si="36"/>
        <v>51.28330549082294</v>
      </c>
      <c r="R25" s="49">
        <f t="shared" si="36"/>
        <v>55.385969930088777</v>
      </c>
      <c r="S25" s="49">
        <f t="shared" si="36"/>
        <v>59.816847524495884</v>
      </c>
      <c r="T25" s="49">
        <f t="shared" si="36"/>
        <v>64.602195326455558</v>
      </c>
    </row>
    <row r="26" spans="2:24" s="12" customFormat="1" x14ac:dyDescent="0.2">
      <c r="B26" s="13" t="s">
        <v>41</v>
      </c>
      <c r="C26" s="14"/>
      <c r="D26" s="19">
        <f>+D25/D$8</f>
        <v>4.1192111539395601E-2</v>
      </c>
      <c r="E26" s="19">
        <f>+E25/E$8</f>
        <v>4.0101815953522912E-2</v>
      </c>
      <c r="F26" s="19">
        <f>+F25/F$8</f>
        <v>3.5729578334819136E-2</v>
      </c>
      <c r="G26" s="19">
        <f>+G25/G$8</f>
        <v>3.6908828514745876E-2</v>
      </c>
      <c r="H26" s="1135">
        <f t="shared" ref="H26" si="37">+H25/H$8</f>
        <v>3.6402749027509909E-2</v>
      </c>
      <c r="I26" s="1172">
        <v>3.5000000000000003E-2</v>
      </c>
      <c r="J26" s="59">
        <v>3.5000000000000003E-2</v>
      </c>
      <c r="K26" s="59">
        <v>3.5000000000000003E-2</v>
      </c>
      <c r="L26" s="59">
        <v>3.5000000000000003E-2</v>
      </c>
      <c r="M26" s="59">
        <v>3.5000000000000003E-2</v>
      </c>
      <c r="N26" s="59">
        <v>3.5000000000000003E-2</v>
      </c>
      <c r="O26" s="59">
        <v>3.5000000000000003E-2</v>
      </c>
      <c r="P26" s="59">
        <v>3.5000000000000003E-2</v>
      </c>
      <c r="Q26" s="59">
        <v>3.5000000000000003E-2</v>
      </c>
      <c r="R26" s="59">
        <v>3.5000000000000003E-2</v>
      </c>
      <c r="S26" s="59">
        <v>3.5000000000000003E-2</v>
      </c>
      <c r="T26" s="59">
        <v>3.5000000000000003E-2</v>
      </c>
    </row>
    <row r="27" spans="2:24" x14ac:dyDescent="0.2">
      <c r="F27" s="20"/>
      <c r="G27" s="20"/>
      <c r="H27" s="1138"/>
      <c r="I27" s="1161"/>
      <c r="J27" s="20"/>
      <c r="K27" s="20"/>
      <c r="L27" s="20"/>
      <c r="M27" s="20"/>
      <c r="N27" s="20"/>
      <c r="O27" s="20"/>
      <c r="P27" s="20"/>
      <c r="Q27" s="20"/>
      <c r="R27" s="20"/>
      <c r="S27" s="20"/>
      <c r="T27" s="20"/>
      <c r="W27" s="1">
        <v>20000</v>
      </c>
    </row>
    <row r="28" spans="2:24" ht="11.25" customHeight="1" x14ac:dyDescent="0.2">
      <c r="B28" s="21" t="s">
        <v>42</v>
      </c>
      <c r="D28" s="40">
        <f t="shared" ref="D28:T28" si="38">+D20-D25</f>
        <v>102.712</v>
      </c>
      <c r="E28" s="40">
        <f t="shared" si="38"/>
        <v>120.52799999999999</v>
      </c>
      <c r="F28" s="40">
        <f t="shared" si="38"/>
        <v>191.31399999999999</v>
      </c>
      <c r="G28" s="49">
        <f t="shared" si="38"/>
        <v>211.15700000000004</v>
      </c>
      <c r="H28" s="1134">
        <f t="shared" si="38"/>
        <v>194.488</v>
      </c>
      <c r="I28" s="1157">
        <f t="shared" si="38"/>
        <v>199.19485374491879</v>
      </c>
      <c r="J28" s="49">
        <f t="shared" si="38"/>
        <v>221.99988858330298</v>
      </c>
      <c r="K28" s="49">
        <f t="shared" si="38"/>
        <v>250.38429137037375</v>
      </c>
      <c r="L28" s="49">
        <f t="shared" si="38"/>
        <v>281.03944638041014</v>
      </c>
      <c r="M28" s="49">
        <f t="shared" si="38"/>
        <v>314.14701379124955</v>
      </c>
      <c r="N28" s="49">
        <f t="shared" si="38"/>
        <v>349.90318659495603</v>
      </c>
      <c r="O28" s="49">
        <f t="shared" si="38"/>
        <v>388.519853222959</v>
      </c>
      <c r="P28" s="49">
        <f t="shared" si="38"/>
        <v>430.2258531812023</v>
      </c>
      <c r="Q28" s="49">
        <f t="shared" si="38"/>
        <v>475.26833313610507</v>
      </c>
      <c r="R28" s="49">
        <f t="shared" si="38"/>
        <v>523.91421148740005</v>
      </c>
      <c r="S28" s="49">
        <f t="shared" si="38"/>
        <v>576.45176010679859</v>
      </c>
      <c r="T28" s="49">
        <f t="shared" si="38"/>
        <v>633.19231261574907</v>
      </c>
    </row>
    <row r="29" spans="2:24" s="12" customFormat="1" ht="11.25" customHeight="1" x14ac:dyDescent="0.2">
      <c r="B29" s="13" t="s">
        <v>29</v>
      </c>
      <c r="C29" s="14"/>
      <c r="D29" s="15"/>
      <c r="E29" s="15">
        <f t="shared" ref="E29:T29" si="39">IF(OR(E28&lt;0, D28&lt;0), "NM", E28/D28-1)</f>
        <v>0.17345587662590534</v>
      </c>
      <c r="F29" s="15">
        <f t="shared" si="39"/>
        <v>0.58729921677950347</v>
      </c>
      <c r="G29" s="15">
        <f t="shared" si="39"/>
        <v>0.10371953960504743</v>
      </c>
      <c r="H29" s="1133">
        <f t="shared" si="39"/>
        <v>-7.8941261715216759E-2</v>
      </c>
      <c r="I29" s="1155">
        <f t="shared" si="39"/>
        <v>2.4201255321247617E-2</v>
      </c>
      <c r="J29" s="15">
        <f t="shared" si="39"/>
        <v>0.11448606432165875</v>
      </c>
      <c r="K29" s="15">
        <f t="shared" si="39"/>
        <v>0.12785773438088843</v>
      </c>
      <c r="L29" s="15">
        <f t="shared" si="39"/>
        <v>0.12243242114854014</v>
      </c>
      <c r="M29" s="15">
        <f t="shared" si="39"/>
        <v>0.11780398743749854</v>
      </c>
      <c r="N29" s="15">
        <f t="shared" si="39"/>
        <v>0.1138198716969705</v>
      </c>
      <c r="O29" s="15">
        <f t="shared" si="39"/>
        <v>0.11036386094049844</v>
      </c>
      <c r="P29" s="15">
        <f t="shared" si="39"/>
        <v>0.10734586562892989</v>
      </c>
      <c r="Q29" s="15">
        <f t="shared" si="39"/>
        <v>0.10469496340549256</v>
      </c>
      <c r="R29" s="15">
        <f t="shared" si="39"/>
        <v>0.10235455417427097</v>
      </c>
      <c r="S29" s="15">
        <f t="shared" si="39"/>
        <v>0.10027891488234997</v>
      </c>
      <c r="T29" s="15">
        <f t="shared" si="39"/>
        <v>9.8430703895219684E-2</v>
      </c>
    </row>
    <row r="30" spans="2:24" s="12" customFormat="1" x14ac:dyDescent="0.2">
      <c r="B30" s="13" t="s">
        <v>33</v>
      </c>
      <c r="C30" s="14"/>
      <c r="D30" s="19">
        <f t="shared" ref="D30:T30" si="40">+D28/D$8</f>
        <v>0.21319849636857655</v>
      </c>
      <c r="E30" s="19">
        <f t="shared" si="40"/>
        <v>0.23672209194074878</v>
      </c>
      <c r="F30" s="19">
        <f t="shared" si="40"/>
        <v>0.26858815518851031</v>
      </c>
      <c r="G30" s="19">
        <f t="shared" si="40"/>
        <v>0.26068025228913255</v>
      </c>
      <c r="H30" s="1135">
        <f t="shared" si="40"/>
        <v>0.25464510494775194</v>
      </c>
      <c r="I30" s="1158">
        <f t="shared" si="40"/>
        <v>0.24899356718114848</v>
      </c>
      <c r="J30" s="19">
        <f t="shared" si="40"/>
        <v>0.25966360315049214</v>
      </c>
      <c r="K30" s="19">
        <f t="shared" si="40"/>
        <v>0.2711700029171224</v>
      </c>
      <c r="L30" s="19">
        <f t="shared" si="40"/>
        <v>0.28182407677511329</v>
      </c>
      <c r="M30" s="19">
        <f t="shared" si="40"/>
        <v>0.29168895997695682</v>
      </c>
      <c r="N30" s="19">
        <f t="shared" si="40"/>
        <v>0.30082311108977483</v>
      </c>
      <c r="O30" s="19">
        <f t="shared" si="40"/>
        <v>0.30928065841645819</v>
      </c>
      <c r="P30" s="19">
        <f t="shared" si="40"/>
        <v>0.31711172075597982</v>
      </c>
      <c r="Q30" s="19">
        <f t="shared" si="40"/>
        <v>0.32436270440368503</v>
      </c>
      <c r="R30" s="19">
        <f t="shared" si="40"/>
        <v>0.33107657815156027</v>
      </c>
      <c r="S30" s="19">
        <f t="shared" si="40"/>
        <v>0.33729312791811134</v>
      </c>
      <c r="T30" s="19">
        <f t="shared" si="40"/>
        <v>0.3430491925167698</v>
      </c>
    </row>
    <row r="31" spans="2:24" x14ac:dyDescent="0.2">
      <c r="F31" s="20"/>
      <c r="G31" s="20"/>
      <c r="H31" s="1138"/>
      <c r="I31" s="1161"/>
      <c r="J31" s="20"/>
      <c r="K31" s="20"/>
      <c r="L31" s="20"/>
      <c r="M31" s="20"/>
      <c r="N31" s="20"/>
      <c r="O31" s="20"/>
      <c r="P31" s="20"/>
      <c r="Q31" s="20"/>
      <c r="R31" s="20"/>
      <c r="S31" s="20"/>
      <c r="T31" s="20"/>
    </row>
    <row r="32" spans="2:24" x14ac:dyDescent="0.2">
      <c r="B32" s="1" t="s">
        <v>43</v>
      </c>
      <c r="D32" s="70">
        <f>+'FA - Historical Financials'!AG103</f>
        <v>14.879</v>
      </c>
      <c r="E32" s="70">
        <f>+'FA - Historical Financials'!AH103</f>
        <v>10.895</v>
      </c>
      <c r="F32" s="70">
        <f>+'FA - Historical Financials'!AI103</f>
        <v>15.949999999999996</v>
      </c>
      <c r="G32" s="70">
        <f>+'FA - Historical Financials'!AJ103</f>
        <v>22.301999999999996</v>
      </c>
      <c r="H32" s="1132">
        <f>+'FA - Historical Financials'!AK103</f>
        <v>26.813999999999993</v>
      </c>
      <c r="I32" s="1157">
        <f>($S$32-$H$32)/11+H32</f>
        <v>29.814258865863255</v>
      </c>
      <c r="J32" s="49">
        <f t="shared" ref="J32:R32" si="41">($S$32-$H$32)/11+I32</f>
        <v>32.814517731726518</v>
      </c>
      <c r="K32" s="49">
        <f t="shared" si="41"/>
        <v>35.814776597589784</v>
      </c>
      <c r="L32" s="49">
        <f t="shared" si="41"/>
        <v>38.81503546345305</v>
      </c>
      <c r="M32" s="49">
        <f t="shared" si="41"/>
        <v>41.815294329316316</v>
      </c>
      <c r="N32" s="49">
        <f t="shared" si="41"/>
        <v>44.815553195179582</v>
      </c>
      <c r="O32" s="49">
        <f t="shared" si="41"/>
        <v>47.815812061042848</v>
      </c>
      <c r="P32" s="49">
        <f t="shared" si="41"/>
        <v>50.816070926906114</v>
      </c>
      <c r="Q32" s="49">
        <f t="shared" si="41"/>
        <v>53.81632979276938</v>
      </c>
      <c r="R32" s="49">
        <f t="shared" si="41"/>
        <v>56.816588658632647</v>
      </c>
      <c r="S32" s="61">
        <f>S25</f>
        <v>59.816847524495884</v>
      </c>
      <c r="T32" s="61">
        <f t="shared" ref="T32" si="42">T25</f>
        <v>64.602195326455558</v>
      </c>
    </row>
    <row r="33" spans="1:20" s="12" customFormat="1" x14ac:dyDescent="0.2">
      <c r="B33" s="13" t="s">
        <v>41</v>
      </c>
      <c r="C33" s="14"/>
      <c r="D33" s="19">
        <f>+D32/D$8</f>
        <v>3.0884224116637299E-2</v>
      </c>
      <c r="E33" s="19">
        <f>+E32/E$8</f>
        <v>2.1398241003704185E-2</v>
      </c>
      <c r="F33" s="19">
        <f>+F32/F$8</f>
        <v>2.239240764009293E-2</v>
      </c>
      <c r="G33" s="19">
        <f>+G32/G$8</f>
        <v>2.7532551544832671E-2</v>
      </c>
      <c r="H33" s="1135">
        <f t="shared" ref="H33:T33" si="43">+H32/H$8</f>
        <v>3.5107841327326209E-2</v>
      </c>
      <c r="I33" s="1158">
        <f t="shared" si="43"/>
        <v>3.7267823582329072E-2</v>
      </c>
      <c r="J33" s="19">
        <f t="shared" si="43"/>
        <v>3.8381712550583161E-2</v>
      </c>
      <c r="K33" s="19">
        <f t="shared" si="43"/>
        <v>3.8787948801781942E-2</v>
      </c>
      <c r="L33" s="19">
        <f t="shared" si="43"/>
        <v>3.8923402658835586E-2</v>
      </c>
      <c r="M33" s="19">
        <f t="shared" si="43"/>
        <v>3.8825961026494278E-2</v>
      </c>
      <c r="N33" s="19">
        <f t="shared" si="43"/>
        <v>3.8529383709183865E-2</v>
      </c>
      <c r="O33" s="19">
        <f t="shared" si="43"/>
        <v>3.806370694902509E-2</v>
      </c>
      <c r="P33" s="19">
        <f t="shared" si="43"/>
        <v>3.7455609825711875E-2</v>
      </c>
      <c r="Q33" s="19">
        <f t="shared" si="43"/>
        <v>3.6728746805994993E-2</v>
      </c>
      <c r="R33" s="19">
        <f t="shared" si="43"/>
        <v>3.5904049447219914E-2</v>
      </c>
      <c r="S33" s="19">
        <f t="shared" si="43"/>
        <v>3.5000000000000003E-2</v>
      </c>
      <c r="T33" s="19">
        <f t="shared" si="43"/>
        <v>3.5000000000000003E-2</v>
      </c>
    </row>
    <row r="34" spans="1:20" x14ac:dyDescent="0.2">
      <c r="F34" s="20"/>
      <c r="G34" s="20"/>
      <c r="H34" s="1138"/>
      <c r="I34" s="1161"/>
      <c r="J34" s="20"/>
      <c r="K34" s="20"/>
      <c r="L34" s="20"/>
      <c r="M34" s="20"/>
      <c r="N34" s="20"/>
      <c r="O34" s="20"/>
      <c r="P34" s="20"/>
      <c r="Q34" s="20"/>
      <c r="R34" s="20"/>
      <c r="S34" s="20"/>
      <c r="T34" s="20"/>
    </row>
    <row r="35" spans="1:20" x14ac:dyDescent="0.2">
      <c r="B35" s="1" t="s">
        <v>44</v>
      </c>
      <c r="D35" s="70">
        <f>+'FA - Historical Financials'!AG105</f>
        <v>51.018999999999998</v>
      </c>
      <c r="E35" s="70">
        <f>+'FA - Historical Financials'!AH105</f>
        <v>51.873000000000005</v>
      </c>
      <c r="F35" s="70">
        <f>+'FA - Historical Financials'!AI105</f>
        <v>24.972000000000001</v>
      </c>
      <c r="G35" s="70">
        <f>+'FA - Historical Financials'!AJ105</f>
        <v>9.1989999999999998</v>
      </c>
      <c r="H35" s="1132">
        <f>+'FA - Historical Financials'!AK105</f>
        <v>33.04</v>
      </c>
      <c r="I35" s="1157">
        <f>+'FA Base'!I35</f>
        <v>36.113999999999997</v>
      </c>
      <c r="J35" s="49">
        <f>+J36*AVERAGE(J60)</f>
        <v>58.130614671125485</v>
      </c>
      <c r="K35" s="49">
        <f t="shared" ref="K35:T35" si="44">+K36*AVERAGE(J60:K60)</f>
        <v>62.217680005206347</v>
      </c>
      <c r="L35" s="49">
        <f t="shared" si="44"/>
        <v>60.834052817412726</v>
      </c>
      <c r="M35" s="49">
        <f t="shared" si="44"/>
        <v>67.460657834295716</v>
      </c>
      <c r="N35" s="49">
        <f t="shared" si="44"/>
        <v>74.60954077990948</v>
      </c>
      <c r="O35" s="49">
        <f t="shared" si="44"/>
        <v>82.368344419217181</v>
      </c>
      <c r="P35" s="49">
        <f t="shared" si="44"/>
        <v>90.784099848818215</v>
      </c>
      <c r="Q35" s="49">
        <f t="shared" si="44"/>
        <v>99.909253076341059</v>
      </c>
      <c r="R35" s="49">
        <f t="shared" si="44"/>
        <v>109.75158086418379</v>
      </c>
      <c r="S35" s="49">
        <f t="shared" si="44"/>
        <v>120.36878723066964</v>
      </c>
      <c r="T35" s="49">
        <f t="shared" si="44"/>
        <v>131.82314058976544</v>
      </c>
    </row>
    <row r="36" spans="1:20" s="12" customFormat="1" outlineLevel="1" x14ac:dyDescent="0.2">
      <c r="B36" s="13" t="s">
        <v>45</v>
      </c>
      <c r="C36" s="14"/>
      <c r="D36" s="16"/>
      <c r="E36" s="16">
        <f>+E35/AVERAGE(D60:E60)</f>
        <v>9.5169950271210418E-2</v>
      </c>
      <c r="F36" s="16">
        <f t="shared" ref="F36:I36" si="45">+F35/AVERAGE(E60:F60)</f>
        <v>5.5960792486571154E-2</v>
      </c>
      <c r="G36" s="16">
        <f t="shared" si="45"/>
        <v>4.3360829601696904E-2</v>
      </c>
      <c r="H36" s="1135">
        <f t="shared" si="45"/>
        <v>0.13015047664066806</v>
      </c>
      <c r="I36" s="1158">
        <f t="shared" si="45"/>
        <v>0.13089506332315567</v>
      </c>
      <c r="J36" s="1262">
        <f>+'FA Base'!J36</f>
        <v>7.6915786993051918E-2</v>
      </c>
      <c r="K36" s="1262">
        <f>+'FA Base'!K36</f>
        <v>7.7584247552084887E-2</v>
      </c>
      <c r="L36" s="1262">
        <f>+'FA Base'!L36</f>
        <v>6.7746558492378733E-2</v>
      </c>
      <c r="M36" s="1262">
        <f>+'FA Base'!M36</f>
        <v>6.734780547421651E-2</v>
      </c>
      <c r="N36" s="1262">
        <f>+'FA Base'!N36</f>
        <v>6.6993519618090761E-2</v>
      </c>
      <c r="O36" s="1262">
        <f>+'FA Base'!O36</f>
        <v>6.6713877943509844E-2</v>
      </c>
      <c r="P36" s="1262">
        <f>+'FA Base'!P36</f>
        <v>6.6494072705300028E-2</v>
      </c>
      <c r="Q36" s="1262">
        <f>+'FA Base'!Q36</f>
        <v>6.632349572845872E-2</v>
      </c>
      <c r="R36" s="1262">
        <f>+'FA Base'!R36</f>
        <v>6.6164127281703733E-2</v>
      </c>
      <c r="S36" s="1262">
        <f>+'FA Base'!S36</f>
        <v>6.6015069551575434E-2</v>
      </c>
      <c r="T36" s="1262">
        <f>+'FA Base'!T36</f>
        <v>6.5875514209633737E-2</v>
      </c>
    </row>
    <row r="37" spans="1:20" x14ac:dyDescent="0.2">
      <c r="D37" s="34"/>
      <c r="E37" s="34"/>
      <c r="F37" s="20"/>
      <c r="G37" s="20"/>
      <c r="H37" s="1138"/>
      <c r="I37" s="1161"/>
      <c r="J37" s="20"/>
      <c r="K37" s="20"/>
      <c r="L37" s="20"/>
      <c r="M37" s="20"/>
      <c r="N37" s="20"/>
      <c r="O37" s="20"/>
      <c r="P37" s="20"/>
      <c r="Q37" s="20"/>
      <c r="R37" s="20"/>
      <c r="S37" s="20"/>
      <c r="T37" s="20"/>
    </row>
    <row r="38" spans="1:20" x14ac:dyDescent="0.2">
      <c r="B38" s="1" t="s">
        <v>46</v>
      </c>
      <c r="D38" s="49">
        <f t="shared" ref="D38:T38" si="46">+MAX((D20-D35-D32)*D39,0)</f>
        <v>14.164750000000003</v>
      </c>
      <c r="E38" s="49">
        <f t="shared" si="46"/>
        <v>19.544499999999999</v>
      </c>
      <c r="F38" s="49">
        <f t="shared" si="46"/>
        <v>43.960499999999996</v>
      </c>
      <c r="G38" s="49">
        <f t="shared" si="46"/>
        <v>52.388250000000006</v>
      </c>
      <c r="H38" s="1134">
        <f t="shared" si="46"/>
        <v>40.609250000000003</v>
      </c>
      <c r="I38" s="1157">
        <f t="shared" si="46"/>
        <v>40.316648719763883</v>
      </c>
      <c r="J38" s="49">
        <f t="shared" si="46"/>
        <v>40.244518092910006</v>
      </c>
      <c r="K38" s="49">
        <f t="shared" si="46"/>
        <v>46.167254063515443</v>
      </c>
      <c r="L38" s="49">
        <f t="shared" si="46"/>
        <v>54.073228526236818</v>
      </c>
      <c r="M38" s="49">
        <f t="shared" si="46"/>
        <v>60.641455528368155</v>
      </c>
      <c r="N38" s="49">
        <f t="shared" si="46"/>
        <v>67.797108486142221</v>
      </c>
      <c r="O38" s="49">
        <f t="shared" si="46"/>
        <v>75.575716343344268</v>
      </c>
      <c r="P38" s="49">
        <f t="shared" si="46"/>
        <v>84.027556131652588</v>
      </c>
      <c r="Q38" s="49">
        <f t="shared" si="46"/>
        <v>93.206513939454396</v>
      </c>
      <c r="R38" s="49">
        <f t="shared" si="46"/>
        <v>103.1830029736681</v>
      </c>
      <c r="S38" s="49">
        <f t="shared" si="46"/>
        <v>114.02074321903223</v>
      </c>
      <c r="T38" s="49">
        <f t="shared" si="46"/>
        <v>125.34229300649591</v>
      </c>
    </row>
    <row r="39" spans="1:20" x14ac:dyDescent="0.2">
      <c r="B39" s="13" t="s">
        <v>47</v>
      </c>
      <c r="C39" s="14"/>
      <c r="D39" s="86">
        <v>0.25</v>
      </c>
      <c r="E39" s="86">
        <f t="shared" ref="E39:T39" si="47">+D39</f>
        <v>0.25</v>
      </c>
      <c r="F39" s="86">
        <f t="shared" si="47"/>
        <v>0.25</v>
      </c>
      <c r="G39" s="86">
        <f t="shared" si="47"/>
        <v>0.25</v>
      </c>
      <c r="H39" s="1139">
        <f t="shared" si="47"/>
        <v>0.25</v>
      </c>
      <c r="I39" s="1162">
        <f t="shared" si="47"/>
        <v>0.25</v>
      </c>
      <c r="J39" s="86">
        <f t="shared" si="47"/>
        <v>0.25</v>
      </c>
      <c r="K39" s="86">
        <f t="shared" si="47"/>
        <v>0.25</v>
      </c>
      <c r="L39" s="86">
        <f t="shared" si="47"/>
        <v>0.25</v>
      </c>
      <c r="M39" s="86">
        <f t="shared" si="47"/>
        <v>0.25</v>
      </c>
      <c r="N39" s="86">
        <f t="shared" si="47"/>
        <v>0.25</v>
      </c>
      <c r="O39" s="86">
        <f t="shared" si="47"/>
        <v>0.25</v>
      </c>
      <c r="P39" s="86">
        <f t="shared" si="47"/>
        <v>0.25</v>
      </c>
      <c r="Q39" s="86">
        <f t="shared" si="47"/>
        <v>0.25</v>
      </c>
      <c r="R39" s="86">
        <f t="shared" si="47"/>
        <v>0.25</v>
      </c>
      <c r="S39" s="86">
        <f t="shared" si="47"/>
        <v>0.25</v>
      </c>
      <c r="T39" s="86">
        <f t="shared" si="47"/>
        <v>0.25</v>
      </c>
    </row>
    <row r="40" spans="1:20" x14ac:dyDescent="0.2">
      <c r="F40" s="20"/>
      <c r="G40" s="20"/>
      <c r="H40" s="1138"/>
      <c r="I40" s="1161"/>
      <c r="J40" s="20"/>
      <c r="K40" s="20"/>
      <c r="L40" s="20"/>
      <c r="M40" s="20"/>
      <c r="N40" s="20"/>
      <c r="O40" s="20"/>
      <c r="P40" s="20"/>
      <c r="Q40" s="20"/>
      <c r="R40" s="20"/>
      <c r="S40" s="20"/>
      <c r="T40" s="20"/>
    </row>
    <row r="41" spans="1:20" x14ac:dyDescent="0.2">
      <c r="B41" s="1" t="s">
        <v>48</v>
      </c>
      <c r="D41" s="40">
        <f t="shared" ref="D41:T41" si="48">+D28-D35-D38</f>
        <v>37.52825</v>
      </c>
      <c r="E41" s="40">
        <f t="shared" si="48"/>
        <v>49.110499999999988</v>
      </c>
      <c r="F41" s="40">
        <f t="shared" si="48"/>
        <v>122.38149999999999</v>
      </c>
      <c r="G41" s="40">
        <f t="shared" si="48"/>
        <v>149.56975000000003</v>
      </c>
      <c r="H41" s="1140">
        <f t="shared" si="48"/>
        <v>120.83875</v>
      </c>
      <c r="I41" s="1163">
        <f t="shared" si="48"/>
        <v>122.76420502515489</v>
      </c>
      <c r="J41" s="40">
        <f t="shared" si="48"/>
        <v>123.62475581926751</v>
      </c>
      <c r="K41" s="40">
        <f t="shared" si="48"/>
        <v>141.99935730165197</v>
      </c>
      <c r="L41" s="40">
        <f t="shared" si="48"/>
        <v>166.1321650367606</v>
      </c>
      <c r="M41" s="40">
        <f t="shared" si="48"/>
        <v>186.04490042858566</v>
      </c>
      <c r="N41" s="40">
        <f t="shared" si="48"/>
        <v>207.49653732890431</v>
      </c>
      <c r="O41" s="40">
        <f t="shared" si="48"/>
        <v>230.57579246039757</v>
      </c>
      <c r="P41" s="40">
        <f t="shared" si="48"/>
        <v>255.41419720073151</v>
      </c>
      <c r="Q41" s="40">
        <f t="shared" si="48"/>
        <v>282.15256612030959</v>
      </c>
      <c r="R41" s="40">
        <f t="shared" si="48"/>
        <v>310.97962764954821</v>
      </c>
      <c r="S41" s="40">
        <f t="shared" si="48"/>
        <v>342.06222965709674</v>
      </c>
      <c r="T41" s="40">
        <f t="shared" si="48"/>
        <v>376.02687901948775</v>
      </c>
    </row>
    <row r="42" spans="1:20" s="12" customFormat="1" x14ac:dyDescent="0.2">
      <c r="B42" s="13" t="s">
        <v>29</v>
      </c>
      <c r="C42" s="14"/>
      <c r="D42" s="15"/>
      <c r="E42" s="15">
        <f t="shared" ref="E42:T42" si="49">IF(OR(E41&lt;0, D41&lt;0), "NM", E41/D41-1)</f>
        <v>0.30862750061620203</v>
      </c>
      <c r="F42" s="15">
        <f t="shared" si="49"/>
        <v>1.4919620040520871</v>
      </c>
      <c r="G42" s="15">
        <f t="shared" si="49"/>
        <v>0.22215980356508158</v>
      </c>
      <c r="H42" s="1133">
        <f t="shared" si="49"/>
        <v>-0.19209098096373112</v>
      </c>
      <c r="I42" s="1155">
        <f t="shared" si="49"/>
        <v>1.5934085921568197E-2</v>
      </c>
      <c r="J42" s="15">
        <f t="shared" si="49"/>
        <v>7.0097859057229872E-3</v>
      </c>
      <c r="K42" s="15">
        <f t="shared" si="49"/>
        <v>0.14863205480662067</v>
      </c>
      <c r="L42" s="15">
        <f t="shared" si="49"/>
        <v>0.169950119449082</v>
      </c>
      <c r="M42" s="15">
        <f t="shared" si="49"/>
        <v>0.11986080713159253</v>
      </c>
      <c r="N42" s="15">
        <f t="shared" si="49"/>
        <v>0.11530354689056899</v>
      </c>
      <c r="O42" s="15">
        <f t="shared" si="49"/>
        <v>0.11122718204646542</v>
      </c>
      <c r="P42" s="15">
        <f t="shared" si="49"/>
        <v>0.10772338446847174</v>
      </c>
      <c r="Q42" s="15">
        <f t="shared" si="49"/>
        <v>0.10468630644898824</v>
      </c>
      <c r="R42" s="15">
        <f t="shared" si="49"/>
        <v>0.10216834787512363</v>
      </c>
      <c r="S42" s="15">
        <f t="shared" si="49"/>
        <v>9.9950605261436509E-2</v>
      </c>
      <c r="T42" s="15">
        <f t="shared" si="49"/>
        <v>9.9293772938447988E-2</v>
      </c>
    </row>
    <row r="43" spans="1:20" x14ac:dyDescent="0.2">
      <c r="D43" s="15"/>
      <c r="E43" s="15"/>
      <c r="F43" s="15"/>
      <c r="G43" s="15"/>
      <c r="H43" s="1133"/>
      <c r="I43" s="1161"/>
      <c r="J43" s="20"/>
      <c r="K43" s="20"/>
      <c r="L43" s="20"/>
      <c r="M43" s="20"/>
      <c r="N43" s="20"/>
      <c r="O43" s="20"/>
      <c r="P43" s="20"/>
      <c r="Q43" s="20"/>
      <c r="R43" s="20"/>
      <c r="S43" s="20"/>
      <c r="T43" s="20"/>
    </row>
    <row r="44" spans="1:20" ht="10.5" hidden="1" outlineLevel="1" x14ac:dyDescent="0.25">
      <c r="B44" s="26" t="s">
        <v>494</v>
      </c>
      <c r="D44" s="15"/>
      <c r="E44" s="15"/>
      <c r="F44" s="15"/>
      <c r="G44" s="15"/>
      <c r="H44" s="1133"/>
      <c r="I44" s="1161"/>
      <c r="J44" s="20"/>
      <c r="K44" s="20"/>
      <c r="L44" s="20"/>
      <c r="M44" s="20"/>
      <c r="N44" s="20"/>
      <c r="O44" s="20"/>
      <c r="P44" s="20"/>
      <c r="Q44" s="20"/>
      <c r="R44" s="20"/>
      <c r="S44" s="20"/>
      <c r="T44" s="20"/>
    </row>
    <row r="45" spans="1:20" hidden="1" outlineLevel="1" x14ac:dyDescent="0.2">
      <c r="B45" s="1" t="str">
        <f>+'FA - Detailed Disclosure'!A259</f>
        <v>Federal</v>
      </c>
      <c r="D45" s="15"/>
      <c r="E45" s="40">
        <f>+'FA - Detailed Disclosure'!AJ259</f>
        <v>197.6</v>
      </c>
      <c r="F45" s="40">
        <f>+'FA - Detailed Disclosure'!AK259</f>
        <v>120.1</v>
      </c>
      <c r="G45" s="40">
        <f>+'FA - Detailed Disclosure'!AL259</f>
        <v>10.97</v>
      </c>
      <c r="H45" s="1140">
        <f>+'FA - Detailed Disclosure'!AN259</f>
        <v>0</v>
      </c>
      <c r="I45" s="1161"/>
      <c r="J45" s="20"/>
      <c r="K45" s="20"/>
      <c r="L45" s="20"/>
      <c r="M45" s="20"/>
      <c r="N45" s="20"/>
      <c r="O45" s="20"/>
      <c r="P45" s="20"/>
      <c r="Q45" s="20"/>
      <c r="R45" s="20"/>
      <c r="S45" s="20"/>
      <c r="T45" s="20"/>
    </row>
    <row r="46" spans="1:20" hidden="1" outlineLevel="1" x14ac:dyDescent="0.2">
      <c r="B46" s="1" t="str">
        <f>+'FA - Detailed Disclosure'!A260</f>
        <v>State</v>
      </c>
      <c r="D46" s="15"/>
      <c r="E46" s="40">
        <f>+'FA - Detailed Disclosure'!AJ260</f>
        <v>166.2</v>
      </c>
      <c r="F46" s="40">
        <f>+'FA - Detailed Disclosure'!AK260</f>
        <v>147.5</v>
      </c>
      <c r="G46" s="40">
        <f>+'FA - Detailed Disclosure'!AL260</f>
        <v>125.989</v>
      </c>
      <c r="H46" s="1140">
        <f>+'FA - Detailed Disclosure'!AN260</f>
        <v>0</v>
      </c>
      <c r="I46" s="1161"/>
      <c r="J46" s="20"/>
      <c r="K46" s="20"/>
      <c r="L46" s="20"/>
      <c r="M46" s="20"/>
      <c r="N46" s="20"/>
      <c r="O46" s="20"/>
      <c r="P46" s="20"/>
      <c r="Q46" s="20"/>
      <c r="R46" s="20"/>
      <c r="S46" s="20"/>
      <c r="T46" s="20"/>
    </row>
    <row r="47" spans="1:20" s="82" customFormat="1" ht="11.5" hidden="1" outlineLevel="1" x14ac:dyDescent="0.35">
      <c r="A47" s="1"/>
      <c r="B47" s="1" t="str">
        <f>+'FA - Detailed Disclosure'!A261</f>
        <v xml:space="preserve">Foreign Income </v>
      </c>
      <c r="D47" s="50"/>
      <c r="E47" s="53">
        <f>+'FA - Detailed Disclosure'!AJ261</f>
        <v>36</v>
      </c>
      <c r="F47" s="53">
        <f>+'FA - Detailed Disclosure'!AK261</f>
        <v>25.1</v>
      </c>
      <c r="G47" s="53">
        <f>+'FA - Detailed Disclosure'!AL261</f>
        <v>24.207000000000001</v>
      </c>
      <c r="H47" s="1150">
        <f>+'FA - Detailed Disclosure'!AN261</f>
        <v>0</v>
      </c>
      <c r="I47" s="1164"/>
      <c r="J47" s="60"/>
      <c r="K47" s="60"/>
      <c r="L47" s="60"/>
      <c r="M47" s="60"/>
      <c r="N47" s="60"/>
      <c r="O47" s="60"/>
      <c r="P47" s="60"/>
      <c r="Q47" s="60"/>
      <c r="R47" s="60"/>
      <c r="S47" s="60"/>
      <c r="T47" s="60"/>
    </row>
    <row r="48" spans="1:20" s="3" customFormat="1" ht="10.5" hidden="1" outlineLevel="1" x14ac:dyDescent="0.25">
      <c r="B48" s="32" t="str">
        <f>+'FA - Detailed Disclosure'!A262</f>
        <v>Total NOLs</v>
      </c>
      <c r="C48" s="32"/>
      <c r="D48" s="619"/>
      <c r="E48" s="51">
        <f>+'FA - Detailed Disclosure'!AJ262</f>
        <v>399.79999999999995</v>
      </c>
      <c r="F48" s="51">
        <f>+'FA - Detailed Disclosure'!AK262</f>
        <v>292.70000000000005</v>
      </c>
      <c r="G48" s="51">
        <f>+'FA - Detailed Disclosure'!AL262</f>
        <v>161.166</v>
      </c>
      <c r="H48" s="1151">
        <f>+'FA - Detailed Disclosure'!AN262</f>
        <v>0</v>
      </c>
      <c r="I48" s="1165"/>
      <c r="J48" s="93"/>
      <c r="K48" s="93"/>
      <c r="L48" s="93"/>
      <c r="M48" s="93"/>
      <c r="N48" s="93"/>
      <c r="O48" s="93"/>
      <c r="P48" s="93"/>
      <c r="Q48" s="93"/>
      <c r="R48" s="93"/>
      <c r="S48" s="93"/>
      <c r="T48" s="93"/>
    </row>
    <row r="49" spans="2:20" hidden="1" outlineLevel="1" x14ac:dyDescent="0.2">
      <c r="D49" s="15"/>
      <c r="E49" s="15"/>
      <c r="F49" s="15"/>
      <c r="G49" s="15"/>
      <c r="H49" s="1133"/>
      <c r="I49" s="1161"/>
      <c r="J49" s="20"/>
      <c r="K49" s="20"/>
      <c r="L49" s="20"/>
      <c r="M49" s="20"/>
      <c r="N49" s="20"/>
      <c r="O49" s="20"/>
      <c r="P49" s="20"/>
      <c r="Q49" s="20"/>
      <c r="R49" s="20"/>
      <c r="S49" s="20"/>
      <c r="T49" s="20"/>
    </row>
    <row r="50" spans="2:20" hidden="1" outlineLevel="1" x14ac:dyDescent="0.2">
      <c r="B50" s="1" t="s">
        <v>771</v>
      </c>
      <c r="D50" s="15"/>
      <c r="E50" s="15"/>
      <c r="F50" s="40">
        <f>+F48-E48</f>
        <v>-107.09999999999991</v>
      </c>
      <c r="G50" s="64">
        <f>+G48-F48</f>
        <v>-131.53400000000005</v>
      </c>
      <c r="H50" s="1144">
        <f t="shared" ref="H50" si="50">+H48-G48</f>
        <v>-161.166</v>
      </c>
      <c r="I50" s="1166"/>
      <c r="J50" s="20"/>
      <c r="K50" s="20"/>
      <c r="L50" s="20"/>
      <c r="M50" s="20"/>
      <c r="N50" s="20"/>
      <c r="O50" s="20"/>
      <c r="P50" s="20"/>
      <c r="Q50" s="20"/>
      <c r="R50" s="20"/>
      <c r="S50" s="20"/>
      <c r="T50" s="20"/>
    </row>
    <row r="51" spans="2:20" hidden="1" outlineLevel="1" x14ac:dyDescent="0.2">
      <c r="B51" s="1" t="s">
        <v>772</v>
      </c>
      <c r="D51" s="15"/>
      <c r="E51" s="15"/>
      <c r="F51" s="40">
        <f>+F53</f>
        <v>33.599499999999992</v>
      </c>
      <c r="G51" s="64">
        <f>+G53</f>
        <v>34.913249999999998</v>
      </c>
      <c r="H51" s="1144">
        <f t="shared" ref="H51" si="51">+H53</f>
        <v>8.9862499999999983</v>
      </c>
      <c r="I51" s="1166"/>
      <c r="J51" s="20"/>
      <c r="K51" s="20"/>
      <c r="L51" s="20"/>
      <c r="M51" s="20"/>
      <c r="N51" s="20"/>
      <c r="O51" s="20"/>
      <c r="P51" s="20"/>
      <c r="Q51" s="20"/>
      <c r="R51" s="20"/>
      <c r="S51" s="20"/>
      <c r="T51" s="20"/>
    </row>
    <row r="52" spans="2:20" hidden="1" outlineLevel="1" x14ac:dyDescent="0.2">
      <c r="D52" s="15"/>
      <c r="E52" s="15"/>
      <c r="F52" s="15"/>
      <c r="G52" s="15"/>
      <c r="H52" s="1133"/>
      <c r="I52" s="1161"/>
      <c r="J52" s="20"/>
      <c r="K52" s="20"/>
      <c r="L52" s="20"/>
      <c r="M52" s="20"/>
      <c r="N52" s="20"/>
      <c r="O52" s="20"/>
      <c r="P52" s="20"/>
      <c r="Q52" s="20"/>
      <c r="R52" s="20"/>
      <c r="S52" s="20"/>
      <c r="T52" s="20"/>
    </row>
    <row r="53" spans="2:20" collapsed="1" x14ac:dyDescent="0.2">
      <c r="B53" s="1" t="s">
        <v>240</v>
      </c>
      <c r="D53" s="70">
        <f>+'FA - Historical Financials'!AG120</f>
        <v>8.9157499999999992</v>
      </c>
      <c r="E53" s="70">
        <f>+'FA - Historical Financials'!AH120</f>
        <v>14.479499999999996</v>
      </c>
      <c r="F53" s="70">
        <f>+'FA - Historical Financials'!AI120</f>
        <v>33.599499999999992</v>
      </c>
      <c r="G53" s="70">
        <f>+'FA - Historical Financials'!AJ120</f>
        <v>34.913249999999998</v>
      </c>
      <c r="H53" s="1132">
        <f>+'FA - Historical Financials'!AK120</f>
        <v>8.9862499999999983</v>
      </c>
      <c r="I53" s="1167">
        <v>0</v>
      </c>
      <c r="J53" s="61">
        <v>0</v>
      </c>
      <c r="K53" s="61">
        <v>0</v>
      </c>
      <c r="L53" s="61">
        <v>0</v>
      </c>
      <c r="M53" s="61">
        <v>0</v>
      </c>
      <c r="N53" s="61">
        <v>0</v>
      </c>
      <c r="O53" s="61">
        <v>0</v>
      </c>
      <c r="P53" s="61">
        <v>0</v>
      </c>
      <c r="Q53" s="61">
        <v>0</v>
      </c>
      <c r="R53" s="61">
        <v>0</v>
      </c>
      <c r="S53" s="61">
        <v>0</v>
      </c>
      <c r="T53" s="61">
        <v>0</v>
      </c>
    </row>
    <row r="54" spans="2:20" x14ac:dyDescent="0.2">
      <c r="B54" s="1" t="s">
        <v>37</v>
      </c>
      <c r="D54" s="70">
        <f>+'FA - Historical Financials'!AG122</f>
        <v>1.216</v>
      </c>
      <c r="E54" s="70">
        <f>+'FA - Historical Financials'!AH122</f>
        <v>5.8520000000000003</v>
      </c>
      <c r="F54" s="70">
        <f>+'FA - Historical Financials'!AI122</f>
        <v>9.5299999999999994</v>
      </c>
      <c r="G54" s="70">
        <f>+'FA - Historical Financials'!AJ122</f>
        <v>7.8559999999999999</v>
      </c>
      <c r="H54" s="1132">
        <f>+'FA - Historical Financials'!AK122</f>
        <v>15.265000000000001</v>
      </c>
      <c r="I54" s="1154">
        <f>+'FA - Historical Financials'!AL122</f>
        <v>14.798999999999999</v>
      </c>
      <c r="J54" s="61">
        <v>0</v>
      </c>
      <c r="K54" s="61">
        <v>0</v>
      </c>
      <c r="L54" s="61">
        <v>0</v>
      </c>
      <c r="M54" s="61">
        <v>0</v>
      </c>
      <c r="N54" s="61">
        <v>0</v>
      </c>
      <c r="O54" s="61">
        <v>0</v>
      </c>
      <c r="P54" s="61">
        <v>0</v>
      </c>
      <c r="Q54" s="61">
        <v>0</v>
      </c>
      <c r="R54" s="61">
        <v>0</v>
      </c>
      <c r="S54" s="61">
        <v>0</v>
      </c>
      <c r="T54" s="61">
        <v>0</v>
      </c>
    </row>
    <row r="55" spans="2:20" ht="11.5" x14ac:dyDescent="0.35">
      <c r="B55" s="1" t="s">
        <v>50</v>
      </c>
      <c r="D55" s="50">
        <f>+D56-D41-D54-D53</f>
        <v>4.0780000000000012</v>
      </c>
      <c r="E55" s="50">
        <f t="shared" ref="E55:H55" si="52">+E56-E41-E54-E53</f>
        <v>-36.224999999999987</v>
      </c>
      <c r="F55" s="50">
        <f t="shared" si="52"/>
        <v>-42.283999999999992</v>
      </c>
      <c r="G55" s="50">
        <f t="shared" si="52"/>
        <v>-8.5680000000000121</v>
      </c>
      <c r="H55" s="1146">
        <f t="shared" si="52"/>
        <v>-8.6949999999999932</v>
      </c>
      <c r="I55" s="1164">
        <v>0</v>
      </c>
      <c r="J55" s="60">
        <f t="shared" ref="J55:T55" si="53">+I55/(I8-H8)*(J8-I8)</f>
        <v>0</v>
      </c>
      <c r="K55" s="60">
        <f t="shared" si="53"/>
        <v>0</v>
      </c>
      <c r="L55" s="60">
        <f t="shared" si="53"/>
        <v>0</v>
      </c>
      <c r="M55" s="60">
        <f t="shared" si="53"/>
        <v>0</v>
      </c>
      <c r="N55" s="60">
        <f t="shared" si="53"/>
        <v>0</v>
      </c>
      <c r="O55" s="60">
        <f t="shared" si="53"/>
        <v>0</v>
      </c>
      <c r="P55" s="60">
        <f t="shared" si="53"/>
        <v>0</v>
      </c>
      <c r="Q55" s="60">
        <f t="shared" si="53"/>
        <v>0</v>
      </c>
      <c r="R55" s="60">
        <f t="shared" si="53"/>
        <v>0</v>
      </c>
      <c r="S55" s="60">
        <f t="shared" si="53"/>
        <v>0</v>
      </c>
      <c r="T55" s="60">
        <f t="shared" si="53"/>
        <v>0</v>
      </c>
    </row>
    <row r="56" spans="2:20" x14ac:dyDescent="0.2">
      <c r="B56" s="22" t="s">
        <v>51</v>
      </c>
      <c r="C56" s="22"/>
      <c r="D56" s="70">
        <f>+'FA - Historical Financials'!AG124</f>
        <v>51.738</v>
      </c>
      <c r="E56" s="70">
        <f>+'FA - Historical Financials'!AH124</f>
        <v>33.216999999999999</v>
      </c>
      <c r="F56" s="70">
        <f>+'FA - Historical Financials'!AI124</f>
        <v>123.22699999999999</v>
      </c>
      <c r="G56" s="70">
        <f>+'FA - Historical Financials'!AJ124</f>
        <v>183.77100000000002</v>
      </c>
      <c r="H56" s="1132">
        <f>+'FA - Historical Financials'!AK124</f>
        <v>136.39500000000001</v>
      </c>
      <c r="I56" s="1166">
        <f t="shared" ref="I56:T56" si="54">I41+I55+I54+I53</f>
        <v>137.5632050251549</v>
      </c>
      <c r="J56" s="64">
        <f t="shared" si="54"/>
        <v>123.62475581926751</v>
      </c>
      <c r="K56" s="64">
        <f t="shared" si="54"/>
        <v>141.99935730165197</v>
      </c>
      <c r="L56" s="64">
        <f t="shared" si="54"/>
        <v>166.1321650367606</v>
      </c>
      <c r="M56" s="64">
        <f t="shared" si="54"/>
        <v>186.04490042858566</v>
      </c>
      <c r="N56" s="64">
        <f t="shared" si="54"/>
        <v>207.49653732890431</v>
      </c>
      <c r="O56" s="64">
        <f t="shared" si="54"/>
        <v>230.57579246039757</v>
      </c>
      <c r="P56" s="64">
        <f t="shared" si="54"/>
        <v>255.41419720073151</v>
      </c>
      <c r="Q56" s="64">
        <f t="shared" si="54"/>
        <v>282.15256612030959</v>
      </c>
      <c r="R56" s="64">
        <f t="shared" si="54"/>
        <v>310.97962764954821</v>
      </c>
      <c r="S56" s="64">
        <f t="shared" si="54"/>
        <v>342.06222965709674</v>
      </c>
      <c r="T56" s="64">
        <f t="shared" si="54"/>
        <v>376.02687901948775</v>
      </c>
    </row>
    <row r="57" spans="2:20" x14ac:dyDescent="0.2">
      <c r="D57" s="15"/>
      <c r="E57" s="15"/>
      <c r="F57" s="20"/>
      <c r="G57" s="693"/>
      <c r="H57" s="1152"/>
      <c r="I57" s="1161"/>
      <c r="J57" s="20"/>
      <c r="K57" s="20"/>
      <c r="L57" s="20"/>
      <c r="M57" s="20"/>
      <c r="N57" s="20"/>
      <c r="O57" s="20"/>
      <c r="P57" s="20"/>
      <c r="Q57" s="15"/>
      <c r="R57" s="15"/>
      <c r="S57" s="15"/>
      <c r="T57" s="15"/>
    </row>
    <row r="58" spans="2:20" x14ac:dyDescent="0.2">
      <c r="B58" s="1" t="s">
        <v>201</v>
      </c>
      <c r="D58" s="70">
        <f>+'FA - Historical Financials'!AG126</f>
        <v>540.83900000000006</v>
      </c>
      <c r="E58" s="70">
        <f>+'FA - Historical Financials'!AH126</f>
        <v>785.30500000000006</v>
      </c>
      <c r="F58" s="70">
        <f>+'FA - Historical Financials'!AI126</f>
        <v>554.84500000000003</v>
      </c>
      <c r="G58" s="70">
        <f>+'FA - Historical Financials'!AJ126</f>
        <v>556.649</v>
      </c>
      <c r="H58" s="1132">
        <f>+'FA - Historical Financials'!AK126</f>
        <v>558.45600000000002</v>
      </c>
      <c r="I58" s="1157">
        <f>+H58</f>
        <v>558.45600000000002</v>
      </c>
      <c r="J58" s="49">
        <f t="shared" ref="J58:T58" si="55">+J60-J59</f>
        <v>855.76961432347605</v>
      </c>
      <c r="K58" s="49">
        <f t="shared" si="55"/>
        <v>948.10441857057367</v>
      </c>
      <c r="L58" s="49">
        <f t="shared" si="55"/>
        <v>1047.8260071574391</v>
      </c>
      <c r="M58" s="49">
        <f t="shared" si="55"/>
        <v>1155.525322831254</v>
      </c>
      <c r="N58" s="49">
        <f t="shared" si="55"/>
        <v>1271.8405837589739</v>
      </c>
      <c r="O58" s="49">
        <f t="shared" si="55"/>
        <v>1397.4610655609113</v>
      </c>
      <c r="P58" s="49">
        <f t="shared" si="55"/>
        <v>1533.1311859070038</v>
      </c>
      <c r="Q58" s="49">
        <f t="shared" si="55"/>
        <v>1679.6549158807841</v>
      </c>
      <c r="R58" s="49">
        <f t="shared" si="55"/>
        <v>1837.9005442524665</v>
      </c>
      <c r="S58" s="49">
        <f t="shared" si="55"/>
        <v>2008.8058228938835</v>
      </c>
      <c r="T58" s="49">
        <f t="shared" si="55"/>
        <v>2193.3835238266138</v>
      </c>
    </row>
    <row r="59" spans="2:20" s="82" customFormat="1" ht="11.5" x14ac:dyDescent="0.35">
      <c r="B59" s="1" t="s">
        <v>208</v>
      </c>
      <c r="D59" s="54">
        <f>+'FA - Historical Financials'!AG127</f>
        <v>-81.945999999999998</v>
      </c>
      <c r="E59" s="54">
        <f>+'FA - Historical Financials'!AH127</f>
        <v>-154.08500000000001</v>
      </c>
      <c r="F59" s="54">
        <f>+'FA - Historical Financials'!AI127</f>
        <v>-293.58299999999997</v>
      </c>
      <c r="G59" s="54">
        <f>+'FA - Historical Financials'!AJ127</f>
        <v>-393.61099999999999</v>
      </c>
      <c r="H59" s="1136">
        <f>+'FA - Historical Financials'!AK127</f>
        <v>-213.774</v>
      </c>
      <c r="I59" s="1164">
        <f>+H59-I56</f>
        <v>-351.3372050251549</v>
      </c>
      <c r="J59" s="50">
        <f>+'FA Base'!J59</f>
        <v>-100</v>
      </c>
      <c r="K59" s="50">
        <f t="shared" ref="K59:T59" si="56">+J59</f>
        <v>-100</v>
      </c>
      <c r="L59" s="50">
        <f t="shared" si="56"/>
        <v>-100</v>
      </c>
      <c r="M59" s="50">
        <f t="shared" si="56"/>
        <v>-100</v>
      </c>
      <c r="N59" s="50">
        <f t="shared" si="56"/>
        <v>-100</v>
      </c>
      <c r="O59" s="50">
        <f t="shared" si="56"/>
        <v>-100</v>
      </c>
      <c r="P59" s="50">
        <f t="shared" si="56"/>
        <v>-100</v>
      </c>
      <c r="Q59" s="50">
        <f t="shared" si="56"/>
        <v>-100</v>
      </c>
      <c r="R59" s="50">
        <f t="shared" si="56"/>
        <v>-100</v>
      </c>
      <c r="S59" s="50">
        <f t="shared" si="56"/>
        <v>-100</v>
      </c>
      <c r="T59" s="50">
        <f t="shared" si="56"/>
        <v>-100</v>
      </c>
    </row>
    <row r="60" spans="2:20" x14ac:dyDescent="0.2">
      <c r="B60" s="22" t="s">
        <v>52</v>
      </c>
      <c r="D60" s="70">
        <f>+'FA - Historical Financials'!AG128</f>
        <v>458.89300000000003</v>
      </c>
      <c r="E60" s="70">
        <f>+'FA - Historical Financials'!AH128</f>
        <v>631.22</v>
      </c>
      <c r="F60" s="70">
        <f>+'FA - Historical Financials'!AI128</f>
        <v>261.26200000000006</v>
      </c>
      <c r="G60" s="70">
        <f>+'FA - Historical Financials'!AJ128</f>
        <v>163.03800000000001</v>
      </c>
      <c r="H60" s="1132">
        <f>+'FA - Historical Financials'!AK128</f>
        <v>344.68200000000002</v>
      </c>
      <c r="I60" s="1157">
        <f>+I59+I58</f>
        <v>207.11879497484512</v>
      </c>
      <c r="J60" s="49">
        <f t="shared" ref="J60:T60" si="57">+J61*J20</f>
        <v>755.76961432347605</v>
      </c>
      <c r="K60" s="49">
        <f t="shared" si="57"/>
        <v>848.10441857057367</v>
      </c>
      <c r="L60" s="49">
        <f t="shared" si="57"/>
        <v>947.82600715743911</v>
      </c>
      <c r="M60" s="49">
        <f t="shared" si="57"/>
        <v>1055.525322831254</v>
      </c>
      <c r="N60" s="49">
        <f t="shared" si="57"/>
        <v>1171.8405837589739</v>
      </c>
      <c r="O60" s="49">
        <f t="shared" si="57"/>
        <v>1297.4610655609113</v>
      </c>
      <c r="P60" s="49">
        <f t="shared" si="57"/>
        <v>1433.1311859070038</v>
      </c>
      <c r="Q60" s="49">
        <f t="shared" si="57"/>
        <v>1579.6549158807841</v>
      </c>
      <c r="R60" s="49">
        <f t="shared" si="57"/>
        <v>1737.9005442524665</v>
      </c>
      <c r="S60" s="49">
        <f t="shared" si="57"/>
        <v>1908.8058228938835</v>
      </c>
      <c r="T60" s="49">
        <f t="shared" si="57"/>
        <v>2093.3835238266138</v>
      </c>
    </row>
    <row r="61" spans="2:20" x14ac:dyDescent="0.2">
      <c r="B61" s="24" t="s">
        <v>53</v>
      </c>
      <c r="C61" s="13"/>
      <c r="D61" s="35">
        <f t="shared" ref="D61:I61" si="58">+IF(OR(D60&lt;0,D20&lt; 0),"NM",D60/D20)</f>
        <v>3.7443230496830049</v>
      </c>
      <c r="E61" s="35">
        <f t="shared" si="58"/>
        <v>4.4784527407659676</v>
      </c>
      <c r="F61" s="35">
        <f t="shared" si="58"/>
        <v>1.2052831651012164</v>
      </c>
      <c r="G61" s="35">
        <f t="shared" si="58"/>
        <v>0.67635467571581465</v>
      </c>
      <c r="H61" s="1147">
        <f t="shared" si="58"/>
        <v>1.550589092675817</v>
      </c>
      <c r="I61" s="1168">
        <f t="shared" si="58"/>
        <v>0.91163506373866243</v>
      </c>
      <c r="J61" s="116">
        <v>3</v>
      </c>
      <c r="K61" s="587">
        <f t="shared" ref="K61:T61" si="59">+J61</f>
        <v>3</v>
      </c>
      <c r="L61" s="587">
        <f t="shared" si="59"/>
        <v>3</v>
      </c>
      <c r="M61" s="587">
        <f t="shared" si="59"/>
        <v>3</v>
      </c>
      <c r="N61" s="587">
        <f t="shared" si="59"/>
        <v>3</v>
      </c>
      <c r="O61" s="587">
        <f t="shared" si="59"/>
        <v>3</v>
      </c>
      <c r="P61" s="587">
        <f t="shared" si="59"/>
        <v>3</v>
      </c>
      <c r="Q61" s="587">
        <f t="shared" si="59"/>
        <v>3</v>
      </c>
      <c r="R61" s="587">
        <f t="shared" si="59"/>
        <v>3</v>
      </c>
      <c r="S61" s="587">
        <f t="shared" si="59"/>
        <v>3</v>
      </c>
      <c r="T61" s="587">
        <f t="shared" si="59"/>
        <v>3</v>
      </c>
    </row>
    <row r="62" spans="2:20" x14ac:dyDescent="0.2">
      <c r="B62" s="13"/>
      <c r="C62" s="13"/>
      <c r="D62" s="35"/>
      <c r="E62" s="35"/>
      <c r="F62" s="39"/>
      <c r="G62" s="39"/>
      <c r="H62" s="1148"/>
      <c r="I62" s="1169"/>
      <c r="J62" s="38"/>
      <c r="K62" s="38"/>
      <c r="L62" s="38"/>
      <c r="M62" s="38"/>
      <c r="N62" s="38"/>
      <c r="O62" s="38"/>
      <c r="P62" s="38"/>
      <c r="Q62" s="38"/>
      <c r="R62" s="38"/>
      <c r="S62" s="38"/>
      <c r="T62" s="38"/>
    </row>
    <row r="63" spans="2:20" x14ac:dyDescent="0.2">
      <c r="B63" s="22" t="s">
        <v>54</v>
      </c>
      <c r="C63" s="22"/>
      <c r="E63" s="37"/>
      <c r="F63" s="37"/>
      <c r="G63" s="37"/>
      <c r="H63" s="1140"/>
      <c r="I63" s="1163">
        <f t="shared" ref="I63:T63" si="60">+I56+(I60-H60)</f>
        <v>0</v>
      </c>
      <c r="J63" s="40">
        <f t="shared" si="60"/>
        <v>672.27557516789841</v>
      </c>
      <c r="K63" s="40">
        <f t="shared" si="60"/>
        <v>234.33416154874959</v>
      </c>
      <c r="L63" s="40">
        <f t="shared" si="60"/>
        <v>265.85375362362606</v>
      </c>
      <c r="M63" s="40">
        <f t="shared" si="60"/>
        <v>293.74421610240057</v>
      </c>
      <c r="N63" s="40">
        <f t="shared" si="60"/>
        <v>323.81179825662423</v>
      </c>
      <c r="O63" s="40">
        <f t="shared" si="60"/>
        <v>356.1962742623349</v>
      </c>
      <c r="P63" s="40">
        <f t="shared" si="60"/>
        <v>391.08431754682402</v>
      </c>
      <c r="Q63" s="40">
        <f t="shared" si="60"/>
        <v>428.67629609408988</v>
      </c>
      <c r="R63" s="40">
        <f t="shared" si="60"/>
        <v>469.22525602123062</v>
      </c>
      <c r="S63" s="40">
        <f t="shared" si="60"/>
        <v>512.96750829851374</v>
      </c>
      <c r="T63" s="40">
        <f t="shared" si="60"/>
        <v>560.60457995221805</v>
      </c>
    </row>
    <row r="64" spans="2:20" s="12" customFormat="1" x14ac:dyDescent="0.2">
      <c r="B64" s="24" t="s">
        <v>55</v>
      </c>
      <c r="C64" s="25"/>
      <c r="E64" s="19"/>
      <c r="F64" s="19"/>
      <c r="G64" s="19"/>
      <c r="H64" s="1135"/>
      <c r="I64" s="1158">
        <f t="shared" ref="I64:T64" si="61">+I63/$D$86</f>
        <v>0</v>
      </c>
      <c r="J64" s="19">
        <f t="shared" si="61"/>
        <v>0.24909022786804566</v>
      </c>
      <c r="K64" s="19">
        <f t="shared" si="61"/>
        <v>8.682503403885776E-2</v>
      </c>
      <c r="L64" s="19">
        <f t="shared" si="61"/>
        <v>9.8503611488704887E-2</v>
      </c>
      <c r="M64" s="19">
        <f t="shared" si="61"/>
        <v>0.10883753095684572</v>
      </c>
      <c r="N64" s="19">
        <f t="shared" si="61"/>
        <v>0.11997811253809128</v>
      </c>
      <c r="O64" s="19">
        <f t="shared" si="61"/>
        <v>0.1319771450860685</v>
      </c>
      <c r="P64" s="19">
        <f t="shared" si="61"/>
        <v>0.14490379447301563</v>
      </c>
      <c r="Q64" s="19">
        <f t="shared" si="61"/>
        <v>0.15883230065146867</v>
      </c>
      <c r="R64" s="19">
        <f t="shared" si="61"/>
        <v>0.17385642177254496</v>
      </c>
      <c r="S64" s="19">
        <f t="shared" si="61"/>
        <v>0.19006371531357361</v>
      </c>
      <c r="T64" s="19">
        <f t="shared" si="61"/>
        <v>0.20771410969273002</v>
      </c>
    </row>
    <row r="65" spans="1:28" x14ac:dyDescent="0.2">
      <c r="H65" s="1141"/>
      <c r="I65" s="1153"/>
    </row>
    <row r="66" spans="1:28" x14ac:dyDescent="0.2">
      <c r="B66" s="22" t="s">
        <v>56</v>
      </c>
      <c r="C66" s="22"/>
      <c r="E66" s="37"/>
      <c r="F66" s="37"/>
      <c r="G66" s="37"/>
      <c r="H66" s="1140"/>
      <c r="I66" s="1163">
        <f t="shared" ref="I66:T66" si="62">+H66+I63</f>
        <v>0</v>
      </c>
      <c r="J66" s="40">
        <f t="shared" si="62"/>
        <v>672.27557516789841</v>
      </c>
      <c r="K66" s="40">
        <f t="shared" si="62"/>
        <v>906.60973671664806</v>
      </c>
      <c r="L66" s="40">
        <f t="shared" si="62"/>
        <v>1172.4634903402741</v>
      </c>
      <c r="M66" s="40">
        <f t="shared" si="62"/>
        <v>1466.2077064426746</v>
      </c>
      <c r="N66" s="40">
        <f t="shared" si="62"/>
        <v>1790.019504699299</v>
      </c>
      <c r="O66" s="40">
        <f t="shared" si="62"/>
        <v>2146.215778961634</v>
      </c>
      <c r="P66" s="40">
        <f t="shared" si="62"/>
        <v>2537.300096508458</v>
      </c>
      <c r="Q66" s="40">
        <f t="shared" si="62"/>
        <v>2965.976392602548</v>
      </c>
      <c r="R66" s="40">
        <f t="shared" si="62"/>
        <v>3435.2016486237785</v>
      </c>
      <c r="S66" s="40">
        <f t="shared" si="62"/>
        <v>3948.1691569222921</v>
      </c>
      <c r="T66" s="40">
        <f t="shared" si="62"/>
        <v>4508.7737368745102</v>
      </c>
    </row>
    <row r="67" spans="1:28" s="12" customFormat="1" x14ac:dyDescent="0.2">
      <c r="B67" s="24" t="s">
        <v>55</v>
      </c>
      <c r="C67" s="25"/>
      <c r="E67" s="19"/>
      <c r="F67" s="19"/>
      <c r="G67" s="19"/>
      <c r="H67" s="1135"/>
      <c r="I67" s="1158">
        <f t="shared" ref="I67:T67" si="63">+I66/$D$86</f>
        <v>0</v>
      </c>
      <c r="J67" s="19">
        <f t="shared" si="63"/>
        <v>0.24909022786804566</v>
      </c>
      <c r="K67" s="19">
        <f t="shared" si="63"/>
        <v>0.33591526190690346</v>
      </c>
      <c r="L67" s="19">
        <f t="shared" si="63"/>
        <v>0.43441887339560836</v>
      </c>
      <c r="M67" s="19">
        <f t="shared" si="63"/>
        <v>0.54325640435245404</v>
      </c>
      <c r="N67" s="19">
        <f t="shared" si="63"/>
        <v>0.66323451689054536</v>
      </c>
      <c r="O67" s="19">
        <f t="shared" si="63"/>
        <v>0.79521166197661397</v>
      </c>
      <c r="P67" s="19">
        <f t="shared" si="63"/>
        <v>0.94011545644962957</v>
      </c>
      <c r="Q67" s="19">
        <f t="shared" si="63"/>
        <v>1.0989477571010982</v>
      </c>
      <c r="R67" s="19">
        <f t="shared" si="63"/>
        <v>1.2728041788736433</v>
      </c>
      <c r="S67" s="19">
        <f t="shared" si="63"/>
        <v>1.4628678941872166</v>
      </c>
      <c r="T67" s="19">
        <f t="shared" si="63"/>
        <v>1.6705820038799468</v>
      </c>
    </row>
    <row r="68" spans="1:28" x14ac:dyDescent="0.2">
      <c r="H68" s="1141"/>
      <c r="I68" s="1153"/>
      <c r="V68" s="55"/>
      <c r="W68" s="55"/>
      <c r="X68" s="55"/>
      <c r="Y68" s="55"/>
      <c r="Z68" s="55"/>
      <c r="AA68" s="55"/>
      <c r="AB68" s="55"/>
    </row>
    <row r="69" spans="1:28" x14ac:dyDescent="0.2">
      <c r="B69" s="1" t="s">
        <v>57</v>
      </c>
      <c r="G69" s="41"/>
      <c r="H69" s="1149"/>
      <c r="I69" s="1170">
        <f>+'FA Base'!I69</f>
        <v>20.084716311273503</v>
      </c>
      <c r="V69" s="55"/>
      <c r="W69" s="55"/>
      <c r="X69" s="55"/>
      <c r="Y69" s="55"/>
      <c r="Z69" s="55"/>
      <c r="AA69" s="55"/>
      <c r="AB69" s="55"/>
    </row>
    <row r="70" spans="1:28" x14ac:dyDescent="0.2">
      <c r="B70" s="1" t="s">
        <v>58</v>
      </c>
      <c r="C70" s="41"/>
      <c r="D70" s="41"/>
      <c r="E70" s="41"/>
      <c r="F70" s="41"/>
      <c r="G70" s="41"/>
      <c r="H70" s="1149"/>
      <c r="I70" s="1170">
        <f>+($D$88+I$60-$D$87-I$66)/I$8</f>
        <v>3.632553398418557</v>
      </c>
      <c r="J70" s="41">
        <f t="shared" ref="J70:T70" si="64">+($D$86+J$60-J$66)/J$8</f>
        <v>3.25447313659441</v>
      </c>
      <c r="K70" s="41">
        <f t="shared" si="64"/>
        <v>2.8596135846542654</v>
      </c>
      <c r="L70" s="41">
        <f t="shared" si="64"/>
        <v>2.4811943688821865</v>
      </c>
      <c r="M70" s="41">
        <f t="shared" si="64"/>
        <v>2.1246574556507873</v>
      </c>
      <c r="N70" s="41">
        <f t="shared" si="64"/>
        <v>1.7888839230758242</v>
      </c>
      <c r="O70" s="41">
        <f t="shared" si="64"/>
        <v>1.4728244819792939</v>
      </c>
      <c r="P70" s="41">
        <f t="shared" si="64"/>
        <v>1.1754651717639453</v>
      </c>
      <c r="Q70" s="41">
        <f t="shared" si="64"/>
        <v>0.89582926074372005</v>
      </c>
      <c r="R70" s="41">
        <f t="shared" si="64"/>
        <v>0.63295449592838637</v>
      </c>
      <c r="S70" s="41">
        <f t="shared" si="64"/>
        <v>0.38592171931414843</v>
      </c>
      <c r="T70" s="41">
        <f t="shared" si="64"/>
        <v>0.15361211526599233</v>
      </c>
      <c r="U70" s="41"/>
      <c r="V70" s="23"/>
      <c r="W70" s="23"/>
      <c r="X70" s="23"/>
      <c r="Y70" s="23"/>
      <c r="Z70" s="23"/>
      <c r="AA70" s="23"/>
      <c r="AB70" s="23"/>
    </row>
    <row r="71" spans="1:28" x14ac:dyDescent="0.2">
      <c r="B71" s="1" t="s">
        <v>59</v>
      </c>
      <c r="C71" s="41"/>
      <c r="D71" s="41"/>
      <c r="E71" s="41"/>
      <c r="F71" s="41"/>
      <c r="G71" s="41"/>
      <c r="H71" s="1149"/>
      <c r="I71" s="1170">
        <f t="shared" ref="I71:T71" si="65">+($D$86+I$60-I$66)/I$20</f>
        <v>12.790970705690288</v>
      </c>
      <c r="J71" s="41">
        <f t="shared" si="65"/>
        <v>11.044706919341742</v>
      </c>
      <c r="K71" s="41">
        <f t="shared" si="65"/>
        <v>9.3399534814269138</v>
      </c>
      <c r="L71" s="41">
        <f t="shared" si="65"/>
        <v>7.8314577419044351</v>
      </c>
      <c r="M71" s="41">
        <f t="shared" si="65"/>
        <v>6.5036095979510637</v>
      </c>
      <c r="N71" s="41">
        <f t="shared" si="65"/>
        <v>5.3268636493502255</v>
      </c>
      <c r="O71" s="41">
        <f t="shared" si="65"/>
        <v>4.2779762556329723</v>
      </c>
      <c r="P71" s="41">
        <f t="shared" si="65"/>
        <v>3.3383301448762768</v>
      </c>
      <c r="Q71" s="41">
        <f t="shared" si="65"/>
        <v>2.4928275799522113</v>
      </c>
      <c r="R71" s="41">
        <f t="shared" si="65"/>
        <v>1.7290221054960127</v>
      </c>
      <c r="S71" s="41">
        <f t="shared" si="65"/>
        <v>1.0366071527353973</v>
      </c>
      <c r="T71" s="41">
        <f t="shared" si="65"/>
        <v>0.40632837817575362</v>
      </c>
      <c r="U71" s="41"/>
      <c r="V71" s="23"/>
      <c r="W71" s="23"/>
      <c r="X71" s="23"/>
      <c r="Y71" s="23"/>
      <c r="Z71" s="23"/>
      <c r="AA71" s="23"/>
      <c r="AB71" s="23"/>
    </row>
    <row r="72" spans="1:28" x14ac:dyDescent="0.2">
      <c r="B72" s="1" t="s">
        <v>60</v>
      </c>
      <c r="C72" s="41"/>
      <c r="D72" s="41"/>
      <c r="E72" s="41"/>
      <c r="F72" s="41"/>
      <c r="G72" s="41"/>
      <c r="H72" s="1149"/>
      <c r="I72" s="1170">
        <f t="shared" ref="I72:T72" si="66">+($D$86+I$60-I$66)/I$28</f>
        <v>14.588944764889414</v>
      </c>
      <c r="J72" s="41">
        <f t="shared" si="66"/>
        <v>12.53342053760314</v>
      </c>
      <c r="K72" s="41">
        <f t="shared" si="66"/>
        <v>10.545464298749328</v>
      </c>
      <c r="L72" s="41">
        <f t="shared" si="66"/>
        <v>8.8040539235478494</v>
      </c>
      <c r="M72" s="41">
        <f t="shared" si="66"/>
        <v>7.2839831024754362</v>
      </c>
      <c r="N72" s="41">
        <f t="shared" si="66"/>
        <v>5.9466306182238986</v>
      </c>
      <c r="O72" s="41">
        <f t="shared" si="66"/>
        <v>4.7620969559502155</v>
      </c>
      <c r="P72" s="41">
        <f t="shared" si="66"/>
        <v>3.7067856368149688</v>
      </c>
      <c r="Q72" s="41">
        <f t="shared" si="66"/>
        <v>2.7618133915569323</v>
      </c>
      <c r="R72" s="41">
        <f t="shared" si="66"/>
        <v>1.9118069283615478</v>
      </c>
      <c r="S72" s="41">
        <f t="shared" si="66"/>
        <v>1.1441730867634019</v>
      </c>
      <c r="T72" s="41">
        <f t="shared" si="66"/>
        <v>0.44778451200838515</v>
      </c>
      <c r="U72" s="41"/>
      <c r="V72" s="23"/>
      <c r="W72" s="23"/>
      <c r="X72" s="23"/>
      <c r="Y72" s="23"/>
      <c r="Z72" s="23"/>
      <c r="AA72" s="23"/>
      <c r="AB72" s="23"/>
    </row>
    <row r="73" spans="1:28" x14ac:dyDescent="0.2">
      <c r="B73" s="1" t="s">
        <v>61</v>
      </c>
      <c r="C73" s="41"/>
      <c r="D73" s="41"/>
      <c r="E73" s="41"/>
      <c r="F73" s="41"/>
      <c r="G73" s="41"/>
      <c r="H73" s="1149"/>
      <c r="I73" s="1170">
        <f t="shared" ref="I73:T73" si="67">+($D$86-I66)/(I20-I32-I35-I38)</f>
        <v>22.314387144955855</v>
      </c>
      <c r="J73" s="41">
        <f t="shared" si="67"/>
        <v>16.786123465837061</v>
      </c>
      <c r="K73" s="41">
        <f t="shared" si="67"/>
        <v>12.940732007276152</v>
      </c>
      <c r="L73" s="41">
        <f t="shared" si="67"/>
        <v>9.4098347433861473</v>
      </c>
      <c r="M73" s="41">
        <f t="shared" si="67"/>
        <v>6.7759819119153537</v>
      </c>
      <c r="N73" s="41">
        <f t="shared" si="67"/>
        <v>4.468747214327399</v>
      </c>
      <c r="O73" s="41">
        <f t="shared" si="67"/>
        <v>2.4377678066474227</v>
      </c>
      <c r="P73" s="41">
        <f t="shared" si="67"/>
        <v>0.64115406378638351</v>
      </c>
      <c r="Q73" s="41">
        <f t="shared" si="67"/>
        <v>-0.95505652825946263</v>
      </c>
      <c r="R73" s="41">
        <f t="shared" si="67"/>
        <v>-2.3785497728783658</v>
      </c>
      <c r="S73" s="41">
        <f t="shared" si="67"/>
        <v>-3.6520993107441546</v>
      </c>
      <c r="T73" s="41">
        <f t="shared" si="67"/>
        <v>-4.8130862821131295</v>
      </c>
      <c r="U73" s="41"/>
      <c r="V73" s="23"/>
      <c r="W73" s="23"/>
      <c r="X73" s="23"/>
      <c r="Y73" s="23"/>
      <c r="Z73" s="23"/>
      <c r="AA73" s="23"/>
      <c r="AB73" s="23"/>
    </row>
    <row r="74" spans="1:28" x14ac:dyDescent="0.2">
      <c r="B74" s="1" t="s">
        <v>62</v>
      </c>
      <c r="D74" s="90">
        <f t="shared" ref="D74:T74" si="68">+($D$86-D66)/D41</f>
        <v>71.917127064544715</v>
      </c>
      <c r="E74" s="90">
        <f t="shared" si="68"/>
        <v>54.956148354425245</v>
      </c>
      <c r="F74" s="90">
        <f t="shared" si="68"/>
        <v>22.053365286093083</v>
      </c>
      <c r="G74" s="90">
        <f t="shared" si="68"/>
        <v>18.044584040288896</v>
      </c>
      <c r="H74" s="1182">
        <f t="shared" si="68"/>
        <v>22.334920907076583</v>
      </c>
      <c r="I74" s="1170">
        <f t="shared" si="68"/>
        <v>21.98461614447778</v>
      </c>
      <c r="J74" s="41">
        <f t="shared" si="68"/>
        <v>16.393547838872571</v>
      </c>
      <c r="K74" s="41">
        <f t="shared" si="68"/>
        <v>12.621988022353543</v>
      </c>
      <c r="L74" s="41">
        <f t="shared" si="68"/>
        <v>9.1882293418734502</v>
      </c>
      <c r="M74" s="41">
        <f t="shared" si="68"/>
        <v>6.6259070497366874</v>
      </c>
      <c r="N74" s="41">
        <f t="shared" si="68"/>
        <v>4.3803353576931761</v>
      </c>
      <c r="O74" s="41">
        <f t="shared" si="68"/>
        <v>2.3970779365023609</v>
      </c>
      <c r="P74" s="41">
        <f t="shared" si="68"/>
        <v>0.6327910860981677</v>
      </c>
      <c r="Q74" s="41">
        <f t="shared" si="68"/>
        <v>-0.94648250949692458</v>
      </c>
      <c r="R74" s="41">
        <f t="shared" si="68"/>
        <v>-2.3676075839074269</v>
      </c>
      <c r="S74" s="41">
        <f t="shared" si="68"/>
        <v>-3.6520993107441546</v>
      </c>
      <c r="T74" s="41">
        <f t="shared" si="68"/>
        <v>-4.8130862821131295</v>
      </c>
      <c r="U74" s="41"/>
      <c r="V74" s="41"/>
      <c r="W74" s="41"/>
      <c r="X74" s="41"/>
      <c r="Y74" s="41"/>
      <c r="Z74" s="41"/>
      <c r="AA74" s="41"/>
      <c r="AB74" s="41"/>
    </row>
    <row r="75" spans="1:28" x14ac:dyDescent="0.2">
      <c r="E75" s="41"/>
      <c r="F75" s="41"/>
      <c r="G75" s="41"/>
      <c r="H75" s="1149"/>
      <c r="I75" s="1170"/>
      <c r="J75" s="41"/>
      <c r="K75" s="41"/>
      <c r="L75" s="41"/>
      <c r="M75" s="41"/>
      <c r="N75" s="41"/>
      <c r="O75" s="41"/>
      <c r="P75" s="41"/>
      <c r="Q75" s="41"/>
      <c r="R75" s="41"/>
      <c r="S75" s="41"/>
      <c r="T75" s="41"/>
    </row>
    <row r="76" spans="1:28" ht="14.5" x14ac:dyDescent="0.35">
      <c r="A76" s="1" t="s">
        <v>26</v>
      </c>
      <c r="B76" s="11" t="s">
        <v>65</v>
      </c>
      <c r="C76" s="3"/>
      <c r="U76"/>
      <c r="V76"/>
      <c r="W76"/>
      <c r="X76"/>
    </row>
    <row r="77" spans="1:28" ht="14.5" x14ac:dyDescent="0.35">
      <c r="U77"/>
      <c r="V77"/>
      <c r="W77"/>
      <c r="X77"/>
    </row>
    <row r="78" spans="1:28" ht="14.5" x14ac:dyDescent="0.35">
      <c r="B78" s="26" t="s">
        <v>66</v>
      </c>
      <c r="C78" s="26"/>
      <c r="U78"/>
      <c r="V78"/>
      <c r="W78"/>
      <c r="X78"/>
    </row>
    <row r="79" spans="1:28" ht="14.5" x14ac:dyDescent="0.35">
      <c r="B79" s="1" t="s">
        <v>67</v>
      </c>
      <c r="S79" s="91">
        <v>15</v>
      </c>
      <c r="U79"/>
      <c r="V79"/>
      <c r="W79"/>
      <c r="X79"/>
    </row>
    <row r="80" spans="1:28" ht="16.5" x14ac:dyDescent="0.55000000000000004">
      <c r="B80" s="22" t="s">
        <v>68</v>
      </c>
      <c r="C80" s="22"/>
      <c r="D80" s="37"/>
      <c r="S80" s="52">
        <f>+T41*S79</f>
        <v>5640.4031852923163</v>
      </c>
      <c r="T80" s="42"/>
      <c r="U80"/>
      <c r="V80"/>
      <c r="W80"/>
      <c r="X80"/>
    </row>
    <row r="81" spans="1:20" x14ac:dyDescent="0.2">
      <c r="B81" s="22" t="s">
        <v>69</v>
      </c>
      <c r="C81" s="22"/>
      <c r="E81" s="37"/>
      <c r="I81" s="40">
        <f>-$D$86+I66</f>
        <v>-2698.9239237600004</v>
      </c>
      <c r="J81" s="40">
        <f>+J63</f>
        <v>672.27557516789841</v>
      </c>
      <c r="K81" s="40">
        <f t="shared" ref="K81:R81" si="69">+K63</f>
        <v>234.33416154874959</v>
      </c>
      <c r="L81" s="40">
        <f t="shared" si="69"/>
        <v>265.85375362362606</v>
      </c>
      <c r="M81" s="40">
        <f t="shared" si="69"/>
        <v>293.74421610240057</v>
      </c>
      <c r="N81" s="40">
        <f t="shared" si="69"/>
        <v>323.81179825662423</v>
      </c>
      <c r="O81" s="40">
        <f t="shared" si="69"/>
        <v>356.1962742623349</v>
      </c>
      <c r="P81" s="40">
        <f t="shared" si="69"/>
        <v>391.08431754682402</v>
      </c>
      <c r="Q81" s="40">
        <f t="shared" si="69"/>
        <v>428.67629609408988</v>
      </c>
      <c r="R81" s="40">
        <f t="shared" si="69"/>
        <v>469.22525602123062</v>
      </c>
      <c r="S81" s="40">
        <f>+S63+S80</f>
        <v>6153.3706935908303</v>
      </c>
      <c r="T81" s="40"/>
    </row>
    <row r="82" spans="1:20" ht="10.5" x14ac:dyDescent="0.25">
      <c r="B82" s="27" t="s">
        <v>70</v>
      </c>
      <c r="C82" s="28"/>
      <c r="D82" s="28"/>
      <c r="E82" s="28"/>
      <c r="F82" s="28"/>
      <c r="G82" s="28"/>
      <c r="H82" s="28"/>
      <c r="I82" s="29">
        <f ca="1">XIRR(I81:S81,I3:S3)</f>
        <v>0.20362489819526675</v>
      </c>
      <c r="T82" s="41"/>
    </row>
    <row r="84" spans="1:20" ht="10.5" x14ac:dyDescent="0.25">
      <c r="B84" s="30" t="s">
        <v>71</v>
      </c>
      <c r="C84" s="31"/>
      <c r="D84" s="43"/>
      <c r="E84" s="44"/>
    </row>
    <row r="85" spans="1:20" ht="10.5" x14ac:dyDescent="0.25">
      <c r="D85" s="45" t="s">
        <v>72</v>
      </c>
      <c r="E85" s="45" t="s">
        <v>73</v>
      </c>
    </row>
    <row r="86" spans="1:20" x14ac:dyDescent="0.2">
      <c r="B86" s="1" t="s">
        <v>74</v>
      </c>
      <c r="D86" s="52">
        <f>+E86*E89</f>
        <v>2698.9239237600004</v>
      </c>
      <c r="E86" s="67">
        <f>+'FA Base'!E87</f>
        <v>18.73</v>
      </c>
    </row>
    <row r="87" spans="1:20" ht="11.5" x14ac:dyDescent="0.35">
      <c r="B87" s="1" t="s">
        <v>52</v>
      </c>
      <c r="D87" s="50">
        <f>+'FA Base'!D88</f>
        <v>252.45200000000006</v>
      </c>
      <c r="E87" s="46">
        <f>+D87/E$89</f>
        <v>1.7519671148835512</v>
      </c>
      <c r="F87" s="982"/>
    </row>
    <row r="88" spans="1:20" ht="10.5" x14ac:dyDescent="0.25">
      <c r="B88" s="32" t="s">
        <v>76</v>
      </c>
      <c r="C88" s="32"/>
      <c r="D88" s="65">
        <f>+D86+D87</f>
        <v>2951.3759237600007</v>
      </c>
      <c r="E88" s="63">
        <f>+D88/E$89</f>
        <v>20.481967114883552</v>
      </c>
    </row>
    <row r="89" spans="1:20" x14ac:dyDescent="0.2">
      <c r="A89" s="1" t="s">
        <v>26</v>
      </c>
      <c r="B89" s="13" t="s">
        <v>77</v>
      </c>
      <c r="C89" s="13"/>
      <c r="D89" s="40"/>
      <c r="E89" s="95">
        <f>+'FA Base'!E90</f>
        <v>144.09631200000001</v>
      </c>
      <c r="F89" s="652"/>
    </row>
    <row r="92" spans="1:20" x14ac:dyDescent="0.2">
      <c r="G92" s="96"/>
      <c r="H92" s="96"/>
      <c r="I92" s="96">
        <f ca="1">+I82</f>
        <v>0.20362489819526675</v>
      </c>
    </row>
    <row r="96" spans="1:20" x14ac:dyDescent="0.2">
      <c r="D96" s="1">
        <f t="shared" ref="D96:K96" si="70">+$E$86/D74</f>
        <v>0.26043865716702036</v>
      </c>
      <c r="E96" s="1">
        <f t="shared" si="70"/>
        <v>0.34081718899231772</v>
      </c>
      <c r="F96" s="1">
        <f t="shared" si="70"/>
        <v>0.84930348529669497</v>
      </c>
      <c r="G96" s="1">
        <f t="shared" si="70"/>
        <v>1.0379845807573478</v>
      </c>
      <c r="H96" s="1">
        <f t="shared" si="70"/>
        <v>0.8385971044144418</v>
      </c>
      <c r="I96" s="1">
        <f t="shared" si="70"/>
        <v>0.8519593827297598</v>
      </c>
      <c r="J96" s="1">
        <f t="shared" si="70"/>
        <v>1.1425226670938922</v>
      </c>
      <c r="K96" s="1">
        <f t="shared" si="70"/>
        <v>1.48391837853349</v>
      </c>
    </row>
  </sheetData>
  <pageMargins left="0.3" right="0.3" top="0.3" bottom="0.3" header="0.3" footer="0.3"/>
  <pageSetup scale="60" fitToHeight="0" orientation="landscape" r:id="rId1"/>
  <headerFooter>
    <oddFooter>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F310-056B-4284-8FBF-B755BD5546F3}">
  <sheetPr>
    <pageSetUpPr fitToPage="1"/>
  </sheetPr>
  <dimension ref="A1:AB96"/>
  <sheetViews>
    <sheetView view="pageBreakPreview" zoomScale="66" zoomScaleNormal="70" zoomScaleSheetLayoutView="66" workbookViewId="0">
      <pane xSplit="2" ySplit="5" topLeftCell="C82" activePane="bottomRight" state="frozen"/>
      <selection pane="topRight" activeCell="C7" sqref="C7"/>
      <selection pane="bottomLeft" activeCell="C7" sqref="C7"/>
      <selection pane="bottomRight" activeCell="B1" sqref="B1"/>
    </sheetView>
  </sheetViews>
  <sheetFormatPr defaultColWidth="9.1796875" defaultRowHeight="10" outlineLevelRow="1" x14ac:dyDescent="0.2"/>
  <cols>
    <col min="1" max="1" width="1.453125" style="1" customWidth="1"/>
    <col min="2" max="2" width="16.81640625" style="1" customWidth="1"/>
    <col min="3" max="3" width="3.453125" style="1" customWidth="1"/>
    <col min="4" max="20" width="11.81640625" style="1" customWidth="1"/>
    <col min="21" max="21" width="14.1796875" style="1" bestFit="1" customWidth="1"/>
    <col min="22" max="22" width="10.453125" style="1" bestFit="1" customWidth="1"/>
    <col min="23" max="16384" width="9.1796875" style="1"/>
  </cols>
  <sheetData>
    <row r="1" spans="1:22" ht="10.5" x14ac:dyDescent="0.25">
      <c r="B1" s="1" t="s">
        <v>766</v>
      </c>
      <c r="G1" s="396"/>
      <c r="H1" s="396"/>
      <c r="I1" s="397" t="s">
        <v>782</v>
      </c>
      <c r="J1" s="396"/>
      <c r="K1" s="396"/>
      <c r="L1" s="396"/>
      <c r="P1" s="2"/>
      <c r="R1" s="2"/>
      <c r="S1" s="2"/>
      <c r="T1" s="2">
        <f t="shared" ref="T1" ca="1" si="0">TODAY()</f>
        <v>45797</v>
      </c>
    </row>
    <row r="2" spans="1:22" ht="10.5" x14ac:dyDescent="0.25">
      <c r="B2" s="3" t="s">
        <v>768</v>
      </c>
      <c r="C2" s="3"/>
    </row>
    <row r="3" spans="1:22" s="4" customFormat="1" x14ac:dyDescent="0.2">
      <c r="B3" s="5" t="s">
        <v>6</v>
      </c>
      <c r="C3" s="5"/>
      <c r="F3" s="56"/>
      <c r="G3" s="6"/>
      <c r="H3" s="6"/>
      <c r="I3" s="6">
        <f ca="1">TODAY()</f>
        <v>45797</v>
      </c>
      <c r="J3" s="6">
        <v>46022</v>
      </c>
      <c r="K3" s="6">
        <f t="shared" ref="K3:S3" si="1">+J3+365.25</f>
        <v>46387.25</v>
      </c>
      <c r="L3" s="6">
        <f t="shared" si="1"/>
        <v>46752.5</v>
      </c>
      <c r="M3" s="6">
        <f t="shared" si="1"/>
        <v>47117.75</v>
      </c>
      <c r="N3" s="6">
        <f t="shared" si="1"/>
        <v>47483</v>
      </c>
      <c r="O3" s="6">
        <f t="shared" si="1"/>
        <v>47848.25</v>
      </c>
      <c r="P3" s="6">
        <f t="shared" si="1"/>
        <v>48213.5</v>
      </c>
      <c r="Q3" s="6">
        <f t="shared" si="1"/>
        <v>48578.75</v>
      </c>
      <c r="R3" s="6">
        <f t="shared" si="1"/>
        <v>48944</v>
      </c>
      <c r="S3" s="6">
        <f t="shared" si="1"/>
        <v>49309.25</v>
      </c>
      <c r="T3" s="6">
        <f t="shared" ref="T3" si="2">+S3+365.25</f>
        <v>49674.5</v>
      </c>
    </row>
    <row r="4" spans="1:22" ht="10.5" x14ac:dyDescent="0.25">
      <c r="D4" s="7" t="s">
        <v>7</v>
      </c>
      <c r="E4" s="8"/>
      <c r="F4" s="8"/>
      <c r="G4" s="8"/>
      <c r="H4" s="8"/>
      <c r="I4" s="8"/>
      <c r="J4" s="8"/>
      <c r="K4" s="8"/>
      <c r="L4" s="8"/>
      <c r="M4" s="8"/>
      <c r="N4" s="8"/>
      <c r="O4" s="8"/>
      <c r="P4" s="8"/>
      <c r="Q4" s="8"/>
      <c r="R4" s="8"/>
      <c r="S4" s="8"/>
      <c r="T4" s="8"/>
    </row>
    <row r="5" spans="1:22" ht="13.5" x14ac:dyDescent="0.55000000000000004">
      <c r="D5" s="9" t="s">
        <v>8</v>
      </c>
      <c r="E5" s="9" t="s">
        <v>9</v>
      </c>
      <c r="F5" s="9" t="s">
        <v>10</v>
      </c>
      <c r="G5" s="9" t="s">
        <v>11</v>
      </c>
      <c r="H5" s="9" t="s">
        <v>12</v>
      </c>
      <c r="I5" s="98" t="s">
        <v>13</v>
      </c>
      <c r="J5" s="9" t="s">
        <v>14</v>
      </c>
      <c r="K5" s="9" t="s">
        <v>15</v>
      </c>
      <c r="L5" s="9" t="s">
        <v>16</v>
      </c>
      <c r="M5" s="9" t="s">
        <v>17</v>
      </c>
      <c r="N5" s="9" t="s">
        <v>18</v>
      </c>
      <c r="O5" s="9" t="s">
        <v>19</v>
      </c>
      <c r="P5" s="9" t="s">
        <v>20</v>
      </c>
      <c r="Q5" s="9" t="s">
        <v>21</v>
      </c>
      <c r="R5" s="9" t="s">
        <v>22</v>
      </c>
      <c r="S5" s="9" t="s">
        <v>23</v>
      </c>
      <c r="T5" s="9" t="s">
        <v>24</v>
      </c>
    </row>
    <row r="6" spans="1:22" ht="10.5" x14ac:dyDescent="0.25">
      <c r="A6" s="1" t="s">
        <v>26</v>
      </c>
      <c r="B6" s="11" t="s">
        <v>27</v>
      </c>
      <c r="C6" s="3"/>
      <c r="H6" s="1131"/>
      <c r="I6" s="1153"/>
    </row>
    <row r="7" spans="1:22" x14ac:dyDescent="0.2">
      <c r="G7" s="692"/>
      <c r="H7" s="1131"/>
      <c r="I7" s="1153"/>
      <c r="M7" s="88"/>
      <c r="U7" s="57"/>
    </row>
    <row r="8" spans="1:22" x14ac:dyDescent="0.2">
      <c r="B8" s="1" t="s">
        <v>28</v>
      </c>
      <c r="D8" s="70">
        <f>+'FA - Historical Financials'!AG12</f>
        <v>481.76699999999994</v>
      </c>
      <c r="E8" s="70">
        <f>+'FA - Historical Financials'!AH12</f>
        <v>509.15399999999994</v>
      </c>
      <c r="F8" s="70">
        <f>+'FA - Historical Financials'!AI12</f>
        <v>712.29500000000007</v>
      </c>
      <c r="G8" s="70">
        <f>+'FA - Historical Financials'!AJ12</f>
        <v>810.02300000000002</v>
      </c>
      <c r="H8" s="1132">
        <f>+'FA - Historical Financials'!AK12</f>
        <v>763.76100000000008</v>
      </c>
      <c r="I8" s="1167">
        <v>720</v>
      </c>
      <c r="J8" s="49">
        <f t="shared" ref="J8:R8" si="3">+I8*(1+J9)</f>
        <v>763.2</v>
      </c>
      <c r="K8" s="49">
        <f t="shared" si="3"/>
        <v>808.99200000000008</v>
      </c>
      <c r="L8" s="49">
        <f t="shared" ref="L8" si="4">+K8*(1+L9)</f>
        <v>857.53152000000011</v>
      </c>
      <c r="M8" s="49">
        <f>+L8*(1+M9)</f>
        <v>908.98341120000021</v>
      </c>
      <c r="N8" s="49">
        <f t="shared" si="3"/>
        <v>963.52241587200024</v>
      </c>
      <c r="O8" s="49">
        <f t="shared" si="3"/>
        <v>1021.3337608243203</v>
      </c>
      <c r="P8" s="49">
        <f t="shared" si="3"/>
        <v>1082.6137864737796</v>
      </c>
      <c r="Q8" s="49">
        <f t="shared" si="3"/>
        <v>1147.5706136622064</v>
      </c>
      <c r="R8" s="49">
        <f t="shared" si="3"/>
        <v>1216.4248504819388</v>
      </c>
      <c r="S8" s="49">
        <f t="shared" ref="S8" si="5">+R8*(1+S9)</f>
        <v>1289.4103415108552</v>
      </c>
      <c r="T8" s="49">
        <f t="shared" ref="T8" si="6">+S8*(1+T9)</f>
        <v>1366.7749620015065</v>
      </c>
      <c r="U8" s="57"/>
    </row>
    <row r="9" spans="1:22" s="12" customFormat="1" x14ac:dyDescent="0.2">
      <c r="B9" s="13" t="s">
        <v>29</v>
      </c>
      <c r="C9" s="14"/>
      <c r="D9" s="15">
        <f>+'FA - Historical Financials'!AG13</f>
        <v>7.8E-2</v>
      </c>
      <c r="E9" s="15">
        <f>IFERROR(IF(OR(E8&lt;0, D8&lt;0), "NM", E8/D8-1),"N/A")</f>
        <v>5.684698204733829E-2</v>
      </c>
      <c r="F9" s="15">
        <f>IFERROR(IF(OR(F8&lt;0, E8&lt;0), "NM", F8/E8-1),"N/A")</f>
        <v>0.39897751957168204</v>
      </c>
      <c r="G9" s="15">
        <f>IFERROR(IF(OR(G8&lt;0, F8&lt;0), "NM", G8/F8-1),"N/A")</f>
        <v>0.13720158080570544</v>
      </c>
      <c r="H9" s="1133">
        <f t="shared" ref="H9:I9" si="7">IFERROR(IF(OR(H8&lt;0, G8&lt;0), "NM", H8/G8-1),"N/A")</f>
        <v>-5.7111958549325048E-2</v>
      </c>
      <c r="I9" s="1160">
        <f t="shared" si="7"/>
        <v>-5.7296719785377981E-2</v>
      </c>
      <c r="J9" s="59">
        <v>0.06</v>
      </c>
      <c r="K9" s="59">
        <f>+J9</f>
        <v>0.06</v>
      </c>
      <c r="L9" s="59">
        <f t="shared" ref="L9:T9" si="8">+K9</f>
        <v>0.06</v>
      </c>
      <c r="M9" s="59">
        <f t="shared" si="8"/>
        <v>0.06</v>
      </c>
      <c r="N9" s="59">
        <f t="shared" si="8"/>
        <v>0.06</v>
      </c>
      <c r="O9" s="59">
        <f t="shared" si="8"/>
        <v>0.06</v>
      </c>
      <c r="P9" s="59">
        <f t="shared" si="8"/>
        <v>0.06</v>
      </c>
      <c r="Q9" s="59">
        <f t="shared" si="8"/>
        <v>0.06</v>
      </c>
      <c r="R9" s="59">
        <f t="shared" si="8"/>
        <v>0.06</v>
      </c>
      <c r="S9" s="59">
        <f t="shared" si="8"/>
        <v>0.06</v>
      </c>
      <c r="T9" s="59">
        <f t="shared" si="8"/>
        <v>0.06</v>
      </c>
      <c r="V9" s="1"/>
    </row>
    <row r="10" spans="1:22" s="12" customFormat="1" x14ac:dyDescent="0.2">
      <c r="B10" s="13" t="s">
        <v>30</v>
      </c>
      <c r="C10" s="14"/>
      <c r="D10" s="15">
        <f>+'FA - Historical Financials'!AG29</f>
        <v>8.2981677786642408E-2</v>
      </c>
      <c r="E10" s="15">
        <f>+'FA - Historical Financials'!AH29</f>
        <v>5.6178009511735218E-2</v>
      </c>
      <c r="F10" s="15">
        <f>+'FA - Historical Financials'!AI29</f>
        <v>0.35038711273995687</v>
      </c>
      <c r="G10" s="15">
        <f>+'FA - Historical Financials'!AJ29</f>
        <v>9.9651127692880204E-2</v>
      </c>
      <c r="H10" s="1133">
        <f>+'FA - Historical Financials'!AK29</f>
        <v>-5.8039743669590776E-2</v>
      </c>
      <c r="I10" s="1160">
        <f>+I9-0.851*10/H8</f>
        <v>-6.8438948833470251E-2</v>
      </c>
      <c r="J10" s="59">
        <f>+J9-(Upside!J10-Upside!J9)</f>
        <v>6.282939559674916E-2</v>
      </c>
      <c r="K10" s="15">
        <f t="shared" ref="K10:S10" si="9">+K9</f>
        <v>0.06</v>
      </c>
      <c r="L10" s="15">
        <f t="shared" si="9"/>
        <v>0.06</v>
      </c>
      <c r="M10" s="15">
        <f t="shared" si="9"/>
        <v>0.06</v>
      </c>
      <c r="N10" s="15">
        <f t="shared" si="9"/>
        <v>0.06</v>
      </c>
      <c r="O10" s="15">
        <f t="shared" si="9"/>
        <v>0.06</v>
      </c>
      <c r="P10" s="15">
        <f t="shared" si="9"/>
        <v>0.06</v>
      </c>
      <c r="Q10" s="15">
        <f t="shared" si="9"/>
        <v>0.06</v>
      </c>
      <c r="R10" s="15">
        <f t="shared" si="9"/>
        <v>0.06</v>
      </c>
      <c r="S10" s="15">
        <f t="shared" si="9"/>
        <v>0.06</v>
      </c>
      <c r="T10" s="15">
        <f t="shared" ref="T10" si="10">+T9</f>
        <v>0.06</v>
      </c>
      <c r="V10" s="1"/>
    </row>
    <row r="11" spans="1:22" s="12" customFormat="1" x14ac:dyDescent="0.2">
      <c r="B11" s="13"/>
      <c r="C11" s="14"/>
      <c r="D11" s="33"/>
      <c r="E11" s="33"/>
      <c r="F11" s="16"/>
      <c r="G11" s="16"/>
      <c r="H11" s="1131"/>
      <c r="I11" s="1156" t="s">
        <v>31</v>
      </c>
      <c r="J11" s="16"/>
      <c r="K11" s="16"/>
      <c r="L11" s="16"/>
      <c r="M11" s="16"/>
      <c r="N11" s="16"/>
      <c r="O11" s="16"/>
      <c r="P11" s="16"/>
      <c r="Q11" s="16"/>
      <c r="R11" s="16"/>
      <c r="S11" s="16"/>
      <c r="T11" s="16"/>
    </row>
    <row r="12" spans="1:22" s="12" customFormat="1" x14ac:dyDescent="0.2">
      <c r="B12" s="13"/>
      <c r="C12" s="14"/>
      <c r="D12" s="33"/>
      <c r="E12" s="33"/>
      <c r="F12" s="16"/>
      <c r="G12" s="16"/>
      <c r="H12" s="1131"/>
      <c r="I12" s="1156"/>
      <c r="J12" s="16"/>
      <c r="K12" s="16"/>
      <c r="L12" s="16"/>
      <c r="M12" s="16"/>
      <c r="N12" s="16"/>
      <c r="O12" s="16"/>
      <c r="P12" s="16"/>
      <c r="Q12" s="16"/>
      <c r="R12" s="16"/>
      <c r="S12" s="16"/>
      <c r="T12" s="16"/>
    </row>
    <row r="13" spans="1:22" s="12" customFormat="1" x14ac:dyDescent="0.2">
      <c r="B13" s="13"/>
      <c r="C13" s="14"/>
      <c r="D13" s="33"/>
      <c r="E13" s="33"/>
      <c r="F13" s="16"/>
      <c r="G13" s="16"/>
      <c r="H13" s="1131"/>
      <c r="I13" s="1156"/>
      <c r="J13" s="16"/>
      <c r="K13" s="16"/>
      <c r="L13" s="16"/>
      <c r="M13" s="16"/>
      <c r="N13" s="16"/>
      <c r="O13" s="16"/>
      <c r="P13" s="16"/>
      <c r="Q13" s="16"/>
      <c r="R13" s="16"/>
      <c r="S13" s="16"/>
      <c r="T13" s="16"/>
    </row>
    <row r="14" spans="1:22" s="12" customFormat="1" x14ac:dyDescent="0.2">
      <c r="B14" s="18" t="s">
        <v>233</v>
      </c>
      <c r="C14" s="14"/>
      <c r="D14" s="40">
        <f>+D20+D19</f>
        <v>123.773</v>
      </c>
      <c r="E14" s="40">
        <f t="shared" ref="E14:G14" si="11">+E20+E19</f>
        <v>146.798</v>
      </c>
      <c r="F14" s="40">
        <f t="shared" si="11"/>
        <v>226.29399999999998</v>
      </c>
      <c r="G14" s="49">
        <f t="shared" si="11"/>
        <v>248.91000000000003</v>
      </c>
      <c r="H14" s="1134">
        <f t="shared" ref="H14" si="12">+H20+H19</f>
        <v>237.55599999999998</v>
      </c>
      <c r="I14" s="1157">
        <f t="shared" ref="I14" si="13">+I20+I19</f>
        <v>229.55445486218852</v>
      </c>
      <c r="J14" s="49">
        <f t="shared" ref="J14" si="14">+J20+J19</f>
        <v>243.71445486218852</v>
      </c>
      <c r="K14" s="49">
        <f t="shared" ref="K14" si="15">+K20+K19</f>
        <v>258.72405486218855</v>
      </c>
      <c r="L14" s="49">
        <f t="shared" ref="L14" si="16">+L20+L19</f>
        <v>274.63423086218853</v>
      </c>
      <c r="M14" s="49">
        <f t="shared" ref="M14" si="17">+M20+M19</f>
        <v>291.49901742218862</v>
      </c>
      <c r="N14" s="49">
        <f t="shared" ref="N14" si="18">+N20+N19</f>
        <v>309.37569117578857</v>
      </c>
      <c r="O14" s="49">
        <f t="shared" ref="O14" si="19">+O20+O19</f>
        <v>328.32496535460461</v>
      </c>
      <c r="P14" s="49">
        <f t="shared" ref="P14" si="20">+P20+P19</f>
        <v>348.41119598414957</v>
      </c>
      <c r="Q14" s="49">
        <f t="shared" ref="Q14" si="21">+Q20+Q19</f>
        <v>369.70260045146728</v>
      </c>
      <c r="R14" s="49">
        <f t="shared" ref="R14" si="22">+R20+R19</f>
        <v>392.27148918682406</v>
      </c>
      <c r="S14" s="49">
        <f t="shared" ref="S14:T14" si="23">+S20+S19</f>
        <v>416.19451124630223</v>
      </c>
      <c r="T14" s="49">
        <f t="shared" si="23"/>
        <v>441.55291462934906</v>
      </c>
    </row>
    <row r="15" spans="1:22" s="12" customFormat="1" ht="11.25" customHeight="1" x14ac:dyDescent="0.2">
      <c r="B15" s="13" t="s">
        <v>29</v>
      </c>
      <c r="C15" s="14"/>
      <c r="D15" s="15"/>
      <c r="E15" s="15">
        <f t="shared" ref="E15:S15" si="24">IF(OR(E14&lt;0, D14&lt;0), "NM", E14/D14-1)</f>
        <v>0.18602603152545383</v>
      </c>
      <c r="F15" s="15">
        <f t="shared" si="24"/>
        <v>0.54153326339595886</v>
      </c>
      <c r="G15" s="15">
        <f t="shared" si="24"/>
        <v>9.9940784996509269E-2</v>
      </c>
      <c r="H15" s="1133">
        <f t="shared" ref="H15" si="25">IF(OR(H14&lt;0, G14&lt;0), "NM", H14/G14-1)</f>
        <v>-4.5614880880639808E-2</v>
      </c>
      <c r="I15" s="1155">
        <f t="shared" si="24"/>
        <v>-3.3682774326101894E-2</v>
      </c>
      <c r="J15" s="15">
        <f t="shared" si="24"/>
        <v>6.1684710098529161E-2</v>
      </c>
      <c r="K15" s="15">
        <f t="shared" si="24"/>
        <v>6.1586827127210864E-2</v>
      </c>
      <c r="L15" s="15">
        <f t="shared" si="24"/>
        <v>6.1494769044473596E-2</v>
      </c>
      <c r="M15" s="15">
        <f t="shared" si="24"/>
        <v>6.1408173726394732E-2</v>
      </c>
      <c r="N15" s="15">
        <f t="shared" si="24"/>
        <v>6.1326703299684038E-2</v>
      </c>
      <c r="O15" s="15">
        <f t="shared" si="24"/>
        <v>6.1250042324912268E-2</v>
      </c>
      <c r="P15" s="15">
        <f t="shared" si="24"/>
        <v>6.1177896136685783E-2</v>
      </c>
      <c r="Q15" s="15">
        <f t="shared" si="24"/>
        <v>6.1109989325045522E-2</v>
      </c>
      <c r="R15" s="15">
        <f t="shared" si="24"/>
        <v>6.1046064344141726E-2</v>
      </c>
      <c r="S15" s="15">
        <f t="shared" si="24"/>
        <v>6.0985880235829626E-2</v>
      </c>
      <c r="T15" s="15">
        <f t="shared" ref="T15" si="26">IF(OR(T14&lt;0, S14&lt;0), "NM", T14/S14-1)</f>
        <v>6.0929211457187771E-2</v>
      </c>
    </row>
    <row r="16" spans="1:22" s="12" customFormat="1" x14ac:dyDescent="0.2">
      <c r="B16" s="13" t="s">
        <v>33</v>
      </c>
      <c r="C16" s="14"/>
      <c r="D16" s="19">
        <f t="shared" ref="D16:S16" si="27">+D14/D$8</f>
        <v>0.25691464961277966</v>
      </c>
      <c r="E16" s="19">
        <f t="shared" si="27"/>
        <v>0.28831748351186481</v>
      </c>
      <c r="F16" s="19">
        <f t="shared" si="27"/>
        <v>0.31769702159919688</v>
      </c>
      <c r="G16" s="19">
        <f t="shared" si="27"/>
        <v>0.30728757084675373</v>
      </c>
      <c r="H16" s="1135">
        <f t="shared" ref="H16" si="28">+H14/H$8</f>
        <v>0.31103447282592322</v>
      </c>
      <c r="I16" s="1158">
        <f t="shared" si="27"/>
        <v>0.31882563175303963</v>
      </c>
      <c r="J16" s="19">
        <f t="shared" si="27"/>
        <v>0.3193323569997229</v>
      </c>
      <c r="K16" s="19">
        <f t="shared" si="27"/>
        <v>0.31981039968527319</v>
      </c>
      <c r="L16" s="19">
        <f t="shared" si="27"/>
        <v>0.32026138335088661</v>
      </c>
      <c r="M16" s="19">
        <f t="shared" si="27"/>
        <v>0.32068683963920125</v>
      </c>
      <c r="N16" s="19">
        <f t="shared" si="27"/>
        <v>0.32108821349610178</v>
      </c>
      <c r="O16" s="19">
        <f t="shared" si="27"/>
        <v>0.32146686807808345</v>
      </c>
      <c r="P16" s="19">
        <f t="shared" si="27"/>
        <v>0.32182408938183971</v>
      </c>
      <c r="Q16" s="19">
        <f t="shared" si="27"/>
        <v>0.32216109061179848</v>
      </c>
      <c r="R16" s="19">
        <f t="shared" si="27"/>
        <v>0.32247901630043885</v>
      </c>
      <c r="S16" s="19">
        <f t="shared" si="27"/>
        <v>0.32277894619538261</v>
      </c>
      <c r="T16" s="19">
        <f t="shared" ref="T16" si="29">+T14/T$8</f>
        <v>0.32306189892646159</v>
      </c>
    </row>
    <row r="17" spans="2:24" s="12" customFormat="1" x14ac:dyDescent="0.2">
      <c r="B17" s="13" t="s">
        <v>34</v>
      </c>
      <c r="C17" s="14"/>
      <c r="D17" s="19"/>
      <c r="E17" s="19">
        <f t="shared" ref="E17:S17" si="30">(E14-D14)/(E8-D8)</f>
        <v>0.84072735239347152</v>
      </c>
      <c r="F17" s="19">
        <f t="shared" si="30"/>
        <v>0.39133409799105018</v>
      </c>
      <c r="G17" s="19">
        <f t="shared" si="30"/>
        <v>0.2314178127046502</v>
      </c>
      <c r="H17" s="1135">
        <f t="shared" si="30"/>
        <v>0.24542821322035485</v>
      </c>
      <c r="I17" s="1158">
        <f t="shared" si="30"/>
        <v>0.18284648746169985</v>
      </c>
      <c r="J17" s="19">
        <f t="shared" si="30"/>
        <v>0.32777777777777733</v>
      </c>
      <c r="K17" s="19">
        <f t="shared" si="30"/>
        <v>0.32777777777777833</v>
      </c>
      <c r="L17" s="19">
        <f t="shared" si="30"/>
        <v>0.32777777777777706</v>
      </c>
      <c r="M17" s="19">
        <f t="shared" si="30"/>
        <v>0.32777777777777883</v>
      </c>
      <c r="N17" s="19">
        <f t="shared" si="30"/>
        <v>0.32777777777777684</v>
      </c>
      <c r="O17" s="19">
        <f t="shared" si="30"/>
        <v>0.32777777777777822</v>
      </c>
      <c r="P17" s="19">
        <f t="shared" si="30"/>
        <v>0.32777777777777733</v>
      </c>
      <c r="Q17" s="19">
        <f t="shared" si="30"/>
        <v>0.32777777777777817</v>
      </c>
      <c r="R17" s="19">
        <f t="shared" si="30"/>
        <v>0.32777777777777811</v>
      </c>
      <c r="S17" s="19">
        <f t="shared" si="30"/>
        <v>0.32777777777777811</v>
      </c>
      <c r="T17" s="19">
        <f t="shared" ref="T17" si="31">(T14-S14)/(T8-S8)</f>
        <v>0.327777777777778</v>
      </c>
    </row>
    <row r="18" spans="2:24" s="12" customFormat="1" x14ac:dyDescent="0.2">
      <c r="B18" s="18"/>
      <c r="C18" s="14"/>
      <c r="D18" s="40"/>
      <c r="E18" s="40"/>
      <c r="F18" s="40"/>
      <c r="G18" s="49"/>
      <c r="H18" s="1134"/>
      <c r="I18" s="1157"/>
      <c r="J18" s="49"/>
      <c r="K18" s="49"/>
      <c r="L18" s="49"/>
      <c r="M18" s="49"/>
      <c r="N18" s="49"/>
      <c r="O18" s="49"/>
      <c r="P18" s="49"/>
      <c r="Q18" s="49"/>
      <c r="R18" s="49"/>
      <c r="S18" s="49"/>
      <c r="T18" s="49"/>
    </row>
    <row r="19" spans="2:24" s="1011" customFormat="1" ht="11.5" x14ac:dyDescent="0.35">
      <c r="B19" s="18" t="s">
        <v>37</v>
      </c>
      <c r="C19" s="1012"/>
      <c r="D19" s="54">
        <f>+'FA - Historical Financials'!AG90</f>
        <v>1.216</v>
      </c>
      <c r="E19" s="54">
        <f>+'FA - Historical Financials'!AH90</f>
        <v>5.8519999999999994</v>
      </c>
      <c r="F19" s="54">
        <f>+'FA - Historical Financials'!AI90</f>
        <v>9.5300000000000011</v>
      </c>
      <c r="G19" s="54">
        <f>+'FA - Historical Financials'!AJ90</f>
        <v>7.8559999999999999</v>
      </c>
      <c r="H19" s="1136">
        <f>+'FA - Historical Financials'!AK90</f>
        <v>15.265000000000001</v>
      </c>
      <c r="I19" s="1171">
        <v>20</v>
      </c>
      <c r="J19" s="1015">
        <f t="shared" ref="J19" si="32">+I19/I8*J8</f>
        <v>21.2</v>
      </c>
      <c r="K19" s="1015">
        <f t="shared" ref="K19" si="33">+J19/J8*K8</f>
        <v>22.472000000000001</v>
      </c>
      <c r="L19" s="1015">
        <f t="shared" ref="L19" si="34">+K19/K8*L8</f>
        <v>23.820320000000002</v>
      </c>
      <c r="M19" s="1015">
        <f t="shared" ref="M19" si="35">+L19/L8*M8</f>
        <v>25.249539200000005</v>
      </c>
      <c r="N19" s="1015">
        <f t="shared" ref="N19" si="36">+M19/M8*N8</f>
        <v>26.764511552000005</v>
      </c>
      <c r="O19" s="1015">
        <f t="shared" ref="O19" si="37">+N19/N8*O8</f>
        <v>28.370382245120005</v>
      </c>
      <c r="P19" s="1015">
        <f t="shared" ref="P19" si="38">+O19/O8*P8</f>
        <v>30.072605179827207</v>
      </c>
      <c r="Q19" s="1015">
        <f t="shared" ref="Q19" si="39">+P19/P8*Q8</f>
        <v>31.876961490616843</v>
      </c>
      <c r="R19" s="1015">
        <f t="shared" ref="R19" si="40">+Q19/Q8*R8</f>
        <v>33.789579180053856</v>
      </c>
      <c r="S19" s="1015">
        <f t="shared" ref="S19" si="41">+R19/R8*S8</f>
        <v>35.816953930857089</v>
      </c>
      <c r="T19" s="1015">
        <f t="shared" ref="T19" si="42">+S19/S8*T8</f>
        <v>37.965971166708513</v>
      </c>
    </row>
    <row r="20" spans="2:24" s="12" customFormat="1" x14ac:dyDescent="0.2">
      <c r="B20" s="22" t="s">
        <v>188</v>
      </c>
      <c r="C20" s="14"/>
      <c r="D20" s="70">
        <f>+'FA - Historical Financials'!AG91</f>
        <v>122.557</v>
      </c>
      <c r="E20" s="70">
        <f>+'FA - Historical Financials'!AH91</f>
        <v>140.946</v>
      </c>
      <c r="F20" s="70">
        <f>+'FA - Historical Financials'!AI91</f>
        <v>216.76399999999998</v>
      </c>
      <c r="G20" s="70">
        <f>+'FA - Historical Financials'!AJ91</f>
        <v>241.05400000000003</v>
      </c>
      <c r="H20" s="1132">
        <f>+'FA - Historical Financials'!AK91</f>
        <v>222.291</v>
      </c>
      <c r="I20" s="1157">
        <f t="shared" ref="I20" si="43">+I22*I$8</f>
        <v>209.55445486218852</v>
      </c>
      <c r="J20" s="49">
        <f>+I20+(J8-I8)*J23</f>
        <v>222.51445486218853</v>
      </c>
      <c r="K20" s="49">
        <f t="shared" ref="K20:T20" si="44">+J20+(K8-J8)*K23</f>
        <v>236.25205486218854</v>
      </c>
      <c r="L20" s="49">
        <f t="shared" si="44"/>
        <v>250.81391086218855</v>
      </c>
      <c r="M20" s="49">
        <f t="shared" si="44"/>
        <v>266.2494782221886</v>
      </c>
      <c r="N20" s="49">
        <f t="shared" si="44"/>
        <v>282.61117962378859</v>
      </c>
      <c r="O20" s="49">
        <f t="shared" si="44"/>
        <v>299.95458310948459</v>
      </c>
      <c r="P20" s="49">
        <f t="shared" si="44"/>
        <v>318.33859080432239</v>
      </c>
      <c r="Q20" s="49">
        <f t="shared" si="44"/>
        <v>337.82563896085043</v>
      </c>
      <c r="R20" s="49">
        <f t="shared" si="44"/>
        <v>358.48191000677019</v>
      </c>
      <c r="S20" s="49">
        <f t="shared" si="44"/>
        <v>380.37755731544513</v>
      </c>
      <c r="T20" s="49">
        <f t="shared" si="44"/>
        <v>403.58694346264053</v>
      </c>
      <c r="V20" s="33"/>
      <c r="W20" s="33"/>
      <c r="X20" s="33"/>
    </row>
    <row r="21" spans="2:24" s="12" customFormat="1" x14ac:dyDescent="0.2">
      <c r="B21" s="24" t="s">
        <v>29</v>
      </c>
      <c r="C21" s="14"/>
      <c r="D21" s="15"/>
      <c r="E21" s="15">
        <f>IFERROR(IF(OR(E20&lt;0, D20&lt;0), "NM", E20/D20-1),"N/A")</f>
        <v>0.1500444691041718</v>
      </c>
      <c r="F21" s="15">
        <f>IFERROR(IF(OR(F20&lt;0, E20&lt;0), "NM", F20/E20-1),"N/A")</f>
        <v>0.53792232486200375</v>
      </c>
      <c r="G21" s="15">
        <f>IFERROR(IF(OR(G20&lt;0, F20&lt;0), "NM", G20/F20-1),"N/A")</f>
        <v>0.11205735269694261</v>
      </c>
      <c r="H21" s="1133">
        <f t="shared" ref="H21" si="45">IFERROR(IF(OR(H20&lt;0, G20&lt;0), "NM", H20/G20-1),"N/A")</f>
        <v>-7.7837331054452674E-2</v>
      </c>
      <c r="I21" s="1155">
        <f t="shared" ref="I21:J21" si="46">IFERROR(IF(OR(I20&lt;0, H20&lt;0), "NM", I20/H20-1),"N/A")</f>
        <v>-5.7296719785378092E-2</v>
      </c>
      <c r="J21" s="15">
        <f t="shared" si="46"/>
        <v>6.1845499817806404E-2</v>
      </c>
      <c r="K21" s="15">
        <f t="shared" ref="K21" si="47">IFERROR(IF(OR(K20&lt;0, J20&lt;0), "NM", K20/J20-1),"N/A")</f>
        <v>6.173801162045045E-2</v>
      </c>
      <c r="L21" s="15">
        <f t="shared" ref="L21" si="48">IFERROR(IF(OR(L20&lt;0, K20&lt;0), "NM", L20/K20-1),"N/A")</f>
        <v>6.1636949606615143E-2</v>
      </c>
      <c r="M21" s="15">
        <f t="shared" ref="M21" si="49">IFERROR(IF(OR(M20&lt;0, L20&lt;0), "NM", M20/L20-1),"N/A")</f>
        <v>6.1541910920886789E-2</v>
      </c>
      <c r="N21" s="15">
        <f t="shared" ref="N21" si="50">IFERROR(IF(OR(N20&lt;0, M20&lt;0), "NM", N20/M20-1),"N/A")</f>
        <v>6.1452520060700122E-2</v>
      </c>
      <c r="O21" s="15">
        <f t="shared" ref="O21" si="51">IFERROR(IF(OR(O20&lt;0, N20&lt;0), "NM", O20/N20-1),"N/A")</f>
        <v>6.1368426786171382E-2</v>
      </c>
      <c r="P21" s="15">
        <f t="shared" ref="P21" si="52">IFERROR(IF(OR(P20&lt;0, O20&lt;0), "NM", P20/O20-1),"N/A")</f>
        <v>6.128930421485701E-2</v>
      </c>
      <c r="Q21" s="15">
        <f t="shared" ref="Q21" si="53">IFERROR(IF(OR(Q20&lt;0, P20&lt;0), "NM", Q20/P20-1),"N/A")</f>
        <v>6.1214847082446289E-2</v>
      </c>
      <c r="R21" s="15">
        <f t="shared" ref="R21" si="54">IFERROR(IF(OR(R20&lt;0, Q20&lt;0), "NM", R20/Q20-1),"N/A")</f>
        <v>6.1144770152609773E-2</v>
      </c>
      <c r="S21" s="15">
        <f t="shared" ref="S21" si="55">IFERROR(IF(OR(S20&lt;0, R20&lt;0), "NM", S20/R20-1),"N/A")</f>
        <v>6.1078806761159621E-2</v>
      </c>
      <c r="T21" s="15">
        <f t="shared" ref="T21" si="56">IFERROR(IF(OR(T20&lt;0, S20&lt;0), "NM", T20/S20-1),"N/A")</f>
        <v>6.1016707481372112E-2</v>
      </c>
    </row>
    <row r="22" spans="2:24" s="12" customFormat="1" x14ac:dyDescent="0.2">
      <c r="B22" s="24" t="s">
        <v>33</v>
      </c>
      <c r="C22" s="14"/>
      <c r="D22" s="15">
        <f>+IFERROR(D20/D$8,"N/A")</f>
        <v>0.25439060790797213</v>
      </c>
      <c r="E22" s="15">
        <f>+IFERROR(E20/E$8,"N/A")</f>
        <v>0.27682390789427169</v>
      </c>
      <c r="F22" s="15">
        <f>+IFERROR(F20/F$8,"N/A")</f>
        <v>0.30431773352332947</v>
      </c>
      <c r="G22" s="15">
        <f>+IFERROR(G20/G$8,"N/A")</f>
        <v>0.29758908080387841</v>
      </c>
      <c r="H22" s="1133">
        <f t="shared" ref="H22:J22" si="57">+IFERROR(H20/H$8,"N/A")</f>
        <v>0.29104785397526184</v>
      </c>
      <c r="I22" s="1172">
        <f>+H22</f>
        <v>0.29104785397526184</v>
      </c>
      <c r="J22" s="15">
        <f t="shared" si="57"/>
        <v>0.29155457922194511</v>
      </c>
      <c r="K22" s="15">
        <f t="shared" ref="K22:T22" si="58">+IFERROR(K20/K$8,"N/A")</f>
        <v>0.2920326219074954</v>
      </c>
      <c r="L22" s="15">
        <f t="shared" si="58"/>
        <v>0.29248360557310887</v>
      </c>
      <c r="M22" s="15">
        <f t="shared" si="58"/>
        <v>0.29290906186142346</v>
      </c>
      <c r="N22" s="15">
        <f t="shared" si="58"/>
        <v>0.29331043571832399</v>
      </c>
      <c r="O22" s="15">
        <f t="shared" si="58"/>
        <v>0.29368909030030566</v>
      </c>
      <c r="P22" s="15">
        <f t="shared" si="58"/>
        <v>0.29404631160406197</v>
      </c>
      <c r="Q22" s="15">
        <f t="shared" si="58"/>
        <v>0.29438331283402069</v>
      </c>
      <c r="R22" s="15">
        <f t="shared" si="58"/>
        <v>0.29470123852266106</v>
      </c>
      <c r="S22" s="15">
        <f t="shared" si="58"/>
        <v>0.29500116841760482</v>
      </c>
      <c r="T22" s="15">
        <f t="shared" si="58"/>
        <v>0.2952841211486838</v>
      </c>
      <c r="U22" s="59"/>
    </row>
    <row r="23" spans="2:24" s="12" customFormat="1" x14ac:dyDescent="0.2">
      <c r="B23" s="24" t="s">
        <v>39</v>
      </c>
      <c r="C23" s="14"/>
      <c r="D23" s="15"/>
      <c r="E23" s="16">
        <f t="shared" ref="E23:I23" si="59">(E20-D20)/(E8-D8)</f>
        <v>0.67144995800927432</v>
      </c>
      <c r="F23" s="16">
        <f t="shared" si="59"/>
        <v>0.37322844723615584</v>
      </c>
      <c r="G23" s="16">
        <f t="shared" si="59"/>
        <v>0.24854698755730253</v>
      </c>
      <c r="H23" s="1137">
        <f t="shared" si="59"/>
        <v>0.40558125459340399</v>
      </c>
      <c r="I23" s="1160">
        <f t="shared" si="59"/>
        <v>0.29104785397526228</v>
      </c>
      <c r="J23" s="59">
        <v>0.3</v>
      </c>
      <c r="K23" s="59">
        <f>+J23</f>
        <v>0.3</v>
      </c>
      <c r="L23" s="59">
        <f t="shared" ref="L23:T23" si="60">+K23</f>
        <v>0.3</v>
      </c>
      <c r="M23" s="59">
        <f t="shared" si="60"/>
        <v>0.3</v>
      </c>
      <c r="N23" s="59">
        <f t="shared" si="60"/>
        <v>0.3</v>
      </c>
      <c r="O23" s="59">
        <f t="shared" si="60"/>
        <v>0.3</v>
      </c>
      <c r="P23" s="59">
        <f t="shared" si="60"/>
        <v>0.3</v>
      </c>
      <c r="Q23" s="59">
        <f t="shared" si="60"/>
        <v>0.3</v>
      </c>
      <c r="R23" s="59">
        <f t="shared" si="60"/>
        <v>0.3</v>
      </c>
      <c r="S23" s="59">
        <f t="shared" si="60"/>
        <v>0.3</v>
      </c>
      <c r="T23" s="59">
        <f t="shared" si="60"/>
        <v>0.3</v>
      </c>
      <c r="U23" s="59"/>
    </row>
    <row r="24" spans="2:24" x14ac:dyDescent="0.2">
      <c r="F24" s="20"/>
      <c r="G24" s="20"/>
      <c r="H24" s="1138"/>
      <c r="I24" s="1161"/>
      <c r="J24" s="20"/>
      <c r="K24" s="20"/>
      <c r="L24" s="20"/>
      <c r="M24" s="20"/>
      <c r="N24" s="20"/>
      <c r="O24" s="20"/>
      <c r="P24" s="20"/>
      <c r="Q24" s="20"/>
      <c r="R24" s="20"/>
      <c r="S24" s="20"/>
      <c r="T24" s="20"/>
    </row>
    <row r="25" spans="2:24" x14ac:dyDescent="0.2">
      <c r="B25" s="1" t="s">
        <v>40</v>
      </c>
      <c r="D25" s="70">
        <f>+'FA - Historical Financials'!AG96</f>
        <v>19.844999999999999</v>
      </c>
      <c r="E25" s="70">
        <f>+'FA - Historical Financials'!AH96</f>
        <v>20.418000000000003</v>
      </c>
      <c r="F25" s="70">
        <f>+'FA - Historical Financials'!AI96</f>
        <v>25.45</v>
      </c>
      <c r="G25" s="70">
        <f>+'FA - Historical Financials'!AJ96</f>
        <v>29.896999999999998</v>
      </c>
      <c r="H25" s="1132">
        <f>+'FA - Historical Financials'!AK96</f>
        <v>27.802999999999997</v>
      </c>
      <c r="I25" s="1157">
        <f t="shared" ref="I25:R25" si="61">+I26*I$8</f>
        <v>25.200000000000003</v>
      </c>
      <c r="J25" s="49">
        <f t="shared" si="61"/>
        <v>26.712000000000003</v>
      </c>
      <c r="K25" s="49">
        <f t="shared" si="61"/>
        <v>28.314720000000005</v>
      </c>
      <c r="L25" s="49">
        <f t="shared" si="61"/>
        <v>30.013603200000006</v>
      </c>
      <c r="M25" s="49">
        <f t="shared" si="61"/>
        <v>31.814419392000008</v>
      </c>
      <c r="N25" s="49">
        <f t="shared" si="61"/>
        <v>33.72328455552001</v>
      </c>
      <c r="O25" s="49">
        <f t="shared" si="61"/>
        <v>35.746681628851213</v>
      </c>
      <c r="P25" s="49">
        <f t="shared" si="61"/>
        <v>37.891482526582287</v>
      </c>
      <c r="Q25" s="49">
        <f t="shared" si="61"/>
        <v>40.164971478177229</v>
      </c>
      <c r="R25" s="49">
        <f t="shared" si="61"/>
        <v>42.574869766867863</v>
      </c>
      <c r="S25" s="49">
        <f t="shared" ref="S25:T25" si="62">+S26*S$8</f>
        <v>45.12936195287994</v>
      </c>
      <c r="T25" s="49">
        <f t="shared" si="62"/>
        <v>47.837123670052733</v>
      </c>
    </row>
    <row r="26" spans="2:24" s="12" customFormat="1" x14ac:dyDescent="0.2">
      <c r="B26" s="13" t="s">
        <v>41</v>
      </c>
      <c r="C26" s="14"/>
      <c r="D26" s="19">
        <f>+D25/D$8</f>
        <v>4.1192111539395601E-2</v>
      </c>
      <c r="E26" s="19">
        <f>+E25/E$8</f>
        <v>4.0101815953522912E-2</v>
      </c>
      <c r="F26" s="19">
        <f>+F25/F$8</f>
        <v>3.5729578334819136E-2</v>
      </c>
      <c r="G26" s="19">
        <f>+G25/G$8</f>
        <v>3.6908828514745876E-2</v>
      </c>
      <c r="H26" s="1135">
        <f t="shared" ref="H26" si="63">+H25/H$8</f>
        <v>3.6402749027509909E-2</v>
      </c>
      <c r="I26" s="1172">
        <v>3.5000000000000003E-2</v>
      </c>
      <c r="J26" s="59">
        <v>3.5000000000000003E-2</v>
      </c>
      <c r="K26" s="59">
        <v>3.5000000000000003E-2</v>
      </c>
      <c r="L26" s="59">
        <v>3.5000000000000003E-2</v>
      </c>
      <c r="M26" s="59">
        <v>3.5000000000000003E-2</v>
      </c>
      <c r="N26" s="59">
        <v>3.5000000000000003E-2</v>
      </c>
      <c r="O26" s="59">
        <v>3.5000000000000003E-2</v>
      </c>
      <c r="P26" s="59">
        <v>3.5000000000000003E-2</v>
      </c>
      <c r="Q26" s="59">
        <v>3.5000000000000003E-2</v>
      </c>
      <c r="R26" s="59">
        <v>3.5000000000000003E-2</v>
      </c>
      <c r="S26" s="59">
        <v>3.5000000000000003E-2</v>
      </c>
      <c r="T26" s="59">
        <v>3.5000000000000003E-2</v>
      </c>
    </row>
    <row r="27" spans="2:24" x14ac:dyDescent="0.2">
      <c r="F27" s="20"/>
      <c r="G27" s="20"/>
      <c r="H27" s="1138"/>
      <c r="I27" s="1161"/>
      <c r="J27" s="20"/>
      <c r="K27" s="20"/>
      <c r="L27" s="20"/>
      <c r="M27" s="20"/>
      <c r="N27" s="20"/>
      <c r="O27" s="20"/>
      <c r="P27" s="20"/>
      <c r="Q27" s="20"/>
      <c r="R27" s="20"/>
      <c r="S27" s="20"/>
      <c r="T27" s="20"/>
      <c r="W27" s="1">
        <v>20000</v>
      </c>
    </row>
    <row r="28" spans="2:24" ht="11.25" customHeight="1" x14ac:dyDescent="0.2">
      <c r="B28" s="21" t="s">
        <v>42</v>
      </c>
      <c r="D28" s="40">
        <f t="shared" ref="D28:S28" si="64">+D20-D25</f>
        <v>102.712</v>
      </c>
      <c r="E28" s="40">
        <f t="shared" si="64"/>
        <v>120.52799999999999</v>
      </c>
      <c r="F28" s="40">
        <f t="shared" si="64"/>
        <v>191.31399999999999</v>
      </c>
      <c r="G28" s="49">
        <f t="shared" si="64"/>
        <v>211.15700000000004</v>
      </c>
      <c r="H28" s="1134">
        <f t="shared" ref="H28" si="65">+H20-H25</f>
        <v>194.488</v>
      </c>
      <c r="I28" s="1157">
        <f t="shared" si="64"/>
        <v>184.3544548621885</v>
      </c>
      <c r="J28" s="49">
        <f t="shared" si="64"/>
        <v>195.80245486218854</v>
      </c>
      <c r="K28" s="49">
        <f t="shared" si="64"/>
        <v>207.93733486218855</v>
      </c>
      <c r="L28" s="49">
        <f t="shared" si="64"/>
        <v>220.80030766218854</v>
      </c>
      <c r="M28" s="49">
        <f t="shared" si="64"/>
        <v>234.43505883018858</v>
      </c>
      <c r="N28" s="49">
        <f t="shared" si="64"/>
        <v>248.88789506826856</v>
      </c>
      <c r="O28" s="49">
        <f t="shared" si="64"/>
        <v>264.20790148063338</v>
      </c>
      <c r="P28" s="49">
        <f t="shared" si="64"/>
        <v>280.44710827774009</v>
      </c>
      <c r="Q28" s="49">
        <f t="shared" si="64"/>
        <v>297.6606674826732</v>
      </c>
      <c r="R28" s="49">
        <f t="shared" si="64"/>
        <v>315.90704023990236</v>
      </c>
      <c r="S28" s="49">
        <f t="shared" si="64"/>
        <v>335.24819536256518</v>
      </c>
      <c r="T28" s="49">
        <f t="shared" ref="T28" si="66">+T20-T25</f>
        <v>355.7498197925878</v>
      </c>
    </row>
    <row r="29" spans="2:24" s="12" customFormat="1" ht="11.25" customHeight="1" x14ac:dyDescent="0.2">
      <c r="B29" s="13" t="s">
        <v>29</v>
      </c>
      <c r="C29" s="14"/>
      <c r="D29" s="15"/>
      <c r="E29" s="15">
        <f t="shared" ref="E29:S29" si="67">IF(OR(E28&lt;0, D28&lt;0), "NM", E28/D28-1)</f>
        <v>0.17345587662590534</v>
      </c>
      <c r="F29" s="15">
        <f t="shared" si="67"/>
        <v>0.58729921677950347</v>
      </c>
      <c r="G29" s="15">
        <f t="shared" si="67"/>
        <v>0.10371953960504743</v>
      </c>
      <c r="H29" s="1133">
        <f t="shared" ref="H29" si="68">IF(OR(H28&lt;0, G28&lt;0), "NM", H28/G28-1)</f>
        <v>-7.8941261715216759E-2</v>
      </c>
      <c r="I29" s="1155">
        <f t="shared" si="67"/>
        <v>-5.2103703764815767E-2</v>
      </c>
      <c r="J29" s="15">
        <f t="shared" si="67"/>
        <v>6.2097767089804412E-2</v>
      </c>
      <c r="K29" s="15">
        <f t="shared" si="67"/>
        <v>6.1975116749894088E-2</v>
      </c>
      <c r="L29" s="15">
        <f t="shared" si="67"/>
        <v>6.1859852193089759E-2</v>
      </c>
      <c r="M29" s="15">
        <f t="shared" si="67"/>
        <v>6.1751504390385126E-2</v>
      </c>
      <c r="N29" s="15">
        <f t="shared" si="67"/>
        <v>6.1649636834176791E-2</v>
      </c>
      <c r="O29" s="15">
        <f t="shared" si="67"/>
        <v>6.1553842978834483E-2</v>
      </c>
      <c r="P29" s="15">
        <f t="shared" si="67"/>
        <v>6.1463743915686875E-2</v>
      </c>
      <c r="Q29" s="15">
        <f t="shared" si="67"/>
        <v>6.1378986257493162E-2</v>
      </c>
      <c r="R29" s="15">
        <f t="shared" si="67"/>
        <v>6.129924021046973E-2</v>
      </c>
      <c r="S29" s="15">
        <f t="shared" si="67"/>
        <v>6.1224197814569115E-2</v>
      </c>
      <c r="T29" s="15">
        <f t="shared" ref="T29" si="69">IF(OR(T28&lt;0, S28&lt;0), "NM", T28/S28-1)</f>
        <v>6.1153571334964019E-2</v>
      </c>
    </row>
    <row r="30" spans="2:24" s="12" customFormat="1" x14ac:dyDescent="0.2">
      <c r="B30" s="13" t="s">
        <v>33</v>
      </c>
      <c r="C30" s="14"/>
      <c r="D30" s="19">
        <f t="shared" ref="D30:S30" si="70">+D28/D$8</f>
        <v>0.21319849636857655</v>
      </c>
      <c r="E30" s="19">
        <f t="shared" si="70"/>
        <v>0.23672209194074878</v>
      </c>
      <c r="F30" s="19">
        <f t="shared" si="70"/>
        <v>0.26858815518851031</v>
      </c>
      <c r="G30" s="19">
        <f t="shared" si="70"/>
        <v>0.26068025228913255</v>
      </c>
      <c r="H30" s="1135">
        <f t="shared" ref="H30" si="71">+H28/H$8</f>
        <v>0.25464510494775194</v>
      </c>
      <c r="I30" s="1158">
        <f t="shared" si="70"/>
        <v>0.25604785397526181</v>
      </c>
      <c r="J30" s="19">
        <f t="shared" si="70"/>
        <v>0.25655457922194513</v>
      </c>
      <c r="K30" s="19">
        <f t="shared" si="70"/>
        <v>0.25703262190749543</v>
      </c>
      <c r="L30" s="19">
        <f t="shared" si="70"/>
        <v>0.25748360557310884</v>
      </c>
      <c r="M30" s="19">
        <f t="shared" si="70"/>
        <v>0.25790906186142348</v>
      </c>
      <c r="N30" s="19">
        <f t="shared" si="70"/>
        <v>0.25831043571832402</v>
      </c>
      <c r="O30" s="19">
        <f t="shared" si="70"/>
        <v>0.25868909030030568</v>
      </c>
      <c r="P30" s="19">
        <f t="shared" si="70"/>
        <v>0.25904631160406194</v>
      </c>
      <c r="Q30" s="19">
        <f t="shared" si="70"/>
        <v>0.25938331283402072</v>
      </c>
      <c r="R30" s="19">
        <f t="shared" si="70"/>
        <v>0.25970123852266108</v>
      </c>
      <c r="S30" s="19">
        <f t="shared" si="70"/>
        <v>0.26000116841760479</v>
      </c>
      <c r="T30" s="19">
        <f t="shared" ref="T30" si="72">+T28/T$8</f>
        <v>0.26028412114868377</v>
      </c>
    </row>
    <row r="31" spans="2:24" x14ac:dyDescent="0.2">
      <c r="F31" s="20"/>
      <c r="G31" s="20"/>
      <c r="H31" s="1138"/>
      <c r="I31" s="1161"/>
      <c r="J31" s="20"/>
      <c r="K31" s="20"/>
      <c r="L31" s="20"/>
      <c r="M31" s="20"/>
      <c r="N31" s="20"/>
      <c r="O31" s="20"/>
      <c r="P31" s="20"/>
      <c r="Q31" s="20"/>
      <c r="R31" s="20"/>
      <c r="S31" s="20"/>
      <c r="T31" s="20"/>
    </row>
    <row r="32" spans="2:24" x14ac:dyDescent="0.2">
      <c r="B32" s="1" t="s">
        <v>43</v>
      </c>
      <c r="D32" s="70">
        <f>+'FA - Historical Financials'!AG103</f>
        <v>14.879</v>
      </c>
      <c r="E32" s="70">
        <f>+'FA - Historical Financials'!AH103</f>
        <v>10.895</v>
      </c>
      <c r="F32" s="70">
        <f>+'FA - Historical Financials'!AI103</f>
        <v>15.949999999999996</v>
      </c>
      <c r="G32" s="70">
        <f>+'FA - Historical Financials'!AJ103</f>
        <v>22.301999999999996</v>
      </c>
      <c r="H32" s="1132">
        <f>+'FA - Historical Financials'!AK103</f>
        <v>26.813999999999993</v>
      </c>
      <c r="I32" s="1157">
        <f>($S$32-$H$32)/11+H32</f>
        <v>28.479032904807262</v>
      </c>
      <c r="J32" s="49">
        <f t="shared" ref="J32:R32" si="73">($S$32-$H$32)/11+I32</f>
        <v>30.144065809614531</v>
      </c>
      <c r="K32" s="49">
        <f t="shared" si="73"/>
        <v>31.8090987144218</v>
      </c>
      <c r="L32" s="49">
        <f t="shared" si="73"/>
        <v>33.47413161922907</v>
      </c>
      <c r="M32" s="49">
        <f t="shared" si="73"/>
        <v>35.139164524036339</v>
      </c>
      <c r="N32" s="49">
        <f t="shared" si="73"/>
        <v>36.804197428843608</v>
      </c>
      <c r="O32" s="49">
        <f t="shared" si="73"/>
        <v>38.469230333650877</v>
      </c>
      <c r="P32" s="49">
        <f t="shared" si="73"/>
        <v>40.134263238458146</v>
      </c>
      <c r="Q32" s="49">
        <f t="shared" si="73"/>
        <v>41.799296143265416</v>
      </c>
      <c r="R32" s="49">
        <f t="shared" si="73"/>
        <v>43.464329048072685</v>
      </c>
      <c r="S32" s="61">
        <f>S25</f>
        <v>45.12936195287994</v>
      </c>
      <c r="T32" s="61">
        <f t="shared" ref="T32" si="74">T25</f>
        <v>47.837123670052733</v>
      </c>
    </row>
    <row r="33" spans="1:20" s="12" customFormat="1" x14ac:dyDescent="0.2">
      <c r="B33" s="13" t="s">
        <v>41</v>
      </c>
      <c r="C33" s="14"/>
      <c r="D33" s="19">
        <f>+D32/D$8</f>
        <v>3.0884224116637299E-2</v>
      </c>
      <c r="E33" s="19">
        <f>+E32/E$8</f>
        <v>2.1398241003704185E-2</v>
      </c>
      <c r="F33" s="19">
        <f>+F32/F$8</f>
        <v>2.239240764009293E-2</v>
      </c>
      <c r="G33" s="19">
        <f>+G32/G$8</f>
        <v>2.7532551544832671E-2</v>
      </c>
      <c r="H33" s="1135">
        <f t="shared" ref="H33" si="75">+H32/H$8</f>
        <v>3.5107841327326209E-2</v>
      </c>
      <c r="I33" s="1158">
        <f t="shared" ref="I33:R33" si="76">+I32/I$8</f>
        <v>3.9554212367787861E-2</v>
      </c>
      <c r="J33" s="19">
        <f t="shared" si="76"/>
        <v>3.9496941574442515E-2</v>
      </c>
      <c r="K33" s="19">
        <f t="shared" si="76"/>
        <v>3.9319423077634634E-2</v>
      </c>
      <c r="L33" s="19">
        <f t="shared" si="76"/>
        <v>3.9035453319813909E-2</v>
      </c>
      <c r="M33" s="19">
        <f t="shared" si="76"/>
        <v>3.8657652154121439E-2</v>
      </c>
      <c r="N33" s="19">
        <f t="shared" si="76"/>
        <v>3.8197551839554596E-2</v>
      </c>
      <c r="O33" s="19">
        <f t="shared" si="76"/>
        <v>3.7665679730984607E-2</v>
      </c>
      <c r="P33" s="19">
        <f t="shared" si="76"/>
        <v>3.7071635092677788E-2</v>
      </c>
      <c r="Q33" s="19">
        <f t="shared" si="76"/>
        <v>3.6424160435646419E-2</v>
      </c>
      <c r="R33" s="19">
        <f t="shared" si="76"/>
        <v>3.5731207752663412E-2</v>
      </c>
      <c r="S33" s="19">
        <f t="shared" ref="S33:T33" si="77">+S32/S$8</f>
        <v>3.5000000000000003E-2</v>
      </c>
      <c r="T33" s="19">
        <f t="shared" si="77"/>
        <v>3.5000000000000003E-2</v>
      </c>
    </row>
    <row r="34" spans="1:20" x14ac:dyDescent="0.2">
      <c r="F34" s="20"/>
      <c r="G34" s="20"/>
      <c r="H34" s="1138"/>
      <c r="I34" s="1161"/>
      <c r="J34" s="20"/>
      <c r="K34" s="20"/>
      <c r="L34" s="20"/>
      <c r="M34" s="20"/>
      <c r="N34" s="20"/>
      <c r="O34" s="20"/>
      <c r="P34" s="20"/>
      <c r="Q34" s="20"/>
      <c r="R34" s="20"/>
      <c r="S34" s="20"/>
      <c r="T34" s="20"/>
    </row>
    <row r="35" spans="1:20" x14ac:dyDescent="0.2">
      <c r="B35" s="1" t="s">
        <v>44</v>
      </c>
      <c r="D35" s="70">
        <f>+'FA - Historical Financials'!AG105</f>
        <v>51.018999999999998</v>
      </c>
      <c r="E35" s="70">
        <f>+'FA - Historical Financials'!AH105</f>
        <v>51.873000000000005</v>
      </c>
      <c r="F35" s="70">
        <f>+'FA - Historical Financials'!AI105</f>
        <v>24.972000000000001</v>
      </c>
      <c r="G35" s="70">
        <f>+'FA - Historical Financials'!AJ105</f>
        <v>9.1989999999999998</v>
      </c>
      <c r="H35" s="1132">
        <f>+'FA - Historical Financials'!AK105</f>
        <v>33.04</v>
      </c>
      <c r="I35" s="1157">
        <f>+'FA Base'!I35</f>
        <v>36.113999999999997</v>
      </c>
      <c r="J35" s="49">
        <f>+J36*AVERAGE(J60)</f>
        <v>17.114874413055158</v>
      </c>
      <c r="K35" s="49">
        <f t="shared" ref="K35:S35" si="78">+K36*AVERAGE(J60:K60)</f>
        <v>17.796527229531016</v>
      </c>
      <c r="L35" s="49">
        <f t="shared" si="78"/>
        <v>16.498521468296723</v>
      </c>
      <c r="M35" s="49">
        <f t="shared" si="78"/>
        <v>17.411542272946878</v>
      </c>
      <c r="N35" s="49">
        <f t="shared" si="78"/>
        <v>18.385053624501335</v>
      </c>
      <c r="O35" s="49">
        <f t="shared" si="78"/>
        <v>19.432610594527652</v>
      </c>
      <c r="P35" s="49">
        <f t="shared" si="78"/>
        <v>20.556415629707697</v>
      </c>
      <c r="Q35" s="49">
        <f t="shared" si="78"/>
        <v>21.759552744998924</v>
      </c>
      <c r="R35" s="49">
        <f t="shared" si="78"/>
        <v>23.035290648552401</v>
      </c>
      <c r="S35" s="49">
        <f t="shared" si="78"/>
        <v>24.387929562058009</v>
      </c>
      <c r="T35" s="49">
        <f t="shared" ref="T35" si="79">+T36*AVERAGE(S60:T60)</f>
        <v>25.822032305427602</v>
      </c>
    </row>
    <row r="36" spans="1:20" s="12" customFormat="1" outlineLevel="1" x14ac:dyDescent="0.2">
      <c r="B36" s="13" t="s">
        <v>45</v>
      </c>
      <c r="C36" s="14"/>
      <c r="D36" s="16"/>
      <c r="E36" s="16">
        <f>+E35/AVERAGE(D60:E60)</f>
        <v>9.5169950271210418E-2</v>
      </c>
      <c r="F36" s="16">
        <f t="shared" ref="F36:G36" si="80">+F35/AVERAGE(E60:F60)</f>
        <v>5.5960792486571154E-2</v>
      </c>
      <c r="G36" s="16">
        <f t="shared" si="80"/>
        <v>4.3360829601696904E-2</v>
      </c>
      <c r="H36" s="1135">
        <f t="shared" ref="H36:I36" si="81">+H35/AVERAGE(G60:H60)</f>
        <v>0.13015047664066806</v>
      </c>
      <c r="I36" s="1158">
        <f t="shared" si="81"/>
        <v>0.12839051977732527</v>
      </c>
      <c r="J36" s="1262">
        <f>+'FA Base'!J36</f>
        <v>7.6915786993051918E-2</v>
      </c>
      <c r="K36" s="1262">
        <f>+'FA Base'!K36</f>
        <v>7.7584247552084887E-2</v>
      </c>
      <c r="L36" s="1262">
        <f>+'FA Base'!L36</f>
        <v>6.7746558492378733E-2</v>
      </c>
      <c r="M36" s="1262">
        <f>+'FA Base'!M36</f>
        <v>6.734780547421651E-2</v>
      </c>
      <c r="N36" s="1262">
        <f>+'FA Base'!N36</f>
        <v>6.6993519618090761E-2</v>
      </c>
      <c r="O36" s="1262">
        <f>+'FA Base'!O36</f>
        <v>6.6713877943509844E-2</v>
      </c>
      <c r="P36" s="1262">
        <f>+'FA Base'!P36</f>
        <v>6.6494072705300028E-2</v>
      </c>
      <c r="Q36" s="1262">
        <f>+'FA Base'!Q36</f>
        <v>6.632349572845872E-2</v>
      </c>
      <c r="R36" s="1262">
        <f>+'FA Base'!R36</f>
        <v>6.6164127281703733E-2</v>
      </c>
      <c r="S36" s="1262">
        <f>+'FA Base'!S36</f>
        <v>6.6015069551575434E-2</v>
      </c>
      <c r="T36" s="1262">
        <f>+'FA Base'!T36</f>
        <v>6.5875514209633737E-2</v>
      </c>
    </row>
    <row r="37" spans="1:20" x14ac:dyDescent="0.2">
      <c r="D37" s="34"/>
      <c r="E37" s="34"/>
      <c r="F37" s="20"/>
      <c r="G37" s="20"/>
      <c r="H37" s="1138"/>
      <c r="I37" s="1161"/>
      <c r="J37" s="20"/>
      <c r="K37" s="20"/>
      <c r="L37" s="20"/>
      <c r="M37" s="20"/>
      <c r="N37" s="20"/>
      <c r="O37" s="20"/>
      <c r="P37" s="20"/>
      <c r="Q37" s="20"/>
      <c r="R37" s="20"/>
      <c r="S37" s="20"/>
      <c r="T37" s="20"/>
    </row>
    <row r="38" spans="1:20" x14ac:dyDescent="0.2">
      <c r="B38" s="1" t="s">
        <v>46</v>
      </c>
      <c r="D38" s="49">
        <f t="shared" ref="D38:G38" si="82">+MAX((D20-D35-D32)*D39,0)</f>
        <v>14.164750000000003</v>
      </c>
      <c r="E38" s="49">
        <f t="shared" si="82"/>
        <v>19.544499999999999</v>
      </c>
      <c r="F38" s="49">
        <f t="shared" si="82"/>
        <v>43.960499999999996</v>
      </c>
      <c r="G38" s="49">
        <f t="shared" si="82"/>
        <v>52.388250000000006</v>
      </c>
      <c r="H38" s="1134">
        <f t="shared" ref="H38" si="83">+MAX((H20-H35-H32)*H39,0)</f>
        <v>40.609250000000003</v>
      </c>
      <c r="I38" s="1157">
        <f t="shared" ref="I38:S38" si="84">+MAX((I20-I35-I32)*I39,0)</f>
        <v>36.240355489345312</v>
      </c>
      <c r="J38" s="49">
        <f t="shared" si="84"/>
        <v>43.813878659879705</v>
      </c>
      <c r="K38" s="49">
        <f t="shared" si="84"/>
        <v>46.661607229558932</v>
      </c>
      <c r="L38" s="49">
        <f t="shared" si="84"/>
        <v>50.210314443665688</v>
      </c>
      <c r="M38" s="49">
        <f t="shared" si="84"/>
        <v>53.424692856301341</v>
      </c>
      <c r="N38" s="49">
        <f t="shared" si="84"/>
        <v>56.85548214261091</v>
      </c>
      <c r="O38" s="49">
        <f t="shared" si="84"/>
        <v>60.513185545326515</v>
      </c>
      <c r="P38" s="49">
        <f t="shared" si="84"/>
        <v>64.41197798403914</v>
      </c>
      <c r="Q38" s="49">
        <f t="shared" si="84"/>
        <v>68.566697518146526</v>
      </c>
      <c r="R38" s="49">
        <f t="shared" si="84"/>
        <v>72.995572577536279</v>
      </c>
      <c r="S38" s="49">
        <f t="shared" si="84"/>
        <v>77.715066450126798</v>
      </c>
      <c r="T38" s="49">
        <f t="shared" ref="T38" si="85">+MAX((T20-T35-T32)*T39,0)</f>
        <v>82.481946871790043</v>
      </c>
    </row>
    <row r="39" spans="1:20" x14ac:dyDescent="0.2">
      <c r="B39" s="13" t="s">
        <v>47</v>
      </c>
      <c r="C39" s="14"/>
      <c r="D39" s="86">
        <v>0.25</v>
      </c>
      <c r="E39" s="86">
        <f t="shared" ref="E39:S39" si="86">+D39</f>
        <v>0.25</v>
      </c>
      <c r="F39" s="86">
        <f t="shared" si="86"/>
        <v>0.25</v>
      </c>
      <c r="G39" s="86">
        <f t="shared" si="86"/>
        <v>0.25</v>
      </c>
      <c r="H39" s="1139">
        <f t="shared" ref="H39" si="87">+G39</f>
        <v>0.25</v>
      </c>
      <c r="I39" s="1162">
        <f t="shared" si="86"/>
        <v>0.25</v>
      </c>
      <c r="J39" s="86">
        <f t="shared" si="86"/>
        <v>0.25</v>
      </c>
      <c r="K39" s="86">
        <f t="shared" si="86"/>
        <v>0.25</v>
      </c>
      <c r="L39" s="86">
        <f t="shared" si="86"/>
        <v>0.25</v>
      </c>
      <c r="M39" s="86">
        <f t="shared" si="86"/>
        <v>0.25</v>
      </c>
      <c r="N39" s="86">
        <f t="shared" si="86"/>
        <v>0.25</v>
      </c>
      <c r="O39" s="86">
        <f t="shared" si="86"/>
        <v>0.25</v>
      </c>
      <c r="P39" s="86">
        <f t="shared" si="86"/>
        <v>0.25</v>
      </c>
      <c r="Q39" s="86">
        <f t="shared" si="86"/>
        <v>0.25</v>
      </c>
      <c r="R39" s="86">
        <f t="shared" si="86"/>
        <v>0.25</v>
      </c>
      <c r="S39" s="86">
        <f t="shared" si="86"/>
        <v>0.25</v>
      </c>
      <c r="T39" s="86">
        <f t="shared" ref="T39" si="88">+S39</f>
        <v>0.25</v>
      </c>
    </row>
    <row r="40" spans="1:20" x14ac:dyDescent="0.2">
      <c r="F40" s="20"/>
      <c r="G40" s="20"/>
      <c r="H40" s="1138"/>
      <c r="I40" s="1161"/>
      <c r="J40" s="20"/>
      <c r="K40" s="20"/>
      <c r="L40" s="20"/>
      <c r="M40" s="20"/>
      <c r="N40" s="20"/>
      <c r="O40" s="20"/>
      <c r="P40" s="20"/>
      <c r="Q40" s="20"/>
      <c r="R40" s="20"/>
      <c r="S40" s="20"/>
      <c r="T40" s="20"/>
    </row>
    <row r="41" spans="1:20" x14ac:dyDescent="0.2">
      <c r="B41" s="1" t="s">
        <v>48</v>
      </c>
      <c r="D41" s="40">
        <f t="shared" ref="D41:S41" si="89">+D28-D35-D38</f>
        <v>37.52825</v>
      </c>
      <c r="E41" s="40">
        <f t="shared" si="89"/>
        <v>49.110499999999988</v>
      </c>
      <c r="F41" s="40">
        <f t="shared" si="89"/>
        <v>122.38149999999999</v>
      </c>
      <c r="G41" s="40">
        <f t="shared" si="89"/>
        <v>149.56975000000003</v>
      </c>
      <c r="H41" s="1140">
        <f t="shared" ref="H41" si="90">+H28-H35-H38</f>
        <v>120.83875</v>
      </c>
      <c r="I41" s="1163">
        <f t="shared" si="89"/>
        <v>112.00009937284318</v>
      </c>
      <c r="J41" s="40">
        <f t="shared" si="89"/>
        <v>134.87370178925369</v>
      </c>
      <c r="K41" s="40">
        <f t="shared" si="89"/>
        <v>143.47920040309859</v>
      </c>
      <c r="L41" s="40">
        <f t="shared" si="89"/>
        <v>154.09147175022613</v>
      </c>
      <c r="M41" s="40">
        <f t="shared" si="89"/>
        <v>163.59882370094036</v>
      </c>
      <c r="N41" s="40">
        <f t="shared" si="89"/>
        <v>173.64735930115631</v>
      </c>
      <c r="O41" s="40">
        <f t="shared" si="89"/>
        <v>184.26210534077921</v>
      </c>
      <c r="P41" s="40">
        <f t="shared" si="89"/>
        <v>195.47871466399323</v>
      </c>
      <c r="Q41" s="40">
        <f t="shared" si="89"/>
        <v>207.33441721952775</v>
      </c>
      <c r="R41" s="40">
        <f t="shared" si="89"/>
        <v>219.87617701381367</v>
      </c>
      <c r="S41" s="40">
        <f t="shared" si="89"/>
        <v>233.14519935038038</v>
      </c>
      <c r="T41" s="40">
        <f t="shared" ref="T41" si="91">+T28-T35-T38</f>
        <v>247.44584061537012</v>
      </c>
    </row>
    <row r="42" spans="1:20" s="12" customFormat="1" x14ac:dyDescent="0.2">
      <c r="B42" s="13" t="s">
        <v>29</v>
      </c>
      <c r="C42" s="14"/>
      <c r="D42" s="15"/>
      <c r="E42" s="15">
        <f t="shared" ref="E42:S42" si="92">IF(OR(E41&lt;0, D41&lt;0), "NM", E41/D41-1)</f>
        <v>0.30862750061620203</v>
      </c>
      <c r="F42" s="15">
        <f t="shared" si="92"/>
        <v>1.4919620040520871</v>
      </c>
      <c r="G42" s="15">
        <f t="shared" si="92"/>
        <v>0.22215980356508158</v>
      </c>
      <c r="H42" s="1133">
        <f t="shared" ref="H42" si="93">IF(OR(H41&lt;0, G41&lt;0), "NM", H41/G41-1)</f>
        <v>-0.19209098096373112</v>
      </c>
      <c r="I42" s="1155">
        <f t="shared" si="92"/>
        <v>-7.3144174589333533E-2</v>
      </c>
      <c r="J42" s="15">
        <f t="shared" si="92"/>
        <v>0.20422841180046936</v>
      </c>
      <c r="K42" s="15">
        <f t="shared" si="92"/>
        <v>6.3804125635191555E-2</v>
      </c>
      <c r="L42" s="15">
        <f t="shared" si="92"/>
        <v>7.3963831114982836E-2</v>
      </c>
      <c r="M42" s="15">
        <f t="shared" si="92"/>
        <v>6.1699403884759585E-2</v>
      </c>
      <c r="N42" s="15">
        <f t="shared" si="92"/>
        <v>6.1421808377942533E-2</v>
      </c>
      <c r="O42" s="15">
        <f t="shared" si="92"/>
        <v>6.1128174262723878E-2</v>
      </c>
      <c r="P42" s="15">
        <f t="shared" si="92"/>
        <v>6.0873120398085678E-2</v>
      </c>
      <c r="Q42" s="15">
        <f t="shared" si="92"/>
        <v>6.0649583131918927E-2</v>
      </c>
      <c r="R42" s="15">
        <f t="shared" si="92"/>
        <v>6.0490486637375662E-2</v>
      </c>
      <c r="S42" s="15">
        <f t="shared" si="92"/>
        <v>6.034770349737828E-2</v>
      </c>
      <c r="T42" s="15">
        <f t="shared" ref="T42" si="94">IF(OR(T41&lt;0, S41&lt;0), "NM", T41/S41-1)</f>
        <v>6.1337918622541121E-2</v>
      </c>
    </row>
    <row r="43" spans="1:20" x14ac:dyDescent="0.2">
      <c r="D43" s="15"/>
      <c r="E43" s="15"/>
      <c r="F43" s="15"/>
      <c r="G43" s="15"/>
      <c r="H43" s="1133"/>
      <c r="I43" s="1161"/>
      <c r="J43" s="20"/>
      <c r="K43" s="20"/>
      <c r="L43" s="20"/>
      <c r="M43" s="20"/>
      <c r="N43" s="20"/>
      <c r="O43" s="20"/>
      <c r="P43" s="20"/>
      <c r="Q43" s="20"/>
      <c r="R43" s="20"/>
      <c r="S43" s="20"/>
      <c r="T43" s="20"/>
    </row>
    <row r="44" spans="1:20" ht="10.5" hidden="1" outlineLevel="1" x14ac:dyDescent="0.25">
      <c r="B44" s="26" t="s">
        <v>494</v>
      </c>
      <c r="D44" s="15"/>
      <c r="E44" s="15"/>
      <c r="F44" s="15"/>
      <c r="G44" s="15"/>
      <c r="H44" s="1133"/>
      <c r="I44" s="1161"/>
      <c r="J44" s="20"/>
      <c r="K44" s="20"/>
      <c r="L44" s="20"/>
      <c r="M44" s="20"/>
      <c r="N44" s="20"/>
      <c r="O44" s="20"/>
      <c r="P44" s="20"/>
      <c r="Q44" s="20"/>
      <c r="R44" s="20"/>
      <c r="S44" s="20"/>
      <c r="T44" s="20"/>
    </row>
    <row r="45" spans="1:20" hidden="1" outlineLevel="1" x14ac:dyDescent="0.2">
      <c r="B45" s="1" t="str">
        <f>+'FA - Detailed Disclosure'!A259</f>
        <v>Federal</v>
      </c>
      <c r="D45" s="15"/>
      <c r="E45" s="40">
        <f>+'FA - Detailed Disclosure'!AJ259</f>
        <v>197.6</v>
      </c>
      <c r="F45" s="40">
        <f>+'FA - Detailed Disclosure'!AK259</f>
        <v>120.1</v>
      </c>
      <c r="G45" s="40">
        <f>+'FA - Detailed Disclosure'!AL259</f>
        <v>10.97</v>
      </c>
      <c r="H45" s="1140">
        <f>+'FA - Detailed Disclosure'!AN259</f>
        <v>0</v>
      </c>
      <c r="I45" s="1161"/>
      <c r="J45" s="20"/>
      <c r="K45" s="20"/>
      <c r="L45" s="20"/>
      <c r="M45" s="20"/>
      <c r="N45" s="20"/>
      <c r="O45" s="20"/>
      <c r="P45" s="20"/>
      <c r="Q45" s="20"/>
      <c r="R45" s="20"/>
      <c r="S45" s="20"/>
      <c r="T45" s="20"/>
    </row>
    <row r="46" spans="1:20" hidden="1" outlineLevel="1" x14ac:dyDescent="0.2">
      <c r="B46" s="1" t="str">
        <f>+'FA - Detailed Disclosure'!A260</f>
        <v>State</v>
      </c>
      <c r="D46" s="15"/>
      <c r="E46" s="40">
        <f>+'FA - Detailed Disclosure'!AJ260</f>
        <v>166.2</v>
      </c>
      <c r="F46" s="40">
        <f>+'FA - Detailed Disclosure'!AK260</f>
        <v>147.5</v>
      </c>
      <c r="G46" s="40">
        <f>+'FA - Detailed Disclosure'!AL260</f>
        <v>125.989</v>
      </c>
      <c r="H46" s="1140">
        <f>+'FA - Detailed Disclosure'!AN260</f>
        <v>0</v>
      </c>
      <c r="I46" s="1161"/>
      <c r="J46" s="20"/>
      <c r="K46" s="20"/>
      <c r="L46" s="20"/>
      <c r="M46" s="20"/>
      <c r="N46" s="20"/>
      <c r="O46" s="20"/>
      <c r="P46" s="20"/>
      <c r="Q46" s="20"/>
      <c r="R46" s="20"/>
      <c r="S46" s="20"/>
      <c r="T46" s="20"/>
    </row>
    <row r="47" spans="1:20" s="82" customFormat="1" ht="11.5" hidden="1" outlineLevel="1" x14ac:dyDescent="0.35">
      <c r="A47" s="1"/>
      <c r="B47" s="1" t="str">
        <f>+'FA - Detailed Disclosure'!A261</f>
        <v xml:space="preserve">Foreign Income </v>
      </c>
      <c r="D47" s="50"/>
      <c r="E47" s="53">
        <f>+'FA - Detailed Disclosure'!AJ261</f>
        <v>36</v>
      </c>
      <c r="F47" s="53">
        <f>+'FA - Detailed Disclosure'!AK261</f>
        <v>25.1</v>
      </c>
      <c r="G47" s="53">
        <f>+'FA - Detailed Disclosure'!AL261</f>
        <v>24.207000000000001</v>
      </c>
      <c r="H47" s="1150">
        <f>+'FA - Detailed Disclosure'!AN261</f>
        <v>0</v>
      </c>
      <c r="I47" s="1164"/>
      <c r="J47" s="60"/>
      <c r="K47" s="60"/>
      <c r="L47" s="60"/>
      <c r="M47" s="60"/>
      <c r="N47" s="60"/>
      <c r="O47" s="60"/>
      <c r="P47" s="60"/>
      <c r="Q47" s="60"/>
      <c r="R47" s="60"/>
      <c r="S47" s="60"/>
      <c r="T47" s="60"/>
    </row>
    <row r="48" spans="1:20" s="3" customFormat="1" ht="10.5" hidden="1" outlineLevel="1" x14ac:dyDescent="0.25">
      <c r="B48" s="32" t="str">
        <f>+'FA - Detailed Disclosure'!A262</f>
        <v>Total NOLs</v>
      </c>
      <c r="C48" s="32"/>
      <c r="D48" s="619"/>
      <c r="E48" s="51">
        <f>+'FA - Detailed Disclosure'!AJ262</f>
        <v>399.79999999999995</v>
      </c>
      <c r="F48" s="51">
        <f>+'FA - Detailed Disclosure'!AK262</f>
        <v>292.70000000000005</v>
      </c>
      <c r="G48" s="51">
        <f>+'FA - Detailed Disclosure'!AL262</f>
        <v>161.166</v>
      </c>
      <c r="H48" s="1151">
        <f>+'FA - Detailed Disclosure'!AN262</f>
        <v>0</v>
      </c>
      <c r="I48" s="1165"/>
      <c r="J48" s="93"/>
      <c r="K48" s="93"/>
      <c r="L48" s="93"/>
      <c r="M48" s="93"/>
      <c r="N48" s="93"/>
      <c r="O48" s="93"/>
      <c r="P48" s="93"/>
      <c r="Q48" s="93"/>
      <c r="R48" s="93"/>
      <c r="S48" s="93"/>
      <c r="T48" s="93"/>
    </row>
    <row r="49" spans="2:20" hidden="1" outlineLevel="1" x14ac:dyDescent="0.2">
      <c r="D49" s="15"/>
      <c r="E49" s="15"/>
      <c r="F49" s="15"/>
      <c r="G49" s="15"/>
      <c r="H49" s="1133"/>
      <c r="I49" s="1161"/>
      <c r="J49" s="20"/>
      <c r="K49" s="20"/>
      <c r="L49" s="20"/>
      <c r="M49" s="20"/>
      <c r="N49" s="20"/>
      <c r="O49" s="20"/>
      <c r="P49" s="20"/>
      <c r="Q49" s="20"/>
      <c r="R49" s="20"/>
      <c r="S49" s="20"/>
      <c r="T49" s="20"/>
    </row>
    <row r="50" spans="2:20" hidden="1" outlineLevel="1" x14ac:dyDescent="0.2">
      <c r="B50" s="1" t="s">
        <v>771</v>
      </c>
      <c r="D50" s="15"/>
      <c r="E50" s="15"/>
      <c r="F50" s="40">
        <f>+F48-E48</f>
        <v>-107.09999999999991</v>
      </c>
      <c r="G50" s="64">
        <f>+G48-F48</f>
        <v>-131.53400000000005</v>
      </c>
      <c r="H50" s="1144">
        <f t="shared" ref="H50" si="95">+H48-G48</f>
        <v>-161.166</v>
      </c>
      <c r="I50" s="1166"/>
      <c r="J50" s="20"/>
      <c r="K50" s="20"/>
      <c r="L50" s="20"/>
      <c r="M50" s="20"/>
      <c r="N50" s="20"/>
      <c r="O50" s="20"/>
      <c r="P50" s="20"/>
      <c r="Q50" s="20"/>
      <c r="R50" s="20"/>
      <c r="S50" s="20"/>
      <c r="T50" s="20"/>
    </row>
    <row r="51" spans="2:20" hidden="1" outlineLevel="1" x14ac:dyDescent="0.2">
      <c r="B51" s="1" t="s">
        <v>772</v>
      </c>
      <c r="D51" s="15"/>
      <c r="E51" s="15"/>
      <c r="F51" s="40">
        <f>+F53</f>
        <v>33.599499999999992</v>
      </c>
      <c r="G51" s="64">
        <f>+G53</f>
        <v>34.913249999999998</v>
      </c>
      <c r="H51" s="1144">
        <f t="shared" ref="H51" si="96">+H53</f>
        <v>8.9862499999999983</v>
      </c>
      <c r="I51" s="1166"/>
      <c r="J51" s="20"/>
      <c r="K51" s="20"/>
      <c r="L51" s="20"/>
      <c r="M51" s="20"/>
      <c r="N51" s="20"/>
      <c r="O51" s="20"/>
      <c r="P51" s="20"/>
      <c r="Q51" s="20"/>
      <c r="R51" s="20"/>
      <c r="S51" s="20"/>
      <c r="T51" s="20"/>
    </row>
    <row r="52" spans="2:20" hidden="1" outlineLevel="1" x14ac:dyDescent="0.2">
      <c r="D52" s="15"/>
      <c r="E52" s="15"/>
      <c r="F52" s="15"/>
      <c r="G52" s="15"/>
      <c r="H52" s="1133"/>
      <c r="I52" s="1161"/>
      <c r="J52" s="20"/>
      <c r="K52" s="20"/>
      <c r="L52" s="20"/>
      <c r="M52" s="20"/>
      <c r="N52" s="20"/>
      <c r="O52" s="20"/>
      <c r="P52" s="20"/>
      <c r="Q52" s="20"/>
      <c r="R52" s="20"/>
      <c r="S52" s="20"/>
      <c r="T52" s="20"/>
    </row>
    <row r="53" spans="2:20" collapsed="1" x14ac:dyDescent="0.2">
      <c r="B53" s="1" t="s">
        <v>240</v>
      </c>
      <c r="D53" s="70">
        <f>+'FA - Historical Financials'!AG120</f>
        <v>8.9157499999999992</v>
      </c>
      <c r="E53" s="70">
        <f>+'FA - Historical Financials'!AH120</f>
        <v>14.479499999999996</v>
      </c>
      <c r="F53" s="70">
        <f>+'FA - Historical Financials'!AI120</f>
        <v>33.599499999999992</v>
      </c>
      <c r="G53" s="70">
        <f>+'FA - Historical Financials'!AJ120</f>
        <v>34.913249999999998</v>
      </c>
      <c r="H53" s="1132">
        <f>+'FA - Historical Financials'!AK120</f>
        <v>8.9862499999999983</v>
      </c>
      <c r="I53" s="1167">
        <v>0</v>
      </c>
      <c r="J53" s="61">
        <v>0</v>
      </c>
      <c r="K53" s="61">
        <v>0</v>
      </c>
      <c r="L53" s="61">
        <v>0</v>
      </c>
      <c r="M53" s="61">
        <v>0</v>
      </c>
      <c r="N53" s="61">
        <v>0</v>
      </c>
      <c r="O53" s="61">
        <v>0</v>
      </c>
      <c r="P53" s="61">
        <v>0</v>
      </c>
      <c r="Q53" s="61">
        <v>0</v>
      </c>
      <c r="R53" s="61">
        <v>0</v>
      </c>
      <c r="S53" s="61">
        <v>0</v>
      </c>
      <c r="T53" s="61">
        <v>0</v>
      </c>
    </row>
    <row r="54" spans="2:20" x14ac:dyDescent="0.2">
      <c r="B54" s="1" t="s">
        <v>37</v>
      </c>
      <c r="D54" s="70">
        <f>+'FA - Historical Financials'!AG122</f>
        <v>1.216</v>
      </c>
      <c r="E54" s="70">
        <f>+'FA - Historical Financials'!AH122</f>
        <v>5.8520000000000003</v>
      </c>
      <c r="F54" s="70">
        <f>+'FA - Historical Financials'!AI122</f>
        <v>9.5299999999999994</v>
      </c>
      <c r="G54" s="70">
        <f>+'FA - Historical Financials'!AJ122</f>
        <v>7.8559999999999999</v>
      </c>
      <c r="H54" s="1132">
        <f>+'FA - Historical Financials'!AK122</f>
        <v>15.265000000000001</v>
      </c>
      <c r="I54" s="1154">
        <f>+'FA - Historical Financials'!AL122</f>
        <v>14.798999999999999</v>
      </c>
      <c r="J54" s="61">
        <v>0</v>
      </c>
      <c r="K54" s="61">
        <v>0</v>
      </c>
      <c r="L54" s="61">
        <v>0</v>
      </c>
      <c r="M54" s="61">
        <v>0</v>
      </c>
      <c r="N54" s="61">
        <v>0</v>
      </c>
      <c r="O54" s="61">
        <v>0</v>
      </c>
      <c r="P54" s="61">
        <v>0</v>
      </c>
      <c r="Q54" s="61">
        <v>0</v>
      </c>
      <c r="R54" s="61">
        <v>0</v>
      </c>
      <c r="S54" s="61">
        <v>0</v>
      </c>
      <c r="T54" s="61">
        <v>0</v>
      </c>
    </row>
    <row r="55" spans="2:20" ht="11.5" x14ac:dyDescent="0.35">
      <c r="B55" s="1" t="s">
        <v>50</v>
      </c>
      <c r="D55" s="50">
        <f>+D56-D41-D54-D53</f>
        <v>4.0780000000000012</v>
      </c>
      <c r="E55" s="50">
        <f t="shared" ref="E55:H55" si="97">+E56-E41-E54-E53</f>
        <v>-36.224999999999987</v>
      </c>
      <c r="F55" s="50">
        <f t="shared" si="97"/>
        <v>-42.283999999999992</v>
      </c>
      <c r="G55" s="50">
        <f t="shared" si="97"/>
        <v>-8.5680000000000121</v>
      </c>
      <c r="H55" s="1146">
        <f t="shared" si="97"/>
        <v>-8.6949999999999932</v>
      </c>
      <c r="I55" s="1164">
        <v>0</v>
      </c>
      <c r="J55" s="60">
        <f t="shared" ref="J55:S55" si="98">+I55/(I8-H8)*(J8-I8)</f>
        <v>0</v>
      </c>
      <c r="K55" s="60">
        <f t="shared" si="98"/>
        <v>0</v>
      </c>
      <c r="L55" s="60">
        <f t="shared" si="98"/>
        <v>0</v>
      </c>
      <c r="M55" s="60">
        <f t="shared" si="98"/>
        <v>0</v>
      </c>
      <c r="N55" s="60">
        <f t="shared" si="98"/>
        <v>0</v>
      </c>
      <c r="O55" s="60">
        <f t="shared" si="98"/>
        <v>0</v>
      </c>
      <c r="P55" s="60">
        <f t="shared" si="98"/>
        <v>0</v>
      </c>
      <c r="Q55" s="60">
        <f t="shared" si="98"/>
        <v>0</v>
      </c>
      <c r="R55" s="60">
        <f t="shared" si="98"/>
        <v>0</v>
      </c>
      <c r="S55" s="60">
        <f t="shared" si="98"/>
        <v>0</v>
      </c>
      <c r="T55" s="60">
        <f t="shared" ref="T55" si="99">+S55/(S8-R8)*(T8-S8)</f>
        <v>0</v>
      </c>
    </row>
    <row r="56" spans="2:20" x14ac:dyDescent="0.2">
      <c r="B56" s="22" t="s">
        <v>51</v>
      </c>
      <c r="C56" s="22"/>
      <c r="D56" s="70">
        <f>+'FA - Historical Financials'!AG124</f>
        <v>51.738</v>
      </c>
      <c r="E56" s="70">
        <f>+'FA - Historical Financials'!AH124</f>
        <v>33.216999999999999</v>
      </c>
      <c r="F56" s="70">
        <f>+'FA - Historical Financials'!AI124</f>
        <v>123.22699999999999</v>
      </c>
      <c r="G56" s="70">
        <f>+'FA - Historical Financials'!AJ124</f>
        <v>183.77100000000002</v>
      </c>
      <c r="H56" s="1132">
        <f>+'FA - Historical Financials'!AK124</f>
        <v>136.39500000000001</v>
      </c>
      <c r="I56" s="1166">
        <f t="shared" ref="I56:S56" si="100">I41+I55+I54+I53</f>
        <v>126.79909937284319</v>
      </c>
      <c r="J56" s="64">
        <f t="shared" si="100"/>
        <v>134.87370178925369</v>
      </c>
      <c r="K56" s="64">
        <f t="shared" si="100"/>
        <v>143.47920040309859</v>
      </c>
      <c r="L56" s="64">
        <f t="shared" si="100"/>
        <v>154.09147175022613</v>
      </c>
      <c r="M56" s="64">
        <f t="shared" si="100"/>
        <v>163.59882370094036</v>
      </c>
      <c r="N56" s="64">
        <f t="shared" si="100"/>
        <v>173.64735930115631</v>
      </c>
      <c r="O56" s="64">
        <f t="shared" si="100"/>
        <v>184.26210534077921</v>
      </c>
      <c r="P56" s="64">
        <f t="shared" si="100"/>
        <v>195.47871466399323</v>
      </c>
      <c r="Q56" s="64">
        <f t="shared" si="100"/>
        <v>207.33441721952775</v>
      </c>
      <c r="R56" s="64">
        <f t="shared" si="100"/>
        <v>219.87617701381367</v>
      </c>
      <c r="S56" s="64">
        <f t="shared" si="100"/>
        <v>233.14519935038038</v>
      </c>
      <c r="T56" s="64">
        <f t="shared" ref="T56" si="101">T41+T55+T54+T53</f>
        <v>247.44584061537012</v>
      </c>
    </row>
    <row r="57" spans="2:20" x14ac:dyDescent="0.2">
      <c r="D57" s="15"/>
      <c r="E57" s="15"/>
      <c r="F57" s="20"/>
      <c r="G57" s="693"/>
      <c r="H57" s="1152"/>
      <c r="I57" s="1161"/>
      <c r="J57" s="20"/>
      <c r="K57" s="20"/>
      <c r="L57" s="20"/>
      <c r="M57" s="20"/>
      <c r="N57" s="20"/>
      <c r="O57" s="20"/>
      <c r="P57" s="20"/>
      <c r="Q57" s="15"/>
      <c r="R57" s="15"/>
      <c r="S57" s="15"/>
      <c r="T57" s="15"/>
    </row>
    <row r="58" spans="2:20" x14ac:dyDescent="0.2">
      <c r="B58" s="1" t="s">
        <v>201</v>
      </c>
      <c r="D58" s="70">
        <f>+'FA - Historical Financials'!AG126</f>
        <v>540.83900000000006</v>
      </c>
      <c r="E58" s="70">
        <f>+'FA - Historical Financials'!AH126</f>
        <v>785.30500000000006</v>
      </c>
      <c r="F58" s="70">
        <f>+'FA - Historical Financials'!AI126</f>
        <v>554.84500000000003</v>
      </c>
      <c r="G58" s="70">
        <f>+'FA - Historical Financials'!AJ126</f>
        <v>556.649</v>
      </c>
      <c r="H58" s="1132">
        <f>+'FA - Historical Financials'!AK126</f>
        <v>558.45600000000002</v>
      </c>
      <c r="I58" s="1157">
        <f>+H58</f>
        <v>558.45600000000002</v>
      </c>
      <c r="J58" s="49">
        <f t="shared" ref="J58" si="102">+J60-J59</f>
        <v>322.51445486218853</v>
      </c>
      <c r="K58" s="49">
        <f t="shared" ref="K58:S58" si="103">+K60-K59</f>
        <v>336.25205486218852</v>
      </c>
      <c r="L58" s="49">
        <f t="shared" si="103"/>
        <v>350.81391086218855</v>
      </c>
      <c r="M58" s="49">
        <f t="shared" si="103"/>
        <v>366.2494782221886</v>
      </c>
      <c r="N58" s="49">
        <f t="shared" si="103"/>
        <v>382.61117962378859</v>
      </c>
      <c r="O58" s="49">
        <f t="shared" si="103"/>
        <v>399.95458310948459</v>
      </c>
      <c r="P58" s="49">
        <f t="shared" si="103"/>
        <v>418.33859080432239</v>
      </c>
      <c r="Q58" s="49">
        <f t="shared" si="103"/>
        <v>437.82563896085043</v>
      </c>
      <c r="R58" s="49">
        <f t="shared" si="103"/>
        <v>458.48191000677019</v>
      </c>
      <c r="S58" s="49">
        <f t="shared" si="103"/>
        <v>480.37755731544513</v>
      </c>
      <c r="T58" s="49">
        <f t="shared" ref="T58" si="104">+T60-T59</f>
        <v>503.58694346264053</v>
      </c>
    </row>
    <row r="59" spans="2:20" s="82" customFormat="1" ht="11.5" x14ac:dyDescent="0.35">
      <c r="B59" s="1" t="s">
        <v>208</v>
      </c>
      <c r="D59" s="54">
        <f>+'FA - Historical Financials'!AG127</f>
        <v>-81.945999999999998</v>
      </c>
      <c r="E59" s="54">
        <f>+'FA - Historical Financials'!AH127</f>
        <v>-154.08500000000001</v>
      </c>
      <c r="F59" s="54">
        <f>+'FA - Historical Financials'!AI127</f>
        <v>-293.58299999999997</v>
      </c>
      <c r="G59" s="54">
        <f>+'FA - Historical Financials'!AJ127</f>
        <v>-393.61099999999999</v>
      </c>
      <c r="H59" s="1136">
        <f>+'FA - Historical Financials'!AK127</f>
        <v>-213.774</v>
      </c>
      <c r="I59" s="1164">
        <f>+H59-I56</f>
        <v>-340.57309937284322</v>
      </c>
      <c r="J59" s="50">
        <f>+'FA Base'!J59</f>
        <v>-100</v>
      </c>
      <c r="K59" s="50">
        <f t="shared" ref="K59:S59" si="105">+J59</f>
        <v>-100</v>
      </c>
      <c r="L59" s="50">
        <f t="shared" si="105"/>
        <v>-100</v>
      </c>
      <c r="M59" s="50">
        <f t="shared" si="105"/>
        <v>-100</v>
      </c>
      <c r="N59" s="50">
        <f t="shared" si="105"/>
        <v>-100</v>
      </c>
      <c r="O59" s="50">
        <f t="shared" si="105"/>
        <v>-100</v>
      </c>
      <c r="P59" s="50">
        <f t="shared" si="105"/>
        <v>-100</v>
      </c>
      <c r="Q59" s="50">
        <f t="shared" si="105"/>
        <v>-100</v>
      </c>
      <c r="R59" s="50">
        <f t="shared" si="105"/>
        <v>-100</v>
      </c>
      <c r="S59" s="50">
        <f t="shared" si="105"/>
        <v>-100</v>
      </c>
      <c r="T59" s="50">
        <f t="shared" ref="T59" si="106">+S59</f>
        <v>-100</v>
      </c>
    </row>
    <row r="60" spans="2:20" x14ac:dyDescent="0.2">
      <c r="B60" s="22" t="s">
        <v>52</v>
      </c>
      <c r="D60" s="70">
        <f>+'FA - Historical Financials'!AG128</f>
        <v>458.89300000000003</v>
      </c>
      <c r="E60" s="70">
        <f>+'FA - Historical Financials'!AH128</f>
        <v>631.22</v>
      </c>
      <c r="F60" s="70">
        <f>+'FA - Historical Financials'!AI128</f>
        <v>261.26200000000006</v>
      </c>
      <c r="G60" s="70">
        <f>+'FA - Historical Financials'!AJ128</f>
        <v>163.03800000000001</v>
      </c>
      <c r="H60" s="1132">
        <f>+'FA - Historical Financials'!AK128</f>
        <v>344.68200000000002</v>
      </c>
      <c r="I60" s="1157">
        <f>+I59+I58</f>
        <v>217.8829006271568</v>
      </c>
      <c r="J60" s="49">
        <f t="shared" ref="J60" si="107">+J61*J20</f>
        <v>222.51445486218853</v>
      </c>
      <c r="K60" s="49">
        <f t="shared" ref="K60:S60" si="108">+K61*K20</f>
        <v>236.25205486218854</v>
      </c>
      <c r="L60" s="49">
        <f t="shared" si="108"/>
        <v>250.81391086218855</v>
      </c>
      <c r="M60" s="49">
        <f t="shared" si="108"/>
        <v>266.2494782221886</v>
      </c>
      <c r="N60" s="49">
        <f t="shared" si="108"/>
        <v>282.61117962378859</v>
      </c>
      <c r="O60" s="49">
        <f t="shared" si="108"/>
        <v>299.95458310948459</v>
      </c>
      <c r="P60" s="49">
        <f t="shared" si="108"/>
        <v>318.33859080432239</v>
      </c>
      <c r="Q60" s="49">
        <f t="shared" si="108"/>
        <v>337.82563896085043</v>
      </c>
      <c r="R60" s="49">
        <f t="shared" si="108"/>
        <v>358.48191000677019</v>
      </c>
      <c r="S60" s="49">
        <f t="shared" si="108"/>
        <v>380.37755731544513</v>
      </c>
      <c r="T60" s="49">
        <f t="shared" ref="T60" si="109">+T61*T20</f>
        <v>403.58694346264053</v>
      </c>
    </row>
    <row r="61" spans="2:20" x14ac:dyDescent="0.2">
      <c r="B61" s="24" t="s">
        <v>53</v>
      </c>
      <c r="C61" s="13"/>
      <c r="D61" s="35">
        <f t="shared" ref="D61:I61" si="110">+IF(OR(D60&lt;0,D20&lt; 0),"NM",D60/D20)</f>
        <v>3.7443230496830049</v>
      </c>
      <c r="E61" s="35">
        <f t="shared" si="110"/>
        <v>4.4784527407659676</v>
      </c>
      <c r="F61" s="35">
        <f t="shared" si="110"/>
        <v>1.2052831651012164</v>
      </c>
      <c r="G61" s="35">
        <f t="shared" si="110"/>
        <v>0.67635467571581465</v>
      </c>
      <c r="H61" s="1147">
        <f t="shared" si="110"/>
        <v>1.550589092675817</v>
      </c>
      <c r="I61" s="1168">
        <f t="shared" si="110"/>
        <v>1.0397435872716017</v>
      </c>
      <c r="J61" s="116">
        <v>1</v>
      </c>
      <c r="K61" s="587">
        <f t="shared" ref="K61:S61" si="111">+J61</f>
        <v>1</v>
      </c>
      <c r="L61" s="587">
        <f t="shared" si="111"/>
        <v>1</v>
      </c>
      <c r="M61" s="587">
        <f t="shared" si="111"/>
        <v>1</v>
      </c>
      <c r="N61" s="587">
        <f t="shared" si="111"/>
        <v>1</v>
      </c>
      <c r="O61" s="587">
        <f t="shared" si="111"/>
        <v>1</v>
      </c>
      <c r="P61" s="587">
        <f t="shared" si="111"/>
        <v>1</v>
      </c>
      <c r="Q61" s="587">
        <f t="shared" si="111"/>
        <v>1</v>
      </c>
      <c r="R61" s="587">
        <f t="shared" si="111"/>
        <v>1</v>
      </c>
      <c r="S61" s="587">
        <f t="shared" si="111"/>
        <v>1</v>
      </c>
      <c r="T61" s="587">
        <f t="shared" ref="T61" si="112">+S61</f>
        <v>1</v>
      </c>
    </row>
    <row r="62" spans="2:20" x14ac:dyDescent="0.2">
      <c r="B62" s="13"/>
      <c r="C62" s="13"/>
      <c r="D62" s="35"/>
      <c r="E62" s="35"/>
      <c r="F62" s="39"/>
      <c r="G62" s="39"/>
      <c r="H62" s="1148"/>
      <c r="I62" s="1169"/>
      <c r="J62" s="38"/>
      <c r="K62" s="38"/>
      <c r="L62" s="38"/>
      <c r="M62" s="38"/>
      <c r="N62" s="38"/>
      <c r="O62" s="38"/>
      <c r="P62" s="38"/>
      <c r="Q62" s="38"/>
      <c r="R62" s="38"/>
      <c r="S62" s="38"/>
      <c r="T62" s="38"/>
    </row>
    <row r="63" spans="2:20" x14ac:dyDescent="0.2">
      <c r="B63" s="22" t="s">
        <v>54</v>
      </c>
      <c r="C63" s="22"/>
      <c r="E63" s="37"/>
      <c r="F63" s="37"/>
      <c r="G63" s="37"/>
      <c r="H63" s="1140"/>
      <c r="I63" s="1163">
        <f t="shared" ref="I63:S63" si="113">+I56+(I60-H60)</f>
        <v>0</v>
      </c>
      <c r="J63" s="40">
        <f t="shared" si="113"/>
        <v>139.50525602428542</v>
      </c>
      <c r="K63" s="40">
        <f t="shared" si="113"/>
        <v>157.2168004030986</v>
      </c>
      <c r="L63" s="40">
        <f t="shared" si="113"/>
        <v>168.65332775022614</v>
      </c>
      <c r="M63" s="40">
        <f t="shared" si="113"/>
        <v>179.03439106094041</v>
      </c>
      <c r="N63" s="40">
        <f t="shared" si="113"/>
        <v>190.0090607027563</v>
      </c>
      <c r="O63" s="40">
        <f t="shared" si="113"/>
        <v>201.60550882647522</v>
      </c>
      <c r="P63" s="40">
        <f t="shared" si="113"/>
        <v>213.86272235883104</v>
      </c>
      <c r="Q63" s="40">
        <f t="shared" si="113"/>
        <v>226.82146537605578</v>
      </c>
      <c r="R63" s="40">
        <f t="shared" si="113"/>
        <v>240.53244805973344</v>
      </c>
      <c r="S63" s="40">
        <f t="shared" si="113"/>
        <v>255.04084665905532</v>
      </c>
      <c r="T63" s="40">
        <f t="shared" ref="T63" si="114">+T56+(T60-S60)</f>
        <v>270.65522676256552</v>
      </c>
    </row>
    <row r="64" spans="2:20" s="12" customFormat="1" x14ac:dyDescent="0.2">
      <c r="B64" s="24" t="s">
        <v>55</v>
      </c>
      <c r="C64" s="25"/>
      <c r="E64" s="19"/>
      <c r="F64" s="19"/>
      <c r="G64" s="19"/>
      <c r="H64" s="1135"/>
      <c r="I64" s="1158">
        <f t="shared" ref="I64:S64" si="115">+I63/$D$86</f>
        <v>0</v>
      </c>
      <c r="J64" s="19">
        <f t="shared" si="115"/>
        <v>5.1689213910829299E-2</v>
      </c>
      <c r="K64" s="19">
        <f t="shared" si="115"/>
        <v>5.8251660604079693E-2</v>
      </c>
      <c r="L64" s="19">
        <f t="shared" si="115"/>
        <v>6.2489100291225362E-2</v>
      </c>
      <c r="M64" s="19">
        <f t="shared" si="115"/>
        <v>6.6335471513224054E-2</v>
      </c>
      <c r="N64" s="19">
        <f t="shared" si="115"/>
        <v>7.0401784589039312E-2</v>
      </c>
      <c r="O64" s="19">
        <f t="shared" si="115"/>
        <v>7.4698477808744196E-2</v>
      </c>
      <c r="P64" s="19">
        <f t="shared" si="115"/>
        <v>7.9239996531983978E-2</v>
      </c>
      <c r="Q64" s="19">
        <f t="shared" si="115"/>
        <v>8.4041444584351199E-2</v>
      </c>
      <c r="R64" s="19">
        <f t="shared" si="115"/>
        <v>8.9121611002890413E-2</v>
      </c>
      <c r="S64" s="19">
        <f t="shared" si="115"/>
        <v>9.4497234402867378E-2</v>
      </c>
      <c r="T64" s="19">
        <f t="shared" ref="T64" si="116">+T63/$D$86</f>
        <v>0.10028264390109327</v>
      </c>
    </row>
    <row r="65" spans="1:28" x14ac:dyDescent="0.2">
      <c r="H65" s="1141"/>
      <c r="I65" s="1153"/>
    </row>
    <row r="66" spans="1:28" x14ac:dyDescent="0.2">
      <c r="B66" s="22" t="s">
        <v>56</v>
      </c>
      <c r="C66" s="22"/>
      <c r="E66" s="37"/>
      <c r="F66" s="37"/>
      <c r="G66" s="37"/>
      <c r="H66" s="1140"/>
      <c r="I66" s="1163">
        <f t="shared" ref="I66:S66" si="117">+H66+I63</f>
        <v>0</v>
      </c>
      <c r="J66" s="40">
        <f t="shared" si="117"/>
        <v>139.50525602428542</v>
      </c>
      <c r="K66" s="40">
        <f t="shared" si="117"/>
        <v>296.72205642738402</v>
      </c>
      <c r="L66" s="40">
        <f t="shared" si="117"/>
        <v>465.37538417761016</v>
      </c>
      <c r="M66" s="40">
        <f t="shared" si="117"/>
        <v>644.40977523855054</v>
      </c>
      <c r="N66" s="40">
        <f t="shared" si="117"/>
        <v>834.41883594130684</v>
      </c>
      <c r="O66" s="40">
        <f t="shared" si="117"/>
        <v>1036.0243447677822</v>
      </c>
      <c r="P66" s="40">
        <f t="shared" si="117"/>
        <v>1249.8870671266131</v>
      </c>
      <c r="Q66" s="40">
        <f t="shared" si="117"/>
        <v>1476.708532502669</v>
      </c>
      <c r="R66" s="40">
        <f t="shared" si="117"/>
        <v>1717.2409805624025</v>
      </c>
      <c r="S66" s="40">
        <f t="shared" si="117"/>
        <v>1972.2818272214577</v>
      </c>
      <c r="T66" s="40">
        <f t="shared" ref="T66" si="118">+S66+T63</f>
        <v>2242.9370539840234</v>
      </c>
    </row>
    <row r="67" spans="1:28" s="12" customFormat="1" x14ac:dyDescent="0.2">
      <c r="B67" s="24" t="s">
        <v>55</v>
      </c>
      <c r="C67" s="25"/>
      <c r="E67" s="19"/>
      <c r="F67" s="19"/>
      <c r="G67" s="19"/>
      <c r="H67" s="1135"/>
      <c r="I67" s="1158">
        <f t="shared" ref="I67:S67" si="119">+I66/$D$86</f>
        <v>0</v>
      </c>
      <c r="J67" s="19">
        <f t="shared" si="119"/>
        <v>5.1689213910829299E-2</v>
      </c>
      <c r="K67" s="19">
        <f t="shared" si="119"/>
        <v>0.109940874514909</v>
      </c>
      <c r="L67" s="19">
        <f t="shared" si="119"/>
        <v>0.17242997480613437</v>
      </c>
      <c r="M67" s="19">
        <f t="shared" si="119"/>
        <v>0.23876544631935839</v>
      </c>
      <c r="N67" s="19">
        <f t="shared" si="119"/>
        <v>0.30916723090839771</v>
      </c>
      <c r="O67" s="19">
        <f t="shared" si="119"/>
        <v>0.38386570871714193</v>
      </c>
      <c r="P67" s="19">
        <f t="shared" si="119"/>
        <v>0.46310570524912592</v>
      </c>
      <c r="Q67" s="19">
        <f t="shared" si="119"/>
        <v>0.54714714983347712</v>
      </c>
      <c r="R67" s="19">
        <f t="shared" si="119"/>
        <v>0.63626876083636752</v>
      </c>
      <c r="S67" s="19">
        <f t="shared" si="119"/>
        <v>0.73076599523923491</v>
      </c>
      <c r="T67" s="19">
        <f t="shared" ref="T67" si="120">+T66/$D$86</f>
        <v>0.83104863914032823</v>
      </c>
    </row>
    <row r="68" spans="1:28" x14ac:dyDescent="0.2">
      <c r="H68" s="1141"/>
      <c r="I68" s="1153"/>
      <c r="V68" s="55"/>
      <c r="W68" s="55"/>
      <c r="X68" s="55"/>
      <c r="Y68" s="55"/>
      <c r="Z68" s="55"/>
      <c r="AA68" s="55"/>
      <c r="AB68" s="55"/>
    </row>
    <row r="69" spans="1:28" x14ac:dyDescent="0.2">
      <c r="B69" s="1" t="s">
        <v>57</v>
      </c>
      <c r="G69" s="41"/>
      <c r="H69" s="1149"/>
      <c r="I69" s="1170">
        <f>+'FA Base'!I69</f>
        <v>20.084716311273503</v>
      </c>
      <c r="V69" s="55"/>
      <c r="W69" s="55"/>
      <c r="X69" s="55"/>
      <c r="Y69" s="55"/>
      <c r="Z69" s="55"/>
      <c r="AA69" s="55"/>
      <c r="AB69" s="55"/>
    </row>
    <row r="70" spans="1:28" x14ac:dyDescent="0.2">
      <c r="B70" s="1" t="s">
        <v>58</v>
      </c>
      <c r="C70" s="41"/>
      <c r="D70" s="41"/>
      <c r="E70" s="41"/>
      <c r="F70" s="41"/>
      <c r="G70" s="41"/>
      <c r="H70" s="1149"/>
      <c r="I70" s="1170">
        <f>+($D$88+I$60-$D$87-I$66)/I$8</f>
        <v>4.0511205894266071</v>
      </c>
      <c r="J70" s="41">
        <f t="shared" ref="J70:T70" si="121">+($D$86+J$60-J$66)/J$8</f>
        <v>3.6450905694416975</v>
      </c>
      <c r="K70" s="41">
        <f t="shared" si="121"/>
        <v>3.2614091637430347</v>
      </c>
      <c r="L70" s="41">
        <f t="shared" si="121"/>
        <v>2.8971091936592352</v>
      </c>
      <c r="M70" s="41">
        <f t="shared" si="121"/>
        <v>2.5531418925235032</v>
      </c>
      <c r="N70" s="41">
        <f t="shared" si="121"/>
        <v>2.2284030263056351</v>
      </c>
      <c r="O70" s="41">
        <f t="shared" si="121"/>
        <v>1.9218537929437287</v>
      </c>
      <c r="P70" s="41">
        <f t="shared" si="121"/>
        <v>1.6325077968887614</v>
      </c>
      <c r="Q70" s="41">
        <f t="shared" si="121"/>
        <v>1.3594292252218552</v>
      </c>
      <c r="R70" s="41">
        <f t="shared" si="121"/>
        <v>1.1017243298452877</v>
      </c>
      <c r="S70" s="41">
        <f t="shared" si="121"/>
        <v>0.85854721202006767</v>
      </c>
      <c r="T70" s="41">
        <f t="shared" si="121"/>
        <v>0.62890661384362578</v>
      </c>
      <c r="U70" s="41"/>
      <c r="V70" s="23"/>
      <c r="W70" s="23"/>
      <c r="X70" s="23"/>
      <c r="Y70" s="23"/>
      <c r="Z70" s="23"/>
      <c r="AA70" s="23"/>
      <c r="AB70" s="23"/>
    </row>
    <row r="71" spans="1:28" x14ac:dyDescent="0.2">
      <c r="B71" s="1" t="s">
        <v>59</v>
      </c>
      <c r="C71" s="41"/>
      <c r="D71" s="41"/>
      <c r="E71" s="41"/>
      <c r="F71" s="41"/>
      <c r="G71" s="41"/>
      <c r="H71" s="1149"/>
      <c r="I71" s="1170">
        <f t="shared" ref="I71:T71" si="122">+($D$86+I$60-I$66)/I$20</f>
        <v>13.919087648627499</v>
      </c>
      <c r="J71" s="41">
        <f t="shared" si="122"/>
        <v>12.502257996321443</v>
      </c>
      <c r="K71" s="41">
        <f t="shared" si="122"/>
        <v>11.167961792899021</v>
      </c>
      <c r="L71" s="41">
        <f t="shared" si="122"/>
        <v>9.9052019957921278</v>
      </c>
      <c r="M71" s="41">
        <f t="shared" si="122"/>
        <v>8.7165001871174805</v>
      </c>
      <c r="N71" s="41">
        <f t="shared" si="122"/>
        <v>7.5974215538844536</v>
      </c>
      <c r="O71" s="41">
        <f t="shared" si="122"/>
        <v>6.5438378762335949</v>
      </c>
      <c r="P71" s="41">
        <f t="shared" si="122"/>
        <v>5.5518730637470428</v>
      </c>
      <c r="Q71" s="41">
        <f t="shared" si="122"/>
        <v>4.6178881952739248</v>
      </c>
      <c r="R71" s="41">
        <f t="shared" si="122"/>
        <v>3.7384448581493506</v>
      </c>
      <c r="S71" s="41">
        <f t="shared" si="122"/>
        <v>2.9103180052653381</v>
      </c>
      <c r="T71" s="41">
        <f t="shared" si="122"/>
        <v>2.129835533983738</v>
      </c>
      <c r="U71" s="41"/>
      <c r="V71" s="23"/>
      <c r="W71" s="23"/>
      <c r="X71" s="23"/>
      <c r="Y71" s="23"/>
      <c r="Z71" s="23"/>
      <c r="AA71" s="23"/>
      <c r="AB71" s="23"/>
    </row>
    <row r="72" spans="1:28" x14ac:dyDescent="0.2">
      <c r="B72" s="1" t="s">
        <v>60</v>
      </c>
      <c r="C72" s="41"/>
      <c r="D72" s="41"/>
      <c r="E72" s="41"/>
      <c r="F72" s="41"/>
      <c r="G72" s="41"/>
      <c r="H72" s="1149"/>
      <c r="I72" s="1170">
        <f t="shared" ref="I72:T72" si="123">+($D$86+I$60-I$66)/I$28</f>
        <v>15.821732252510923</v>
      </c>
      <c r="J72" s="41">
        <f t="shared" si="123"/>
        <v>14.207856201577805</v>
      </c>
      <c r="K72" s="41">
        <f t="shared" si="123"/>
        <v>12.688697409454887</v>
      </c>
      <c r="L72" s="41">
        <f t="shared" si="123"/>
        <v>11.251625854822208</v>
      </c>
      <c r="M72" s="41">
        <f t="shared" si="123"/>
        <v>9.8993880792576654</v>
      </c>
      <c r="N72" s="41">
        <f t="shared" si="123"/>
        <v>8.6268408789167523</v>
      </c>
      <c r="O72" s="41">
        <f t="shared" si="123"/>
        <v>7.4292031052128902</v>
      </c>
      <c r="P72" s="41">
        <f t="shared" si="123"/>
        <v>6.3019920522318023</v>
      </c>
      <c r="Q72" s="41">
        <f t="shared" si="123"/>
        <v>5.241004945031885</v>
      </c>
      <c r="R72" s="41">
        <f t="shared" si="123"/>
        <v>4.2422759941868859</v>
      </c>
      <c r="S72" s="41">
        <f t="shared" si="123"/>
        <v>3.3020898223084103</v>
      </c>
      <c r="T72" s="41">
        <f t="shared" si="123"/>
        <v>2.4162311979237927</v>
      </c>
      <c r="U72" s="41"/>
      <c r="V72" s="23"/>
      <c r="W72" s="23"/>
      <c r="X72" s="23"/>
      <c r="Y72" s="23"/>
      <c r="Z72" s="23"/>
      <c r="AA72" s="23"/>
      <c r="AB72" s="23"/>
    </row>
    <row r="73" spans="1:28" x14ac:dyDescent="0.2">
      <c r="B73" s="1" t="s">
        <v>61</v>
      </c>
      <c r="C73" s="41"/>
      <c r="D73" s="41"/>
      <c r="E73" s="41"/>
      <c r="F73" s="41"/>
      <c r="G73" s="41"/>
      <c r="H73" s="1149"/>
      <c r="I73" s="1170">
        <f t="shared" ref="I73:S73" si="124">+($D$86-I66)/(I20-I32-I35-I38)</f>
        <v>24.824295892585692</v>
      </c>
      <c r="J73" s="41">
        <f t="shared" si="124"/>
        <v>19.47190210058082</v>
      </c>
      <c r="K73" s="41">
        <f t="shared" si="124"/>
        <v>17.160445242235344</v>
      </c>
      <c r="L73" s="41">
        <f t="shared" si="124"/>
        <v>14.827952943734683</v>
      </c>
      <c r="M73" s="41">
        <f t="shared" si="124"/>
        <v>12.818755015572815</v>
      </c>
      <c r="N73" s="41">
        <f t="shared" si="124"/>
        <v>10.931253636731961</v>
      </c>
      <c r="O73" s="41">
        <f t="shared" si="124"/>
        <v>9.1599847978401776</v>
      </c>
      <c r="P73" s="41">
        <f t="shared" si="124"/>
        <v>7.4987960416950683</v>
      </c>
      <c r="Q73" s="41">
        <f t="shared" si="124"/>
        <v>5.9417347657919306</v>
      </c>
      <c r="R73" s="41">
        <f t="shared" si="124"/>
        <v>4.4828423995845741</v>
      </c>
      <c r="S73" s="41">
        <f t="shared" si="124"/>
        <v>3.1166933677519757</v>
      </c>
      <c r="T73" s="41">
        <f t="shared" ref="T73" si="125">+($D$86-T66)/(T20-T32-T35-T38)</f>
        <v>1.8427744375980972</v>
      </c>
      <c r="U73" s="41"/>
      <c r="V73" s="23"/>
      <c r="W73" s="23"/>
      <c r="X73" s="23"/>
      <c r="Y73" s="23"/>
      <c r="Z73" s="23"/>
      <c r="AA73" s="23"/>
      <c r="AB73" s="23"/>
    </row>
    <row r="74" spans="1:28" x14ac:dyDescent="0.2">
      <c r="B74" s="1" t="s">
        <v>62</v>
      </c>
      <c r="D74" s="90">
        <f t="shared" ref="D74:S74" si="126">+($D$86-D66)/D41</f>
        <v>71.917127064544715</v>
      </c>
      <c r="E74" s="90">
        <f t="shared" si="126"/>
        <v>54.956148354425245</v>
      </c>
      <c r="F74" s="90">
        <f t="shared" si="126"/>
        <v>22.053365286093083</v>
      </c>
      <c r="G74" s="90">
        <f t="shared" si="126"/>
        <v>18.044584040288896</v>
      </c>
      <c r="H74" s="1182">
        <f t="shared" si="126"/>
        <v>22.334920907076583</v>
      </c>
      <c r="I74" s="1170">
        <f t="shared" si="126"/>
        <v>24.097513652871029</v>
      </c>
      <c r="J74" s="41">
        <f t="shared" si="126"/>
        <v>18.976410032364381</v>
      </c>
      <c r="K74" s="41">
        <f t="shared" si="126"/>
        <v>16.742509440976356</v>
      </c>
      <c r="L74" s="41">
        <f t="shared" si="126"/>
        <v>14.494952343649819</v>
      </c>
      <c r="M74" s="41">
        <f t="shared" si="126"/>
        <v>12.558245237001913</v>
      </c>
      <c r="N74" s="41">
        <f t="shared" si="126"/>
        <v>10.737307467976438</v>
      </c>
      <c r="O74" s="41">
        <f t="shared" si="126"/>
        <v>9.0246422394708219</v>
      </c>
      <c r="P74" s="41">
        <f t="shared" si="126"/>
        <v>7.4127603055101163</v>
      </c>
      <c r="Q74" s="41">
        <f t="shared" si="126"/>
        <v>5.8948987227877252</v>
      </c>
      <c r="R74" s="41">
        <f t="shared" si="126"/>
        <v>4.4647080758363558</v>
      </c>
      <c r="S74" s="41">
        <f t="shared" si="126"/>
        <v>3.1166933677519757</v>
      </c>
      <c r="T74" s="41">
        <f t="shared" ref="T74" si="127">+($D$86-T66)/T41</f>
        <v>1.8427744375980972</v>
      </c>
      <c r="U74" s="41"/>
      <c r="V74" s="41"/>
      <c r="W74" s="41"/>
      <c r="X74" s="41"/>
      <c r="Y74" s="41"/>
      <c r="Z74" s="41"/>
      <c r="AA74" s="41"/>
      <c r="AB74" s="41"/>
    </row>
    <row r="75" spans="1:28" x14ac:dyDescent="0.2">
      <c r="E75" s="41"/>
      <c r="F75" s="41"/>
      <c r="G75" s="41"/>
      <c r="H75" s="1149"/>
      <c r="I75" s="1170"/>
      <c r="J75" s="41"/>
      <c r="K75" s="41"/>
      <c r="L75" s="41"/>
      <c r="M75" s="41"/>
      <c r="N75" s="41"/>
      <c r="O75" s="41"/>
      <c r="P75" s="41"/>
      <c r="Q75" s="41"/>
      <c r="R75" s="41"/>
      <c r="S75" s="41"/>
      <c r="T75" s="41"/>
    </row>
    <row r="76" spans="1:28" ht="14.5" x14ac:dyDescent="0.35">
      <c r="A76" s="1" t="s">
        <v>26</v>
      </c>
      <c r="B76" s="11" t="s">
        <v>65</v>
      </c>
      <c r="C76" s="3"/>
      <c r="U76"/>
      <c r="V76"/>
      <c r="W76"/>
      <c r="X76"/>
    </row>
    <row r="77" spans="1:28" ht="14.5" x14ac:dyDescent="0.35">
      <c r="U77"/>
      <c r="V77"/>
      <c r="W77"/>
      <c r="X77"/>
    </row>
    <row r="78" spans="1:28" ht="14.5" x14ac:dyDescent="0.35">
      <c r="B78" s="26" t="s">
        <v>66</v>
      </c>
      <c r="C78" s="26"/>
      <c r="U78"/>
      <c r="V78"/>
      <c r="W78"/>
      <c r="X78"/>
    </row>
    <row r="79" spans="1:28" ht="14.5" x14ac:dyDescent="0.35">
      <c r="B79" s="1" t="s">
        <v>67</v>
      </c>
      <c r="S79" s="91">
        <v>15</v>
      </c>
      <c r="U79"/>
      <c r="V79"/>
      <c r="W79"/>
      <c r="X79"/>
    </row>
    <row r="80" spans="1:28" ht="16.5" x14ac:dyDescent="0.55000000000000004">
      <c r="B80" s="22" t="s">
        <v>68</v>
      </c>
      <c r="C80" s="22"/>
      <c r="D80" s="37"/>
      <c r="S80" s="52">
        <f>+T41*S79</f>
        <v>3711.687609230552</v>
      </c>
      <c r="T80" s="42"/>
      <c r="U80"/>
      <c r="V80"/>
      <c r="W80"/>
      <c r="X80"/>
    </row>
    <row r="81" spans="1:20" x14ac:dyDescent="0.2">
      <c r="B81" s="22" t="s">
        <v>69</v>
      </c>
      <c r="C81" s="22"/>
      <c r="E81" s="37"/>
      <c r="I81" s="40">
        <f>-$D$86+I66</f>
        <v>-2698.9239237600004</v>
      </c>
      <c r="J81" s="40">
        <f>+J63</f>
        <v>139.50525602428542</v>
      </c>
      <c r="K81" s="40">
        <f t="shared" ref="K81:R81" si="128">+K63</f>
        <v>157.2168004030986</v>
      </c>
      <c r="L81" s="40">
        <f t="shared" si="128"/>
        <v>168.65332775022614</v>
      </c>
      <c r="M81" s="40">
        <f t="shared" si="128"/>
        <v>179.03439106094041</v>
      </c>
      <c r="N81" s="40">
        <f t="shared" si="128"/>
        <v>190.0090607027563</v>
      </c>
      <c r="O81" s="40">
        <f t="shared" si="128"/>
        <v>201.60550882647522</v>
      </c>
      <c r="P81" s="40">
        <f t="shared" si="128"/>
        <v>213.86272235883104</v>
      </c>
      <c r="Q81" s="40">
        <f t="shared" si="128"/>
        <v>226.82146537605578</v>
      </c>
      <c r="R81" s="40">
        <f t="shared" si="128"/>
        <v>240.53244805973344</v>
      </c>
      <c r="S81" s="40">
        <f>+S63+S80</f>
        <v>3966.7284558896072</v>
      </c>
      <c r="T81" s="40"/>
    </row>
    <row r="82" spans="1:20" ht="10.5" x14ac:dyDescent="0.25">
      <c r="B82" s="27" t="s">
        <v>70</v>
      </c>
      <c r="C82" s="28"/>
      <c r="D82" s="28"/>
      <c r="E82" s="28"/>
      <c r="F82" s="28"/>
      <c r="G82" s="28"/>
      <c r="H82" s="28"/>
      <c r="I82" s="29">
        <f ca="1">XIRR(I81:S81,I3:S3)</f>
        <v>9.8950380086898826E-2</v>
      </c>
      <c r="T82" s="41"/>
    </row>
    <row r="84" spans="1:20" ht="10.5" x14ac:dyDescent="0.25">
      <c r="B84" s="30" t="s">
        <v>71</v>
      </c>
      <c r="C84" s="31"/>
      <c r="D84" s="43"/>
      <c r="E84" s="44"/>
    </row>
    <row r="85" spans="1:20" ht="10.5" x14ac:dyDescent="0.25">
      <c r="D85" s="45" t="s">
        <v>72</v>
      </c>
      <c r="E85" s="45" t="s">
        <v>73</v>
      </c>
    </row>
    <row r="86" spans="1:20" x14ac:dyDescent="0.2">
      <c r="B86" s="1" t="s">
        <v>74</v>
      </c>
      <c r="D86" s="52">
        <f>+E86*E89</f>
        <v>2698.9239237600004</v>
      </c>
      <c r="E86" s="67">
        <f>+'FA Base'!E87</f>
        <v>18.73</v>
      </c>
    </row>
    <row r="87" spans="1:20" ht="11.5" x14ac:dyDescent="0.35">
      <c r="B87" s="1" t="s">
        <v>52</v>
      </c>
      <c r="D87" s="50">
        <f>+'FA Base'!D88</f>
        <v>252.45200000000006</v>
      </c>
      <c r="E87" s="46">
        <f>+D87/E$89</f>
        <v>1.7519671148835512</v>
      </c>
      <c r="F87" s="982"/>
    </row>
    <row r="88" spans="1:20" ht="10.5" x14ac:dyDescent="0.25">
      <c r="B88" s="32" t="s">
        <v>76</v>
      </c>
      <c r="C88" s="32"/>
      <c r="D88" s="65">
        <f>+D86+D87</f>
        <v>2951.3759237600007</v>
      </c>
      <c r="E88" s="63">
        <f>+D88/E$89</f>
        <v>20.481967114883552</v>
      </c>
    </row>
    <row r="89" spans="1:20" x14ac:dyDescent="0.2">
      <c r="A89" s="1" t="s">
        <v>26</v>
      </c>
      <c r="B89" s="13" t="s">
        <v>77</v>
      </c>
      <c r="C89" s="13"/>
      <c r="D89" s="40"/>
      <c r="E89" s="95">
        <f>+'FA Base'!E90</f>
        <v>144.09631200000001</v>
      </c>
      <c r="F89" s="652"/>
    </row>
    <row r="92" spans="1:20" x14ac:dyDescent="0.2">
      <c r="G92" s="96"/>
      <c r="H92" s="96"/>
      <c r="I92" s="96">
        <f ca="1">+I82</f>
        <v>9.8950380086898826E-2</v>
      </c>
    </row>
    <row r="96" spans="1:20" x14ac:dyDescent="0.2">
      <c r="D96" s="1">
        <f t="shared" ref="D96:K96" si="129">+$E$86/D74</f>
        <v>0.26043865716702036</v>
      </c>
      <c r="E96" s="1">
        <f t="shared" si="129"/>
        <v>0.34081718899231772</v>
      </c>
      <c r="F96" s="1">
        <f t="shared" si="129"/>
        <v>0.84930348529669497</v>
      </c>
      <c r="G96" s="1">
        <f t="shared" si="129"/>
        <v>1.0379845807573478</v>
      </c>
      <c r="H96" s="1">
        <f t="shared" si="129"/>
        <v>0.8385971044144418</v>
      </c>
      <c r="I96" s="1">
        <f t="shared" si="129"/>
        <v>0.77725861139904229</v>
      </c>
      <c r="J96" s="1">
        <f t="shared" si="129"/>
        <v>0.98701492895947507</v>
      </c>
      <c r="K96" s="1">
        <f t="shared" si="129"/>
        <v>1.1187092392589233</v>
      </c>
    </row>
  </sheetData>
  <pageMargins left="0.3" right="0.3" top="0.3" bottom="0.3" header="0.3" footer="0.3"/>
  <pageSetup scale="60" fitToHeight="0" orientation="landscape" r:id="rId1"/>
  <headerFooter>
    <oddFoote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70BF-1DB6-4F20-A738-3473724B177B}">
  <sheetPr>
    <pageSetUpPr fitToPage="1"/>
  </sheetPr>
  <dimension ref="A1:BB208"/>
  <sheetViews>
    <sheetView view="pageBreakPreview" zoomScale="60" zoomScaleNormal="85" workbookViewId="0">
      <pane xSplit="1" ySplit="5" topLeftCell="B6" activePane="bottomRight" state="frozen"/>
      <selection pane="topRight" activeCell="B1" sqref="B1"/>
      <selection pane="bottomLeft" activeCell="A7" sqref="A7"/>
      <selection pane="bottomRight"/>
    </sheetView>
  </sheetViews>
  <sheetFormatPr defaultColWidth="8.7265625" defaultRowHeight="12.5" outlineLevelCol="1" x14ac:dyDescent="0.25"/>
  <cols>
    <col min="1" max="1" width="25.54296875" style="132" customWidth="1"/>
    <col min="2" max="2" width="2.1796875" style="132" customWidth="1"/>
    <col min="3" max="25" width="9.7265625" style="132" customWidth="1"/>
    <col min="26" max="26" width="8.7265625" style="132"/>
    <col min="27" max="42" width="8.7265625" style="132" hidden="1" customWidth="1" outlineLevel="1"/>
    <col min="43" max="43" width="9.7265625" style="132" customWidth="1" collapsed="1"/>
    <col min="44" max="47" width="9.7265625" style="132" customWidth="1"/>
    <col min="48" max="16384" width="8.7265625" style="132"/>
  </cols>
  <sheetData>
    <row r="1" spans="1:54" ht="13" x14ac:dyDescent="0.3">
      <c r="A1" s="132" t="s">
        <v>568</v>
      </c>
      <c r="AS1" s="400"/>
      <c r="AT1" s="400"/>
      <c r="AU1" s="400">
        <f t="shared" ref="AU1" ca="1" si="0">TODAY()</f>
        <v>45797</v>
      </c>
      <c r="AV1" s="400"/>
    </row>
    <row r="2" spans="1:54" ht="13" x14ac:dyDescent="0.3">
      <c r="A2" s="163" t="s">
        <v>331</v>
      </c>
      <c r="B2" s="163"/>
      <c r="AS2" s="401"/>
      <c r="AT2" s="401"/>
      <c r="AU2" s="401"/>
    </row>
    <row r="3" spans="1:54" s="378" customFormat="1" ht="13" x14ac:dyDescent="0.3">
      <c r="A3" s="402" t="s">
        <v>783</v>
      </c>
      <c r="B3" s="402"/>
    </row>
    <row r="4" spans="1:54" ht="13" x14ac:dyDescent="0.3">
      <c r="C4" s="403" t="s">
        <v>7</v>
      </c>
      <c r="D4" s="404"/>
      <c r="E4" s="404"/>
      <c r="F4" s="404"/>
      <c r="G4" s="403"/>
      <c r="H4" s="404"/>
      <c r="I4" s="404"/>
      <c r="J4" s="404"/>
      <c r="K4" s="403"/>
      <c r="L4" s="403"/>
      <c r="M4" s="403"/>
      <c r="N4" s="403"/>
      <c r="O4" s="403"/>
      <c r="P4" s="403"/>
      <c r="Q4" s="403"/>
      <c r="R4" s="403"/>
      <c r="S4" s="403"/>
      <c r="T4" s="403"/>
      <c r="U4" s="403"/>
      <c r="V4" s="403"/>
      <c r="W4" s="403"/>
      <c r="X4" s="403"/>
      <c r="Y4" s="403"/>
      <c r="Z4" s="585"/>
      <c r="AA4" s="585"/>
      <c r="AB4" s="585"/>
      <c r="AC4" s="585"/>
      <c r="AD4" s="585"/>
      <c r="AE4" s="585"/>
      <c r="AF4" s="585"/>
      <c r="AG4" s="585"/>
      <c r="AH4" s="585"/>
      <c r="AI4" s="585"/>
      <c r="AJ4" s="585"/>
      <c r="AK4" s="585"/>
      <c r="AL4" s="585"/>
      <c r="AM4" s="585"/>
      <c r="AN4" s="585"/>
      <c r="AO4" s="585"/>
      <c r="AP4" s="585"/>
      <c r="AQ4" s="403" t="s">
        <v>7</v>
      </c>
      <c r="AR4" s="404"/>
      <c r="AS4" s="404"/>
      <c r="AT4" s="404"/>
      <c r="AU4" s="404"/>
    </row>
    <row r="5" spans="1:54" ht="16" x14ac:dyDescent="0.6">
      <c r="C5" s="405" t="s">
        <v>86</v>
      </c>
      <c r="D5" s="405" t="s">
        <v>87</v>
      </c>
      <c r="E5" s="405" t="s">
        <v>88</v>
      </c>
      <c r="F5" s="406" t="s">
        <v>89</v>
      </c>
      <c r="G5" s="405" t="s">
        <v>90</v>
      </c>
      <c r="H5" s="405" t="s">
        <v>91</v>
      </c>
      <c r="I5" s="405" t="s">
        <v>92</v>
      </c>
      <c r="J5" s="406" t="s">
        <v>93</v>
      </c>
      <c r="K5" s="405" t="s">
        <v>94</v>
      </c>
      <c r="L5" s="405" t="s">
        <v>95</v>
      </c>
      <c r="M5" s="405" t="s">
        <v>96</v>
      </c>
      <c r="N5" s="406" t="s">
        <v>97</v>
      </c>
      <c r="O5" s="405" t="s">
        <v>98</v>
      </c>
      <c r="P5" s="405" t="s">
        <v>99</v>
      </c>
      <c r="Q5" s="405" t="s">
        <v>100</v>
      </c>
      <c r="R5" s="406" t="s">
        <v>101</v>
      </c>
      <c r="S5" s="405" t="s">
        <v>102</v>
      </c>
      <c r="T5" s="405" t="s">
        <v>103</v>
      </c>
      <c r="U5" s="405" t="s">
        <v>104</v>
      </c>
      <c r="V5" s="406" t="s">
        <v>105</v>
      </c>
      <c r="W5" s="405" t="s">
        <v>106</v>
      </c>
      <c r="X5" s="405" t="s">
        <v>107</v>
      </c>
      <c r="Y5" s="405" t="s">
        <v>108</v>
      </c>
      <c r="Z5" s="585"/>
      <c r="AA5" s="585"/>
      <c r="AB5" s="585"/>
      <c r="AC5" s="585"/>
      <c r="AD5" s="585"/>
      <c r="AE5" s="585"/>
      <c r="AF5" s="585"/>
      <c r="AG5" s="585"/>
      <c r="AH5" s="585"/>
      <c r="AI5" s="585"/>
      <c r="AJ5" s="585"/>
      <c r="AK5" s="585"/>
      <c r="AL5" s="585"/>
      <c r="AM5" s="405" t="s">
        <v>332</v>
      </c>
      <c r="AN5" s="405" t="s">
        <v>333</v>
      </c>
      <c r="AO5" s="405" t="s">
        <v>334</v>
      </c>
      <c r="AP5" s="405" t="s">
        <v>114</v>
      </c>
      <c r="AQ5" s="405" t="s">
        <v>115</v>
      </c>
      <c r="AR5" s="405" t="s">
        <v>116</v>
      </c>
      <c r="AS5" s="405" t="s">
        <v>117</v>
      </c>
      <c r="AT5" s="405" t="s">
        <v>118</v>
      </c>
      <c r="AU5" s="405" t="s">
        <v>119</v>
      </c>
    </row>
    <row r="6" spans="1:54" ht="13" x14ac:dyDescent="0.3">
      <c r="A6" s="569" t="s">
        <v>335</v>
      </c>
      <c r="B6" s="570"/>
      <c r="F6" s="407"/>
      <c r="J6" s="407"/>
      <c r="L6" s="566"/>
      <c r="M6" s="566"/>
      <c r="N6" s="581"/>
      <c r="O6" s="566"/>
      <c r="P6" s="566"/>
      <c r="Q6" s="566"/>
      <c r="R6" s="581"/>
      <c r="S6" s="566"/>
      <c r="T6" s="566"/>
      <c r="U6" s="566"/>
      <c r="V6" s="581"/>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row>
    <row r="7" spans="1:54" ht="13" x14ac:dyDescent="0.3">
      <c r="A7" s="163"/>
      <c r="B7" s="682"/>
      <c r="C7" s="571"/>
      <c r="D7" s="571"/>
      <c r="E7" s="571"/>
      <c r="F7" s="666"/>
      <c r="G7" s="667"/>
      <c r="H7" s="667"/>
      <c r="I7" s="667"/>
      <c r="J7" s="666"/>
      <c r="K7" s="667"/>
      <c r="L7" s="583"/>
      <c r="M7" s="583"/>
      <c r="N7" s="588"/>
      <c r="O7" s="583"/>
      <c r="P7" s="583"/>
      <c r="Q7" s="583"/>
      <c r="R7" s="588"/>
      <c r="S7" s="583"/>
      <c r="T7" s="583"/>
      <c r="U7" s="583"/>
      <c r="V7" s="58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6"/>
      <c r="AW7" s="566"/>
      <c r="AX7" s="566"/>
      <c r="AY7" s="566"/>
      <c r="AZ7" s="566"/>
      <c r="BA7" s="566"/>
      <c r="BB7" s="566"/>
    </row>
    <row r="8" spans="1:54" ht="13" x14ac:dyDescent="0.3">
      <c r="A8" s="132" t="s">
        <v>784</v>
      </c>
      <c r="B8" s="682"/>
      <c r="C8" s="568"/>
      <c r="D8" s="568"/>
      <c r="E8" s="568">
        <f>+'STER Canalyst'!Q119*1000</f>
        <v>132765</v>
      </c>
      <c r="F8" s="588">
        <f>+'STER Canalyst'!R119*1000</f>
        <v>121429</v>
      </c>
      <c r="G8" s="583">
        <f>+'STER Canalyst'!S119*1000</f>
        <v>119376</v>
      </c>
      <c r="H8" s="583">
        <f>+'STER Canalyst'!T119*1000</f>
        <v>88571</v>
      </c>
      <c r="I8" s="583">
        <f>+'STER Canalyst'!U119*1000</f>
        <v>117602</v>
      </c>
      <c r="J8" s="588">
        <f>+'STER Canalyst'!V119*1000</f>
        <v>128502.99999999999</v>
      </c>
      <c r="K8" s="583">
        <f>+'STER Canalyst'!W119*1000</f>
        <v>139370</v>
      </c>
      <c r="L8" s="583">
        <f>+'STER Canalyst'!X119*1000</f>
        <v>159328</v>
      </c>
      <c r="M8" s="583">
        <f>+'STER Canalyst'!Y119*1000</f>
        <v>169557</v>
      </c>
      <c r="N8" s="588">
        <f>+'STER Canalyst'!Z119*1000</f>
        <v>173629</v>
      </c>
      <c r="O8" s="583">
        <f>+'STER Canalyst'!AA119*1000</f>
        <v>191972</v>
      </c>
      <c r="P8" s="583">
        <f>+'STER Canalyst'!AB119*1000</f>
        <v>205591</v>
      </c>
      <c r="Q8" s="583">
        <f>+'STER Canalyst'!AC119*1000</f>
        <v>199299</v>
      </c>
      <c r="R8" s="588">
        <f>+'STER Canalyst'!AD119*1000</f>
        <v>169920</v>
      </c>
      <c r="S8" s="583">
        <f>+'STER Canalyst'!AE119*1000</f>
        <v>179274</v>
      </c>
      <c r="T8" s="583">
        <f>+'STER Canalyst'!AF119*1000</f>
        <v>190384</v>
      </c>
      <c r="U8" s="583">
        <f>+'STER Canalyst'!AG119*1000</f>
        <v>180566</v>
      </c>
      <c r="V8" s="588">
        <f>+'STER Canalyst'!AH119*1000</f>
        <v>169415.99999999994</v>
      </c>
      <c r="W8" s="568">
        <f>+'STER Canalyst'!AI119*1000</f>
        <v>185999</v>
      </c>
      <c r="X8" s="568">
        <f>+'STER Canalyst'!AJ119*1000</f>
        <v>200528</v>
      </c>
      <c r="Y8" s="568"/>
      <c r="Z8" s="568"/>
      <c r="AA8" s="568"/>
      <c r="AB8" s="568"/>
      <c r="AC8" s="568"/>
      <c r="AD8" s="568"/>
      <c r="AE8" s="568"/>
      <c r="AF8" s="568"/>
      <c r="AG8" s="568"/>
      <c r="AH8" s="568"/>
      <c r="AI8" s="568"/>
      <c r="AJ8" s="568"/>
      <c r="AK8" s="568"/>
      <c r="AL8" s="568"/>
      <c r="AM8" s="568"/>
      <c r="AN8" s="568"/>
      <c r="AO8" s="568"/>
      <c r="AP8" s="568"/>
      <c r="AQ8" s="568">
        <f>+'STER Canalyst'!BB119*1000</f>
        <v>497116</v>
      </c>
      <c r="AR8" s="568">
        <f>+'STER Canalyst'!BC119*1000</f>
        <v>454053</v>
      </c>
      <c r="AS8" s="568">
        <f>+'STER Canalyst'!BD119*1000</f>
        <v>641884</v>
      </c>
      <c r="AT8" s="568">
        <v>766782</v>
      </c>
      <c r="AU8" s="568">
        <v>719640</v>
      </c>
      <c r="AV8" s="566"/>
      <c r="AW8" s="566"/>
      <c r="AX8" s="566"/>
      <c r="AY8" s="566"/>
      <c r="AZ8" s="566"/>
      <c r="BA8" s="566"/>
      <c r="BB8" s="566"/>
    </row>
    <row r="9" spans="1:54" ht="13" x14ac:dyDescent="0.3">
      <c r="B9" s="682"/>
      <c r="C9" s="568"/>
      <c r="D9" s="568"/>
      <c r="E9" s="568"/>
      <c r="F9" s="588"/>
      <c r="G9" s="583"/>
      <c r="H9" s="583"/>
      <c r="I9" s="583"/>
      <c r="J9" s="588"/>
      <c r="K9" s="583"/>
      <c r="L9" s="583"/>
      <c r="M9" s="583"/>
      <c r="N9" s="588"/>
      <c r="O9" s="583"/>
      <c r="P9" s="583"/>
      <c r="Q9" s="583"/>
      <c r="R9" s="588"/>
      <c r="S9" s="583"/>
      <c r="T9" s="583"/>
      <c r="U9" s="583"/>
      <c r="V9" s="58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6"/>
      <c r="AW9" s="566"/>
      <c r="AX9" s="566"/>
      <c r="AY9" s="566"/>
      <c r="AZ9" s="566"/>
      <c r="BA9" s="566"/>
      <c r="BB9" s="566"/>
    </row>
    <row r="10" spans="1:54" x14ac:dyDescent="0.25">
      <c r="A10" s="649" t="s">
        <v>785</v>
      </c>
      <c r="B10" s="571"/>
      <c r="C10" s="571"/>
      <c r="D10" s="571"/>
      <c r="E10" s="571"/>
      <c r="F10" s="666"/>
      <c r="G10" s="667"/>
      <c r="H10" s="667"/>
      <c r="I10" s="667">
        <f>+'STER Canalyst'!U120*1000</f>
        <v>55112</v>
      </c>
      <c r="J10" s="666"/>
      <c r="K10" s="667">
        <f>+'STER Canalyst'!W120*1000</f>
        <v>67579</v>
      </c>
      <c r="L10" s="667">
        <f>+'STER Canalyst'!X120*1000</f>
        <v>75580.999999999956</v>
      </c>
      <c r="M10" s="667">
        <f>+'STER Canalyst'!Y120*1000</f>
        <v>82638</v>
      </c>
      <c r="N10" s="666">
        <f>+'STER Canalyst'!Z120*1000</f>
        <v>87357</v>
      </c>
      <c r="O10" s="667">
        <f>+'STER Canalyst'!AA120*1000</f>
        <v>100956</v>
      </c>
      <c r="P10" s="667">
        <f>+'STER Canalyst'!AB120*1000</f>
        <v>107576</v>
      </c>
      <c r="Q10" s="667">
        <f>+'STER Canalyst'!AC120*1000</f>
        <v>106422</v>
      </c>
      <c r="R10" s="666">
        <f>+'STER Canalyst'!AD120*1000</f>
        <v>92729</v>
      </c>
      <c r="S10" s="667">
        <f>+'STER Canalyst'!AE120*1000</f>
        <v>94754</v>
      </c>
      <c r="T10" s="667">
        <f>+'STER Canalyst'!AF120*1000</f>
        <v>102056</v>
      </c>
      <c r="U10" s="667">
        <f>+'STER Canalyst'!AG120*1000</f>
        <v>95882</v>
      </c>
      <c r="V10" s="666">
        <f>+'STER Canalyst'!AH120*1000</f>
        <v>91961.000000000015</v>
      </c>
      <c r="W10" s="571">
        <f>+'STER Canalyst'!AI120*1000</f>
        <v>104041</v>
      </c>
      <c r="X10" s="571">
        <f>+'STER Canalyst'!AJ120*1000</f>
        <v>110859</v>
      </c>
      <c r="Y10" s="571"/>
      <c r="Z10" s="571"/>
      <c r="AA10" s="571"/>
      <c r="AB10" s="571"/>
      <c r="AC10" s="571"/>
      <c r="AD10" s="571"/>
      <c r="AE10" s="571"/>
      <c r="AF10" s="571"/>
      <c r="AG10" s="571"/>
      <c r="AH10" s="571"/>
      <c r="AI10" s="571"/>
      <c r="AJ10" s="571"/>
      <c r="AK10" s="571"/>
      <c r="AL10" s="571"/>
      <c r="AM10" s="571"/>
      <c r="AN10" s="571"/>
      <c r="AO10" s="571"/>
      <c r="AP10" s="571"/>
      <c r="AQ10" s="571">
        <f>+'STER Canalyst'!BB120*1000</f>
        <v>221347</v>
      </c>
      <c r="AR10" s="571">
        <f>+'STER Canalyst'!BC120*1000</f>
        <v>217310</v>
      </c>
      <c r="AS10" s="571">
        <f>+'STER Canalyst'!BD120*1000</f>
        <v>313155</v>
      </c>
      <c r="AT10" s="571">
        <v>407683</v>
      </c>
      <c r="AU10" s="571">
        <v>384653</v>
      </c>
    </row>
    <row r="11" spans="1:54" x14ac:dyDescent="0.25">
      <c r="A11" s="649" t="s">
        <v>786</v>
      </c>
      <c r="B11" s="571"/>
      <c r="C11" s="571"/>
      <c r="D11" s="571"/>
      <c r="E11" s="571"/>
      <c r="F11" s="666"/>
      <c r="G11" s="667"/>
      <c r="H11" s="667"/>
      <c r="I11" s="667">
        <f>+'STER Canalyst'!U122*1000</f>
        <v>10842</v>
      </c>
      <c r="J11" s="666"/>
      <c r="K11" s="667">
        <f>+'STER Canalyst'!W122*1000</f>
        <v>10353</v>
      </c>
      <c r="L11" s="667">
        <f>+'STER Canalyst'!X122*1000</f>
        <v>9998</v>
      </c>
      <c r="M11" s="667">
        <f>+'STER Canalyst'!Y122*1000</f>
        <v>12084</v>
      </c>
      <c r="N11" s="666">
        <f>+'STER Canalyst'!Z122*1000</f>
        <v>11888</v>
      </c>
      <c r="O11" s="667">
        <f>+'STER Canalyst'!AA122*1000</f>
        <v>12552</v>
      </c>
      <c r="P11" s="667">
        <f>+'STER Canalyst'!AB122*1000</f>
        <v>12539</v>
      </c>
      <c r="Q11" s="667">
        <f>+'STER Canalyst'!AC122*1000</f>
        <v>13715</v>
      </c>
      <c r="R11" s="666">
        <f>+'STER Canalyst'!AD122*1000</f>
        <v>11681</v>
      </c>
      <c r="S11" s="667">
        <f>+'STER Canalyst'!AE122*1000</f>
        <v>11952</v>
      </c>
      <c r="T11" s="667">
        <f>+'STER Canalyst'!AF122*1000</f>
        <v>11428</v>
      </c>
      <c r="U11" s="667">
        <f>+'STER Canalyst'!AG122*1000</f>
        <v>11329</v>
      </c>
      <c r="V11" s="666">
        <f>+'STER Canalyst'!AH122*1000</f>
        <v>9705.9999999999964</v>
      </c>
      <c r="W11" s="571">
        <f>+'STER Canalyst'!AI122*1000</f>
        <v>13214</v>
      </c>
      <c r="X11" s="571">
        <f>+'STER Canalyst'!AJ122*1000</f>
        <v>12755</v>
      </c>
      <c r="Y11" s="571"/>
      <c r="Z11" s="571"/>
      <c r="AA11" s="571"/>
      <c r="AB11" s="571"/>
      <c r="AC11" s="571"/>
      <c r="AD11" s="571"/>
      <c r="AE11" s="571"/>
      <c r="AF11" s="571"/>
      <c r="AG11" s="571"/>
      <c r="AH11" s="571"/>
      <c r="AI11" s="571"/>
      <c r="AJ11" s="571"/>
      <c r="AK11" s="571"/>
      <c r="AL11" s="571"/>
      <c r="AM11" s="571"/>
      <c r="AN11" s="571"/>
      <c r="AO11" s="571"/>
      <c r="AP11" s="571"/>
      <c r="AQ11" s="571">
        <f>+'STER Canalyst'!BB122*1000</f>
        <v>44923</v>
      </c>
      <c r="AR11" s="571">
        <f>+'STER Canalyst'!BC122*1000</f>
        <v>44296</v>
      </c>
      <c r="AS11" s="571">
        <f>+'STER Canalyst'!BD122*1000</f>
        <v>44323</v>
      </c>
      <c r="AT11" s="571">
        <v>50487</v>
      </c>
      <c r="AU11" s="571">
        <v>44415</v>
      </c>
    </row>
    <row r="12" spans="1:54" x14ac:dyDescent="0.25">
      <c r="A12" s="649" t="s">
        <v>787</v>
      </c>
      <c r="B12" s="571"/>
      <c r="C12" s="571"/>
      <c r="D12" s="571"/>
      <c r="E12" s="571"/>
      <c r="F12" s="666"/>
      <c r="G12" s="667"/>
      <c r="H12" s="667"/>
      <c r="I12" s="667">
        <f>+'STER Canalyst'!U123*1000</f>
        <v>25391</v>
      </c>
      <c r="J12" s="666"/>
      <c r="K12" s="667">
        <f>+'STER Canalyst'!W123*1000</f>
        <v>29606</v>
      </c>
      <c r="L12" s="667">
        <f>+'STER Canalyst'!X123*1000</f>
        <v>38604.999999999993</v>
      </c>
      <c r="M12" s="667">
        <f>+'STER Canalyst'!Y123*1000</f>
        <v>84983</v>
      </c>
      <c r="N12" s="666">
        <f>+'STER Canalyst'!Z123*1000</f>
        <v>45506</v>
      </c>
      <c r="O12" s="667">
        <f>+'STER Canalyst'!AA123*1000</f>
        <v>42333</v>
      </c>
      <c r="P12" s="667">
        <f>+'STER Canalyst'!AB123*1000</f>
        <v>41886</v>
      </c>
      <c r="Q12" s="667">
        <f>+'STER Canalyst'!AC123*1000</f>
        <v>42411</v>
      </c>
      <c r="R12" s="666">
        <f>+'STER Canalyst'!AD123*1000</f>
        <v>48829</v>
      </c>
      <c r="S12" s="667">
        <f>+'STER Canalyst'!AE123*1000</f>
        <v>47451</v>
      </c>
      <c r="T12" s="667">
        <f>+'STER Canalyst'!AF123*1000</f>
        <v>44910</v>
      </c>
      <c r="U12" s="667">
        <f>+'STER Canalyst'!AG123*1000</f>
        <v>42382</v>
      </c>
      <c r="V12" s="666">
        <f>+'STER Canalyst'!AH123*1000</f>
        <v>39012</v>
      </c>
      <c r="W12" s="571">
        <f>+'STER Canalyst'!AI123*1000</f>
        <v>59890</v>
      </c>
      <c r="X12" s="571">
        <f>+'STER Canalyst'!AJ123*1000</f>
        <v>50379</v>
      </c>
      <c r="Y12" s="571"/>
      <c r="Z12" s="571"/>
      <c r="AA12" s="571"/>
      <c r="AB12" s="571"/>
      <c r="AC12" s="571"/>
      <c r="AD12" s="571"/>
      <c r="AE12" s="571"/>
      <c r="AF12" s="571"/>
      <c r="AG12" s="571"/>
      <c r="AH12" s="571"/>
      <c r="AI12" s="571"/>
      <c r="AJ12" s="571"/>
      <c r="AK12" s="571"/>
      <c r="AL12" s="571"/>
      <c r="AM12" s="571"/>
      <c r="AN12" s="571"/>
      <c r="AO12" s="571"/>
      <c r="AP12" s="571"/>
      <c r="AQ12" s="571">
        <f>+'STER Canalyst'!BB123*1000</f>
        <v>147198</v>
      </c>
      <c r="AR12" s="571">
        <f>+'STER Canalyst'!BC123*1000</f>
        <v>122554</v>
      </c>
      <c r="AS12" s="571">
        <f>+'STER Canalyst'!BD123*1000</f>
        <v>198700</v>
      </c>
      <c r="AT12" s="571">
        <v>175459</v>
      </c>
      <c r="AU12" s="571">
        <v>173755</v>
      </c>
    </row>
    <row r="13" spans="1:54" x14ac:dyDescent="0.25">
      <c r="A13" s="649" t="s">
        <v>343</v>
      </c>
      <c r="B13" s="571"/>
      <c r="C13" s="571"/>
      <c r="D13" s="571"/>
      <c r="E13" s="571"/>
      <c r="F13" s="666"/>
      <c r="G13" s="667"/>
      <c r="H13" s="667"/>
      <c r="I13" s="667">
        <f>+'STER Canalyst'!U124*1000</f>
        <v>22863</v>
      </c>
      <c r="J13" s="666"/>
      <c r="K13" s="667">
        <f>+'STER Canalyst'!W124*1000</f>
        <v>20549</v>
      </c>
      <c r="L13" s="667">
        <f>+'STER Canalyst'!X124*1000</f>
        <v>20298</v>
      </c>
      <c r="M13" s="667">
        <f>+'STER Canalyst'!Y124*1000</f>
        <v>20346</v>
      </c>
      <c r="N13" s="666">
        <f>+'STER Canalyst'!Z124*1000</f>
        <v>20871</v>
      </c>
      <c r="O13" s="667">
        <f>+'STER Canalyst'!AA124*1000</f>
        <v>20156</v>
      </c>
      <c r="P13" s="667">
        <f>+'STER Canalyst'!AB124*1000</f>
        <v>19872</v>
      </c>
      <c r="Q13" s="667">
        <f>+'STER Canalyst'!AC124*1000</f>
        <v>16570</v>
      </c>
      <c r="R13" s="666">
        <f>+'STER Canalyst'!AD124*1000</f>
        <v>16542</v>
      </c>
      <c r="S13" s="667">
        <f>+'STER Canalyst'!AE124*1000</f>
        <v>15122</v>
      </c>
      <c r="T13" s="667">
        <f>+'STER Canalyst'!AF124*1000</f>
        <v>16120.000000000002</v>
      </c>
      <c r="U13" s="667">
        <f>+'STER Canalyst'!AG124*1000</f>
        <v>15875</v>
      </c>
      <c r="V13" s="666">
        <f>+'STER Canalyst'!AH124*1000</f>
        <v>15735.999999999996</v>
      </c>
      <c r="W13" s="571">
        <f>+'STER Canalyst'!AI124*1000</f>
        <v>15770</v>
      </c>
      <c r="X13" s="571">
        <f>+'STER Canalyst'!AJ124*1000</f>
        <v>15820</v>
      </c>
      <c r="Y13" s="571"/>
      <c r="Z13" s="571"/>
      <c r="AA13" s="571"/>
      <c r="AB13" s="571"/>
      <c r="AC13" s="571"/>
      <c r="AD13" s="571"/>
      <c r="AE13" s="571"/>
      <c r="AF13" s="571"/>
      <c r="AG13" s="571"/>
      <c r="AH13" s="571"/>
      <c r="AI13" s="571"/>
      <c r="AJ13" s="571"/>
      <c r="AK13" s="571"/>
      <c r="AL13" s="571"/>
      <c r="AM13" s="571"/>
      <c r="AN13" s="571"/>
      <c r="AO13" s="571"/>
      <c r="AP13" s="571"/>
      <c r="AQ13" s="571">
        <f>+'STER Canalyst'!BB124*1000</f>
        <v>93802</v>
      </c>
      <c r="AR13" s="571">
        <f>+'STER Canalyst'!BC124*1000</f>
        <v>91199</v>
      </c>
      <c r="AS13" s="571">
        <f>+'STER Canalyst'!BD124*1000</f>
        <v>82064</v>
      </c>
      <c r="AT13" s="571">
        <v>73140</v>
      </c>
      <c r="AU13" s="571">
        <v>62853</v>
      </c>
    </row>
    <row r="14" spans="1:54" s="413" customFormat="1" ht="14" x14ac:dyDescent="0.4">
      <c r="A14" s="132" t="s">
        <v>788</v>
      </c>
      <c r="B14" s="614"/>
      <c r="C14" s="719"/>
      <c r="D14" s="719"/>
      <c r="E14" s="719"/>
      <c r="F14" s="718"/>
      <c r="G14" s="719"/>
      <c r="H14" s="719"/>
      <c r="I14" s="719">
        <f>+'STER Canalyst'!U125*1000</f>
        <v>621</v>
      </c>
      <c r="J14" s="718"/>
      <c r="K14" s="719">
        <f>+'STER Canalyst'!W125*1000</f>
        <v>2876</v>
      </c>
      <c r="L14" s="719">
        <f>+'STER Canalyst'!X125*1000</f>
        <v>49.000000000000099</v>
      </c>
      <c r="M14" s="719">
        <f>+'STER Canalyst'!Y125*1000</f>
        <v>15</v>
      </c>
      <c r="N14" s="718">
        <f>+'STER Canalyst'!Z125*1000</f>
        <v>334</v>
      </c>
      <c r="O14" s="719">
        <f>+'STER Canalyst'!AA125*1000</f>
        <v>0</v>
      </c>
      <c r="P14" s="719">
        <f>+'STER Canalyst'!AB125*1000</f>
        <v>612</v>
      </c>
      <c r="Q14" s="719">
        <f>+'STER Canalyst'!AC125*1000</f>
        <v>193</v>
      </c>
      <c r="R14" s="718">
        <f>+'STER Canalyst'!AD125*1000</f>
        <v>203</v>
      </c>
      <c r="S14" s="719">
        <f>+'STER Canalyst'!AE125*1000</f>
        <v>106</v>
      </c>
      <c r="T14" s="719">
        <f>+'STER Canalyst'!AF125*1000</f>
        <v>7039</v>
      </c>
      <c r="U14" s="719">
        <f>+'STER Canalyst'!AG125*1000</f>
        <v>48</v>
      </c>
      <c r="V14" s="718">
        <f>+'STER Canalyst'!AH125*1000</f>
        <v>178.00000000000082</v>
      </c>
      <c r="W14" s="719">
        <f>+'STER Canalyst'!AI125*1000</f>
        <v>168</v>
      </c>
      <c r="X14" s="719">
        <f>+'STER Canalyst'!AJ125*1000</f>
        <v>32</v>
      </c>
      <c r="Y14" s="719"/>
      <c r="Z14" s="719"/>
      <c r="AA14" s="719"/>
      <c r="AB14" s="719"/>
      <c r="AC14" s="719"/>
      <c r="AD14" s="719"/>
      <c r="AE14" s="719"/>
      <c r="AF14" s="719"/>
      <c r="AG14" s="719"/>
      <c r="AH14" s="719"/>
      <c r="AI14" s="719"/>
      <c r="AJ14" s="719"/>
      <c r="AK14" s="719"/>
      <c r="AL14" s="719"/>
      <c r="AM14" s="719"/>
      <c r="AN14" s="719"/>
      <c r="AO14" s="719"/>
      <c r="AP14" s="719"/>
      <c r="AQ14" s="719">
        <f>+'STER Canalyst'!BB125*1000</f>
        <v>3220</v>
      </c>
      <c r="AR14" s="719">
        <f>+'STER Canalyst'!BC125*1000</f>
        <v>1797</v>
      </c>
      <c r="AS14" s="719">
        <f>+'STER Canalyst'!BD125*1000</f>
        <v>3274</v>
      </c>
      <c r="AT14" s="719">
        <v>1008</v>
      </c>
      <c r="AU14" s="719">
        <v>7371</v>
      </c>
      <c r="AV14" s="719"/>
      <c r="AW14" s="614"/>
    </row>
    <row r="15" spans="1:54" s="565" customFormat="1" x14ac:dyDescent="0.25">
      <c r="A15" s="425" t="s">
        <v>344</v>
      </c>
      <c r="B15" s="572"/>
      <c r="C15" s="591"/>
      <c r="D15" s="591"/>
      <c r="E15" s="591">
        <v>127147</v>
      </c>
      <c r="F15" s="590">
        <v>142043</v>
      </c>
      <c r="G15" s="591">
        <v>121262</v>
      </c>
      <c r="H15" s="591">
        <v>106257</v>
      </c>
      <c r="I15" s="591">
        <f t="shared" ref="I15" si="1">+SUM(I10:I14)</f>
        <v>114829</v>
      </c>
      <c r="J15" s="590">
        <f>+J8-J16</f>
        <v>134807</v>
      </c>
      <c r="K15" s="591">
        <f t="shared" ref="K15" si="2">+SUM(K10:K14)</f>
        <v>130963</v>
      </c>
      <c r="L15" s="591">
        <f t="shared" ref="L15" si="3">+SUM(L10:L14)</f>
        <v>144530.99999999994</v>
      </c>
      <c r="M15" s="591">
        <f t="shared" ref="M15" si="4">+SUM(M10:M14)</f>
        <v>200066</v>
      </c>
      <c r="N15" s="590">
        <f t="shared" ref="N15" si="5">+SUM(N10:N14)</f>
        <v>165956</v>
      </c>
      <c r="O15" s="591">
        <f t="shared" ref="O15" si="6">+SUM(O10:O14)</f>
        <v>175997</v>
      </c>
      <c r="P15" s="591">
        <f t="shared" ref="P15" si="7">+SUM(P10:P14)</f>
        <v>182485</v>
      </c>
      <c r="Q15" s="591">
        <f t="shared" ref="Q15" si="8">+SUM(Q10:Q14)</f>
        <v>179311</v>
      </c>
      <c r="R15" s="590">
        <f t="shared" ref="R15" si="9">+SUM(R10:R14)</f>
        <v>169984</v>
      </c>
      <c r="S15" s="591">
        <f t="shared" ref="S15" si="10">+SUM(S10:S14)</f>
        <v>169385</v>
      </c>
      <c r="T15" s="591">
        <f t="shared" ref="T15" si="11">+SUM(T10:T14)</f>
        <v>181553</v>
      </c>
      <c r="U15" s="591">
        <f t="shared" ref="U15" si="12">+SUM(U10:U14)</f>
        <v>165516</v>
      </c>
      <c r="V15" s="590">
        <f t="shared" ref="V15" si="13">+SUM(V10:V14)</f>
        <v>156593</v>
      </c>
      <c r="W15" s="591">
        <f t="shared" ref="W15" si="14">+SUM(W10:W14)</f>
        <v>193083</v>
      </c>
      <c r="X15" s="591">
        <f t="shared" ref="X15" si="15">+SUM(X10:X14)</f>
        <v>189845</v>
      </c>
      <c r="Y15" s="591"/>
      <c r="Z15" s="591"/>
      <c r="AA15" s="591"/>
      <c r="AB15" s="591"/>
      <c r="AC15" s="591"/>
      <c r="AD15" s="591"/>
      <c r="AE15" s="591"/>
      <c r="AF15" s="591"/>
      <c r="AG15" s="591"/>
      <c r="AH15" s="591"/>
      <c r="AI15" s="591"/>
      <c r="AJ15" s="591"/>
      <c r="AK15" s="591"/>
      <c r="AL15" s="591"/>
      <c r="AM15" s="591"/>
      <c r="AN15" s="591"/>
      <c r="AO15" s="591"/>
      <c r="AP15" s="591"/>
      <c r="AQ15" s="591">
        <f t="shared" ref="AQ15:AR15" si="16">+SUM(AQ10:AQ14)</f>
        <v>510490</v>
      </c>
      <c r="AR15" s="591">
        <f t="shared" si="16"/>
        <v>477156</v>
      </c>
      <c r="AS15" s="591">
        <f>+SUM(AS10:AS14)</f>
        <v>641516</v>
      </c>
      <c r="AT15" s="591">
        <v>707777</v>
      </c>
      <c r="AU15" s="591">
        <v>673047</v>
      </c>
      <c r="AV15" s="591"/>
      <c r="AW15" s="572"/>
    </row>
    <row r="16" spans="1:54" x14ac:dyDescent="0.25">
      <c r="A16" s="132" t="s">
        <v>789</v>
      </c>
      <c r="B16" s="571"/>
      <c r="C16" s="571"/>
      <c r="D16" s="571"/>
      <c r="E16" s="571">
        <f t="shared" ref="E16:H16" si="17">+E8-E15</f>
        <v>5618</v>
      </c>
      <c r="F16" s="666">
        <f t="shared" si="17"/>
        <v>-20614</v>
      </c>
      <c r="G16" s="667">
        <f t="shared" si="17"/>
        <v>-1886</v>
      </c>
      <c r="H16" s="667">
        <f t="shared" si="17"/>
        <v>-17686</v>
      </c>
      <c r="I16" s="667">
        <f t="shared" ref="I16" si="18">+I8-I15</f>
        <v>2773</v>
      </c>
      <c r="J16" s="666">
        <v>-6304.0000000000082</v>
      </c>
      <c r="K16" s="667">
        <f t="shared" ref="K16" si="19">+K8-K15</f>
        <v>8407</v>
      </c>
      <c r="L16" s="667">
        <f t="shared" ref="L16" si="20">+L8-L15</f>
        <v>14797.000000000058</v>
      </c>
      <c r="M16" s="667">
        <f t="shared" ref="M16" si="21">+M8-M15</f>
        <v>-30509</v>
      </c>
      <c r="N16" s="666">
        <f t="shared" ref="N16" si="22">+N8-N15</f>
        <v>7673</v>
      </c>
      <c r="O16" s="667">
        <f t="shared" ref="O16" si="23">+O8-O15</f>
        <v>15975</v>
      </c>
      <c r="P16" s="667">
        <f t="shared" ref="P16" si="24">+P8-P15</f>
        <v>23106</v>
      </c>
      <c r="Q16" s="667">
        <f t="shared" ref="Q16" si="25">+Q8-Q15</f>
        <v>19988</v>
      </c>
      <c r="R16" s="666">
        <f t="shared" ref="R16" si="26">+R8-R15</f>
        <v>-64</v>
      </c>
      <c r="S16" s="667">
        <f t="shared" ref="S16" si="27">+S8-S15</f>
        <v>9889</v>
      </c>
      <c r="T16" s="667">
        <f t="shared" ref="T16" si="28">+T8-T15</f>
        <v>8831</v>
      </c>
      <c r="U16" s="667">
        <f t="shared" ref="U16" si="29">+U8-U15</f>
        <v>15050</v>
      </c>
      <c r="V16" s="666">
        <f t="shared" ref="V16" si="30">+V8-V15</f>
        <v>12822.999999999942</v>
      </c>
      <c r="W16" s="571">
        <f t="shared" ref="W16" si="31">+W8-W15</f>
        <v>-7084</v>
      </c>
      <c r="X16" s="571">
        <f t="shared" ref="X16" si="32">+X8-X15</f>
        <v>10683</v>
      </c>
      <c r="Y16" s="571"/>
      <c r="Z16" s="571"/>
      <c r="AA16" s="571"/>
      <c r="AB16" s="571"/>
      <c r="AC16" s="571"/>
      <c r="AD16" s="571"/>
      <c r="AE16" s="571"/>
      <c r="AF16" s="571"/>
      <c r="AG16" s="571"/>
      <c r="AH16" s="571"/>
      <c r="AI16" s="571"/>
      <c r="AJ16" s="571"/>
      <c r="AK16" s="571"/>
      <c r="AL16" s="571"/>
      <c r="AM16" s="571"/>
      <c r="AN16" s="571"/>
      <c r="AO16" s="571"/>
      <c r="AP16" s="571"/>
      <c r="AQ16" s="571">
        <f t="shared" ref="AQ16:AR16" si="33">+AQ8-AQ15</f>
        <v>-13374</v>
      </c>
      <c r="AR16" s="571">
        <f t="shared" si="33"/>
        <v>-23103</v>
      </c>
      <c r="AS16" s="571">
        <f>+AS8-AS15</f>
        <v>368</v>
      </c>
      <c r="AT16" s="571">
        <v>59005</v>
      </c>
      <c r="AU16" s="571">
        <v>46593</v>
      </c>
    </row>
    <row r="17" spans="1:49" x14ac:dyDescent="0.25">
      <c r="B17" s="571"/>
      <c r="C17" s="571"/>
      <c r="D17" s="571"/>
      <c r="E17" s="571"/>
      <c r="F17" s="666"/>
      <c r="G17" s="667"/>
      <c r="H17" s="667"/>
      <c r="I17" s="667"/>
      <c r="J17" s="666"/>
      <c r="K17" s="667"/>
      <c r="L17" s="667"/>
      <c r="M17" s="667"/>
      <c r="N17" s="666"/>
      <c r="O17" s="667"/>
      <c r="P17" s="667"/>
      <c r="Q17" s="667"/>
      <c r="R17" s="666"/>
      <c r="S17" s="667"/>
      <c r="T17" s="667"/>
      <c r="U17" s="667"/>
      <c r="V17" s="666"/>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row>
    <row r="18" spans="1:49" x14ac:dyDescent="0.25">
      <c r="A18" s="649" t="s">
        <v>790</v>
      </c>
      <c r="B18" s="571"/>
      <c r="C18" s="571"/>
      <c r="D18" s="571"/>
      <c r="E18" s="571">
        <v>9784</v>
      </c>
      <c r="F18" s="666">
        <v>9199</v>
      </c>
      <c r="G18" s="667">
        <v>9056</v>
      </c>
      <c r="H18" s="667">
        <v>8237</v>
      </c>
      <c r="I18" s="667">
        <f>+'STER Canalyst'!U127*1000</f>
        <v>7817</v>
      </c>
      <c r="J18" s="666">
        <f>+'STER Canalyst'!V127*1000</f>
        <v>7837</v>
      </c>
      <c r="K18" s="667">
        <f>+'STER Canalyst'!W127*1000</f>
        <v>7570</v>
      </c>
      <c r="L18" s="667">
        <f>+'STER Canalyst'!X127*1000</f>
        <v>7603</v>
      </c>
      <c r="M18" s="667">
        <f>+'STER Canalyst'!Y127*1000</f>
        <v>7668</v>
      </c>
      <c r="N18" s="666">
        <f>+'STER Canalyst'!Z127*1000</f>
        <v>8016</v>
      </c>
      <c r="O18" s="667">
        <f>+'STER Canalyst'!AA127*1000</f>
        <v>6336</v>
      </c>
      <c r="P18" s="667">
        <f>+'STER Canalyst'!AB127*1000</f>
        <v>6619</v>
      </c>
      <c r="Q18" s="667">
        <f>+'STER Canalyst'!AC127*1000</f>
        <v>7764</v>
      </c>
      <c r="R18" s="666">
        <f>+'STER Canalyst'!AD127*1000</f>
        <v>8828</v>
      </c>
      <c r="S18" s="667">
        <f>+'STER Canalyst'!AE127*1000</f>
        <v>8608</v>
      </c>
      <c r="T18" s="667">
        <f>+'STER Canalyst'!AF127*1000</f>
        <v>8990</v>
      </c>
      <c r="U18" s="667">
        <f>+'STER Canalyst'!AG127*1000</f>
        <v>9305</v>
      </c>
      <c r="V18" s="666">
        <f>+'STER Canalyst'!AH127*1000</f>
        <v>9329.9999999999982</v>
      </c>
      <c r="W18" s="571">
        <f>+'STER Canalyst'!AI127*1000</f>
        <v>10312</v>
      </c>
      <c r="X18" s="571">
        <f>+'STER Canalyst'!AJ127*1000</f>
        <v>10143</v>
      </c>
      <c r="Y18" s="571"/>
      <c r="Z18" s="571"/>
      <c r="AA18" s="571"/>
      <c r="AB18" s="571"/>
      <c r="AC18" s="571"/>
      <c r="AD18" s="571"/>
      <c r="AE18" s="571"/>
      <c r="AF18" s="571"/>
      <c r="AG18" s="571"/>
      <c r="AH18" s="571"/>
      <c r="AI18" s="571"/>
      <c r="AJ18" s="571"/>
      <c r="AK18" s="571"/>
      <c r="AL18" s="571"/>
      <c r="AM18" s="571"/>
      <c r="AN18" s="571"/>
      <c r="AO18" s="571"/>
      <c r="AP18" s="571"/>
      <c r="AQ18" s="571">
        <f>+'STER Canalyst'!BB127*1000</f>
        <v>39316</v>
      </c>
      <c r="AR18" s="571">
        <f>+'STER Canalyst'!BC127*1000</f>
        <v>32947</v>
      </c>
      <c r="AS18" s="571">
        <f>+'STER Canalyst'!BD127*1000</f>
        <v>30857</v>
      </c>
      <c r="AT18" s="571">
        <v>29547</v>
      </c>
      <c r="AU18" s="571">
        <v>36233</v>
      </c>
    </row>
    <row r="19" spans="1:49" x14ac:dyDescent="0.25">
      <c r="A19" s="649" t="s">
        <v>791</v>
      </c>
      <c r="B19" s="571"/>
      <c r="C19" s="571"/>
      <c r="D19" s="571"/>
      <c r="E19" s="571">
        <v>1069</v>
      </c>
      <c r="F19" s="666">
        <v>-1181</v>
      </c>
      <c r="G19" s="667">
        <v>8755</v>
      </c>
      <c r="H19" s="667">
        <v>899</v>
      </c>
      <c r="I19" s="667">
        <f>+'STER Canalyst'!U128*1000</f>
        <v>-49</v>
      </c>
      <c r="J19" s="666">
        <f>+'STER Canalyst'!V128*1000</f>
        <v>-153</v>
      </c>
      <c r="K19" s="667">
        <f>+'STER Canalyst'!W128*1000</f>
        <v>-46</v>
      </c>
      <c r="L19" s="667">
        <f>+'STER Canalyst'!X128*1000</f>
        <v>133</v>
      </c>
      <c r="M19" s="667">
        <f>+'STER Canalyst'!Y128*1000</f>
        <v>112</v>
      </c>
      <c r="N19" s="666">
        <f>+'STER Canalyst'!Z128*1000</f>
        <v>-168</v>
      </c>
      <c r="O19" s="667">
        <f>+'STER Canalyst'!AA128*1000</f>
        <v>-328</v>
      </c>
      <c r="P19" s="667">
        <f>+'STER Canalyst'!AB128*1000</f>
        <v>32</v>
      </c>
      <c r="Q19" s="667">
        <f>+'STER Canalyst'!AC128*1000</f>
        <v>0</v>
      </c>
      <c r="R19" s="666">
        <f>+'STER Canalyst'!AD128*1000</f>
        <v>0</v>
      </c>
      <c r="S19" s="667">
        <f>+'STER Canalyst'!AE128*1000</f>
        <v>0</v>
      </c>
      <c r="T19" s="667">
        <f>+'STER Canalyst'!AF128*1000</f>
        <v>0</v>
      </c>
      <c r="U19" s="667">
        <f>+'STER Canalyst'!AG128*1000</f>
        <v>0</v>
      </c>
      <c r="V19" s="666">
        <f>+'STER Canalyst'!AH128*1000</f>
        <v>0</v>
      </c>
      <c r="W19" s="571">
        <f>+'STER Canalyst'!AI128*1000</f>
        <v>0</v>
      </c>
      <c r="X19" s="571">
        <f>+'STER Canalyst'!AJ128*1000</f>
        <v>0</v>
      </c>
      <c r="Y19" s="571"/>
      <c r="Z19" s="571"/>
      <c r="AA19" s="571"/>
      <c r="AB19" s="571"/>
      <c r="AC19" s="571"/>
      <c r="AD19" s="571"/>
      <c r="AE19" s="571"/>
      <c r="AF19" s="571"/>
      <c r="AG19" s="571"/>
      <c r="AH19" s="571"/>
      <c r="AI19" s="571"/>
      <c r="AJ19" s="571"/>
      <c r="AK19" s="571"/>
      <c r="AL19" s="571"/>
      <c r="AM19" s="571"/>
      <c r="AN19" s="571"/>
      <c r="AO19" s="571"/>
      <c r="AP19" s="571"/>
      <c r="AQ19" s="571">
        <f>+'STER Canalyst'!BB128*1000</f>
        <v>7324</v>
      </c>
      <c r="AR19" s="571">
        <f>+'STER Canalyst'!BC128*1000</f>
        <v>9451</v>
      </c>
      <c r="AS19" s="571">
        <f>+'STER Canalyst'!BD128*1000</f>
        <v>31</v>
      </c>
      <c r="AT19" s="571">
        <f>+'STER Canalyst'!BE128*1000</f>
        <v>-297</v>
      </c>
      <c r="AU19" s="571">
        <v>0</v>
      </c>
    </row>
    <row r="20" spans="1:49" x14ac:dyDescent="0.25">
      <c r="A20" s="649" t="s">
        <v>792</v>
      </c>
      <c r="B20" s="571"/>
      <c r="C20" s="571"/>
      <c r="D20" s="571"/>
      <c r="E20" s="571">
        <v>-347</v>
      </c>
      <c r="F20" s="666">
        <v>-385</v>
      </c>
      <c r="G20" s="667">
        <v>-241</v>
      </c>
      <c r="H20" s="667">
        <v>-421</v>
      </c>
      <c r="I20" s="667">
        <f>+'STER Canalyst'!U130*1000</f>
        <v>-336</v>
      </c>
      <c r="J20" s="666">
        <f>+'STER Canalyst'!V130*1000</f>
        <v>-648</v>
      </c>
      <c r="K20" s="667">
        <f>+'STER Canalyst'!W130*1000</f>
        <v>-271</v>
      </c>
      <c r="L20" s="667">
        <f>+'STER Canalyst'!X130*1000</f>
        <v>-363</v>
      </c>
      <c r="M20" s="667">
        <f>+'STER Canalyst'!Y130*1000</f>
        <v>-400</v>
      </c>
      <c r="N20" s="666">
        <f>+'STER Canalyst'!Z130*1000</f>
        <v>-498</v>
      </c>
      <c r="O20" s="667">
        <f>+'STER Canalyst'!AA130*1000</f>
        <v>-354</v>
      </c>
      <c r="P20" s="667">
        <f>+'STER Canalyst'!AB130*1000</f>
        <v>-508</v>
      </c>
      <c r="Q20" s="667">
        <f>+'STER Canalyst'!AC130*1000</f>
        <v>-560</v>
      </c>
      <c r="R20" s="666">
        <f>+'STER Canalyst'!AD130*1000</f>
        <v>-612</v>
      </c>
      <c r="S20" s="667">
        <f>+'STER Canalyst'!AE130*1000</f>
        <v>-412</v>
      </c>
      <c r="T20" s="667">
        <f>+'STER Canalyst'!AF130*1000</f>
        <v>-397</v>
      </c>
      <c r="U20" s="667">
        <f>+'STER Canalyst'!AG130*1000</f>
        <v>-561</v>
      </c>
      <c r="V20" s="666">
        <f>+'STER Canalyst'!AH130*1000</f>
        <v>-520.99999999999989</v>
      </c>
      <c r="W20" s="571">
        <f>+'STER Canalyst'!AI130*1000</f>
        <v>-423</v>
      </c>
      <c r="X20" s="571">
        <f>+'STER Canalyst'!AJ130*1000</f>
        <v>-322</v>
      </c>
      <c r="Y20" s="571"/>
      <c r="Z20" s="571"/>
      <c r="AA20" s="571"/>
      <c r="AB20" s="571"/>
      <c r="AC20" s="571"/>
      <c r="AD20" s="571"/>
      <c r="AE20" s="571"/>
      <c r="AF20" s="571"/>
      <c r="AG20" s="571"/>
      <c r="AH20" s="571"/>
      <c r="AI20" s="571"/>
      <c r="AJ20" s="571"/>
      <c r="AK20" s="571"/>
      <c r="AL20" s="571"/>
      <c r="AM20" s="571"/>
      <c r="AN20" s="571"/>
      <c r="AO20" s="571"/>
      <c r="AP20" s="571"/>
      <c r="AQ20" s="571">
        <f>+'STER Canalyst'!BB130*1000</f>
        <v>-1529</v>
      </c>
      <c r="AR20" s="571">
        <f>+'STER Canalyst'!BC130*1000</f>
        <v>-1646</v>
      </c>
      <c r="AS20" s="571">
        <f>+'STER Canalyst'!BD130*1000</f>
        <v>-1532</v>
      </c>
      <c r="AT20" s="571">
        <v>-2034</v>
      </c>
      <c r="AU20" s="571">
        <v>-1891</v>
      </c>
    </row>
    <row r="21" spans="1:49" s="413" customFormat="1" ht="14" x14ac:dyDescent="0.4">
      <c r="A21" s="132" t="s">
        <v>348</v>
      </c>
      <c r="B21" s="614"/>
      <c r="C21" s="719"/>
      <c r="D21" s="719"/>
      <c r="E21" s="719">
        <v>0</v>
      </c>
      <c r="F21" s="718">
        <v>0</v>
      </c>
      <c r="G21" s="719">
        <v>0</v>
      </c>
      <c r="H21" s="719">
        <v>0</v>
      </c>
      <c r="I21" s="719">
        <f>+'STER Canalyst'!U129*1000</f>
        <v>0</v>
      </c>
      <c r="J21" s="718">
        <f>+'STER Canalyst'!V129*1000</f>
        <v>-6304000.0000000084</v>
      </c>
      <c r="K21" s="719">
        <f>+'STER Canalyst'!W129*1000</f>
        <v>0</v>
      </c>
      <c r="L21" s="719">
        <f>+'STER Canalyst'!X129*1000</f>
        <v>0</v>
      </c>
      <c r="M21" s="719">
        <f>+'STER Canalyst'!Y129*1000</f>
        <v>0</v>
      </c>
      <c r="N21" s="718">
        <f>+'STER Canalyst'!Z129*1000</f>
        <v>0</v>
      </c>
      <c r="O21" s="719">
        <f>+'STER Canalyst'!AA129*1000</f>
        <v>0</v>
      </c>
      <c r="P21" s="719">
        <f>+'STER Canalyst'!AB129*1000</f>
        <v>0</v>
      </c>
      <c r="Q21" s="719">
        <f>+'STER Canalyst'!AC129*1000</f>
        <v>0</v>
      </c>
      <c r="R21" s="718">
        <f>+'STER Canalyst'!AD129*1000</f>
        <v>3673</v>
      </c>
      <c r="S21" s="719">
        <f>+'STER Canalyst'!AE129*1000</f>
        <v>0</v>
      </c>
      <c r="T21" s="719">
        <f>+'STER Canalyst'!AF129*1000</f>
        <v>0</v>
      </c>
      <c r="U21" s="719">
        <f>+'STER Canalyst'!AG129*1000</f>
        <v>0</v>
      </c>
      <c r="V21" s="718">
        <f>+'STER Canalyst'!AH129*1000</f>
        <v>0</v>
      </c>
      <c r="W21" s="719">
        <f>+'STER Canalyst'!AI129*1000</f>
        <v>0</v>
      </c>
      <c r="X21" s="719">
        <f>+'STER Canalyst'!AJ129*1000</f>
        <v>0</v>
      </c>
      <c r="Y21" s="719"/>
      <c r="Z21" s="719"/>
      <c r="AA21" s="719"/>
      <c r="AB21" s="719"/>
      <c r="AC21" s="719"/>
      <c r="AD21" s="719"/>
      <c r="AE21" s="719"/>
      <c r="AF21" s="719"/>
      <c r="AG21" s="719"/>
      <c r="AH21" s="719"/>
      <c r="AI21" s="719"/>
      <c r="AJ21" s="719"/>
      <c r="AK21" s="719"/>
      <c r="AL21" s="719"/>
      <c r="AM21" s="719"/>
      <c r="AN21" s="719"/>
      <c r="AO21" s="719"/>
      <c r="AP21" s="719"/>
      <c r="AQ21" s="719">
        <f>+'STER Canalyst'!BB129*1000</f>
        <v>0</v>
      </c>
      <c r="AR21" s="719">
        <f>+'STER Canalyst'!BC129*1000</f>
        <v>0</v>
      </c>
      <c r="AS21" s="719">
        <f>+'STER Canalyst'!BD129*1000</f>
        <v>0</v>
      </c>
      <c r="AT21" s="719">
        <v>3673</v>
      </c>
      <c r="AU21" s="719">
        <v>0</v>
      </c>
      <c r="AV21" s="719"/>
      <c r="AW21" s="614"/>
    </row>
    <row r="22" spans="1:49" x14ac:dyDescent="0.25">
      <c r="A22" s="425" t="s">
        <v>793</v>
      </c>
      <c r="B22" s="571"/>
      <c r="C22" s="583"/>
      <c r="D22" s="583"/>
      <c r="E22" s="583">
        <f t="shared" ref="E22:H22" si="34">+SUM(E18:E21)</f>
        <v>10506</v>
      </c>
      <c r="F22" s="588">
        <f t="shared" si="34"/>
        <v>7633</v>
      </c>
      <c r="G22" s="583">
        <f t="shared" si="34"/>
        <v>17570</v>
      </c>
      <c r="H22" s="583">
        <f t="shared" si="34"/>
        <v>8715</v>
      </c>
      <c r="I22" s="583">
        <f t="shared" ref="I22" si="35">+SUM(I18:I21)</f>
        <v>7432</v>
      </c>
      <c r="J22" s="588">
        <f t="shared" ref="J22" si="36">+SUM(J18:J21)</f>
        <v>-6296964.0000000084</v>
      </c>
      <c r="K22" s="583">
        <f t="shared" ref="K22" si="37">+SUM(K18:K21)</f>
        <v>7253</v>
      </c>
      <c r="L22" s="583">
        <f t="shared" ref="L22" si="38">+SUM(L18:L21)</f>
        <v>7373</v>
      </c>
      <c r="M22" s="583">
        <f t="shared" ref="M22" si="39">+SUM(M18:M21)</f>
        <v>7380</v>
      </c>
      <c r="N22" s="588">
        <f t="shared" ref="N22" si="40">+SUM(N18:N21)</f>
        <v>7350</v>
      </c>
      <c r="O22" s="583">
        <f t="shared" ref="O22" si="41">+SUM(O18:O21)</f>
        <v>5654</v>
      </c>
      <c r="P22" s="583">
        <f t="shared" ref="P22" si="42">+SUM(P18:P21)</f>
        <v>6143</v>
      </c>
      <c r="Q22" s="583">
        <f t="shared" ref="Q22" si="43">+SUM(Q18:Q21)</f>
        <v>7204</v>
      </c>
      <c r="R22" s="588">
        <f t="shared" ref="R22" si="44">+SUM(R18:R21)</f>
        <v>11889</v>
      </c>
      <c r="S22" s="583">
        <f t="shared" ref="S22" si="45">+SUM(S18:S21)</f>
        <v>8196</v>
      </c>
      <c r="T22" s="583">
        <f t="shared" ref="T22" si="46">+SUM(T18:T21)</f>
        <v>8593</v>
      </c>
      <c r="U22" s="583">
        <f t="shared" ref="U22" si="47">+SUM(U18:U21)</f>
        <v>8744</v>
      </c>
      <c r="V22" s="588">
        <f t="shared" ref="V22" si="48">+SUM(V18:V21)</f>
        <v>8808.9999999999982</v>
      </c>
      <c r="W22" s="583">
        <f t="shared" ref="W22" si="49">+SUM(W18:W21)</f>
        <v>9889</v>
      </c>
      <c r="X22" s="583">
        <f t="shared" ref="X22" si="50">+SUM(X18:X21)</f>
        <v>9821</v>
      </c>
      <c r="Y22" s="583"/>
      <c r="Z22" s="583"/>
      <c r="AA22" s="583"/>
      <c r="AB22" s="583"/>
      <c r="AC22" s="583"/>
      <c r="AD22" s="583"/>
      <c r="AE22" s="583"/>
      <c r="AF22" s="583"/>
      <c r="AG22" s="583"/>
      <c r="AH22" s="583"/>
      <c r="AI22" s="583"/>
      <c r="AJ22" s="583"/>
      <c r="AK22" s="583"/>
      <c r="AL22" s="583"/>
      <c r="AM22" s="583"/>
      <c r="AN22" s="583"/>
      <c r="AO22" s="583"/>
      <c r="AP22" s="583"/>
      <c r="AQ22" s="583">
        <f t="shared" ref="AQ22:AR22" si="51">+SUM(AQ18:AQ21)</f>
        <v>45111</v>
      </c>
      <c r="AR22" s="583">
        <f t="shared" si="51"/>
        <v>40752</v>
      </c>
      <c r="AS22" s="583">
        <f>+SUM(AS18:AS21)</f>
        <v>29356</v>
      </c>
      <c r="AT22" s="583">
        <f>+SUM(AT18:AT21)</f>
        <v>30889</v>
      </c>
      <c r="AU22" s="583">
        <v>34342</v>
      </c>
      <c r="AV22" s="583"/>
      <c r="AW22" s="571"/>
    </row>
    <row r="23" spans="1:49" s="565" customFormat="1" x14ac:dyDescent="0.25">
      <c r="A23" s="425"/>
      <c r="B23" s="572"/>
      <c r="C23" s="591"/>
      <c r="D23" s="591"/>
      <c r="E23" s="591"/>
      <c r="F23" s="590"/>
      <c r="G23" s="591"/>
      <c r="H23" s="591"/>
      <c r="I23" s="591"/>
      <c r="J23" s="590"/>
      <c r="K23" s="591"/>
      <c r="L23" s="591"/>
      <c r="M23" s="591"/>
      <c r="N23" s="590"/>
      <c r="O23" s="591"/>
      <c r="P23" s="591"/>
      <c r="Q23" s="591"/>
      <c r="R23" s="590"/>
      <c r="S23" s="591"/>
      <c r="T23" s="591"/>
      <c r="U23" s="591"/>
      <c r="V23" s="590"/>
      <c r="W23" s="591"/>
      <c r="X23" s="591"/>
      <c r="Y23" s="591"/>
      <c r="Z23" s="591"/>
      <c r="AA23" s="591"/>
      <c r="AB23" s="591"/>
      <c r="AC23" s="591"/>
      <c r="AD23" s="591"/>
      <c r="AE23" s="591"/>
      <c r="AF23" s="591"/>
      <c r="AG23" s="591"/>
      <c r="AH23" s="591"/>
      <c r="AI23" s="591"/>
      <c r="AJ23" s="591"/>
      <c r="AK23" s="591"/>
      <c r="AL23" s="591"/>
      <c r="AM23" s="591"/>
      <c r="AN23" s="591"/>
      <c r="AO23" s="591"/>
      <c r="AP23" s="591"/>
      <c r="AQ23" s="591"/>
      <c r="AR23" s="591"/>
      <c r="AS23" s="591"/>
      <c r="AT23" s="591"/>
      <c r="AU23" s="591"/>
      <c r="AV23" s="591"/>
      <c r="AW23" s="572"/>
    </row>
    <row r="24" spans="1:49" x14ac:dyDescent="0.25">
      <c r="A24" s="649" t="s">
        <v>794</v>
      </c>
      <c r="B24" s="571"/>
      <c r="C24" s="571"/>
      <c r="D24" s="571"/>
      <c r="E24" s="571">
        <f t="shared" ref="E24:W24" si="52">+E16-E22</f>
        <v>-4888</v>
      </c>
      <c r="F24" s="666">
        <f t="shared" si="52"/>
        <v>-28247</v>
      </c>
      <c r="G24" s="667">
        <f t="shared" si="52"/>
        <v>-19456</v>
      </c>
      <c r="H24" s="667">
        <f t="shared" si="52"/>
        <v>-26401</v>
      </c>
      <c r="I24" s="667">
        <f t="shared" si="52"/>
        <v>-4659</v>
      </c>
      <c r="J24" s="666">
        <f t="shared" si="52"/>
        <v>6290660.0000000084</v>
      </c>
      <c r="K24" s="667">
        <f t="shared" si="52"/>
        <v>1154</v>
      </c>
      <c r="L24" s="667">
        <f t="shared" si="52"/>
        <v>7424.0000000000582</v>
      </c>
      <c r="M24" s="667">
        <f t="shared" si="52"/>
        <v>-37889</v>
      </c>
      <c r="N24" s="666">
        <f t="shared" si="52"/>
        <v>323</v>
      </c>
      <c r="O24" s="667">
        <f t="shared" si="52"/>
        <v>10321</v>
      </c>
      <c r="P24" s="667">
        <f t="shared" si="52"/>
        <v>16963</v>
      </c>
      <c r="Q24" s="667">
        <f t="shared" si="52"/>
        <v>12784</v>
      </c>
      <c r="R24" s="666">
        <f t="shared" si="52"/>
        <v>-11953</v>
      </c>
      <c r="S24" s="667">
        <f t="shared" si="52"/>
        <v>1693</v>
      </c>
      <c r="T24" s="667">
        <f t="shared" si="52"/>
        <v>238</v>
      </c>
      <c r="U24" s="667">
        <f t="shared" si="52"/>
        <v>6306</v>
      </c>
      <c r="V24" s="666">
        <f t="shared" si="52"/>
        <v>4013.9999999999436</v>
      </c>
      <c r="W24" s="571">
        <f t="shared" si="52"/>
        <v>-16973</v>
      </c>
      <c r="X24" s="571">
        <f t="shared" ref="X24" si="53">+X16-X22</f>
        <v>862</v>
      </c>
      <c r="Y24" s="571"/>
      <c r="Z24" s="571"/>
      <c r="AA24" s="571"/>
      <c r="AB24" s="571"/>
      <c r="AC24" s="571"/>
      <c r="AD24" s="571"/>
      <c r="AE24" s="571"/>
      <c r="AF24" s="571"/>
      <c r="AG24" s="571"/>
      <c r="AH24" s="571"/>
      <c r="AI24" s="571"/>
      <c r="AJ24" s="571"/>
      <c r="AK24" s="571"/>
      <c r="AL24" s="571"/>
      <c r="AM24" s="571"/>
      <c r="AN24" s="571"/>
      <c r="AO24" s="571"/>
      <c r="AP24" s="571"/>
      <c r="AQ24" s="571">
        <f t="shared" ref="AQ24:AR24" si="54">+AQ16-AQ22</f>
        <v>-58485</v>
      </c>
      <c r="AR24" s="571">
        <f t="shared" si="54"/>
        <v>-63855</v>
      </c>
      <c r="AS24" s="571">
        <f>+AS16-AS22</f>
        <v>-28988</v>
      </c>
      <c r="AT24" s="571">
        <f>+AT16-AT22</f>
        <v>28116</v>
      </c>
      <c r="AU24" s="571">
        <v>12251</v>
      </c>
    </row>
    <row r="25" spans="1:49" x14ac:dyDescent="0.25">
      <c r="A25" s="649"/>
      <c r="B25" s="571"/>
      <c r="C25" s="571"/>
      <c r="D25" s="571"/>
      <c r="E25" s="571"/>
      <c r="F25" s="666"/>
      <c r="G25" s="667"/>
      <c r="H25" s="667"/>
      <c r="I25" s="667"/>
      <c r="J25" s="666"/>
      <c r="K25" s="667"/>
      <c r="L25" s="667"/>
      <c r="M25" s="667"/>
      <c r="N25" s="666"/>
      <c r="O25" s="667"/>
      <c r="P25" s="667"/>
      <c r="Q25" s="667"/>
      <c r="R25" s="666"/>
      <c r="S25" s="667"/>
      <c r="T25" s="667"/>
      <c r="U25" s="667"/>
      <c r="V25" s="666"/>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c r="AU25" s="571"/>
    </row>
    <row r="26" spans="1:49" s="413" customFormat="1" ht="14" x14ac:dyDescent="0.4">
      <c r="A26" s="132" t="s">
        <v>795</v>
      </c>
      <c r="B26" s="614"/>
      <c r="C26" s="719"/>
      <c r="D26" s="719"/>
      <c r="E26" s="719">
        <f t="shared" ref="E26:G26" si="55">+E27-E24</f>
        <v>979</v>
      </c>
      <c r="F26" s="718">
        <f t="shared" si="55"/>
        <v>10545</v>
      </c>
      <c r="G26" s="719">
        <f t="shared" si="55"/>
        <v>3556.0000000000018</v>
      </c>
      <c r="H26" s="719">
        <f>+H27-H24</f>
        <v>1453.9999999999964</v>
      </c>
      <c r="I26" s="719">
        <f>+'STER Canalyst'!U132*1000</f>
        <v>5727</v>
      </c>
      <c r="J26" s="718">
        <f>+'STER Canalyst'!V132*1000</f>
        <v>-12280</v>
      </c>
      <c r="K26" s="719">
        <f>+'STER Canalyst'!W132*1000</f>
        <v>526</v>
      </c>
      <c r="L26" s="719">
        <f>+'STER Canalyst'!X132*1000</f>
        <v>4026</v>
      </c>
      <c r="M26" s="719">
        <f>+'STER Canalyst'!Y132*1000</f>
        <v>-12633</v>
      </c>
      <c r="N26" s="718">
        <f>+'STER Canalyst'!Z132*1000</f>
        <v>-2381</v>
      </c>
      <c r="O26" s="719">
        <f>+'STER Canalyst'!AA132*1000</f>
        <v>4085</v>
      </c>
      <c r="P26" s="719">
        <f>+'STER Canalyst'!AB132*1000</f>
        <v>5392</v>
      </c>
      <c r="Q26" s="719">
        <f>+'STER Canalyst'!AC132*1000</f>
        <v>3481</v>
      </c>
      <c r="R26" s="718">
        <f>+'STER Canalyst'!AD132*1000</f>
        <v>-4253</v>
      </c>
      <c r="S26" s="719">
        <f>+'STER Canalyst'!AE132*1000</f>
        <v>1102</v>
      </c>
      <c r="T26" s="719">
        <f>+'STER Canalyst'!AF132*1000</f>
        <v>-85</v>
      </c>
      <c r="U26" s="719">
        <f>+'STER Canalyst'!AG132*1000</f>
        <v>3952</v>
      </c>
      <c r="V26" s="718">
        <f>+'STER Canalyst'!AH132*1000</f>
        <v>7398.0000000000009</v>
      </c>
      <c r="W26" s="719">
        <f>+'STER Canalyst'!AI132*1000</f>
        <v>-9018</v>
      </c>
      <c r="X26" s="719">
        <f>+'STER Canalyst'!AJ132*1000</f>
        <v>7094</v>
      </c>
      <c r="Y26" s="719"/>
      <c r="Z26" s="719"/>
      <c r="AA26" s="719"/>
      <c r="AB26" s="719"/>
      <c r="AC26" s="719"/>
      <c r="AD26" s="719"/>
      <c r="AE26" s="719"/>
      <c r="AF26" s="719"/>
      <c r="AG26" s="719"/>
      <c r="AH26" s="719"/>
      <c r="AI26" s="719"/>
      <c r="AJ26" s="719"/>
      <c r="AK26" s="719"/>
      <c r="AL26" s="719"/>
      <c r="AM26" s="719"/>
      <c r="AN26" s="719"/>
      <c r="AO26" s="719"/>
      <c r="AP26" s="719"/>
      <c r="AQ26" s="719">
        <f>+'STER Canalyst'!BB132*1000</f>
        <v>-11803</v>
      </c>
      <c r="AR26" s="719">
        <f>+'STER Canalyst'!BC132*1000</f>
        <v>-11562</v>
      </c>
      <c r="AS26" s="719">
        <f>+'STER Canalyst'!BD132*1000</f>
        <v>-10461</v>
      </c>
      <c r="AT26" s="719">
        <v>8706</v>
      </c>
      <c r="AU26" s="719">
        <v>12367</v>
      </c>
      <c r="AV26" s="719"/>
      <c r="AW26" s="614"/>
    </row>
    <row r="27" spans="1:49" x14ac:dyDescent="0.25">
      <c r="A27" s="425" t="s">
        <v>796</v>
      </c>
      <c r="B27" s="571"/>
      <c r="C27" s="583"/>
      <c r="D27" s="583"/>
      <c r="E27" s="583">
        <f>+E56</f>
        <v>-3909</v>
      </c>
      <c r="F27" s="588">
        <f t="shared" ref="F27:H27" si="56">+F56</f>
        <v>-17702</v>
      </c>
      <c r="G27" s="583">
        <f t="shared" si="56"/>
        <v>-15899.999999999998</v>
      </c>
      <c r="H27" s="583">
        <f t="shared" si="56"/>
        <v>-24947.000000000004</v>
      </c>
      <c r="I27" s="583">
        <f t="shared" ref="I27" si="57">+I24-I26</f>
        <v>-10386</v>
      </c>
      <c r="J27" s="588">
        <f t="shared" ref="J27" si="58">+J24-J26</f>
        <v>6302940.0000000084</v>
      </c>
      <c r="K27" s="583">
        <f t="shared" ref="K27" si="59">+K24-K26</f>
        <v>628</v>
      </c>
      <c r="L27" s="583">
        <f t="shared" ref="L27" si="60">+L24-L26</f>
        <v>3398.0000000000582</v>
      </c>
      <c r="M27" s="583">
        <f t="shared" ref="M27" si="61">+M24-M26</f>
        <v>-25256</v>
      </c>
      <c r="N27" s="588">
        <f t="shared" ref="N27" si="62">+N24-N26</f>
        <v>2704</v>
      </c>
      <c r="O27" s="583">
        <f t="shared" ref="O27" si="63">+O24-O26</f>
        <v>6236</v>
      </c>
      <c r="P27" s="583">
        <f t="shared" ref="P27" si="64">+P24-P26</f>
        <v>11571</v>
      </c>
      <c r="Q27" s="583">
        <f t="shared" ref="Q27" si="65">+Q24-Q26</f>
        <v>9303</v>
      </c>
      <c r="R27" s="588">
        <f t="shared" ref="R27" si="66">+R24-R26</f>
        <v>-7700</v>
      </c>
      <c r="S27" s="583">
        <f t="shared" ref="S27" si="67">+S24-S26</f>
        <v>591</v>
      </c>
      <c r="T27" s="583">
        <f t="shared" ref="T27" si="68">+T24-T26</f>
        <v>323</v>
      </c>
      <c r="U27" s="583">
        <f t="shared" ref="U27" si="69">+U24-U26</f>
        <v>2354</v>
      </c>
      <c r="V27" s="588">
        <f t="shared" ref="V27" si="70">+V24-V26</f>
        <v>-3384.0000000000573</v>
      </c>
      <c r="W27" s="583">
        <f t="shared" ref="W27" si="71">+W24-W26</f>
        <v>-7955</v>
      </c>
      <c r="X27" s="583">
        <f t="shared" ref="X27" si="72">+X24-X26</f>
        <v>-6232</v>
      </c>
      <c r="Y27" s="583"/>
      <c r="Z27" s="583"/>
      <c r="AA27" s="583"/>
      <c r="AB27" s="583"/>
      <c r="AC27" s="583"/>
      <c r="AD27" s="583"/>
      <c r="AE27" s="583"/>
      <c r="AF27" s="583"/>
      <c r="AG27" s="583"/>
      <c r="AH27" s="583"/>
      <c r="AI27" s="583"/>
      <c r="AJ27" s="583"/>
      <c r="AK27" s="583"/>
      <c r="AL27" s="583"/>
      <c r="AM27" s="583"/>
      <c r="AN27" s="583"/>
      <c r="AO27" s="583"/>
      <c r="AP27" s="583"/>
      <c r="AQ27" s="583">
        <f t="shared" ref="AQ27:AR27" si="73">+AQ24-AQ26</f>
        <v>-46682</v>
      </c>
      <c r="AR27" s="583">
        <f t="shared" si="73"/>
        <v>-52293</v>
      </c>
      <c r="AS27" s="583">
        <f>+AS24-AS26</f>
        <v>-18527</v>
      </c>
      <c r="AT27" s="583">
        <f>+AT24-AT26</f>
        <v>19410</v>
      </c>
      <c r="AU27" s="583">
        <v>-116</v>
      </c>
      <c r="AV27" s="583"/>
      <c r="AW27" s="571"/>
    </row>
    <row r="28" spans="1:49" x14ac:dyDescent="0.25">
      <c r="A28" s="649"/>
      <c r="B28" s="571"/>
      <c r="C28" s="571"/>
      <c r="D28" s="571"/>
      <c r="E28" s="571"/>
      <c r="F28" s="666"/>
      <c r="G28" s="667"/>
      <c r="H28" s="667"/>
      <c r="I28" s="667"/>
      <c r="J28" s="666"/>
      <c r="K28" s="667"/>
      <c r="L28" s="667"/>
      <c r="M28" s="667"/>
      <c r="N28" s="666"/>
      <c r="O28" s="667"/>
      <c r="P28" s="667"/>
      <c r="Q28" s="667"/>
      <c r="R28" s="666"/>
      <c r="S28" s="667"/>
      <c r="T28" s="667"/>
      <c r="U28" s="667"/>
      <c r="V28" s="666"/>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row>
    <row r="29" spans="1:49" x14ac:dyDescent="0.25">
      <c r="A29" s="2150" t="s">
        <v>581</v>
      </c>
      <c r="B29" s="571"/>
      <c r="C29" s="571"/>
      <c r="D29" s="571"/>
      <c r="E29" s="571"/>
      <c r="F29" s="666"/>
      <c r="G29" s="667"/>
      <c r="H29" s="667"/>
      <c r="I29" s="667"/>
      <c r="J29" s="666"/>
      <c r="K29" s="667"/>
      <c r="L29" s="667"/>
      <c r="M29" s="667"/>
      <c r="N29" s="666"/>
      <c r="O29" s="667"/>
      <c r="P29" s="667"/>
      <c r="Q29" s="667"/>
      <c r="R29" s="666"/>
      <c r="S29" s="667"/>
      <c r="T29" s="667"/>
      <c r="U29" s="667"/>
      <c r="V29" s="666"/>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row>
    <row r="30" spans="1:49" x14ac:dyDescent="0.25">
      <c r="A30" s="649" t="s">
        <v>797</v>
      </c>
      <c r="B30" s="571"/>
      <c r="C30" s="571"/>
      <c r="D30" s="571"/>
      <c r="E30" s="2153"/>
      <c r="F30" s="2159"/>
      <c r="G30" s="2166"/>
      <c r="H30" s="2166"/>
      <c r="I30" s="2166"/>
      <c r="J30" s="2159"/>
      <c r="K30" s="2166"/>
      <c r="L30" s="2166"/>
      <c r="M30" s="2166">
        <f>+'STER Canalyst'!Y222*1000000</f>
        <v>89431022</v>
      </c>
      <c r="N30" s="2159">
        <f>+'STER Canalyst'!Z222*1000000</f>
        <v>93963227</v>
      </c>
      <c r="O30" s="2166">
        <f>+'STER Canalyst'!AA222*1000000</f>
        <v>93967819</v>
      </c>
      <c r="P30" s="2166">
        <f>+'STER Canalyst'!AB222*1000000</f>
        <v>94024970</v>
      </c>
      <c r="Q30" s="2166">
        <f>+'STER Canalyst'!AC222*1000000</f>
        <v>94134690</v>
      </c>
      <c r="R30" s="2159">
        <f>+'STER Canalyst'!AD222*1000000</f>
        <v>94080123</v>
      </c>
      <c r="S30" s="2166">
        <f>+'STER Canalyst'!AE222*1000000</f>
        <v>92877506</v>
      </c>
      <c r="T30" s="2166">
        <f>+'STER Canalyst'!AF222*1000000</f>
        <v>92723901</v>
      </c>
      <c r="U30" s="2166">
        <f>+'STER Canalyst'!AG222*1000000</f>
        <v>90972009</v>
      </c>
      <c r="V30" s="2159">
        <f>+'STER Canalyst'!AH222*1000000</f>
        <v>89816230</v>
      </c>
      <c r="W30" s="2153">
        <f>+'STER Canalyst'!AI222*1000000</f>
        <v>90274094</v>
      </c>
      <c r="X30" s="2153">
        <f>+'STER Canalyst'!AJ222*1000000</f>
        <v>92778209</v>
      </c>
      <c r="Y30" s="2153"/>
      <c r="Z30" s="571"/>
      <c r="AA30" s="571"/>
      <c r="AB30" s="571"/>
      <c r="AC30" s="571"/>
      <c r="AD30" s="571"/>
      <c r="AE30" s="571"/>
      <c r="AF30" s="571"/>
      <c r="AG30" s="571"/>
      <c r="AH30" s="571"/>
      <c r="AI30" s="571"/>
      <c r="AJ30" s="571"/>
      <c r="AK30" s="571"/>
      <c r="AL30" s="571"/>
      <c r="AM30" s="571"/>
      <c r="AN30" s="571"/>
      <c r="AO30" s="571"/>
      <c r="AP30" s="571"/>
      <c r="AQ30" s="571"/>
      <c r="AR30" s="571"/>
      <c r="AS30" s="2153">
        <f>+'STER Canalyst'!BD222*1000000</f>
        <v>90218386</v>
      </c>
      <c r="AT30" s="2153">
        <f>+'STER Canalyst'!BE222*1000000</f>
        <v>94052435</v>
      </c>
      <c r="AU30" s="2153">
        <f>+'STER Canalyst'!BF222*1000000</f>
        <v>91587311</v>
      </c>
    </row>
    <row r="31" spans="1:49" x14ac:dyDescent="0.25">
      <c r="A31" s="649" t="s">
        <v>798</v>
      </c>
      <c r="B31" s="571"/>
      <c r="C31" s="571"/>
      <c r="D31" s="571"/>
      <c r="E31" s="2153"/>
      <c r="F31" s="2159"/>
      <c r="G31" s="2166"/>
      <c r="H31" s="2166"/>
      <c r="I31" s="2166"/>
      <c r="J31" s="2159"/>
      <c r="K31" s="2166"/>
      <c r="L31" s="2166"/>
      <c r="M31" s="2166">
        <f>+'STER Canalyst'!Y223*1000000</f>
        <v>89431022</v>
      </c>
      <c r="N31" s="2159">
        <f>+'STER Canalyst'!Z223*1000000</f>
        <v>99690693</v>
      </c>
      <c r="O31" s="2166">
        <f>+'STER Canalyst'!AA223*1000000</f>
        <v>99186456</v>
      </c>
      <c r="P31" s="2166">
        <f>+'STER Canalyst'!AB223*1000000</f>
        <v>99344563</v>
      </c>
      <c r="Q31" s="2166">
        <f>+'STER Canalyst'!AC223*1000000</f>
        <v>99118521</v>
      </c>
      <c r="R31" s="2159">
        <f>+'STER Canalyst'!AD223*1000000</f>
        <v>94080123</v>
      </c>
      <c r="S31" s="2166">
        <f>+'STER Canalyst'!AE223*1000000</f>
        <v>95350342</v>
      </c>
      <c r="T31" s="2166">
        <f>+'STER Canalyst'!AF223*1000000</f>
        <v>94498666</v>
      </c>
      <c r="U31" s="2166">
        <f>+'STER Canalyst'!AG223*1000000</f>
        <v>93651691</v>
      </c>
      <c r="V31" s="2159">
        <f>+'STER Canalyst'!AH223*1000000</f>
        <v>89816230</v>
      </c>
      <c r="W31" s="2153">
        <f>+'STER Canalyst'!AI223*1000000</f>
        <v>90274094</v>
      </c>
      <c r="X31" s="2153">
        <f>+'STER Canalyst'!AJ223*1000000</f>
        <v>92778209</v>
      </c>
      <c r="Y31" s="2153"/>
      <c r="Z31" s="571"/>
      <c r="AA31" s="571"/>
      <c r="AB31" s="571"/>
      <c r="AC31" s="571"/>
      <c r="AD31" s="571"/>
      <c r="AE31" s="571"/>
      <c r="AF31" s="571"/>
      <c r="AG31" s="571"/>
      <c r="AH31" s="571"/>
      <c r="AI31" s="571"/>
      <c r="AJ31" s="571"/>
      <c r="AK31" s="571"/>
      <c r="AL31" s="571"/>
      <c r="AM31" s="571"/>
      <c r="AN31" s="571"/>
      <c r="AO31" s="571"/>
      <c r="AP31" s="571"/>
      <c r="AQ31" s="571"/>
      <c r="AR31" s="571"/>
      <c r="AS31" s="2153">
        <f>+'STER Canalyst'!BD223*1000000</f>
        <v>90218386</v>
      </c>
      <c r="AT31" s="2153">
        <f>+'STER Canalyst'!BE223*1000000</f>
        <v>98866004</v>
      </c>
      <c r="AU31" s="2153">
        <f>+'STER Canalyst'!BF223*1000000</f>
        <v>91587311</v>
      </c>
    </row>
    <row r="32" spans="1:49" x14ac:dyDescent="0.25">
      <c r="A32" s="649"/>
      <c r="B32" s="571"/>
      <c r="C32" s="571"/>
      <c r="D32" s="571"/>
      <c r="E32" s="571"/>
      <c r="F32" s="666"/>
      <c r="G32" s="667"/>
      <c r="H32" s="667"/>
      <c r="I32" s="667"/>
      <c r="J32" s="666"/>
      <c r="K32" s="667"/>
      <c r="L32" s="667"/>
      <c r="M32" s="667"/>
      <c r="N32" s="666"/>
      <c r="O32" s="667"/>
      <c r="P32" s="667"/>
      <c r="Q32" s="667"/>
      <c r="R32" s="666"/>
      <c r="S32" s="667"/>
      <c r="T32" s="667"/>
      <c r="U32" s="667"/>
      <c r="V32" s="666"/>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row>
    <row r="33" spans="1:49" x14ac:dyDescent="0.25">
      <c r="A33" s="2150" t="s">
        <v>366</v>
      </c>
      <c r="B33" s="571"/>
      <c r="C33" s="571"/>
      <c r="D33" s="571"/>
      <c r="E33" s="571"/>
      <c r="F33" s="666"/>
      <c r="G33" s="667"/>
      <c r="H33" s="667"/>
      <c r="I33" s="667"/>
      <c r="J33" s="666"/>
      <c r="K33" s="667"/>
      <c r="L33" s="667"/>
      <c r="M33" s="667"/>
      <c r="N33" s="666"/>
      <c r="O33" s="667"/>
      <c r="P33" s="667"/>
      <c r="Q33" s="667"/>
      <c r="R33" s="666"/>
      <c r="S33" s="667"/>
      <c r="T33" s="667"/>
      <c r="U33" s="667"/>
      <c r="V33" s="666"/>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row>
    <row r="34" spans="1:49" x14ac:dyDescent="0.25">
      <c r="A34" s="649" t="s">
        <v>799</v>
      </c>
      <c r="B34" s="571"/>
      <c r="C34" s="571"/>
      <c r="D34" s="571"/>
      <c r="E34" s="571"/>
      <c r="F34" s="666"/>
      <c r="G34" s="667"/>
      <c r="H34" s="667"/>
      <c r="I34" s="667">
        <f>+'STER Canalyst'!U16*1000</f>
        <v>116313</v>
      </c>
      <c r="J34" s="666">
        <f>+'STER Canalyst'!V16*1000</f>
        <v>127274</v>
      </c>
      <c r="K34" s="667">
        <f>+'STER Canalyst'!W16*1000</f>
        <v>137209</v>
      </c>
      <c r="L34" s="667">
        <f>+'STER Canalyst'!X16*1000</f>
        <v>158183</v>
      </c>
      <c r="M34" s="667">
        <f>+'STER Canalyst'!Y16*1000</f>
        <v>168372</v>
      </c>
      <c r="N34" s="666">
        <f>+'STER Canalyst'!Z16*1000</f>
        <v>172359.00000000003</v>
      </c>
      <c r="O34" s="667">
        <f>+'STER Canalyst'!AA16*1000</f>
        <v>189748</v>
      </c>
      <c r="P34" s="667">
        <f>+'STER Canalyst'!AB16*1000</f>
        <v>204282</v>
      </c>
      <c r="Q34" s="667">
        <f>+'STER Canalyst'!AC16*1000</f>
        <v>197870</v>
      </c>
      <c r="R34" s="666">
        <f>+'STER Canalyst'!AD16*1000</f>
        <v>168633.00000000003</v>
      </c>
      <c r="S34" s="667">
        <f>+'STER Canalyst'!AE16*1000</f>
        <v>176871</v>
      </c>
      <c r="T34" s="667">
        <f>+'STER Canalyst'!AF16*1000</f>
        <v>188650</v>
      </c>
      <c r="U34" s="667">
        <f>+'STER Canalyst'!AG16*1000</f>
        <v>178809</v>
      </c>
      <c r="V34" s="666">
        <f>+'STER Canalyst'!AH16*1000</f>
        <v>167822</v>
      </c>
      <c r="W34" s="571">
        <f>+'STER Canalyst'!AI16*1000</f>
        <v>183019</v>
      </c>
      <c r="X34" s="571">
        <f>+'STER Canalyst'!AJ16*1000</f>
        <v>199071</v>
      </c>
      <c r="Y34" s="571"/>
      <c r="Z34" s="571"/>
      <c r="AA34" s="571"/>
      <c r="AB34" s="571"/>
      <c r="AC34" s="571"/>
      <c r="AD34" s="571"/>
      <c r="AE34" s="571"/>
      <c r="AF34" s="571"/>
      <c r="AG34" s="571"/>
      <c r="AH34" s="571"/>
      <c r="AI34" s="571"/>
      <c r="AJ34" s="571"/>
      <c r="AK34" s="571"/>
      <c r="AL34" s="571"/>
      <c r="AM34" s="571"/>
      <c r="AN34" s="571"/>
      <c r="AO34" s="571"/>
      <c r="AP34" s="571"/>
      <c r="AQ34" s="571">
        <f>+'STER Canalyst'!BB16*1000</f>
        <v>488925</v>
      </c>
      <c r="AR34" s="571">
        <f>+'STER Canalyst'!BC16*1000</f>
        <v>447870</v>
      </c>
      <c r="AS34" s="2153">
        <f>+'STER Canalyst'!BD16*1000</f>
        <v>636123</v>
      </c>
      <c r="AT34" s="2153">
        <v>760533</v>
      </c>
      <c r="AU34" s="2153">
        <v>712152</v>
      </c>
    </row>
    <row r="35" spans="1:49" s="413" customFormat="1" ht="14" x14ac:dyDescent="0.4">
      <c r="A35" s="132" t="s">
        <v>800</v>
      </c>
      <c r="B35" s="614"/>
      <c r="C35" s="719"/>
      <c r="D35" s="719"/>
      <c r="E35" s="719"/>
      <c r="F35" s="718"/>
      <c r="G35" s="719"/>
      <c r="H35" s="719"/>
      <c r="I35" s="719">
        <f>+'STER Canalyst'!U17*1000</f>
        <v>1289</v>
      </c>
      <c r="J35" s="718">
        <f>+'STER Canalyst'!V17*1000</f>
        <v>1229</v>
      </c>
      <c r="K35" s="719">
        <f>+'STER Canalyst'!W17*1000</f>
        <v>2161</v>
      </c>
      <c r="L35" s="719">
        <f>+'STER Canalyst'!X17*1000</f>
        <v>1145</v>
      </c>
      <c r="M35" s="719">
        <f>+'STER Canalyst'!Y17*1000</f>
        <v>1185</v>
      </c>
      <c r="N35" s="718">
        <f>+'STER Canalyst'!Z17*1000</f>
        <v>1270.0000000000005</v>
      </c>
      <c r="O35" s="719">
        <f>+'STER Canalyst'!AA17*1000</f>
        <v>2224</v>
      </c>
      <c r="P35" s="719">
        <f>+'STER Canalyst'!AB17*1000</f>
        <v>1309</v>
      </c>
      <c r="Q35" s="719">
        <f>+'STER Canalyst'!AC17*1000</f>
        <v>1429</v>
      </c>
      <c r="R35" s="718">
        <f>+'STER Canalyst'!AD17*1000</f>
        <v>1286.9999999999991</v>
      </c>
      <c r="S35" s="719">
        <f>+'STER Canalyst'!AE17*1000</f>
        <v>2403</v>
      </c>
      <c r="T35" s="719">
        <f>+'STER Canalyst'!AF17*1000</f>
        <v>1734</v>
      </c>
      <c r="U35" s="719">
        <f>+'STER Canalyst'!AG17*1000</f>
        <v>1757</v>
      </c>
      <c r="V35" s="718">
        <f>+'STER Canalyst'!AH17*1000</f>
        <v>1594.0000000000002</v>
      </c>
      <c r="W35" s="719">
        <f>+'STER Canalyst'!AI17*1000</f>
        <v>2980</v>
      </c>
      <c r="X35" s="719">
        <f>+'STER Canalyst'!AJ17*1000</f>
        <v>1457</v>
      </c>
      <c r="Y35" s="719"/>
      <c r="Z35" s="719"/>
      <c r="AA35" s="719"/>
      <c r="AB35" s="719"/>
      <c r="AC35" s="719"/>
      <c r="AD35" s="719"/>
      <c r="AE35" s="719"/>
      <c r="AF35" s="719"/>
      <c r="AG35" s="719"/>
      <c r="AH35" s="719"/>
      <c r="AI35" s="719"/>
      <c r="AJ35" s="719"/>
      <c r="AK35" s="719"/>
      <c r="AL35" s="719"/>
      <c r="AM35" s="719"/>
      <c r="AN35" s="719"/>
      <c r="AO35" s="719"/>
      <c r="AP35" s="719"/>
      <c r="AQ35" s="719">
        <f>+'STER Canalyst'!BB17*1000</f>
        <v>8191.0000000000009</v>
      </c>
      <c r="AR35" s="719">
        <f>+'STER Canalyst'!BC17*1000</f>
        <v>6183</v>
      </c>
      <c r="AS35" s="719">
        <f>+'STER Canalyst'!BD17*1000</f>
        <v>5761</v>
      </c>
      <c r="AT35" s="719">
        <v>6249</v>
      </c>
      <c r="AU35" s="719">
        <v>7488</v>
      </c>
      <c r="AV35" s="719"/>
      <c r="AW35" s="614"/>
    </row>
    <row r="36" spans="1:49" x14ac:dyDescent="0.25">
      <c r="A36" s="425" t="s">
        <v>801</v>
      </c>
      <c r="B36" s="571"/>
      <c r="C36" s="583"/>
      <c r="D36" s="583"/>
      <c r="E36" s="583"/>
      <c r="F36" s="588"/>
      <c r="G36" s="583"/>
      <c r="H36" s="583"/>
      <c r="I36" s="583">
        <f t="shared" ref="I36:W36" si="74">+I35+I34</f>
        <v>117602</v>
      </c>
      <c r="J36" s="588">
        <f t="shared" si="74"/>
        <v>128503</v>
      </c>
      <c r="K36" s="583">
        <f t="shared" si="74"/>
        <v>139370</v>
      </c>
      <c r="L36" s="583">
        <f t="shared" si="74"/>
        <v>159328</v>
      </c>
      <c r="M36" s="583">
        <f t="shared" si="74"/>
        <v>169557</v>
      </c>
      <c r="N36" s="588">
        <f t="shared" si="74"/>
        <v>173629.00000000003</v>
      </c>
      <c r="O36" s="583">
        <f t="shared" si="74"/>
        <v>191972</v>
      </c>
      <c r="P36" s="583">
        <f t="shared" si="74"/>
        <v>205591</v>
      </c>
      <c r="Q36" s="583">
        <f t="shared" si="74"/>
        <v>199299</v>
      </c>
      <c r="R36" s="588">
        <f t="shared" si="74"/>
        <v>169920.00000000003</v>
      </c>
      <c r="S36" s="583">
        <f t="shared" si="74"/>
        <v>179274</v>
      </c>
      <c r="T36" s="583">
        <f t="shared" si="74"/>
        <v>190384</v>
      </c>
      <c r="U36" s="583">
        <f t="shared" si="74"/>
        <v>180566</v>
      </c>
      <c r="V36" s="588">
        <f t="shared" si="74"/>
        <v>169416</v>
      </c>
      <c r="W36" s="583">
        <f t="shared" si="74"/>
        <v>185999</v>
      </c>
      <c r="X36" s="583">
        <f>+X35+X34</f>
        <v>200528</v>
      </c>
      <c r="Y36" s="583"/>
      <c r="Z36" s="583"/>
      <c r="AA36" s="583"/>
      <c r="AB36" s="583"/>
      <c r="AC36" s="583"/>
      <c r="AD36" s="583"/>
      <c r="AE36" s="583"/>
      <c r="AF36" s="583"/>
      <c r="AG36" s="583"/>
      <c r="AH36" s="583"/>
      <c r="AI36" s="583"/>
      <c r="AJ36" s="583"/>
      <c r="AK36" s="583"/>
      <c r="AL36" s="583"/>
      <c r="AM36" s="583"/>
      <c r="AN36" s="583"/>
      <c r="AO36" s="583"/>
      <c r="AP36" s="583"/>
      <c r="AQ36" s="583">
        <f>+AQ35+AQ34</f>
        <v>497116</v>
      </c>
      <c r="AR36" s="583">
        <f>+AR35+AR34</f>
        <v>454053</v>
      </c>
      <c r="AS36" s="583">
        <v>641884</v>
      </c>
      <c r="AT36" s="583">
        <v>766782</v>
      </c>
      <c r="AU36" s="583">
        <v>719640</v>
      </c>
      <c r="AV36" s="583"/>
      <c r="AW36" s="571"/>
    </row>
    <row r="37" spans="1:49" x14ac:dyDescent="0.25">
      <c r="A37" s="649"/>
      <c r="B37" s="571"/>
      <c r="C37" s="571"/>
      <c r="D37" s="571"/>
      <c r="E37" s="571"/>
      <c r="F37" s="666"/>
      <c r="G37" s="667"/>
      <c r="H37" s="667"/>
      <c r="I37" s="667"/>
      <c r="J37" s="666"/>
      <c r="K37" s="667"/>
      <c r="L37" s="667"/>
      <c r="M37" s="667"/>
      <c r="N37" s="666"/>
      <c r="O37" s="667"/>
      <c r="P37" s="667"/>
      <c r="Q37" s="667"/>
      <c r="R37" s="666"/>
      <c r="S37" s="667"/>
      <c r="T37" s="667"/>
      <c r="U37" s="667"/>
      <c r="V37" s="666"/>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c r="AU37" s="571"/>
    </row>
    <row r="38" spans="1:49" x14ac:dyDescent="0.25">
      <c r="A38" s="2150" t="s">
        <v>366</v>
      </c>
      <c r="B38" s="571"/>
      <c r="C38" s="571"/>
      <c r="D38" s="571"/>
      <c r="E38" s="571"/>
      <c r="F38" s="666"/>
      <c r="G38" s="667"/>
      <c r="H38" s="667"/>
      <c r="I38" s="667"/>
      <c r="J38" s="666"/>
      <c r="K38" s="667"/>
      <c r="L38" s="667"/>
      <c r="M38" s="667"/>
      <c r="N38" s="666"/>
      <c r="O38" s="667"/>
      <c r="P38" s="667"/>
      <c r="Q38" s="667"/>
      <c r="R38" s="666"/>
      <c r="S38" s="667"/>
      <c r="T38" s="667"/>
      <c r="U38" s="667"/>
      <c r="V38" s="666"/>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c r="AU38" s="571"/>
    </row>
    <row r="39" spans="1:49" x14ac:dyDescent="0.25">
      <c r="A39" s="649" t="s">
        <v>571</v>
      </c>
      <c r="B39" s="571"/>
      <c r="C39" s="571"/>
      <c r="D39" s="571"/>
      <c r="E39" s="571"/>
      <c r="F39" s="666"/>
      <c r="G39" s="667"/>
      <c r="H39" s="667"/>
      <c r="I39" s="667">
        <f>+'STER Canalyst'!U21*1000</f>
        <v>98606</v>
      </c>
      <c r="J39" s="666">
        <f>+'STER Canalyst'!V21*1000</f>
        <v>103944.00000000001</v>
      </c>
      <c r="K39" s="667">
        <f>+'STER Canalyst'!W21*1000</f>
        <v>109190</v>
      </c>
      <c r="L39" s="667">
        <f>+'STER Canalyst'!X21*1000</f>
        <v>130294.00000000001</v>
      </c>
      <c r="M39" s="667">
        <f>+'STER Canalyst'!Y21*1000</f>
        <v>139564</v>
      </c>
      <c r="N39" s="666">
        <f>+'STER Canalyst'!Z21*1000</f>
        <v>143624.00000000003</v>
      </c>
      <c r="O39" s="667">
        <f>+'STER Canalyst'!AA21*1000</f>
        <v>159316</v>
      </c>
      <c r="P39" s="667">
        <f>+'STER Canalyst'!AB21*1000</f>
        <v>174115</v>
      </c>
      <c r="Q39" s="667">
        <f>+'STER Canalyst'!AC21*1000</f>
        <v>168615</v>
      </c>
      <c r="R39" s="666">
        <f>+'STER Canalyst'!AD21*1000</f>
        <v>141779.99999999997</v>
      </c>
      <c r="S39" s="667">
        <f>+'STER Canalyst'!AE21*1000</f>
        <v>149742</v>
      </c>
      <c r="T39" s="667">
        <f>+'STER Canalyst'!AF21*1000</f>
        <v>162198</v>
      </c>
      <c r="U39" s="667">
        <f>+'STER Canalyst'!AG21*1000</f>
        <v>153577</v>
      </c>
      <c r="V39" s="666">
        <f>+'STER Canalyst'!AH21*1000</f>
        <v>144176.99999999997</v>
      </c>
      <c r="W39" s="571">
        <f>+'STER Canalyst'!AI21*1000</f>
        <v>159827</v>
      </c>
      <c r="X39" s="571">
        <f>+'STER Canalyst'!AJ21*1000</f>
        <v>173976</v>
      </c>
      <c r="Y39" s="571"/>
      <c r="Z39" s="571"/>
      <c r="AA39" s="571"/>
      <c r="AB39" s="571"/>
      <c r="AC39" s="571"/>
      <c r="AD39" s="571"/>
      <c r="AE39" s="571"/>
      <c r="AF39" s="571"/>
      <c r="AG39" s="571"/>
      <c r="AH39" s="571"/>
      <c r="AI39" s="571"/>
      <c r="AJ39" s="571"/>
      <c r="AK39" s="571"/>
      <c r="AL39" s="571"/>
      <c r="AM39" s="571"/>
      <c r="AN39" s="571"/>
      <c r="AO39" s="571"/>
      <c r="AP39" s="571"/>
      <c r="AQ39" s="571">
        <f>+'STER Canalyst'!BB21*1000</f>
        <v>424773</v>
      </c>
      <c r="AR39" s="571">
        <f>+'STER Canalyst'!BC21*1000</f>
        <v>377351</v>
      </c>
      <c r="AS39" s="2153">
        <f>+'STER Canalyst'!BD21*1000</f>
        <v>522672</v>
      </c>
      <c r="AT39" s="2153">
        <v>643826</v>
      </c>
      <c r="AU39" s="2153">
        <v>609694</v>
      </c>
    </row>
    <row r="40" spans="1:49" s="413" customFormat="1" ht="14" x14ac:dyDescent="0.4">
      <c r="A40" s="132" t="s">
        <v>802</v>
      </c>
      <c r="B40" s="614"/>
      <c r="C40" s="719"/>
      <c r="D40" s="719"/>
      <c r="E40" s="719"/>
      <c r="F40" s="718"/>
      <c r="G40" s="719"/>
      <c r="H40" s="719"/>
      <c r="I40" s="719">
        <f>+'STER Canalyst'!U22*1000</f>
        <v>18996</v>
      </c>
      <c r="J40" s="718">
        <f>+'STER Canalyst'!V22*1000</f>
        <v>24558.999999999996</v>
      </c>
      <c r="K40" s="719">
        <f>+'STER Canalyst'!W22*1000</f>
        <v>30180</v>
      </c>
      <c r="L40" s="719">
        <f>+'STER Canalyst'!X22*1000</f>
        <v>29034</v>
      </c>
      <c r="M40" s="719">
        <f>+'STER Canalyst'!Y22*1000</f>
        <v>29993</v>
      </c>
      <c r="N40" s="718">
        <f>+'STER Canalyst'!Z22*1000</f>
        <v>30005.000000000011</v>
      </c>
      <c r="O40" s="719">
        <f>+'STER Canalyst'!AA22*1000</f>
        <v>32656</v>
      </c>
      <c r="P40" s="719">
        <f>+'STER Canalyst'!AB22*1000</f>
        <v>31476</v>
      </c>
      <c r="Q40" s="719">
        <f>+'STER Canalyst'!AC22*1000</f>
        <v>30684</v>
      </c>
      <c r="R40" s="718">
        <f>+'STER Canalyst'!AD22*1000</f>
        <v>28140</v>
      </c>
      <c r="S40" s="719">
        <f>+'STER Canalyst'!AE22*1000</f>
        <v>29532</v>
      </c>
      <c r="T40" s="719">
        <f>+'STER Canalyst'!AF22*1000</f>
        <v>28186</v>
      </c>
      <c r="U40" s="719">
        <f>+'STER Canalyst'!AG22*1000</f>
        <v>26989</v>
      </c>
      <c r="V40" s="718">
        <f>+'STER Canalyst'!AH22*1000</f>
        <v>25238.999999999989</v>
      </c>
      <c r="W40" s="719">
        <f>+'STER Canalyst'!AI22*1000</f>
        <v>26172</v>
      </c>
      <c r="X40" s="719">
        <f>+'STER Canalyst'!AJ22*1000</f>
        <v>26552</v>
      </c>
      <c r="Y40" s="719"/>
      <c r="Z40" s="719"/>
      <c r="AA40" s="719"/>
      <c r="AB40" s="719"/>
      <c r="AC40" s="719"/>
      <c r="AD40" s="719"/>
      <c r="AE40" s="719"/>
      <c r="AF40" s="719"/>
      <c r="AG40" s="719"/>
      <c r="AH40" s="719"/>
      <c r="AI40" s="719"/>
      <c r="AJ40" s="719"/>
      <c r="AK40" s="719"/>
      <c r="AL40" s="719"/>
      <c r="AM40" s="719"/>
      <c r="AN40" s="719"/>
      <c r="AO40" s="719"/>
      <c r="AP40" s="719"/>
      <c r="AQ40" s="719">
        <f>+'STER Canalyst'!BB22*1000</f>
        <v>72343</v>
      </c>
      <c r="AR40" s="719">
        <f>+'STER Canalyst'!BC22*1000</f>
        <v>76702</v>
      </c>
      <c r="AS40" s="719">
        <f>+'STER Canalyst'!BD22*1000</f>
        <v>119212</v>
      </c>
      <c r="AT40" s="719">
        <v>122956</v>
      </c>
      <c r="AU40" s="719">
        <v>109946</v>
      </c>
      <c r="AV40" s="719"/>
      <c r="AW40" s="614"/>
    </row>
    <row r="41" spans="1:49" x14ac:dyDescent="0.25">
      <c r="A41" s="425" t="s">
        <v>801</v>
      </c>
      <c r="B41" s="571"/>
      <c r="C41" s="583"/>
      <c r="D41" s="583"/>
      <c r="E41" s="583"/>
      <c r="F41" s="588"/>
      <c r="G41" s="583"/>
      <c r="H41" s="583"/>
      <c r="I41" s="583">
        <f t="shared" ref="I41" si="75">+I40+I39</f>
        <v>117602</v>
      </c>
      <c r="J41" s="588">
        <f t="shared" ref="J41" si="76">+J40+J39</f>
        <v>128503.00000000001</v>
      </c>
      <c r="K41" s="583">
        <f t="shared" ref="K41" si="77">+K40+K39</f>
        <v>139370</v>
      </c>
      <c r="L41" s="583">
        <f t="shared" ref="L41" si="78">+L40+L39</f>
        <v>159328</v>
      </c>
      <c r="M41" s="583">
        <f t="shared" ref="M41" si="79">+M40+M39</f>
        <v>169557</v>
      </c>
      <c r="N41" s="588">
        <f t="shared" ref="N41" si="80">+N40+N39</f>
        <v>173629.00000000003</v>
      </c>
      <c r="O41" s="583">
        <f t="shared" ref="O41" si="81">+O40+O39</f>
        <v>191972</v>
      </c>
      <c r="P41" s="583">
        <f t="shared" ref="P41" si="82">+P40+P39</f>
        <v>205591</v>
      </c>
      <c r="Q41" s="583">
        <f t="shared" ref="Q41" si="83">+Q40+Q39</f>
        <v>199299</v>
      </c>
      <c r="R41" s="588">
        <f t="shared" ref="R41" si="84">+R40+R39</f>
        <v>169919.99999999997</v>
      </c>
      <c r="S41" s="583">
        <f t="shared" ref="S41" si="85">+S40+S39</f>
        <v>179274</v>
      </c>
      <c r="T41" s="583">
        <f t="shared" ref="T41" si="86">+T40+T39</f>
        <v>190384</v>
      </c>
      <c r="U41" s="583">
        <f t="shared" ref="U41" si="87">+U40+U39</f>
        <v>180566</v>
      </c>
      <c r="V41" s="588">
        <f t="shared" ref="V41" si="88">+V40+V39</f>
        <v>169415.99999999997</v>
      </c>
      <c r="W41" s="583">
        <f t="shared" ref="W41" si="89">+W40+W39</f>
        <v>185999</v>
      </c>
      <c r="X41" s="583">
        <f t="shared" ref="X41" si="90">+X40+X39</f>
        <v>200528</v>
      </c>
      <c r="Y41" s="583"/>
      <c r="Z41" s="583"/>
      <c r="AA41" s="583"/>
      <c r="AB41" s="583"/>
      <c r="AC41" s="583"/>
      <c r="AD41" s="583"/>
      <c r="AE41" s="583"/>
      <c r="AF41" s="583"/>
      <c r="AG41" s="583"/>
      <c r="AH41" s="583"/>
      <c r="AI41" s="583"/>
      <c r="AJ41" s="583"/>
      <c r="AK41" s="583"/>
      <c r="AL41" s="583"/>
      <c r="AM41" s="583"/>
      <c r="AN41" s="583"/>
      <c r="AO41" s="583"/>
      <c r="AP41" s="583"/>
      <c r="AQ41" s="583">
        <f t="shared" ref="AQ41:AR41" si="91">+AQ40+AQ39</f>
        <v>497116</v>
      </c>
      <c r="AR41" s="583">
        <f t="shared" si="91"/>
        <v>454053</v>
      </c>
      <c r="AS41" s="583">
        <f>+AS40+AS39</f>
        <v>641884</v>
      </c>
      <c r="AT41" s="583">
        <v>766782</v>
      </c>
      <c r="AU41" s="583">
        <v>719640</v>
      </c>
      <c r="AV41" s="583"/>
      <c r="AW41" s="571"/>
    </row>
    <row r="42" spans="1:49" x14ac:dyDescent="0.25">
      <c r="A42" s="425"/>
      <c r="B42" s="571"/>
      <c r="C42" s="583"/>
      <c r="D42" s="583"/>
      <c r="E42" s="583"/>
      <c r="F42" s="588"/>
      <c r="G42" s="583"/>
      <c r="H42" s="583"/>
      <c r="I42" s="583"/>
      <c r="J42" s="588"/>
      <c r="K42" s="583"/>
      <c r="L42" s="583"/>
      <c r="M42" s="583"/>
      <c r="N42" s="588"/>
      <c r="O42" s="583"/>
      <c r="P42" s="583"/>
      <c r="Q42" s="583"/>
      <c r="R42" s="588"/>
      <c r="S42" s="583"/>
      <c r="T42" s="583"/>
      <c r="U42" s="583"/>
      <c r="V42" s="588"/>
      <c r="W42" s="583"/>
      <c r="X42" s="583"/>
      <c r="Y42" s="583"/>
      <c r="Z42" s="583"/>
      <c r="AA42" s="583"/>
      <c r="AB42" s="583"/>
      <c r="AC42" s="583"/>
      <c r="AD42" s="583"/>
      <c r="AE42" s="583"/>
      <c r="AF42" s="583"/>
      <c r="AG42" s="583"/>
      <c r="AH42" s="583"/>
      <c r="AI42" s="583"/>
      <c r="AJ42" s="583"/>
      <c r="AK42" s="583"/>
      <c r="AL42" s="583"/>
      <c r="AM42" s="583"/>
      <c r="AN42" s="583"/>
      <c r="AO42" s="583"/>
      <c r="AP42" s="583"/>
      <c r="AQ42" s="583"/>
      <c r="AR42" s="583"/>
      <c r="AS42" s="583"/>
      <c r="AT42" s="583"/>
      <c r="AU42" s="583"/>
      <c r="AV42" s="583"/>
      <c r="AW42" s="571"/>
    </row>
    <row r="43" spans="1:49" x14ac:dyDescent="0.25">
      <c r="A43" s="2150" t="s">
        <v>582</v>
      </c>
      <c r="B43" s="571"/>
      <c r="C43" s="571"/>
      <c r="D43" s="571"/>
      <c r="E43" s="571"/>
      <c r="F43" s="666"/>
      <c r="G43" s="667"/>
      <c r="H43" s="667"/>
      <c r="I43" s="667"/>
      <c r="J43" s="666"/>
      <c r="K43" s="667"/>
      <c r="L43" s="667"/>
      <c r="M43" s="667"/>
      <c r="N43" s="666"/>
      <c r="O43" s="667"/>
      <c r="P43" s="667"/>
      <c r="Q43" s="667"/>
      <c r="R43" s="666"/>
      <c r="S43" s="667"/>
      <c r="T43" s="667"/>
      <c r="U43" s="667"/>
      <c r="V43" s="666"/>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c r="AU43" s="571"/>
    </row>
    <row r="44" spans="1:49" ht="13" x14ac:dyDescent="0.3">
      <c r="A44" s="649" t="s">
        <v>586</v>
      </c>
      <c r="B44" s="2158"/>
      <c r="C44" s="2151"/>
      <c r="D44" s="2151"/>
      <c r="E44" s="2151"/>
      <c r="F44" s="2160"/>
      <c r="G44" s="2151"/>
      <c r="H44" s="2151"/>
      <c r="I44" s="2151"/>
      <c r="J44" s="2160"/>
      <c r="K44" s="2151"/>
      <c r="L44" s="2151"/>
      <c r="M44" s="2151"/>
      <c r="N44" s="2160"/>
      <c r="O44" s="2151">
        <f t="shared" ref="O44:W44" si="92">+O8/K8-1</f>
        <v>0.37742699289660608</v>
      </c>
      <c r="P44" s="2151">
        <f t="shared" si="92"/>
        <v>0.29036327575818444</v>
      </c>
      <c r="Q44" s="2151">
        <f t="shared" si="92"/>
        <v>0.1754100391018949</v>
      </c>
      <c r="R44" s="2160">
        <f t="shared" si="92"/>
        <v>-2.1361638896728041E-2</v>
      </c>
      <c r="S44" s="2151">
        <f t="shared" si="92"/>
        <v>-6.6145062821661438E-2</v>
      </c>
      <c r="T44" s="2151">
        <f t="shared" si="92"/>
        <v>-7.3967245647912572E-2</v>
      </c>
      <c r="U44" s="2151">
        <f t="shared" si="92"/>
        <v>-9.3994450549174879E-2</v>
      </c>
      <c r="V44" s="2160">
        <f t="shared" si="92"/>
        <v>-2.9661016949156238E-3</v>
      </c>
      <c r="W44" s="2151">
        <f t="shared" si="92"/>
        <v>3.7512411169494664E-2</v>
      </c>
      <c r="X44" s="2151">
        <f>+X8/T8-1</f>
        <v>5.328178838557851E-2</v>
      </c>
      <c r="Y44" s="2151"/>
      <c r="Z44" s="2151"/>
      <c r="AA44" s="2151"/>
      <c r="AB44" s="2151"/>
      <c r="AC44" s="2151"/>
      <c r="AD44" s="2151"/>
      <c r="AE44" s="2151"/>
      <c r="AF44" s="2151"/>
      <c r="AG44" s="2151"/>
      <c r="AH44" s="2151"/>
      <c r="AI44" s="2151"/>
      <c r="AJ44" s="2151"/>
      <c r="AK44" s="2151"/>
      <c r="AL44" s="2151"/>
      <c r="AM44" s="2151"/>
      <c r="AN44" s="2151"/>
      <c r="AO44" s="2151"/>
      <c r="AP44" s="2151"/>
      <c r="AQ44" s="2151"/>
      <c r="AR44" s="2151"/>
      <c r="AS44" s="2151">
        <f>+AS8/AR8-1</f>
        <v>0.41367637698682747</v>
      </c>
      <c r="AT44" s="2151">
        <f>+AT8/AS8-1</f>
        <v>0.19458032915604684</v>
      </c>
      <c r="AU44" s="2151">
        <f>+AU8/AT8-1</f>
        <v>-6.1480316439353033E-2</v>
      </c>
    </row>
    <row r="45" spans="1:49" ht="13" x14ac:dyDescent="0.3">
      <c r="A45" s="649" t="s">
        <v>583</v>
      </c>
      <c r="B45" s="2158"/>
      <c r="C45" s="2151"/>
      <c r="D45" s="2151"/>
      <c r="E45" s="2151"/>
      <c r="F45" s="2160"/>
      <c r="G45" s="2151"/>
      <c r="H45" s="2151"/>
      <c r="I45" s="2151"/>
      <c r="J45" s="2160"/>
      <c r="K45" s="2151"/>
      <c r="L45" s="2151"/>
      <c r="M45" s="2151"/>
      <c r="N45" s="2160"/>
      <c r="O45" s="2151">
        <v>0.08</v>
      </c>
      <c r="P45" s="2151">
        <v>7.6999999999999999E-2</v>
      </c>
      <c r="Q45" s="2151">
        <v>6.7000000000000004E-2</v>
      </c>
      <c r="R45" s="2160">
        <f>+(AT45*AS8-SUMPRODUCT(O45:Q45,K8:M8))/N8</f>
        <v>3.9994960519268076E-2</v>
      </c>
      <c r="S45" s="2151">
        <v>1.4999999999999999E-2</v>
      </c>
      <c r="T45" s="2151">
        <v>3.2000000000000001E-2</v>
      </c>
      <c r="U45" s="2151">
        <v>2.4E-2</v>
      </c>
      <c r="V45" s="2160">
        <f>+(AU45*AT8-SUMPRODUCT(S45:U45,O8:Q8))/R8</f>
        <v>1.9975976930320147E-2</v>
      </c>
      <c r="W45" s="2151">
        <v>8.6999999999999994E-2</v>
      </c>
      <c r="X45" s="2151">
        <v>6.2E-2</v>
      </c>
      <c r="Y45" s="2151"/>
      <c r="Z45" s="2151"/>
      <c r="AA45" s="2151"/>
      <c r="AB45" s="2151"/>
      <c r="AC45" s="2151"/>
      <c r="AD45" s="2151"/>
      <c r="AE45" s="2151"/>
      <c r="AF45" s="2151"/>
      <c r="AG45" s="2151"/>
      <c r="AH45" s="2151"/>
      <c r="AI45" s="2151"/>
      <c r="AJ45" s="2151"/>
      <c r="AK45" s="2151"/>
      <c r="AL45" s="2151"/>
      <c r="AM45" s="2151"/>
      <c r="AN45" s="2151"/>
      <c r="AO45" s="2151"/>
      <c r="AP45" s="2151"/>
      <c r="AQ45" s="2151"/>
      <c r="AR45" s="2151"/>
      <c r="AS45" s="2151">
        <v>6.9999999999999993E-3</v>
      </c>
      <c r="AT45" s="2151">
        <v>6.5000000000000002E-2</v>
      </c>
      <c r="AU45" s="2151">
        <v>2.3E-2</v>
      </c>
    </row>
    <row r="46" spans="1:49" ht="13" x14ac:dyDescent="0.3">
      <c r="A46" s="649" t="s">
        <v>584</v>
      </c>
      <c r="B46" s="2158"/>
      <c r="C46" s="2151"/>
      <c r="D46" s="2151"/>
      <c r="E46" s="2151"/>
      <c r="F46" s="2160"/>
      <c r="G46" s="2151"/>
      <c r="H46" s="2151"/>
      <c r="I46" s="2151"/>
      <c r="J46" s="2160"/>
      <c r="K46" s="2151"/>
      <c r="L46" s="2151"/>
      <c r="M46" s="2151"/>
      <c r="N46" s="2160"/>
      <c r="O46" s="2151">
        <v>-6.9999999999999993E-3</v>
      </c>
      <c r="P46" s="2151">
        <v>1.4999999999999999E-2</v>
      </c>
      <c r="Q46" s="2151">
        <v>-1.6E-2</v>
      </c>
      <c r="R46" s="2160">
        <f>+(AT46*AS8-SUMPRODUCT(O46:Q46,K8:M8))/N8</f>
        <v>-4.4277131124408939E-2</v>
      </c>
      <c r="S46" s="2151">
        <v>-0.01</v>
      </c>
      <c r="T46" s="2151">
        <v>-5.0000000000000001E-3</v>
      </c>
      <c r="U46" s="2151">
        <v>1E-3</v>
      </c>
      <c r="V46" s="2160">
        <f>+(AU46*AT9-SUMPRODUCT(S46:U46,O8:Q8))/R8</f>
        <v>1.6174529190207159E-2</v>
      </c>
      <c r="W46" s="2151">
        <f>+W44-W45-W47</f>
        <v>-4.8758883050532831E-4</v>
      </c>
      <c r="X46" s="2151">
        <f>+X44-X45-X47</f>
        <v>2.8178838557851166E-4</v>
      </c>
      <c r="Y46" s="2151"/>
      <c r="Z46" s="2151"/>
      <c r="AA46" s="2151"/>
      <c r="AB46" s="2151"/>
      <c r="AC46" s="2151"/>
      <c r="AD46" s="2151"/>
      <c r="AE46" s="2151"/>
      <c r="AF46" s="2151"/>
      <c r="AG46" s="2151"/>
      <c r="AH46" s="2151"/>
      <c r="AI46" s="2151"/>
      <c r="AJ46" s="2151"/>
      <c r="AK46" s="2151"/>
      <c r="AL46" s="2151"/>
      <c r="AM46" s="2151"/>
      <c r="AN46" s="2151"/>
      <c r="AO46" s="2151"/>
      <c r="AP46" s="2151"/>
      <c r="AQ46" s="2151"/>
      <c r="AR46" s="2151"/>
      <c r="AS46" s="2151">
        <v>1.7000000000000001E-2</v>
      </c>
      <c r="AT46" s="2151">
        <v>-1.4E-2</v>
      </c>
      <c r="AU46" s="2151">
        <v>-2E-3</v>
      </c>
    </row>
    <row r="47" spans="1:49" ht="13" x14ac:dyDescent="0.3">
      <c r="A47" s="649" t="s">
        <v>585</v>
      </c>
      <c r="B47" s="2158"/>
      <c r="C47" s="2151"/>
      <c r="D47" s="2151"/>
      <c r="E47" s="2151"/>
      <c r="F47" s="2160"/>
      <c r="G47" s="2151"/>
      <c r="H47" s="2151"/>
      <c r="I47" s="2151"/>
      <c r="J47" s="2160"/>
      <c r="K47" s="2151"/>
      <c r="L47" s="2151"/>
      <c r="M47" s="2151"/>
      <c r="N47" s="2160"/>
      <c r="O47" s="2151">
        <f t="shared" ref="O47" si="93">+O44-O45-O46</f>
        <v>0.30442699289660607</v>
      </c>
      <c r="P47" s="2151">
        <f t="shared" ref="P47" si="94">+P44-P45-P46</f>
        <v>0.19836327575818441</v>
      </c>
      <c r="Q47" s="2151">
        <f t="shared" ref="Q47" si="95">+Q44-Q45-Q46</f>
        <v>0.1244100391018949</v>
      </c>
      <c r="R47" s="2160">
        <f>+R44-R45-R46</f>
        <v>-1.7079468291587178E-2</v>
      </c>
      <c r="S47" s="2151">
        <f t="shared" ref="S47:T47" si="96">+S44-S45-S46</f>
        <v>-7.1145062821661442E-2</v>
      </c>
      <c r="T47" s="2151">
        <f t="shared" si="96"/>
        <v>-0.10096724564791257</v>
      </c>
      <c r="U47" s="2151">
        <f>+U44-U45-U46</f>
        <v>-0.11899445054917487</v>
      </c>
      <c r="V47" s="2160">
        <f>+V44-V45-V46</f>
        <v>-3.9116607815442933E-2</v>
      </c>
      <c r="W47" s="2151">
        <v>-4.9000000000000002E-2</v>
      </c>
      <c r="X47" s="2151">
        <v>-9.0000000000000011E-3</v>
      </c>
      <c r="Y47" s="2151"/>
      <c r="Z47" s="2151"/>
      <c r="AA47" s="2151"/>
      <c r="AB47" s="2151"/>
      <c r="AC47" s="2151"/>
      <c r="AD47" s="2151"/>
      <c r="AE47" s="2151"/>
      <c r="AF47" s="2151"/>
      <c r="AG47" s="2151"/>
      <c r="AH47" s="2151"/>
      <c r="AI47" s="2151"/>
      <c r="AJ47" s="2151"/>
      <c r="AK47" s="2151"/>
      <c r="AL47" s="2151"/>
      <c r="AM47" s="2151"/>
      <c r="AN47" s="2151"/>
      <c r="AO47" s="2151"/>
      <c r="AP47" s="2151"/>
      <c r="AQ47" s="2151"/>
      <c r="AR47" s="2151"/>
      <c r="AS47" s="2151">
        <f>+AS44-AS45-AS46</f>
        <v>0.38967637698682744</v>
      </c>
      <c r="AT47" s="2151">
        <f>+AT44-AT45-AT46</f>
        <v>0.14358032915604685</v>
      </c>
      <c r="AU47" s="2151">
        <f>+AU44-AU45-AU46</f>
        <v>-8.2480316439353024E-2</v>
      </c>
    </row>
    <row r="48" spans="1:49" ht="13" x14ac:dyDescent="0.3">
      <c r="B48" s="571"/>
      <c r="C48" s="571"/>
      <c r="D48" s="571"/>
      <c r="E48" s="571"/>
      <c r="F48" s="666"/>
      <c r="G48" s="667"/>
      <c r="H48" s="667"/>
      <c r="I48" s="667"/>
      <c r="J48" s="666"/>
      <c r="K48" s="667"/>
      <c r="L48" s="667"/>
      <c r="M48" s="667"/>
      <c r="N48" s="666"/>
      <c r="O48" s="2151"/>
      <c r="P48" s="2151"/>
      <c r="Q48" s="2151"/>
      <c r="R48" s="2160"/>
      <c r="S48" s="2151"/>
      <c r="T48" s="2151"/>
      <c r="U48" s="2151"/>
      <c r="V48" s="2160"/>
      <c r="W48" s="2151"/>
      <c r="X48" s="2151"/>
      <c r="Y48" s="2151"/>
      <c r="Z48" s="2151"/>
      <c r="AA48" s="2151"/>
      <c r="AB48" s="2151"/>
      <c r="AC48" s="2151"/>
      <c r="AD48" s="2151"/>
      <c r="AE48" s="2151"/>
      <c r="AF48" s="2151"/>
      <c r="AG48" s="2151"/>
      <c r="AH48" s="2151"/>
      <c r="AI48" s="2151"/>
      <c r="AJ48" s="2151"/>
      <c r="AK48" s="2151"/>
      <c r="AL48" s="2151"/>
      <c r="AM48" s="2151"/>
      <c r="AN48" s="2151"/>
      <c r="AO48" s="2151"/>
      <c r="AP48" s="2151"/>
      <c r="AQ48" s="2151"/>
      <c r="AR48" s="2151"/>
      <c r="AS48" s="2151"/>
      <c r="AT48" s="2151"/>
      <c r="AU48" s="2151"/>
    </row>
    <row r="49" spans="1:49" ht="13" x14ac:dyDescent="0.3">
      <c r="A49" s="2150" t="s">
        <v>803</v>
      </c>
      <c r="B49" s="571"/>
      <c r="C49" s="571"/>
      <c r="D49" s="571"/>
      <c r="E49" s="571"/>
      <c r="F49" s="666"/>
      <c r="G49" s="667"/>
      <c r="H49" s="667"/>
      <c r="I49" s="667"/>
      <c r="J49" s="666"/>
      <c r="K49" s="667"/>
      <c r="L49" s="667"/>
      <c r="M49" s="667"/>
      <c r="N49" s="666"/>
      <c r="O49" s="2263"/>
      <c r="P49" s="2263"/>
      <c r="Q49" s="2263"/>
      <c r="R49" s="2262"/>
      <c r="S49" s="2263"/>
      <c r="T49" s="2263"/>
      <c r="U49" s="2263"/>
      <c r="V49" s="2262"/>
      <c r="W49" s="2263"/>
      <c r="X49" s="2263"/>
      <c r="Y49" s="2263"/>
      <c r="Z49" s="2263"/>
      <c r="AA49" s="2263"/>
      <c r="AB49" s="2263"/>
      <c r="AC49" s="2263"/>
      <c r="AD49" s="2263"/>
      <c r="AE49" s="2263"/>
      <c r="AF49" s="2263"/>
      <c r="AG49" s="2263"/>
      <c r="AH49" s="2263"/>
      <c r="AI49" s="2263"/>
      <c r="AJ49" s="2263"/>
      <c r="AK49" s="2263"/>
      <c r="AL49" s="2263"/>
      <c r="AM49" s="2263"/>
      <c r="AN49" s="2263"/>
      <c r="AO49" s="2263"/>
      <c r="AP49" s="2263"/>
      <c r="AQ49" s="2263"/>
      <c r="AR49" s="2263"/>
      <c r="AS49" s="2263"/>
      <c r="AT49" s="2263"/>
      <c r="AU49" s="2263"/>
      <c r="AV49" s="2326"/>
    </row>
    <row r="50" spans="1:49" ht="13" x14ac:dyDescent="0.3">
      <c r="A50" s="649" t="s">
        <v>804</v>
      </c>
      <c r="B50" s="186"/>
      <c r="C50" s="2321"/>
      <c r="D50" s="2321"/>
      <c r="E50" s="2321"/>
      <c r="F50" s="2322"/>
      <c r="G50" s="2321"/>
      <c r="H50" s="2321"/>
      <c r="I50" s="2321"/>
      <c r="J50" s="2322"/>
      <c r="K50" s="2321"/>
      <c r="L50" s="2321"/>
      <c r="M50" s="2321"/>
      <c r="N50" s="2322"/>
      <c r="O50" s="2263"/>
      <c r="P50" s="2263"/>
      <c r="Q50" s="2263"/>
      <c r="R50" s="2262"/>
      <c r="S50" s="2263">
        <v>0.04</v>
      </c>
      <c r="T50" s="2263">
        <v>0.05</v>
      </c>
      <c r="U50" s="2263">
        <v>0.04</v>
      </c>
      <c r="V50" s="2262">
        <v>0.08</v>
      </c>
      <c r="W50" s="2263">
        <v>0.09</v>
      </c>
      <c r="X50" s="2263">
        <v>0.09</v>
      </c>
      <c r="Y50" s="2263">
        <v>0.1</v>
      </c>
      <c r="Z50" s="2263"/>
      <c r="AA50" s="2263"/>
      <c r="AB50" s="2263"/>
      <c r="AC50" s="2263"/>
      <c r="AD50" s="2263"/>
      <c r="AE50" s="2263"/>
      <c r="AF50" s="2263"/>
      <c r="AG50" s="2263"/>
      <c r="AH50" s="2263"/>
      <c r="AI50" s="2263"/>
      <c r="AJ50" s="2263"/>
      <c r="AK50" s="2263"/>
      <c r="AL50" s="2263"/>
      <c r="AM50" s="2263"/>
      <c r="AN50" s="2263"/>
      <c r="AO50" s="2263"/>
      <c r="AP50" s="2263"/>
      <c r="AQ50" s="2263"/>
      <c r="AR50" s="2263"/>
      <c r="AS50" s="2263">
        <v>0.09</v>
      </c>
      <c r="AT50" s="2263">
        <v>0.05</v>
      </c>
      <c r="AU50" s="2263">
        <v>0.05</v>
      </c>
      <c r="AV50" s="2327"/>
      <c r="AW50" s="2323"/>
    </row>
    <row r="51" spans="1:49" ht="13" x14ac:dyDescent="0.3">
      <c r="A51" s="649" t="s">
        <v>376</v>
      </c>
      <c r="B51" s="186"/>
      <c r="C51" s="2321"/>
      <c r="D51" s="2321"/>
      <c r="E51" s="2321"/>
      <c r="F51" s="2322"/>
      <c r="G51" s="2321"/>
      <c r="H51" s="2321"/>
      <c r="I51" s="2321"/>
      <c r="J51" s="2322"/>
      <c r="K51" s="2321"/>
      <c r="L51" s="2321"/>
      <c r="M51" s="2321"/>
      <c r="N51" s="2322"/>
      <c r="O51" s="2263"/>
      <c r="P51" s="2263"/>
      <c r="Q51" s="2263"/>
      <c r="R51" s="2262"/>
      <c r="S51" s="2263">
        <v>0.05</v>
      </c>
      <c r="T51" s="2263">
        <v>0.05</v>
      </c>
      <c r="U51" s="2263">
        <v>0.05</v>
      </c>
      <c r="V51" s="2262">
        <v>7.0000000000000007E-2</v>
      </c>
      <c r="W51" s="2263">
        <v>0.06</v>
      </c>
      <c r="X51" s="2263">
        <v>7.0000000000000007E-2</v>
      </c>
      <c r="Y51" s="2263">
        <v>7.0000000000000007E-2</v>
      </c>
      <c r="Z51" s="2263"/>
      <c r="AA51" s="2263"/>
      <c r="AB51" s="2263"/>
      <c r="AC51" s="2263"/>
      <c r="AD51" s="2263"/>
      <c r="AE51" s="2263"/>
      <c r="AF51" s="2263"/>
      <c r="AG51" s="2263"/>
      <c r="AH51" s="2263"/>
      <c r="AI51" s="2263"/>
      <c r="AJ51" s="2263"/>
      <c r="AK51" s="2263"/>
      <c r="AL51" s="2263"/>
      <c r="AM51" s="2263"/>
      <c r="AN51" s="2263"/>
      <c r="AO51" s="2263"/>
      <c r="AP51" s="2263"/>
      <c r="AQ51" s="2263"/>
      <c r="AR51" s="2263"/>
      <c r="AS51" s="2263">
        <v>0.12</v>
      </c>
      <c r="AT51" s="2263">
        <v>0.09</v>
      </c>
      <c r="AU51" s="2263">
        <v>0.05</v>
      </c>
      <c r="AV51" s="2327"/>
      <c r="AW51" s="2323"/>
    </row>
    <row r="52" spans="1:49" ht="13" x14ac:dyDescent="0.3">
      <c r="A52" s="649" t="s">
        <v>805</v>
      </c>
      <c r="B52" s="186"/>
      <c r="C52" s="2321"/>
      <c r="D52" s="2321"/>
      <c r="E52" s="2321"/>
      <c r="F52" s="2322"/>
      <c r="G52" s="2321"/>
      <c r="H52" s="2321"/>
      <c r="I52" s="2321"/>
      <c r="J52" s="2322"/>
      <c r="K52" s="2321"/>
      <c r="L52" s="2321"/>
      <c r="M52" s="2321"/>
      <c r="N52" s="2322"/>
      <c r="O52" s="2263"/>
      <c r="P52" s="2263"/>
      <c r="Q52" s="2263"/>
      <c r="R52" s="2262"/>
      <c r="S52" s="2263">
        <v>-0.04</v>
      </c>
      <c r="T52" s="2263">
        <v>-0.05</v>
      </c>
      <c r="U52" s="2263">
        <v>-0.05</v>
      </c>
      <c r="V52" s="2262">
        <v>-0.04</v>
      </c>
      <c r="W52" s="2263">
        <v>-0.03</v>
      </c>
      <c r="X52" s="2263">
        <v>-0.03</v>
      </c>
      <c r="Y52" s="2263">
        <v>-0.04</v>
      </c>
      <c r="Z52" s="2263"/>
      <c r="AA52" s="2263"/>
      <c r="AB52" s="2263"/>
      <c r="AC52" s="2263"/>
      <c r="AD52" s="2263"/>
      <c r="AE52" s="2263"/>
      <c r="AF52" s="2263"/>
      <c r="AG52" s="2263"/>
      <c r="AH52" s="2263"/>
      <c r="AI52" s="2263"/>
      <c r="AJ52" s="2263"/>
      <c r="AK52" s="2263"/>
      <c r="AL52" s="2263"/>
      <c r="AM52" s="2263"/>
      <c r="AN52" s="2263"/>
      <c r="AO52" s="2263"/>
      <c r="AP52" s="2263"/>
      <c r="AQ52" s="2263"/>
      <c r="AR52" s="2263"/>
      <c r="AS52" s="2263">
        <v>-0.04</v>
      </c>
      <c r="AT52" s="2263">
        <v>-0.04</v>
      </c>
      <c r="AU52" s="2263">
        <v>-0.04</v>
      </c>
      <c r="AV52" s="2327"/>
      <c r="AW52" s="2323"/>
    </row>
    <row r="53" spans="1:49" ht="13" x14ac:dyDescent="0.3">
      <c r="A53" s="649" t="s">
        <v>806</v>
      </c>
      <c r="B53" s="186"/>
      <c r="C53" s="2321"/>
      <c r="D53" s="2321"/>
      <c r="E53" s="2321"/>
      <c r="F53" s="2322"/>
      <c r="G53" s="2321"/>
      <c r="H53" s="2321"/>
      <c r="I53" s="2321"/>
      <c r="J53" s="2322"/>
      <c r="K53" s="2321"/>
      <c r="L53" s="2321"/>
      <c r="M53" s="2321"/>
      <c r="N53" s="2322"/>
      <c r="O53" s="2263"/>
      <c r="P53" s="2263"/>
      <c r="Q53" s="2263"/>
      <c r="R53" s="2262"/>
      <c r="S53" s="2263">
        <v>-0.13</v>
      </c>
      <c r="T53" s="2263">
        <v>-0.16</v>
      </c>
      <c r="U53" s="2263">
        <v>-0.17</v>
      </c>
      <c r="V53" s="2262">
        <v>-0.13</v>
      </c>
      <c r="W53" s="2263">
        <v>-0.16</v>
      </c>
      <c r="X53" s="2263">
        <v>-0.14000000000000001</v>
      </c>
      <c r="Y53" s="2263">
        <v>-0.12</v>
      </c>
      <c r="Z53" s="2263"/>
      <c r="AA53" s="2263"/>
      <c r="AB53" s="2263"/>
      <c r="AC53" s="2263"/>
      <c r="AD53" s="2263"/>
      <c r="AE53" s="2263"/>
      <c r="AF53" s="2263"/>
      <c r="AG53" s="2263"/>
      <c r="AH53" s="2263"/>
      <c r="AI53" s="2263"/>
      <c r="AJ53" s="2263"/>
      <c r="AK53" s="2263"/>
      <c r="AL53" s="2263"/>
      <c r="AM53" s="2263"/>
      <c r="AN53" s="2263"/>
      <c r="AO53" s="2263"/>
      <c r="AP53" s="2263"/>
      <c r="AQ53" s="2263"/>
      <c r="AR53" s="2263"/>
      <c r="AS53" s="2263">
        <v>0.24</v>
      </c>
      <c r="AT53" s="2263">
        <v>0.03</v>
      </c>
      <c r="AU53" s="2263">
        <v>-0.15</v>
      </c>
      <c r="AV53" s="2327"/>
      <c r="AW53" s="2323"/>
    </row>
    <row r="54" spans="1:49" x14ac:dyDescent="0.25">
      <c r="B54" s="2323"/>
      <c r="C54" s="2323"/>
      <c r="D54" s="2323"/>
      <c r="E54" s="2323"/>
      <c r="F54" s="2324"/>
      <c r="G54" s="2325"/>
      <c r="H54" s="2325"/>
      <c r="I54" s="2325"/>
      <c r="J54" s="2324"/>
      <c r="K54" s="2325"/>
      <c r="L54" s="2325"/>
      <c r="M54" s="2325"/>
      <c r="N54" s="2324"/>
      <c r="O54" s="2325"/>
      <c r="P54" s="2325"/>
      <c r="Q54" s="2325"/>
      <c r="R54" s="2324"/>
      <c r="S54" s="2325"/>
      <c r="T54" s="2325"/>
      <c r="U54" s="2325"/>
      <c r="V54" s="2324"/>
      <c r="W54" s="2323"/>
      <c r="X54" s="2323"/>
      <c r="Y54" s="2323"/>
      <c r="Z54" s="2323"/>
      <c r="AA54" s="2323"/>
      <c r="AB54" s="2323"/>
      <c r="AC54" s="2323"/>
      <c r="AD54" s="2323"/>
      <c r="AE54" s="2323"/>
      <c r="AF54" s="2323"/>
      <c r="AG54" s="2323"/>
      <c r="AH54" s="2323"/>
      <c r="AI54" s="2323"/>
      <c r="AJ54" s="2323"/>
      <c r="AK54" s="2323"/>
      <c r="AL54" s="2323"/>
      <c r="AM54" s="2323"/>
      <c r="AN54" s="2323"/>
      <c r="AO54" s="2323"/>
      <c r="AP54" s="2323"/>
      <c r="AQ54" s="2323"/>
      <c r="AR54" s="2323"/>
      <c r="AS54" s="2323"/>
      <c r="AT54" s="2323"/>
      <c r="AU54" s="2323"/>
      <c r="AV54" s="2323"/>
      <c r="AW54" s="2323"/>
    </row>
    <row r="55" spans="1:49" ht="13" x14ac:dyDescent="0.3">
      <c r="A55" s="2150" t="s">
        <v>233</v>
      </c>
      <c r="B55" s="571"/>
      <c r="C55" s="571"/>
      <c r="D55" s="571"/>
      <c r="E55" s="571"/>
      <c r="F55" s="666"/>
      <c r="G55" s="667"/>
      <c r="H55" s="667"/>
      <c r="I55" s="667"/>
      <c r="J55" s="666"/>
      <c r="K55" s="667"/>
      <c r="L55" s="667"/>
      <c r="M55" s="667"/>
      <c r="N55" s="666"/>
      <c r="O55" s="667"/>
      <c r="P55" s="667"/>
      <c r="Q55" s="667"/>
      <c r="R55" s="666"/>
      <c r="S55" s="667"/>
      <c r="T55" s="667"/>
      <c r="U55" s="2151"/>
      <c r="V55" s="2160"/>
      <c r="W55" s="2151"/>
      <c r="X55" s="2151"/>
      <c r="Y55" s="2151"/>
      <c r="Z55" s="571"/>
      <c r="AA55" s="571"/>
      <c r="AB55" s="571"/>
      <c r="AC55" s="571"/>
      <c r="AD55" s="571"/>
      <c r="AE55" s="571"/>
      <c r="AF55" s="571"/>
      <c r="AG55" s="571"/>
      <c r="AH55" s="571"/>
      <c r="AI55" s="571"/>
      <c r="AJ55" s="571"/>
      <c r="AK55" s="571"/>
      <c r="AL55" s="571"/>
      <c r="AM55" s="571"/>
      <c r="AN55" s="571"/>
      <c r="AO55" s="571"/>
      <c r="AP55" s="571"/>
      <c r="AQ55" s="571"/>
      <c r="AR55" s="571"/>
      <c r="AS55" s="571"/>
      <c r="AT55" s="571"/>
      <c r="AU55" s="571"/>
    </row>
    <row r="56" spans="1:49" x14ac:dyDescent="0.25">
      <c r="A56" s="649" t="s">
        <v>796</v>
      </c>
      <c r="B56" s="571"/>
      <c r="C56" s="2153"/>
      <c r="D56" s="2153"/>
      <c r="E56" s="2153">
        <f>+'STER Canalyst'!Q138*1000</f>
        <v>-3909</v>
      </c>
      <c r="F56" s="2159">
        <f>+'STER Canalyst'!R138*1000</f>
        <v>-17702</v>
      </c>
      <c r="G56" s="2166">
        <f>+'STER Canalyst'!S138*1000</f>
        <v>-15899.999999999998</v>
      </c>
      <c r="H56" s="2166">
        <f>+'STER Canalyst'!T138*1000</f>
        <v>-24947.000000000004</v>
      </c>
      <c r="I56" s="2166">
        <f>+'STER Canalyst'!U138*1000</f>
        <v>-10385</v>
      </c>
      <c r="J56" s="2159">
        <f>+'STER Canalyst'!V138*1000</f>
        <v>-1060</v>
      </c>
      <c r="K56" s="2166">
        <f>+'STER Canalyst'!W138*1000</f>
        <v>628.00000000000875</v>
      </c>
      <c r="L56" s="2166">
        <f>+'STER Canalyst'!X138*1000</f>
        <v>3398.0000000000564</v>
      </c>
      <c r="M56" s="2166">
        <f>+'STER Canalyst'!Y138*1000</f>
        <v>-25256.000000000025</v>
      </c>
      <c r="N56" s="2159">
        <f>+'STER Canalyst'!Z138*1000</f>
        <v>2703.9999999999927</v>
      </c>
      <c r="O56" s="2166">
        <f>+'STER Canalyst'!AA138*1000</f>
        <v>6236.0000000000073</v>
      </c>
      <c r="P56" s="2166">
        <f>+'STER Canalyst'!AB138*1000</f>
        <v>11571.000000000009</v>
      </c>
      <c r="Q56" s="2166">
        <f>+'STER Canalyst'!AC138*1000</f>
        <v>9303.0000000000109</v>
      </c>
      <c r="R56" s="2159">
        <f>+'STER Canalyst'!AD138*1000</f>
        <v>-7700.0000000000118</v>
      </c>
      <c r="S56" s="2166">
        <f>+'STER Canalyst'!AE138*1000</f>
        <v>590.99999999999329</v>
      </c>
      <c r="T56" s="2166">
        <f>+'STER Canalyst'!AF138*1000</f>
        <v>322.99999999999221</v>
      </c>
      <c r="U56" s="2166">
        <f>+'STER Canalyst'!AG138*1000</f>
        <v>2354.0000000000009</v>
      </c>
      <c r="V56" s="2159">
        <f>+'STER Canalyst'!AH138*1000</f>
        <v>-3384.0000000000659</v>
      </c>
      <c r="W56" s="2153">
        <f>+'STER Canalyst'!AI138*1000</f>
        <v>-7955.0000000000018</v>
      </c>
      <c r="X56" s="2153">
        <f>+'STER Canalyst'!AJ138*1000</f>
        <v>-6232.0000000000027</v>
      </c>
      <c r="Y56" s="2153"/>
      <c r="Z56" s="571"/>
      <c r="AA56" s="571"/>
      <c r="AB56" s="571"/>
      <c r="AC56" s="571"/>
      <c r="AD56" s="571"/>
      <c r="AE56" s="571"/>
      <c r="AF56" s="571"/>
      <c r="AG56" s="571"/>
      <c r="AH56" s="571"/>
      <c r="AI56" s="571"/>
      <c r="AJ56" s="571"/>
      <c r="AK56" s="571"/>
      <c r="AL56" s="571"/>
      <c r="AM56" s="571"/>
      <c r="AN56" s="571"/>
      <c r="AO56" s="571"/>
      <c r="AP56" s="2153"/>
      <c r="AQ56" s="2153">
        <f>+'STER Canalyst'!BB138*1000</f>
        <v>-46682.000000000015</v>
      </c>
      <c r="AR56" s="2153">
        <f>+'STER Canalyst'!BC138*1000</f>
        <v>-52293</v>
      </c>
      <c r="AS56" s="2153">
        <f>+'STER Canalyst'!BD138*1000</f>
        <v>-18526.999999999938</v>
      </c>
      <c r="AT56" s="2153">
        <v>19410</v>
      </c>
      <c r="AU56" s="2153">
        <v>-116</v>
      </c>
    </row>
    <row r="57" spans="1:49" x14ac:dyDescent="0.25">
      <c r="A57" s="649" t="s">
        <v>795</v>
      </c>
      <c r="B57" s="571"/>
      <c r="C57" s="2153"/>
      <c r="D57" s="2153"/>
      <c r="E57" s="2153">
        <f>+'STER Canalyst'!Q139*1000</f>
        <v>-979</v>
      </c>
      <c r="F57" s="2159">
        <f>+'STER Canalyst'!R139*1000</f>
        <v>-10544</v>
      </c>
      <c r="G57" s="2166">
        <f>+'STER Canalyst'!S139*1000</f>
        <v>-3556</v>
      </c>
      <c r="H57" s="2166">
        <f>+'STER Canalyst'!T139*1000</f>
        <v>-1453</v>
      </c>
      <c r="I57" s="2166">
        <f>+'STER Canalyst'!U139*1000</f>
        <v>5727</v>
      </c>
      <c r="J57" s="2159">
        <f>+'STER Canalyst'!V139*1000</f>
        <v>-12280</v>
      </c>
      <c r="K57" s="2166">
        <f>+'STER Canalyst'!W139*1000</f>
        <v>526</v>
      </c>
      <c r="L57" s="2166">
        <f>+'STER Canalyst'!X139*1000</f>
        <v>4026</v>
      </c>
      <c r="M57" s="2166">
        <f>+'STER Canalyst'!Y139*1000</f>
        <v>-12633</v>
      </c>
      <c r="N57" s="2159">
        <f>+'STER Canalyst'!Z139*1000</f>
        <v>-2381</v>
      </c>
      <c r="O57" s="2166">
        <f>+'STER Canalyst'!AA139*1000</f>
        <v>4085</v>
      </c>
      <c r="P57" s="2166">
        <f>+'STER Canalyst'!AB139*1000</f>
        <v>5392</v>
      </c>
      <c r="Q57" s="2166">
        <f>+'STER Canalyst'!AC139*1000</f>
        <v>3481</v>
      </c>
      <c r="R57" s="2159">
        <f>+'STER Canalyst'!AD139*1000</f>
        <v>-4252</v>
      </c>
      <c r="S57" s="2166">
        <f>+'STER Canalyst'!AE139*1000</f>
        <v>1102</v>
      </c>
      <c r="T57" s="2166">
        <f>+'STER Canalyst'!AF139*1000</f>
        <v>-85</v>
      </c>
      <c r="U57" s="2166">
        <f>+'STER Canalyst'!AG139*1000</f>
        <v>3952</v>
      </c>
      <c r="V57" s="2159">
        <f>+'STER Canalyst'!AH139*1000</f>
        <v>7398.0000000000009</v>
      </c>
      <c r="W57" s="2153">
        <f>+'STER Canalyst'!AI139*1000</f>
        <v>-9018</v>
      </c>
      <c r="X57" s="2153">
        <f>+'STER Canalyst'!AJ139*1000</f>
        <v>7094</v>
      </c>
      <c r="Y57" s="2153"/>
      <c r="Z57" s="571"/>
      <c r="AA57" s="571"/>
      <c r="AB57" s="571"/>
      <c r="AC57" s="571"/>
      <c r="AD57" s="571"/>
      <c r="AE57" s="571"/>
      <c r="AF57" s="571"/>
      <c r="AG57" s="571"/>
      <c r="AH57" s="571"/>
      <c r="AI57" s="571"/>
      <c r="AJ57" s="571"/>
      <c r="AK57" s="571"/>
      <c r="AL57" s="571"/>
      <c r="AM57" s="571"/>
      <c r="AN57" s="571"/>
      <c r="AO57" s="571"/>
      <c r="AP57" s="2153"/>
      <c r="AQ57" s="2153">
        <f>+'STER Canalyst'!BB139*1000</f>
        <v>-11803</v>
      </c>
      <c r="AR57" s="2153">
        <f>+'STER Canalyst'!BC139*1000</f>
        <v>-11562</v>
      </c>
      <c r="AS57" s="2153">
        <f>+'STER Canalyst'!BD139*1000</f>
        <v>-10461</v>
      </c>
      <c r="AT57" s="2153">
        <f>+'STER Canalyst'!BE139*1000</f>
        <v>8706</v>
      </c>
      <c r="AU57" s="2153">
        <v>12367</v>
      </c>
    </row>
    <row r="58" spans="1:49" x14ac:dyDescent="0.25">
      <c r="A58" s="649" t="s">
        <v>790</v>
      </c>
      <c r="B58" s="571"/>
      <c r="C58" s="2153"/>
      <c r="D58" s="2153"/>
      <c r="E58" s="2153">
        <f>+'STER Canalyst'!Q140*1000</f>
        <v>9784</v>
      </c>
      <c r="F58" s="2159">
        <f>+'STER Canalyst'!R140*1000</f>
        <v>9199</v>
      </c>
      <c r="G58" s="2166">
        <f>+'STER Canalyst'!S140*1000</f>
        <v>9056</v>
      </c>
      <c r="H58" s="2166">
        <f>+'STER Canalyst'!T140*1000</f>
        <v>8237</v>
      </c>
      <c r="I58" s="2166">
        <f>+'STER Canalyst'!U140*1000</f>
        <v>7817</v>
      </c>
      <c r="J58" s="2159">
        <f>+'STER Canalyst'!V140*1000</f>
        <v>7837</v>
      </c>
      <c r="K58" s="2166">
        <f>+'STER Canalyst'!W140*1000</f>
        <v>7570</v>
      </c>
      <c r="L58" s="2166">
        <f>+'STER Canalyst'!X140*1000</f>
        <v>7603</v>
      </c>
      <c r="M58" s="2166">
        <f>+'STER Canalyst'!Y140*1000</f>
        <v>7668</v>
      </c>
      <c r="N58" s="2159">
        <f>+'STER Canalyst'!Z140*1000</f>
        <v>8016</v>
      </c>
      <c r="O58" s="2166">
        <f>+'STER Canalyst'!AA140*1000</f>
        <v>6336</v>
      </c>
      <c r="P58" s="2166">
        <f>+'STER Canalyst'!AB140*1000</f>
        <v>6619</v>
      </c>
      <c r="Q58" s="2166">
        <f>+'STER Canalyst'!AC140*1000</f>
        <v>7764</v>
      </c>
      <c r="R58" s="2159">
        <f>+'STER Canalyst'!AD140*1000</f>
        <v>8828</v>
      </c>
      <c r="S58" s="2166">
        <f>+'STER Canalyst'!AE140*1000</f>
        <v>8608</v>
      </c>
      <c r="T58" s="2166">
        <f>+'STER Canalyst'!AF140*1000</f>
        <v>8990</v>
      </c>
      <c r="U58" s="2166">
        <f>+'STER Canalyst'!AG140*1000</f>
        <v>9305</v>
      </c>
      <c r="V58" s="2159">
        <f>+'STER Canalyst'!AH140*1000</f>
        <v>9329.9999999999982</v>
      </c>
      <c r="W58" s="2153">
        <f>+'STER Canalyst'!AI140*1000</f>
        <v>10312</v>
      </c>
      <c r="X58" s="2153">
        <f>+'STER Canalyst'!AJ140*1000</f>
        <v>10143</v>
      </c>
      <c r="Y58" s="2153"/>
      <c r="Z58" s="571"/>
      <c r="AA58" s="571"/>
      <c r="AB58" s="571"/>
      <c r="AC58" s="571"/>
      <c r="AD58" s="571"/>
      <c r="AE58" s="571"/>
      <c r="AF58" s="571"/>
      <c r="AG58" s="571"/>
      <c r="AH58" s="571"/>
      <c r="AI58" s="571"/>
      <c r="AJ58" s="571"/>
      <c r="AK58" s="571"/>
      <c r="AL58" s="571"/>
      <c r="AM58" s="571"/>
      <c r="AN58" s="571"/>
      <c r="AO58" s="571"/>
      <c r="AP58" s="2153"/>
      <c r="AQ58" s="2153">
        <f>+'STER Canalyst'!BB140*1000</f>
        <v>39316</v>
      </c>
      <c r="AR58" s="2153">
        <f>+'STER Canalyst'!BC140*1000</f>
        <v>32947</v>
      </c>
      <c r="AS58" s="2153">
        <f>+'STER Canalyst'!BD140*1000</f>
        <v>30857</v>
      </c>
      <c r="AT58" s="2153">
        <v>29547</v>
      </c>
      <c r="AU58" s="2153">
        <v>36233</v>
      </c>
    </row>
    <row r="59" spans="1:49" x14ac:dyDescent="0.25">
      <c r="A59" s="649" t="s">
        <v>343</v>
      </c>
      <c r="B59" s="571"/>
      <c r="C59" s="2153"/>
      <c r="D59" s="2153"/>
      <c r="E59" s="2153">
        <f>+'STER Canalyst'!Q141*1000</f>
        <v>23479</v>
      </c>
      <c r="F59" s="2159">
        <f>+'STER Canalyst'!R141*1000</f>
        <v>23774</v>
      </c>
      <c r="G59" s="2166">
        <f>+'STER Canalyst'!S141*1000</f>
        <v>22935</v>
      </c>
      <c r="H59" s="2166">
        <f>+'STER Canalyst'!T141*1000</f>
        <v>22643</v>
      </c>
      <c r="I59" s="2166">
        <f>+'STER Canalyst'!U141*1000</f>
        <v>22863</v>
      </c>
      <c r="J59" s="2159">
        <f>+'STER Canalyst'!V141*1000</f>
        <v>22758</v>
      </c>
      <c r="K59" s="2166">
        <f>+'STER Canalyst'!W141*1000</f>
        <v>20549</v>
      </c>
      <c r="L59" s="2166">
        <f>+'STER Canalyst'!X141*1000</f>
        <v>20299</v>
      </c>
      <c r="M59" s="2166">
        <f>+'STER Canalyst'!Y141*1000</f>
        <v>20346</v>
      </c>
      <c r="N59" s="2159">
        <f>+'STER Canalyst'!Z141*1000</f>
        <v>20871</v>
      </c>
      <c r="O59" s="2166">
        <f>+'STER Canalyst'!AA141*1000</f>
        <v>20156</v>
      </c>
      <c r="P59" s="2166">
        <f>+'STER Canalyst'!AB141*1000</f>
        <v>19872</v>
      </c>
      <c r="Q59" s="2166">
        <f>+'STER Canalyst'!AC141*1000</f>
        <v>16570</v>
      </c>
      <c r="R59" s="2159">
        <f>+'STER Canalyst'!AD141*1000</f>
        <v>16542</v>
      </c>
      <c r="S59" s="2166">
        <f>+'STER Canalyst'!AE141*1000</f>
        <v>15122</v>
      </c>
      <c r="T59" s="2166">
        <f>+'STER Canalyst'!AF141*1000</f>
        <v>16120.000000000002</v>
      </c>
      <c r="U59" s="2166">
        <f>+'STER Canalyst'!AG141*1000</f>
        <v>15875</v>
      </c>
      <c r="V59" s="2159">
        <f>+'STER Canalyst'!AH141*1000</f>
        <v>15735.999999999996</v>
      </c>
      <c r="W59" s="2153">
        <f>+'STER Canalyst'!AI141*1000</f>
        <v>15770</v>
      </c>
      <c r="X59" s="2153">
        <f>+'STER Canalyst'!AJ141*1000</f>
        <v>15820</v>
      </c>
      <c r="Y59" s="2153"/>
      <c r="Z59" s="571"/>
      <c r="AA59" s="571"/>
      <c r="AB59" s="571"/>
      <c r="AC59" s="571"/>
      <c r="AD59" s="571"/>
      <c r="AE59" s="571"/>
      <c r="AF59" s="571"/>
      <c r="AG59" s="571"/>
      <c r="AH59" s="571"/>
      <c r="AI59" s="571"/>
      <c r="AJ59" s="571"/>
      <c r="AK59" s="571"/>
      <c r="AL59" s="571"/>
      <c r="AM59" s="571"/>
      <c r="AN59" s="571"/>
      <c r="AO59" s="571"/>
      <c r="AP59" s="2153"/>
      <c r="AQ59" s="2153">
        <f>+'STER Canalyst'!BB141*1000</f>
        <v>93802</v>
      </c>
      <c r="AR59" s="2153">
        <f>+'STER Canalyst'!BC141*1000</f>
        <v>91199</v>
      </c>
      <c r="AS59" s="2153">
        <f>+'STER Canalyst'!BD141*1000</f>
        <v>82064</v>
      </c>
      <c r="AT59" s="2153">
        <v>73140</v>
      </c>
      <c r="AU59" s="2153">
        <v>62853</v>
      </c>
    </row>
    <row r="60" spans="1:49" x14ac:dyDescent="0.25">
      <c r="A60" s="649" t="s">
        <v>807</v>
      </c>
      <c r="B60" s="571"/>
      <c r="C60" s="2153"/>
      <c r="D60" s="2153"/>
      <c r="E60" s="2153">
        <f>+'STER Canalyst'!Q142*1000</f>
        <v>249</v>
      </c>
      <c r="F60" s="2159">
        <f>+'STER Canalyst'!R142*1000</f>
        <v>504</v>
      </c>
      <c r="G60" s="2166">
        <f>+'STER Canalyst'!S142*1000</f>
        <v>545</v>
      </c>
      <c r="H60" s="2166">
        <f>+'STER Canalyst'!T142*1000</f>
        <v>641</v>
      </c>
      <c r="I60" s="2166">
        <f>+'STER Canalyst'!U142*1000</f>
        <v>570</v>
      </c>
      <c r="J60" s="2159">
        <f>+'STER Canalyst'!V142*1000</f>
        <v>1708</v>
      </c>
      <c r="K60" s="2166">
        <f>+'STER Canalyst'!W142*1000</f>
        <v>898</v>
      </c>
      <c r="L60" s="2166">
        <f>+'STER Canalyst'!X142*1000</f>
        <v>756</v>
      </c>
      <c r="M60" s="2166">
        <f>+'STER Canalyst'!Y142*1000</f>
        <v>25582</v>
      </c>
      <c r="N60" s="2159">
        <f>+'STER Canalyst'!Z142*1000</f>
        <v>5344</v>
      </c>
      <c r="O60" s="2166">
        <f>+'STER Canalyst'!AA142*1000</f>
        <v>5108</v>
      </c>
      <c r="P60" s="2166">
        <f>+'STER Canalyst'!AB142*1000</f>
        <v>6023</v>
      </c>
      <c r="Q60" s="2166">
        <f>+'STER Canalyst'!AC142*1000</f>
        <v>6293</v>
      </c>
      <c r="R60" s="2159">
        <f>+'STER Canalyst'!AD142*1000</f>
        <v>6381</v>
      </c>
      <c r="S60" s="2166">
        <f>+'STER Canalyst'!AE142*1000</f>
        <v>8042.9999999999991</v>
      </c>
      <c r="T60" s="2166">
        <f>+'STER Canalyst'!AF142*1000</f>
        <v>9358</v>
      </c>
      <c r="U60" s="2166">
        <f>+'STER Canalyst'!AG142*1000</f>
        <v>9783</v>
      </c>
      <c r="V60" s="2159">
        <f>+'STER Canalyst'!AH142*1000</f>
        <v>7466.0000000000009</v>
      </c>
      <c r="W60" s="2153">
        <f>+'STER Canalyst'!AI142*1000</f>
        <v>9342</v>
      </c>
      <c r="X60" s="2153">
        <f>+'STER Canalyst'!AJ142*1000</f>
        <v>11703</v>
      </c>
      <c r="Y60" s="2153"/>
      <c r="Z60" s="571"/>
      <c r="AA60" s="571"/>
      <c r="AB60" s="571"/>
      <c r="AC60" s="571"/>
      <c r="AD60" s="571"/>
      <c r="AE60" s="571"/>
      <c r="AF60" s="571"/>
      <c r="AG60" s="571"/>
      <c r="AH60" s="571"/>
      <c r="AI60" s="571"/>
      <c r="AJ60" s="571"/>
      <c r="AK60" s="571"/>
      <c r="AL60" s="571"/>
      <c r="AM60" s="571"/>
      <c r="AN60" s="571"/>
      <c r="AO60" s="571"/>
      <c r="AP60" s="2153"/>
      <c r="AQ60" s="2153">
        <f>+'STER Canalyst'!BB142*1000</f>
        <v>1503</v>
      </c>
      <c r="AR60" s="2153">
        <f>+'STER Canalyst'!BC142*1000</f>
        <v>3464</v>
      </c>
      <c r="AS60" s="2153">
        <f>+'STER Canalyst'!BD142*1000</f>
        <v>32580</v>
      </c>
      <c r="AT60" s="2153">
        <v>23805</v>
      </c>
      <c r="AU60" s="2153">
        <v>34650</v>
      </c>
    </row>
    <row r="61" spans="1:49" x14ac:dyDescent="0.25">
      <c r="A61" s="649" t="s">
        <v>348</v>
      </c>
      <c r="B61" s="571"/>
      <c r="C61" s="2153"/>
      <c r="D61" s="2153"/>
      <c r="E61" s="2153">
        <f>+'STER Canalyst'!Q143*1000</f>
        <v>0</v>
      </c>
      <c r="F61" s="2159">
        <f>+'STER Canalyst'!R143*1000</f>
        <v>0</v>
      </c>
      <c r="G61" s="2166">
        <f>+'STER Canalyst'!S143*1000</f>
        <v>0</v>
      </c>
      <c r="H61" s="2166">
        <f>+'STER Canalyst'!T143*1000</f>
        <v>0</v>
      </c>
      <c r="I61" s="2166">
        <f>+'STER Canalyst'!U143*1000</f>
        <v>0</v>
      </c>
      <c r="J61" s="2159">
        <f>+'STER Canalyst'!V143*1000</f>
        <v>0</v>
      </c>
      <c r="K61" s="2166">
        <f>+'STER Canalyst'!W143*1000</f>
        <v>0</v>
      </c>
      <c r="L61" s="2166">
        <f>+'STER Canalyst'!X143*1000</f>
        <v>0</v>
      </c>
      <c r="M61" s="2166">
        <f>+'STER Canalyst'!Y143*1000</f>
        <v>0</v>
      </c>
      <c r="N61" s="2159">
        <f>+'STER Canalyst'!Z143*1000</f>
        <v>0</v>
      </c>
      <c r="O61" s="2166">
        <f>+'STER Canalyst'!AA143*1000</f>
        <v>0</v>
      </c>
      <c r="P61" s="2166">
        <f>+'STER Canalyst'!AB143*1000</f>
        <v>0</v>
      </c>
      <c r="Q61" s="2166">
        <f>+'STER Canalyst'!AC143*1000</f>
        <v>0</v>
      </c>
      <c r="R61" s="2159">
        <f>+'STER Canalyst'!AD143*1000</f>
        <v>3673</v>
      </c>
      <c r="S61" s="2166">
        <f>+'STER Canalyst'!AE143*1000</f>
        <v>0</v>
      </c>
      <c r="T61" s="2166">
        <f>+'STER Canalyst'!AF143*1000</f>
        <v>0</v>
      </c>
      <c r="U61" s="2166">
        <f>+'STER Canalyst'!AG143*1000</f>
        <v>0</v>
      </c>
      <c r="V61" s="2159">
        <f>+'STER Canalyst'!AH143*1000</f>
        <v>0</v>
      </c>
      <c r="W61" s="2153">
        <f>+'STER Canalyst'!AI143*1000</f>
        <v>0</v>
      </c>
      <c r="X61" s="2153">
        <f>+'STER Canalyst'!AJ143*1000</f>
        <v>0</v>
      </c>
      <c r="Y61" s="2153"/>
      <c r="Z61" s="571"/>
      <c r="AA61" s="571"/>
      <c r="AB61" s="571"/>
      <c r="AC61" s="571"/>
      <c r="AD61" s="571"/>
      <c r="AE61" s="571"/>
      <c r="AF61" s="571"/>
      <c r="AG61" s="571"/>
      <c r="AH61" s="571"/>
      <c r="AI61" s="571"/>
      <c r="AJ61" s="571"/>
      <c r="AK61" s="571"/>
      <c r="AL61" s="571"/>
      <c r="AM61" s="571"/>
      <c r="AN61" s="571"/>
      <c r="AO61" s="571"/>
      <c r="AP61" s="2153"/>
      <c r="AQ61" s="2153">
        <f>+'STER Canalyst'!BB143*1000</f>
        <v>0</v>
      </c>
      <c r="AR61" s="2153">
        <f>+'STER Canalyst'!BC143*1000</f>
        <v>0</v>
      </c>
      <c r="AS61" s="2153">
        <f>+'STER Canalyst'!BD143*1000</f>
        <v>0</v>
      </c>
      <c r="AT61" s="2153">
        <v>3673</v>
      </c>
      <c r="AU61" s="2153">
        <v>0</v>
      </c>
    </row>
    <row r="62" spans="1:49" x14ac:dyDescent="0.25">
      <c r="A62" s="649" t="s">
        <v>808</v>
      </c>
      <c r="B62" s="571"/>
      <c r="C62" s="2153"/>
      <c r="D62" s="2153"/>
      <c r="E62" s="2153">
        <f>+'STER Canalyst'!Q144*1000</f>
        <v>566</v>
      </c>
      <c r="F62" s="2159">
        <f>+'STER Canalyst'!R144*1000</f>
        <v>892</v>
      </c>
      <c r="G62" s="2166">
        <f>+'STER Canalyst'!S144*1000</f>
        <v>538</v>
      </c>
      <c r="H62" s="2166">
        <f>+'STER Canalyst'!T144*1000</f>
        <v>546</v>
      </c>
      <c r="I62" s="2166">
        <f>+'STER Canalyst'!U144*1000</f>
        <v>539</v>
      </c>
      <c r="J62" s="2159">
        <f>+'STER Canalyst'!V144*1000</f>
        <v>1406</v>
      </c>
      <c r="K62" s="2166">
        <f>+'STER Canalyst'!W144*1000</f>
        <v>1089</v>
      </c>
      <c r="L62" s="2166">
        <f>+'STER Canalyst'!X144*1000</f>
        <v>6139</v>
      </c>
      <c r="M62" s="2166">
        <f>+'STER Canalyst'!Y144*1000</f>
        <v>31513</v>
      </c>
      <c r="N62" s="2159">
        <f>+'STER Canalyst'!Z144*1000</f>
        <v>4292</v>
      </c>
      <c r="O62" s="2166">
        <f>+'STER Canalyst'!AA144*1000</f>
        <v>1888</v>
      </c>
      <c r="P62" s="2166">
        <f>+'STER Canalyst'!AB144*1000</f>
        <v>1894</v>
      </c>
      <c r="Q62" s="2166">
        <f>+'STER Canalyst'!AC144*1000</f>
        <v>2809</v>
      </c>
      <c r="R62" s="2159">
        <f>+'STER Canalyst'!AD144*1000</f>
        <v>4902</v>
      </c>
      <c r="S62" s="2166">
        <f>+'STER Canalyst'!AE144*1000</f>
        <v>5126</v>
      </c>
      <c r="T62" s="2166">
        <f>+'STER Canalyst'!AF144*1000</f>
        <v>3133</v>
      </c>
      <c r="U62" s="2166">
        <f>+'STER Canalyst'!AG144*1000</f>
        <v>2238</v>
      </c>
      <c r="V62" s="2159">
        <f>+'STER Canalyst'!AH144*1000</f>
        <v>2381</v>
      </c>
      <c r="W62" s="2153">
        <f>+'STER Canalyst'!AI144*1000</f>
        <v>16988</v>
      </c>
      <c r="X62" s="2153">
        <f>+'STER Canalyst'!AJ144*1000</f>
        <v>4120</v>
      </c>
      <c r="Y62" s="2153"/>
      <c r="Z62" s="571"/>
      <c r="AA62" s="571"/>
      <c r="AB62" s="571"/>
      <c r="AC62" s="571"/>
      <c r="AD62" s="571"/>
      <c r="AE62" s="571"/>
      <c r="AF62" s="571"/>
      <c r="AG62" s="571"/>
      <c r="AH62" s="571"/>
      <c r="AI62" s="571"/>
      <c r="AJ62" s="571"/>
      <c r="AK62" s="571"/>
      <c r="AL62" s="571"/>
      <c r="AM62" s="571"/>
      <c r="AN62" s="571"/>
      <c r="AO62" s="571"/>
      <c r="AP62" s="2153"/>
      <c r="AQ62" s="2153">
        <f>+'STER Canalyst'!BB144*1000</f>
        <v>2617</v>
      </c>
      <c r="AR62" s="2153">
        <f>+'STER Canalyst'!BC144*1000</f>
        <v>3029</v>
      </c>
      <c r="AS62" s="2153">
        <f>+'STER Canalyst'!BD144*1000</f>
        <v>43046</v>
      </c>
      <c r="AT62" s="2153">
        <v>11493</v>
      </c>
      <c r="AU62" s="2153">
        <v>12878</v>
      </c>
    </row>
    <row r="63" spans="1:49" x14ac:dyDescent="0.25">
      <c r="A63" s="649" t="s">
        <v>809</v>
      </c>
      <c r="B63" s="571"/>
      <c r="C63" s="2153"/>
      <c r="D63" s="2153"/>
      <c r="E63" s="2153">
        <f>+'STER Canalyst'!Q145*1000</f>
        <v>1150</v>
      </c>
      <c r="F63" s="2159">
        <f>+'STER Canalyst'!R145*1000</f>
        <v>1335</v>
      </c>
      <c r="G63" s="2166">
        <f>+'STER Canalyst'!S145*1000</f>
        <v>526</v>
      </c>
      <c r="H63" s="2166">
        <f>+'STER Canalyst'!T145*1000</f>
        <v>5484</v>
      </c>
      <c r="I63" s="2166">
        <f>+'STER Canalyst'!U145*1000</f>
        <v>1060</v>
      </c>
      <c r="J63" s="2159">
        <f>+'STER Canalyst'!V145*1000</f>
        <v>1768</v>
      </c>
      <c r="K63" s="2166">
        <f>+'STER Canalyst'!W145*1000</f>
        <v>3035</v>
      </c>
      <c r="L63" s="2166">
        <f>+'STER Canalyst'!X145*1000</f>
        <v>604</v>
      </c>
      <c r="M63" s="2166">
        <f>+'STER Canalyst'!Y145*1000</f>
        <v>634</v>
      </c>
      <c r="N63" s="2159">
        <f>+'STER Canalyst'!Z145*1000</f>
        <v>655</v>
      </c>
      <c r="O63" s="2166">
        <f>+'STER Canalyst'!AA145*1000</f>
        <v>346</v>
      </c>
      <c r="P63" s="2166">
        <f>+'STER Canalyst'!AB145*1000</f>
        <v>836</v>
      </c>
      <c r="Q63" s="2166">
        <f>+'STER Canalyst'!AC145*1000</f>
        <v>2730</v>
      </c>
      <c r="R63" s="2159">
        <f>+'STER Canalyst'!AD145*1000</f>
        <v>5112</v>
      </c>
      <c r="S63" s="2166">
        <f>+'STER Canalyst'!AE145*1000</f>
        <v>3273</v>
      </c>
      <c r="T63" s="2166">
        <f>+'STER Canalyst'!AF145*1000</f>
        <v>11490</v>
      </c>
      <c r="U63" s="2166">
        <f>+'STER Canalyst'!AG145*1000</f>
        <v>4018</v>
      </c>
      <c r="V63" s="2159">
        <f>+'STER Canalyst'!AH145*1000</f>
        <v>2574.0000000000018</v>
      </c>
      <c r="W63" s="2153">
        <f>+'STER Canalyst'!AI145*1000</f>
        <v>3201</v>
      </c>
      <c r="X63" s="2153">
        <f>+'STER Canalyst'!AJ145*1000</f>
        <v>1566</v>
      </c>
      <c r="Y63" s="2153"/>
      <c r="Z63" s="571"/>
      <c r="AA63" s="571"/>
      <c r="AB63" s="571"/>
      <c r="AC63" s="571"/>
      <c r="AD63" s="571"/>
      <c r="AE63" s="571"/>
      <c r="AF63" s="571"/>
      <c r="AG63" s="571"/>
      <c r="AH63" s="571"/>
      <c r="AI63" s="571"/>
      <c r="AJ63" s="571"/>
      <c r="AK63" s="571"/>
      <c r="AL63" s="571"/>
      <c r="AM63" s="571"/>
      <c r="AN63" s="571"/>
      <c r="AO63" s="571"/>
      <c r="AP63" s="2153"/>
      <c r="AQ63" s="2153">
        <f>+'STER Canalyst'!BB145*1000</f>
        <v>4526</v>
      </c>
      <c r="AR63" s="2153">
        <f>+'STER Canalyst'!BC145*1000</f>
        <v>8838</v>
      </c>
      <c r="AS63" s="2153">
        <f>+'STER Canalyst'!BD145*1000</f>
        <v>4915</v>
      </c>
      <c r="AT63" s="2153">
        <v>9024</v>
      </c>
      <c r="AU63" s="2153">
        <v>21355</v>
      </c>
    </row>
    <row r="64" spans="1:49" x14ac:dyDescent="0.25">
      <c r="A64" s="649" t="s">
        <v>810</v>
      </c>
      <c r="B64" s="571"/>
      <c r="C64" s="2153"/>
      <c r="D64" s="2153"/>
      <c r="E64" s="2153">
        <f>+'STER Canalyst'!Q146*1000</f>
        <v>2297</v>
      </c>
      <c r="F64" s="2159">
        <f>+'STER Canalyst'!R146*1000</f>
        <v>3015</v>
      </c>
      <c r="G64" s="2166">
        <f>+'STER Canalyst'!S146*1000</f>
        <v>3009</v>
      </c>
      <c r="H64" s="2166">
        <f>+'STER Canalyst'!T146*1000</f>
        <v>2458</v>
      </c>
      <c r="I64" s="2166">
        <f>+'STER Canalyst'!U146*1000</f>
        <v>2581</v>
      </c>
      <c r="J64" s="2159">
        <f>+'STER Canalyst'!V146*1000</f>
        <v>2872</v>
      </c>
      <c r="K64" s="2166">
        <f>+'STER Canalyst'!W146*1000</f>
        <v>2059</v>
      </c>
      <c r="L64" s="2166">
        <f>+'STER Canalyst'!X146*1000</f>
        <v>3942</v>
      </c>
      <c r="M64" s="2166">
        <f>+'STER Canalyst'!Y146*1000</f>
        <v>3137</v>
      </c>
      <c r="N64" s="2159">
        <f>+'STER Canalyst'!Z146*1000</f>
        <v>3950</v>
      </c>
      <c r="O64" s="2166">
        <f>+'STER Canalyst'!AA146*1000</f>
        <v>3762</v>
      </c>
      <c r="P64" s="2166">
        <f>+'STER Canalyst'!AB146*1000</f>
        <v>4537</v>
      </c>
      <c r="Q64" s="2166">
        <f>+'STER Canalyst'!AC146*1000</f>
        <v>4767</v>
      </c>
      <c r="R64" s="2159">
        <f>+'STER Canalyst'!AD146*1000</f>
        <v>3728</v>
      </c>
      <c r="S64" s="2166">
        <f>+'STER Canalyst'!AE146*1000</f>
        <v>3233</v>
      </c>
      <c r="T64" s="2166">
        <f>+'STER Canalyst'!AF146*1000</f>
        <v>179</v>
      </c>
      <c r="U64" s="2166">
        <f>+'STER Canalyst'!AG146*1000</f>
        <v>256</v>
      </c>
      <c r="V64" s="2159">
        <f>+'STER Canalyst'!AH146*1000</f>
        <v>254</v>
      </c>
      <c r="W64" s="2153">
        <f>+'STER Canalyst'!AI146*1000</f>
        <v>375</v>
      </c>
      <c r="X64" s="2153">
        <f>+'STER Canalyst'!AJ146*1000</f>
        <v>455</v>
      </c>
      <c r="Y64" s="2153"/>
      <c r="Z64" s="571"/>
      <c r="AA64" s="571"/>
      <c r="AB64" s="571"/>
      <c r="AC64" s="571"/>
      <c r="AD64" s="571"/>
      <c r="AE64" s="571"/>
      <c r="AF64" s="571"/>
      <c r="AG64" s="571"/>
      <c r="AH64" s="571"/>
      <c r="AI64" s="571"/>
      <c r="AJ64" s="571"/>
      <c r="AK64" s="571"/>
      <c r="AL64" s="571"/>
      <c r="AM64" s="571"/>
      <c r="AN64" s="571"/>
      <c r="AO64" s="571"/>
      <c r="AP64" s="2153"/>
      <c r="AQ64" s="2153">
        <f>+'STER Canalyst'!BB146*1000</f>
        <v>9763</v>
      </c>
      <c r="AR64" s="2153">
        <f>+'STER Canalyst'!BC146*1000</f>
        <v>10920</v>
      </c>
      <c r="AS64" s="2153">
        <f>+'STER Canalyst'!BD146*1000</f>
        <v>13088</v>
      </c>
      <c r="AT64" s="2153">
        <v>16794</v>
      </c>
      <c r="AU64" s="2153">
        <v>3922</v>
      </c>
    </row>
    <row r="65" spans="1:47" x14ac:dyDescent="0.25">
      <c r="A65" s="649" t="s">
        <v>811</v>
      </c>
      <c r="B65" s="571"/>
      <c r="C65" s="2153"/>
      <c r="D65" s="2153"/>
      <c r="E65" s="2153">
        <f>+'STER Canalyst'!Q147*1000</f>
        <v>287</v>
      </c>
      <c r="F65" s="2159">
        <f>+'STER Canalyst'!R147*1000</f>
        <v>11219</v>
      </c>
      <c r="G65" s="2166">
        <f>+'STER Canalyst'!S147*1000</f>
        <v>97</v>
      </c>
      <c r="H65" s="2166">
        <f>+'STER Canalyst'!T147*1000</f>
        <v>43</v>
      </c>
      <c r="I65" s="2166">
        <f>+'STER Canalyst'!U147*1000</f>
        <v>120</v>
      </c>
      <c r="J65" s="2159">
        <f>+'STER Canalyst'!V147*1000</f>
        <v>2662</v>
      </c>
      <c r="K65" s="2166">
        <f>+'STER Canalyst'!W147*1000</f>
        <v>0</v>
      </c>
      <c r="L65" s="2166">
        <f>+'STER Canalyst'!X147*1000</f>
        <v>0</v>
      </c>
      <c r="M65" s="2166">
        <f>+'STER Canalyst'!Y147*1000</f>
        <v>0</v>
      </c>
      <c r="N65" s="2159">
        <f>+'STER Canalyst'!Z147*1000</f>
        <v>468</v>
      </c>
      <c r="O65" s="2166">
        <f>+'STER Canalyst'!AA147*1000</f>
        <v>0</v>
      </c>
      <c r="P65" s="2166">
        <f>+'STER Canalyst'!AB147*1000</f>
        <v>0</v>
      </c>
      <c r="Q65" s="2166">
        <f>+'STER Canalyst'!AC147*1000</f>
        <v>213</v>
      </c>
      <c r="R65" s="2159">
        <f>+'STER Canalyst'!AD147*1000</f>
        <v>3106</v>
      </c>
      <c r="S65" s="2166">
        <f>+'STER Canalyst'!AE147*1000</f>
        <v>0</v>
      </c>
      <c r="T65" s="2166">
        <f>+'STER Canalyst'!AF147*1000</f>
        <v>0</v>
      </c>
      <c r="U65" s="2166">
        <f>+'STER Canalyst'!AG147*1000</f>
        <v>0</v>
      </c>
      <c r="V65" s="2159">
        <f>+'STER Canalyst'!AH147*1000</f>
        <v>131</v>
      </c>
      <c r="W65" s="2153">
        <f>+'STER Canalyst'!AI147*1000</f>
        <v>0</v>
      </c>
      <c r="X65" s="2153">
        <f>+'STER Canalyst'!AJ147*1000</f>
        <v>1000</v>
      </c>
      <c r="Y65" s="2153"/>
      <c r="Z65" s="571"/>
      <c r="AA65" s="571"/>
      <c r="AB65" s="571"/>
      <c r="AC65" s="571"/>
      <c r="AD65" s="571"/>
      <c r="AE65" s="571"/>
      <c r="AF65" s="571"/>
      <c r="AG65" s="571"/>
      <c r="AH65" s="571"/>
      <c r="AI65" s="571"/>
      <c r="AJ65" s="571"/>
      <c r="AK65" s="571"/>
      <c r="AL65" s="571"/>
      <c r="AM65" s="571"/>
      <c r="AN65" s="571"/>
      <c r="AO65" s="571"/>
      <c r="AP65" s="2153"/>
      <c r="AQ65" s="2153">
        <f>+'STER Canalyst'!BB147*1000</f>
        <v>12065</v>
      </c>
      <c r="AR65" s="2153">
        <f>+'STER Canalyst'!BC147*1000</f>
        <v>2922</v>
      </c>
      <c r="AS65" s="2153">
        <f>+'STER Canalyst'!BD147*1000</f>
        <v>468</v>
      </c>
      <c r="AT65" s="2153">
        <v>3319</v>
      </c>
      <c r="AU65" s="2153">
        <v>131</v>
      </c>
    </row>
    <row r="66" spans="1:47" x14ac:dyDescent="0.25">
      <c r="A66" s="649" t="s">
        <v>791</v>
      </c>
      <c r="B66" s="571"/>
      <c r="C66" s="2153"/>
      <c r="D66" s="2153"/>
      <c r="E66" s="2153">
        <f>+'STER Canalyst'!Q148*1000</f>
        <v>1069</v>
      </c>
      <c r="F66" s="2159">
        <f>+'STER Canalyst'!R148*1000</f>
        <v>-1181</v>
      </c>
      <c r="G66" s="2166">
        <f>+'STER Canalyst'!S148*1000</f>
        <v>8755</v>
      </c>
      <c r="H66" s="2166">
        <f>+'STER Canalyst'!T148*1000</f>
        <v>899</v>
      </c>
      <c r="I66" s="2166">
        <f>+'STER Canalyst'!U148*1000</f>
        <v>-49</v>
      </c>
      <c r="J66" s="2159">
        <f>+'STER Canalyst'!V148*1000</f>
        <v>-153</v>
      </c>
      <c r="K66" s="2166">
        <f>+'STER Canalyst'!W148*1000</f>
        <v>-46</v>
      </c>
      <c r="L66" s="2166">
        <f>+'STER Canalyst'!X148*1000</f>
        <v>133</v>
      </c>
      <c r="M66" s="2166">
        <f>+'STER Canalyst'!Y148*1000</f>
        <v>112</v>
      </c>
      <c r="N66" s="2159">
        <f>+'STER Canalyst'!Z148*1000</f>
        <v>-168</v>
      </c>
      <c r="O66" s="2166">
        <f>+'STER Canalyst'!AA148*1000</f>
        <v>-328</v>
      </c>
      <c r="P66" s="2166">
        <f>+'STER Canalyst'!AB148*1000</f>
        <v>32</v>
      </c>
      <c r="Q66" s="2166">
        <f>+'STER Canalyst'!AC148*1000</f>
        <v>0</v>
      </c>
      <c r="R66" s="2159">
        <f>+'STER Canalyst'!AD148*1000</f>
        <v>-1</v>
      </c>
      <c r="S66" s="2166">
        <f>+'STER Canalyst'!AE148*1000</f>
        <v>0</v>
      </c>
      <c r="T66" s="2166">
        <f>+'STER Canalyst'!AF148*1000</f>
        <v>0</v>
      </c>
      <c r="U66" s="2166">
        <f>+'STER Canalyst'!AG148*1000</f>
        <v>0</v>
      </c>
      <c r="V66" s="2159">
        <f>+'STER Canalyst'!AH148*1000</f>
        <v>0</v>
      </c>
      <c r="W66" s="2153">
        <f>+'STER Canalyst'!AI148*1000</f>
        <v>0</v>
      </c>
      <c r="X66" s="2153">
        <f>+'STER Canalyst'!AJ148*1000</f>
        <v>0</v>
      </c>
      <c r="Y66" s="2153"/>
      <c r="Z66" s="571"/>
      <c r="AA66" s="571"/>
      <c r="AB66" s="571"/>
      <c r="AC66" s="571"/>
      <c r="AD66" s="571"/>
      <c r="AE66" s="571"/>
      <c r="AF66" s="571"/>
      <c r="AG66" s="571"/>
      <c r="AH66" s="571"/>
      <c r="AI66" s="571"/>
      <c r="AJ66" s="571"/>
      <c r="AK66" s="571"/>
      <c r="AL66" s="571"/>
      <c r="AM66" s="571"/>
      <c r="AN66" s="571"/>
      <c r="AO66" s="571"/>
      <c r="AP66" s="2153"/>
      <c r="AQ66" s="2153">
        <f>+'STER Canalyst'!BB148*1000</f>
        <v>7324</v>
      </c>
      <c r="AR66" s="2153">
        <f>+'STER Canalyst'!BC148*1000</f>
        <v>9452</v>
      </c>
      <c r="AS66" s="2153">
        <f>+'STER Canalyst'!BD148*1000</f>
        <v>31</v>
      </c>
      <c r="AT66" s="2153">
        <v>-297</v>
      </c>
      <c r="AU66" s="2153">
        <v>0</v>
      </c>
    </row>
    <row r="67" spans="1:47" s="565" customFormat="1" ht="14" x14ac:dyDescent="0.4">
      <c r="A67" s="649" t="s">
        <v>363</v>
      </c>
      <c r="B67" s="572"/>
      <c r="C67" s="2157"/>
      <c r="D67" s="2157"/>
      <c r="E67" s="2157">
        <f>+'STER Canalyst'!Q149*1000</f>
        <v>1891</v>
      </c>
      <c r="F67" s="2161">
        <f>+'STER Canalyst'!R149*1000</f>
        <v>3227</v>
      </c>
      <c r="G67" s="2167">
        <f>+'STER Canalyst'!S149*1000</f>
        <v>1852</v>
      </c>
      <c r="H67" s="2167">
        <f>+'STER Canalyst'!T149*1000</f>
        <v>168</v>
      </c>
      <c r="I67" s="2167">
        <f>+'STER Canalyst'!U149*1000</f>
        <v>-187</v>
      </c>
      <c r="J67" s="2161">
        <f>+'STER Canalyst'!V149*1000</f>
        <v>496</v>
      </c>
      <c r="K67" s="2167">
        <f>+'STER Canalyst'!W149*1000</f>
        <v>496</v>
      </c>
      <c r="L67" s="2167">
        <f>+'STER Canalyst'!X149*1000</f>
        <v>134</v>
      </c>
      <c r="M67" s="2167">
        <f>+'STER Canalyst'!Y149*1000</f>
        <v>196</v>
      </c>
      <c r="N67" s="2161">
        <f>+'STER Canalyst'!Z149*1000</f>
        <v>298</v>
      </c>
      <c r="O67" s="2167">
        <f>+'STER Canalyst'!AA149*1000</f>
        <v>47</v>
      </c>
      <c r="P67" s="2167">
        <f>+'STER Canalyst'!AB149*1000</f>
        <v>-304</v>
      </c>
      <c r="Q67" s="2167">
        <f>+'STER Canalyst'!AC149*1000</f>
        <v>-832</v>
      </c>
      <c r="R67" s="2161">
        <f>+'STER Canalyst'!AD149*1000</f>
        <v>978</v>
      </c>
      <c r="S67" s="2167">
        <f>+'STER Canalyst'!AE149*1000</f>
        <v>457</v>
      </c>
      <c r="T67" s="2167">
        <f>+'STER Canalyst'!AF149*1000</f>
        <v>489</v>
      </c>
      <c r="U67" s="2167">
        <f>+'STER Canalyst'!AG149*1000</f>
        <v>-225</v>
      </c>
      <c r="V67" s="2161">
        <f>+'STER Canalyst'!AH149*1000</f>
        <v>30.000000000000028</v>
      </c>
      <c r="W67" s="2157">
        <f>+'STER Canalyst'!AI149*1000</f>
        <v>-505</v>
      </c>
      <c r="X67" s="2157">
        <f>+'STER Canalyst'!AJ149*1000</f>
        <v>615</v>
      </c>
      <c r="Y67" s="2157"/>
      <c r="Z67" s="572"/>
      <c r="AA67" s="572"/>
      <c r="AB67" s="572"/>
      <c r="AC67" s="572"/>
      <c r="AD67" s="572"/>
      <c r="AE67" s="572"/>
      <c r="AF67" s="572"/>
      <c r="AG67" s="572"/>
      <c r="AH67" s="572"/>
      <c r="AI67" s="572"/>
      <c r="AJ67" s="572"/>
      <c r="AK67" s="572"/>
      <c r="AL67" s="572"/>
      <c r="AM67" s="572"/>
      <c r="AN67" s="572"/>
      <c r="AO67" s="572"/>
      <c r="AP67" s="2157"/>
      <c r="AQ67" s="2157">
        <f>+'STER Canalyst'!BB149*1000</f>
        <v>6553</v>
      </c>
      <c r="AR67" s="2157">
        <f>+'STER Canalyst'!BC149*1000</f>
        <v>2329</v>
      </c>
      <c r="AS67" s="2157">
        <f>+'STER Canalyst'!BD149*1000</f>
        <v>1123</v>
      </c>
      <c r="AT67" s="2154">
        <v>-111</v>
      </c>
      <c r="AU67" s="2154">
        <v>751</v>
      </c>
    </row>
    <row r="68" spans="1:47" x14ac:dyDescent="0.25">
      <c r="A68" s="425" t="s">
        <v>364</v>
      </c>
      <c r="B68" s="571"/>
      <c r="C68" s="2153"/>
      <c r="D68" s="2153"/>
      <c r="E68" s="2153">
        <f t="shared" ref="E68" si="97">+SUM(E56:E67)</f>
        <v>35884</v>
      </c>
      <c r="F68" s="2159">
        <f t="shared" ref="F68" si="98">+SUM(F56:F67)</f>
        <v>23738</v>
      </c>
      <c r="G68" s="2166">
        <f t="shared" ref="G68" si="99">+SUM(G56:G67)</f>
        <v>27857</v>
      </c>
      <c r="H68" s="2166">
        <f t="shared" ref="H68" si="100">+SUM(H56:H67)</f>
        <v>14718.999999999996</v>
      </c>
      <c r="I68" s="2166">
        <f t="shared" ref="I68" si="101">+SUM(I56:I67)</f>
        <v>30656</v>
      </c>
      <c r="J68" s="2159">
        <f t="shared" ref="J68" si="102">+SUM(J56:J67)</f>
        <v>28014</v>
      </c>
      <c r="K68" s="2166">
        <f t="shared" ref="K68" si="103">+SUM(K56:K67)</f>
        <v>36804.000000000007</v>
      </c>
      <c r="L68" s="2166">
        <f t="shared" ref="L68" si="104">+SUM(L56:L67)</f>
        <v>47034.000000000058</v>
      </c>
      <c r="M68" s="2166">
        <f t="shared" ref="M68" si="105">+SUM(M56:M67)</f>
        <v>51298.999999999971</v>
      </c>
      <c r="N68" s="2159">
        <f t="shared" ref="N68" si="106">+SUM(N56:N67)</f>
        <v>44048.999999999993</v>
      </c>
      <c r="O68" s="2166">
        <f t="shared" ref="O68" si="107">+SUM(O56:O67)</f>
        <v>47636.000000000007</v>
      </c>
      <c r="P68" s="2166">
        <f t="shared" ref="P68" si="108">+SUM(P56:P67)</f>
        <v>56472.000000000007</v>
      </c>
      <c r="Q68" s="2166">
        <f t="shared" ref="Q68" si="109">+SUM(Q56:Q67)</f>
        <v>53098.000000000015</v>
      </c>
      <c r="R68" s="2159">
        <f t="shared" ref="R68" si="110">+SUM(R56:R67)</f>
        <v>41296.999999999985</v>
      </c>
      <c r="S68" s="2166">
        <f t="shared" ref="S68" si="111">+SUM(S56:S67)</f>
        <v>45554.999999999993</v>
      </c>
      <c r="T68" s="2166">
        <f t="shared" ref="T68" si="112">+SUM(T56:T67)</f>
        <v>49996.999999999993</v>
      </c>
      <c r="U68" s="2166">
        <f t="shared" ref="U68" si="113">+SUM(U56:U67)</f>
        <v>47556</v>
      </c>
      <c r="V68" s="2159">
        <f t="shared" ref="V68" si="114">+SUM(V56:V67)</f>
        <v>41915.999999999927</v>
      </c>
      <c r="W68" s="2153">
        <f t="shared" ref="W68" si="115">+SUM(W56:W67)</f>
        <v>38510</v>
      </c>
      <c r="X68" s="2153">
        <f t="shared" ref="X68" si="116">+SUM(X56:X67)</f>
        <v>46284</v>
      </c>
      <c r="Y68" s="2153"/>
      <c r="Z68" s="571"/>
      <c r="AA68" s="571"/>
      <c r="AB68" s="571"/>
      <c r="AC68" s="571"/>
      <c r="AD68" s="571"/>
      <c r="AE68" s="571"/>
      <c r="AF68" s="571"/>
      <c r="AG68" s="571"/>
      <c r="AH68" s="571"/>
      <c r="AI68" s="571"/>
      <c r="AJ68" s="571"/>
      <c r="AK68" s="571"/>
      <c r="AL68" s="571"/>
      <c r="AM68" s="571"/>
      <c r="AN68" s="571"/>
      <c r="AO68" s="571"/>
      <c r="AP68" s="2153"/>
      <c r="AQ68" s="2153">
        <f t="shared" ref="AQ68:AR68" si="117">+SUM(AQ56:AQ67)</f>
        <v>118983.99999999999</v>
      </c>
      <c r="AR68" s="2153">
        <f t="shared" si="117"/>
        <v>101245</v>
      </c>
      <c r="AS68" s="2153">
        <f>+SUM(AS56:AS67)</f>
        <v>179184.00000000006</v>
      </c>
      <c r="AT68" s="2153">
        <v>198503</v>
      </c>
      <c r="AU68" s="2153">
        <v>185024</v>
      </c>
    </row>
    <row r="69" spans="1:47" s="199" customFormat="1" ht="13" x14ac:dyDescent="0.3">
      <c r="A69" s="687" t="s">
        <v>127</v>
      </c>
      <c r="C69" s="2151"/>
      <c r="D69" s="2151"/>
      <c r="E69" s="2151">
        <f t="shared" ref="E69:X69" si="118">+E68/E8</f>
        <v>0.27028207735472454</v>
      </c>
      <c r="F69" s="2160">
        <f t="shared" si="118"/>
        <v>0.19548872180451127</v>
      </c>
      <c r="G69" s="2151">
        <f t="shared" si="118"/>
        <v>0.23335511325559577</v>
      </c>
      <c r="H69" s="2151">
        <f t="shared" si="118"/>
        <v>0.16618306217610726</v>
      </c>
      <c r="I69" s="2151">
        <f t="shared" si="118"/>
        <v>0.26067583884627815</v>
      </c>
      <c r="J69" s="2160">
        <f t="shared" si="118"/>
        <v>0.21800269254414295</v>
      </c>
      <c r="K69" s="2151">
        <f t="shared" si="118"/>
        <v>0.26407404749946189</v>
      </c>
      <c r="L69" s="2151">
        <f t="shared" si="118"/>
        <v>0.29520234986945204</v>
      </c>
      <c r="M69" s="2151">
        <f t="shared" si="118"/>
        <v>0.30254722600659351</v>
      </c>
      <c r="N69" s="2160">
        <f t="shared" si="118"/>
        <v>0.25369609915394314</v>
      </c>
      <c r="O69" s="2151">
        <f t="shared" si="118"/>
        <v>0.2481403538015961</v>
      </c>
      <c r="P69" s="2151">
        <f t="shared" si="118"/>
        <v>0.27468128468658654</v>
      </c>
      <c r="Q69" s="2151">
        <f t="shared" si="118"/>
        <v>0.26642381547323374</v>
      </c>
      <c r="R69" s="2160">
        <f t="shared" si="118"/>
        <v>0.24303790018832383</v>
      </c>
      <c r="S69" s="2151">
        <f t="shared" si="118"/>
        <v>0.25410823655410153</v>
      </c>
      <c r="T69" s="2151">
        <f t="shared" si="118"/>
        <v>0.26261135389528528</v>
      </c>
      <c r="U69" s="2151">
        <f t="shared" si="118"/>
        <v>0.26337184187499307</v>
      </c>
      <c r="V69" s="2160">
        <f t="shared" si="118"/>
        <v>0.24741464796713381</v>
      </c>
      <c r="W69" s="2151">
        <f t="shared" si="118"/>
        <v>0.2070441238931392</v>
      </c>
      <c r="X69" s="2151">
        <f t="shared" si="118"/>
        <v>0.23081065985797494</v>
      </c>
      <c r="Y69" s="2151"/>
      <c r="Z69" s="2151"/>
      <c r="AA69" s="2151"/>
      <c r="AB69" s="2151"/>
      <c r="AC69" s="2151"/>
      <c r="AD69" s="2151"/>
      <c r="AE69" s="2151"/>
      <c r="AF69" s="2151"/>
      <c r="AG69" s="2151"/>
      <c r="AH69" s="2151"/>
      <c r="AI69" s="2151"/>
      <c r="AJ69" s="2151"/>
      <c r="AK69" s="2151"/>
      <c r="AL69" s="2151"/>
      <c r="AM69" s="2151"/>
      <c r="AN69" s="2151"/>
      <c r="AO69" s="2151"/>
      <c r="AP69" s="2151"/>
      <c r="AQ69" s="2151">
        <f>+AQ68/AQ8</f>
        <v>0.23934856250854927</v>
      </c>
      <c r="AR69" s="2151">
        <f>+AR68/AR8</f>
        <v>0.22298057715729222</v>
      </c>
      <c r="AS69" s="2151">
        <f>+AS68/AS8</f>
        <v>0.27915324264197278</v>
      </c>
      <c r="AT69" s="2151">
        <f>+AT68/AT8</f>
        <v>0.25887801226424201</v>
      </c>
      <c r="AU69" s="2151">
        <f>+AU68/AU8</f>
        <v>0.25710633094324942</v>
      </c>
    </row>
    <row r="70" spans="1:47" x14ac:dyDescent="0.25">
      <c r="F70" s="407"/>
      <c r="J70" s="407"/>
      <c r="N70" s="407"/>
      <c r="R70" s="407"/>
      <c r="V70" s="407"/>
    </row>
    <row r="71" spans="1:47" x14ac:dyDescent="0.25">
      <c r="A71" s="2150" t="s">
        <v>365</v>
      </c>
      <c r="F71" s="407"/>
      <c r="J71" s="407"/>
      <c r="N71" s="407"/>
      <c r="R71" s="407"/>
      <c r="V71" s="407"/>
    </row>
    <row r="72" spans="1:47" x14ac:dyDescent="0.25">
      <c r="A72" s="649" t="s">
        <v>796</v>
      </c>
      <c r="C72" s="571"/>
      <c r="D72" s="571"/>
      <c r="E72" s="571">
        <f>+'STER Canalyst'!Q152*1000</f>
        <v>-3909</v>
      </c>
      <c r="F72" s="666">
        <f>+'STER Canalyst'!R152*1000</f>
        <v>-17702</v>
      </c>
      <c r="G72" s="667">
        <f>+'STER Canalyst'!S152*1000</f>
        <v>-15899.999999999998</v>
      </c>
      <c r="H72" s="667">
        <f>+'STER Canalyst'!T152*1000</f>
        <v>-24947.000000000004</v>
      </c>
      <c r="I72" s="667">
        <f>+'STER Canalyst'!U152*1000</f>
        <v>-10385</v>
      </c>
      <c r="J72" s="666">
        <f>+'STER Canalyst'!V152*1000</f>
        <v>-1060</v>
      </c>
      <c r="K72" s="667">
        <f>+'STER Canalyst'!W152*1000</f>
        <v>628.00000000000875</v>
      </c>
      <c r="L72" s="667">
        <f>+'STER Canalyst'!X152*1000</f>
        <v>3398.0000000000564</v>
      </c>
      <c r="M72" s="667">
        <f>+'STER Canalyst'!Y152*1000</f>
        <v>-25256.000000000025</v>
      </c>
      <c r="N72" s="666">
        <f>+'STER Canalyst'!Z152*1000</f>
        <v>2703.9999999999927</v>
      </c>
      <c r="O72" s="667">
        <f>+'STER Canalyst'!AA152*1000</f>
        <v>6236.0000000000073</v>
      </c>
      <c r="P72" s="667">
        <f>+'STER Canalyst'!AB152*1000</f>
        <v>11571.000000000009</v>
      </c>
      <c r="Q72" s="667">
        <f>+'STER Canalyst'!AC152*1000</f>
        <v>9303.0000000000109</v>
      </c>
      <c r="R72" s="666">
        <f>+'STER Canalyst'!AD152*1000</f>
        <v>-7700.0000000000118</v>
      </c>
      <c r="S72" s="667">
        <f>+'STER Canalyst'!AE152*1000</f>
        <v>590.99999999999329</v>
      </c>
      <c r="T72" s="667">
        <f>+'STER Canalyst'!AF152*1000</f>
        <v>322.99999999999221</v>
      </c>
      <c r="U72" s="667">
        <f>+'STER Canalyst'!AG152*1000</f>
        <v>2354.0000000000009</v>
      </c>
      <c r="V72" s="666">
        <f>+'STER Canalyst'!AH152*1000</f>
        <v>-3384.0000000000659</v>
      </c>
      <c r="W72" s="571">
        <f>+'STER Canalyst'!AI152*1000</f>
        <v>-7955.0000000000018</v>
      </c>
      <c r="X72" s="571">
        <f>+'STER Canalyst'!AJ152*1000</f>
        <v>-6232.0000000000027</v>
      </c>
      <c r="Y72" s="571"/>
      <c r="Z72" s="571"/>
      <c r="AA72" s="571"/>
      <c r="AB72" s="571"/>
      <c r="AC72" s="571"/>
      <c r="AD72" s="571"/>
      <c r="AE72" s="571"/>
      <c r="AF72" s="571"/>
      <c r="AG72" s="571"/>
      <c r="AH72" s="571"/>
      <c r="AI72" s="571"/>
      <c r="AJ72" s="571"/>
      <c r="AK72" s="571"/>
      <c r="AL72" s="571"/>
      <c r="AM72" s="571"/>
      <c r="AN72" s="571"/>
      <c r="AO72" s="571"/>
      <c r="AP72" s="571"/>
      <c r="AQ72" s="571">
        <f>+'STER Canalyst'!BB152*1000</f>
        <v>-46682.000000000015</v>
      </c>
      <c r="AR72" s="571">
        <f>+'STER Canalyst'!BC152*1000</f>
        <v>-52293</v>
      </c>
      <c r="AS72" s="571">
        <f>+'STER Canalyst'!BD152*1000</f>
        <v>-18526.999999999938</v>
      </c>
      <c r="AT72" s="2153">
        <v>19410</v>
      </c>
      <c r="AU72" s="2153">
        <v>-116</v>
      </c>
    </row>
    <row r="73" spans="1:47" s="565" customFormat="1" ht="14" x14ac:dyDescent="0.4">
      <c r="A73" s="649" t="s">
        <v>795</v>
      </c>
      <c r="C73" s="572"/>
      <c r="D73" s="614"/>
      <c r="E73" s="614">
        <f>+'STER Canalyst'!Q153*1000</f>
        <v>-979</v>
      </c>
      <c r="F73" s="2162">
        <f>+'STER Canalyst'!R153*1000</f>
        <v>-10544</v>
      </c>
      <c r="G73" s="2168">
        <f>+'STER Canalyst'!S153*1000</f>
        <v>-3556</v>
      </c>
      <c r="H73" s="2168">
        <f>+'STER Canalyst'!T153*1000</f>
        <v>-1453</v>
      </c>
      <c r="I73" s="2168">
        <f>+'STER Canalyst'!U153*1000</f>
        <v>5727</v>
      </c>
      <c r="J73" s="2162">
        <f>+'STER Canalyst'!V153*1000</f>
        <v>-12280</v>
      </c>
      <c r="K73" s="2168">
        <f>+'STER Canalyst'!W153*1000</f>
        <v>526</v>
      </c>
      <c r="L73" s="2168">
        <f>+'STER Canalyst'!X153*1000</f>
        <v>4026</v>
      </c>
      <c r="M73" s="2168">
        <f>+'STER Canalyst'!Y153*1000</f>
        <v>-12633</v>
      </c>
      <c r="N73" s="2162">
        <f>+'STER Canalyst'!Z153*1000</f>
        <v>-2381</v>
      </c>
      <c r="O73" s="2168">
        <f>+'STER Canalyst'!AA153*1000</f>
        <v>4085</v>
      </c>
      <c r="P73" s="2168">
        <f>+'STER Canalyst'!AB153*1000</f>
        <v>5392</v>
      </c>
      <c r="Q73" s="2168">
        <f>+'STER Canalyst'!AC153*1000</f>
        <v>3481</v>
      </c>
      <c r="R73" s="2162">
        <f>+'STER Canalyst'!AD153*1000</f>
        <v>-4252</v>
      </c>
      <c r="S73" s="2168">
        <f>+'STER Canalyst'!AE153*1000</f>
        <v>1102</v>
      </c>
      <c r="T73" s="2168">
        <f>+'STER Canalyst'!AF153*1000</f>
        <v>-85</v>
      </c>
      <c r="U73" s="2168">
        <f>+'STER Canalyst'!AG153*1000</f>
        <v>3952</v>
      </c>
      <c r="V73" s="2162">
        <f>+'STER Canalyst'!AH153*1000</f>
        <v>7398.0000000000009</v>
      </c>
      <c r="W73" s="614">
        <f>+'STER Canalyst'!AI153*1000</f>
        <v>-9018</v>
      </c>
      <c r="X73" s="614">
        <f>+'STER Canalyst'!AJ153*1000</f>
        <v>7094</v>
      </c>
      <c r="Y73" s="614"/>
      <c r="Z73" s="572"/>
      <c r="AA73" s="572"/>
      <c r="AB73" s="572"/>
      <c r="AC73" s="572"/>
      <c r="AD73" s="572"/>
      <c r="AE73" s="572"/>
      <c r="AF73" s="572"/>
      <c r="AG73" s="572"/>
      <c r="AH73" s="572"/>
      <c r="AI73" s="572"/>
      <c r="AJ73" s="572"/>
      <c r="AK73" s="572"/>
      <c r="AL73" s="572"/>
      <c r="AM73" s="572"/>
      <c r="AN73" s="572"/>
      <c r="AO73" s="572"/>
      <c r="AP73" s="614"/>
      <c r="AQ73" s="614">
        <f>+'STER Canalyst'!BB153*1000</f>
        <v>-11803</v>
      </c>
      <c r="AR73" s="614">
        <f>+'STER Canalyst'!BC153*1000</f>
        <v>-11562</v>
      </c>
      <c r="AS73" s="614">
        <f>+'STER Canalyst'!BD153*1000</f>
        <v>-10461</v>
      </c>
      <c r="AT73" s="2154">
        <v>8706</v>
      </c>
      <c r="AU73" s="2154">
        <v>12367</v>
      </c>
    </row>
    <row r="74" spans="1:47" x14ac:dyDescent="0.25">
      <c r="A74" s="425" t="s">
        <v>794</v>
      </c>
      <c r="C74" s="571"/>
      <c r="D74" s="571"/>
      <c r="E74" s="571">
        <f>+'STER Canalyst'!Q154*1000</f>
        <v>-4888</v>
      </c>
      <c r="F74" s="666">
        <f>+'STER Canalyst'!R154*1000</f>
        <v>-28246.000000000004</v>
      </c>
      <c r="G74" s="667">
        <f>+'STER Canalyst'!S154*1000</f>
        <v>-19456</v>
      </c>
      <c r="H74" s="667">
        <f>+'STER Canalyst'!T154*1000</f>
        <v>-26400.000000000004</v>
      </c>
      <c r="I74" s="667">
        <f>+'STER Canalyst'!U154*1000</f>
        <v>-4657.9999999999991</v>
      </c>
      <c r="J74" s="666">
        <f>+'STER Canalyst'!V154*1000</f>
        <v>-13340</v>
      </c>
      <c r="K74" s="667">
        <f>+'STER Canalyst'!W154*1000</f>
        <v>1154.0000000000089</v>
      </c>
      <c r="L74" s="667">
        <f>+'STER Canalyst'!X154*1000</f>
        <v>7424.0000000000564</v>
      </c>
      <c r="M74" s="667">
        <f>+'STER Canalyst'!Y154*1000</f>
        <v>-37889.000000000022</v>
      </c>
      <c r="N74" s="666">
        <f>+'STER Canalyst'!Z154*1000</f>
        <v>322.99999999999284</v>
      </c>
      <c r="O74" s="667">
        <f>+'STER Canalyst'!AA154*1000</f>
        <v>10321.000000000007</v>
      </c>
      <c r="P74" s="667">
        <f>+'STER Canalyst'!AB154*1000</f>
        <v>16963.000000000007</v>
      </c>
      <c r="Q74" s="667">
        <f>+'STER Canalyst'!AC154*1000</f>
        <v>12784.000000000011</v>
      </c>
      <c r="R74" s="666">
        <f>+'STER Canalyst'!AD154*1000</f>
        <v>-11952.000000000013</v>
      </c>
      <c r="S74" s="667">
        <f>+'STER Canalyst'!AE154*1000</f>
        <v>1692.9999999999934</v>
      </c>
      <c r="T74" s="667">
        <f>+'STER Canalyst'!AF154*1000</f>
        <v>237.99999999999221</v>
      </c>
      <c r="U74" s="667">
        <f>+'STER Canalyst'!AG154*1000</f>
        <v>6306.0000000000009</v>
      </c>
      <c r="V74" s="666">
        <f>+'STER Canalyst'!AH154*1000</f>
        <v>4013.9999999999345</v>
      </c>
      <c r="W74" s="571">
        <f>+'STER Canalyst'!AI154*1000</f>
        <v>-16973.000000000004</v>
      </c>
      <c r="X74" s="571">
        <f>+'STER Canalyst'!AJ154*1000</f>
        <v>861.99999999999739</v>
      </c>
      <c r="Y74" s="571"/>
      <c r="Z74" s="571"/>
      <c r="AA74" s="571"/>
      <c r="AB74" s="571"/>
      <c r="AC74" s="571"/>
      <c r="AD74" s="571"/>
      <c r="AE74" s="571"/>
      <c r="AF74" s="571"/>
      <c r="AG74" s="571"/>
      <c r="AH74" s="571"/>
      <c r="AI74" s="571"/>
      <c r="AJ74" s="571"/>
      <c r="AK74" s="571"/>
      <c r="AL74" s="571"/>
      <c r="AM74" s="571"/>
      <c r="AN74" s="571"/>
      <c r="AO74" s="571"/>
      <c r="AP74" s="571"/>
      <c r="AQ74" s="571">
        <f>+'STER Canalyst'!BB154*1000</f>
        <v>-58485.000000000015</v>
      </c>
      <c r="AR74" s="571">
        <f>+'STER Canalyst'!BC154*1000</f>
        <v>-63855</v>
      </c>
      <c r="AS74" s="571">
        <f>+'STER Canalyst'!BD154*1000</f>
        <v>-28987.999999999935</v>
      </c>
      <c r="AT74" s="2153">
        <v>28116</v>
      </c>
      <c r="AU74" s="2153">
        <v>12251</v>
      </c>
    </row>
    <row r="75" spans="1:47" x14ac:dyDescent="0.25">
      <c r="A75" s="649" t="s">
        <v>812</v>
      </c>
      <c r="C75" s="571"/>
      <c r="D75" s="571"/>
      <c r="E75" s="571">
        <f>+'STER Canalyst'!Q155*1000</f>
        <v>16373.999999999998</v>
      </c>
      <c r="F75" s="666">
        <f>+'STER Canalyst'!R155*1000</f>
        <v>16280.999999999998</v>
      </c>
      <c r="G75" s="667">
        <f>+'STER Canalyst'!S155*1000</f>
        <v>15089</v>
      </c>
      <c r="H75" s="667">
        <f>+'STER Canalyst'!T155*1000</f>
        <v>15082</v>
      </c>
      <c r="I75" s="667">
        <f>+'STER Canalyst'!U155*1000</f>
        <v>15119</v>
      </c>
      <c r="J75" s="666">
        <f>+'STER Canalyst'!V155*1000</f>
        <v>15056</v>
      </c>
      <c r="K75" s="667">
        <f>+'STER Canalyst'!W155*1000</f>
        <v>13263</v>
      </c>
      <c r="L75" s="667">
        <f>+'STER Canalyst'!X155*1000</f>
        <v>13006</v>
      </c>
      <c r="M75" s="667">
        <f>+'STER Canalyst'!Y155*1000</f>
        <v>12962</v>
      </c>
      <c r="N75" s="666">
        <f>+'STER Canalyst'!Z155*1000</f>
        <v>13545</v>
      </c>
      <c r="O75" s="667">
        <f>+'STER Canalyst'!AA155*1000</f>
        <v>13764</v>
      </c>
      <c r="P75" s="667">
        <f>+'STER Canalyst'!AB155*1000</f>
        <v>13363</v>
      </c>
      <c r="Q75" s="667">
        <f>+'STER Canalyst'!AC155*1000</f>
        <v>10903</v>
      </c>
      <c r="R75" s="666">
        <f>+'STER Canalyst'!AD155*1000</f>
        <v>10753</v>
      </c>
      <c r="S75" s="667">
        <f>+'STER Canalyst'!AE155*1000</f>
        <v>10061</v>
      </c>
      <c r="T75" s="667">
        <f>+'STER Canalyst'!AF155*1000</f>
        <v>10625</v>
      </c>
      <c r="U75" s="667">
        <f>+'STER Canalyst'!AG155*1000</f>
        <v>10621</v>
      </c>
      <c r="V75" s="666">
        <f>+'STER Canalyst'!AH155*1000</f>
        <v>10451</v>
      </c>
      <c r="W75" s="571">
        <f>+'STER Canalyst'!AI155*1000</f>
        <v>10631</v>
      </c>
      <c r="X75" s="571">
        <f>+'STER Canalyst'!AJ155*1000</f>
        <v>10687</v>
      </c>
      <c r="Y75" s="571"/>
      <c r="Z75" s="571"/>
      <c r="AA75" s="571"/>
      <c r="AB75" s="571"/>
      <c r="AC75" s="571"/>
      <c r="AD75" s="571"/>
      <c r="AE75" s="571"/>
      <c r="AF75" s="571"/>
      <c r="AG75" s="571"/>
      <c r="AH75" s="571"/>
      <c r="AI75" s="571"/>
      <c r="AJ75" s="571"/>
      <c r="AK75" s="571"/>
      <c r="AL75" s="571"/>
      <c r="AM75" s="571"/>
      <c r="AN75" s="571"/>
      <c r="AO75" s="571"/>
      <c r="AP75" s="571"/>
      <c r="AQ75" s="571">
        <f>+'STER Canalyst'!BB155*1000</f>
        <v>65529</v>
      </c>
      <c r="AR75" s="571">
        <f>+'STER Canalyst'!BC155*1000</f>
        <v>60346</v>
      </c>
      <c r="AS75" s="571">
        <f>+'STER Canalyst'!BD155*1000</f>
        <v>52777</v>
      </c>
      <c r="AT75" s="2153">
        <v>48783</v>
      </c>
      <c r="AU75" s="2153">
        <v>41758</v>
      </c>
    </row>
    <row r="76" spans="1:47" x14ac:dyDescent="0.25">
      <c r="A76" s="649" t="s">
        <v>807</v>
      </c>
      <c r="C76" s="571"/>
      <c r="D76" s="571"/>
      <c r="E76" s="571">
        <f>+'STER Canalyst'!Q156*1000</f>
        <v>249</v>
      </c>
      <c r="F76" s="666">
        <f>+'STER Canalyst'!R156*1000</f>
        <v>504</v>
      </c>
      <c r="G76" s="667">
        <f>+'STER Canalyst'!S156*1000</f>
        <v>545</v>
      </c>
      <c r="H76" s="667">
        <f>+'STER Canalyst'!T156*1000</f>
        <v>641</v>
      </c>
      <c r="I76" s="667">
        <f>+'STER Canalyst'!U156*1000</f>
        <v>570</v>
      </c>
      <c r="J76" s="666">
        <f>+'STER Canalyst'!V156*1000</f>
        <v>1708</v>
      </c>
      <c r="K76" s="667">
        <f>+'STER Canalyst'!W156*1000</f>
        <v>898</v>
      </c>
      <c r="L76" s="667">
        <f>+'STER Canalyst'!X156*1000</f>
        <v>756</v>
      </c>
      <c r="M76" s="667">
        <f>+'STER Canalyst'!Y156*1000</f>
        <v>25582</v>
      </c>
      <c r="N76" s="666">
        <f>+'STER Canalyst'!Z156*1000</f>
        <v>5344</v>
      </c>
      <c r="O76" s="667">
        <f>+'STER Canalyst'!AA156*1000</f>
        <v>5108</v>
      </c>
      <c r="P76" s="667">
        <f>+'STER Canalyst'!AB156*1000</f>
        <v>6023</v>
      </c>
      <c r="Q76" s="667">
        <f>+'STER Canalyst'!AC156*1000</f>
        <v>6293</v>
      </c>
      <c r="R76" s="666">
        <f>+'STER Canalyst'!AD156*1000</f>
        <v>6381</v>
      </c>
      <c r="S76" s="667">
        <f>+'STER Canalyst'!AE156*1000</f>
        <v>8042.9999999999991</v>
      </c>
      <c r="T76" s="667">
        <f>+'STER Canalyst'!AF156*1000</f>
        <v>9358</v>
      </c>
      <c r="U76" s="667">
        <f>+'STER Canalyst'!AG156*1000</f>
        <v>9783</v>
      </c>
      <c r="V76" s="666">
        <f>+'STER Canalyst'!AH156*1000</f>
        <v>7466.0000000000009</v>
      </c>
      <c r="W76" s="571">
        <f>+'STER Canalyst'!AI156*1000</f>
        <v>9342</v>
      </c>
      <c r="X76" s="571">
        <f>+'STER Canalyst'!AJ156*1000</f>
        <v>11703</v>
      </c>
      <c r="Y76" s="571"/>
      <c r="Z76" s="571"/>
      <c r="AA76" s="571"/>
      <c r="AB76" s="571"/>
      <c r="AC76" s="571"/>
      <c r="AD76" s="571"/>
      <c r="AE76" s="571"/>
      <c r="AF76" s="571"/>
      <c r="AG76" s="571"/>
      <c r="AH76" s="571"/>
      <c r="AI76" s="571"/>
      <c r="AJ76" s="571"/>
      <c r="AK76" s="571"/>
      <c r="AL76" s="571"/>
      <c r="AM76" s="571"/>
      <c r="AN76" s="571"/>
      <c r="AO76" s="571"/>
      <c r="AP76" s="571"/>
      <c r="AQ76" s="571">
        <f>+'STER Canalyst'!BB156*1000</f>
        <v>1503</v>
      </c>
      <c r="AR76" s="571">
        <f>+'STER Canalyst'!BC156*1000</f>
        <v>3464</v>
      </c>
      <c r="AS76" s="571">
        <f>+'STER Canalyst'!BD156*1000</f>
        <v>32580</v>
      </c>
      <c r="AT76" s="2153">
        <v>23805</v>
      </c>
      <c r="AU76" s="2153">
        <v>34650</v>
      </c>
    </row>
    <row r="77" spans="1:47" x14ac:dyDescent="0.25">
      <c r="A77" s="649" t="s">
        <v>348</v>
      </c>
      <c r="C77" s="571"/>
      <c r="D77" s="571"/>
      <c r="E77" s="571">
        <f>+'STER Canalyst'!Q157*1000</f>
        <v>0</v>
      </c>
      <c r="F77" s="666">
        <f>+'STER Canalyst'!R157*1000</f>
        <v>0</v>
      </c>
      <c r="G77" s="667">
        <f>+'STER Canalyst'!S157*1000</f>
        <v>0</v>
      </c>
      <c r="H77" s="667">
        <f>+'STER Canalyst'!T157*1000</f>
        <v>0</v>
      </c>
      <c r="I77" s="667">
        <f>+'STER Canalyst'!U157*1000</f>
        <v>0</v>
      </c>
      <c r="J77" s="666">
        <f>+'STER Canalyst'!V157*1000</f>
        <v>0</v>
      </c>
      <c r="K77" s="667">
        <f>+'STER Canalyst'!W157*1000</f>
        <v>0</v>
      </c>
      <c r="L77" s="667">
        <f>+'STER Canalyst'!X157*1000</f>
        <v>0</v>
      </c>
      <c r="M77" s="667">
        <f>+'STER Canalyst'!Y157*1000</f>
        <v>0</v>
      </c>
      <c r="N77" s="666">
        <f>+'STER Canalyst'!Z157*1000</f>
        <v>0</v>
      </c>
      <c r="O77" s="667">
        <f>+'STER Canalyst'!AA157*1000</f>
        <v>0</v>
      </c>
      <c r="P77" s="667">
        <f>+'STER Canalyst'!AB157*1000</f>
        <v>0</v>
      </c>
      <c r="Q77" s="667">
        <f>+'STER Canalyst'!AC157*1000</f>
        <v>0</v>
      </c>
      <c r="R77" s="666">
        <f>+'STER Canalyst'!AD157*1000</f>
        <v>3673</v>
      </c>
      <c r="S77" s="667">
        <f>+'STER Canalyst'!AE157*1000</f>
        <v>0</v>
      </c>
      <c r="T77" s="667">
        <f>+'STER Canalyst'!AF157*1000</f>
        <v>0</v>
      </c>
      <c r="U77" s="667">
        <f>+'STER Canalyst'!AG157*1000</f>
        <v>0</v>
      </c>
      <c r="V77" s="666">
        <f>+'STER Canalyst'!AH157*1000</f>
        <v>0</v>
      </c>
      <c r="W77" s="571">
        <f>+'STER Canalyst'!AI157*1000</f>
        <v>0</v>
      </c>
      <c r="X77" s="571">
        <f>+'STER Canalyst'!AJ157*1000</f>
        <v>0</v>
      </c>
      <c r="Y77" s="571"/>
      <c r="Z77" s="571"/>
      <c r="AA77" s="571"/>
      <c r="AB77" s="571"/>
      <c r="AC77" s="571"/>
      <c r="AD77" s="571"/>
      <c r="AE77" s="571"/>
      <c r="AF77" s="571"/>
      <c r="AG77" s="571"/>
      <c r="AH77" s="571"/>
      <c r="AI77" s="571"/>
      <c r="AJ77" s="571"/>
      <c r="AK77" s="571"/>
      <c r="AL77" s="571"/>
      <c r="AM77" s="571"/>
      <c r="AN77" s="571"/>
      <c r="AO77" s="571"/>
      <c r="AP77" s="571"/>
      <c r="AQ77" s="571">
        <f>+'STER Canalyst'!BB157*1000</f>
        <v>0</v>
      </c>
      <c r="AR77" s="571">
        <f>+'STER Canalyst'!BC157*1000</f>
        <v>0</v>
      </c>
      <c r="AS77" s="571">
        <f>+'STER Canalyst'!BD157*1000</f>
        <v>0</v>
      </c>
      <c r="AT77" s="2153">
        <v>3673</v>
      </c>
      <c r="AU77" s="2153">
        <v>0</v>
      </c>
    </row>
    <row r="78" spans="1:47" x14ac:dyDescent="0.25">
      <c r="A78" s="649" t="s">
        <v>808</v>
      </c>
      <c r="C78" s="571"/>
      <c r="D78" s="571"/>
      <c r="E78" s="571">
        <f>+'STER Canalyst'!Q158*1000</f>
        <v>566</v>
      </c>
      <c r="F78" s="666">
        <f>+'STER Canalyst'!R158*1000</f>
        <v>892</v>
      </c>
      <c r="G78" s="667">
        <f>+'STER Canalyst'!S158*1000</f>
        <v>538</v>
      </c>
      <c r="H78" s="667">
        <f>+'STER Canalyst'!T158*1000</f>
        <v>546</v>
      </c>
      <c r="I78" s="667">
        <f>+'STER Canalyst'!U158*1000</f>
        <v>539</v>
      </c>
      <c r="J78" s="666">
        <f>+'STER Canalyst'!V158*1000</f>
        <v>1406</v>
      </c>
      <c r="K78" s="667">
        <f>+'STER Canalyst'!W158*1000</f>
        <v>1089</v>
      </c>
      <c r="L78" s="667">
        <f>+'STER Canalyst'!X158*1000</f>
        <v>6139</v>
      </c>
      <c r="M78" s="667">
        <f>+'STER Canalyst'!Y158*1000</f>
        <v>31513</v>
      </c>
      <c r="N78" s="666">
        <f>+'STER Canalyst'!Z158*1000</f>
        <v>4292</v>
      </c>
      <c r="O78" s="667">
        <f>+'STER Canalyst'!AA158*1000</f>
        <v>1888</v>
      </c>
      <c r="P78" s="667">
        <f>+'STER Canalyst'!AB158*1000</f>
        <v>1894</v>
      </c>
      <c r="Q78" s="667">
        <f>+'STER Canalyst'!AC158*1000</f>
        <v>2809</v>
      </c>
      <c r="R78" s="666">
        <f>+'STER Canalyst'!AD158*1000</f>
        <v>4902</v>
      </c>
      <c r="S78" s="667">
        <f>+'STER Canalyst'!AE158*1000</f>
        <v>5126</v>
      </c>
      <c r="T78" s="667">
        <f>+'STER Canalyst'!AF158*1000</f>
        <v>3133</v>
      </c>
      <c r="U78" s="667">
        <f>+'STER Canalyst'!AG158*1000</f>
        <v>2238</v>
      </c>
      <c r="V78" s="666">
        <f>+'STER Canalyst'!AH158*1000</f>
        <v>2381</v>
      </c>
      <c r="W78" s="571">
        <f>+'STER Canalyst'!AI158*1000</f>
        <v>16988</v>
      </c>
      <c r="X78" s="571">
        <f>+'STER Canalyst'!AJ158*1000</f>
        <v>4120</v>
      </c>
      <c r="Y78" s="571"/>
      <c r="Z78" s="571"/>
      <c r="AA78" s="571"/>
      <c r="AB78" s="571"/>
      <c r="AC78" s="571"/>
      <c r="AD78" s="571"/>
      <c r="AE78" s="571"/>
      <c r="AF78" s="571"/>
      <c r="AG78" s="571"/>
      <c r="AH78" s="571"/>
      <c r="AI78" s="571"/>
      <c r="AJ78" s="571"/>
      <c r="AK78" s="571"/>
      <c r="AL78" s="571"/>
      <c r="AM78" s="571"/>
      <c r="AN78" s="571"/>
      <c r="AO78" s="571"/>
      <c r="AP78" s="571"/>
      <c r="AQ78" s="571">
        <f>+'STER Canalyst'!BB158*1000</f>
        <v>2617</v>
      </c>
      <c r="AR78" s="571">
        <f>+'STER Canalyst'!BC158*1000</f>
        <v>3029</v>
      </c>
      <c r="AS78" s="571">
        <f>+'STER Canalyst'!BD158*1000</f>
        <v>43046</v>
      </c>
      <c r="AT78" s="2153">
        <v>11493</v>
      </c>
      <c r="AU78" s="2153">
        <v>12878</v>
      </c>
    </row>
    <row r="79" spans="1:47" x14ac:dyDescent="0.25">
      <c r="A79" s="649" t="s">
        <v>809</v>
      </c>
      <c r="C79" s="571"/>
      <c r="D79" s="571"/>
      <c r="E79" s="571">
        <f>+'STER Canalyst'!Q159*1000</f>
        <v>1150</v>
      </c>
      <c r="F79" s="666">
        <f>+'STER Canalyst'!R159*1000</f>
        <v>1335</v>
      </c>
      <c r="G79" s="667">
        <f>+'STER Canalyst'!S159*1000</f>
        <v>526</v>
      </c>
      <c r="H79" s="667">
        <f>+'STER Canalyst'!T159*1000</f>
        <v>5484</v>
      </c>
      <c r="I79" s="667">
        <f>+'STER Canalyst'!U159*1000</f>
        <v>1060</v>
      </c>
      <c r="J79" s="666">
        <f>+'STER Canalyst'!V159*1000</f>
        <v>1768</v>
      </c>
      <c r="K79" s="667">
        <f>+'STER Canalyst'!W159*1000</f>
        <v>3035</v>
      </c>
      <c r="L79" s="667">
        <f>+'STER Canalyst'!X159*1000</f>
        <v>604</v>
      </c>
      <c r="M79" s="667">
        <f>+'STER Canalyst'!Y159*1000</f>
        <v>634</v>
      </c>
      <c r="N79" s="666">
        <f>+'STER Canalyst'!Z159*1000</f>
        <v>655</v>
      </c>
      <c r="O79" s="667">
        <f>+'STER Canalyst'!AA159*1000</f>
        <v>346</v>
      </c>
      <c r="P79" s="667">
        <f>+'STER Canalyst'!AB159*1000</f>
        <v>836</v>
      </c>
      <c r="Q79" s="667">
        <f>+'STER Canalyst'!AC159*1000</f>
        <v>2730</v>
      </c>
      <c r="R79" s="666">
        <f>+'STER Canalyst'!AD159*1000</f>
        <v>5112</v>
      </c>
      <c r="S79" s="667">
        <f>+'STER Canalyst'!AE159*1000</f>
        <v>3273</v>
      </c>
      <c r="T79" s="667">
        <f>+'STER Canalyst'!AF159*1000</f>
        <v>11490</v>
      </c>
      <c r="U79" s="667">
        <f>+'STER Canalyst'!AG159*1000</f>
        <v>4018</v>
      </c>
      <c r="V79" s="666">
        <f>+'STER Canalyst'!AH159*1000</f>
        <v>2574.0000000000018</v>
      </c>
      <c r="W79" s="571">
        <f>+'STER Canalyst'!AI159*1000</f>
        <v>3201</v>
      </c>
      <c r="X79" s="571">
        <f>+'STER Canalyst'!AJ159*1000</f>
        <v>1566</v>
      </c>
      <c r="Y79" s="571"/>
      <c r="Z79" s="571"/>
      <c r="AA79" s="571"/>
      <c r="AB79" s="571"/>
      <c r="AC79" s="571"/>
      <c r="AD79" s="571"/>
      <c r="AE79" s="571"/>
      <c r="AF79" s="571"/>
      <c r="AG79" s="571"/>
      <c r="AH79" s="571"/>
      <c r="AI79" s="571"/>
      <c r="AJ79" s="571"/>
      <c r="AK79" s="571"/>
      <c r="AL79" s="571"/>
      <c r="AM79" s="571"/>
      <c r="AN79" s="571"/>
      <c r="AO79" s="571"/>
      <c r="AP79" s="571"/>
      <c r="AQ79" s="571">
        <f>+'STER Canalyst'!BB159*1000</f>
        <v>4526</v>
      </c>
      <c r="AR79" s="571">
        <f>+'STER Canalyst'!BC159*1000</f>
        <v>8838</v>
      </c>
      <c r="AS79" s="571">
        <f>+'STER Canalyst'!BD159*1000</f>
        <v>4915</v>
      </c>
      <c r="AT79" s="2153">
        <v>9024</v>
      </c>
      <c r="AU79" s="2153">
        <v>21355</v>
      </c>
    </row>
    <row r="80" spans="1:47" x14ac:dyDescent="0.25">
      <c r="A80" s="649" t="s">
        <v>810</v>
      </c>
      <c r="C80" s="571"/>
      <c r="D80" s="571"/>
      <c r="E80" s="571">
        <f>+'STER Canalyst'!Q160*1000</f>
        <v>2297</v>
      </c>
      <c r="F80" s="666">
        <f>+'STER Canalyst'!R160*1000</f>
        <v>3015</v>
      </c>
      <c r="G80" s="667">
        <f>+'STER Canalyst'!S160*1000</f>
        <v>3009</v>
      </c>
      <c r="H80" s="667">
        <f>+'STER Canalyst'!T160*1000</f>
        <v>2458</v>
      </c>
      <c r="I80" s="667">
        <f>+'STER Canalyst'!U160*1000</f>
        <v>2581</v>
      </c>
      <c r="J80" s="666">
        <f>+'STER Canalyst'!V160*1000</f>
        <v>2872</v>
      </c>
      <c r="K80" s="667">
        <f>+'STER Canalyst'!W160*1000</f>
        <v>2059</v>
      </c>
      <c r="L80" s="667">
        <f>+'STER Canalyst'!X160*1000</f>
        <v>3942</v>
      </c>
      <c r="M80" s="667">
        <f>+'STER Canalyst'!Y160*1000</f>
        <v>3137</v>
      </c>
      <c r="N80" s="666">
        <f>+'STER Canalyst'!Z160*1000</f>
        <v>3950</v>
      </c>
      <c r="O80" s="667">
        <f>+'STER Canalyst'!AA160*1000</f>
        <v>3762</v>
      </c>
      <c r="P80" s="667">
        <f>+'STER Canalyst'!AB160*1000</f>
        <v>4537</v>
      </c>
      <c r="Q80" s="667">
        <f>+'STER Canalyst'!AC160*1000</f>
        <v>4767</v>
      </c>
      <c r="R80" s="666">
        <f>+'STER Canalyst'!AD160*1000</f>
        <v>3728</v>
      </c>
      <c r="S80" s="667">
        <f>+'STER Canalyst'!AE160*1000</f>
        <v>3233</v>
      </c>
      <c r="T80" s="667">
        <f>+'STER Canalyst'!AF160*1000</f>
        <v>179</v>
      </c>
      <c r="U80" s="667">
        <f>+'STER Canalyst'!AG160*1000</f>
        <v>256</v>
      </c>
      <c r="V80" s="666">
        <f>+'STER Canalyst'!AH160*1000</f>
        <v>254</v>
      </c>
      <c r="W80" s="571">
        <f>+'STER Canalyst'!AI160*1000</f>
        <v>375</v>
      </c>
      <c r="X80" s="571">
        <f>+'STER Canalyst'!AJ160*1000</f>
        <v>455</v>
      </c>
      <c r="Y80" s="571"/>
      <c r="Z80" s="571"/>
      <c r="AA80" s="571"/>
      <c r="AB80" s="571"/>
      <c r="AC80" s="571"/>
      <c r="AD80" s="571"/>
      <c r="AE80" s="571"/>
      <c r="AF80" s="571"/>
      <c r="AG80" s="571"/>
      <c r="AH80" s="571"/>
      <c r="AI80" s="571"/>
      <c r="AJ80" s="571"/>
      <c r="AK80" s="571"/>
      <c r="AL80" s="571"/>
      <c r="AM80" s="571"/>
      <c r="AN80" s="571"/>
      <c r="AO80" s="571"/>
      <c r="AP80" s="571"/>
      <c r="AQ80" s="571">
        <f>+'STER Canalyst'!BB160*1000</f>
        <v>9763</v>
      </c>
      <c r="AR80" s="571">
        <f>+'STER Canalyst'!BC160*1000</f>
        <v>10920</v>
      </c>
      <c r="AS80" s="571">
        <f>+'STER Canalyst'!BD160*1000</f>
        <v>13088</v>
      </c>
      <c r="AT80" s="2153">
        <v>16794</v>
      </c>
      <c r="AU80" s="2153">
        <v>3922</v>
      </c>
    </row>
    <row r="81" spans="1:47" x14ac:dyDescent="0.25">
      <c r="A81" s="649" t="s">
        <v>811</v>
      </c>
      <c r="C81" s="571"/>
      <c r="D81" s="571"/>
      <c r="E81" s="571">
        <f>+'STER Canalyst'!Q161*1000</f>
        <v>287</v>
      </c>
      <c r="F81" s="666">
        <f>+'STER Canalyst'!R161*1000</f>
        <v>11219</v>
      </c>
      <c r="G81" s="667">
        <f>+'STER Canalyst'!S161*1000</f>
        <v>97</v>
      </c>
      <c r="H81" s="667">
        <f>+'STER Canalyst'!T161*1000</f>
        <v>43</v>
      </c>
      <c r="I81" s="667">
        <f>+'STER Canalyst'!U161*1000</f>
        <v>120</v>
      </c>
      <c r="J81" s="666">
        <f>+'STER Canalyst'!V161*1000</f>
        <v>2662</v>
      </c>
      <c r="K81" s="667">
        <f>+'STER Canalyst'!W161*1000</f>
        <v>0</v>
      </c>
      <c r="L81" s="667">
        <f>+'STER Canalyst'!X161*1000</f>
        <v>0</v>
      </c>
      <c r="M81" s="667">
        <f>+'STER Canalyst'!Y161*1000</f>
        <v>0</v>
      </c>
      <c r="N81" s="666">
        <f>+'STER Canalyst'!Z161*1000</f>
        <v>468</v>
      </c>
      <c r="O81" s="667">
        <f>+'STER Canalyst'!AA161*1000</f>
        <v>0</v>
      </c>
      <c r="P81" s="667">
        <f>+'STER Canalyst'!AB161*1000</f>
        <v>0</v>
      </c>
      <c r="Q81" s="667">
        <f>+'STER Canalyst'!AC161*1000</f>
        <v>213</v>
      </c>
      <c r="R81" s="666">
        <f>+'STER Canalyst'!AD161*1000</f>
        <v>3106</v>
      </c>
      <c r="S81" s="667">
        <f>+'STER Canalyst'!AE161*1000</f>
        <v>0</v>
      </c>
      <c r="T81" s="667">
        <f>+'STER Canalyst'!AF161*1000</f>
        <v>0</v>
      </c>
      <c r="U81" s="667">
        <f>+'STER Canalyst'!AG161*1000</f>
        <v>0</v>
      </c>
      <c r="V81" s="666">
        <f>+'STER Canalyst'!AH161*1000</f>
        <v>131</v>
      </c>
      <c r="W81" s="571">
        <f>+'STER Canalyst'!AI161*1000</f>
        <v>0</v>
      </c>
      <c r="X81" s="571">
        <f>+'STER Canalyst'!AJ161*1000</f>
        <v>1000</v>
      </c>
      <c r="Y81" s="571"/>
      <c r="Z81" s="571"/>
      <c r="AA81" s="571"/>
      <c r="AB81" s="571"/>
      <c r="AC81" s="571"/>
      <c r="AD81" s="571"/>
      <c r="AE81" s="571"/>
      <c r="AF81" s="571"/>
      <c r="AG81" s="571"/>
      <c r="AH81" s="571"/>
      <c r="AI81" s="571"/>
      <c r="AJ81" s="571"/>
      <c r="AK81" s="571"/>
      <c r="AL81" s="571"/>
      <c r="AM81" s="571"/>
      <c r="AN81" s="571"/>
      <c r="AO81" s="571"/>
      <c r="AP81" s="571"/>
      <c r="AQ81" s="571">
        <f>+'STER Canalyst'!BB161*1000</f>
        <v>12065</v>
      </c>
      <c r="AR81" s="571">
        <f>+'STER Canalyst'!BC161*1000</f>
        <v>2922</v>
      </c>
      <c r="AS81" s="571">
        <f>+'STER Canalyst'!BD161*1000</f>
        <v>468</v>
      </c>
      <c r="AT81" s="2153">
        <v>3319</v>
      </c>
      <c r="AU81" s="2153">
        <v>131</v>
      </c>
    </row>
    <row r="82" spans="1:47" x14ac:dyDescent="0.25">
      <c r="A82" s="649" t="s">
        <v>791</v>
      </c>
      <c r="C82" s="571"/>
      <c r="D82" s="571"/>
      <c r="E82" s="571">
        <f>+'STER Canalyst'!Q162*1000</f>
        <v>1069</v>
      </c>
      <c r="F82" s="666">
        <f>+'STER Canalyst'!R162*1000</f>
        <v>-1181</v>
      </c>
      <c r="G82" s="667">
        <f>+'STER Canalyst'!S162*1000</f>
        <v>8755</v>
      </c>
      <c r="H82" s="667">
        <f>+'STER Canalyst'!T162*1000</f>
        <v>899</v>
      </c>
      <c r="I82" s="667">
        <f>+'STER Canalyst'!U162*1000</f>
        <v>-49</v>
      </c>
      <c r="J82" s="666">
        <f>+'STER Canalyst'!V162*1000</f>
        <v>-153</v>
      </c>
      <c r="K82" s="667">
        <f>+'STER Canalyst'!W162*1000</f>
        <v>-46</v>
      </c>
      <c r="L82" s="667">
        <f>+'STER Canalyst'!X162*1000</f>
        <v>133</v>
      </c>
      <c r="M82" s="667">
        <f>+'STER Canalyst'!Y162*1000</f>
        <v>112</v>
      </c>
      <c r="N82" s="666">
        <f>+'STER Canalyst'!Z162*1000</f>
        <v>-168</v>
      </c>
      <c r="O82" s="667">
        <f>+'STER Canalyst'!AA162*1000</f>
        <v>-328</v>
      </c>
      <c r="P82" s="667">
        <f>+'STER Canalyst'!AB162*1000</f>
        <v>32</v>
      </c>
      <c r="Q82" s="667">
        <f>+'STER Canalyst'!AC162*1000</f>
        <v>0</v>
      </c>
      <c r="R82" s="666">
        <f>+'STER Canalyst'!AD162*1000</f>
        <v>-1</v>
      </c>
      <c r="S82" s="667">
        <f>+'STER Canalyst'!AE162*1000</f>
        <v>0</v>
      </c>
      <c r="T82" s="667">
        <f>+'STER Canalyst'!AF162*1000</f>
        <v>0</v>
      </c>
      <c r="U82" s="667">
        <f>+'STER Canalyst'!AG162*1000</f>
        <v>0</v>
      </c>
      <c r="V82" s="666">
        <f>+'STER Canalyst'!AH162*1000</f>
        <v>0</v>
      </c>
      <c r="W82" s="571">
        <f>+'STER Canalyst'!AI162*1000</f>
        <v>0</v>
      </c>
      <c r="X82" s="571">
        <f>+'STER Canalyst'!AJ162*1000</f>
        <v>0</v>
      </c>
      <c r="Y82" s="571"/>
      <c r="Z82" s="571"/>
      <c r="AA82" s="571"/>
      <c r="AB82" s="571"/>
      <c r="AC82" s="571"/>
      <c r="AD82" s="571"/>
      <c r="AE82" s="571"/>
      <c r="AF82" s="571"/>
      <c r="AG82" s="571"/>
      <c r="AH82" s="571"/>
      <c r="AI82" s="571"/>
      <c r="AJ82" s="571"/>
      <c r="AK82" s="571"/>
      <c r="AL82" s="571"/>
      <c r="AM82" s="571"/>
      <c r="AN82" s="571"/>
      <c r="AO82" s="571"/>
      <c r="AP82" s="571"/>
      <c r="AQ82" s="571">
        <f>+'STER Canalyst'!BB162*1000</f>
        <v>7324</v>
      </c>
      <c r="AR82" s="571">
        <f>+'STER Canalyst'!BC162*1000</f>
        <v>9452</v>
      </c>
      <c r="AS82" s="571">
        <f>+'STER Canalyst'!BD162*1000</f>
        <v>31</v>
      </c>
      <c r="AT82" s="2153">
        <v>-297</v>
      </c>
      <c r="AU82" s="2153">
        <v>0</v>
      </c>
    </row>
    <row r="83" spans="1:47" s="565" customFormat="1" ht="14" x14ac:dyDescent="0.4">
      <c r="A83" s="649" t="s">
        <v>363</v>
      </c>
      <c r="C83" s="572"/>
      <c r="D83" s="614"/>
      <c r="E83" s="614">
        <f>+'STER Canalyst'!Q163*1000</f>
        <v>1891</v>
      </c>
      <c r="F83" s="2162">
        <f>+'STER Canalyst'!R163*1000</f>
        <v>3227</v>
      </c>
      <c r="G83" s="2168">
        <f>+'STER Canalyst'!S163*1000</f>
        <v>1852</v>
      </c>
      <c r="H83" s="2168">
        <f>+'STER Canalyst'!T163*1000</f>
        <v>168</v>
      </c>
      <c r="I83" s="2168">
        <f>+'STER Canalyst'!U163*1000</f>
        <v>-187</v>
      </c>
      <c r="J83" s="2162">
        <f>+'STER Canalyst'!V163*1000</f>
        <v>496</v>
      </c>
      <c r="K83" s="2168">
        <f>+'STER Canalyst'!W163*1000</f>
        <v>496</v>
      </c>
      <c r="L83" s="2168">
        <f>+'STER Canalyst'!X163*1000</f>
        <v>134</v>
      </c>
      <c r="M83" s="2168">
        <f>+'STER Canalyst'!Y163*1000</f>
        <v>196</v>
      </c>
      <c r="N83" s="2162">
        <f>+'STER Canalyst'!Z163*1000</f>
        <v>298</v>
      </c>
      <c r="O83" s="2168">
        <f>+'STER Canalyst'!AA163*1000</f>
        <v>47</v>
      </c>
      <c r="P83" s="2168">
        <f>+'STER Canalyst'!AB163*1000</f>
        <v>-304</v>
      </c>
      <c r="Q83" s="2168">
        <f>+'STER Canalyst'!AC163*1000</f>
        <v>-832</v>
      </c>
      <c r="R83" s="2162">
        <f>+'STER Canalyst'!AD163*1000</f>
        <v>978</v>
      </c>
      <c r="S83" s="2168">
        <f>+'STER Canalyst'!AE163*1000</f>
        <v>457</v>
      </c>
      <c r="T83" s="2168">
        <f>+'STER Canalyst'!AF163*1000</f>
        <v>489</v>
      </c>
      <c r="U83" s="2168">
        <f>+'STER Canalyst'!AG163*1000</f>
        <v>-225</v>
      </c>
      <c r="V83" s="2162">
        <f>+'STER Canalyst'!AH163*1000</f>
        <v>30.000000000000028</v>
      </c>
      <c r="W83" s="614">
        <f>+'STER Canalyst'!AI163*1000</f>
        <v>-505</v>
      </c>
      <c r="X83" s="614">
        <f>+'STER Canalyst'!AJ163*1000</f>
        <v>615</v>
      </c>
      <c r="Y83" s="614"/>
      <c r="Z83" s="572"/>
      <c r="AA83" s="572"/>
      <c r="AB83" s="572"/>
      <c r="AC83" s="572"/>
      <c r="AD83" s="572"/>
      <c r="AE83" s="572"/>
      <c r="AF83" s="572"/>
      <c r="AG83" s="572"/>
      <c r="AH83" s="572"/>
      <c r="AI83" s="572"/>
      <c r="AJ83" s="572"/>
      <c r="AK83" s="572"/>
      <c r="AL83" s="572"/>
      <c r="AM83" s="572"/>
      <c r="AN83" s="572"/>
      <c r="AO83" s="572"/>
      <c r="AP83" s="614"/>
      <c r="AQ83" s="614">
        <f>+'STER Canalyst'!BB163*1000</f>
        <v>6553</v>
      </c>
      <c r="AR83" s="614">
        <f>+'STER Canalyst'!BC163*1000</f>
        <v>2329</v>
      </c>
      <c r="AS83" s="614">
        <f>+'STER Canalyst'!BD163*1000</f>
        <v>1123</v>
      </c>
      <c r="AT83" s="2154">
        <v>-111</v>
      </c>
      <c r="AU83" s="2154">
        <v>751</v>
      </c>
    </row>
    <row r="84" spans="1:47" x14ac:dyDescent="0.25">
      <c r="A84" s="425" t="s">
        <v>813</v>
      </c>
      <c r="C84" s="571"/>
      <c r="D84" s="571"/>
      <c r="E84" s="571">
        <f t="shared" ref="E84" si="119">+SUM(E74:E83)</f>
        <v>18995</v>
      </c>
      <c r="F84" s="666">
        <f t="shared" ref="F84" si="120">+SUM(F74:F83)</f>
        <v>7045.9999999999945</v>
      </c>
      <c r="G84" s="667">
        <f t="shared" ref="G84" si="121">+SUM(G74:G83)</f>
        <v>10955</v>
      </c>
      <c r="H84" s="667">
        <f t="shared" ref="H84" si="122">+SUM(H74:H83)</f>
        <v>-1079.0000000000036</v>
      </c>
      <c r="I84" s="667">
        <f t="shared" ref="I84" si="123">+SUM(I74:I83)</f>
        <v>15095</v>
      </c>
      <c r="J84" s="666">
        <f t="shared" ref="J84" si="124">+SUM(J74:J83)</f>
        <v>12475</v>
      </c>
      <c r="K84" s="667">
        <f t="shared" ref="K84" si="125">+SUM(K74:K83)</f>
        <v>21948.000000000007</v>
      </c>
      <c r="L84" s="667">
        <f t="shared" ref="L84" si="126">+SUM(L74:L83)</f>
        <v>32138.000000000058</v>
      </c>
      <c r="M84" s="667">
        <f t="shared" ref="M84" si="127">+SUM(M74:M83)</f>
        <v>36246.999999999978</v>
      </c>
      <c r="N84" s="666">
        <f t="shared" ref="N84" si="128">+SUM(N74:N83)</f>
        <v>28706.999999999993</v>
      </c>
      <c r="O84" s="667">
        <f t="shared" ref="O84" si="129">+SUM(O74:O83)</f>
        <v>34908.000000000007</v>
      </c>
      <c r="P84" s="667">
        <f t="shared" ref="P84" si="130">+SUM(P74:P83)</f>
        <v>43344.000000000007</v>
      </c>
      <c r="Q84" s="667">
        <f t="shared" ref="Q84" si="131">+SUM(Q74:Q83)</f>
        <v>39667.000000000015</v>
      </c>
      <c r="R84" s="666">
        <f t="shared" ref="R84" si="132">+SUM(R74:R83)</f>
        <v>26679.999999999985</v>
      </c>
      <c r="S84" s="667">
        <f t="shared" ref="S84" si="133">+SUM(S74:S83)</f>
        <v>31885.999999999993</v>
      </c>
      <c r="T84" s="667">
        <f t="shared" ref="T84" si="134">+SUM(T74:T83)</f>
        <v>35511.999999999993</v>
      </c>
      <c r="U84" s="667">
        <f t="shared" ref="U84" si="135">+SUM(U74:U83)</f>
        <v>32997</v>
      </c>
      <c r="V84" s="666">
        <f t="shared" ref="V84" si="136">+SUM(V74:V83)</f>
        <v>27300.999999999935</v>
      </c>
      <c r="W84" s="571">
        <f t="shared" ref="W84" si="137">+SUM(W74:W83)</f>
        <v>23058.999999999996</v>
      </c>
      <c r="X84" s="571">
        <f t="shared" ref="X84" si="138">+SUM(X74:X83)</f>
        <v>31008</v>
      </c>
      <c r="Y84" s="571"/>
      <c r="Z84" s="571"/>
      <c r="AA84" s="571"/>
      <c r="AB84" s="571"/>
      <c r="AC84" s="571"/>
      <c r="AD84" s="571"/>
      <c r="AE84" s="571"/>
      <c r="AF84" s="571"/>
      <c r="AG84" s="571"/>
      <c r="AH84" s="571"/>
      <c r="AI84" s="571"/>
      <c r="AJ84" s="571"/>
      <c r="AK84" s="571"/>
      <c r="AL84" s="571"/>
      <c r="AM84" s="571"/>
      <c r="AN84" s="571"/>
      <c r="AO84" s="571"/>
      <c r="AP84" s="571"/>
      <c r="AQ84" s="571">
        <f t="shared" ref="AQ84:AR84" si="139">+SUM(AQ74:AQ83)</f>
        <v>51394.999999999985</v>
      </c>
      <c r="AR84" s="571">
        <f t="shared" si="139"/>
        <v>37445</v>
      </c>
      <c r="AS84" s="571">
        <f>+SUM(AS74:AS83)</f>
        <v>119040.00000000006</v>
      </c>
      <c r="AT84" s="2153">
        <v>144599</v>
      </c>
      <c r="AU84" s="2153">
        <v>127696</v>
      </c>
    </row>
    <row r="85" spans="1:47" s="565" customFormat="1" ht="14" x14ac:dyDescent="0.4">
      <c r="A85" s="649" t="s">
        <v>814</v>
      </c>
      <c r="C85" s="572"/>
      <c r="D85" s="614"/>
      <c r="E85" s="614">
        <f>+'STER Canalyst'!Q165*1000</f>
        <v>4939</v>
      </c>
      <c r="F85" s="2162">
        <f>+'STER Canalyst'!R165*1000</f>
        <v>1832</v>
      </c>
      <c r="G85" s="2168">
        <f>+'STER Canalyst'!S165*1000</f>
        <v>2848</v>
      </c>
      <c r="H85" s="2168">
        <f>+'STER Canalyst'!T165*1000</f>
        <v>-281</v>
      </c>
      <c r="I85" s="2168">
        <f>+'STER Canalyst'!U165*1000</f>
        <v>3925</v>
      </c>
      <c r="J85" s="2162">
        <f>+'STER Canalyst'!V165*1000</f>
        <v>3244</v>
      </c>
      <c r="K85" s="2168">
        <f>+'STER Canalyst'!W165*1000</f>
        <v>6498</v>
      </c>
      <c r="L85" s="2168">
        <f>+'STER Canalyst'!X165*1000</f>
        <v>9516</v>
      </c>
      <c r="M85" s="2168">
        <f>+'STER Canalyst'!Y165*1000</f>
        <v>4672</v>
      </c>
      <c r="N85" s="2162">
        <f>+'STER Canalyst'!Z165*1000</f>
        <v>6123</v>
      </c>
      <c r="O85" s="2168">
        <f>+'STER Canalyst'!AA165*1000</f>
        <v>10507</v>
      </c>
      <c r="P85" s="2168">
        <f>+'STER Canalyst'!AB165*1000</f>
        <v>10845</v>
      </c>
      <c r="Q85" s="2168">
        <f>+'STER Canalyst'!AC165*1000</f>
        <v>10496</v>
      </c>
      <c r="R85" s="2162">
        <f>+'STER Canalyst'!AD165*1000</f>
        <v>6206</v>
      </c>
      <c r="S85" s="2168">
        <f>+'STER Canalyst'!AE165*1000</f>
        <v>8600</v>
      </c>
      <c r="T85" s="2168">
        <f>+'STER Canalyst'!AF165*1000</f>
        <v>9308</v>
      </c>
      <c r="U85" s="2168">
        <f>+'STER Canalyst'!AG165*1000</f>
        <v>8263</v>
      </c>
      <c r="V85" s="2162">
        <f>+'STER Canalyst'!AH165*1000</f>
        <v>7615.0000000000018</v>
      </c>
      <c r="W85" s="614">
        <f>+'STER Canalyst'!AI165*1000</f>
        <v>5648</v>
      </c>
      <c r="X85" s="614">
        <f>+'STER Canalyst'!AJ165*1000</f>
        <v>9216</v>
      </c>
      <c r="Y85" s="614"/>
      <c r="Z85" s="572"/>
      <c r="AA85" s="572"/>
      <c r="AB85" s="572"/>
      <c r="AC85" s="572"/>
      <c r="AD85" s="572"/>
      <c r="AE85" s="572"/>
      <c r="AF85" s="572"/>
      <c r="AG85" s="572"/>
      <c r="AH85" s="572"/>
      <c r="AI85" s="572"/>
      <c r="AJ85" s="572"/>
      <c r="AK85" s="572"/>
      <c r="AL85" s="572"/>
      <c r="AM85" s="572"/>
      <c r="AN85" s="572"/>
      <c r="AO85" s="572"/>
      <c r="AP85" s="571"/>
      <c r="AQ85" s="614">
        <f>+'STER Canalyst'!BB165*1000</f>
        <v>13363</v>
      </c>
      <c r="AR85" s="614">
        <f>+'STER Canalyst'!BC165*1000</f>
        <v>9736</v>
      </c>
      <c r="AS85" s="614">
        <f>+'STER Canalyst'!BD165*1000</f>
        <v>26808</v>
      </c>
      <c r="AT85" s="2154">
        <v>38054</v>
      </c>
      <c r="AU85" s="2154">
        <v>33786</v>
      </c>
    </row>
    <row r="86" spans="1:47" x14ac:dyDescent="0.25">
      <c r="A86" s="425" t="s">
        <v>815</v>
      </c>
      <c r="C86" s="571"/>
      <c r="D86" s="571"/>
      <c r="E86" s="571">
        <f t="shared" ref="E86" si="140">+E84-E85</f>
        <v>14056</v>
      </c>
      <c r="F86" s="666">
        <f t="shared" ref="F86" si="141">+F84-F85</f>
        <v>5213.9999999999945</v>
      </c>
      <c r="G86" s="667">
        <f t="shared" ref="G86" si="142">+G84-G85</f>
        <v>8107</v>
      </c>
      <c r="H86" s="667">
        <f t="shared" ref="H86" si="143">+H84-H85</f>
        <v>-798.00000000000364</v>
      </c>
      <c r="I86" s="667">
        <f t="shared" ref="I86" si="144">+I84-I85</f>
        <v>11170</v>
      </c>
      <c r="J86" s="666">
        <f t="shared" ref="J86" si="145">+J84-J85</f>
        <v>9231</v>
      </c>
      <c r="K86" s="667">
        <f t="shared" ref="K86" si="146">+K84-K85</f>
        <v>15450.000000000007</v>
      </c>
      <c r="L86" s="667">
        <f t="shared" ref="L86" si="147">+L84-L85</f>
        <v>22622.000000000058</v>
      </c>
      <c r="M86" s="667">
        <f t="shared" ref="M86" si="148">+M84-M85</f>
        <v>31574.999999999978</v>
      </c>
      <c r="N86" s="666">
        <f t="shared" ref="N86" si="149">+N84-N85</f>
        <v>22583.999999999993</v>
      </c>
      <c r="O86" s="667">
        <f t="shared" ref="O86" si="150">+O84-O85</f>
        <v>24401.000000000007</v>
      </c>
      <c r="P86" s="667">
        <f t="shared" ref="P86" si="151">+P84-P85</f>
        <v>32499.000000000007</v>
      </c>
      <c r="Q86" s="667">
        <f t="shared" ref="Q86" si="152">+Q84-Q85</f>
        <v>29171.000000000015</v>
      </c>
      <c r="R86" s="666">
        <f t="shared" ref="R86" si="153">+R84-R85</f>
        <v>20473.999999999985</v>
      </c>
      <c r="S86" s="667">
        <f t="shared" ref="S86" si="154">+S84-S85</f>
        <v>23285.999999999993</v>
      </c>
      <c r="T86" s="667">
        <f t="shared" ref="T86" si="155">+T84-T85</f>
        <v>26203.999999999993</v>
      </c>
      <c r="U86" s="667">
        <f t="shared" ref="U86" si="156">+U84-U85</f>
        <v>24734</v>
      </c>
      <c r="V86" s="666">
        <f t="shared" ref="V86" si="157">+V84-V85</f>
        <v>19685.999999999935</v>
      </c>
      <c r="W86" s="571">
        <f t="shared" ref="W86" si="158">+W84-W85</f>
        <v>17410.999999999996</v>
      </c>
      <c r="X86" s="571">
        <f t="shared" ref="X86" si="159">+X84-X85</f>
        <v>21792</v>
      </c>
      <c r="Y86" s="571"/>
      <c r="Z86" s="571"/>
      <c r="AA86" s="571"/>
      <c r="AB86" s="571"/>
      <c r="AC86" s="571"/>
      <c r="AD86" s="571"/>
      <c r="AE86" s="571"/>
      <c r="AF86" s="571"/>
      <c r="AG86" s="571"/>
      <c r="AH86" s="571"/>
      <c r="AI86" s="571"/>
      <c r="AJ86" s="571"/>
      <c r="AK86" s="571"/>
      <c r="AL86" s="571"/>
      <c r="AM86" s="571"/>
      <c r="AN86" s="571"/>
      <c r="AO86" s="571"/>
      <c r="AP86" s="571"/>
      <c r="AQ86" s="571">
        <f t="shared" ref="AQ86:AR86" si="160">+AQ84-AQ85</f>
        <v>38031.999999999985</v>
      </c>
      <c r="AR86" s="571">
        <f t="shared" si="160"/>
        <v>27709</v>
      </c>
      <c r="AS86" s="571">
        <f>+AS84-AS85</f>
        <v>92232.000000000058</v>
      </c>
      <c r="AT86" s="2153">
        <v>106545</v>
      </c>
      <c r="AU86" s="2153">
        <v>93910</v>
      </c>
    </row>
    <row r="87" spans="1:47" x14ac:dyDescent="0.25">
      <c r="C87" s="571"/>
      <c r="D87" s="571"/>
      <c r="E87" s="571"/>
      <c r="F87" s="666"/>
      <c r="G87" s="667"/>
      <c r="H87" s="667"/>
      <c r="I87" s="667"/>
      <c r="J87" s="666"/>
      <c r="K87" s="667"/>
      <c r="L87" s="667"/>
      <c r="M87" s="667"/>
      <c r="N87" s="666"/>
      <c r="O87" s="667"/>
      <c r="P87" s="667"/>
      <c r="Q87" s="667"/>
      <c r="R87" s="666"/>
      <c r="S87" s="667"/>
      <c r="T87" s="667"/>
      <c r="U87" s="667"/>
      <c r="V87" s="666"/>
      <c r="W87" s="571"/>
      <c r="X87" s="571"/>
      <c r="Y87" s="571"/>
      <c r="Z87" s="571"/>
      <c r="AA87" s="571"/>
      <c r="AB87" s="571"/>
      <c r="AC87" s="571"/>
      <c r="AD87" s="571"/>
      <c r="AE87" s="571"/>
      <c r="AF87" s="571"/>
      <c r="AG87" s="571"/>
      <c r="AH87" s="571"/>
      <c r="AI87" s="571"/>
      <c r="AJ87" s="571"/>
      <c r="AK87" s="571"/>
      <c r="AL87" s="571"/>
      <c r="AM87" s="571"/>
      <c r="AN87" s="571"/>
      <c r="AO87" s="571"/>
      <c r="AP87" s="571"/>
      <c r="AQ87" s="571"/>
      <c r="AR87" s="571"/>
      <c r="AS87" s="571"/>
      <c r="AT87" s="571"/>
      <c r="AU87" s="571"/>
    </row>
    <row r="88" spans="1:47" ht="13" x14ac:dyDescent="0.3">
      <c r="A88" s="569" t="s">
        <v>466</v>
      </c>
      <c r="B88" s="570"/>
      <c r="C88" s="571"/>
      <c r="D88" s="571"/>
      <c r="E88" s="571"/>
      <c r="F88" s="666"/>
      <c r="G88" s="667"/>
      <c r="H88" s="667"/>
      <c r="I88" s="667"/>
      <c r="J88" s="666"/>
      <c r="K88" s="667"/>
      <c r="L88" s="667"/>
      <c r="M88" s="667"/>
      <c r="N88" s="666"/>
      <c r="O88" s="667"/>
      <c r="P88" s="667"/>
      <c r="Q88" s="667"/>
      <c r="R88" s="666"/>
      <c r="S88" s="667"/>
      <c r="T88" s="667"/>
      <c r="U88" s="667"/>
      <c r="V88" s="666"/>
      <c r="W88" s="571"/>
      <c r="X88" s="571"/>
      <c r="Y88" s="571"/>
      <c r="Z88" s="571"/>
      <c r="AA88" s="571"/>
      <c r="AB88" s="571"/>
      <c r="AC88" s="571"/>
      <c r="AD88" s="571"/>
      <c r="AE88" s="571"/>
      <c r="AF88" s="571"/>
      <c r="AG88" s="571"/>
      <c r="AH88" s="571"/>
      <c r="AI88" s="571"/>
      <c r="AJ88" s="571"/>
      <c r="AK88" s="571"/>
      <c r="AL88" s="571"/>
      <c r="AM88" s="571"/>
      <c r="AN88" s="571"/>
      <c r="AO88" s="571"/>
      <c r="AP88" s="571"/>
      <c r="AQ88" s="571"/>
      <c r="AR88" s="571"/>
      <c r="AS88" s="571"/>
      <c r="AT88" s="571"/>
      <c r="AU88" s="571"/>
    </row>
    <row r="89" spans="1:47" x14ac:dyDescent="0.25">
      <c r="C89" s="571"/>
      <c r="D89" s="571"/>
      <c r="E89" s="571"/>
      <c r="F89" s="666"/>
      <c r="G89" s="667"/>
      <c r="H89" s="667"/>
      <c r="I89" s="667"/>
      <c r="J89" s="666"/>
      <c r="K89" s="667"/>
      <c r="L89" s="667"/>
      <c r="M89" s="667"/>
      <c r="N89" s="666"/>
      <c r="O89" s="667"/>
      <c r="P89" s="667"/>
      <c r="Q89" s="667"/>
      <c r="R89" s="666"/>
      <c r="S89" s="667"/>
      <c r="T89" s="667"/>
      <c r="U89" s="667"/>
      <c r="V89" s="666"/>
      <c r="W89" s="571"/>
      <c r="X89" s="571"/>
      <c r="Y89" s="571"/>
      <c r="Z89" s="571"/>
      <c r="AA89" s="571"/>
      <c r="AB89" s="571"/>
      <c r="AC89" s="571"/>
      <c r="AD89" s="571"/>
      <c r="AE89" s="571"/>
      <c r="AF89" s="571"/>
      <c r="AG89" s="571"/>
      <c r="AH89" s="571"/>
      <c r="AI89" s="571"/>
      <c r="AJ89" s="571"/>
      <c r="AK89" s="571"/>
      <c r="AL89" s="571"/>
      <c r="AM89" s="571"/>
      <c r="AN89" s="571"/>
      <c r="AO89" s="571"/>
      <c r="AP89" s="571"/>
      <c r="AQ89" s="571"/>
      <c r="AR89" s="571"/>
      <c r="AS89" s="571"/>
      <c r="AT89" s="571"/>
      <c r="AU89" s="571"/>
    </row>
    <row r="90" spans="1:47" ht="13" x14ac:dyDescent="0.3">
      <c r="A90" s="730" t="s">
        <v>592</v>
      </c>
      <c r="C90" s="571"/>
      <c r="D90" s="571"/>
      <c r="E90" s="571"/>
      <c r="F90" s="666"/>
      <c r="G90" s="667"/>
      <c r="H90" s="667"/>
      <c r="I90" s="667"/>
      <c r="J90" s="666"/>
      <c r="K90" s="667"/>
      <c r="L90" s="667"/>
      <c r="M90" s="667"/>
      <c r="N90" s="666"/>
      <c r="O90" s="667"/>
      <c r="P90" s="667"/>
      <c r="Q90" s="667"/>
      <c r="R90" s="666"/>
      <c r="S90" s="667"/>
      <c r="T90" s="667"/>
      <c r="U90" s="667"/>
      <c r="V90" s="666"/>
      <c r="W90" s="571"/>
      <c r="X90" s="571"/>
      <c r="Y90" s="571"/>
      <c r="Z90" s="571"/>
      <c r="AA90" s="571"/>
      <c r="AB90" s="571"/>
      <c r="AC90" s="571"/>
      <c r="AD90" s="571"/>
      <c r="AE90" s="571"/>
      <c r="AF90" s="571"/>
      <c r="AG90" s="571"/>
      <c r="AH90" s="571"/>
      <c r="AI90" s="571"/>
      <c r="AJ90" s="571"/>
      <c r="AK90" s="571"/>
      <c r="AL90" s="571"/>
      <c r="AM90" s="571"/>
      <c r="AN90" s="571"/>
      <c r="AO90" s="571"/>
      <c r="AP90" s="571"/>
      <c r="AQ90" s="571"/>
      <c r="AR90" s="571"/>
      <c r="AS90" s="571"/>
      <c r="AT90" s="571"/>
      <c r="AU90" s="571"/>
    </row>
    <row r="91" spans="1:47" x14ac:dyDescent="0.25">
      <c r="A91" s="2150" t="s">
        <v>593</v>
      </c>
      <c r="C91" s="571"/>
      <c r="D91" s="571"/>
      <c r="E91" s="571"/>
      <c r="F91" s="666"/>
      <c r="G91" s="667"/>
      <c r="H91" s="667"/>
      <c r="I91" s="667"/>
      <c r="J91" s="666"/>
      <c r="K91" s="667"/>
      <c r="L91" s="667"/>
      <c r="M91" s="667"/>
      <c r="N91" s="666"/>
      <c r="O91" s="667"/>
      <c r="P91" s="667"/>
      <c r="Q91" s="667"/>
      <c r="R91" s="666"/>
      <c r="S91" s="667"/>
      <c r="T91" s="667"/>
      <c r="U91" s="667"/>
      <c r="V91" s="666"/>
      <c r="W91" s="571"/>
      <c r="X91" s="571"/>
      <c r="Y91" s="571"/>
      <c r="Z91" s="571"/>
      <c r="AA91" s="571"/>
      <c r="AB91" s="571"/>
      <c r="AC91" s="571"/>
      <c r="AD91" s="571"/>
      <c r="AE91" s="571"/>
      <c r="AF91" s="571"/>
      <c r="AG91" s="571"/>
      <c r="AH91" s="571"/>
      <c r="AI91" s="571"/>
      <c r="AJ91" s="571"/>
      <c r="AK91" s="571"/>
      <c r="AL91" s="571"/>
      <c r="AM91" s="571"/>
      <c r="AN91" s="571"/>
      <c r="AO91" s="571"/>
      <c r="AP91" s="571"/>
      <c r="AQ91" s="571"/>
      <c r="AR91" s="571"/>
      <c r="AS91" s="571"/>
      <c r="AT91" s="571"/>
      <c r="AU91" s="571"/>
    </row>
    <row r="92" spans="1:47" x14ac:dyDescent="0.25">
      <c r="A92" s="649" t="s">
        <v>155</v>
      </c>
      <c r="C92" s="2153"/>
      <c r="D92" s="2153"/>
      <c r="E92" s="2153"/>
      <c r="F92" s="2159">
        <f>+'STER Canalyst'!R592*1000</f>
        <v>50299</v>
      </c>
      <c r="G92" s="2166"/>
      <c r="H92" s="2166"/>
      <c r="I92" s="2166"/>
      <c r="J92" s="2159">
        <f>+'STER Canalyst'!V592*1000</f>
        <v>66633</v>
      </c>
      <c r="K92" s="2166"/>
      <c r="L92" s="2166">
        <f>+'STER Canalyst'!X592*1000</f>
        <v>94291</v>
      </c>
      <c r="M92" s="2166">
        <f>+'STER Canalyst'!Y592*1000</f>
        <v>192397</v>
      </c>
      <c r="N92" s="2159">
        <f>+'STER Canalyst'!Z592*1000</f>
        <v>47998</v>
      </c>
      <c r="O92" s="2166">
        <f>+'STER Canalyst'!AA592*1000</f>
        <v>44347</v>
      </c>
      <c r="P92" s="2166">
        <f>+'STER Canalyst'!AB592*1000</f>
        <v>65811</v>
      </c>
      <c r="Q92" s="2166">
        <f>+'STER Canalyst'!AC592*1000</f>
        <v>99190</v>
      </c>
      <c r="R92" s="2159">
        <f>+'STER Canalyst'!AD592*1000</f>
        <v>103095</v>
      </c>
      <c r="S92" s="2166">
        <f>+'STER Canalyst'!AE592*1000</f>
        <v>50964</v>
      </c>
      <c r="T92" s="2166">
        <f>+'STER Canalyst'!AF592*1000</f>
        <v>48817</v>
      </c>
      <c r="U92" s="2166">
        <f>+'STER Canalyst'!AG592*1000</f>
        <v>49877</v>
      </c>
      <c r="V92" s="2159">
        <f>+'STER Canalyst'!AH592*1000</f>
        <v>54224</v>
      </c>
      <c r="W92" s="2153">
        <f>+'STER Canalyst'!AI592*1000</f>
        <v>66979</v>
      </c>
      <c r="X92" s="2153">
        <f>+'STER Canalyst'!AJ592*1000</f>
        <v>74182</v>
      </c>
      <c r="Y92" s="2153"/>
      <c r="Z92" s="571"/>
      <c r="AA92" s="571"/>
      <c r="AB92" s="571"/>
      <c r="AC92" s="571"/>
      <c r="AD92" s="571"/>
      <c r="AE92" s="571"/>
      <c r="AF92" s="571"/>
      <c r="AG92" s="571"/>
      <c r="AH92" s="571"/>
      <c r="AI92" s="571"/>
      <c r="AJ92" s="571"/>
      <c r="AK92" s="571"/>
      <c r="AL92" s="571"/>
      <c r="AM92" s="2153"/>
      <c r="AN92" s="2153"/>
      <c r="AO92" s="2153"/>
      <c r="AP92" s="2153"/>
      <c r="AQ92" s="2153">
        <f>+'STER Canalyst'!BB592*1000</f>
        <v>50299</v>
      </c>
      <c r="AR92" s="2153">
        <f>+'STER Canalyst'!BC592*1000</f>
        <v>66633</v>
      </c>
      <c r="AS92" s="2153">
        <f>+'STER Canalyst'!BD592*1000</f>
        <v>47998</v>
      </c>
      <c r="AT92" s="2153">
        <f>+'STER Canalyst'!BE592*1000</f>
        <v>103095</v>
      </c>
      <c r="AU92" s="2153">
        <v>54224</v>
      </c>
    </row>
    <row r="93" spans="1:47" x14ac:dyDescent="0.25">
      <c r="A93" s="649" t="s">
        <v>816</v>
      </c>
      <c r="C93" s="2153"/>
      <c r="D93" s="2153"/>
      <c r="E93" s="2153"/>
      <c r="F93" s="2159">
        <f>+'STER Canalyst'!R593*1000</f>
        <v>80553</v>
      </c>
      <c r="G93" s="2166"/>
      <c r="H93" s="2166"/>
      <c r="I93" s="2166"/>
      <c r="J93" s="2159">
        <f>+'STER Canalyst'!V593*1000</f>
        <v>80381</v>
      </c>
      <c r="K93" s="2166"/>
      <c r="L93" s="2166">
        <f>+'STER Canalyst'!X593*1000</f>
        <v>104838</v>
      </c>
      <c r="M93" s="2166">
        <f>+'STER Canalyst'!Y593*1000</f>
        <v>119812</v>
      </c>
      <c r="N93" s="2159">
        <f>+'STER Canalyst'!Z593*1000</f>
        <v>127927</v>
      </c>
      <c r="O93" s="2166">
        <f>+'STER Canalyst'!AA593*1000</f>
        <v>147949</v>
      </c>
      <c r="P93" s="2166">
        <f>+'STER Canalyst'!AB593*1000</f>
        <v>164179</v>
      </c>
      <c r="Q93" s="2166">
        <f>+'STER Canalyst'!AC593*1000</f>
        <v>159550</v>
      </c>
      <c r="R93" s="2159">
        <f>+'STER Canalyst'!AD593*1000</f>
        <v>139579</v>
      </c>
      <c r="S93" s="2166">
        <f>+'STER Canalyst'!AE593*1000</f>
        <v>147123</v>
      </c>
      <c r="T93" s="2166">
        <f>+'STER Canalyst'!AF593*1000</f>
        <v>151274</v>
      </c>
      <c r="U93" s="2166">
        <f>+'STER Canalyst'!AG593*1000</f>
        <v>151935</v>
      </c>
      <c r="V93" s="2159">
        <f>+'STER Canalyst'!AH593*1000</f>
        <v>142179</v>
      </c>
      <c r="W93" s="2153">
        <f>+'STER Canalyst'!AI593*1000</f>
        <v>157392</v>
      </c>
      <c r="X93" s="2153">
        <f>+'STER Canalyst'!AJ593*1000</f>
        <v>172050</v>
      </c>
      <c r="Y93" s="2153"/>
      <c r="Z93" s="571"/>
      <c r="AA93" s="571"/>
      <c r="AB93" s="571"/>
      <c r="AC93" s="571"/>
      <c r="AD93" s="571"/>
      <c r="AE93" s="571"/>
      <c r="AF93" s="571"/>
      <c r="AG93" s="571"/>
      <c r="AH93" s="571"/>
      <c r="AI93" s="571"/>
      <c r="AJ93" s="571"/>
      <c r="AK93" s="571"/>
      <c r="AL93" s="571"/>
      <c r="AM93" s="2153"/>
      <c r="AN93" s="2153"/>
      <c r="AO93" s="2153"/>
      <c r="AP93" s="2153"/>
      <c r="AQ93" s="2153">
        <f>+'STER Canalyst'!BB593*1000</f>
        <v>80553</v>
      </c>
      <c r="AR93" s="2153">
        <f>+'STER Canalyst'!BC593*1000</f>
        <v>80381</v>
      </c>
      <c r="AS93" s="2153">
        <f>+'STER Canalyst'!BD593*1000</f>
        <v>127927</v>
      </c>
      <c r="AT93" s="2153">
        <f>+'STER Canalyst'!BE593*1000</f>
        <v>139579</v>
      </c>
      <c r="AU93" s="2153">
        <v>142179</v>
      </c>
    </row>
    <row r="94" spans="1:47" x14ac:dyDescent="0.25">
      <c r="A94" s="649" t="s">
        <v>817</v>
      </c>
      <c r="C94" s="2153"/>
      <c r="D94" s="2153"/>
      <c r="E94" s="2153"/>
      <c r="F94" s="2159">
        <f>+'STER Canalyst'!R594*1000</f>
        <v>15000</v>
      </c>
      <c r="G94" s="2166"/>
      <c r="H94" s="2166"/>
      <c r="I94" s="2166"/>
      <c r="J94" s="2159">
        <f>+'STER Canalyst'!V594*1000</f>
        <v>750</v>
      </c>
      <c r="K94" s="2166"/>
      <c r="L94" s="2166">
        <f>+'STER Canalyst'!X594*1000</f>
        <v>0</v>
      </c>
      <c r="M94" s="2166">
        <f>+'STER Canalyst'!Y594*1000</f>
        <v>0</v>
      </c>
      <c r="N94" s="2159">
        <f>+'STER Canalyst'!Z594*1000</f>
        <v>0</v>
      </c>
      <c r="O94" s="2166">
        <f>+'STER Canalyst'!AA594*1000</f>
        <v>0</v>
      </c>
      <c r="P94" s="2166">
        <f>+'STER Canalyst'!AB594*1000</f>
        <v>0</v>
      </c>
      <c r="Q94" s="2166">
        <f>+'STER Canalyst'!AC594*1000</f>
        <v>0</v>
      </c>
      <c r="R94" s="2159">
        <f>+'STER Canalyst'!AD594*1000</f>
        <v>921</v>
      </c>
      <c r="S94" s="2166">
        <f>+'STER Canalyst'!AE594*1000</f>
        <v>922</v>
      </c>
      <c r="T94" s="2166">
        <f>+'STER Canalyst'!AF594*1000</f>
        <v>3421</v>
      </c>
      <c r="U94" s="2166">
        <f>+'STER Canalyst'!AG594*1000</f>
        <v>4689</v>
      </c>
      <c r="V94" s="2159">
        <f>+'STER Canalyst'!AH594*1000</f>
        <v>2937</v>
      </c>
      <c r="W94" s="2153">
        <f>+'STER Canalyst'!AI594*1000</f>
        <v>2895</v>
      </c>
      <c r="X94" s="2153">
        <f>+'STER Canalyst'!AJ594*1000</f>
        <v>2895</v>
      </c>
      <c r="Y94" s="2153"/>
      <c r="Z94" s="571"/>
      <c r="AA94" s="571"/>
      <c r="AB94" s="571"/>
      <c r="AC94" s="571"/>
      <c r="AD94" s="571"/>
      <c r="AE94" s="571"/>
      <c r="AF94" s="571"/>
      <c r="AG94" s="571"/>
      <c r="AH94" s="571"/>
      <c r="AI94" s="571"/>
      <c r="AJ94" s="571"/>
      <c r="AK94" s="571"/>
      <c r="AL94" s="571"/>
      <c r="AM94" s="2153"/>
      <c r="AN94" s="2153"/>
      <c r="AO94" s="2153"/>
      <c r="AP94" s="2153"/>
      <c r="AQ94" s="2153">
        <f>+'STER Canalyst'!BB594*1000</f>
        <v>15000</v>
      </c>
      <c r="AR94" s="2153">
        <f>+'STER Canalyst'!BC594*1000</f>
        <v>750</v>
      </c>
      <c r="AS94" s="2153">
        <f>+'STER Canalyst'!BD594*1000</f>
        <v>0</v>
      </c>
      <c r="AT94" s="2153">
        <f>+'STER Canalyst'!BE594*1000</f>
        <v>921</v>
      </c>
      <c r="AU94" s="2153">
        <v>2937</v>
      </c>
    </row>
    <row r="95" spans="1:47" x14ac:dyDescent="0.25">
      <c r="A95" s="649" t="s">
        <v>818</v>
      </c>
      <c r="C95" s="2153"/>
      <c r="D95" s="2153"/>
      <c r="E95" s="2153"/>
      <c r="F95" s="2159">
        <f>+'STER Canalyst'!R595*1000</f>
        <v>5909</v>
      </c>
      <c r="G95" s="2166"/>
      <c r="H95" s="2166"/>
      <c r="I95" s="2166"/>
      <c r="J95" s="2159">
        <f>+'STER Canalyst'!V595*1000</f>
        <v>7273</v>
      </c>
      <c r="K95" s="2166"/>
      <c r="L95" s="2166">
        <f>+'STER Canalyst'!X595*1000</f>
        <v>9692</v>
      </c>
      <c r="M95" s="2166">
        <f>+'STER Canalyst'!Y595*1000</f>
        <v>8658</v>
      </c>
      <c r="N95" s="2159">
        <f>+'STER Canalyst'!Z595*1000</f>
        <v>12510</v>
      </c>
      <c r="O95" s="2166">
        <f>+'STER Canalyst'!AA595*1000</f>
        <v>13366</v>
      </c>
      <c r="P95" s="2166">
        <f>+'STER Canalyst'!AB595*1000</f>
        <v>13080</v>
      </c>
      <c r="Q95" s="2166">
        <f>+'STER Canalyst'!AC595*1000</f>
        <v>8702</v>
      </c>
      <c r="R95" s="2159">
        <f>+'STER Canalyst'!AD595*1000</f>
        <v>13433</v>
      </c>
      <c r="S95" s="2166">
        <f>+'STER Canalyst'!AE595*1000</f>
        <v>11201</v>
      </c>
      <c r="T95" s="2166">
        <f>+'STER Canalyst'!AF595*1000</f>
        <v>11795</v>
      </c>
      <c r="U95" s="2166">
        <f>+'STER Canalyst'!AG595*1000</f>
        <v>8595</v>
      </c>
      <c r="V95" s="2159">
        <f>+'STER Canalyst'!AH595*1000</f>
        <v>9651</v>
      </c>
      <c r="W95" s="2153">
        <f>+'STER Canalyst'!AI595*1000</f>
        <v>11382</v>
      </c>
      <c r="X95" s="2153">
        <f>+'STER Canalyst'!AJ595*1000</f>
        <v>8678</v>
      </c>
      <c r="Y95" s="2153"/>
      <c r="Z95" s="571"/>
      <c r="AA95" s="571"/>
      <c r="AB95" s="571"/>
      <c r="AC95" s="571"/>
      <c r="AD95" s="571"/>
      <c r="AE95" s="571"/>
      <c r="AF95" s="571"/>
      <c r="AG95" s="571"/>
      <c r="AH95" s="571"/>
      <c r="AI95" s="571"/>
      <c r="AJ95" s="571"/>
      <c r="AK95" s="571"/>
      <c r="AL95" s="571"/>
      <c r="AM95" s="2153"/>
      <c r="AN95" s="2153"/>
      <c r="AO95" s="2153"/>
      <c r="AP95" s="2153"/>
      <c r="AQ95" s="2153">
        <f>+'STER Canalyst'!BB595*1000</f>
        <v>5909</v>
      </c>
      <c r="AR95" s="2153">
        <f>+'STER Canalyst'!BC595*1000</f>
        <v>7273</v>
      </c>
      <c r="AS95" s="2153">
        <f>+'STER Canalyst'!BD595*1000</f>
        <v>12510</v>
      </c>
      <c r="AT95" s="2153">
        <f>+'STER Canalyst'!BE595*1000</f>
        <v>13433</v>
      </c>
      <c r="AU95" s="2153">
        <v>9651</v>
      </c>
    </row>
    <row r="96" spans="1:47" x14ac:dyDescent="0.25">
      <c r="A96" s="649" t="s">
        <v>819</v>
      </c>
      <c r="C96" s="2153"/>
      <c r="D96" s="2153"/>
      <c r="E96" s="2153"/>
      <c r="F96" s="2159">
        <f>+'STER Canalyst'!R596*1000</f>
        <v>0</v>
      </c>
      <c r="G96" s="2166"/>
      <c r="H96" s="2166"/>
      <c r="I96" s="2166"/>
      <c r="J96" s="2159">
        <f>+'STER Canalyst'!V596*1000</f>
        <v>0</v>
      </c>
      <c r="K96" s="2166"/>
      <c r="L96" s="2166">
        <f>+'STER Canalyst'!X596*1000</f>
        <v>0</v>
      </c>
      <c r="M96" s="2166">
        <f>+'STER Canalyst'!Y596*1000</f>
        <v>0</v>
      </c>
      <c r="N96" s="2159">
        <f>+'STER Canalyst'!Z596*1000</f>
        <v>0</v>
      </c>
      <c r="O96" s="2166">
        <f>+'STER Canalyst'!AA596*1000</f>
        <v>3435</v>
      </c>
      <c r="P96" s="2166">
        <f>+'STER Canalyst'!AB596*1000</f>
        <v>3282</v>
      </c>
      <c r="Q96" s="2166">
        <f>+'STER Canalyst'!AC596*1000</f>
        <v>3333</v>
      </c>
      <c r="R96" s="2159">
        <f>+'STER Canalyst'!AD596*1000</f>
        <v>0</v>
      </c>
      <c r="S96" s="2166">
        <f>+'STER Canalyst'!AE596*1000</f>
        <v>0</v>
      </c>
      <c r="T96" s="2166">
        <f>+'STER Canalyst'!AF596*1000</f>
        <v>0</v>
      </c>
      <c r="U96" s="2166">
        <f>+'STER Canalyst'!AG596*1000</f>
        <v>0</v>
      </c>
      <c r="V96" s="2159">
        <f>+'STER Canalyst'!AH596*1000</f>
        <v>0</v>
      </c>
      <c r="W96" s="2153">
        <f>+'STER Canalyst'!AI596*1000</f>
        <v>0</v>
      </c>
      <c r="X96" s="2153">
        <f>+'STER Canalyst'!AJ596*1000</f>
        <v>0</v>
      </c>
      <c r="Y96" s="2153"/>
      <c r="Z96" s="571"/>
      <c r="AA96" s="571"/>
      <c r="AB96" s="571"/>
      <c r="AC96" s="571"/>
      <c r="AD96" s="571"/>
      <c r="AE96" s="571"/>
      <c r="AF96" s="571"/>
      <c r="AG96" s="571"/>
      <c r="AH96" s="571"/>
      <c r="AI96" s="571"/>
      <c r="AJ96" s="571"/>
      <c r="AK96" s="571"/>
      <c r="AL96" s="571"/>
      <c r="AM96" s="2153"/>
      <c r="AN96" s="2153"/>
      <c r="AO96" s="2153"/>
      <c r="AP96" s="2153"/>
      <c r="AQ96" s="2153">
        <f>+'STER Canalyst'!BB596*1000</f>
        <v>0</v>
      </c>
      <c r="AR96" s="2153">
        <f>+'STER Canalyst'!BC596*1000</f>
        <v>0</v>
      </c>
      <c r="AS96" s="2153">
        <f>+'STER Canalyst'!BD596*1000</f>
        <v>0</v>
      </c>
      <c r="AT96" s="2153">
        <f>+'STER Canalyst'!BE596*1000</f>
        <v>0</v>
      </c>
      <c r="AU96" s="2153"/>
    </row>
    <row r="97" spans="1:49" s="413" customFormat="1" ht="14" x14ac:dyDescent="0.4">
      <c r="A97" s="132" t="s">
        <v>156</v>
      </c>
      <c r="C97" s="719"/>
      <c r="D97" s="719"/>
      <c r="E97" s="719"/>
      <c r="F97" s="718">
        <f>+'STER Canalyst'!R597*1000</f>
        <v>11366</v>
      </c>
      <c r="G97" s="719"/>
      <c r="H97" s="719"/>
      <c r="I97" s="719"/>
      <c r="J97" s="718">
        <f>+'STER Canalyst'!V597*1000</f>
        <v>7845</v>
      </c>
      <c r="K97" s="719"/>
      <c r="L97" s="719">
        <f>+'STER Canalyst'!X597*1000</f>
        <v>9451</v>
      </c>
      <c r="M97" s="719">
        <f>+'STER Canalyst'!Y597*1000</f>
        <v>6701</v>
      </c>
      <c r="N97" s="718">
        <f>+'STER Canalyst'!Z597*1000</f>
        <v>11563</v>
      </c>
      <c r="O97" s="719">
        <f>+'STER Canalyst'!AA597*1000</f>
        <v>12654</v>
      </c>
      <c r="P97" s="719">
        <f>+'STER Canalyst'!AB597*1000</f>
        <v>12173</v>
      </c>
      <c r="Q97" s="719">
        <f>+'STER Canalyst'!AC597*1000</f>
        <v>11235</v>
      </c>
      <c r="R97" s="718">
        <f>+'STER Canalyst'!AD597*1000</f>
        <v>13654</v>
      </c>
      <c r="S97" s="719">
        <f>+'STER Canalyst'!AE597*1000</f>
        <v>16563</v>
      </c>
      <c r="T97" s="719">
        <f>+'STER Canalyst'!AF597*1000</f>
        <v>24847</v>
      </c>
      <c r="U97" s="719">
        <f>+'STER Canalyst'!AG597*1000</f>
        <v>23770</v>
      </c>
      <c r="V97" s="718">
        <f>+'STER Canalyst'!AH597*1000</f>
        <v>15800</v>
      </c>
      <c r="W97" s="719">
        <f>+'STER Canalyst'!AI597*1000</f>
        <v>17276</v>
      </c>
      <c r="X97" s="719">
        <f>+'STER Canalyst'!AJ597*1000</f>
        <v>21472</v>
      </c>
      <c r="Y97" s="719"/>
      <c r="Z97" s="719"/>
      <c r="AA97" s="719"/>
      <c r="AB97" s="719"/>
      <c r="AC97" s="719"/>
      <c r="AD97" s="719"/>
      <c r="AE97" s="719"/>
      <c r="AF97" s="719"/>
      <c r="AG97" s="719"/>
      <c r="AH97" s="719"/>
      <c r="AI97" s="719"/>
      <c r="AJ97" s="719"/>
      <c r="AK97" s="719"/>
      <c r="AL97" s="719"/>
      <c r="AM97" s="719"/>
      <c r="AN97" s="719"/>
      <c r="AO97" s="719"/>
      <c r="AP97" s="719"/>
      <c r="AQ97" s="719">
        <f>+'STER Canalyst'!BB597*1000</f>
        <v>11366</v>
      </c>
      <c r="AR97" s="719">
        <f>+'STER Canalyst'!BC597*1000</f>
        <v>7845</v>
      </c>
      <c r="AS97" s="719">
        <f>+'STER Canalyst'!BD597*1000</f>
        <v>11563</v>
      </c>
      <c r="AT97" s="719">
        <f>+'STER Canalyst'!BE597*1000</f>
        <v>13654</v>
      </c>
      <c r="AU97" s="719">
        <v>15800</v>
      </c>
      <c r="AV97" s="719"/>
      <c r="AW97" s="614"/>
    </row>
    <row r="98" spans="1:49" x14ac:dyDescent="0.25">
      <c r="A98" s="425" t="s">
        <v>472</v>
      </c>
      <c r="C98" s="583"/>
      <c r="D98" s="583"/>
      <c r="E98" s="583"/>
      <c r="F98" s="588">
        <f t="shared" ref="F98" si="161">+SUM(F92:F97)</f>
        <v>163127</v>
      </c>
      <c r="G98" s="583"/>
      <c r="H98" s="583"/>
      <c r="I98" s="583"/>
      <c r="J98" s="588">
        <f t="shared" ref="J98" si="162">+SUM(J92:J97)</f>
        <v>162882</v>
      </c>
      <c r="K98" s="583"/>
      <c r="L98" s="583">
        <f t="shared" ref="L98" si="163">+SUM(L92:L97)</f>
        <v>218272</v>
      </c>
      <c r="M98" s="583">
        <f t="shared" ref="M98" si="164">+SUM(M92:M97)</f>
        <v>327568</v>
      </c>
      <c r="N98" s="588">
        <f t="shared" ref="N98" si="165">+SUM(N92:N97)</f>
        <v>199998</v>
      </c>
      <c r="O98" s="583">
        <f t="shared" ref="O98" si="166">+SUM(O92:O97)</f>
        <v>221751</v>
      </c>
      <c r="P98" s="583">
        <f t="shared" ref="P98" si="167">+SUM(P92:P97)</f>
        <v>258525</v>
      </c>
      <c r="Q98" s="583">
        <f t="shared" ref="Q98" si="168">+SUM(Q92:Q97)</f>
        <v>282010</v>
      </c>
      <c r="R98" s="588">
        <f t="shared" ref="R98" si="169">+SUM(R92:R97)</f>
        <v>270682</v>
      </c>
      <c r="S98" s="583">
        <f t="shared" ref="S98" si="170">+SUM(S92:S97)</f>
        <v>226773</v>
      </c>
      <c r="T98" s="583">
        <f t="shared" ref="T98" si="171">+SUM(T92:T97)</f>
        <v>240154</v>
      </c>
      <c r="U98" s="583">
        <f t="shared" ref="U98" si="172">+SUM(U92:U97)</f>
        <v>238866</v>
      </c>
      <c r="V98" s="588">
        <f t="shared" ref="V98" si="173">+SUM(V92:V97)</f>
        <v>224791</v>
      </c>
      <c r="W98" s="583">
        <f t="shared" ref="W98" si="174">+SUM(W92:W97)</f>
        <v>255924</v>
      </c>
      <c r="X98" s="583">
        <f t="shared" ref="X98" si="175">+SUM(X92:X97)</f>
        <v>279277</v>
      </c>
      <c r="Y98" s="583"/>
      <c r="Z98" s="583"/>
      <c r="AA98" s="583"/>
      <c r="AB98" s="583"/>
      <c r="AC98" s="583"/>
      <c r="AD98" s="583"/>
      <c r="AE98" s="583"/>
      <c r="AF98" s="583"/>
      <c r="AG98" s="583"/>
      <c r="AH98" s="583"/>
      <c r="AI98" s="583"/>
      <c r="AJ98" s="583"/>
      <c r="AK98" s="583"/>
      <c r="AL98" s="583"/>
      <c r="AM98" s="583"/>
      <c r="AN98" s="583"/>
      <c r="AO98" s="583"/>
      <c r="AP98" s="583"/>
      <c r="AQ98" s="583">
        <f t="shared" ref="AQ98:AS98" si="176">+SUM(AQ92:AQ97)</f>
        <v>163127</v>
      </c>
      <c r="AR98" s="583">
        <f t="shared" si="176"/>
        <v>162882</v>
      </c>
      <c r="AS98" s="583">
        <f t="shared" si="176"/>
        <v>199998</v>
      </c>
      <c r="AT98" s="583">
        <f>+SUM(AT92:AT97)</f>
        <v>270682</v>
      </c>
      <c r="AU98" s="583">
        <v>224791</v>
      </c>
      <c r="AV98" s="583"/>
      <c r="AW98" s="571"/>
    </row>
    <row r="99" spans="1:49" x14ac:dyDescent="0.25">
      <c r="A99" s="649" t="s">
        <v>473</v>
      </c>
      <c r="C99" s="2153"/>
      <c r="D99" s="2153"/>
      <c r="E99" s="2153"/>
      <c r="F99" s="2159">
        <f>+'STER Canalyst'!R601*1000</f>
        <v>20281</v>
      </c>
      <c r="G99" s="2166"/>
      <c r="H99" s="2166"/>
      <c r="I99" s="2166"/>
      <c r="J99" s="2159">
        <f>+'STER Canalyst'!V601*1000</f>
        <v>14130</v>
      </c>
      <c r="K99" s="2166"/>
      <c r="L99" s="2166">
        <f>+'STER Canalyst'!X601*1000</f>
        <v>10221</v>
      </c>
      <c r="M99" s="2166">
        <f>+'STER Canalyst'!Y601*1000</f>
        <v>10414</v>
      </c>
      <c r="N99" s="2159">
        <f>+'STER Canalyst'!Z601*1000</f>
        <v>11124</v>
      </c>
      <c r="O99" s="2166">
        <f>+'STER Canalyst'!AA601*1000</f>
        <v>11552</v>
      </c>
      <c r="P99" s="2166">
        <f>+'STER Canalyst'!AB601*1000</f>
        <v>11647</v>
      </c>
      <c r="Q99" s="2166">
        <f>+'STER Canalyst'!AC601*1000</f>
        <v>10973</v>
      </c>
      <c r="R99" s="2159">
        <f>+'STER Canalyst'!AD601*1000</f>
        <v>10341</v>
      </c>
      <c r="S99" s="2166">
        <f>+'STER Canalyst'!AE601*1000</f>
        <v>9600</v>
      </c>
      <c r="T99" s="2166">
        <f>+'STER Canalyst'!AF601*1000</f>
        <v>7354</v>
      </c>
      <c r="U99" s="2166">
        <f>+'STER Canalyst'!AG601*1000</f>
        <v>7330</v>
      </c>
      <c r="V99" s="2159">
        <f>+'STER Canalyst'!AH601*1000</f>
        <v>7695</v>
      </c>
      <c r="W99" s="2153">
        <f>+'STER Canalyst'!AI601*1000</f>
        <v>7329</v>
      </c>
      <c r="X99" s="2153">
        <f>+'STER Canalyst'!AJ601*1000</f>
        <v>6772</v>
      </c>
      <c r="Y99" s="2153"/>
      <c r="Z99" s="571"/>
      <c r="AA99" s="571"/>
      <c r="AB99" s="571"/>
      <c r="AC99" s="571"/>
      <c r="AD99" s="571"/>
      <c r="AE99" s="571"/>
      <c r="AF99" s="571"/>
      <c r="AG99" s="571"/>
      <c r="AH99" s="571"/>
      <c r="AI99" s="571"/>
      <c r="AJ99" s="571"/>
      <c r="AK99" s="571"/>
      <c r="AL99" s="571"/>
      <c r="AM99" s="2153"/>
      <c r="AN99" s="2153"/>
      <c r="AO99" s="2153"/>
      <c r="AP99" s="2153"/>
      <c r="AQ99" s="2153">
        <f>+'STER Canalyst'!BB601*1000</f>
        <v>20281</v>
      </c>
      <c r="AR99" s="2153">
        <f>+'STER Canalyst'!BC601*1000</f>
        <v>14130</v>
      </c>
      <c r="AS99" s="2153">
        <f>+'STER Canalyst'!BD601*1000</f>
        <v>11124</v>
      </c>
      <c r="AT99" s="2153">
        <f>+'STER Canalyst'!BE601*1000</f>
        <v>10341</v>
      </c>
      <c r="AU99" s="2153">
        <v>7695</v>
      </c>
    </row>
    <row r="100" spans="1:49" x14ac:dyDescent="0.25">
      <c r="A100" s="649" t="s">
        <v>158</v>
      </c>
      <c r="C100" s="2153"/>
      <c r="D100" s="2153"/>
      <c r="E100" s="2153"/>
      <c r="F100" s="2159">
        <f>+'STER Canalyst'!R602*1000</f>
        <v>830252</v>
      </c>
      <c r="G100" s="2166"/>
      <c r="H100" s="2166"/>
      <c r="I100" s="2166"/>
      <c r="J100" s="2159">
        <f>+'STER Canalyst'!V602*1000</f>
        <v>831800</v>
      </c>
      <c r="K100" s="2166"/>
      <c r="L100" s="2166">
        <f>+'STER Canalyst'!X602*1000</f>
        <v>831344</v>
      </c>
      <c r="M100" s="2166">
        <f>+'STER Canalyst'!Y602*1000</f>
        <v>830679</v>
      </c>
      <c r="N100" s="2159">
        <f>+'STER Canalyst'!Z602*1000</f>
        <v>852536</v>
      </c>
      <c r="O100" s="2166">
        <f>+'STER Canalyst'!AA602*1000</f>
        <v>851646</v>
      </c>
      <c r="P100" s="2166">
        <f>+'STER Canalyst'!AB602*1000</f>
        <v>850309</v>
      </c>
      <c r="Q100" s="2166">
        <f>+'STER Canalyst'!AC602*1000</f>
        <v>849423</v>
      </c>
      <c r="R100" s="2159">
        <f>+'STER Canalyst'!AD602*1000</f>
        <v>849609</v>
      </c>
      <c r="S100" s="2166">
        <f>+'STER Canalyst'!AE602*1000</f>
        <v>877212</v>
      </c>
      <c r="T100" s="2166">
        <f>+'STER Canalyst'!AF602*1000</f>
        <v>878696</v>
      </c>
      <c r="U100" s="2166">
        <f>+'STER Canalyst'!AG602*1000</f>
        <v>878390</v>
      </c>
      <c r="V100" s="2159">
        <f>+'STER Canalyst'!AH602*1000</f>
        <v>879408</v>
      </c>
      <c r="W100" s="2153">
        <f>+'STER Canalyst'!AI602*1000</f>
        <v>902862</v>
      </c>
      <c r="X100" s="2153">
        <f>+'STER Canalyst'!AJ602*1000</f>
        <v>902564</v>
      </c>
      <c r="Y100" s="2153"/>
      <c r="Z100" s="571"/>
      <c r="AA100" s="571"/>
      <c r="AB100" s="571"/>
      <c r="AC100" s="571"/>
      <c r="AD100" s="571"/>
      <c r="AE100" s="571"/>
      <c r="AF100" s="571"/>
      <c r="AG100" s="571"/>
      <c r="AH100" s="571"/>
      <c r="AI100" s="571"/>
      <c r="AJ100" s="571"/>
      <c r="AK100" s="571"/>
      <c r="AL100" s="571"/>
      <c r="AM100" s="2153"/>
      <c r="AN100" s="2153"/>
      <c r="AO100" s="2153"/>
      <c r="AP100" s="2153"/>
      <c r="AQ100" s="2153">
        <f>+'STER Canalyst'!BB602*1000</f>
        <v>830252</v>
      </c>
      <c r="AR100" s="2153">
        <f>+'STER Canalyst'!BC602*1000</f>
        <v>831800</v>
      </c>
      <c r="AS100" s="2153">
        <f>+'STER Canalyst'!BD602*1000</f>
        <v>852536</v>
      </c>
      <c r="AT100" s="2153">
        <f>+'STER Canalyst'!BE602*1000</f>
        <v>849609</v>
      </c>
      <c r="AU100" s="2153">
        <v>879408</v>
      </c>
    </row>
    <row r="101" spans="1:49" x14ac:dyDescent="0.25">
      <c r="A101" s="649" t="s">
        <v>820</v>
      </c>
      <c r="C101" s="2153"/>
      <c r="D101" s="2153"/>
      <c r="E101" s="2153"/>
      <c r="F101" s="2159">
        <f>+'STER Canalyst'!R603*1000</f>
        <v>370164</v>
      </c>
      <c r="G101" s="2166"/>
      <c r="H101" s="2166"/>
      <c r="I101" s="2166"/>
      <c r="J101" s="2159">
        <f>+'STER Canalyst'!V603*1000</f>
        <v>300544</v>
      </c>
      <c r="K101" s="2166"/>
      <c r="L101" s="2166">
        <f>+'STER Canalyst'!X603*1000</f>
        <v>269801</v>
      </c>
      <c r="M101" s="2166">
        <f>+'STER Canalyst'!Y603*1000</f>
        <v>254101</v>
      </c>
      <c r="N101" s="2159">
        <f>+'STER Canalyst'!Z603*1000</f>
        <v>297146</v>
      </c>
      <c r="O101" s="2166">
        <f>+'STER Canalyst'!AA603*1000</f>
        <v>282053</v>
      </c>
      <c r="P101" s="2166">
        <f>+'STER Canalyst'!AB603*1000</f>
        <v>266497</v>
      </c>
      <c r="Q101" s="2166">
        <f>+'STER Canalyst'!AC603*1000</f>
        <v>254610</v>
      </c>
      <c r="R101" s="2159">
        <f>+'STER Canalyst'!AD603*1000</f>
        <v>241036</v>
      </c>
      <c r="S101" s="2166">
        <f>+'STER Canalyst'!AE603*1000</f>
        <v>263109</v>
      </c>
      <c r="T101" s="2166">
        <f>+'STER Canalyst'!AF603*1000</f>
        <v>251031</v>
      </c>
      <c r="U101" s="2166">
        <f>+'STER Canalyst'!AG603*1000</f>
        <v>240482</v>
      </c>
      <c r="V101" s="2159">
        <f>+'STER Canalyst'!AH603*1000</f>
        <v>230212</v>
      </c>
      <c r="W101" s="2153">
        <f>+'STER Canalyst'!AI603*1000</f>
        <v>264558</v>
      </c>
      <c r="X101" s="2153">
        <f>+'STER Canalyst'!AJ603*1000</f>
        <v>255049</v>
      </c>
      <c r="Y101" s="2153"/>
      <c r="Z101" s="571"/>
      <c r="AA101" s="571"/>
      <c r="AB101" s="571"/>
      <c r="AC101" s="571"/>
      <c r="AD101" s="571"/>
      <c r="AE101" s="571"/>
      <c r="AF101" s="571"/>
      <c r="AG101" s="571"/>
      <c r="AH101" s="571"/>
      <c r="AI101" s="571"/>
      <c r="AJ101" s="571"/>
      <c r="AK101" s="571"/>
      <c r="AL101" s="571"/>
      <c r="AM101" s="2153"/>
      <c r="AN101" s="2153"/>
      <c r="AO101" s="2153"/>
      <c r="AP101" s="2153"/>
      <c r="AQ101" s="2153">
        <f>+'STER Canalyst'!BB603*1000</f>
        <v>370164</v>
      </c>
      <c r="AR101" s="2153">
        <f>+'STER Canalyst'!BC603*1000</f>
        <v>300544</v>
      </c>
      <c r="AS101" s="2153">
        <f>+'STER Canalyst'!BD603*1000</f>
        <v>297146</v>
      </c>
      <c r="AT101" s="2153">
        <f>+'STER Canalyst'!BE603*1000</f>
        <v>241036</v>
      </c>
      <c r="AU101" s="2153">
        <v>230212</v>
      </c>
    </row>
    <row r="102" spans="1:49" x14ac:dyDescent="0.25">
      <c r="A102" s="649" t="s">
        <v>821</v>
      </c>
      <c r="C102" s="2153"/>
      <c r="D102" s="2153"/>
      <c r="E102" s="2153"/>
      <c r="F102" s="2159">
        <f>+'STER Canalyst'!R604*1000</f>
        <v>0</v>
      </c>
      <c r="G102" s="2166"/>
      <c r="H102" s="2166"/>
      <c r="I102" s="2166"/>
      <c r="J102" s="2159">
        <f>+'STER Canalyst'!V604*1000</f>
        <v>0</v>
      </c>
      <c r="K102" s="2166"/>
      <c r="L102" s="2166">
        <f>+'STER Canalyst'!X604*1000</f>
        <v>0</v>
      </c>
      <c r="M102" s="2166">
        <f>+'STER Canalyst'!Y604*1000</f>
        <v>0</v>
      </c>
      <c r="N102" s="2159">
        <f>+'STER Canalyst'!Z604*1000</f>
        <v>4770</v>
      </c>
      <c r="O102" s="2166">
        <f>+'STER Canalyst'!AA604*1000</f>
        <v>4863</v>
      </c>
      <c r="P102" s="2166">
        <f>+'STER Canalyst'!AB604*1000</f>
        <v>4495</v>
      </c>
      <c r="Q102" s="2166">
        <f>+'STER Canalyst'!AC604*1000</f>
        <v>4117</v>
      </c>
      <c r="R102" s="2159">
        <f>+'STER Canalyst'!AD604*1000</f>
        <v>4452</v>
      </c>
      <c r="S102" s="2166">
        <f>+'STER Canalyst'!AE604*1000</f>
        <v>4518</v>
      </c>
      <c r="T102" s="2166">
        <f>+'STER Canalyst'!AF604*1000</f>
        <v>4642</v>
      </c>
      <c r="U102" s="2166">
        <f>+'STER Canalyst'!AG604*1000</f>
        <v>4328</v>
      </c>
      <c r="V102" s="2159">
        <f>+'STER Canalyst'!AH604*1000</f>
        <v>4818</v>
      </c>
      <c r="W102" s="2153">
        <f>+'STER Canalyst'!AI604*1000</f>
        <v>4748</v>
      </c>
      <c r="X102" s="2153">
        <f>+'STER Canalyst'!AJ604*1000</f>
        <v>4943</v>
      </c>
      <c r="Y102" s="2153"/>
      <c r="Z102" s="571"/>
      <c r="AA102" s="571"/>
      <c r="AB102" s="571"/>
      <c r="AC102" s="571"/>
      <c r="AD102" s="571"/>
      <c r="AE102" s="571"/>
      <c r="AF102" s="571"/>
      <c r="AG102" s="571"/>
      <c r="AH102" s="571"/>
      <c r="AI102" s="571"/>
      <c r="AJ102" s="571"/>
      <c r="AK102" s="571"/>
      <c r="AL102" s="571"/>
      <c r="AM102" s="2153"/>
      <c r="AN102" s="2153"/>
      <c r="AO102" s="2153"/>
      <c r="AP102" s="2153"/>
      <c r="AQ102" s="2153">
        <f>+'STER Canalyst'!BB604*1000</f>
        <v>0</v>
      </c>
      <c r="AR102" s="2153">
        <f>+'STER Canalyst'!BC604*1000</f>
        <v>0</v>
      </c>
      <c r="AS102" s="2153">
        <f>+'STER Canalyst'!BD604*1000</f>
        <v>4770</v>
      </c>
      <c r="AT102" s="2153">
        <f>+'STER Canalyst'!BE604*1000</f>
        <v>4452</v>
      </c>
      <c r="AU102" s="2153">
        <v>4818</v>
      </c>
    </row>
    <row r="103" spans="1:49" x14ac:dyDescent="0.25">
      <c r="A103" s="649" t="s">
        <v>819</v>
      </c>
      <c r="C103" s="2153"/>
      <c r="D103" s="2153"/>
      <c r="E103" s="2153"/>
      <c r="F103" s="2159">
        <f>+'STER Canalyst'!R605*1000</f>
        <v>0</v>
      </c>
      <c r="G103" s="2166"/>
      <c r="H103" s="2166"/>
      <c r="I103" s="2166"/>
      <c r="J103" s="2159">
        <f>+'STER Canalyst'!V605*1000</f>
        <v>0</v>
      </c>
      <c r="K103" s="2166"/>
      <c r="L103" s="2166">
        <f>+'STER Canalyst'!X605*1000</f>
        <v>0</v>
      </c>
      <c r="M103" s="2166">
        <f>+'STER Canalyst'!Y605*1000</f>
        <v>0</v>
      </c>
      <c r="N103" s="2159">
        <f>+'STER Canalyst'!Z605*1000</f>
        <v>0</v>
      </c>
      <c r="O103" s="2166">
        <f>+'STER Canalyst'!AA605*1000</f>
        <v>16536</v>
      </c>
      <c r="P103" s="2166">
        <f>+'STER Canalyst'!AB605*1000</f>
        <v>15736</v>
      </c>
      <c r="Q103" s="2166">
        <f>+'STER Canalyst'!AC605*1000</f>
        <v>15679</v>
      </c>
      <c r="R103" s="2159">
        <f>+'STER Canalyst'!AD605*1000</f>
        <v>20084</v>
      </c>
      <c r="S103" s="2166">
        <f>+'STER Canalyst'!AE605*1000</f>
        <v>19652</v>
      </c>
      <c r="T103" s="2166">
        <f>+'STER Canalyst'!AF605*1000</f>
        <v>7514</v>
      </c>
      <c r="U103" s="2166">
        <f>+'STER Canalyst'!AG605*1000</f>
        <v>7020</v>
      </c>
      <c r="V103" s="2159">
        <f>+'STER Canalyst'!AH605*1000</f>
        <v>6452</v>
      </c>
      <c r="W103" s="2153">
        <f>+'STER Canalyst'!AI605*1000</f>
        <v>5872</v>
      </c>
      <c r="X103" s="2153">
        <f>+'STER Canalyst'!AJ605*1000</f>
        <v>5386</v>
      </c>
      <c r="Y103" s="2153"/>
      <c r="Z103" s="571"/>
      <c r="AA103" s="571"/>
      <c r="AB103" s="571"/>
      <c r="AC103" s="571"/>
      <c r="AD103" s="571"/>
      <c r="AE103" s="571"/>
      <c r="AF103" s="571"/>
      <c r="AG103" s="571"/>
      <c r="AH103" s="571"/>
      <c r="AI103" s="571"/>
      <c r="AJ103" s="571"/>
      <c r="AK103" s="571"/>
      <c r="AL103" s="571"/>
      <c r="AM103" s="2153"/>
      <c r="AN103" s="2153"/>
      <c r="AO103" s="2153"/>
      <c r="AP103" s="2153"/>
      <c r="AQ103" s="2153">
        <f>+'STER Canalyst'!BB605*1000</f>
        <v>0</v>
      </c>
      <c r="AR103" s="2153">
        <f>+'STER Canalyst'!BC605*1000</f>
        <v>0</v>
      </c>
      <c r="AS103" s="2153">
        <f>+'STER Canalyst'!BD605*1000</f>
        <v>0</v>
      </c>
      <c r="AT103" s="2153">
        <f>+'STER Canalyst'!BE605*1000</f>
        <v>20084</v>
      </c>
      <c r="AU103" s="2153">
        <v>6452</v>
      </c>
    </row>
    <row r="104" spans="1:49" s="413" customFormat="1" ht="14" x14ac:dyDescent="0.4">
      <c r="A104" s="132" t="s">
        <v>822</v>
      </c>
      <c r="C104" s="719"/>
      <c r="D104" s="719"/>
      <c r="E104" s="719"/>
      <c r="F104" s="718">
        <f>+'STER Canalyst'!R606*1000</f>
        <v>6925</v>
      </c>
      <c r="G104" s="719"/>
      <c r="H104" s="719"/>
      <c r="I104" s="719"/>
      <c r="J104" s="718">
        <f>+'STER Canalyst'!V606*1000</f>
        <v>6762</v>
      </c>
      <c r="K104" s="719"/>
      <c r="L104" s="719">
        <f>+'STER Canalyst'!X606*1000</f>
        <v>6734</v>
      </c>
      <c r="M104" s="719">
        <f>+'STER Canalyst'!Y606*1000</f>
        <v>7032</v>
      </c>
      <c r="N104" s="718">
        <f>+'STER Canalyst'!Z606*1000</f>
        <v>6685</v>
      </c>
      <c r="O104" s="719">
        <f>+'STER Canalyst'!AA606*1000</f>
        <v>6850</v>
      </c>
      <c r="P104" s="719">
        <f>+'STER Canalyst'!AB606*1000</f>
        <v>8432</v>
      </c>
      <c r="Q104" s="719">
        <f>+'STER Canalyst'!AC606*1000</f>
        <v>8115</v>
      </c>
      <c r="R104" s="718">
        <f>+'STER Canalyst'!AD606*1000</f>
        <v>11050</v>
      </c>
      <c r="S104" s="719">
        <f>+'STER Canalyst'!AE606*1000</f>
        <v>11518</v>
      </c>
      <c r="T104" s="719">
        <f>+'STER Canalyst'!AF606*1000</f>
        <v>11212</v>
      </c>
      <c r="U104" s="719">
        <f>+'STER Canalyst'!AG606*1000</f>
        <v>10499</v>
      </c>
      <c r="V104" s="718">
        <f>+'STER Canalyst'!AH606*1000</f>
        <v>10067</v>
      </c>
      <c r="W104" s="719">
        <f>+'STER Canalyst'!AI606*1000</f>
        <v>9733</v>
      </c>
      <c r="X104" s="719">
        <f>+'STER Canalyst'!AJ606*1000</f>
        <v>9248</v>
      </c>
      <c r="Y104" s="719"/>
      <c r="Z104" s="719"/>
      <c r="AA104" s="719"/>
      <c r="AB104" s="719"/>
      <c r="AC104" s="719"/>
      <c r="AD104" s="719"/>
      <c r="AE104" s="719"/>
      <c r="AF104" s="719"/>
      <c r="AG104" s="719"/>
      <c r="AH104" s="719"/>
      <c r="AI104" s="719"/>
      <c r="AJ104" s="719"/>
      <c r="AK104" s="719"/>
      <c r="AL104" s="719"/>
      <c r="AM104" s="719"/>
      <c r="AN104" s="719"/>
      <c r="AO104" s="719"/>
      <c r="AP104" s="719"/>
      <c r="AQ104" s="719">
        <f>+'STER Canalyst'!BB606*1000</f>
        <v>6925</v>
      </c>
      <c r="AR104" s="719">
        <f>+'STER Canalyst'!BC606*1000</f>
        <v>6762</v>
      </c>
      <c r="AS104" s="719">
        <f>+'STER Canalyst'!BD606*1000</f>
        <v>6685</v>
      </c>
      <c r="AT104" s="719">
        <f>+'STER Canalyst'!BE606*1000</f>
        <v>11050</v>
      </c>
      <c r="AU104" s="719">
        <v>10067</v>
      </c>
      <c r="AV104" s="719"/>
      <c r="AW104" s="614"/>
    </row>
    <row r="105" spans="1:49" s="163" customFormat="1" ht="13" x14ac:dyDescent="0.3">
      <c r="A105" s="426" t="s">
        <v>823</v>
      </c>
      <c r="C105" s="594"/>
      <c r="D105" s="594"/>
      <c r="E105" s="594"/>
      <c r="F105" s="593">
        <f t="shared" ref="F105" si="177">+SUM(F98:F104)</f>
        <v>1390749</v>
      </c>
      <c r="G105" s="594"/>
      <c r="H105" s="594"/>
      <c r="I105" s="594"/>
      <c r="J105" s="593">
        <f t="shared" ref="J105" si="178">+SUM(J98:J104)</f>
        <v>1316118</v>
      </c>
      <c r="K105" s="594"/>
      <c r="L105" s="594">
        <f t="shared" ref="L105" si="179">+SUM(L98:L104)</f>
        <v>1336372</v>
      </c>
      <c r="M105" s="594">
        <f t="shared" ref="M105" si="180">+SUM(M98:M104)</f>
        <v>1429794</v>
      </c>
      <c r="N105" s="593">
        <f t="shared" ref="N105" si="181">+SUM(N98:N104)</f>
        <v>1372259</v>
      </c>
      <c r="O105" s="594">
        <f t="shared" ref="O105" si="182">+SUM(O98:O104)</f>
        <v>1395251</v>
      </c>
      <c r="P105" s="594">
        <f t="shared" ref="P105" si="183">+SUM(P98:P104)</f>
        <v>1415641</v>
      </c>
      <c r="Q105" s="594">
        <f t="shared" ref="Q105" si="184">+SUM(Q98:Q104)</f>
        <v>1424927</v>
      </c>
      <c r="R105" s="593">
        <f t="shared" ref="R105" si="185">+SUM(R98:R104)</f>
        <v>1407254</v>
      </c>
      <c r="S105" s="594">
        <f t="shared" ref="S105" si="186">+SUM(S98:S104)</f>
        <v>1412382</v>
      </c>
      <c r="T105" s="594">
        <f t="shared" ref="T105" si="187">+SUM(T98:T104)</f>
        <v>1400603</v>
      </c>
      <c r="U105" s="594">
        <f t="shared" ref="U105" si="188">+SUM(U98:U104)</f>
        <v>1386915</v>
      </c>
      <c r="V105" s="593">
        <f t="shared" ref="V105" si="189">+SUM(V98:V104)</f>
        <v>1363443</v>
      </c>
      <c r="W105" s="594">
        <f t="shared" ref="W105" si="190">+SUM(W98:W104)</f>
        <v>1451026</v>
      </c>
      <c r="X105" s="594">
        <f t="shared" ref="X105" si="191">+SUM(X98:X104)</f>
        <v>1463239</v>
      </c>
      <c r="Y105" s="594"/>
      <c r="Z105" s="594"/>
      <c r="AA105" s="594"/>
      <c r="AB105" s="594"/>
      <c r="AC105" s="594"/>
      <c r="AD105" s="594"/>
      <c r="AE105" s="594"/>
      <c r="AF105" s="594"/>
      <c r="AG105" s="594"/>
      <c r="AH105" s="594"/>
      <c r="AI105" s="594"/>
      <c r="AJ105" s="594"/>
      <c r="AK105" s="594"/>
      <c r="AL105" s="594"/>
      <c r="AM105" s="594"/>
      <c r="AN105" s="594"/>
      <c r="AO105" s="594"/>
      <c r="AP105" s="594"/>
      <c r="AQ105" s="594">
        <f t="shared" ref="AQ105:AS105" si="192">+SUM(AQ98:AQ104)</f>
        <v>1390749</v>
      </c>
      <c r="AR105" s="594">
        <f t="shared" si="192"/>
        <v>1316118</v>
      </c>
      <c r="AS105" s="594">
        <f t="shared" si="192"/>
        <v>1372259</v>
      </c>
      <c r="AT105" s="594">
        <f>+SUM(AT98:AT104)</f>
        <v>1407254</v>
      </c>
      <c r="AU105" s="594">
        <v>1363443</v>
      </c>
      <c r="AV105" s="594"/>
      <c r="AW105" s="573"/>
    </row>
    <row r="106" spans="1:49" x14ac:dyDescent="0.25">
      <c r="A106" s="425"/>
      <c r="C106" s="583"/>
      <c r="D106" s="583"/>
      <c r="E106" s="583"/>
      <c r="F106" s="588"/>
      <c r="G106" s="583"/>
      <c r="H106" s="583"/>
      <c r="I106" s="583"/>
      <c r="J106" s="588"/>
      <c r="K106" s="583"/>
      <c r="L106" s="583"/>
      <c r="M106" s="583"/>
      <c r="N106" s="588"/>
      <c r="O106" s="583"/>
      <c r="P106" s="583"/>
      <c r="Q106" s="583"/>
      <c r="R106" s="588"/>
      <c r="S106" s="583"/>
      <c r="T106" s="583"/>
      <c r="U106" s="583"/>
      <c r="V106" s="588"/>
      <c r="W106" s="583"/>
      <c r="X106" s="583"/>
      <c r="Y106" s="583"/>
      <c r="Z106" s="583"/>
      <c r="AA106" s="583"/>
      <c r="AB106" s="583"/>
      <c r="AC106" s="583"/>
      <c r="AD106" s="583"/>
      <c r="AE106" s="583"/>
      <c r="AF106" s="583"/>
      <c r="AG106" s="583"/>
      <c r="AH106" s="583"/>
      <c r="AI106" s="583"/>
      <c r="AJ106" s="583"/>
      <c r="AK106" s="583"/>
      <c r="AL106" s="583"/>
      <c r="AM106" s="583"/>
      <c r="AN106" s="583"/>
      <c r="AO106" s="583"/>
      <c r="AP106" s="583"/>
      <c r="AQ106" s="583"/>
      <c r="AR106" s="583"/>
      <c r="AS106" s="583"/>
      <c r="AT106" s="583"/>
      <c r="AU106" s="583"/>
      <c r="AV106" s="583"/>
      <c r="AW106" s="571"/>
    </row>
    <row r="107" spans="1:49" ht="13" x14ac:dyDescent="0.3">
      <c r="A107" s="730" t="s">
        <v>824</v>
      </c>
      <c r="C107" s="571"/>
      <c r="D107" s="571"/>
      <c r="E107" s="571"/>
      <c r="F107" s="666"/>
      <c r="G107" s="667"/>
      <c r="H107" s="667"/>
      <c r="I107" s="667"/>
      <c r="J107" s="666"/>
      <c r="K107" s="667"/>
      <c r="L107" s="667"/>
      <c r="M107" s="667"/>
      <c r="N107" s="666"/>
      <c r="O107" s="667"/>
      <c r="P107" s="667"/>
      <c r="Q107" s="667"/>
      <c r="R107" s="666"/>
      <c r="S107" s="667"/>
      <c r="T107" s="667"/>
      <c r="U107" s="667"/>
      <c r="V107" s="666"/>
      <c r="W107" s="571"/>
      <c r="X107" s="571"/>
      <c r="Y107" s="571"/>
      <c r="Z107" s="571"/>
      <c r="AA107" s="571"/>
      <c r="AB107" s="571"/>
      <c r="AC107" s="571"/>
      <c r="AD107" s="571"/>
      <c r="AE107" s="571"/>
      <c r="AF107" s="571"/>
      <c r="AG107" s="571"/>
      <c r="AH107" s="571"/>
      <c r="AI107" s="571"/>
      <c r="AJ107" s="571"/>
      <c r="AK107" s="571"/>
      <c r="AL107" s="571"/>
      <c r="AM107" s="571"/>
      <c r="AN107" s="571"/>
      <c r="AO107" s="571"/>
      <c r="AP107" s="571"/>
      <c r="AQ107" s="571"/>
      <c r="AR107" s="571"/>
      <c r="AS107" s="571"/>
      <c r="AT107" s="2155"/>
      <c r="AU107" s="2155"/>
    </row>
    <row r="108" spans="1:49" x14ac:dyDescent="0.25">
      <c r="A108" s="649" t="s">
        <v>825</v>
      </c>
      <c r="C108" s="571"/>
      <c r="D108" s="571"/>
      <c r="E108" s="571"/>
      <c r="F108" s="666"/>
      <c r="G108" s="667"/>
      <c r="H108" s="667"/>
      <c r="I108" s="667"/>
      <c r="J108" s="666"/>
      <c r="K108" s="667"/>
      <c r="L108" s="667"/>
      <c r="M108" s="667"/>
      <c r="N108" s="666"/>
      <c r="O108" s="667"/>
      <c r="P108" s="667"/>
      <c r="Q108" s="667"/>
      <c r="R108" s="666"/>
      <c r="S108" s="667"/>
      <c r="T108" s="667"/>
      <c r="U108" s="667"/>
      <c r="V108" s="666"/>
      <c r="W108" s="571"/>
      <c r="X108" s="571"/>
      <c r="Y108" s="571"/>
      <c r="Z108" s="571"/>
      <c r="AA108" s="571"/>
      <c r="AB108" s="571"/>
      <c r="AC108" s="571"/>
      <c r="AD108" s="571"/>
      <c r="AE108" s="571"/>
      <c r="AF108" s="571"/>
      <c r="AG108" s="571"/>
      <c r="AH108" s="571"/>
      <c r="AI108" s="571"/>
      <c r="AJ108" s="571"/>
      <c r="AK108" s="571"/>
      <c r="AL108" s="571"/>
      <c r="AM108" s="571"/>
      <c r="AN108" s="571"/>
      <c r="AO108" s="571"/>
      <c r="AP108" s="571"/>
      <c r="AQ108" s="571"/>
      <c r="AR108" s="571"/>
      <c r="AS108" s="571"/>
      <c r="AT108" s="2155"/>
      <c r="AU108" s="2155"/>
    </row>
    <row r="109" spans="1:49" x14ac:dyDescent="0.25">
      <c r="A109" s="649" t="s">
        <v>480</v>
      </c>
      <c r="C109" s="571"/>
      <c r="D109" s="571"/>
      <c r="E109" s="571"/>
      <c r="F109" s="2159">
        <f>+'STER Canalyst'!R611*1000</f>
        <v>17913</v>
      </c>
      <c r="G109" s="2166"/>
      <c r="H109" s="2166"/>
      <c r="I109" s="2166"/>
      <c r="J109" s="2159">
        <f>+'STER Canalyst'!V611*1000</f>
        <v>14708</v>
      </c>
      <c r="K109" s="2166"/>
      <c r="L109" s="2166">
        <f>+'STER Canalyst'!X611*1000</f>
        <v>27258</v>
      </c>
      <c r="M109" s="2166">
        <f>+'STER Canalyst'!Y611*1000</f>
        <v>27192</v>
      </c>
      <c r="N109" s="2159">
        <f>+'STER Canalyst'!Z611*1000</f>
        <v>31127</v>
      </c>
      <c r="O109" s="2166">
        <f>+'STER Canalyst'!AA611*1000</f>
        <v>41201</v>
      </c>
      <c r="P109" s="2166">
        <f>+'STER Canalyst'!AB611*1000</f>
        <v>44767</v>
      </c>
      <c r="Q109" s="2166">
        <f>+'STER Canalyst'!AC611*1000</f>
        <v>36784</v>
      </c>
      <c r="R109" s="2159">
        <f>+'STER Canalyst'!AD611*1000</f>
        <v>38372</v>
      </c>
      <c r="S109" s="2166">
        <f>+'STER Canalyst'!AE611*1000</f>
        <v>42132</v>
      </c>
      <c r="T109" s="2166">
        <f>+'STER Canalyst'!AF611*1000</f>
        <v>40017</v>
      </c>
      <c r="U109" s="2166">
        <f>+'STER Canalyst'!AG611*1000</f>
        <v>39327</v>
      </c>
      <c r="V109" s="2159">
        <f>+'STER Canalyst'!AH611*1000</f>
        <v>38879</v>
      </c>
      <c r="W109" s="2153">
        <f>+'STER Canalyst'!AI611*1000</f>
        <v>47486</v>
      </c>
      <c r="X109" s="2153">
        <f>+'STER Canalyst'!AJ611*1000</f>
        <v>52892</v>
      </c>
      <c r="Y109" s="2153"/>
      <c r="Z109" s="571"/>
      <c r="AA109" s="571"/>
      <c r="AB109" s="571"/>
      <c r="AC109" s="571"/>
      <c r="AD109" s="571"/>
      <c r="AE109" s="571"/>
      <c r="AF109" s="571"/>
      <c r="AG109" s="571"/>
      <c r="AH109" s="571"/>
      <c r="AI109" s="571"/>
      <c r="AJ109" s="571"/>
      <c r="AK109" s="571"/>
      <c r="AL109" s="571"/>
      <c r="AM109" s="571"/>
      <c r="AN109" s="571"/>
      <c r="AO109" s="571"/>
      <c r="AP109" s="2153"/>
      <c r="AQ109" s="2153">
        <f>+'STER Canalyst'!BB611*1000</f>
        <v>17913</v>
      </c>
      <c r="AR109" s="2153">
        <f>+'STER Canalyst'!BC611*1000</f>
        <v>14708</v>
      </c>
      <c r="AS109" s="2153">
        <f>+'STER Canalyst'!BD611*1000</f>
        <v>31127</v>
      </c>
      <c r="AT109" s="2153">
        <f>+'STER Canalyst'!BE611*1000</f>
        <v>38372</v>
      </c>
      <c r="AU109" s="2153">
        <v>38879</v>
      </c>
    </row>
    <row r="110" spans="1:49" x14ac:dyDescent="0.25">
      <c r="A110" s="649" t="s">
        <v>826</v>
      </c>
      <c r="C110" s="571"/>
      <c r="D110" s="571"/>
      <c r="E110" s="571"/>
      <c r="F110" s="2159">
        <f>+'STER Canalyst'!R612*1000</f>
        <v>15000</v>
      </c>
      <c r="G110" s="2166"/>
      <c r="H110" s="2166"/>
      <c r="I110" s="2166"/>
      <c r="J110" s="2159">
        <f>+'STER Canalyst'!V612*1000</f>
        <v>750</v>
      </c>
      <c r="K110" s="2166"/>
      <c r="L110" s="2166">
        <f>+'STER Canalyst'!X612*1000</f>
        <v>0</v>
      </c>
      <c r="M110" s="2166">
        <f>+'STER Canalyst'!Y612*1000</f>
        <v>0</v>
      </c>
      <c r="N110" s="2159">
        <f>+'STER Canalyst'!Z612*1000</f>
        <v>0</v>
      </c>
      <c r="O110" s="2166">
        <f>+'STER Canalyst'!AA612*1000</f>
        <v>0</v>
      </c>
      <c r="P110" s="2166">
        <f>+'STER Canalyst'!AB612*1000</f>
        <v>0</v>
      </c>
      <c r="Q110" s="2166">
        <f>+'STER Canalyst'!AC612*1000</f>
        <v>0</v>
      </c>
      <c r="R110" s="2159">
        <f>+'STER Canalyst'!AD612*1000</f>
        <v>4165</v>
      </c>
      <c r="S110" s="2166">
        <f>+'STER Canalyst'!AE612*1000</f>
        <v>3850</v>
      </c>
      <c r="T110" s="2166">
        <f>+'STER Canalyst'!AF612*1000</f>
        <v>6013</v>
      </c>
      <c r="U110" s="2166">
        <f>+'STER Canalyst'!AG612*1000</f>
        <v>7178</v>
      </c>
      <c r="V110" s="2159">
        <f>+'STER Canalyst'!AH612*1000</f>
        <v>5279</v>
      </c>
      <c r="W110" s="2153">
        <f>+'STER Canalyst'!AI612*1000</f>
        <v>5224</v>
      </c>
      <c r="X110" s="2153">
        <f>+'STER Canalyst'!AJ612*1000</f>
        <v>6222</v>
      </c>
      <c r="Y110" s="2153"/>
      <c r="Z110" s="571"/>
      <c r="AA110" s="571"/>
      <c r="AB110" s="571"/>
      <c r="AC110" s="571"/>
      <c r="AD110" s="571"/>
      <c r="AE110" s="571"/>
      <c r="AF110" s="571"/>
      <c r="AG110" s="571"/>
      <c r="AH110" s="571"/>
      <c r="AI110" s="571"/>
      <c r="AJ110" s="571"/>
      <c r="AK110" s="571"/>
      <c r="AL110" s="571"/>
      <c r="AM110" s="571"/>
      <c r="AN110" s="571"/>
      <c r="AO110" s="571"/>
      <c r="AP110" s="2153"/>
      <c r="AQ110" s="2153">
        <f>+'STER Canalyst'!BB612*1000</f>
        <v>15000</v>
      </c>
      <c r="AR110" s="2153">
        <f>+'STER Canalyst'!BC612*1000</f>
        <v>750</v>
      </c>
      <c r="AS110" s="2153">
        <f>+'STER Canalyst'!BD612*1000</f>
        <v>0</v>
      </c>
      <c r="AT110" s="2153">
        <f>+'STER Canalyst'!BE612*1000</f>
        <v>4165</v>
      </c>
      <c r="AU110" s="2153">
        <v>5279</v>
      </c>
    </row>
    <row r="111" spans="1:49" x14ac:dyDescent="0.25">
      <c r="A111" s="649" t="s">
        <v>827</v>
      </c>
      <c r="C111" s="571"/>
      <c r="D111" s="571"/>
      <c r="E111" s="571"/>
      <c r="F111" s="2159">
        <f>+'STER Canalyst'!R613*1000</f>
        <v>42298</v>
      </c>
      <c r="G111" s="2166"/>
      <c r="H111" s="2166"/>
      <c r="I111" s="2166"/>
      <c r="J111" s="2159">
        <f>+'STER Canalyst'!V613*1000</f>
        <v>35899</v>
      </c>
      <c r="K111" s="2166"/>
      <c r="L111" s="2166">
        <f>+'STER Canalyst'!X613*1000</f>
        <v>51693</v>
      </c>
      <c r="M111" s="2166">
        <f>+'STER Canalyst'!Y613*1000</f>
        <v>52837</v>
      </c>
      <c r="N111" s="2159">
        <f>+'STER Canalyst'!Z613*1000</f>
        <v>67971</v>
      </c>
      <c r="O111" s="2166">
        <f>+'STER Canalyst'!AA613*1000</f>
        <v>55091</v>
      </c>
      <c r="P111" s="2166">
        <f>+'STER Canalyst'!AB613*1000</f>
        <v>58135</v>
      </c>
      <c r="Q111" s="2166">
        <f>+'STER Canalyst'!AC613*1000</f>
        <v>66200</v>
      </c>
      <c r="R111" s="2159">
        <f>+'STER Canalyst'!AD613*1000</f>
        <v>67047</v>
      </c>
      <c r="S111" s="2166">
        <f>+'STER Canalyst'!AE613*1000</f>
        <v>57091</v>
      </c>
      <c r="T111" s="2166">
        <f>+'STER Canalyst'!AF613*1000</f>
        <v>58118</v>
      </c>
      <c r="U111" s="2166">
        <f>+'STER Canalyst'!AG613*1000</f>
        <v>60387</v>
      </c>
      <c r="V111" s="2159">
        <f>+'STER Canalyst'!AH613*1000</f>
        <v>63987</v>
      </c>
      <c r="W111" s="2153">
        <f>+'STER Canalyst'!AI613*1000</f>
        <v>73605</v>
      </c>
      <c r="X111" s="2153">
        <f>+'STER Canalyst'!AJ613*1000</f>
        <v>79100</v>
      </c>
      <c r="Y111" s="2153"/>
      <c r="Z111" s="571"/>
      <c r="AA111" s="571"/>
      <c r="AB111" s="571"/>
      <c r="AC111" s="571"/>
      <c r="AD111" s="571"/>
      <c r="AE111" s="571"/>
      <c r="AF111" s="571"/>
      <c r="AG111" s="571"/>
      <c r="AH111" s="571"/>
      <c r="AI111" s="571"/>
      <c r="AJ111" s="571"/>
      <c r="AK111" s="571"/>
      <c r="AL111" s="571"/>
      <c r="AM111" s="571"/>
      <c r="AN111" s="571"/>
      <c r="AO111" s="571"/>
      <c r="AP111" s="2153"/>
      <c r="AQ111" s="2153">
        <f>+'STER Canalyst'!BB613*1000</f>
        <v>42298</v>
      </c>
      <c r="AR111" s="2153">
        <f>+'STER Canalyst'!BC613*1000</f>
        <v>35899</v>
      </c>
      <c r="AS111" s="2153">
        <f>+'STER Canalyst'!BD613*1000</f>
        <v>67971</v>
      </c>
      <c r="AT111" s="2153">
        <f>+'STER Canalyst'!BE613*1000</f>
        <v>67047</v>
      </c>
      <c r="AU111" s="2153">
        <v>63987</v>
      </c>
    </row>
    <row r="112" spans="1:49" x14ac:dyDescent="0.25">
      <c r="A112" s="649" t="s">
        <v>483</v>
      </c>
      <c r="C112" s="571"/>
      <c r="D112" s="571"/>
      <c r="E112" s="571"/>
      <c r="F112" s="2159">
        <f>+'STER Canalyst'!R614*1000</f>
        <v>6461</v>
      </c>
      <c r="G112" s="2166"/>
      <c r="H112" s="2166"/>
      <c r="I112" s="2166"/>
      <c r="J112" s="2159">
        <f>+'STER Canalyst'!V614*1000</f>
        <v>13147</v>
      </c>
      <c r="K112" s="2166"/>
      <c r="L112" s="2166">
        <f>+'STER Canalyst'!X614*1000</f>
        <v>6461</v>
      </c>
      <c r="M112" s="2166">
        <f>+'STER Canalyst'!Y614*1000</f>
        <v>6461</v>
      </c>
      <c r="N112" s="2159">
        <f>+'STER Canalyst'!Z614*1000</f>
        <v>6461</v>
      </c>
      <c r="O112" s="2166">
        <f>+'STER Canalyst'!AA614*1000</f>
        <v>6461</v>
      </c>
      <c r="P112" s="2166">
        <f>+'STER Canalyst'!AB614*1000</f>
        <v>6461</v>
      </c>
      <c r="Q112" s="2166">
        <f>+'STER Canalyst'!AC614*1000</f>
        <v>6461</v>
      </c>
      <c r="R112" s="2159">
        <f>+'STER Canalyst'!AD614*1000</f>
        <v>7500</v>
      </c>
      <c r="S112" s="2166">
        <f>+'STER Canalyst'!AE614*1000</f>
        <v>9375</v>
      </c>
      <c r="T112" s="2166">
        <f>+'STER Canalyst'!AF614*1000</f>
        <v>11250</v>
      </c>
      <c r="U112" s="2166">
        <f>+'STER Canalyst'!AG614*1000</f>
        <v>13125</v>
      </c>
      <c r="V112" s="2159">
        <f>+'STER Canalyst'!AH614*1000</f>
        <v>15000</v>
      </c>
      <c r="W112" s="2153">
        <f>+'STER Canalyst'!AI614*1000</f>
        <v>15000</v>
      </c>
      <c r="X112" s="2153">
        <f>+'STER Canalyst'!AJ614*1000</f>
        <v>15000</v>
      </c>
      <c r="Y112" s="2153"/>
      <c r="Z112" s="571"/>
      <c r="AA112" s="571"/>
      <c r="AB112" s="571"/>
      <c r="AC112" s="571"/>
      <c r="AD112" s="571"/>
      <c r="AE112" s="571"/>
      <c r="AF112" s="571"/>
      <c r="AG112" s="571"/>
      <c r="AH112" s="571"/>
      <c r="AI112" s="571"/>
      <c r="AJ112" s="571"/>
      <c r="AK112" s="571"/>
      <c r="AL112" s="571"/>
      <c r="AM112" s="571"/>
      <c r="AN112" s="571"/>
      <c r="AO112" s="571"/>
      <c r="AP112" s="2153"/>
      <c r="AQ112" s="2153">
        <f>+'STER Canalyst'!BB614*1000</f>
        <v>6461</v>
      </c>
      <c r="AR112" s="2153">
        <f>+'STER Canalyst'!BC614*1000</f>
        <v>13147</v>
      </c>
      <c r="AS112" s="2153">
        <f>+'STER Canalyst'!BD614*1000</f>
        <v>6461</v>
      </c>
      <c r="AT112" s="2153">
        <f>+'STER Canalyst'!BE614*1000</f>
        <v>7500</v>
      </c>
      <c r="AU112" s="2153">
        <v>15000</v>
      </c>
    </row>
    <row r="113" spans="1:49" x14ac:dyDescent="0.25">
      <c r="A113" s="649" t="s">
        <v>828</v>
      </c>
      <c r="C113" s="571"/>
      <c r="D113" s="571"/>
      <c r="E113" s="571"/>
      <c r="F113" s="2159">
        <f>+'STER Canalyst'!R615*1000</f>
        <v>0</v>
      </c>
      <c r="G113" s="2166"/>
      <c r="H113" s="2166"/>
      <c r="I113" s="2166"/>
      <c r="J113" s="2159">
        <f>+'STER Canalyst'!V615*1000</f>
        <v>0</v>
      </c>
      <c r="K113" s="2166"/>
      <c r="L113" s="2166">
        <f>+'STER Canalyst'!X615*1000</f>
        <v>0</v>
      </c>
      <c r="M113" s="2166">
        <f>+'STER Canalyst'!Y615*1000</f>
        <v>0</v>
      </c>
      <c r="N113" s="2159">
        <f>+'STER Canalyst'!Z615*1000</f>
        <v>0</v>
      </c>
      <c r="O113" s="2166">
        <f>+'STER Canalyst'!AA615*1000</f>
        <v>3728</v>
      </c>
      <c r="P113" s="2166">
        <f>+'STER Canalyst'!AB615*1000</f>
        <v>3553</v>
      </c>
      <c r="Q113" s="2166">
        <f>+'STER Canalyst'!AC615*1000</f>
        <v>3601</v>
      </c>
      <c r="R113" s="2159">
        <f>+'STER Canalyst'!AD615*1000</f>
        <v>3717</v>
      </c>
      <c r="S113" s="2166">
        <f>+'STER Canalyst'!AE615*1000</f>
        <v>3565</v>
      </c>
      <c r="T113" s="2166">
        <f>+'STER Canalyst'!AF615*1000</f>
        <v>4069</v>
      </c>
      <c r="U113" s="2166">
        <f>+'STER Canalyst'!AG615*1000</f>
        <v>4233</v>
      </c>
      <c r="V113" s="2159">
        <f>+'STER Canalyst'!AH615*1000</f>
        <v>4219</v>
      </c>
      <c r="W113" s="2153">
        <f>+'STER Canalyst'!AI615*1000</f>
        <v>3879</v>
      </c>
      <c r="X113" s="2153">
        <f>+'STER Canalyst'!AJ615*1000</f>
        <v>3490</v>
      </c>
      <c r="Y113" s="2153"/>
      <c r="Z113" s="571"/>
      <c r="AA113" s="571"/>
      <c r="AB113" s="571"/>
      <c r="AC113" s="571"/>
      <c r="AD113" s="571"/>
      <c r="AE113" s="571"/>
      <c r="AF113" s="571"/>
      <c r="AG113" s="571"/>
      <c r="AH113" s="571"/>
      <c r="AI113" s="571"/>
      <c r="AJ113" s="571"/>
      <c r="AK113" s="571"/>
      <c r="AL113" s="571"/>
      <c r="AM113" s="571"/>
      <c r="AN113" s="571"/>
      <c r="AO113" s="571"/>
      <c r="AP113" s="2153"/>
      <c r="AQ113" s="2153">
        <f>+'STER Canalyst'!BB615*1000</f>
        <v>0</v>
      </c>
      <c r="AR113" s="2153">
        <f>+'STER Canalyst'!BC615*1000</f>
        <v>0</v>
      </c>
      <c r="AS113" s="2153">
        <f>+'STER Canalyst'!BD615*1000</f>
        <v>0</v>
      </c>
      <c r="AT113" s="2153">
        <f>+'STER Canalyst'!BE615*1000</f>
        <v>3717</v>
      </c>
      <c r="AU113" s="2153">
        <v>4219</v>
      </c>
    </row>
    <row r="114" spans="1:49" x14ac:dyDescent="0.25">
      <c r="A114" s="649" t="s">
        <v>829</v>
      </c>
      <c r="C114" s="571"/>
      <c r="D114" s="571"/>
      <c r="E114" s="571"/>
      <c r="F114" s="2159">
        <v>0</v>
      </c>
      <c r="G114" s="2166"/>
      <c r="H114" s="2166"/>
      <c r="I114" s="2166"/>
      <c r="J114" s="2159">
        <v>0</v>
      </c>
      <c r="K114" s="2166"/>
      <c r="L114" s="583">
        <f>+'STER Canalyst'!X616*1000</f>
        <v>0</v>
      </c>
      <c r="M114" s="583">
        <f>+'STER Canalyst'!Y616*1000</f>
        <v>0</v>
      </c>
      <c r="N114" s="588">
        <f>+'STER Canalyst'!Z616*1000</f>
        <v>0</v>
      </c>
      <c r="O114" s="583">
        <f>+'STER Canalyst'!AA616*1000</f>
        <v>0</v>
      </c>
      <c r="P114" s="583">
        <f>+'STER Canalyst'!AB616*1000</f>
        <v>0</v>
      </c>
      <c r="Q114" s="583">
        <f>+'STER Canalyst'!AC616*1000</f>
        <v>0</v>
      </c>
      <c r="R114" s="588">
        <f>+'STER Canalyst'!AD616*1000</f>
        <v>0</v>
      </c>
      <c r="S114" s="583">
        <f>+'STER Canalyst'!AE616*1000</f>
        <v>0</v>
      </c>
      <c r="T114" s="583">
        <f>+'STER Canalyst'!AF616*1000</f>
        <v>0</v>
      </c>
      <c r="U114" s="583">
        <f>+'STER Canalyst'!AG616*1000</f>
        <v>0</v>
      </c>
      <c r="V114" s="588">
        <f>+'STER Canalyst'!AH616*1000</f>
        <v>8933</v>
      </c>
      <c r="W114" s="583">
        <f>+'STER Canalyst'!AI616*1000</f>
        <v>3523</v>
      </c>
      <c r="X114" s="583">
        <f>+'STER Canalyst'!AJ616*1000</f>
        <v>163</v>
      </c>
      <c r="Y114" s="583"/>
      <c r="Z114" s="571"/>
      <c r="AA114" s="571"/>
      <c r="AB114" s="571"/>
      <c r="AC114" s="571"/>
      <c r="AD114" s="571"/>
      <c r="AE114" s="571"/>
      <c r="AF114" s="571"/>
      <c r="AG114" s="571"/>
      <c r="AH114" s="571"/>
      <c r="AI114" s="571"/>
      <c r="AJ114" s="571"/>
      <c r="AK114" s="571"/>
      <c r="AL114" s="571"/>
      <c r="AM114" s="571"/>
      <c r="AN114" s="571"/>
      <c r="AO114" s="571"/>
      <c r="AP114" s="2153"/>
      <c r="AQ114" s="2153">
        <v>0</v>
      </c>
      <c r="AR114" s="2153">
        <v>0</v>
      </c>
      <c r="AS114" s="2153">
        <v>0</v>
      </c>
      <c r="AT114" s="2153">
        <v>0</v>
      </c>
      <c r="AU114" s="2153">
        <v>8933</v>
      </c>
    </row>
    <row r="115" spans="1:49" s="413" customFormat="1" ht="14" x14ac:dyDescent="0.4">
      <c r="A115" s="132" t="s">
        <v>162</v>
      </c>
      <c r="C115" s="719"/>
      <c r="D115" s="719"/>
      <c r="E115" s="719"/>
      <c r="F115" s="718">
        <f>+'STER Canalyst'!R617*1000</f>
        <v>10484</v>
      </c>
      <c r="G115" s="719"/>
      <c r="H115" s="719"/>
      <c r="I115" s="719"/>
      <c r="J115" s="718">
        <f>+'STER Canalyst'!V617*1000</f>
        <v>21488</v>
      </c>
      <c r="K115" s="719"/>
      <c r="L115" s="719">
        <f>+'STER Canalyst'!X617*1000</f>
        <v>22061</v>
      </c>
      <c r="M115" s="719">
        <f>+'STER Canalyst'!Y617*1000</f>
        <v>19791</v>
      </c>
      <c r="N115" s="718">
        <f>+'STER Canalyst'!Z617*1000</f>
        <v>24361</v>
      </c>
      <c r="O115" s="719">
        <f>+'STER Canalyst'!AA617*1000</f>
        <v>17225</v>
      </c>
      <c r="P115" s="719">
        <f>+'STER Canalyst'!AB617*1000</f>
        <v>16961</v>
      </c>
      <c r="Q115" s="719">
        <f>+'STER Canalyst'!AC617*1000</f>
        <v>14162</v>
      </c>
      <c r="R115" s="718">
        <f>+'STER Canalyst'!AD617*1000</f>
        <v>12939</v>
      </c>
      <c r="S115" s="719">
        <f>+'STER Canalyst'!AE617*1000</f>
        <v>13974</v>
      </c>
      <c r="T115" s="719">
        <f>+'STER Canalyst'!AF617*1000</f>
        <v>13712</v>
      </c>
      <c r="U115" s="719">
        <f>+'STER Canalyst'!AG617*1000</f>
        <v>14435</v>
      </c>
      <c r="V115" s="718">
        <f>+'STER Canalyst'!AH617*1000</f>
        <v>11839</v>
      </c>
      <c r="W115" s="719">
        <f>+'STER Canalyst'!AI617*1000</f>
        <v>17832</v>
      </c>
      <c r="X115" s="719">
        <f>+'STER Canalyst'!AJ617*1000</f>
        <v>15458</v>
      </c>
      <c r="Y115" s="719"/>
      <c r="Z115" s="719"/>
      <c r="AA115" s="719"/>
      <c r="AB115" s="719"/>
      <c r="AC115" s="719"/>
      <c r="AD115" s="719"/>
      <c r="AE115" s="719"/>
      <c r="AF115" s="719"/>
      <c r="AG115" s="719"/>
      <c r="AH115" s="719"/>
      <c r="AI115" s="719"/>
      <c r="AJ115" s="719"/>
      <c r="AK115" s="719"/>
      <c r="AL115" s="719"/>
      <c r="AM115" s="719"/>
      <c r="AN115" s="719"/>
      <c r="AO115" s="719"/>
      <c r="AP115" s="719"/>
      <c r="AQ115" s="719">
        <f>+'STER Canalyst'!BB617*1000</f>
        <v>10484</v>
      </c>
      <c r="AR115" s="719">
        <f>+'STER Canalyst'!BC617*1000</f>
        <v>21488</v>
      </c>
      <c r="AS115" s="719">
        <f>+'STER Canalyst'!BD617*1000</f>
        <v>24361</v>
      </c>
      <c r="AT115" s="719">
        <f>+'STER Canalyst'!BE617*1000</f>
        <v>12939</v>
      </c>
      <c r="AU115" s="719">
        <v>11839</v>
      </c>
      <c r="AV115" s="719"/>
      <c r="AW115" s="614"/>
    </row>
    <row r="116" spans="1:49" x14ac:dyDescent="0.25">
      <c r="A116" s="425" t="s">
        <v>487</v>
      </c>
      <c r="C116" s="583"/>
      <c r="D116" s="583"/>
      <c r="E116" s="583"/>
      <c r="F116" s="588">
        <f t="shared" ref="F116" si="193">+SUM(F109:F115)</f>
        <v>92156</v>
      </c>
      <c r="G116" s="583"/>
      <c r="H116" s="583"/>
      <c r="I116" s="583"/>
      <c r="J116" s="588">
        <f t="shared" ref="J116" si="194">+SUM(J109:J115)</f>
        <v>85992</v>
      </c>
      <c r="K116" s="583"/>
      <c r="L116" s="583">
        <f t="shared" ref="L116" si="195">+SUM(L109:L115)</f>
        <v>107473</v>
      </c>
      <c r="M116" s="583">
        <f t="shared" ref="M116" si="196">+SUM(M109:M115)</f>
        <v>106281</v>
      </c>
      <c r="N116" s="588">
        <f t="shared" ref="N116" si="197">+SUM(N109:N115)</f>
        <v>129920</v>
      </c>
      <c r="O116" s="583">
        <f t="shared" ref="O116" si="198">+SUM(O109:O115)</f>
        <v>123706</v>
      </c>
      <c r="P116" s="583">
        <f t="shared" ref="P116" si="199">+SUM(P109:P115)</f>
        <v>129877</v>
      </c>
      <c r="Q116" s="583">
        <f t="shared" ref="Q116" si="200">+SUM(Q109:Q115)</f>
        <v>127208</v>
      </c>
      <c r="R116" s="588">
        <f t="shared" ref="R116" si="201">+SUM(R109:R115)</f>
        <v>133740</v>
      </c>
      <c r="S116" s="583">
        <f t="shared" ref="S116" si="202">+SUM(S109:S115)</f>
        <v>129987</v>
      </c>
      <c r="T116" s="583">
        <f t="shared" ref="T116" si="203">+SUM(T109:T115)</f>
        <v>133179</v>
      </c>
      <c r="U116" s="583">
        <f t="shared" ref="U116" si="204">+SUM(U109:U115)</f>
        <v>138685</v>
      </c>
      <c r="V116" s="588">
        <f t="shared" ref="V116" si="205">+SUM(V109:V115)</f>
        <v>148136</v>
      </c>
      <c r="W116" s="583">
        <f t="shared" ref="W116" si="206">+SUM(W109:W115)</f>
        <v>166549</v>
      </c>
      <c r="X116" s="583">
        <f t="shared" ref="X116" si="207">+SUM(X109:X115)</f>
        <v>172325</v>
      </c>
      <c r="Y116" s="583"/>
      <c r="Z116" s="583"/>
      <c r="AA116" s="583"/>
      <c r="AB116" s="583"/>
      <c r="AC116" s="583"/>
      <c r="AD116" s="583"/>
      <c r="AE116" s="583"/>
      <c r="AF116" s="583"/>
      <c r="AG116" s="583"/>
      <c r="AH116" s="583"/>
      <c r="AI116" s="583"/>
      <c r="AJ116" s="583"/>
      <c r="AK116" s="583"/>
      <c r="AL116" s="583"/>
      <c r="AM116" s="583"/>
      <c r="AN116" s="583"/>
      <c r="AO116" s="583"/>
      <c r="AP116" s="583"/>
      <c r="AQ116" s="583">
        <f t="shared" ref="AQ116:AS116" si="208">+SUM(AQ109:AQ115)</f>
        <v>92156</v>
      </c>
      <c r="AR116" s="583">
        <f t="shared" si="208"/>
        <v>85992</v>
      </c>
      <c r="AS116" s="583">
        <f t="shared" si="208"/>
        <v>129920</v>
      </c>
      <c r="AT116" s="583">
        <f>+SUM(AT109:AT115)</f>
        <v>133740</v>
      </c>
      <c r="AU116" s="583">
        <v>148136</v>
      </c>
      <c r="AV116" s="583"/>
      <c r="AW116" s="571"/>
    </row>
    <row r="117" spans="1:49" x14ac:dyDescent="0.25">
      <c r="A117" s="649" t="s">
        <v>830</v>
      </c>
      <c r="C117" s="571"/>
      <c r="D117" s="571"/>
      <c r="E117" s="571"/>
      <c r="F117" s="2159">
        <f>+'STER Canalyst'!R621*1000</f>
        <v>613096</v>
      </c>
      <c r="G117" s="2166"/>
      <c r="H117" s="2166"/>
      <c r="I117" s="2166"/>
      <c r="J117" s="2159">
        <f>+'STER Canalyst'!V621*1000</f>
        <v>602306</v>
      </c>
      <c r="K117" s="2166"/>
      <c r="L117" s="2166">
        <f>+'STER Canalyst'!X621*1000</f>
        <v>600231</v>
      </c>
      <c r="M117" s="2166">
        <f>+'STER Canalyst'!Y621*1000</f>
        <v>599202</v>
      </c>
      <c r="N117" s="2159">
        <f>+'STER Canalyst'!Z621*1000</f>
        <v>499107</v>
      </c>
      <c r="O117" s="2166">
        <f>+'STER Canalyst'!AA621*1000</f>
        <v>497969</v>
      </c>
      <c r="P117" s="2166">
        <f>+'STER Canalyst'!AB621*1000</f>
        <v>496835</v>
      </c>
      <c r="Q117" s="2166">
        <f>+'STER Canalyst'!AC621*1000</f>
        <v>495705</v>
      </c>
      <c r="R117" s="2159">
        <f>+'STER Canalyst'!AD621*1000</f>
        <v>493990</v>
      </c>
      <c r="S117" s="2166">
        <f>+'STER Canalyst'!AE621*1000</f>
        <v>490434</v>
      </c>
      <c r="T117" s="2166">
        <f>+'STER Canalyst'!AF621*1000</f>
        <v>486882</v>
      </c>
      <c r="U117" s="2166">
        <f>+'STER Canalyst'!AG621*1000</f>
        <v>483334</v>
      </c>
      <c r="V117" s="2159">
        <f>+'STER Canalyst'!AH621*1000</f>
        <v>479788</v>
      </c>
      <c r="W117" s="2153">
        <f>+'STER Canalyst'!AI621*1000</f>
        <v>541242</v>
      </c>
      <c r="X117" s="2153">
        <f>+'STER Canalyst'!AJ621*1000</f>
        <v>537696</v>
      </c>
      <c r="Y117" s="2153"/>
      <c r="Z117" s="571"/>
      <c r="AA117" s="571"/>
      <c r="AB117" s="571"/>
      <c r="AC117" s="571"/>
      <c r="AD117" s="571"/>
      <c r="AE117" s="571"/>
      <c r="AF117" s="571"/>
      <c r="AG117" s="571"/>
      <c r="AH117" s="571"/>
      <c r="AI117" s="571"/>
      <c r="AJ117" s="571"/>
      <c r="AK117" s="571"/>
      <c r="AL117" s="571"/>
      <c r="AM117" s="571"/>
      <c r="AN117" s="571"/>
      <c r="AO117" s="571"/>
      <c r="AP117" s="2153"/>
      <c r="AQ117" s="2153">
        <f>+'STER Canalyst'!BB621*1000</f>
        <v>613096</v>
      </c>
      <c r="AR117" s="2153">
        <f>+'STER Canalyst'!BC621*1000</f>
        <v>602306</v>
      </c>
      <c r="AS117" s="2153">
        <f>+'STER Canalyst'!BD621*1000</f>
        <v>499107</v>
      </c>
      <c r="AT117" s="2153">
        <f>+'STER Canalyst'!BE621*1000</f>
        <v>493990</v>
      </c>
      <c r="AU117" s="2153">
        <v>479788</v>
      </c>
    </row>
    <row r="118" spans="1:49" x14ac:dyDescent="0.25">
      <c r="A118" s="649" t="s">
        <v>831</v>
      </c>
      <c r="C118" s="571"/>
      <c r="D118" s="571"/>
      <c r="E118" s="571"/>
      <c r="F118" s="2159">
        <f>+'STER Canalyst'!R622*1000</f>
        <v>46160</v>
      </c>
      <c r="G118" s="2166"/>
      <c r="H118" s="2166"/>
      <c r="I118" s="2166"/>
      <c r="J118" s="2159">
        <f>+'STER Canalyst'!V622*1000</f>
        <v>29400</v>
      </c>
      <c r="K118" s="2166"/>
      <c r="L118" s="2166">
        <f>+'STER Canalyst'!X622*1000</f>
        <v>28651</v>
      </c>
      <c r="M118" s="2166">
        <f>+'STER Canalyst'!Y622*1000</f>
        <v>15895</v>
      </c>
      <c r="N118" s="2159">
        <f>+'STER Canalyst'!Z622*1000</f>
        <v>28584</v>
      </c>
      <c r="O118" s="2166">
        <f>+'STER Canalyst'!AA622*1000</f>
        <v>30832</v>
      </c>
      <c r="P118" s="2166">
        <f>+'STER Canalyst'!AB622*1000</f>
        <v>30065</v>
      </c>
      <c r="Q118" s="2166">
        <f>+'STER Canalyst'!AC622*1000</f>
        <v>31542</v>
      </c>
      <c r="R118" s="2159">
        <f>+'STER Canalyst'!AD622*1000</f>
        <v>23707</v>
      </c>
      <c r="S118" s="2166">
        <f>+'STER Canalyst'!AE622*1000</f>
        <v>30102</v>
      </c>
      <c r="T118" s="2166">
        <f>+'STER Canalyst'!AF622*1000</f>
        <v>31531</v>
      </c>
      <c r="U118" s="2166">
        <f>+'STER Canalyst'!AG622*1000</f>
        <v>31584</v>
      </c>
      <c r="V118" s="2159">
        <f>+'STER Canalyst'!AH622*1000</f>
        <v>14239</v>
      </c>
      <c r="W118" s="2153">
        <f>+'STER Canalyst'!AI622*1000</f>
        <v>900</v>
      </c>
      <c r="X118" s="2153">
        <f>+'STER Canalyst'!AJ622*1000</f>
        <v>6114</v>
      </c>
      <c r="Y118" s="2153"/>
      <c r="Z118" s="571"/>
      <c r="AA118" s="571"/>
      <c r="AB118" s="571"/>
      <c r="AC118" s="571"/>
      <c r="AD118" s="571"/>
      <c r="AE118" s="571"/>
      <c r="AF118" s="571"/>
      <c r="AG118" s="571"/>
      <c r="AH118" s="571"/>
      <c r="AI118" s="571"/>
      <c r="AJ118" s="571"/>
      <c r="AK118" s="571"/>
      <c r="AL118" s="571"/>
      <c r="AM118" s="571"/>
      <c r="AN118" s="571"/>
      <c r="AO118" s="571"/>
      <c r="AP118" s="2153"/>
      <c r="AQ118" s="2153">
        <f>+'STER Canalyst'!BB622*1000</f>
        <v>46160</v>
      </c>
      <c r="AR118" s="2153">
        <f>+'STER Canalyst'!BC622*1000</f>
        <v>29400</v>
      </c>
      <c r="AS118" s="2153">
        <f>+'STER Canalyst'!BD622*1000</f>
        <v>28584</v>
      </c>
      <c r="AT118" s="2153">
        <f>+'STER Canalyst'!BE622*1000</f>
        <v>23707</v>
      </c>
      <c r="AU118" s="2153">
        <v>14239</v>
      </c>
    </row>
    <row r="119" spans="1:49" x14ac:dyDescent="0.25">
      <c r="A119" s="649" t="s">
        <v>832</v>
      </c>
      <c r="C119" s="571"/>
      <c r="D119" s="571"/>
      <c r="E119" s="571"/>
      <c r="F119" s="2159">
        <f>+'STER Canalyst'!R623*1000</f>
        <v>0</v>
      </c>
      <c r="G119" s="2166"/>
      <c r="H119" s="2166"/>
      <c r="I119" s="2166"/>
      <c r="J119" s="2159">
        <f>+'STER Canalyst'!V623*1000</f>
        <v>0</v>
      </c>
      <c r="K119" s="2166"/>
      <c r="L119" s="2166">
        <f>+'STER Canalyst'!X623*1000</f>
        <v>0</v>
      </c>
      <c r="M119" s="2166">
        <f>+'STER Canalyst'!Y623*1000</f>
        <v>0</v>
      </c>
      <c r="N119" s="2159">
        <f>+'STER Canalyst'!Z623*1000</f>
        <v>0</v>
      </c>
      <c r="O119" s="2166">
        <f>+'STER Canalyst'!AA623*1000</f>
        <v>19042</v>
      </c>
      <c r="P119" s="2166">
        <f>+'STER Canalyst'!AB623*1000</f>
        <v>18176</v>
      </c>
      <c r="Q119" s="2166">
        <f>+'STER Canalyst'!AC623*1000</f>
        <v>18087</v>
      </c>
      <c r="R119" s="2159">
        <f>+'STER Canalyst'!AD623*1000</f>
        <v>16835</v>
      </c>
      <c r="S119" s="2166">
        <f>+'STER Canalyst'!AE623*1000</f>
        <v>16574</v>
      </c>
      <c r="T119" s="2166">
        <f>+'STER Canalyst'!AF623*1000</f>
        <v>10182</v>
      </c>
      <c r="U119" s="2166">
        <f>+'STER Canalyst'!AG623*1000</f>
        <v>8834</v>
      </c>
      <c r="V119" s="2159">
        <f>+'STER Canalyst'!AH623*1000</f>
        <v>7278</v>
      </c>
      <c r="W119" s="2153">
        <f>+'STER Canalyst'!AI623*1000</f>
        <v>6606</v>
      </c>
      <c r="X119" s="2153">
        <f>+'STER Canalyst'!AJ623*1000</f>
        <v>6054</v>
      </c>
      <c r="Y119" s="2153"/>
      <c r="Z119" s="571"/>
      <c r="AA119" s="571"/>
      <c r="AB119" s="571"/>
      <c r="AC119" s="571"/>
      <c r="AD119" s="571"/>
      <c r="AE119" s="571"/>
      <c r="AF119" s="571"/>
      <c r="AG119" s="571"/>
      <c r="AH119" s="571"/>
      <c r="AI119" s="571"/>
      <c r="AJ119" s="571"/>
      <c r="AK119" s="571"/>
      <c r="AL119" s="571"/>
      <c r="AM119" s="571"/>
      <c r="AN119" s="571"/>
      <c r="AO119" s="571"/>
      <c r="AP119" s="2153"/>
      <c r="AQ119" s="2153">
        <f>+'STER Canalyst'!BB623*1000</f>
        <v>0</v>
      </c>
      <c r="AR119" s="2153">
        <f>+'STER Canalyst'!BC623*1000</f>
        <v>0</v>
      </c>
      <c r="AS119" s="2153">
        <f>+'STER Canalyst'!BD623*1000</f>
        <v>0</v>
      </c>
      <c r="AT119" s="2153">
        <f>+'STER Canalyst'!BE623*1000</f>
        <v>16835</v>
      </c>
      <c r="AU119" s="2153">
        <v>7278</v>
      </c>
    </row>
    <row r="120" spans="1:49" s="413" customFormat="1" ht="14" x14ac:dyDescent="0.4">
      <c r="A120" s="132" t="s">
        <v>530</v>
      </c>
      <c r="C120" s="719"/>
      <c r="D120" s="719"/>
      <c r="E120" s="719"/>
      <c r="F120" s="718">
        <f>+'STER Canalyst'!R624*1000</f>
        <v>12226</v>
      </c>
      <c r="G120" s="719"/>
      <c r="H120" s="719"/>
      <c r="I120" s="719"/>
      <c r="J120" s="718">
        <f>+'STER Canalyst'!V624*1000</f>
        <v>15236</v>
      </c>
      <c r="K120" s="719"/>
      <c r="L120" s="719">
        <f>+'STER Canalyst'!X624*1000</f>
        <v>8433</v>
      </c>
      <c r="M120" s="719">
        <f>+'STER Canalyst'!Y624*1000</f>
        <v>7171</v>
      </c>
      <c r="N120" s="718">
        <f>+'STER Canalyst'!Z624*1000</f>
        <v>5024</v>
      </c>
      <c r="O120" s="719">
        <f>+'STER Canalyst'!AA624*1000</f>
        <v>2577</v>
      </c>
      <c r="P120" s="719">
        <f>+'STER Canalyst'!AB624*1000</f>
        <v>4742</v>
      </c>
      <c r="Q120" s="719">
        <f>+'STER Canalyst'!AC624*1000</f>
        <v>4171</v>
      </c>
      <c r="R120" s="718">
        <f>+'STER Canalyst'!AD624*1000</f>
        <v>2336</v>
      </c>
      <c r="S120" s="719">
        <f>+'STER Canalyst'!AE624*1000</f>
        <v>12681</v>
      </c>
      <c r="T120" s="719">
        <f>+'STER Canalyst'!AF624*1000</f>
        <v>7942</v>
      </c>
      <c r="U120" s="719">
        <f>+'STER Canalyst'!AG624*1000</f>
        <v>3737</v>
      </c>
      <c r="V120" s="718">
        <f>+'STER Canalyst'!AH624*1000</f>
        <v>12058</v>
      </c>
      <c r="W120" s="719">
        <f>+'STER Canalyst'!AI624*1000</f>
        <v>7717</v>
      </c>
      <c r="X120" s="719">
        <f>+'STER Canalyst'!AJ624*1000</f>
        <v>6924</v>
      </c>
      <c r="Y120" s="719"/>
      <c r="Z120" s="719"/>
      <c r="AA120" s="719"/>
      <c r="AB120" s="719"/>
      <c r="AC120" s="719"/>
      <c r="AD120" s="719"/>
      <c r="AE120" s="719"/>
      <c r="AF120" s="719"/>
      <c r="AG120" s="719"/>
      <c r="AH120" s="719"/>
      <c r="AI120" s="719"/>
      <c r="AJ120" s="719"/>
      <c r="AK120" s="719"/>
      <c r="AL120" s="719"/>
      <c r="AM120" s="719"/>
      <c r="AN120" s="719"/>
      <c r="AO120" s="719"/>
      <c r="AP120" s="719"/>
      <c r="AQ120" s="719">
        <f>+'STER Canalyst'!BB624*1000</f>
        <v>12226</v>
      </c>
      <c r="AR120" s="719">
        <f>+'STER Canalyst'!BC624*1000</f>
        <v>15236</v>
      </c>
      <c r="AS120" s="719">
        <f>+'STER Canalyst'!BD624*1000</f>
        <v>5024</v>
      </c>
      <c r="AT120" s="719">
        <f>+'STER Canalyst'!BE624*1000</f>
        <v>2336</v>
      </c>
      <c r="AU120" s="719">
        <v>12058</v>
      </c>
      <c r="AV120" s="719"/>
      <c r="AW120" s="614"/>
    </row>
    <row r="121" spans="1:49" x14ac:dyDescent="0.25">
      <c r="A121" s="425" t="s">
        <v>491</v>
      </c>
      <c r="C121" s="583"/>
      <c r="D121" s="583"/>
      <c r="E121" s="583"/>
      <c r="F121" s="588">
        <f t="shared" ref="F121" si="209">+SUM(F116:F120)</f>
        <v>763638</v>
      </c>
      <c r="G121" s="583"/>
      <c r="H121" s="583"/>
      <c r="I121" s="583"/>
      <c r="J121" s="588">
        <f t="shared" ref="J121" si="210">+SUM(J116:J120)</f>
        <v>732934</v>
      </c>
      <c r="K121" s="583"/>
      <c r="L121" s="583">
        <f t="shared" ref="L121" si="211">+SUM(L116:L120)</f>
        <v>744788</v>
      </c>
      <c r="M121" s="583">
        <f t="shared" ref="M121" si="212">+SUM(M116:M120)</f>
        <v>728549</v>
      </c>
      <c r="N121" s="588">
        <f t="shared" ref="N121" si="213">+SUM(N116:N120)</f>
        <v>662635</v>
      </c>
      <c r="O121" s="583">
        <f t="shared" ref="O121" si="214">+SUM(O116:O120)</f>
        <v>674126</v>
      </c>
      <c r="P121" s="583">
        <f t="shared" ref="P121" si="215">+SUM(P116:P120)</f>
        <v>679695</v>
      </c>
      <c r="Q121" s="583">
        <f t="shared" ref="Q121" si="216">+SUM(Q116:Q120)</f>
        <v>676713</v>
      </c>
      <c r="R121" s="588">
        <f t="shared" ref="R121" si="217">+SUM(R116:R120)</f>
        <v>670608</v>
      </c>
      <c r="S121" s="583">
        <f t="shared" ref="S121" si="218">+SUM(S116:S120)</f>
        <v>679778</v>
      </c>
      <c r="T121" s="583">
        <f t="shared" ref="T121" si="219">+SUM(T116:T120)</f>
        <v>669716</v>
      </c>
      <c r="U121" s="583">
        <f t="shared" ref="U121" si="220">+SUM(U116:U120)</f>
        <v>666174</v>
      </c>
      <c r="V121" s="588">
        <f t="shared" ref="V121" si="221">+SUM(V116:V120)</f>
        <v>661499</v>
      </c>
      <c r="W121" s="583">
        <f t="shared" ref="W121" si="222">+SUM(W116:W120)</f>
        <v>723014</v>
      </c>
      <c r="X121" s="583">
        <f t="shared" ref="X121" si="223">+SUM(X116:X120)</f>
        <v>729113</v>
      </c>
      <c r="Y121" s="583"/>
      <c r="Z121" s="583"/>
      <c r="AA121" s="583"/>
      <c r="AB121" s="583"/>
      <c r="AC121" s="583"/>
      <c r="AD121" s="583"/>
      <c r="AE121" s="583"/>
      <c r="AF121" s="583"/>
      <c r="AG121" s="583"/>
      <c r="AH121" s="583"/>
      <c r="AI121" s="583"/>
      <c r="AJ121" s="583"/>
      <c r="AK121" s="583"/>
      <c r="AL121" s="583"/>
      <c r="AM121" s="583"/>
      <c r="AN121" s="583"/>
      <c r="AO121" s="583"/>
      <c r="AP121" s="583"/>
      <c r="AQ121" s="583">
        <f t="shared" ref="AQ121:AS121" si="224">+SUM(AQ116:AQ120)</f>
        <v>763638</v>
      </c>
      <c r="AR121" s="583">
        <f t="shared" si="224"/>
        <v>732934</v>
      </c>
      <c r="AS121" s="583">
        <f t="shared" si="224"/>
        <v>662635</v>
      </c>
      <c r="AT121" s="583">
        <f>+SUM(AT116:AT120)</f>
        <v>670608</v>
      </c>
      <c r="AU121" s="583">
        <v>661499</v>
      </c>
      <c r="AV121" s="583"/>
      <c r="AW121" s="571"/>
    </row>
    <row r="122" spans="1:49" x14ac:dyDescent="0.25">
      <c r="A122" s="649" t="s">
        <v>833</v>
      </c>
      <c r="C122" s="571"/>
      <c r="D122" s="571"/>
      <c r="E122" s="571"/>
      <c r="F122" s="666"/>
      <c r="G122" s="667"/>
      <c r="H122" s="667"/>
      <c r="I122" s="667"/>
      <c r="J122" s="666"/>
      <c r="K122" s="667"/>
      <c r="L122" s="667"/>
      <c r="M122" s="667"/>
      <c r="N122" s="666"/>
      <c r="O122" s="667"/>
      <c r="P122" s="667"/>
      <c r="Q122" s="667"/>
      <c r="R122" s="666"/>
      <c r="S122" s="667"/>
      <c r="T122" s="667"/>
      <c r="U122" s="667"/>
      <c r="V122" s="666"/>
      <c r="W122" s="571"/>
      <c r="X122" s="571"/>
      <c r="Y122" s="571"/>
      <c r="Z122" s="571"/>
      <c r="AA122" s="571"/>
      <c r="AB122" s="571"/>
      <c r="AC122" s="571"/>
      <c r="AD122" s="571"/>
      <c r="AE122" s="571"/>
      <c r="AF122" s="571"/>
      <c r="AG122" s="571"/>
      <c r="AH122" s="571"/>
      <c r="AI122" s="571"/>
      <c r="AJ122" s="571"/>
      <c r="AK122" s="571"/>
      <c r="AL122" s="571"/>
      <c r="AM122" s="571"/>
      <c r="AN122" s="571"/>
      <c r="AO122" s="571"/>
      <c r="AP122" s="571"/>
      <c r="AQ122" s="571"/>
      <c r="AR122" s="571"/>
      <c r="AS122" s="571"/>
      <c r="AT122" s="2155"/>
      <c r="AU122" s="2155"/>
    </row>
    <row r="123" spans="1:49" x14ac:dyDescent="0.25">
      <c r="A123" s="649" t="s">
        <v>834</v>
      </c>
      <c r="C123" s="571"/>
      <c r="D123" s="571"/>
      <c r="E123" s="571"/>
      <c r="F123" s="666"/>
      <c r="G123" s="667"/>
      <c r="H123" s="667"/>
      <c r="I123" s="667"/>
      <c r="J123" s="666"/>
      <c r="K123" s="667"/>
      <c r="L123" s="667"/>
      <c r="M123" s="667"/>
      <c r="N123" s="666"/>
      <c r="O123" s="667"/>
      <c r="P123" s="667"/>
      <c r="Q123" s="667"/>
      <c r="R123" s="666"/>
      <c r="S123" s="667"/>
      <c r="T123" s="667"/>
      <c r="U123" s="667"/>
      <c r="V123" s="666"/>
      <c r="W123" s="571"/>
      <c r="X123" s="571"/>
      <c r="Y123" s="571"/>
      <c r="Z123" s="571"/>
      <c r="AA123" s="571"/>
      <c r="AB123" s="571"/>
      <c r="AC123" s="571"/>
      <c r="AD123" s="571"/>
      <c r="AE123" s="571"/>
      <c r="AF123" s="571"/>
      <c r="AG123" s="571"/>
      <c r="AH123" s="571"/>
      <c r="AI123" s="571"/>
      <c r="AJ123" s="571"/>
      <c r="AK123" s="571"/>
      <c r="AL123" s="571"/>
      <c r="AM123" s="571"/>
      <c r="AN123" s="571"/>
      <c r="AO123" s="571"/>
      <c r="AP123" s="571"/>
      <c r="AQ123" s="571"/>
      <c r="AR123" s="571"/>
      <c r="AS123" s="571"/>
      <c r="AT123" s="2155"/>
      <c r="AU123" s="2155"/>
    </row>
    <row r="124" spans="1:49" x14ac:dyDescent="0.25">
      <c r="A124" s="649" t="s">
        <v>835</v>
      </c>
      <c r="C124" s="571"/>
      <c r="D124" s="571"/>
      <c r="E124" s="571"/>
      <c r="F124" s="2159">
        <f>+'STER Canalyst'!R628*1000</f>
        <v>0</v>
      </c>
      <c r="G124" s="2166"/>
      <c r="H124" s="2166"/>
      <c r="I124" s="2166"/>
      <c r="J124" s="2159">
        <f>+'STER Canalyst'!V628*1000</f>
        <v>0</v>
      </c>
      <c r="K124" s="2166"/>
      <c r="L124" s="2166">
        <f>+'STER Canalyst'!X628*1000</f>
        <v>0</v>
      </c>
      <c r="M124" s="2166">
        <f>+'STER Canalyst'!Y628*1000</f>
        <v>0</v>
      </c>
      <c r="N124" s="2159">
        <f>+'STER Canalyst'!Z628*1000</f>
        <v>0</v>
      </c>
      <c r="O124" s="2166">
        <f>+'STER Canalyst'!AA628*1000</f>
        <v>0</v>
      </c>
      <c r="P124" s="2166">
        <f>+'STER Canalyst'!AB628*1000</f>
        <v>0</v>
      </c>
      <c r="Q124" s="2166">
        <f>+'STER Canalyst'!AC628*1000</f>
        <v>0</v>
      </c>
      <c r="R124" s="2159">
        <f>+'STER Canalyst'!AD628*1000</f>
        <v>0</v>
      </c>
      <c r="S124" s="2166">
        <f>+'STER Canalyst'!AE628*1000</f>
        <v>0</v>
      </c>
      <c r="T124" s="2166">
        <f>+'STER Canalyst'!AF628*1000</f>
        <v>0</v>
      </c>
      <c r="U124" s="2166">
        <f>+'STER Canalyst'!AG628*1000</f>
        <v>0</v>
      </c>
      <c r="V124" s="2159">
        <f>+'STER Canalyst'!AH628*1000</f>
        <v>0</v>
      </c>
      <c r="W124" s="2153">
        <f>+'STER Canalyst'!AI628*1000</f>
        <v>0</v>
      </c>
      <c r="X124" s="2153">
        <f>+'STER Canalyst'!AJ628*1000</f>
        <v>0</v>
      </c>
      <c r="Y124" s="2153"/>
      <c r="Z124" s="571"/>
      <c r="AA124" s="571"/>
      <c r="AB124" s="571"/>
      <c r="AC124" s="571"/>
      <c r="AD124" s="571"/>
      <c r="AE124" s="571"/>
      <c r="AF124" s="571"/>
      <c r="AG124" s="571"/>
      <c r="AH124" s="571"/>
      <c r="AI124" s="571"/>
      <c r="AJ124" s="571"/>
      <c r="AK124" s="571"/>
      <c r="AL124" s="571"/>
      <c r="AM124" s="571"/>
      <c r="AN124" s="571"/>
      <c r="AO124" s="571"/>
      <c r="AP124" s="571"/>
      <c r="AQ124" s="2153">
        <f>+'STER Canalyst'!BB628*1000</f>
        <v>0</v>
      </c>
      <c r="AR124" s="2153">
        <f>+'STER Canalyst'!BC628*1000</f>
        <v>0</v>
      </c>
      <c r="AS124" s="2153">
        <f>+'STER Canalyst'!BD628*1000</f>
        <v>0</v>
      </c>
      <c r="AT124" s="2153">
        <f>+'STER Canalyst'!BE628*1000</f>
        <v>0</v>
      </c>
      <c r="AU124" s="2153">
        <v>0</v>
      </c>
    </row>
    <row r="125" spans="1:49" x14ac:dyDescent="0.25">
      <c r="A125" s="649" t="s">
        <v>836</v>
      </c>
      <c r="C125" s="571"/>
      <c r="D125" s="571"/>
      <c r="E125" s="571"/>
      <c r="F125" s="2159">
        <f>+'STER Canalyst'!R629*1000</f>
        <v>1</v>
      </c>
      <c r="G125" s="2166"/>
      <c r="H125" s="2166"/>
      <c r="I125" s="2166"/>
      <c r="J125" s="2159">
        <f>+'STER Canalyst'!V629*1000</f>
        <v>1</v>
      </c>
      <c r="K125" s="2166"/>
      <c r="L125" s="2166">
        <f>+'STER Canalyst'!X629*1000</f>
        <v>1</v>
      </c>
      <c r="M125" s="2166">
        <f>+'STER Canalyst'!Y629*1000</f>
        <v>68</v>
      </c>
      <c r="N125" s="2159">
        <f>+'STER Canalyst'!Z629*1000</f>
        <v>68</v>
      </c>
      <c r="O125" s="2166">
        <f>+'STER Canalyst'!AA629*1000</f>
        <v>73</v>
      </c>
      <c r="P125" s="2166">
        <f>+'STER Canalyst'!AB629*1000</f>
        <v>73</v>
      </c>
      <c r="Q125" s="2166">
        <f>+'STER Canalyst'!AC629*1000</f>
        <v>75</v>
      </c>
      <c r="R125" s="2159">
        <f>+'STER Canalyst'!AD629*1000</f>
        <v>76</v>
      </c>
      <c r="S125" s="2166">
        <f>+'STER Canalyst'!AE629*1000</f>
        <v>95</v>
      </c>
      <c r="T125" s="2166">
        <f>+'STER Canalyst'!AF629*1000</f>
        <v>96</v>
      </c>
      <c r="U125" s="2166">
        <f>+'STER Canalyst'!AG629*1000</f>
        <v>97</v>
      </c>
      <c r="V125" s="2159">
        <f>+'STER Canalyst'!AH629*1000</f>
        <v>98</v>
      </c>
      <c r="W125" s="2153">
        <f>+'STER Canalyst'!AI629*1000</f>
        <v>156</v>
      </c>
      <c r="X125" s="2153">
        <f>+'STER Canalyst'!AJ629*1000</f>
        <v>157</v>
      </c>
      <c r="Y125" s="2153"/>
      <c r="Z125" s="571"/>
      <c r="AA125" s="571"/>
      <c r="AB125" s="571"/>
      <c r="AC125" s="571"/>
      <c r="AD125" s="571"/>
      <c r="AE125" s="571"/>
      <c r="AF125" s="571"/>
      <c r="AG125" s="571"/>
      <c r="AH125" s="571"/>
      <c r="AI125" s="571"/>
      <c r="AJ125" s="571"/>
      <c r="AK125" s="571"/>
      <c r="AL125" s="571"/>
      <c r="AM125" s="571"/>
      <c r="AN125" s="571"/>
      <c r="AO125" s="571"/>
      <c r="AP125" s="571"/>
      <c r="AQ125" s="2153">
        <f>+'STER Canalyst'!BB629*1000</f>
        <v>1</v>
      </c>
      <c r="AR125" s="2153">
        <f>+'STER Canalyst'!BC629*1000</f>
        <v>1</v>
      </c>
      <c r="AS125" s="2153">
        <f>+'STER Canalyst'!BD629*1000</f>
        <v>68</v>
      </c>
      <c r="AT125" s="2153">
        <f>+'STER Canalyst'!BE629*1000</f>
        <v>76</v>
      </c>
      <c r="AU125" s="2153">
        <v>98</v>
      </c>
    </row>
    <row r="126" spans="1:49" x14ac:dyDescent="0.25">
      <c r="A126" s="649" t="s">
        <v>837</v>
      </c>
      <c r="C126" s="571"/>
      <c r="D126" s="571"/>
      <c r="E126" s="571"/>
      <c r="F126" s="2159">
        <f>+'STER Canalyst'!R630*1000</f>
        <v>764769</v>
      </c>
      <c r="G126" s="2166"/>
      <c r="H126" s="2166"/>
      <c r="I126" s="2166"/>
      <c r="J126" s="2159">
        <f>+'STER Canalyst'!V630*1000</f>
        <v>770714</v>
      </c>
      <c r="K126" s="2166"/>
      <c r="L126" s="2166">
        <f>+'STER Canalyst'!X630*1000</f>
        <v>774817</v>
      </c>
      <c r="M126" s="2166">
        <f>+'STER Canalyst'!Y630*1000</f>
        <v>911233</v>
      </c>
      <c r="N126" s="2159">
        <f>+'STER Canalyst'!Z630*1000</f>
        <v>916578</v>
      </c>
      <c r="O126" s="2166">
        <f>+'STER Canalyst'!AA630*1000</f>
        <v>921753</v>
      </c>
      <c r="P126" s="2166">
        <f>+'STER Canalyst'!AB630*1000</f>
        <v>928486</v>
      </c>
      <c r="Q126" s="2166">
        <f>+'STER Canalyst'!AC630*1000</f>
        <v>936239</v>
      </c>
      <c r="R126" s="2159">
        <f>+'STER Canalyst'!AD630*1000</f>
        <v>942789</v>
      </c>
      <c r="S126" s="2166">
        <f>+'STER Canalyst'!AE630*1000</f>
        <v>950813</v>
      </c>
      <c r="T126" s="2166">
        <f>+'STER Canalyst'!AF630*1000</f>
        <v>960781</v>
      </c>
      <c r="U126" s="2166">
        <f>+'STER Canalyst'!AG630*1000</f>
        <v>971950</v>
      </c>
      <c r="V126" s="2159">
        <f>+'STER Canalyst'!AH630*1000</f>
        <v>983283</v>
      </c>
      <c r="W126" s="2153">
        <f>+'STER Canalyst'!AI630*1000</f>
        <v>1027214</v>
      </c>
      <c r="X126" s="2153">
        <f>+'STER Canalyst'!AJ630*1000</f>
        <v>1039337</v>
      </c>
      <c r="Y126" s="2153"/>
      <c r="Z126" s="571"/>
      <c r="AA126" s="571"/>
      <c r="AB126" s="571"/>
      <c r="AC126" s="571"/>
      <c r="AD126" s="571"/>
      <c r="AE126" s="571"/>
      <c r="AF126" s="571"/>
      <c r="AG126" s="571"/>
      <c r="AH126" s="571"/>
      <c r="AI126" s="571"/>
      <c r="AJ126" s="571"/>
      <c r="AK126" s="571"/>
      <c r="AL126" s="571"/>
      <c r="AM126" s="571"/>
      <c r="AN126" s="571"/>
      <c r="AO126" s="571"/>
      <c r="AP126" s="571"/>
      <c r="AQ126" s="2153">
        <f>+'STER Canalyst'!BB630*1000</f>
        <v>764769</v>
      </c>
      <c r="AR126" s="2153">
        <f>+'STER Canalyst'!BC630*1000</f>
        <v>770714</v>
      </c>
      <c r="AS126" s="2153">
        <f>+'STER Canalyst'!BD630*1000</f>
        <v>916578</v>
      </c>
      <c r="AT126" s="2153">
        <f>+'STER Canalyst'!BE630*1000</f>
        <v>942789</v>
      </c>
      <c r="AU126" s="2153">
        <v>983283</v>
      </c>
    </row>
    <row r="127" spans="1:49" x14ac:dyDescent="0.25">
      <c r="A127" s="649" t="s">
        <v>838</v>
      </c>
      <c r="C127" s="571"/>
      <c r="D127" s="571"/>
      <c r="E127" s="571"/>
      <c r="F127" s="2159">
        <f>+'STER Canalyst'!R631*1000</f>
        <v>-897</v>
      </c>
      <c r="G127" s="2166"/>
      <c r="H127" s="2166"/>
      <c r="I127" s="2166"/>
      <c r="J127" s="2159">
        <f>+'STER Canalyst'!V631*1000</f>
        <v>-897</v>
      </c>
      <c r="K127" s="2166"/>
      <c r="L127" s="2166">
        <f>+'STER Canalyst'!X631*1000</f>
        <v>-897</v>
      </c>
      <c r="M127" s="2166">
        <f>+'STER Canalyst'!Y631*1000</f>
        <v>-897</v>
      </c>
      <c r="N127" s="2159">
        <f>+'STER Canalyst'!Z631*1000</f>
        <v>-897</v>
      </c>
      <c r="O127" s="2166">
        <f>+'STER Canalyst'!AA631*1000</f>
        <v>-897</v>
      </c>
      <c r="P127" s="2166">
        <f>+'STER Canalyst'!AB631*1000</f>
        <v>-897</v>
      </c>
      <c r="Q127" s="2166">
        <f>+'STER Canalyst'!AC631*1000</f>
        <v>-897</v>
      </c>
      <c r="R127" s="2159">
        <f>+'STER Canalyst'!AD631*1000</f>
        <v>-14859</v>
      </c>
      <c r="S127" s="2166">
        <f>+'STER Canalyst'!AE631*1000</f>
        <v>-23058</v>
      </c>
      <c r="T127" s="2166">
        <f>+'STER Canalyst'!AF631*1000</f>
        <v>-40773</v>
      </c>
      <c r="U127" s="2166">
        <f>+'STER Canalyst'!AG631*1000</f>
        <v>-64498.999999999993</v>
      </c>
      <c r="V127" s="2159">
        <f>+'STER Canalyst'!AH631*1000</f>
        <v>-88918</v>
      </c>
      <c r="W127" s="2153">
        <f>+'STER Canalyst'!AI631*1000</f>
        <v>-99653</v>
      </c>
      <c r="X127" s="2153">
        <f>+'STER Canalyst'!AJ631*1000</f>
        <v>-99929</v>
      </c>
      <c r="Y127" s="2153"/>
      <c r="Z127" s="571"/>
      <c r="AA127" s="571"/>
      <c r="AB127" s="571"/>
      <c r="AC127" s="571"/>
      <c r="AD127" s="571"/>
      <c r="AE127" s="571"/>
      <c r="AF127" s="571"/>
      <c r="AG127" s="571"/>
      <c r="AH127" s="571"/>
      <c r="AI127" s="571"/>
      <c r="AJ127" s="571"/>
      <c r="AK127" s="571"/>
      <c r="AL127" s="571"/>
      <c r="AM127" s="571"/>
      <c r="AN127" s="571"/>
      <c r="AO127" s="571"/>
      <c r="AP127" s="571"/>
      <c r="AQ127" s="2153">
        <f>+'STER Canalyst'!BB631*1000</f>
        <v>-897</v>
      </c>
      <c r="AR127" s="2153">
        <f>+'STER Canalyst'!BC631*1000</f>
        <v>-897</v>
      </c>
      <c r="AS127" s="2153">
        <f>+'STER Canalyst'!BD631*1000</f>
        <v>-897</v>
      </c>
      <c r="AT127" s="2153">
        <f>+'STER Canalyst'!BE631*1000</f>
        <v>-14859</v>
      </c>
      <c r="AU127" s="2153">
        <v>-88918</v>
      </c>
    </row>
    <row r="128" spans="1:49" x14ac:dyDescent="0.25">
      <c r="A128" s="649" t="s">
        <v>839</v>
      </c>
      <c r="C128" s="571"/>
      <c r="D128" s="571"/>
      <c r="E128" s="571"/>
      <c r="F128" s="2159">
        <f>+'STER Canalyst'!R632*1000</f>
        <v>-135398</v>
      </c>
      <c r="G128" s="2166"/>
      <c r="H128" s="2166"/>
      <c r="I128" s="2166"/>
      <c r="J128" s="2159">
        <f>+'STER Canalyst'!V632*1000</f>
        <v>-187691</v>
      </c>
      <c r="K128" s="2166"/>
      <c r="L128" s="2166">
        <f>+'STER Canalyst'!X632*1000</f>
        <v>-183666</v>
      </c>
      <c r="M128" s="2166">
        <f>+'STER Canalyst'!Y632*1000</f>
        <v>-208922</v>
      </c>
      <c r="N128" s="2159">
        <f>+'STER Canalyst'!Z632*1000</f>
        <v>-206218</v>
      </c>
      <c r="O128" s="2166">
        <f>+'STER Canalyst'!AA632*1000</f>
        <v>-200180</v>
      </c>
      <c r="P128" s="2166">
        <f>+'STER Canalyst'!AB632*1000</f>
        <v>-188609</v>
      </c>
      <c r="Q128" s="2166">
        <f>+'STER Canalyst'!AC632*1000</f>
        <v>-179306</v>
      </c>
      <c r="R128" s="2159">
        <f>+'STER Canalyst'!AD632*1000</f>
        <v>-186448</v>
      </c>
      <c r="S128" s="2166">
        <f>+'STER Canalyst'!AE632*1000</f>
        <v>-185857</v>
      </c>
      <c r="T128" s="2166">
        <f>+'STER Canalyst'!AF632*1000</f>
        <v>-185534</v>
      </c>
      <c r="U128" s="2166">
        <f>+'STER Canalyst'!AG632*1000</f>
        <v>-183180</v>
      </c>
      <c r="V128" s="2159">
        <f>+'STER Canalyst'!AH632*1000</f>
        <v>-186564</v>
      </c>
      <c r="W128" s="2153">
        <f>+'STER Canalyst'!AI632*1000</f>
        <v>-194519</v>
      </c>
      <c r="X128" s="2153">
        <f>+'STER Canalyst'!AJ632*1000</f>
        <v>-200751</v>
      </c>
      <c r="Y128" s="2153"/>
      <c r="Z128" s="571"/>
      <c r="AA128" s="571"/>
      <c r="AB128" s="571"/>
      <c r="AC128" s="571"/>
      <c r="AD128" s="571"/>
      <c r="AE128" s="571"/>
      <c r="AF128" s="571"/>
      <c r="AG128" s="571"/>
      <c r="AH128" s="571"/>
      <c r="AI128" s="571"/>
      <c r="AJ128" s="571"/>
      <c r="AK128" s="571"/>
      <c r="AL128" s="571"/>
      <c r="AM128" s="571"/>
      <c r="AN128" s="571"/>
      <c r="AO128" s="571"/>
      <c r="AP128" s="571"/>
      <c r="AQ128" s="2153">
        <f>+'STER Canalyst'!BB632*1000</f>
        <v>-135398</v>
      </c>
      <c r="AR128" s="2153">
        <f>+'STER Canalyst'!BC632*1000</f>
        <v>-187691</v>
      </c>
      <c r="AS128" s="2153">
        <f>+'STER Canalyst'!BD632*1000</f>
        <v>-206218</v>
      </c>
      <c r="AT128" s="2153">
        <f>+'STER Canalyst'!BE632*1000</f>
        <v>-186448</v>
      </c>
      <c r="AU128" s="2153">
        <v>-186564</v>
      </c>
    </row>
    <row r="129" spans="1:49" s="413" customFormat="1" ht="14" x14ac:dyDescent="0.4">
      <c r="A129" s="132" t="s">
        <v>840</v>
      </c>
      <c r="C129" s="719"/>
      <c r="D129" s="719"/>
      <c r="E129" s="719"/>
      <c r="F129" s="718">
        <f>+'STER Canalyst'!R633*1000</f>
        <v>-1364</v>
      </c>
      <c r="G129" s="719"/>
      <c r="H129" s="719"/>
      <c r="I129" s="719"/>
      <c r="J129" s="718">
        <f>+'STER Canalyst'!V633*1000</f>
        <v>1057</v>
      </c>
      <c r="K129" s="719"/>
      <c r="L129" s="719">
        <f>+'STER Canalyst'!X633*1000</f>
        <v>1329</v>
      </c>
      <c r="M129" s="719">
        <f>+'STER Canalyst'!Y633*1000</f>
        <v>-237</v>
      </c>
      <c r="N129" s="718">
        <f>+'STER Canalyst'!Z633*1000</f>
        <v>93</v>
      </c>
      <c r="O129" s="719">
        <f>+'STER Canalyst'!AA633*1000</f>
        <v>376</v>
      </c>
      <c r="P129" s="719">
        <f>+'STER Canalyst'!AB633*1000</f>
        <v>-3107</v>
      </c>
      <c r="Q129" s="719">
        <f>+'STER Canalyst'!AC633*1000</f>
        <v>-7897</v>
      </c>
      <c r="R129" s="718">
        <f>+'STER Canalyst'!AD633*1000</f>
        <v>-4912</v>
      </c>
      <c r="S129" s="719">
        <f>+'STER Canalyst'!AE633*1000</f>
        <v>-9389</v>
      </c>
      <c r="T129" s="719">
        <f>+'STER Canalyst'!AF633*1000</f>
        <v>-3683</v>
      </c>
      <c r="U129" s="719">
        <f>+'STER Canalyst'!AG633*1000</f>
        <v>-3627</v>
      </c>
      <c r="V129" s="718">
        <f>+'STER Canalyst'!AH633*1000</f>
        <v>-5955</v>
      </c>
      <c r="W129" s="719">
        <f>+'STER Canalyst'!AI633*1000</f>
        <v>-5186</v>
      </c>
      <c r="X129" s="719">
        <f>+'STER Canalyst'!AJ633*1000</f>
        <v>-4688</v>
      </c>
      <c r="Y129" s="719"/>
      <c r="Z129" s="719"/>
      <c r="AA129" s="719"/>
      <c r="AB129" s="719"/>
      <c r="AC129" s="719"/>
      <c r="AD129" s="719"/>
      <c r="AE129" s="719"/>
      <c r="AF129" s="719"/>
      <c r="AG129" s="719"/>
      <c r="AH129" s="719"/>
      <c r="AI129" s="719"/>
      <c r="AJ129" s="719"/>
      <c r="AK129" s="719"/>
      <c r="AL129" s="719"/>
      <c r="AM129" s="719"/>
      <c r="AN129" s="719"/>
      <c r="AO129" s="719"/>
      <c r="AP129" s="719"/>
      <c r="AQ129" s="719">
        <f>+'STER Canalyst'!BB633*1000</f>
        <v>-1364</v>
      </c>
      <c r="AR129" s="719">
        <f>+'STER Canalyst'!BC633*1000</f>
        <v>1057</v>
      </c>
      <c r="AS129" s="719">
        <f>+'STER Canalyst'!BD633*1000</f>
        <v>93</v>
      </c>
      <c r="AT129" s="719">
        <f>+'STER Canalyst'!BE633*1000</f>
        <v>-4912</v>
      </c>
      <c r="AU129" s="719">
        <v>-5955</v>
      </c>
      <c r="AV129" s="719"/>
      <c r="AW129" s="614"/>
    </row>
    <row r="130" spans="1:49" s="565" customFormat="1" x14ac:dyDescent="0.25">
      <c r="A130" s="425" t="s">
        <v>841</v>
      </c>
      <c r="C130" s="591"/>
      <c r="D130" s="591"/>
      <c r="E130" s="591"/>
      <c r="F130" s="590">
        <f t="shared" ref="F130" si="225">+SUM(F124:F129)</f>
        <v>627111</v>
      </c>
      <c r="G130" s="591"/>
      <c r="H130" s="591"/>
      <c r="I130" s="591"/>
      <c r="J130" s="590">
        <f t="shared" ref="J130" si="226">+SUM(J124:J129)</f>
        <v>583184</v>
      </c>
      <c r="K130" s="591"/>
      <c r="L130" s="591">
        <f t="shared" ref="L130" si="227">+SUM(L124:L129)</f>
        <v>591584</v>
      </c>
      <c r="M130" s="591">
        <f t="shared" ref="M130" si="228">+SUM(M124:M129)</f>
        <v>701245</v>
      </c>
      <c r="N130" s="590">
        <f t="shared" ref="N130" si="229">+SUM(N124:N129)</f>
        <v>709624</v>
      </c>
      <c r="O130" s="591">
        <f t="shared" ref="O130" si="230">+SUM(O124:O129)</f>
        <v>721125</v>
      </c>
      <c r="P130" s="591">
        <f t="shared" ref="P130" si="231">+SUM(P124:P129)</f>
        <v>735946</v>
      </c>
      <c r="Q130" s="591">
        <f t="shared" ref="Q130" si="232">+SUM(Q124:Q129)</f>
        <v>748214</v>
      </c>
      <c r="R130" s="590">
        <f t="shared" ref="R130" si="233">+SUM(R124:R129)</f>
        <v>736646</v>
      </c>
      <c r="S130" s="591">
        <f t="shared" ref="S130" si="234">+SUM(S124:S129)</f>
        <v>732604</v>
      </c>
      <c r="T130" s="591">
        <f t="shared" ref="T130" si="235">+SUM(T124:T129)</f>
        <v>730887</v>
      </c>
      <c r="U130" s="591">
        <f t="shared" ref="U130" si="236">+SUM(U124:U129)</f>
        <v>720741</v>
      </c>
      <c r="V130" s="590">
        <f t="shared" ref="V130" si="237">+SUM(V124:V129)</f>
        <v>701944</v>
      </c>
      <c r="W130" s="591">
        <f t="shared" ref="W130" si="238">+SUM(W124:W129)</f>
        <v>728012</v>
      </c>
      <c r="X130" s="591">
        <f t="shared" ref="X130" si="239">+SUM(X124:X129)</f>
        <v>734126</v>
      </c>
      <c r="Y130" s="591"/>
      <c r="Z130" s="591"/>
      <c r="AA130" s="591"/>
      <c r="AB130" s="591"/>
      <c r="AC130" s="591"/>
      <c r="AD130" s="591"/>
      <c r="AE130" s="591"/>
      <c r="AF130" s="591"/>
      <c r="AG130" s="591"/>
      <c r="AH130" s="591"/>
      <c r="AI130" s="591"/>
      <c r="AJ130" s="591"/>
      <c r="AK130" s="591"/>
      <c r="AL130" s="591"/>
      <c r="AM130" s="591"/>
      <c r="AN130" s="591"/>
      <c r="AO130" s="591"/>
      <c r="AP130" s="591"/>
      <c r="AQ130" s="591">
        <f t="shared" ref="AQ130:AS130" si="240">+SUM(AQ124:AQ129)</f>
        <v>627111</v>
      </c>
      <c r="AR130" s="591">
        <f t="shared" si="240"/>
        <v>583184</v>
      </c>
      <c r="AS130" s="591">
        <f t="shared" si="240"/>
        <v>709624</v>
      </c>
      <c r="AT130" s="591">
        <f>+SUM(AT124:AT129)</f>
        <v>736646</v>
      </c>
      <c r="AU130" s="591">
        <v>701944</v>
      </c>
      <c r="AV130" s="591"/>
      <c r="AW130" s="572"/>
    </row>
    <row r="131" spans="1:49" s="163" customFormat="1" ht="13" x14ac:dyDescent="0.3">
      <c r="A131" s="2152" t="s">
        <v>842</v>
      </c>
      <c r="C131" s="573"/>
      <c r="D131" s="573"/>
      <c r="E131" s="573"/>
      <c r="F131" s="2163">
        <f t="shared" ref="F131" si="241">+F130+F121</f>
        <v>1390749</v>
      </c>
      <c r="G131" s="2169"/>
      <c r="H131" s="2169"/>
      <c r="I131" s="2169"/>
      <c r="J131" s="2163">
        <f t="shared" ref="J131" si="242">+J130+J121</f>
        <v>1316118</v>
      </c>
      <c r="K131" s="2169"/>
      <c r="L131" s="2169">
        <f t="shared" ref="L131" si="243">+L130+L121</f>
        <v>1336372</v>
      </c>
      <c r="M131" s="2169">
        <f t="shared" ref="M131" si="244">+M130+M121</f>
        <v>1429794</v>
      </c>
      <c r="N131" s="2163">
        <f t="shared" ref="N131" si="245">+N130+N121</f>
        <v>1372259</v>
      </c>
      <c r="O131" s="2169">
        <f t="shared" ref="O131" si="246">+O130+O121</f>
        <v>1395251</v>
      </c>
      <c r="P131" s="2169">
        <f t="shared" ref="P131" si="247">+P130+P121</f>
        <v>1415641</v>
      </c>
      <c r="Q131" s="2169">
        <f t="shared" ref="Q131" si="248">+Q130+Q121</f>
        <v>1424927</v>
      </c>
      <c r="R131" s="2163">
        <f t="shared" ref="R131" si="249">+R130+R121</f>
        <v>1407254</v>
      </c>
      <c r="S131" s="2169">
        <f t="shared" ref="S131" si="250">+S130+S121</f>
        <v>1412382</v>
      </c>
      <c r="T131" s="2169">
        <f t="shared" ref="T131" si="251">+T130+T121</f>
        <v>1400603</v>
      </c>
      <c r="U131" s="2169">
        <f t="shared" ref="U131" si="252">+U130+U121</f>
        <v>1386915</v>
      </c>
      <c r="V131" s="2163">
        <f t="shared" ref="V131" si="253">+V130+V121</f>
        <v>1363443</v>
      </c>
      <c r="W131" s="2156">
        <f t="shared" ref="W131" si="254">+W130+W121</f>
        <v>1451026</v>
      </c>
      <c r="X131" s="2156">
        <f t="shared" ref="X131" si="255">+X130+X121</f>
        <v>1463239</v>
      </c>
      <c r="Y131" s="2156"/>
      <c r="Z131" s="573"/>
      <c r="AA131" s="573"/>
      <c r="AB131" s="573"/>
      <c r="AC131" s="573"/>
      <c r="AD131" s="573"/>
      <c r="AE131" s="573"/>
      <c r="AF131" s="573"/>
      <c r="AG131" s="573"/>
      <c r="AH131" s="573"/>
      <c r="AI131" s="573"/>
      <c r="AJ131" s="573"/>
      <c r="AK131" s="573"/>
      <c r="AL131" s="573"/>
      <c r="AM131" s="573"/>
      <c r="AN131" s="573"/>
      <c r="AO131" s="573"/>
      <c r="AP131" s="573"/>
      <c r="AQ131" s="2156">
        <f t="shared" ref="AQ131:AS131" si="256">+AQ130+AQ121</f>
        <v>1390749</v>
      </c>
      <c r="AR131" s="2156">
        <f t="shared" si="256"/>
        <v>1316118</v>
      </c>
      <c r="AS131" s="2156">
        <f t="shared" si="256"/>
        <v>1372259</v>
      </c>
      <c r="AT131" s="2156">
        <f>+AT130+AT121</f>
        <v>1407254</v>
      </c>
      <c r="AU131" s="2156">
        <v>1363443</v>
      </c>
    </row>
    <row r="132" spans="1:49" ht="13" x14ac:dyDescent="0.3">
      <c r="C132" s="571"/>
      <c r="D132" s="571"/>
      <c r="E132" s="571"/>
      <c r="F132" s="2164" t="b">
        <f t="shared" ref="F132" si="257">F131=F105</f>
        <v>1</v>
      </c>
      <c r="G132" s="2170"/>
      <c r="H132" s="2170"/>
      <c r="I132" s="2170"/>
      <c r="J132" s="2164" t="b">
        <f t="shared" ref="J132" si="258">J131=J105</f>
        <v>1</v>
      </c>
      <c r="K132" s="2170"/>
      <c r="L132" s="2170" t="b">
        <f t="shared" ref="L132" si="259">L131=L105</f>
        <v>1</v>
      </c>
      <c r="M132" s="2170" t="b">
        <f t="shared" ref="M132" si="260">M131=M105</f>
        <v>1</v>
      </c>
      <c r="N132" s="2164" t="b">
        <f t="shared" ref="N132" si="261">N131=N105</f>
        <v>1</v>
      </c>
      <c r="O132" s="2170" t="b">
        <f t="shared" ref="O132" si="262">O131=O105</f>
        <v>1</v>
      </c>
      <c r="P132" s="2170" t="b">
        <f t="shared" ref="P132" si="263">P131=P105</f>
        <v>1</v>
      </c>
      <c r="Q132" s="2170" t="b">
        <f t="shared" ref="Q132" si="264">Q131=Q105</f>
        <v>1</v>
      </c>
      <c r="R132" s="2164" t="b">
        <f t="shared" ref="R132" si="265">R131=R105</f>
        <v>1</v>
      </c>
      <c r="S132" s="2170" t="b">
        <f t="shared" ref="S132" si="266">S131=S105</f>
        <v>1</v>
      </c>
      <c r="T132" s="2170" t="b">
        <f t="shared" ref="T132" si="267">T131=T105</f>
        <v>1</v>
      </c>
      <c r="U132" s="2170" t="b">
        <f t="shared" ref="U132" si="268">U131=U105</f>
        <v>1</v>
      </c>
      <c r="V132" s="2164" t="b">
        <f t="shared" ref="V132" si="269">V131=V105</f>
        <v>1</v>
      </c>
      <c r="W132" s="575" t="b">
        <f t="shared" ref="W132" si="270">W131=W105</f>
        <v>1</v>
      </c>
      <c r="X132" s="575" t="b">
        <f t="shared" ref="X132" si="271">X131=X105</f>
        <v>1</v>
      </c>
      <c r="Y132" s="575"/>
      <c r="Z132" s="571"/>
      <c r="AA132" s="571"/>
      <c r="AB132" s="571"/>
      <c r="AC132" s="571"/>
      <c r="AD132" s="571"/>
      <c r="AE132" s="571"/>
      <c r="AF132" s="571"/>
      <c r="AG132" s="571"/>
      <c r="AH132" s="571"/>
      <c r="AI132" s="571"/>
      <c r="AJ132" s="571"/>
      <c r="AK132" s="571"/>
      <c r="AL132" s="571"/>
      <c r="AM132" s="571"/>
      <c r="AN132" s="571"/>
      <c r="AO132" s="571"/>
      <c r="AP132" s="571"/>
      <c r="AQ132" s="575" t="b">
        <f t="shared" ref="AQ132:AS132" si="272">AQ131=AQ105</f>
        <v>1</v>
      </c>
      <c r="AR132" s="575" t="b">
        <f t="shared" si="272"/>
        <v>1</v>
      </c>
      <c r="AS132" s="575" t="b">
        <f t="shared" si="272"/>
        <v>1</v>
      </c>
      <c r="AT132" s="575" t="b">
        <f>AT131=AT105</f>
        <v>1</v>
      </c>
      <c r="AU132" s="575" t="b">
        <f>AU131=AU105</f>
        <v>1</v>
      </c>
    </row>
    <row r="133" spans="1:49" x14ac:dyDescent="0.25">
      <c r="C133" s="571"/>
      <c r="D133" s="571"/>
      <c r="E133" s="571"/>
      <c r="F133" s="666"/>
      <c r="G133" s="667"/>
      <c r="H133" s="667"/>
      <c r="I133" s="667"/>
      <c r="J133" s="666"/>
      <c r="K133" s="667"/>
      <c r="L133" s="667"/>
      <c r="M133" s="667"/>
      <c r="N133" s="666"/>
      <c r="O133" s="667"/>
      <c r="P133" s="667"/>
      <c r="Q133" s="667"/>
      <c r="R133" s="666"/>
      <c r="S133" s="667"/>
      <c r="T133" s="667"/>
      <c r="U133" s="667"/>
      <c r="V133" s="666"/>
      <c r="W133" s="571"/>
      <c r="X133" s="571"/>
      <c r="Y133" s="571"/>
      <c r="Z133" s="571"/>
      <c r="AA133" s="571"/>
      <c r="AB133" s="571"/>
      <c r="AC133" s="571"/>
      <c r="AD133" s="571"/>
      <c r="AE133" s="571"/>
      <c r="AF133" s="571"/>
      <c r="AG133" s="571"/>
      <c r="AH133" s="571"/>
      <c r="AI133" s="571"/>
      <c r="AJ133" s="571"/>
      <c r="AK133" s="571"/>
      <c r="AL133" s="571"/>
      <c r="AM133" s="571"/>
      <c r="AN133" s="571"/>
      <c r="AO133" s="571"/>
      <c r="AP133" s="571"/>
      <c r="AQ133" s="571"/>
      <c r="AR133" s="571"/>
      <c r="AS133" s="571"/>
      <c r="AT133" s="571"/>
      <c r="AU133" s="571"/>
    </row>
    <row r="134" spans="1:49" ht="13" x14ac:dyDescent="0.3">
      <c r="A134" s="569" t="s">
        <v>517</v>
      </c>
      <c r="B134" s="570"/>
      <c r="C134" s="571"/>
      <c r="D134" s="571"/>
      <c r="E134" s="571"/>
      <c r="F134" s="666"/>
      <c r="G134" s="667"/>
      <c r="H134" s="667"/>
      <c r="I134" s="667"/>
      <c r="J134" s="666"/>
      <c r="K134" s="667"/>
      <c r="L134" s="667"/>
      <c r="M134" s="667"/>
      <c r="N134" s="666"/>
      <c r="O134" s="667"/>
      <c r="P134" s="667"/>
      <c r="Q134" s="667"/>
      <c r="R134" s="666"/>
      <c r="S134" s="667"/>
      <c r="T134" s="667"/>
      <c r="U134" s="667"/>
      <c r="V134" s="666"/>
      <c r="W134" s="571"/>
      <c r="X134" s="571"/>
      <c r="Y134" s="571"/>
      <c r="Z134" s="571"/>
      <c r="AA134" s="571"/>
      <c r="AB134" s="571"/>
      <c r="AC134" s="571"/>
      <c r="AD134" s="571"/>
      <c r="AE134" s="571"/>
      <c r="AF134" s="571"/>
      <c r="AG134" s="571"/>
      <c r="AH134" s="571"/>
      <c r="AI134" s="571"/>
      <c r="AJ134" s="571"/>
      <c r="AK134" s="571"/>
      <c r="AL134" s="571"/>
      <c r="AM134" s="571"/>
      <c r="AN134" s="571"/>
      <c r="AO134" s="571"/>
      <c r="AP134" s="571"/>
      <c r="AQ134" s="571"/>
      <c r="AR134" s="571"/>
      <c r="AS134" s="571"/>
      <c r="AT134" s="571"/>
      <c r="AU134" s="571"/>
    </row>
    <row r="135" spans="1:49" x14ac:dyDescent="0.25">
      <c r="C135" s="571"/>
      <c r="D135" s="571"/>
      <c r="E135" s="571"/>
      <c r="F135" s="666"/>
      <c r="G135" s="667"/>
      <c r="H135" s="667"/>
      <c r="I135" s="667"/>
      <c r="J135" s="666"/>
      <c r="K135" s="667"/>
      <c r="L135" s="667"/>
      <c r="M135" s="667"/>
      <c r="N135" s="666"/>
      <c r="O135" s="667"/>
      <c r="P135" s="667"/>
      <c r="Q135" s="667"/>
      <c r="R135" s="666"/>
      <c r="S135" s="667"/>
      <c r="T135" s="667"/>
      <c r="U135" s="667"/>
      <c r="V135" s="666"/>
      <c r="W135" s="571"/>
      <c r="X135" s="571"/>
      <c r="Y135" s="571"/>
      <c r="Z135" s="571"/>
      <c r="AA135" s="571"/>
      <c r="AB135" s="571"/>
      <c r="AC135" s="571"/>
      <c r="AD135" s="571"/>
      <c r="AE135" s="571"/>
      <c r="AF135" s="571"/>
      <c r="AG135" s="571"/>
      <c r="AH135" s="571"/>
      <c r="AI135" s="571"/>
      <c r="AJ135" s="571"/>
      <c r="AK135" s="571"/>
      <c r="AL135" s="571"/>
      <c r="AM135" s="571"/>
      <c r="AN135" s="571"/>
      <c r="AO135" s="571"/>
      <c r="AP135" s="571"/>
      <c r="AQ135" s="571"/>
      <c r="AR135" s="571"/>
      <c r="AS135" s="571"/>
      <c r="AT135" s="571"/>
      <c r="AU135" s="571"/>
    </row>
    <row r="136" spans="1:49" ht="13" x14ac:dyDescent="0.3">
      <c r="A136" s="2152" t="s">
        <v>594</v>
      </c>
      <c r="C136" s="571"/>
      <c r="D136" s="571"/>
      <c r="E136" s="571"/>
      <c r="F136" s="666"/>
      <c r="G136" s="667"/>
      <c r="H136" s="667"/>
      <c r="I136" s="667"/>
      <c r="J136" s="666"/>
      <c r="K136" s="667"/>
      <c r="L136" s="667"/>
      <c r="M136" s="667"/>
      <c r="N136" s="666"/>
      <c r="O136" s="667"/>
      <c r="P136" s="667"/>
      <c r="Q136" s="667"/>
      <c r="R136" s="666"/>
      <c r="S136" s="667"/>
      <c r="T136" s="667"/>
      <c r="U136" s="667"/>
      <c r="V136" s="666"/>
      <c r="W136" s="571"/>
      <c r="X136" s="571"/>
      <c r="Y136" s="571"/>
      <c r="Z136" s="571"/>
      <c r="AA136" s="571"/>
      <c r="AB136" s="571"/>
      <c r="AC136" s="571"/>
      <c r="AD136" s="571"/>
      <c r="AE136" s="571"/>
      <c r="AF136" s="571"/>
      <c r="AG136" s="571"/>
      <c r="AH136" s="571"/>
      <c r="AI136" s="571"/>
      <c r="AJ136" s="571"/>
      <c r="AK136" s="571"/>
      <c r="AL136" s="571"/>
      <c r="AM136" s="571"/>
      <c r="AN136" s="571"/>
      <c r="AO136" s="571"/>
      <c r="AP136" s="571"/>
      <c r="AQ136" s="571"/>
      <c r="AR136" s="571"/>
      <c r="AS136" s="571"/>
      <c r="AT136" s="571"/>
      <c r="AU136" s="571"/>
    </row>
    <row r="137" spans="1:49" x14ac:dyDescent="0.25">
      <c r="A137" s="649" t="s">
        <v>796</v>
      </c>
      <c r="C137" s="2153"/>
      <c r="D137" s="2153"/>
      <c r="E137" s="2153"/>
      <c r="F137" s="2159"/>
      <c r="G137" s="2166"/>
      <c r="H137" s="2166"/>
      <c r="I137" s="2166">
        <f>+'STER Canalyst'!U490*1000</f>
        <v>-10385.999999999996</v>
      </c>
      <c r="J137" s="2159">
        <f>+'STER Canalyst'!V490*1000</f>
        <v>-1060.0000000000023</v>
      </c>
      <c r="K137" s="2166">
        <f>+'STER Canalyst'!W490*1000</f>
        <v>628</v>
      </c>
      <c r="L137" s="2166">
        <f>+'STER Canalyst'!X490*1000</f>
        <v>3397.0000000000005</v>
      </c>
      <c r="M137" s="2166">
        <f>+'STER Canalyst'!Y490*1000</f>
        <v>-25256</v>
      </c>
      <c r="N137" s="2159">
        <f>+'STER Canalyst'!Z490*1000</f>
        <v>2704.0000000000005</v>
      </c>
      <c r="O137" s="2166">
        <f>+'STER Canalyst'!AA490*1000</f>
        <v>6236</v>
      </c>
      <c r="P137" s="2166">
        <f>+'STER Canalyst'!AB490*1000</f>
        <v>11570.999999999998</v>
      </c>
      <c r="Q137" s="2166">
        <f>+'STER Canalyst'!AC490*1000</f>
        <v>9303</v>
      </c>
      <c r="R137" s="2159">
        <f>+'STER Canalyst'!AD490*1000</f>
        <v>-7699.9999999999991</v>
      </c>
      <c r="S137" s="2166">
        <f>+'STER Canalyst'!AE490*1000</f>
        <v>591</v>
      </c>
      <c r="T137" s="2166">
        <f>+'STER Canalyst'!AF490*1000</f>
        <v>323.00000000000006</v>
      </c>
      <c r="U137" s="2166">
        <f>+'STER Canalyst'!AG490*1000</f>
        <v>2353.9999999999995</v>
      </c>
      <c r="V137" s="2159">
        <f>+'STER Canalyst'!AH490*1000</f>
        <v>-3384</v>
      </c>
      <c r="W137" s="2153">
        <f>+'STER Canalyst'!AI490*1000</f>
        <v>-7955</v>
      </c>
      <c r="X137" s="2153">
        <f>+'STER Canalyst'!AJ490*1000</f>
        <v>-6231.9999999999991</v>
      </c>
      <c r="Y137" s="2153"/>
      <c r="Z137" s="2153"/>
      <c r="AA137" s="2153"/>
      <c r="AB137" s="2153"/>
      <c r="AC137" s="2153"/>
      <c r="AD137" s="2153"/>
      <c r="AE137" s="2153"/>
      <c r="AF137" s="2153"/>
      <c r="AG137" s="2153"/>
      <c r="AH137" s="2153"/>
      <c r="AI137" s="2153"/>
      <c r="AJ137" s="2153"/>
      <c r="AK137" s="2153"/>
      <c r="AL137" s="2153"/>
      <c r="AM137" s="2153"/>
      <c r="AN137" s="2153"/>
      <c r="AO137" s="2153"/>
      <c r="AP137" s="2153"/>
      <c r="AQ137" s="2153">
        <f>+'STER Canalyst'!BB490*1000</f>
        <v>-46682</v>
      </c>
      <c r="AR137" s="2153">
        <f>+'STER Canalyst'!BC490*1000</f>
        <v>-52293</v>
      </c>
      <c r="AS137" s="2153">
        <f>+'STER Canalyst'!BD490*1000</f>
        <v>-18527</v>
      </c>
      <c r="AT137" s="2153">
        <v>19410</v>
      </c>
      <c r="AU137" s="2153">
        <v>-116</v>
      </c>
    </row>
    <row r="138" spans="1:49" x14ac:dyDescent="0.25">
      <c r="A138" s="649" t="s">
        <v>595</v>
      </c>
      <c r="C138" s="2155"/>
      <c r="D138" s="2155"/>
      <c r="E138" s="2155"/>
      <c r="F138" s="2165"/>
      <c r="G138" s="2171"/>
      <c r="H138" s="2171"/>
      <c r="I138" s="2171"/>
      <c r="J138" s="2165"/>
      <c r="K138" s="2171"/>
      <c r="L138" s="2171"/>
      <c r="M138" s="2171"/>
      <c r="N138" s="2165"/>
      <c r="O138" s="2171"/>
      <c r="P138" s="2171"/>
      <c r="Q138" s="2171"/>
      <c r="R138" s="2165"/>
      <c r="S138" s="2171"/>
      <c r="T138" s="2171"/>
      <c r="U138" s="2171"/>
      <c r="V138" s="2165"/>
      <c r="W138" s="2155"/>
      <c r="X138" s="2155"/>
      <c r="Y138" s="2155"/>
      <c r="Z138" s="2155"/>
      <c r="AA138" s="2155"/>
      <c r="AB138" s="2155"/>
      <c r="AC138" s="2155"/>
      <c r="AD138" s="2155"/>
      <c r="AE138" s="2155"/>
      <c r="AF138" s="2155"/>
      <c r="AG138" s="2155"/>
      <c r="AH138" s="2155"/>
      <c r="AI138" s="2155"/>
      <c r="AJ138" s="2155"/>
      <c r="AK138" s="2155"/>
      <c r="AL138" s="2155"/>
      <c r="AM138" s="2155"/>
      <c r="AN138" s="2155"/>
      <c r="AO138" s="2155"/>
      <c r="AP138" s="2155"/>
      <c r="AQ138" s="2155"/>
      <c r="AR138" s="2155"/>
      <c r="AS138" s="2155"/>
      <c r="AT138" s="2155"/>
      <c r="AU138" s="2155"/>
    </row>
    <row r="139" spans="1:49" x14ac:dyDescent="0.25">
      <c r="A139" s="649" t="s">
        <v>348</v>
      </c>
      <c r="C139" s="2153"/>
      <c r="D139" s="2153"/>
      <c r="E139" s="2153"/>
      <c r="F139" s="2159"/>
      <c r="G139" s="2166"/>
      <c r="H139" s="2166"/>
      <c r="I139" s="2166">
        <v>0</v>
      </c>
      <c r="J139" s="2159">
        <v>0</v>
      </c>
      <c r="K139" s="2166">
        <v>0</v>
      </c>
      <c r="L139" s="2166">
        <v>0</v>
      </c>
      <c r="M139" s="2166">
        <v>0</v>
      </c>
      <c r="N139" s="2159">
        <v>0</v>
      </c>
      <c r="O139" s="2166">
        <v>0</v>
      </c>
      <c r="P139" s="2166">
        <v>0</v>
      </c>
      <c r="Q139" s="2166">
        <v>0</v>
      </c>
      <c r="R139" s="2159">
        <f>+'STER Canalyst'!AD491*1000</f>
        <v>3673</v>
      </c>
      <c r="S139" s="2166">
        <v>0</v>
      </c>
      <c r="T139" s="2166">
        <v>0</v>
      </c>
      <c r="U139" s="2166">
        <v>0</v>
      </c>
      <c r="V139" s="2159">
        <v>0</v>
      </c>
      <c r="W139" s="2153">
        <v>0</v>
      </c>
      <c r="X139" s="2153">
        <v>0</v>
      </c>
      <c r="Y139" s="2153"/>
      <c r="Z139" s="2153"/>
      <c r="AA139" s="2153"/>
      <c r="AB139" s="2153"/>
      <c r="AC139" s="2153"/>
      <c r="AD139" s="2153"/>
      <c r="AE139" s="2153"/>
      <c r="AF139" s="2153"/>
      <c r="AG139" s="2153"/>
      <c r="AH139" s="2153"/>
      <c r="AI139" s="2153"/>
      <c r="AJ139" s="2153"/>
      <c r="AK139" s="2153"/>
      <c r="AL139" s="2153"/>
      <c r="AM139" s="2153"/>
      <c r="AN139" s="2153"/>
      <c r="AO139" s="2153"/>
      <c r="AP139" s="2153"/>
      <c r="AQ139" s="2153">
        <v>0</v>
      </c>
      <c r="AR139" s="2153">
        <v>0</v>
      </c>
      <c r="AS139" s="2153">
        <v>0</v>
      </c>
      <c r="AT139" s="2153">
        <v>3673</v>
      </c>
      <c r="AU139" s="2153">
        <v>0</v>
      </c>
    </row>
    <row r="140" spans="1:49" x14ac:dyDescent="0.25">
      <c r="A140" s="649" t="s">
        <v>343</v>
      </c>
      <c r="C140" s="2153"/>
      <c r="D140" s="2153"/>
      <c r="E140" s="2153"/>
      <c r="F140" s="2159"/>
      <c r="G140" s="2166"/>
      <c r="H140" s="2166"/>
      <c r="I140" s="2166">
        <f>+'STER Canalyst'!U492*1000</f>
        <v>22863</v>
      </c>
      <c r="J140" s="2159">
        <f>+'STER Canalyst'!V492*1000</f>
        <v>22757.999999999996</v>
      </c>
      <c r="K140" s="2166">
        <f>+'STER Canalyst'!W492*1000</f>
        <v>20549</v>
      </c>
      <c r="L140" s="2166">
        <f>+'STER Canalyst'!X492*1000</f>
        <v>20299</v>
      </c>
      <c r="M140" s="2166">
        <f>+'STER Canalyst'!Y492*1000</f>
        <v>20345</v>
      </c>
      <c r="N140" s="2159">
        <f>+'STER Canalyst'!Z492*1000</f>
        <v>20870.999999999996</v>
      </c>
      <c r="O140" s="2166">
        <f>+'STER Canalyst'!AA492*1000</f>
        <v>20156</v>
      </c>
      <c r="P140" s="2166">
        <f>+'STER Canalyst'!AB492*1000</f>
        <v>19872</v>
      </c>
      <c r="Q140" s="2166">
        <f>+'STER Canalyst'!AC492*1000</f>
        <v>16570</v>
      </c>
      <c r="R140" s="2159">
        <f>+'STER Canalyst'!AD492*1000</f>
        <v>16542</v>
      </c>
      <c r="S140" s="2166">
        <f>+'STER Canalyst'!AE492*1000</f>
        <v>15122</v>
      </c>
      <c r="T140" s="2166">
        <f>+'STER Canalyst'!AF492*1000</f>
        <v>16120.000000000002</v>
      </c>
      <c r="U140" s="2166">
        <f>+'STER Canalyst'!AG492*1000</f>
        <v>15874.999999999996</v>
      </c>
      <c r="V140" s="2159">
        <f>+'STER Canalyst'!AH492*1000</f>
        <v>15736.000000000004</v>
      </c>
      <c r="W140" s="2153">
        <f>+'STER Canalyst'!AI492*1000</f>
        <v>15770</v>
      </c>
      <c r="X140" s="2153">
        <f>+'STER Canalyst'!AJ492*1000</f>
        <v>15820</v>
      </c>
      <c r="Y140" s="2153"/>
      <c r="Z140" s="2153"/>
      <c r="AA140" s="2153"/>
      <c r="AB140" s="2153"/>
      <c r="AC140" s="2153"/>
      <c r="AD140" s="2153"/>
      <c r="AE140" s="2153"/>
      <c r="AF140" s="2153"/>
      <c r="AG140" s="2153"/>
      <c r="AH140" s="2153"/>
      <c r="AI140" s="2153"/>
      <c r="AJ140" s="2153"/>
      <c r="AK140" s="2153"/>
      <c r="AL140" s="2153"/>
      <c r="AM140" s="2153"/>
      <c r="AN140" s="2153"/>
      <c r="AO140" s="2153"/>
      <c r="AP140" s="2153"/>
      <c r="AQ140" s="2153">
        <f>+'STER Canalyst'!BB492*1000</f>
        <v>93802</v>
      </c>
      <c r="AR140" s="2153">
        <f>+'STER Canalyst'!BC492*1000</f>
        <v>91199</v>
      </c>
      <c r="AS140" s="2153">
        <f>+'STER Canalyst'!BD492*1000</f>
        <v>82064</v>
      </c>
      <c r="AT140" s="2153">
        <v>73140</v>
      </c>
      <c r="AU140" s="2153">
        <v>62853</v>
      </c>
    </row>
    <row r="141" spans="1:49" x14ac:dyDescent="0.25">
      <c r="A141" s="649" t="s">
        <v>843</v>
      </c>
      <c r="C141" s="2153"/>
      <c r="D141" s="2153"/>
      <c r="E141" s="2153"/>
      <c r="F141" s="2159"/>
      <c r="G141" s="2166"/>
      <c r="H141" s="2166"/>
      <c r="I141" s="2166">
        <f>+'STER Canalyst'!U493*1000</f>
        <v>4569</v>
      </c>
      <c r="J141" s="2159">
        <f>+'STER Canalyst'!V493*1000</f>
        <v>-12835</v>
      </c>
      <c r="K141" s="2166">
        <f>+'STER Canalyst'!W493*1000</f>
        <v>-2438</v>
      </c>
      <c r="L141" s="2166">
        <f>+'STER Canalyst'!X493*1000</f>
        <v>1739.0000000000002</v>
      </c>
      <c r="M141" s="2166">
        <f>+'STER Canalyst'!Y493*1000</f>
        <v>-12650</v>
      </c>
      <c r="N141" s="2159">
        <f>+'STER Canalyst'!Z493*1000</f>
        <v>-8646.9999999999982</v>
      </c>
      <c r="O141" s="2166">
        <f>+'STER Canalyst'!AA493*1000</f>
        <v>3412</v>
      </c>
      <c r="P141" s="2166">
        <f>+'STER Canalyst'!AB493*1000</f>
        <v>-3.0000000000001137</v>
      </c>
      <c r="Q141" s="2166">
        <f>+'STER Canalyst'!AC493*1000</f>
        <v>1476</v>
      </c>
      <c r="R141" s="2159">
        <f>+'STER Canalyst'!AD493*1000</f>
        <v>-8229</v>
      </c>
      <c r="S141" s="2166">
        <f>+'STER Canalyst'!AE493*1000</f>
        <v>209</v>
      </c>
      <c r="T141" s="2166">
        <f>+'STER Canalyst'!AF493*1000</f>
        <v>-20.999999999999989</v>
      </c>
      <c r="U141" s="2166">
        <f>+'STER Canalyst'!AG493*1000</f>
        <v>-388</v>
      </c>
      <c r="V141" s="2159">
        <f>+'STER Canalyst'!AH493*1000</f>
        <v>-13675</v>
      </c>
      <c r="W141" s="2153">
        <f>+'STER Canalyst'!AI493*1000</f>
        <v>-14306</v>
      </c>
      <c r="X141" s="2153">
        <f>+'STER Canalyst'!AJ493*1000</f>
        <v>4818</v>
      </c>
      <c r="Y141" s="2153"/>
      <c r="Z141" s="2153"/>
      <c r="AA141" s="2153"/>
      <c r="AB141" s="2153"/>
      <c r="AC141" s="2153"/>
      <c r="AD141" s="2153"/>
      <c r="AE141" s="2153"/>
      <c r="AF141" s="2153"/>
      <c r="AG141" s="2153"/>
      <c r="AH141" s="2153"/>
      <c r="AI141" s="2153"/>
      <c r="AJ141" s="2153"/>
      <c r="AK141" s="2153"/>
      <c r="AL141" s="2153"/>
      <c r="AM141" s="2153"/>
      <c r="AN141" s="2153"/>
      <c r="AO141" s="2153"/>
      <c r="AP141" s="2153"/>
      <c r="AQ141" s="2153">
        <f>+'STER Canalyst'!BB493*1000</f>
        <v>-18133</v>
      </c>
      <c r="AR141" s="2153">
        <f>+'STER Canalyst'!BC493*1000</f>
        <v>-16952</v>
      </c>
      <c r="AS141" s="2153">
        <f>+'STER Canalyst'!BD493*1000</f>
        <v>-21996</v>
      </c>
      <c r="AT141" s="2153">
        <v>-3344</v>
      </c>
      <c r="AU141" s="2153">
        <v>-13875</v>
      </c>
    </row>
    <row r="142" spans="1:49" x14ac:dyDescent="0.25">
      <c r="A142" s="649" t="s">
        <v>807</v>
      </c>
      <c r="C142" s="2153"/>
      <c r="D142" s="2153"/>
      <c r="E142" s="2153"/>
      <c r="F142" s="2159"/>
      <c r="G142" s="2166"/>
      <c r="H142" s="2166"/>
      <c r="I142" s="2166">
        <f>+'STER Canalyst'!U494*1000</f>
        <v>570.00000000000011</v>
      </c>
      <c r="J142" s="2159">
        <f>+'STER Canalyst'!V494*1000</f>
        <v>1708.9999999999998</v>
      </c>
      <c r="K142" s="2166">
        <f>+'STER Canalyst'!W494*1000</f>
        <v>898</v>
      </c>
      <c r="L142" s="2166">
        <f>+'STER Canalyst'!X494*1000</f>
        <v>755</v>
      </c>
      <c r="M142" s="2166">
        <f>+'STER Canalyst'!Y494*1000</f>
        <v>25583.000000000004</v>
      </c>
      <c r="N142" s="2159">
        <f>+'STER Canalyst'!Z494*1000</f>
        <v>5343.9999999999973</v>
      </c>
      <c r="O142" s="2166">
        <f>+'STER Canalyst'!AA494*1000</f>
        <v>5108</v>
      </c>
      <c r="P142" s="2166">
        <f>+'STER Canalyst'!AB494*1000</f>
        <v>6023.0000000000009</v>
      </c>
      <c r="Q142" s="2166">
        <f>+'STER Canalyst'!AC494*1000</f>
        <v>6292.9999999999991</v>
      </c>
      <c r="R142" s="2159">
        <f>+'STER Canalyst'!AD494*1000</f>
        <v>6381</v>
      </c>
      <c r="S142" s="2166">
        <f>+'STER Canalyst'!AE494*1000</f>
        <v>8042.9999999999991</v>
      </c>
      <c r="T142" s="2166">
        <f>+'STER Canalyst'!AF494*1000</f>
        <v>9358</v>
      </c>
      <c r="U142" s="2166">
        <f>+'STER Canalyst'!AG494*1000</f>
        <v>9783.0000000000018</v>
      </c>
      <c r="V142" s="2159">
        <f>+'STER Canalyst'!AH494*1000</f>
        <v>7465.9999999999973</v>
      </c>
      <c r="W142" s="2153">
        <f>+'STER Canalyst'!AI494*1000</f>
        <v>9342</v>
      </c>
      <c r="X142" s="2153">
        <f>+'STER Canalyst'!AJ494*1000</f>
        <v>11703.000000000002</v>
      </c>
      <c r="Y142" s="2153"/>
      <c r="Z142" s="2153"/>
      <c r="AA142" s="2153"/>
      <c r="AB142" s="2153"/>
      <c r="AC142" s="2153"/>
      <c r="AD142" s="2153"/>
      <c r="AE142" s="2153"/>
      <c r="AF142" s="2153"/>
      <c r="AG142" s="2153"/>
      <c r="AH142" s="2153"/>
      <c r="AI142" s="2153"/>
      <c r="AJ142" s="2153"/>
      <c r="AK142" s="2153"/>
      <c r="AL142" s="2153"/>
      <c r="AM142" s="2153"/>
      <c r="AN142" s="2153"/>
      <c r="AO142" s="2153"/>
      <c r="AP142" s="2153"/>
      <c r="AQ142" s="2153">
        <f>+'STER Canalyst'!BB494*1000</f>
        <v>1503</v>
      </c>
      <c r="AR142" s="2153">
        <f>+'STER Canalyst'!BC494*1000</f>
        <v>3465</v>
      </c>
      <c r="AS142" s="2153">
        <f>+'STER Canalyst'!BD494*1000</f>
        <v>32580</v>
      </c>
      <c r="AT142" s="2153">
        <v>23805</v>
      </c>
      <c r="AU142" s="2153">
        <v>34650</v>
      </c>
    </row>
    <row r="143" spans="1:49" x14ac:dyDescent="0.25">
      <c r="A143" s="649" t="s">
        <v>788</v>
      </c>
      <c r="C143" s="2153"/>
      <c r="D143" s="2153"/>
      <c r="E143" s="2153"/>
      <c r="F143" s="2159"/>
      <c r="G143" s="2166"/>
      <c r="H143" s="2166"/>
      <c r="I143" s="2166">
        <f>+'STER Canalyst'!U495*1000</f>
        <v>621</v>
      </c>
      <c r="J143" s="2159">
        <f>+'STER Canalyst'!V495*1000</f>
        <v>1117</v>
      </c>
      <c r="K143" s="2166">
        <f>+'STER Canalyst'!W495*1000</f>
        <v>2876</v>
      </c>
      <c r="L143" s="2166">
        <f>+'STER Canalyst'!X495*1000</f>
        <v>48.999999999999929</v>
      </c>
      <c r="M143" s="2166">
        <f>+'STER Canalyst'!Y495*1000</f>
        <v>15.000000000000124</v>
      </c>
      <c r="N143" s="2159">
        <f>+'STER Canalyst'!Z495*1000</f>
        <v>334.00000000000006</v>
      </c>
      <c r="O143" s="2166">
        <f>+'STER Canalyst'!AA495*1000</f>
        <v>0</v>
      </c>
      <c r="P143" s="2166">
        <f>+'STER Canalyst'!AB495*1000</f>
        <v>612</v>
      </c>
      <c r="Q143" s="2166">
        <f>+'STER Canalyst'!AC495*1000</f>
        <v>193.00000000000006</v>
      </c>
      <c r="R143" s="2159">
        <f>+'STER Canalyst'!AD495*1000</f>
        <v>202.99999999999997</v>
      </c>
      <c r="S143" s="2166">
        <f>+'STER Canalyst'!AE495*1000</f>
        <v>106</v>
      </c>
      <c r="T143" s="2166">
        <f>+'STER Canalyst'!AF495*1000</f>
        <v>7039</v>
      </c>
      <c r="U143" s="2166">
        <f>+'STER Canalyst'!AG495*1000</f>
        <v>48.000000000000043</v>
      </c>
      <c r="V143" s="2159">
        <f>+'STER Canalyst'!AH495*1000</f>
        <v>178.00000000000082</v>
      </c>
      <c r="W143" s="2153">
        <f>+'STER Canalyst'!AI495*1000</f>
        <v>168</v>
      </c>
      <c r="X143" s="2153">
        <f>+'STER Canalyst'!AJ495*1000</f>
        <v>32</v>
      </c>
      <c r="Y143" s="2153"/>
      <c r="Z143" s="2153"/>
      <c r="AA143" s="2153"/>
      <c r="AB143" s="2153"/>
      <c r="AC143" s="2153"/>
      <c r="AD143" s="2153"/>
      <c r="AE143" s="2153"/>
      <c r="AF143" s="2153"/>
      <c r="AG143" s="2153"/>
      <c r="AH143" s="2153"/>
      <c r="AI143" s="2153"/>
      <c r="AJ143" s="2153"/>
      <c r="AK143" s="2153"/>
      <c r="AL143" s="2153"/>
      <c r="AM143" s="2153"/>
      <c r="AN143" s="2153"/>
      <c r="AO143" s="2153"/>
      <c r="AP143" s="2153"/>
      <c r="AQ143" s="2153">
        <f>+'STER Canalyst'!BB495*1000</f>
        <v>3220</v>
      </c>
      <c r="AR143" s="2153">
        <f>+'STER Canalyst'!BC495*1000</f>
        <v>1797</v>
      </c>
      <c r="AS143" s="2153">
        <f>+'STER Canalyst'!BD495*1000</f>
        <v>3274</v>
      </c>
      <c r="AT143" s="2153">
        <v>1008</v>
      </c>
      <c r="AU143" s="2153">
        <v>7371</v>
      </c>
    </row>
    <row r="144" spans="1:49" x14ac:dyDescent="0.25">
      <c r="A144" s="649" t="s">
        <v>844</v>
      </c>
      <c r="C144" s="2153"/>
      <c r="D144" s="2153"/>
      <c r="E144" s="2153"/>
      <c r="F144" s="2159"/>
      <c r="G144" s="2166"/>
      <c r="H144" s="2166"/>
      <c r="I144" s="2166">
        <f>+'STER Canalyst'!U496*1000</f>
        <v>-201.99999999999994</v>
      </c>
      <c r="J144" s="2159">
        <f>+'STER Canalyst'!V496*1000</f>
        <v>-191</v>
      </c>
      <c r="K144" s="2166">
        <f>+'STER Canalyst'!W496*1000</f>
        <v>79</v>
      </c>
      <c r="L144" s="2166">
        <f>+'STER Canalyst'!X496*1000</f>
        <v>417</v>
      </c>
      <c r="M144" s="2166">
        <f>+'STER Canalyst'!Y496*1000</f>
        <v>107.99999999999999</v>
      </c>
      <c r="N144" s="2159">
        <f>+'STER Canalyst'!Z496*1000</f>
        <v>565.00000000000011</v>
      </c>
      <c r="O144" s="2166">
        <f>+'STER Canalyst'!AA496*1000</f>
        <v>308</v>
      </c>
      <c r="P144" s="2166">
        <f>+'STER Canalyst'!AB496*1000</f>
        <v>351.00000000000006</v>
      </c>
      <c r="Q144" s="2166">
        <f>+'STER Canalyst'!AC496*1000</f>
        <v>357</v>
      </c>
      <c r="R144" s="2159">
        <f>+'STER Canalyst'!AD496*1000</f>
        <v>-139</v>
      </c>
      <c r="S144" s="2166">
        <f>+'STER Canalyst'!AE496*1000</f>
        <v>244</v>
      </c>
      <c r="T144" s="2166">
        <f>+'STER Canalyst'!AF496*1000</f>
        <v>215.00000000000003</v>
      </c>
      <c r="U144" s="2166">
        <f>+'STER Canalyst'!AG496*1000</f>
        <v>97.000000000000028</v>
      </c>
      <c r="V144" s="2159">
        <f>+'STER Canalyst'!AH496*1000</f>
        <v>381</v>
      </c>
      <c r="W144" s="2153">
        <f>+'STER Canalyst'!AI496*1000</f>
        <v>240</v>
      </c>
      <c r="X144" s="2153">
        <f>+'STER Canalyst'!AJ496*1000</f>
        <v>972</v>
      </c>
      <c r="Y144" s="2153"/>
      <c r="Z144" s="2153"/>
      <c r="AA144" s="2153"/>
      <c r="AB144" s="2153"/>
      <c r="AC144" s="2153"/>
      <c r="AD144" s="2153"/>
      <c r="AE144" s="2153"/>
      <c r="AF144" s="2153"/>
      <c r="AG144" s="2153"/>
      <c r="AH144" s="2153"/>
      <c r="AI144" s="2153"/>
      <c r="AJ144" s="2153"/>
      <c r="AK144" s="2153"/>
      <c r="AL144" s="2153"/>
      <c r="AM144" s="2153"/>
      <c r="AN144" s="2153"/>
      <c r="AO144" s="2153"/>
      <c r="AP144" s="2153"/>
      <c r="AQ144" s="2153">
        <f>+'STER Canalyst'!BB496*1000</f>
        <v>709</v>
      </c>
      <c r="AR144" s="2153">
        <f>+'STER Canalyst'!BC496*1000</f>
        <v>432</v>
      </c>
      <c r="AS144" s="2153">
        <f>+'STER Canalyst'!BD496*1000</f>
        <v>1169</v>
      </c>
      <c r="AT144" s="2153">
        <v>877</v>
      </c>
      <c r="AU144" s="2153">
        <v>937</v>
      </c>
    </row>
    <row r="145" spans="1:47" x14ac:dyDescent="0.25">
      <c r="A145" s="649" t="s">
        <v>845</v>
      </c>
      <c r="C145" s="2153"/>
      <c r="D145" s="2153"/>
      <c r="E145" s="2153"/>
      <c r="F145" s="2159"/>
      <c r="G145" s="2166"/>
      <c r="H145" s="2166"/>
      <c r="I145" s="2166">
        <f>+'STER Canalyst'!U497*1000</f>
        <v>124</v>
      </c>
      <c r="J145" s="2159">
        <f>+'STER Canalyst'!V497*1000</f>
        <v>124</v>
      </c>
      <c r="K145" s="2166">
        <f>+'STER Canalyst'!W497*1000</f>
        <v>124</v>
      </c>
      <c r="L145" s="2166">
        <f>+'STER Canalyst'!X497*1000</f>
        <v>125</v>
      </c>
      <c r="M145" s="2166">
        <f>+'STER Canalyst'!Y497*1000</f>
        <v>112.99999999999999</v>
      </c>
      <c r="N145" s="2159">
        <f>+'STER Canalyst'!Z497*1000</f>
        <v>108.99999999999999</v>
      </c>
      <c r="O145" s="2166">
        <f>+'STER Canalyst'!AA497*1000</f>
        <v>109</v>
      </c>
      <c r="P145" s="2166">
        <f>+'STER Canalyst'!AB497*1000</f>
        <v>109</v>
      </c>
      <c r="Q145" s="2166">
        <f>+'STER Canalyst'!AC497*1000</f>
        <v>109.00000000000001</v>
      </c>
      <c r="R145" s="2159">
        <f>+'STER Canalyst'!AD497*1000</f>
        <v>126</v>
      </c>
      <c r="S145" s="2166">
        <f>+'STER Canalyst'!AE497*1000</f>
        <v>269</v>
      </c>
      <c r="T145" s="2166">
        <f>+'STER Canalyst'!AF497*1000</f>
        <v>270</v>
      </c>
      <c r="U145" s="2166">
        <f>+'STER Canalyst'!AG497*1000</f>
        <v>269</v>
      </c>
      <c r="V145" s="2159">
        <f>+'STER Canalyst'!AH497*1000</f>
        <v>270</v>
      </c>
      <c r="W145" s="2153">
        <f>+'STER Canalyst'!AI497*1000</f>
        <v>269</v>
      </c>
      <c r="X145" s="2153">
        <f>+'STER Canalyst'!AJ497*1000</f>
        <v>270</v>
      </c>
      <c r="Y145" s="2153"/>
      <c r="Z145" s="2153"/>
      <c r="AA145" s="2153"/>
      <c r="AB145" s="2153"/>
      <c r="AC145" s="2153"/>
      <c r="AD145" s="2153"/>
      <c r="AE145" s="2153"/>
      <c r="AF145" s="2153"/>
      <c r="AG145" s="2153"/>
      <c r="AH145" s="2153"/>
      <c r="AI145" s="2153"/>
      <c r="AJ145" s="2153"/>
      <c r="AK145" s="2153"/>
      <c r="AL145" s="2153"/>
      <c r="AM145" s="2153"/>
      <c r="AN145" s="2153"/>
      <c r="AO145" s="2153"/>
      <c r="AP145" s="2153"/>
      <c r="AQ145" s="2153">
        <f>+'STER Canalyst'!BB497*1000</f>
        <v>497</v>
      </c>
      <c r="AR145" s="2153">
        <f>+'STER Canalyst'!BC497*1000</f>
        <v>497</v>
      </c>
      <c r="AS145" s="2153">
        <f>+'STER Canalyst'!BD497*1000</f>
        <v>471</v>
      </c>
      <c r="AT145" s="2153">
        <v>453</v>
      </c>
      <c r="AU145" s="2153">
        <v>1078</v>
      </c>
    </row>
    <row r="146" spans="1:47" x14ac:dyDescent="0.25">
      <c r="A146" s="649" t="s">
        <v>846</v>
      </c>
      <c r="C146" s="2153"/>
      <c r="D146" s="2153"/>
      <c r="E146" s="2153"/>
      <c r="F146" s="2159"/>
      <c r="G146" s="2166"/>
      <c r="H146" s="2166"/>
      <c r="I146" s="2166">
        <f>+'STER Canalyst'!U498*1000</f>
        <v>591.99999999999989</v>
      </c>
      <c r="J146" s="2159">
        <f>+'STER Canalyst'!V498*1000</f>
        <v>590.00000000000034</v>
      </c>
      <c r="K146" s="2166">
        <f>+'STER Canalyst'!W498*1000</f>
        <v>576</v>
      </c>
      <c r="L146" s="2166">
        <f>+'STER Canalyst'!X498*1000</f>
        <v>580</v>
      </c>
      <c r="M146" s="2166">
        <f>+'STER Canalyst'!Y498*1000</f>
        <v>585.00000000000023</v>
      </c>
      <c r="N146" s="2159">
        <f>+'STER Canalyst'!Z498*1000</f>
        <v>1521</v>
      </c>
      <c r="O146" s="2166">
        <f>+'STER Canalyst'!AA498*1000</f>
        <v>478</v>
      </c>
      <c r="P146" s="2166">
        <f>+'STER Canalyst'!AB498*1000</f>
        <v>481</v>
      </c>
      <c r="Q146" s="2166">
        <f>+'STER Canalyst'!AC498*1000</f>
        <v>485</v>
      </c>
      <c r="R146" s="2159">
        <f>+'STER Canalyst'!AD498*1000</f>
        <v>231.00000000000009</v>
      </c>
      <c r="S146" s="2166">
        <f>+'STER Canalyst'!AE498*1000</f>
        <v>194</v>
      </c>
      <c r="T146" s="2166">
        <f>+'STER Canalyst'!AF498*1000</f>
        <v>198</v>
      </c>
      <c r="U146" s="2166">
        <f>+'STER Canalyst'!AG498*1000</f>
        <v>201.99999999999994</v>
      </c>
      <c r="V146" s="2159">
        <f>+'STER Canalyst'!AH498*1000</f>
        <v>204.00000000000006</v>
      </c>
      <c r="W146" s="2153">
        <f>+'STER Canalyst'!AI498*1000</f>
        <v>204</v>
      </c>
      <c r="X146" s="2153">
        <f>+'STER Canalyst'!AJ498*1000</f>
        <v>204</v>
      </c>
      <c r="Y146" s="2153"/>
      <c r="Z146" s="2153"/>
      <c r="AA146" s="2153"/>
      <c r="AB146" s="2153"/>
      <c r="AC146" s="2153"/>
      <c r="AD146" s="2153"/>
      <c r="AE146" s="2153"/>
      <c r="AF146" s="2153"/>
      <c r="AG146" s="2153"/>
      <c r="AH146" s="2153"/>
      <c r="AI146" s="2153"/>
      <c r="AJ146" s="2153"/>
      <c r="AK146" s="2153"/>
      <c r="AL146" s="2153"/>
      <c r="AM146" s="2153"/>
      <c r="AN146" s="2153"/>
      <c r="AO146" s="2153"/>
      <c r="AP146" s="2153"/>
      <c r="AQ146" s="2153">
        <f>+'STER Canalyst'!BB498*1000</f>
        <v>2375</v>
      </c>
      <c r="AR146" s="2153">
        <f>+'STER Canalyst'!BC498*1000</f>
        <v>2357</v>
      </c>
      <c r="AS146" s="2153">
        <f>+'STER Canalyst'!BD498*1000</f>
        <v>3262</v>
      </c>
      <c r="AT146" s="2153">
        <v>1675</v>
      </c>
      <c r="AU146" s="2153">
        <v>798</v>
      </c>
    </row>
    <row r="147" spans="1:47" x14ac:dyDescent="0.25">
      <c r="A147" s="649" t="s">
        <v>847</v>
      </c>
      <c r="C147" s="2153"/>
      <c r="D147" s="2153"/>
      <c r="E147" s="2153"/>
      <c r="F147" s="2159"/>
      <c r="G147" s="2166"/>
      <c r="H147" s="2166"/>
      <c r="I147" s="2166">
        <f>+'STER Canalyst'!U499*1000</f>
        <v>-139</v>
      </c>
      <c r="J147" s="2159">
        <f>+'STER Canalyst'!V499*1000</f>
        <v>-751</v>
      </c>
      <c r="K147" s="2166">
        <f>+'STER Canalyst'!W499*1000</f>
        <v>-1120</v>
      </c>
      <c r="L147" s="2166">
        <f>+'STER Canalyst'!X499*1000</f>
        <v>-102.99999999999999</v>
      </c>
      <c r="M147" s="2166">
        <f>+'STER Canalyst'!Y499*1000</f>
        <v>-110.99999999999999</v>
      </c>
      <c r="N147" s="2159">
        <f>+'STER Canalyst'!Z499*1000</f>
        <v>-286.99999999999994</v>
      </c>
      <c r="O147" s="2166">
        <f>+'STER Canalyst'!AA499*1000</f>
        <v>0</v>
      </c>
      <c r="P147" s="2166">
        <f>+'STER Canalyst'!AB499*1000</f>
        <v>-146</v>
      </c>
      <c r="Q147" s="2166">
        <f>+'STER Canalyst'!AC499*1000</f>
        <v>-24.000000000000021</v>
      </c>
      <c r="R147" s="2159">
        <f>+'STER Canalyst'!AD499*1000</f>
        <v>-55.999999999999993</v>
      </c>
      <c r="S147" s="2166">
        <f>+'STER Canalyst'!AE499*1000</f>
        <v>39</v>
      </c>
      <c r="T147" s="2166">
        <f>+'STER Canalyst'!AF499*1000</f>
        <v>983.99999999999989</v>
      </c>
      <c r="U147" s="2166">
        <f>+'STER Canalyst'!AG499*1000</f>
        <v>-639.99999999999989</v>
      </c>
      <c r="V147" s="2159">
        <f>+'STER Canalyst'!AH499*1000</f>
        <v>-541</v>
      </c>
      <c r="W147" s="2153">
        <f>+'STER Canalyst'!AI499*1000</f>
        <v>-428</v>
      </c>
      <c r="X147" s="2153">
        <f>+'STER Canalyst'!AJ499*1000</f>
        <v>-434</v>
      </c>
      <c r="Y147" s="2153"/>
      <c r="Z147" s="2153"/>
      <c r="AA147" s="2153"/>
      <c r="AB147" s="2153"/>
      <c r="AC147" s="2153"/>
      <c r="AD147" s="2153"/>
      <c r="AE147" s="2153"/>
      <c r="AF147" s="2153"/>
      <c r="AG147" s="2153"/>
      <c r="AH147" s="2153"/>
      <c r="AI147" s="2153"/>
      <c r="AJ147" s="2153"/>
      <c r="AK147" s="2153"/>
      <c r="AL147" s="2153"/>
      <c r="AM147" s="2153"/>
      <c r="AN147" s="2153"/>
      <c r="AO147" s="2153"/>
      <c r="AP147" s="2153"/>
      <c r="AQ147" s="2153">
        <f>+'STER Canalyst'!BB499*1000</f>
        <v>-529</v>
      </c>
      <c r="AR147" s="2153">
        <f>+'STER Canalyst'!BC499*1000</f>
        <v>-827</v>
      </c>
      <c r="AS147" s="2153">
        <f>+'STER Canalyst'!BD499*1000</f>
        <v>-1621</v>
      </c>
      <c r="AT147" s="2153">
        <v>-226</v>
      </c>
      <c r="AU147" s="2153">
        <v>-158</v>
      </c>
    </row>
    <row r="148" spans="1:47" x14ac:dyDescent="0.25">
      <c r="A148" s="649" t="s">
        <v>848</v>
      </c>
      <c r="C148" s="2153"/>
      <c r="D148" s="2153"/>
      <c r="E148" s="2153"/>
      <c r="F148" s="2159"/>
      <c r="G148" s="2166"/>
      <c r="H148" s="2166"/>
      <c r="I148" s="2166">
        <f>+'STER Canalyst'!U500*1000</f>
        <v>0</v>
      </c>
      <c r="J148" s="2159">
        <f>+'STER Canalyst'!V500*1000</f>
        <v>0</v>
      </c>
      <c r="K148" s="2166">
        <f>+'STER Canalyst'!W500*1000</f>
        <v>0</v>
      </c>
      <c r="L148" s="2166">
        <f>+'STER Canalyst'!X500*1000</f>
        <v>0</v>
      </c>
      <c r="M148" s="2166">
        <f>+'STER Canalyst'!Y500*1000</f>
        <v>0</v>
      </c>
      <c r="N148" s="2159">
        <f>+'STER Canalyst'!Z500*1000</f>
        <v>0</v>
      </c>
      <c r="O148" s="2166">
        <f>+'STER Canalyst'!AA500*1000</f>
        <v>-55</v>
      </c>
      <c r="P148" s="2166">
        <f>+'STER Canalyst'!AB500*1000</f>
        <v>55</v>
      </c>
      <c r="Q148" s="2166">
        <f>+'STER Canalyst'!AC500*1000</f>
        <v>0</v>
      </c>
      <c r="R148" s="2159">
        <f>+'STER Canalyst'!AD500*1000</f>
        <v>0</v>
      </c>
      <c r="S148" s="2166">
        <f>+'STER Canalyst'!AE500*1000</f>
        <v>0</v>
      </c>
      <c r="T148" s="2166">
        <f>+'STER Canalyst'!AF500*1000</f>
        <v>0</v>
      </c>
      <c r="U148" s="2166">
        <f>+'STER Canalyst'!AG500*1000</f>
        <v>0</v>
      </c>
      <c r="V148" s="2159">
        <f>+'STER Canalyst'!AH500*1000</f>
        <v>0</v>
      </c>
      <c r="W148" s="2153">
        <f>+'STER Canalyst'!AI500*1000</f>
        <v>0</v>
      </c>
      <c r="X148" s="2153">
        <f>+'STER Canalyst'!AJ500*1000</f>
        <v>0</v>
      </c>
      <c r="Y148" s="2153"/>
      <c r="Z148" s="2153"/>
      <c r="AA148" s="2153"/>
      <c r="AB148" s="2153"/>
      <c r="AC148" s="2153"/>
      <c r="AD148" s="2153"/>
      <c r="AE148" s="2153"/>
      <c r="AF148" s="2153"/>
      <c r="AG148" s="2153"/>
      <c r="AH148" s="2153"/>
      <c r="AI148" s="2153"/>
      <c r="AJ148" s="2153"/>
      <c r="AK148" s="2153"/>
      <c r="AL148" s="2153"/>
      <c r="AM148" s="2153"/>
      <c r="AN148" s="2153"/>
      <c r="AO148" s="2153"/>
      <c r="AP148" s="2153"/>
      <c r="AQ148" s="2153">
        <f>+'STER Canalyst'!BB500*1000</f>
        <v>0</v>
      </c>
      <c r="AR148" s="2153">
        <f>+'STER Canalyst'!BC500*1000</f>
        <v>0</v>
      </c>
      <c r="AS148" s="2153">
        <f>+'STER Canalyst'!BD500*1000</f>
        <v>0</v>
      </c>
      <c r="AT148" s="2153">
        <f>+'STER Canalyst'!BE500*1000</f>
        <v>0</v>
      </c>
      <c r="AU148" s="2153">
        <f>+'STER Canalyst'!BF500*1000</f>
        <v>0</v>
      </c>
    </row>
    <row r="149" spans="1:47" x14ac:dyDescent="0.25">
      <c r="A149" s="649" t="s">
        <v>849</v>
      </c>
      <c r="C149" s="2153"/>
      <c r="D149" s="2153"/>
      <c r="E149" s="2153"/>
      <c r="F149" s="2159"/>
      <c r="G149" s="2166"/>
      <c r="H149" s="2166"/>
      <c r="I149" s="2166">
        <f>+'STER Canalyst'!U501*1000</f>
        <v>157.00000000000003</v>
      </c>
      <c r="J149" s="2159">
        <f>+'STER Canalyst'!V501*1000</f>
        <v>-82.999999999999957</v>
      </c>
      <c r="K149" s="2166">
        <f>+'STER Canalyst'!W501*1000</f>
        <v>41</v>
      </c>
      <c r="L149" s="2166">
        <f>+'STER Canalyst'!X501*1000</f>
        <v>-270</v>
      </c>
      <c r="M149" s="2166">
        <f>+'STER Canalyst'!Y501*1000</f>
        <v>129</v>
      </c>
      <c r="N149" s="2159">
        <f>+'STER Canalyst'!Z501*1000</f>
        <v>-53.999999999999993</v>
      </c>
      <c r="O149" s="2166">
        <f>+'STER Canalyst'!AA501*1000</f>
        <v>-393</v>
      </c>
      <c r="P149" s="2166">
        <f>+'STER Canalyst'!AB501*1000</f>
        <v>-827</v>
      </c>
      <c r="Q149" s="2166">
        <f>+'STER Canalyst'!AC501*1000</f>
        <v>-618.00000000000011</v>
      </c>
      <c r="R149" s="2159">
        <f>+'STER Canalyst'!AD501*1000</f>
        <v>-507.00000000000011</v>
      </c>
      <c r="S149" s="2166">
        <f>+'STER Canalyst'!AE501*1000</f>
        <v>135</v>
      </c>
      <c r="T149" s="2166">
        <f>+'STER Canalyst'!AF501*1000</f>
        <v>-27.000000000000011</v>
      </c>
      <c r="U149" s="2166">
        <f>+'STER Canalyst'!AG501*1000</f>
        <v>-13.999999999999998</v>
      </c>
      <c r="V149" s="2159">
        <f>+'STER Canalyst'!AH501*1000</f>
        <v>89</v>
      </c>
      <c r="W149" s="2153">
        <f>+'STER Canalyst'!AI501*1000</f>
        <v>18</v>
      </c>
      <c r="X149" s="2153">
        <f>+'STER Canalyst'!AJ501*1000</f>
        <v>-11</v>
      </c>
      <c r="Y149" s="2153"/>
      <c r="Z149" s="2153"/>
      <c r="AA149" s="2153"/>
      <c r="AB149" s="2153"/>
      <c r="AC149" s="2153"/>
      <c r="AD149" s="2153"/>
      <c r="AE149" s="2153"/>
      <c r="AF149" s="2153"/>
      <c r="AG149" s="2153"/>
      <c r="AH149" s="2153"/>
      <c r="AI149" s="2153"/>
      <c r="AJ149" s="2153"/>
      <c r="AK149" s="2153"/>
      <c r="AL149" s="2153"/>
      <c r="AM149" s="2153"/>
      <c r="AN149" s="2153"/>
      <c r="AO149" s="2153"/>
      <c r="AP149" s="2153"/>
      <c r="AQ149" s="2153">
        <f>+'STER Canalyst'!BB501*1000</f>
        <v>14</v>
      </c>
      <c r="AR149" s="2153">
        <f>+'STER Canalyst'!BC501*1000</f>
        <v>-597</v>
      </c>
      <c r="AS149" s="2153">
        <f>+'STER Canalyst'!BD501*1000</f>
        <v>-154</v>
      </c>
      <c r="AT149" s="2153">
        <v>-2345</v>
      </c>
      <c r="AU149" s="2153">
        <v>183</v>
      </c>
    </row>
    <row r="150" spans="1:47" x14ac:dyDescent="0.25">
      <c r="A150" s="649" t="s">
        <v>850</v>
      </c>
      <c r="C150" s="2153"/>
      <c r="D150" s="2153"/>
      <c r="E150" s="2153"/>
      <c r="F150" s="2159"/>
      <c r="G150" s="2166"/>
      <c r="H150" s="2166"/>
      <c r="I150" s="2166">
        <f>+'STER Canalyst'!U502*1000</f>
        <v>0</v>
      </c>
      <c r="J150" s="2159">
        <f>+'STER Canalyst'!V502*1000</f>
        <v>0</v>
      </c>
      <c r="K150" s="2166">
        <f>+'STER Canalyst'!W502*1000</f>
        <v>0</v>
      </c>
      <c r="L150" s="2166">
        <f>+'STER Canalyst'!X502*1000</f>
        <v>0</v>
      </c>
      <c r="M150" s="2166">
        <f>+'STER Canalyst'!Y502*1000</f>
        <v>0</v>
      </c>
      <c r="N150" s="2159">
        <f>+'STER Canalyst'!Z502*1000</f>
        <v>0</v>
      </c>
      <c r="O150" s="2166">
        <f>+'STER Canalyst'!AA502*1000</f>
        <v>0</v>
      </c>
      <c r="P150" s="2166">
        <f>+'STER Canalyst'!AB502*1000</f>
        <v>0</v>
      </c>
      <c r="Q150" s="2166">
        <f>+'STER Canalyst'!AC502*1000</f>
        <v>0</v>
      </c>
      <c r="R150" s="2159">
        <f>+'STER Canalyst'!AD502*1000</f>
        <v>0</v>
      </c>
      <c r="S150" s="2166">
        <f>+'STER Canalyst'!AE502*1000</f>
        <v>23</v>
      </c>
      <c r="T150" s="2166">
        <f>+'STER Canalyst'!AF502*1000</f>
        <v>562</v>
      </c>
      <c r="U150" s="2166">
        <f>+'STER Canalyst'!AG502*1000</f>
        <v>738</v>
      </c>
      <c r="V150" s="2159">
        <f>+'STER Canalyst'!AH502*1000</f>
        <v>-1323</v>
      </c>
      <c r="W150" s="2153">
        <f>+'STER Canalyst'!AI502*1000</f>
        <v>0</v>
      </c>
      <c r="X150" s="2153">
        <f>+'STER Canalyst'!AJ502*1000</f>
        <v>0</v>
      </c>
      <c r="Y150" s="2153"/>
      <c r="Z150" s="2153"/>
      <c r="AA150" s="2153"/>
      <c r="AB150" s="2153"/>
      <c r="AC150" s="2153"/>
      <c r="AD150" s="2153"/>
      <c r="AE150" s="2153"/>
      <c r="AF150" s="2153"/>
      <c r="AG150" s="2153"/>
      <c r="AH150" s="2153"/>
      <c r="AI150" s="2153"/>
      <c r="AJ150" s="2153"/>
      <c r="AK150" s="2153"/>
      <c r="AL150" s="2153"/>
      <c r="AM150" s="2153"/>
      <c r="AN150" s="2153"/>
      <c r="AO150" s="2153"/>
      <c r="AP150" s="2153"/>
      <c r="AQ150" s="2153">
        <f>+'STER Canalyst'!BB502*1000</f>
        <v>0</v>
      </c>
      <c r="AR150" s="2153">
        <f>+'STER Canalyst'!BC502*1000</f>
        <v>0</v>
      </c>
      <c r="AS150" s="2153">
        <f>+'STER Canalyst'!BD502*1000</f>
        <v>0</v>
      </c>
      <c r="AT150" s="2153">
        <f>+'STER Canalyst'!BE502*1000</f>
        <v>0</v>
      </c>
      <c r="AU150" s="2153">
        <f>+'STER Canalyst'!BF502*1000</f>
        <v>0</v>
      </c>
    </row>
    <row r="151" spans="1:47" x14ac:dyDescent="0.25">
      <c r="A151" s="649" t="s">
        <v>851</v>
      </c>
      <c r="C151" s="2153"/>
      <c r="D151" s="2153"/>
      <c r="E151" s="2153"/>
      <c r="F151" s="2159"/>
      <c r="G151" s="2166"/>
      <c r="H151" s="2166"/>
      <c r="I151" s="2166">
        <f>+'STER Canalyst'!U503*1000</f>
        <v>-1540</v>
      </c>
      <c r="J151" s="2159">
        <f>+'STER Canalyst'!V503*1000</f>
        <v>-1654.9999999999993</v>
      </c>
      <c r="K151" s="2166">
        <f>+'STER Canalyst'!W503*1000</f>
        <v>-1527</v>
      </c>
      <c r="L151" s="2166">
        <f>+'STER Canalyst'!X503*1000</f>
        <v>-1377</v>
      </c>
      <c r="M151" s="2166">
        <f>+'STER Canalyst'!Y503*1000</f>
        <v>-2120</v>
      </c>
      <c r="N151" s="2159">
        <f>+'STER Canalyst'!Z503*1000</f>
        <v>-2397.9999999999995</v>
      </c>
      <c r="O151" s="2166">
        <f>+'STER Canalyst'!AA503*1000</f>
        <v>-2464</v>
      </c>
      <c r="P151" s="2166">
        <f>+'STER Canalyst'!AB503*1000</f>
        <v>-1638.0000000000005</v>
      </c>
      <c r="Q151" s="2166">
        <f>+'STER Canalyst'!AC503*1000</f>
        <v>0</v>
      </c>
      <c r="R151" s="2159">
        <f>+'STER Canalyst'!AD503*1000</f>
        <v>0</v>
      </c>
      <c r="S151" s="2166">
        <f>+'STER Canalyst'!AE503*1000</f>
        <v>0</v>
      </c>
      <c r="T151" s="2166">
        <f>+'STER Canalyst'!AF503*1000</f>
        <v>0</v>
      </c>
      <c r="U151" s="2166">
        <f>+'STER Canalyst'!AG503*1000</f>
        <v>0</v>
      </c>
      <c r="V151" s="2159">
        <f>+'STER Canalyst'!AH503*1000</f>
        <v>0</v>
      </c>
      <c r="W151" s="2153">
        <f>+'STER Canalyst'!AI503*1000</f>
        <v>0</v>
      </c>
      <c r="X151" s="2153">
        <f>+'STER Canalyst'!AJ503*1000</f>
        <v>0</v>
      </c>
      <c r="Y151" s="2153"/>
      <c r="Z151" s="2153"/>
      <c r="AA151" s="2153"/>
      <c r="AB151" s="2153"/>
      <c r="AC151" s="2153"/>
      <c r="AD151" s="2153"/>
      <c r="AE151" s="2153"/>
      <c r="AF151" s="2153"/>
      <c r="AG151" s="2153"/>
      <c r="AH151" s="2153"/>
      <c r="AI151" s="2153"/>
      <c r="AJ151" s="2153"/>
      <c r="AK151" s="2153"/>
      <c r="AL151" s="2153"/>
      <c r="AM151" s="2153"/>
      <c r="AN151" s="2153"/>
      <c r="AO151" s="2153"/>
      <c r="AP151" s="2153"/>
      <c r="AQ151" s="2153">
        <f>+'STER Canalyst'!BB503*1000</f>
        <v>11142</v>
      </c>
      <c r="AR151" s="2153">
        <f>+'STER Canalyst'!BC503*1000</f>
        <v>5751</v>
      </c>
      <c r="AS151" s="2153">
        <f>+'STER Canalyst'!BD503*1000</f>
        <v>-7422</v>
      </c>
      <c r="AT151" s="2153">
        <v>-4102</v>
      </c>
      <c r="AU151" s="2153">
        <v>0</v>
      </c>
    </row>
    <row r="152" spans="1:47" x14ac:dyDescent="0.25">
      <c r="A152" s="649" t="s">
        <v>852</v>
      </c>
      <c r="C152" s="2153"/>
      <c r="D152" s="2153"/>
      <c r="E152" s="2153"/>
      <c r="F152" s="2159"/>
      <c r="G152" s="2166"/>
      <c r="H152" s="2166"/>
      <c r="I152" s="2166">
        <f>+'STER Canalyst'!U504*1000</f>
        <v>0</v>
      </c>
      <c r="J152" s="2159">
        <f>+'STER Canalyst'!V504*1000</f>
        <v>0</v>
      </c>
      <c r="K152" s="2166">
        <f>+'STER Canalyst'!W504*1000</f>
        <v>0</v>
      </c>
      <c r="L152" s="2166">
        <f>+'STER Canalyst'!X504*1000</f>
        <v>0</v>
      </c>
      <c r="M152" s="2166">
        <f>+'STER Canalyst'!Y504*1000</f>
        <v>0</v>
      </c>
      <c r="N152" s="2159">
        <f>+'STER Canalyst'!Z504*1000</f>
        <v>0</v>
      </c>
      <c r="O152" s="2166">
        <f>+'STER Canalyst'!AA504*1000</f>
        <v>0</v>
      </c>
      <c r="P152" s="2166">
        <f>+'STER Canalyst'!AB504*1000</f>
        <v>0</v>
      </c>
      <c r="Q152" s="2166">
        <f>+'STER Canalyst'!AC504*1000</f>
        <v>0</v>
      </c>
      <c r="R152" s="2159">
        <f>+'STER Canalyst'!AD504*1000</f>
        <v>0</v>
      </c>
      <c r="S152" s="2166">
        <f>+'STER Canalyst'!AE504*1000</f>
        <v>0</v>
      </c>
      <c r="T152" s="2166">
        <f>+'STER Canalyst'!AF504*1000</f>
        <v>0</v>
      </c>
      <c r="U152" s="2166">
        <f>+'STER Canalyst'!AG504*1000</f>
        <v>-686</v>
      </c>
      <c r="V152" s="2159">
        <f>+'STER Canalyst'!AH504*1000</f>
        <v>-1944.9999999999998</v>
      </c>
      <c r="W152" s="2153">
        <f>+'STER Canalyst'!AI504*1000</f>
        <v>4000</v>
      </c>
      <c r="X152" s="2153">
        <f>+'STER Canalyst'!AJ504*1000</f>
        <v>-2710</v>
      </c>
      <c r="Y152" s="2153"/>
      <c r="Z152" s="2153"/>
      <c r="AA152" s="2153"/>
      <c r="AB152" s="2153"/>
      <c r="AC152" s="2153"/>
      <c r="AD152" s="2153"/>
      <c r="AE152" s="2153"/>
      <c r="AF152" s="2153"/>
      <c r="AG152" s="2153"/>
      <c r="AH152" s="2153"/>
      <c r="AI152" s="2153"/>
      <c r="AJ152" s="2153"/>
      <c r="AK152" s="2153"/>
      <c r="AL152" s="2153"/>
      <c r="AM152" s="2153"/>
      <c r="AN152" s="2153"/>
      <c r="AO152" s="2153"/>
      <c r="AP152" s="2153"/>
      <c r="AQ152" s="2153">
        <f>+'STER Canalyst'!BB504*1000</f>
        <v>0</v>
      </c>
      <c r="AR152" s="2153">
        <f>+'STER Canalyst'!BC504*1000</f>
        <v>0</v>
      </c>
      <c r="AS152" s="2153">
        <f>+'STER Canalyst'!BD504*1000</f>
        <v>0</v>
      </c>
      <c r="AT152" s="2153">
        <v>0</v>
      </c>
      <c r="AU152" s="2153">
        <v>-2631</v>
      </c>
    </row>
    <row r="153" spans="1:47" x14ac:dyDescent="0.25">
      <c r="A153" s="649" t="s">
        <v>853</v>
      </c>
      <c r="C153" s="2153"/>
      <c r="D153" s="2153"/>
      <c r="E153" s="2153"/>
      <c r="F153" s="2159"/>
      <c r="G153" s="2166"/>
      <c r="H153" s="2166"/>
      <c r="I153" s="2166">
        <f>+'STER Canalyst'!U505*1000</f>
        <v>0</v>
      </c>
      <c r="J153" s="2159">
        <f>+'STER Canalyst'!V505*1000</f>
        <v>0</v>
      </c>
      <c r="K153" s="2166">
        <f>+'STER Canalyst'!W505*1000</f>
        <v>-166</v>
      </c>
      <c r="L153" s="2166">
        <f>+'STER Canalyst'!X505*1000</f>
        <v>0</v>
      </c>
      <c r="M153" s="2166">
        <f>+'STER Canalyst'!Y505*1000</f>
        <v>-993</v>
      </c>
      <c r="N153" s="2159">
        <f>+'STER Canalyst'!Z505*1000</f>
        <v>0</v>
      </c>
      <c r="O153" s="2166">
        <f>+'STER Canalyst'!AA505*1000</f>
        <v>0</v>
      </c>
      <c r="P153" s="2166">
        <f>+'STER Canalyst'!AB505*1000</f>
        <v>0</v>
      </c>
      <c r="Q153" s="2166">
        <f>+'STER Canalyst'!AC505*1000</f>
        <v>0</v>
      </c>
      <c r="R153" s="2159">
        <f>+'STER Canalyst'!AD505*1000</f>
        <v>0</v>
      </c>
      <c r="S153" s="2166">
        <f>+'STER Canalyst'!AE505*1000</f>
        <v>0</v>
      </c>
      <c r="T153" s="2166">
        <f>+'STER Canalyst'!AF505*1000</f>
        <v>0</v>
      </c>
      <c r="U153" s="2166">
        <f>+'STER Canalyst'!AG505*1000</f>
        <v>0</v>
      </c>
      <c r="V153" s="2159">
        <f>+'STER Canalyst'!AH505*1000</f>
        <v>0</v>
      </c>
      <c r="W153" s="2153">
        <f>+'STER Canalyst'!AI505*1000</f>
        <v>0</v>
      </c>
      <c r="X153" s="2153">
        <f>+'STER Canalyst'!AJ505*1000</f>
        <v>0</v>
      </c>
      <c r="Y153" s="2153"/>
      <c r="Z153" s="2153"/>
      <c r="AA153" s="2153"/>
      <c r="AB153" s="2153"/>
      <c r="AC153" s="2153"/>
      <c r="AD153" s="2153"/>
      <c r="AE153" s="2153"/>
      <c r="AF153" s="2153"/>
      <c r="AG153" s="2153"/>
      <c r="AH153" s="2153"/>
      <c r="AI153" s="2153"/>
      <c r="AJ153" s="2153"/>
      <c r="AK153" s="2153"/>
      <c r="AL153" s="2153"/>
      <c r="AM153" s="2153"/>
      <c r="AN153" s="2153"/>
      <c r="AO153" s="2153"/>
      <c r="AP153" s="2153"/>
      <c r="AQ153" s="2153">
        <f>+'STER Canalyst'!BB505*1000</f>
        <v>0</v>
      </c>
      <c r="AR153" s="2153">
        <f>+'STER Canalyst'!BC505*1000</f>
        <v>0</v>
      </c>
      <c r="AS153" s="2153">
        <f>+'STER Canalyst'!BD505*1000</f>
        <v>-1159</v>
      </c>
      <c r="AT153" s="2153">
        <f>+'STER Canalyst'!BE505*1000</f>
        <v>0</v>
      </c>
      <c r="AU153" s="2153">
        <v>0</v>
      </c>
    </row>
    <row r="154" spans="1:47" x14ac:dyDescent="0.25">
      <c r="A154" s="649"/>
      <c r="C154" s="2153"/>
      <c r="D154" s="2153"/>
      <c r="E154" s="2153"/>
      <c r="F154" s="2159"/>
      <c r="G154" s="2166"/>
      <c r="H154" s="2166"/>
      <c r="I154" s="2166"/>
      <c r="J154" s="2159"/>
      <c r="K154" s="2166"/>
      <c r="L154" s="2166"/>
      <c r="M154" s="2166"/>
      <c r="N154" s="2159"/>
      <c r="O154" s="2166"/>
      <c r="P154" s="2166"/>
      <c r="Q154" s="2166"/>
      <c r="R154" s="2159"/>
      <c r="S154" s="2166"/>
      <c r="T154" s="2166"/>
      <c r="U154" s="2166"/>
      <c r="V154" s="2159"/>
      <c r="W154" s="2153"/>
      <c r="X154" s="2153"/>
      <c r="Y154" s="2153"/>
      <c r="Z154" s="2153"/>
      <c r="AA154" s="2153"/>
      <c r="AB154" s="2153"/>
      <c r="AC154" s="2153"/>
      <c r="AD154" s="2153"/>
      <c r="AE154" s="2153"/>
      <c r="AF154" s="2153"/>
      <c r="AG154" s="2153"/>
      <c r="AH154" s="2153"/>
      <c r="AI154" s="2153"/>
      <c r="AJ154" s="2153"/>
      <c r="AK154" s="2153"/>
      <c r="AL154" s="2153"/>
      <c r="AM154" s="2153"/>
      <c r="AN154" s="2153"/>
      <c r="AO154" s="2153"/>
      <c r="AP154" s="2153"/>
      <c r="AQ154" s="2153"/>
      <c r="AR154" s="2153"/>
      <c r="AS154" s="2153"/>
      <c r="AT154" s="2153"/>
      <c r="AU154" s="2153"/>
    </row>
    <row r="155" spans="1:47" x14ac:dyDescent="0.25">
      <c r="A155" s="2150" t="s">
        <v>596</v>
      </c>
      <c r="C155" s="2155"/>
      <c r="D155" s="2155"/>
      <c r="E155" s="2155"/>
      <c r="F155" s="2165"/>
      <c r="G155" s="2171"/>
      <c r="H155" s="2171"/>
      <c r="I155" s="2171"/>
      <c r="J155" s="2165"/>
      <c r="K155" s="2171"/>
      <c r="L155" s="2171"/>
      <c r="M155" s="2171"/>
      <c r="N155" s="2165"/>
      <c r="O155" s="2171"/>
      <c r="P155" s="2171"/>
      <c r="Q155" s="2171"/>
      <c r="R155" s="2165"/>
      <c r="S155" s="2171"/>
      <c r="T155" s="2171"/>
      <c r="U155" s="2171"/>
      <c r="V155" s="2165"/>
      <c r="W155" s="2155"/>
      <c r="X155" s="2155"/>
      <c r="Y155" s="2155"/>
      <c r="Z155" s="2155"/>
      <c r="AA155" s="2155"/>
      <c r="AB155" s="2155"/>
      <c r="AC155" s="2155"/>
      <c r="AD155" s="2155"/>
      <c r="AE155" s="2155"/>
      <c r="AF155" s="2155"/>
      <c r="AG155" s="2155"/>
      <c r="AH155" s="2155"/>
      <c r="AI155" s="2155"/>
      <c r="AJ155" s="2155"/>
      <c r="AK155" s="2155"/>
      <c r="AL155" s="2155"/>
      <c r="AM155" s="2155"/>
      <c r="AN155" s="2155"/>
      <c r="AO155" s="2155"/>
      <c r="AP155" s="2155"/>
      <c r="AQ155" s="2155"/>
      <c r="AR155" s="2155"/>
      <c r="AS155" s="2155"/>
      <c r="AT155" s="2155"/>
      <c r="AU155" s="2155"/>
    </row>
    <row r="156" spans="1:47" x14ac:dyDescent="0.25">
      <c r="A156" s="649" t="s">
        <v>525</v>
      </c>
      <c r="C156" s="2153"/>
      <c r="D156" s="2153"/>
      <c r="E156" s="2153"/>
      <c r="F156" s="2159"/>
      <c r="G156" s="2166"/>
      <c r="H156" s="2166"/>
      <c r="I156" s="2166">
        <f>+'STER Canalyst'!U508*1000</f>
        <v>-19769.000000000004</v>
      </c>
      <c r="J156" s="2159">
        <f>+'STER Canalyst'!V508*1000</f>
        <v>-387</v>
      </c>
      <c r="K156" s="2166">
        <f>+'STER Canalyst'!W508*1000</f>
        <v>-10474</v>
      </c>
      <c r="L156" s="2166">
        <f>+'STER Canalyst'!X508*1000</f>
        <v>-14354</v>
      </c>
      <c r="M156" s="2166">
        <f>+'STER Canalyst'!Y508*1000</f>
        <v>-15555.000000000004</v>
      </c>
      <c r="N156" s="2159">
        <f>+'STER Canalyst'!Z508*1000</f>
        <v>297.00000000000415</v>
      </c>
      <c r="O156" s="2166">
        <f>+'STER Canalyst'!AA508*1000</f>
        <v>-20006</v>
      </c>
      <c r="P156" s="2166">
        <f>+'STER Canalyst'!AB508*1000</f>
        <v>-16445</v>
      </c>
      <c r="Q156" s="2166">
        <f>+'STER Canalyst'!AC508*1000</f>
        <v>3305.9999999999973</v>
      </c>
      <c r="R156" s="2159">
        <f>+'STER Canalyst'!AD508*1000</f>
        <v>21961.000000000007</v>
      </c>
      <c r="S156" s="2166">
        <f>+'STER Canalyst'!AE508*1000</f>
        <v>-3414</v>
      </c>
      <c r="T156" s="2166">
        <f>+'STER Canalyst'!AF508*1000</f>
        <v>-3985</v>
      </c>
      <c r="U156" s="2166">
        <f>+'STER Canalyst'!AG508*1000</f>
        <v>-1299.9999999999998</v>
      </c>
      <c r="V156" s="2159">
        <f>+'STER Canalyst'!AH508*1000</f>
        <v>10180</v>
      </c>
      <c r="W156" s="2153">
        <f>+'STER Canalyst'!AI508*1000</f>
        <v>-7285</v>
      </c>
      <c r="X156" s="2153">
        <f>+'STER Canalyst'!AJ508*1000</f>
        <v>-15572</v>
      </c>
      <c r="Y156" s="2153"/>
      <c r="Z156" s="2153"/>
      <c r="AA156" s="2153"/>
      <c r="AB156" s="2153"/>
      <c r="AC156" s="2153"/>
      <c r="AD156" s="2153"/>
      <c r="AE156" s="2153"/>
      <c r="AF156" s="2153"/>
      <c r="AG156" s="2153"/>
      <c r="AH156" s="2153"/>
      <c r="AI156" s="2153"/>
      <c r="AJ156" s="2153"/>
      <c r="AK156" s="2153"/>
      <c r="AL156" s="2153"/>
      <c r="AM156" s="2153"/>
      <c r="AN156" s="2153"/>
      <c r="AO156" s="2153"/>
      <c r="AP156" s="2153"/>
      <c r="AQ156" s="2153">
        <f>+'STER Canalyst'!BB508*1000</f>
        <v>-11595</v>
      </c>
      <c r="AR156" s="2153">
        <f>+'STER Canalyst'!BC508*1000</f>
        <v>165</v>
      </c>
      <c r="AS156" s="2153">
        <f>+'STER Canalyst'!BD508*1000</f>
        <v>-40086</v>
      </c>
      <c r="AT156" s="2153">
        <f>+'STER Canalyst'!BE508*1000</f>
        <v>-11184</v>
      </c>
      <c r="AU156" s="2153">
        <v>1481</v>
      </c>
    </row>
    <row r="157" spans="1:47" x14ac:dyDescent="0.25">
      <c r="A157" s="649" t="s">
        <v>817</v>
      </c>
      <c r="C157" s="2153"/>
      <c r="D157" s="2153"/>
      <c r="E157" s="2153"/>
      <c r="F157" s="2159"/>
      <c r="G157" s="2166"/>
      <c r="H157" s="2166"/>
      <c r="I157" s="2166">
        <f>+'STER Canalyst'!U509*1000</f>
        <v>0</v>
      </c>
      <c r="J157" s="2159">
        <f>+'STER Canalyst'!V509*1000</f>
        <v>14250</v>
      </c>
      <c r="K157" s="2166">
        <f>+'STER Canalyst'!W509*1000</f>
        <v>750</v>
      </c>
      <c r="L157" s="2166">
        <f>+'STER Canalyst'!X509*1000</f>
        <v>0</v>
      </c>
      <c r="M157" s="2166">
        <f>+'STER Canalyst'!Y509*1000</f>
        <v>0</v>
      </c>
      <c r="N157" s="2159">
        <f>+'STER Canalyst'!Z509*1000</f>
        <v>0</v>
      </c>
      <c r="O157" s="2166">
        <f>+'STER Canalyst'!AA509*1000</f>
        <v>0</v>
      </c>
      <c r="P157" s="2166">
        <f>+'STER Canalyst'!AB509*1000</f>
        <v>0</v>
      </c>
      <c r="Q157" s="2166">
        <f>+'STER Canalyst'!AC509*1000</f>
        <v>0</v>
      </c>
      <c r="R157" s="2159">
        <f>+'STER Canalyst'!AD509*1000</f>
        <v>921</v>
      </c>
      <c r="S157" s="2166">
        <f>+'STER Canalyst'!AE509*1000</f>
        <v>0</v>
      </c>
      <c r="T157" s="2166">
        <f>+'STER Canalyst'!AF509*1000</f>
        <v>-2500</v>
      </c>
      <c r="U157" s="2166">
        <f>+'STER Canalyst'!AG509*1000</f>
        <v>-1267.9999999999998</v>
      </c>
      <c r="V157" s="2159">
        <f>+'STER Canalyst'!AH509*1000</f>
        <v>1752.9999999999998</v>
      </c>
      <c r="W157" s="2153">
        <f>+'STER Canalyst'!AI509*1000</f>
        <v>41</v>
      </c>
      <c r="X157" s="2153">
        <f>+'STER Canalyst'!AJ509*1000</f>
        <v>0</v>
      </c>
      <c r="Y157" s="2153"/>
      <c r="Z157" s="2153"/>
      <c r="AA157" s="2153"/>
      <c r="AB157" s="2153"/>
      <c r="AC157" s="2153"/>
      <c r="AD157" s="2153"/>
      <c r="AE157" s="2153"/>
      <c r="AF157" s="2153"/>
      <c r="AG157" s="2153"/>
      <c r="AH157" s="2153"/>
      <c r="AI157" s="2153"/>
      <c r="AJ157" s="2153"/>
      <c r="AK157" s="2153"/>
      <c r="AL157" s="2153"/>
      <c r="AM157" s="2153"/>
      <c r="AN157" s="2153"/>
      <c r="AO157" s="2153"/>
      <c r="AP157" s="2153"/>
      <c r="AQ157" s="2153">
        <f>+'STER Canalyst'!BB509*1000</f>
        <v>-15000</v>
      </c>
      <c r="AR157" s="2153">
        <f>+'STER Canalyst'!BC509*1000</f>
        <v>14250</v>
      </c>
      <c r="AS157" s="2153">
        <f>+'STER Canalyst'!BD509*1000</f>
        <v>750</v>
      </c>
      <c r="AT157" s="2153">
        <v>921</v>
      </c>
      <c r="AU157" s="2153">
        <v>-2015</v>
      </c>
    </row>
    <row r="158" spans="1:47" x14ac:dyDescent="0.25">
      <c r="A158" s="649" t="s">
        <v>818</v>
      </c>
      <c r="C158" s="2153"/>
      <c r="D158" s="2153"/>
      <c r="E158" s="2153"/>
      <c r="F158" s="2159"/>
      <c r="G158" s="2166"/>
      <c r="H158" s="2166"/>
      <c r="I158" s="2166">
        <f>+'STER Canalyst'!U510*1000</f>
        <v>1393.9999999999998</v>
      </c>
      <c r="J158" s="2159">
        <f>+'STER Canalyst'!V510*1000</f>
        <v>1557</v>
      </c>
      <c r="K158" s="2166">
        <f>+'STER Canalyst'!W510*1000</f>
        <v>-926</v>
      </c>
      <c r="L158" s="2166">
        <f>+'STER Canalyst'!X510*1000</f>
        <v>-1509.9999999999998</v>
      </c>
      <c r="M158" s="2166">
        <f>+'STER Canalyst'!Y510*1000</f>
        <v>1014.9999999999999</v>
      </c>
      <c r="N158" s="2159">
        <f>+'STER Canalyst'!Z510*1000</f>
        <v>-3553.9999999999995</v>
      </c>
      <c r="O158" s="2166">
        <f>+'STER Canalyst'!AA510*1000</f>
        <v>-869</v>
      </c>
      <c r="P158" s="2166">
        <f>+'STER Canalyst'!AB510*1000</f>
        <v>167.00000000000003</v>
      </c>
      <c r="Q158" s="2166">
        <f>+'STER Canalyst'!AC510*1000</f>
        <v>4281.0000000000009</v>
      </c>
      <c r="R158" s="2159">
        <f>+'STER Canalyst'!AD510*1000</f>
        <v>-4680</v>
      </c>
      <c r="S158" s="2166">
        <f>+'STER Canalyst'!AE510*1000</f>
        <v>2844</v>
      </c>
      <c r="T158" s="2166">
        <f>+'STER Canalyst'!AF510*1000</f>
        <v>-593</v>
      </c>
      <c r="U158" s="2166">
        <f>+'STER Canalyst'!AG510*1000</f>
        <v>3598.0000000000005</v>
      </c>
      <c r="V158" s="2159">
        <f>+'STER Canalyst'!AH510*1000</f>
        <v>-996.99999999999989</v>
      </c>
      <c r="W158" s="2153">
        <f>+'STER Canalyst'!AI510*1000</f>
        <v>-1276</v>
      </c>
      <c r="X158" s="2153">
        <f>+'STER Canalyst'!AJ510*1000</f>
        <v>2695.0000000000005</v>
      </c>
      <c r="Y158" s="2153"/>
      <c r="Z158" s="2153"/>
      <c r="AA158" s="2153"/>
      <c r="AB158" s="2153"/>
      <c r="AC158" s="2153"/>
      <c r="AD158" s="2153"/>
      <c r="AE158" s="2153"/>
      <c r="AF158" s="2153"/>
      <c r="AG158" s="2153"/>
      <c r="AH158" s="2153"/>
      <c r="AI158" s="2153"/>
      <c r="AJ158" s="2153"/>
      <c r="AK158" s="2153"/>
      <c r="AL158" s="2153"/>
      <c r="AM158" s="2153"/>
      <c r="AN158" s="2153"/>
      <c r="AO158" s="2153"/>
      <c r="AP158" s="2153"/>
      <c r="AQ158" s="2153">
        <f>+'STER Canalyst'!BB510*1000</f>
        <v>13640</v>
      </c>
      <c r="AR158" s="2153">
        <f>+'STER Canalyst'!BC510*1000</f>
        <v>-1245</v>
      </c>
      <c r="AS158" s="2153">
        <f>+'STER Canalyst'!BD510*1000</f>
        <v>-4975</v>
      </c>
      <c r="AT158" s="2153">
        <v>-1101</v>
      </c>
      <c r="AU158" s="2153">
        <v>4852</v>
      </c>
    </row>
    <row r="159" spans="1:47" x14ac:dyDescent="0.25">
      <c r="A159" s="649" t="s">
        <v>477</v>
      </c>
      <c r="C159" s="2153"/>
      <c r="D159" s="2153"/>
      <c r="E159" s="2153"/>
      <c r="F159" s="2159"/>
      <c r="G159" s="2166"/>
      <c r="H159" s="2166"/>
      <c r="I159" s="2166">
        <f>+'STER Canalyst'!U511*1000</f>
        <v>1706.9999999999998</v>
      </c>
      <c r="J159" s="2159">
        <f>+'STER Canalyst'!V511*1000</f>
        <v>-1582.9999999999998</v>
      </c>
      <c r="K159" s="2166">
        <f>+'STER Canalyst'!W511*1000</f>
        <v>-257</v>
      </c>
      <c r="L159" s="2166">
        <f>+'STER Canalyst'!X511*1000</f>
        <v>-852</v>
      </c>
      <c r="M159" s="2166">
        <f>+'STER Canalyst'!Y511*1000</f>
        <v>2573</v>
      </c>
      <c r="N159" s="2159">
        <f>+'STER Canalyst'!Z511*1000</f>
        <v>-4645</v>
      </c>
      <c r="O159" s="2166">
        <f>+'STER Canalyst'!AA511*1000</f>
        <v>-1736</v>
      </c>
      <c r="P159" s="2166">
        <f>+'STER Canalyst'!AB511*1000</f>
        <v>-1444.0000000000002</v>
      </c>
      <c r="Q159" s="2166">
        <f>+'STER Canalyst'!AC511*1000</f>
        <v>1083.0000000000002</v>
      </c>
      <c r="R159" s="2159">
        <f>+'STER Canalyst'!AD511*1000</f>
        <v>-2417.9999999999995</v>
      </c>
      <c r="S159" s="2166">
        <f>+'STER Canalyst'!AE511*1000</f>
        <v>-2534</v>
      </c>
      <c r="T159" s="2166">
        <f>+'STER Canalyst'!AF511*1000</f>
        <v>-6116.0000000000009</v>
      </c>
      <c r="U159" s="2166">
        <f>+'STER Canalyst'!AG511*1000</f>
        <v>2157</v>
      </c>
      <c r="V159" s="2159">
        <f>+'STER Canalyst'!AH511*1000</f>
        <v>6399</v>
      </c>
      <c r="W159" s="2153">
        <f>+'STER Canalyst'!AI511*1000</f>
        <v>-1200</v>
      </c>
      <c r="X159" s="2153">
        <f>+'STER Canalyst'!AJ511*1000</f>
        <v>-4175</v>
      </c>
      <c r="Y159" s="2153"/>
      <c r="Z159" s="2153"/>
      <c r="AA159" s="2153"/>
      <c r="AB159" s="2153"/>
      <c r="AC159" s="2153"/>
      <c r="AD159" s="2153"/>
      <c r="AE159" s="2153"/>
      <c r="AF159" s="2153"/>
      <c r="AG159" s="2153"/>
      <c r="AH159" s="2153"/>
      <c r="AI159" s="2153"/>
      <c r="AJ159" s="2153"/>
      <c r="AK159" s="2153"/>
      <c r="AL159" s="2153"/>
      <c r="AM159" s="2153"/>
      <c r="AN159" s="2153"/>
      <c r="AO159" s="2153"/>
      <c r="AP159" s="2153"/>
      <c r="AQ159" s="2153">
        <f>+'STER Canalyst'!BB511*1000</f>
        <v>-7881</v>
      </c>
      <c r="AR159" s="2153">
        <f>+'STER Canalyst'!BC511*1000</f>
        <v>797</v>
      </c>
      <c r="AS159" s="2153">
        <f>+'STER Canalyst'!BD511*1000</f>
        <v>-3181</v>
      </c>
      <c r="AT159" s="2153">
        <v>-4515</v>
      </c>
      <c r="AU159" s="2153">
        <v>-94</v>
      </c>
    </row>
    <row r="160" spans="1:47" x14ac:dyDescent="0.25">
      <c r="A160" s="649" t="s">
        <v>480</v>
      </c>
      <c r="C160" s="2153"/>
      <c r="D160" s="2153"/>
      <c r="E160" s="2153"/>
      <c r="F160" s="2159"/>
      <c r="G160" s="2166"/>
      <c r="H160" s="2166"/>
      <c r="I160" s="2166">
        <f>+'STER Canalyst'!U512*1000</f>
        <v>-322.00000000000006</v>
      </c>
      <c r="J160" s="2159">
        <f>+'STER Canalyst'!V512*1000</f>
        <v>-4033.0000000000005</v>
      </c>
      <c r="K160" s="2166">
        <f>+'STER Canalyst'!W512*1000</f>
        <v>5421</v>
      </c>
      <c r="L160" s="2166">
        <f>+'STER Canalyst'!X512*1000</f>
        <v>7178.9999999999991</v>
      </c>
      <c r="M160" s="2166">
        <f>+'STER Canalyst'!Y512*1000</f>
        <v>-484</v>
      </c>
      <c r="N160" s="2159">
        <f>+'STER Canalyst'!Z512*1000</f>
        <v>833.99999999999966</v>
      </c>
      <c r="O160" s="2166">
        <f>+'STER Canalyst'!AA512*1000</f>
        <v>10255</v>
      </c>
      <c r="P160" s="2166">
        <f>+'STER Canalyst'!AB512*1000</f>
        <v>3994</v>
      </c>
      <c r="Q160" s="2166">
        <f>+'STER Canalyst'!AC512*1000</f>
        <v>-7703</v>
      </c>
      <c r="R160" s="2159">
        <f>+'STER Canalyst'!AD512*1000</f>
        <v>1338.9999999999995</v>
      </c>
      <c r="S160" s="2166">
        <f>+'STER Canalyst'!AE512*1000</f>
        <v>3716</v>
      </c>
      <c r="T160" s="2166">
        <f>+'STER Canalyst'!AF512*1000</f>
        <v>-2402</v>
      </c>
      <c r="U160" s="2166">
        <f>+'STER Canalyst'!AG512*1000</f>
        <v>-557</v>
      </c>
      <c r="V160" s="2159">
        <f>+'STER Canalyst'!AH512*1000</f>
        <v>-646</v>
      </c>
      <c r="W160" s="2153">
        <f>+'STER Canalyst'!AI512*1000</f>
        <v>7149</v>
      </c>
      <c r="X160" s="2153">
        <f>+'STER Canalyst'!AJ512*1000</f>
        <v>5380.9999999999991</v>
      </c>
      <c r="Y160" s="2153"/>
      <c r="Z160" s="2153"/>
      <c r="AA160" s="2153"/>
      <c r="AB160" s="2153"/>
      <c r="AC160" s="2153"/>
      <c r="AD160" s="2153"/>
      <c r="AE160" s="2153"/>
      <c r="AF160" s="2153"/>
      <c r="AG160" s="2153"/>
      <c r="AH160" s="2153"/>
      <c r="AI160" s="2153"/>
      <c r="AJ160" s="2153"/>
      <c r="AK160" s="2153"/>
      <c r="AL160" s="2153"/>
      <c r="AM160" s="2153"/>
      <c r="AN160" s="2153"/>
      <c r="AO160" s="2153"/>
      <c r="AP160" s="2153"/>
      <c r="AQ160" s="2153">
        <f>+'STER Canalyst'!BB512*1000</f>
        <v>-2041.9999999999998</v>
      </c>
      <c r="AR160" s="2153">
        <f>+'STER Canalyst'!BC512*1000</f>
        <v>-3470</v>
      </c>
      <c r="AS160" s="2153">
        <f>+'STER Canalyst'!BD512*1000</f>
        <v>12950</v>
      </c>
      <c r="AT160" s="2153">
        <v>7885</v>
      </c>
      <c r="AU160" s="2153">
        <v>111</v>
      </c>
    </row>
    <row r="161" spans="1:49" x14ac:dyDescent="0.25">
      <c r="A161" s="649" t="s">
        <v>826</v>
      </c>
      <c r="C161" s="2153"/>
      <c r="D161" s="2153"/>
      <c r="E161" s="2153"/>
      <c r="F161" s="2159"/>
      <c r="G161" s="2166"/>
      <c r="H161" s="2166"/>
      <c r="I161" s="2166">
        <f>+'STER Canalyst'!U513*1000</f>
        <v>0</v>
      </c>
      <c r="J161" s="2159">
        <f>+'STER Canalyst'!V513*1000</f>
        <v>-14250</v>
      </c>
      <c r="K161" s="2166">
        <f>+'STER Canalyst'!W513*1000</f>
        <v>-750</v>
      </c>
      <c r="L161" s="2166">
        <f>+'STER Canalyst'!X513*1000</f>
        <v>0</v>
      </c>
      <c r="M161" s="2166">
        <f>+'STER Canalyst'!Y513*1000</f>
        <v>0</v>
      </c>
      <c r="N161" s="2159">
        <f>+'STER Canalyst'!Z513*1000</f>
        <v>0</v>
      </c>
      <c r="O161" s="2166">
        <f>+'STER Canalyst'!AA513*1000</f>
        <v>0</v>
      </c>
      <c r="P161" s="2166">
        <f>+'STER Canalyst'!AB513*1000</f>
        <v>0</v>
      </c>
      <c r="Q161" s="2166">
        <f>+'STER Canalyst'!AC513*1000</f>
        <v>0</v>
      </c>
      <c r="R161" s="2159">
        <f>+'STER Canalyst'!AD513*1000</f>
        <v>4165</v>
      </c>
      <c r="S161" s="2166">
        <f>+'STER Canalyst'!AE513*1000</f>
        <v>315</v>
      </c>
      <c r="T161" s="2166">
        <f>+'STER Canalyst'!AF513*1000</f>
        <v>1533.0000000000002</v>
      </c>
      <c r="U161" s="2166">
        <f>+'STER Canalyst'!AG513*1000</f>
        <v>1164.9999999999998</v>
      </c>
      <c r="V161" s="2159">
        <f>+'STER Canalyst'!AH513*1000</f>
        <v>-1898.9999999999998</v>
      </c>
      <c r="W161" s="2153">
        <f>+'STER Canalyst'!AI513*1000</f>
        <v>-55</v>
      </c>
      <c r="X161" s="2153">
        <f>+'STER Canalyst'!AJ513*1000</f>
        <v>998</v>
      </c>
      <c r="Y161" s="2153"/>
      <c r="Z161" s="2153"/>
      <c r="AA161" s="2153"/>
      <c r="AB161" s="2153"/>
      <c r="AC161" s="2153"/>
      <c r="AD161" s="2153"/>
      <c r="AE161" s="2153"/>
      <c r="AF161" s="2153"/>
      <c r="AG161" s="2153"/>
      <c r="AH161" s="2153"/>
      <c r="AI161" s="2153"/>
      <c r="AJ161" s="2153"/>
      <c r="AK161" s="2153"/>
      <c r="AL161" s="2153"/>
      <c r="AM161" s="2153"/>
      <c r="AN161" s="2153"/>
      <c r="AO161" s="2153"/>
      <c r="AP161" s="2153"/>
      <c r="AQ161" s="2153">
        <f>+'STER Canalyst'!BB513*1000</f>
        <v>15000</v>
      </c>
      <c r="AR161" s="2153">
        <f>+'STER Canalyst'!BC513*1000</f>
        <v>-14250</v>
      </c>
      <c r="AS161" s="2153">
        <f>+'STER Canalyst'!BD513*1000</f>
        <v>-750</v>
      </c>
      <c r="AT161" s="2153">
        <v>4165</v>
      </c>
      <c r="AU161" s="2153">
        <v>1114</v>
      </c>
    </row>
    <row r="162" spans="1:49" x14ac:dyDescent="0.25">
      <c r="A162" s="649" t="s">
        <v>827</v>
      </c>
      <c r="C162" s="2153"/>
      <c r="D162" s="2153"/>
      <c r="E162" s="2153"/>
      <c r="F162" s="2159"/>
      <c r="G162" s="2166"/>
      <c r="H162" s="2166"/>
      <c r="I162" s="2166">
        <f>+'STER Canalyst'!U514*1000</f>
        <v>4485</v>
      </c>
      <c r="J162" s="2159">
        <f>+'STER Canalyst'!V514*1000</f>
        <v>1599.0000000000002</v>
      </c>
      <c r="K162" s="2166">
        <f>+'STER Canalyst'!W514*1000</f>
        <v>5634</v>
      </c>
      <c r="L162" s="2166">
        <f>+'STER Canalyst'!X514*1000</f>
        <v>10003</v>
      </c>
      <c r="M162" s="2166">
        <f>+'STER Canalyst'!Y514*1000</f>
        <v>-28.000000000000469</v>
      </c>
      <c r="N162" s="2159">
        <f>+'STER Canalyst'!Z514*1000</f>
        <v>14603</v>
      </c>
      <c r="O162" s="2166">
        <f>+'STER Canalyst'!AA514*1000</f>
        <v>-12283</v>
      </c>
      <c r="P162" s="2166">
        <f>+'STER Canalyst'!AB514*1000</f>
        <v>3673</v>
      </c>
      <c r="Q162" s="2166">
        <f>+'STER Canalyst'!AC514*1000</f>
        <v>8693.9999999999982</v>
      </c>
      <c r="R162" s="2159">
        <f>+'STER Canalyst'!AD514*1000</f>
        <v>218.99999999999997</v>
      </c>
      <c r="S162" s="2166">
        <f>+'STER Canalyst'!AE514*1000</f>
        <v>-12256</v>
      </c>
      <c r="T162" s="2166">
        <f>+'STER Canalyst'!AF514*1000</f>
        <v>1740.9999999999995</v>
      </c>
      <c r="U162" s="2166">
        <f>+'STER Canalyst'!AG514*1000</f>
        <v>2533.0000000000005</v>
      </c>
      <c r="V162" s="2159">
        <f>+'STER Canalyst'!AH514*1000</f>
        <v>3372</v>
      </c>
      <c r="W162" s="2153">
        <f>+'STER Canalyst'!AI514*1000</f>
        <v>6723</v>
      </c>
      <c r="X162" s="2153">
        <f>+'STER Canalyst'!AJ514*1000</f>
        <v>5572.9999999999991</v>
      </c>
      <c r="Y162" s="2153"/>
      <c r="Z162" s="2153"/>
      <c r="AA162" s="2153"/>
      <c r="AB162" s="2153"/>
      <c r="AC162" s="2153"/>
      <c r="AD162" s="2153"/>
      <c r="AE162" s="2153"/>
      <c r="AF162" s="2153"/>
      <c r="AG162" s="2153"/>
      <c r="AH162" s="2153"/>
      <c r="AI162" s="2153"/>
      <c r="AJ162" s="2153"/>
      <c r="AK162" s="2153"/>
      <c r="AL162" s="2153"/>
      <c r="AM162" s="2153"/>
      <c r="AN162" s="2153"/>
      <c r="AO162" s="2153"/>
      <c r="AP162" s="2153"/>
      <c r="AQ162" s="2153">
        <f>+'STER Canalyst'!BB514*1000</f>
        <v>3419</v>
      </c>
      <c r="AR162" s="2153">
        <f>+'STER Canalyst'!BC514*1000</f>
        <v>-6396</v>
      </c>
      <c r="AS162" s="2153">
        <f>+'STER Canalyst'!BD514*1000</f>
        <v>30212</v>
      </c>
      <c r="AT162" s="2153">
        <v>303</v>
      </c>
      <c r="AU162" s="2153">
        <v>-4610</v>
      </c>
    </row>
    <row r="163" spans="1:49" s="413" customFormat="1" ht="14" x14ac:dyDescent="0.4">
      <c r="A163" s="132" t="s">
        <v>530</v>
      </c>
      <c r="C163" s="719"/>
      <c r="D163" s="719"/>
      <c r="E163" s="719"/>
      <c r="F163" s="718"/>
      <c r="G163" s="719"/>
      <c r="H163" s="719"/>
      <c r="I163" s="719">
        <f>+'STER Canalyst'!U515*1000</f>
        <v>902.99999999999955</v>
      </c>
      <c r="J163" s="718">
        <f>+'STER Canalyst'!V515*1000</f>
        <v>3456.0000000000014</v>
      </c>
      <c r="K163" s="719">
        <f>+'STER Canalyst'!W515*1000</f>
        <v>2065</v>
      </c>
      <c r="L163" s="719">
        <f>+'STER Canalyst'!X515*1000</f>
        <v>-2770</v>
      </c>
      <c r="M163" s="719">
        <f>+'STER Canalyst'!Y515*1000</f>
        <v>366.99999999999994</v>
      </c>
      <c r="N163" s="718">
        <f>+'STER Canalyst'!Z515*1000</f>
        <v>2082</v>
      </c>
      <c r="O163" s="719">
        <f>+'STER Canalyst'!AA515*1000</f>
        <v>-4807</v>
      </c>
      <c r="P163" s="719">
        <f>+'STER Canalyst'!AB515*1000</f>
        <v>3425.0000000000009</v>
      </c>
      <c r="Q163" s="719">
        <f>+'STER Canalyst'!AC515*1000</f>
        <v>-3486.0000000000005</v>
      </c>
      <c r="R163" s="718">
        <f>+'STER Canalyst'!AD515*1000</f>
        <v>-1367</v>
      </c>
      <c r="S163" s="719">
        <f>+'STER Canalyst'!AE515*1000</f>
        <v>-2364</v>
      </c>
      <c r="T163" s="719">
        <f>+'STER Canalyst'!AF515*1000</f>
        <v>-1083.0000000000002</v>
      </c>
      <c r="U163" s="719">
        <f>+'STER Canalyst'!AG515*1000</f>
        <v>-1187.9999999999998</v>
      </c>
      <c r="V163" s="718">
        <f>+'STER Canalyst'!AH515*1000</f>
        <v>9567</v>
      </c>
      <c r="W163" s="719">
        <f>+'STER Canalyst'!AI515*1000</f>
        <v>-7745</v>
      </c>
      <c r="X163" s="719">
        <f>+'STER Canalyst'!AJ515*1000</f>
        <v>-2838.9999999999995</v>
      </c>
      <c r="Y163" s="719"/>
      <c r="Z163" s="719"/>
      <c r="AA163" s="719"/>
      <c r="AB163" s="719"/>
      <c r="AC163" s="719"/>
      <c r="AD163" s="719"/>
      <c r="AE163" s="719"/>
      <c r="AF163" s="719"/>
      <c r="AG163" s="719"/>
      <c r="AH163" s="719"/>
      <c r="AI163" s="719"/>
      <c r="AJ163" s="719"/>
      <c r="AK163" s="719"/>
      <c r="AL163" s="719"/>
      <c r="AM163" s="719"/>
      <c r="AN163" s="719"/>
      <c r="AO163" s="719"/>
      <c r="AP163" s="719"/>
      <c r="AQ163" s="719">
        <f>+'STER Canalyst'!BB515*1000</f>
        <v>-7255</v>
      </c>
      <c r="AR163" s="719">
        <f>+'STER Canalyst'!BC515*1000</f>
        <v>11505</v>
      </c>
      <c r="AS163" s="719">
        <f>+'STER Canalyst'!BD515*1000</f>
        <v>1744</v>
      </c>
      <c r="AT163" s="719">
        <v>-6235</v>
      </c>
      <c r="AU163" s="719">
        <v>4932</v>
      </c>
      <c r="AV163" s="719"/>
      <c r="AW163" s="614"/>
    </row>
    <row r="164" spans="1:49" s="163" customFormat="1" ht="13" x14ac:dyDescent="0.3">
      <c r="A164" s="426" t="s">
        <v>854</v>
      </c>
      <c r="C164" s="594"/>
      <c r="D164" s="594"/>
      <c r="E164" s="594"/>
      <c r="F164" s="593"/>
      <c r="G164" s="594"/>
      <c r="H164" s="594"/>
      <c r="I164" s="594">
        <f t="shared" ref="I164" si="273">+SUM(I156:I163,I139:I153,I137)</f>
        <v>5627</v>
      </c>
      <c r="J164" s="593">
        <f t="shared" ref="J164" si="274">+SUM(J156:J163,J139:J153,J137)</f>
        <v>10331.999999999995</v>
      </c>
      <c r="K164" s="594">
        <f t="shared" ref="K164" si="275">+SUM(K156:K163,K139:K153,K137)</f>
        <v>21983</v>
      </c>
      <c r="L164" s="594">
        <f t="shared" ref="L164" si="276">+SUM(L156:L163,L139:L153,L137)</f>
        <v>23307</v>
      </c>
      <c r="M164" s="594">
        <f t="shared" ref="M164" si="277">+SUM(M156:M163,M139:M153,M137)</f>
        <v>-6364</v>
      </c>
      <c r="N164" s="593">
        <f t="shared" ref="N164" si="278">+SUM(N156:N163,N139:N153,N137)</f>
        <v>29678.999999999996</v>
      </c>
      <c r="O164" s="594">
        <f t="shared" ref="O164" si="279">+SUM(O156:O163,O139:O153,O137)</f>
        <v>3449</v>
      </c>
      <c r="P164" s="594">
        <f t="shared" ref="P164" si="280">+SUM(P156:P163,P139:P153,P137)</f>
        <v>29830</v>
      </c>
      <c r="Q164" s="594">
        <f t="shared" ref="Q164" si="281">+SUM(Q156:Q163,Q139:Q153,Q137)</f>
        <v>40319</v>
      </c>
      <c r="R164" s="593">
        <f t="shared" ref="R164" si="282">+SUM(R156:R163,R139:R153,R137)</f>
        <v>30665.000000000007</v>
      </c>
      <c r="S164" s="594">
        <f t="shared" ref="S164" si="283">+SUM(S156:S163,S139:S153,S137)</f>
        <v>11282</v>
      </c>
      <c r="T164" s="594">
        <f t="shared" ref="T164" si="284">+SUM(T156:T163,T139:T153,T137)</f>
        <v>21616</v>
      </c>
      <c r="U164" s="594">
        <f t="shared" ref="U164" si="285">+SUM(U156:U163,U139:U153,U137)</f>
        <v>32778</v>
      </c>
      <c r="V164" s="593">
        <f t="shared" ref="V164" si="286">+SUM(V156:V163,V139:V153,V137)</f>
        <v>31185</v>
      </c>
      <c r="W164" s="594">
        <f t="shared" ref="W164" si="287">+SUM(W156:W163,W139:W153,W137)</f>
        <v>3674</v>
      </c>
      <c r="X164" s="594">
        <f t="shared" ref="X164" si="288">+SUM(X156:X163,X139:X153,X137)</f>
        <v>16493</v>
      </c>
      <c r="Y164" s="594"/>
      <c r="Z164" s="594"/>
      <c r="AA164" s="594"/>
      <c r="AB164" s="594"/>
      <c r="AC164" s="594"/>
      <c r="AD164" s="594"/>
      <c r="AE164" s="594"/>
      <c r="AF164" s="594"/>
      <c r="AG164" s="594"/>
      <c r="AH164" s="594"/>
      <c r="AI164" s="594"/>
      <c r="AJ164" s="594"/>
      <c r="AK164" s="594"/>
      <c r="AL164" s="594"/>
      <c r="AM164" s="594"/>
      <c r="AN164" s="594"/>
      <c r="AO164" s="594"/>
      <c r="AP164" s="594"/>
      <c r="AQ164" s="594">
        <f t="shared" ref="AQ164:AR164" si="289">+SUM(AQ156:AQ163,AQ139:AQ153,AQ137)</f>
        <v>36204</v>
      </c>
      <c r="AR164" s="594">
        <f t="shared" si="289"/>
        <v>36185</v>
      </c>
      <c r="AS164" s="594">
        <f>+SUM(AS156:AS163,AS139:AS153,AS137)</f>
        <v>68605</v>
      </c>
      <c r="AT164" s="594">
        <f>+SUM(AT156:AT163,AT139:AT153,AT137)</f>
        <v>104263</v>
      </c>
      <c r="AU164" s="594">
        <v>96861</v>
      </c>
      <c r="AV164" s="594"/>
      <c r="AW164" s="573"/>
    </row>
    <row r="165" spans="1:49" x14ac:dyDescent="0.25">
      <c r="A165" s="425"/>
      <c r="C165" s="583"/>
      <c r="D165" s="583"/>
      <c r="E165" s="583"/>
      <c r="F165" s="588"/>
      <c r="G165" s="583"/>
      <c r="H165" s="583"/>
      <c r="I165" s="583"/>
      <c r="J165" s="588"/>
      <c r="K165" s="583"/>
      <c r="L165" s="583"/>
      <c r="M165" s="583"/>
      <c r="N165" s="588"/>
      <c r="O165" s="583"/>
      <c r="P165" s="583"/>
      <c r="Q165" s="583"/>
      <c r="R165" s="588"/>
      <c r="S165" s="583"/>
      <c r="T165" s="583"/>
      <c r="U165" s="583"/>
      <c r="V165" s="588"/>
      <c r="W165" s="583"/>
      <c r="X165" s="583"/>
      <c r="Y165" s="583"/>
      <c r="Z165" s="583"/>
      <c r="AA165" s="583"/>
      <c r="AB165" s="583"/>
      <c r="AC165" s="583"/>
      <c r="AD165" s="583"/>
      <c r="AE165" s="583"/>
      <c r="AF165" s="583"/>
      <c r="AG165" s="583"/>
      <c r="AH165" s="583"/>
      <c r="AI165" s="583"/>
      <c r="AJ165" s="583"/>
      <c r="AK165" s="583"/>
      <c r="AL165" s="583"/>
      <c r="AM165" s="583"/>
      <c r="AN165" s="583"/>
      <c r="AO165" s="583"/>
      <c r="AP165" s="583"/>
      <c r="AQ165" s="583"/>
      <c r="AR165" s="583"/>
      <c r="AS165" s="583"/>
      <c r="AT165" s="583"/>
      <c r="AU165" s="583"/>
      <c r="AV165" s="583"/>
      <c r="AW165" s="571"/>
    </row>
    <row r="166" spans="1:49" ht="13" x14ac:dyDescent="0.3">
      <c r="A166" s="2152" t="s">
        <v>597</v>
      </c>
      <c r="C166" s="2155"/>
      <c r="D166" s="2155"/>
      <c r="E166" s="2155"/>
      <c r="F166" s="2165"/>
      <c r="G166" s="2171"/>
      <c r="H166" s="2171"/>
      <c r="I166" s="2171"/>
      <c r="J166" s="2165"/>
      <c r="K166" s="2171"/>
      <c r="L166" s="2171"/>
      <c r="M166" s="2171"/>
      <c r="N166" s="2165"/>
      <c r="O166" s="2171"/>
      <c r="P166" s="2171"/>
      <c r="Q166" s="2171"/>
      <c r="R166" s="2165"/>
      <c r="S166" s="2171"/>
      <c r="T166" s="2171"/>
      <c r="U166" s="2171"/>
      <c r="V166" s="2165"/>
      <c r="W166" s="2155"/>
      <c r="X166" s="2155"/>
      <c r="Y166" s="2155"/>
      <c r="Z166" s="2155"/>
      <c r="AA166" s="2155"/>
      <c r="AB166" s="2155"/>
      <c r="AC166" s="2155"/>
      <c r="AD166" s="2155"/>
      <c r="AE166" s="2155"/>
      <c r="AF166" s="2155"/>
      <c r="AG166" s="2155"/>
      <c r="AH166" s="2155"/>
      <c r="AI166" s="2155"/>
      <c r="AJ166" s="2155"/>
      <c r="AK166" s="2155"/>
      <c r="AL166" s="2155"/>
      <c r="AM166" s="2155"/>
      <c r="AN166" s="2155"/>
      <c r="AO166" s="2155"/>
      <c r="AP166" s="2155"/>
      <c r="AQ166" s="2155"/>
      <c r="AR166" s="2155"/>
      <c r="AS166" s="2155"/>
      <c r="AT166" s="2155"/>
      <c r="AU166" s="2155"/>
    </row>
    <row r="167" spans="1:49" x14ac:dyDescent="0.25">
      <c r="A167" s="649" t="s">
        <v>855</v>
      </c>
      <c r="C167" s="2153"/>
      <c r="D167" s="2153"/>
      <c r="E167" s="2153"/>
      <c r="F167" s="2159"/>
      <c r="G167" s="2166"/>
      <c r="H167" s="2166"/>
      <c r="I167" s="2166">
        <f>+'STER Canalyst'!U519*1000</f>
        <v>-91.999999999999858</v>
      </c>
      <c r="J167" s="2159">
        <f>+'STER Canalyst'!V519*1000</f>
        <v>-482.00000000000023</v>
      </c>
      <c r="K167" s="2166">
        <f>+'STER Canalyst'!W519*1000</f>
        <v>-346</v>
      </c>
      <c r="L167" s="2166">
        <f>+'STER Canalyst'!X519*1000</f>
        <v>-914</v>
      </c>
      <c r="M167" s="2166">
        <f>+'STER Canalyst'!Y519*1000</f>
        <v>-1359.0000000000002</v>
      </c>
      <c r="N167" s="2159">
        <f>+'STER Canalyst'!Z519*1000</f>
        <v>-614.99999999999977</v>
      </c>
      <c r="O167" s="2166">
        <f>+'STER Canalyst'!AA519*1000</f>
        <v>-1495</v>
      </c>
      <c r="P167" s="2166">
        <f>+'STER Canalyst'!AB519*1000</f>
        <v>-1771</v>
      </c>
      <c r="Q167" s="2166">
        <f>+'STER Canalyst'!AC519*1000</f>
        <v>-712.00000000000023</v>
      </c>
      <c r="R167" s="2159">
        <f>+'STER Canalyst'!AD519*1000</f>
        <v>-520</v>
      </c>
      <c r="S167" s="2166">
        <f>+'STER Canalyst'!AE519*1000</f>
        <v>-140</v>
      </c>
      <c r="T167" s="2166">
        <f>+'STER Canalyst'!AF519*1000</f>
        <v>-452.99999999999994</v>
      </c>
      <c r="U167" s="2166">
        <f>+'STER Canalyst'!AG519*1000</f>
        <v>-784</v>
      </c>
      <c r="V167" s="2159">
        <f>+'STER Canalyst'!AH519*1000</f>
        <v>-1183</v>
      </c>
      <c r="W167" s="2153">
        <f>+'STER Canalyst'!AI519*1000</f>
        <v>-673</v>
      </c>
      <c r="X167" s="2153">
        <f>+'STER Canalyst'!AJ519*1000</f>
        <v>-319.99999999999994</v>
      </c>
      <c r="Y167" s="2153"/>
      <c r="Z167" s="2153"/>
      <c r="AA167" s="2153"/>
      <c r="AB167" s="2153"/>
      <c r="AC167" s="2153"/>
      <c r="AD167" s="2153"/>
      <c r="AE167" s="2153"/>
      <c r="AF167" s="2153"/>
      <c r="AG167" s="2153"/>
      <c r="AH167" s="2153"/>
      <c r="AI167" s="2153"/>
      <c r="AJ167" s="2153"/>
      <c r="AK167" s="2153"/>
      <c r="AL167" s="2153"/>
      <c r="AM167" s="2153"/>
      <c r="AN167" s="2153"/>
      <c r="AO167" s="2153"/>
      <c r="AP167" s="2153"/>
      <c r="AQ167" s="2153">
        <f>+'STER Canalyst'!BB519*1000</f>
        <v>-5265</v>
      </c>
      <c r="AR167" s="2153">
        <f>+'STER Canalyst'!BC519*1000</f>
        <v>-2317</v>
      </c>
      <c r="AS167" s="2153">
        <f>+'STER Canalyst'!BD519*1000</f>
        <v>-3234</v>
      </c>
      <c r="AT167" s="2153">
        <v>-4498</v>
      </c>
      <c r="AU167" s="2153">
        <v>-2560</v>
      </c>
    </row>
    <row r="168" spans="1:49" x14ac:dyDescent="0.25">
      <c r="A168" s="649" t="s">
        <v>856</v>
      </c>
      <c r="C168" s="2153"/>
      <c r="D168" s="2153"/>
      <c r="E168" s="2153"/>
      <c r="F168" s="2159"/>
      <c r="G168" s="2166"/>
      <c r="H168" s="2166"/>
      <c r="I168" s="2166">
        <f>+'STER Canalyst'!U520*1000</f>
        <v>-3447</v>
      </c>
      <c r="J168" s="2159">
        <f>+'STER Canalyst'!V520*1000</f>
        <v>-2935.0000000000005</v>
      </c>
      <c r="K168" s="2166">
        <f>+'STER Canalyst'!W520*1000</f>
        <v>-3839</v>
      </c>
      <c r="L168" s="2166">
        <f>+'STER Canalyst'!X520*1000</f>
        <v>-4196</v>
      </c>
      <c r="M168" s="2166">
        <f>+'STER Canalyst'!Y520*1000</f>
        <v>-3952</v>
      </c>
      <c r="N168" s="2159">
        <f>+'STER Canalyst'!Z520*1000</f>
        <v>-3872.9999999999995</v>
      </c>
      <c r="O168" s="2166">
        <f>+'STER Canalyst'!AA520*1000</f>
        <v>-3742</v>
      </c>
      <c r="P168" s="2166">
        <f>+'STER Canalyst'!AB520*1000</f>
        <v>-3873.9999999999995</v>
      </c>
      <c r="Q168" s="2166">
        <f>+'STER Canalyst'!AC520*1000</f>
        <v>-4103</v>
      </c>
      <c r="R168" s="2159">
        <f>+'STER Canalyst'!AD520*1000</f>
        <v>-3970.0000000000005</v>
      </c>
      <c r="S168" s="2166">
        <f>+'STER Canalyst'!AE520*1000</f>
        <v>-4120</v>
      </c>
      <c r="T168" s="2166">
        <f>+'STER Canalyst'!AF520*1000</f>
        <v>-4469</v>
      </c>
      <c r="U168" s="2166">
        <f>+'STER Canalyst'!AG520*1000</f>
        <v>-4775</v>
      </c>
      <c r="V168" s="2159">
        <f>+'STER Canalyst'!AH520*1000</f>
        <v>-4437.9999999999991</v>
      </c>
      <c r="W168" s="2153">
        <f>+'STER Canalyst'!AI520*1000</f>
        <v>-4947</v>
      </c>
      <c r="X168" s="2153">
        <f>+'STER Canalyst'!AJ520*1000</f>
        <v>-5408</v>
      </c>
      <c r="Y168" s="2153"/>
      <c r="Z168" s="2153"/>
      <c r="AA168" s="2153"/>
      <c r="AB168" s="2153"/>
      <c r="AC168" s="2153"/>
      <c r="AD168" s="2153"/>
      <c r="AE168" s="2153"/>
      <c r="AF168" s="2153"/>
      <c r="AG168" s="2153"/>
      <c r="AH168" s="2153"/>
      <c r="AI168" s="2153"/>
      <c r="AJ168" s="2153"/>
      <c r="AK168" s="2153"/>
      <c r="AL168" s="2153"/>
      <c r="AM168" s="2153"/>
      <c r="AN168" s="2153"/>
      <c r="AO168" s="2153"/>
      <c r="AP168" s="2153"/>
      <c r="AQ168" s="2153">
        <f>+'STER Canalyst'!BB520*1000</f>
        <v>-26618</v>
      </c>
      <c r="AR168" s="2153">
        <f>+'STER Canalyst'!BC520*1000</f>
        <v>-14185</v>
      </c>
      <c r="AS168" s="2153">
        <f>+'STER Canalyst'!BD520*1000</f>
        <v>-15860</v>
      </c>
      <c r="AT168" s="2153">
        <v>-15689</v>
      </c>
      <c r="AU168" s="2153">
        <v>-17802</v>
      </c>
    </row>
    <row r="169" spans="1:49" x14ac:dyDescent="0.25">
      <c r="A169" s="649" t="s">
        <v>857</v>
      </c>
      <c r="C169" s="2153"/>
      <c r="D169" s="2153"/>
      <c r="E169" s="2153"/>
      <c r="F169" s="2159"/>
      <c r="G169" s="2166"/>
      <c r="H169" s="2166"/>
      <c r="I169" s="2166">
        <f>+'STER Canalyst'!U521*1000</f>
        <v>-236</v>
      </c>
      <c r="J169" s="2159">
        <f>+'STER Canalyst'!V521*1000</f>
        <v>0</v>
      </c>
      <c r="K169" s="2166">
        <f>+'STER Canalyst'!W521*1000</f>
        <v>0</v>
      </c>
      <c r="L169" s="2166">
        <f>+'STER Canalyst'!X521*1000</f>
        <v>0</v>
      </c>
      <c r="M169" s="2166">
        <f>+'STER Canalyst'!Y521*1000</f>
        <v>0</v>
      </c>
      <c r="N169" s="2159">
        <f>+'STER Canalyst'!Z521*1000</f>
        <v>0</v>
      </c>
      <c r="O169" s="2166">
        <f>+'STER Canalyst'!AA521*1000</f>
        <v>0</v>
      </c>
      <c r="P169" s="2166">
        <f>+'STER Canalyst'!AB521*1000</f>
        <v>0</v>
      </c>
      <c r="Q169" s="2166">
        <f>+'STER Canalyst'!AC521*1000</f>
        <v>0</v>
      </c>
      <c r="R169" s="2159">
        <f>+'STER Canalyst'!AD521*1000</f>
        <v>0</v>
      </c>
      <c r="S169" s="2166">
        <f>+'STER Canalyst'!AE521*1000</f>
        <v>0</v>
      </c>
      <c r="T169" s="2166">
        <f>+'STER Canalyst'!AF521*1000</f>
        <v>0</v>
      </c>
      <c r="U169" s="2166">
        <f>+'STER Canalyst'!AG521*1000</f>
        <v>0</v>
      </c>
      <c r="V169" s="2159">
        <f>+'STER Canalyst'!AH521*1000</f>
        <v>0</v>
      </c>
      <c r="W169" s="2153">
        <f>+'STER Canalyst'!AI521*1000</f>
        <v>0</v>
      </c>
      <c r="X169" s="2153">
        <f>+'STER Canalyst'!AJ521*1000</f>
        <v>0</v>
      </c>
      <c r="Y169" s="2153"/>
      <c r="Z169" s="2153"/>
      <c r="AA169" s="2153"/>
      <c r="AB169" s="2153"/>
      <c r="AC169" s="2153"/>
      <c r="AD169" s="2153"/>
      <c r="AE169" s="2153"/>
      <c r="AF169" s="2153"/>
      <c r="AG169" s="2153"/>
      <c r="AH169" s="2153"/>
      <c r="AI169" s="2153"/>
      <c r="AJ169" s="2153"/>
      <c r="AK169" s="2153"/>
      <c r="AL169" s="2153"/>
      <c r="AM169" s="2153"/>
      <c r="AN169" s="2153"/>
      <c r="AO169" s="2153"/>
      <c r="AP169" s="2153"/>
      <c r="AQ169" s="2153">
        <f>+'STER Canalyst'!BB521*1000</f>
        <v>-2000</v>
      </c>
      <c r="AR169" s="2153">
        <f>+'STER Canalyst'!BC521*1000</f>
        <v>0</v>
      </c>
      <c r="AS169" s="2153">
        <f>+'STER Canalyst'!BD521*1000</f>
        <v>0</v>
      </c>
      <c r="AT169" s="2153"/>
      <c r="AU169" s="2153"/>
    </row>
    <row r="170" spans="1:49" x14ac:dyDescent="0.25">
      <c r="A170" s="649" t="s">
        <v>858</v>
      </c>
      <c r="C170" s="2153"/>
      <c r="D170" s="2153"/>
      <c r="E170" s="2153"/>
      <c r="F170" s="2159"/>
      <c r="G170" s="2166"/>
      <c r="H170" s="2166"/>
      <c r="I170" s="2166">
        <f>+'STER Canalyst'!U523*1000</f>
        <v>0</v>
      </c>
      <c r="J170" s="2159">
        <f>+'STER Canalyst'!V523*1000</f>
        <v>0</v>
      </c>
      <c r="K170" s="2166">
        <f>+'STER Canalyst'!W523*1000</f>
        <v>0</v>
      </c>
      <c r="L170" s="2166">
        <f>+'STER Canalyst'!X523*1000</f>
        <v>0</v>
      </c>
      <c r="M170" s="2166">
        <f>+'STER Canalyst'!Y523*1000</f>
        <v>0</v>
      </c>
      <c r="N170" s="2159">
        <f>+'STER Canalyst'!Z523*1000</f>
        <v>-66323</v>
      </c>
      <c r="O170" s="2166">
        <f>+'STER Canalyst'!AA523*1000</f>
        <v>0</v>
      </c>
      <c r="P170" s="2166">
        <f>+'STER Canalyst'!AB523*1000</f>
        <v>0</v>
      </c>
      <c r="Q170" s="2166">
        <f>+'STER Canalyst'!AC523*1000</f>
        <v>0</v>
      </c>
      <c r="R170" s="2159">
        <f>+'STER Canalyst'!AD523*1000</f>
        <v>0</v>
      </c>
      <c r="S170" s="2166">
        <f>+'STER Canalyst'!AE523*1000</f>
        <v>-48802</v>
      </c>
      <c r="T170" s="2166">
        <f>+'STER Canalyst'!AF523*1000</f>
        <v>161.00000000000136</v>
      </c>
      <c r="U170" s="2166">
        <f>+'STER Canalyst'!AG523*1000</f>
        <v>-569.00000000000261</v>
      </c>
      <c r="V170" s="2159">
        <f>+'STER Canalyst'!AH523*1000</f>
        <v>0</v>
      </c>
      <c r="W170" s="2153">
        <f>+'STER Canalyst'!AI523*1000</f>
        <v>-70479</v>
      </c>
      <c r="X170" s="2153">
        <f>+'STER Canalyst'!AJ523*1000</f>
        <v>42.000000000001592</v>
      </c>
      <c r="Y170" s="2153"/>
      <c r="Z170" s="2153"/>
      <c r="AA170" s="2153"/>
      <c r="AB170" s="2153"/>
      <c r="AC170" s="2153"/>
      <c r="AD170" s="2153"/>
      <c r="AE170" s="2153"/>
      <c r="AF170" s="2153"/>
      <c r="AG170" s="2153"/>
      <c r="AH170" s="2153"/>
      <c r="AI170" s="2153"/>
      <c r="AJ170" s="2153"/>
      <c r="AK170" s="2153"/>
      <c r="AL170" s="2153"/>
      <c r="AM170" s="2153"/>
      <c r="AN170" s="2153"/>
      <c r="AO170" s="2153"/>
      <c r="AP170" s="2153"/>
      <c r="AQ170" s="2153">
        <f>+'STER Canalyst'!BB523*1000</f>
        <v>0</v>
      </c>
      <c r="AR170" s="2153">
        <f>+'STER Canalyst'!BC523*1000</f>
        <v>0</v>
      </c>
      <c r="AS170" s="2153">
        <f>+'STER Canalyst'!BD523*1000</f>
        <v>-66323</v>
      </c>
      <c r="AT170" s="2153">
        <v>0</v>
      </c>
      <c r="AU170" s="2153">
        <v>-49210</v>
      </c>
    </row>
    <row r="171" spans="1:49" s="413" customFormat="1" ht="14" x14ac:dyDescent="0.4">
      <c r="A171" s="132" t="s">
        <v>859</v>
      </c>
      <c r="C171" s="719"/>
      <c r="D171" s="719"/>
      <c r="E171" s="719"/>
      <c r="F171" s="718"/>
      <c r="G171" s="719"/>
      <c r="H171" s="719"/>
      <c r="I171" s="719">
        <f>+'STER Canalyst'!U522*1000</f>
        <v>236</v>
      </c>
      <c r="J171" s="718">
        <f>+'STER Canalyst'!V522*1000</f>
        <v>0</v>
      </c>
      <c r="K171" s="719">
        <f>+'STER Canalyst'!W522*1000</f>
        <v>0</v>
      </c>
      <c r="L171" s="719">
        <f>+'STER Canalyst'!X522*1000</f>
        <v>0</v>
      </c>
      <c r="M171" s="719">
        <f>+'STER Canalyst'!Y522*1000</f>
        <v>7</v>
      </c>
      <c r="N171" s="718">
        <f>+'STER Canalyst'!Z522*1000</f>
        <v>34</v>
      </c>
      <c r="O171" s="719">
        <f>+'STER Canalyst'!AA522*1000</f>
        <v>4</v>
      </c>
      <c r="P171" s="719">
        <f>+'STER Canalyst'!AB522*1000</f>
        <v>4.9999999999999991</v>
      </c>
      <c r="Q171" s="719">
        <f>+'STER Canalyst'!AC522*1000</f>
        <v>16</v>
      </c>
      <c r="R171" s="718">
        <f>+'STER Canalyst'!AD522*1000</f>
        <v>25.999999999999996</v>
      </c>
      <c r="S171" s="719">
        <f>+'STER Canalyst'!AE522*1000</f>
        <v>7</v>
      </c>
      <c r="T171" s="719">
        <f>+'STER Canalyst'!AF522*1000</f>
        <v>118</v>
      </c>
      <c r="U171" s="719">
        <f>+'STER Canalyst'!AG522*1000</f>
        <v>-4.0000000000000036</v>
      </c>
      <c r="V171" s="718">
        <f>+'STER Canalyst'!AH522*1000</f>
        <v>1.0000000000000009</v>
      </c>
      <c r="W171" s="719">
        <f>+'STER Canalyst'!AI522*1000</f>
        <v>0</v>
      </c>
      <c r="X171" s="719">
        <f>+'STER Canalyst'!AJ522*1000</f>
        <v>3</v>
      </c>
      <c r="Y171" s="719"/>
      <c r="Z171" s="719"/>
      <c r="AA171" s="719"/>
      <c r="AB171" s="719"/>
      <c r="AC171" s="719"/>
      <c r="AD171" s="719"/>
      <c r="AE171" s="719"/>
      <c r="AF171" s="719"/>
      <c r="AG171" s="719"/>
      <c r="AH171" s="719"/>
      <c r="AI171" s="719"/>
      <c r="AJ171" s="719"/>
      <c r="AK171" s="719"/>
      <c r="AL171" s="719"/>
      <c r="AM171" s="719"/>
      <c r="AN171" s="719"/>
      <c r="AO171" s="719"/>
      <c r="AP171" s="719"/>
      <c r="AQ171" s="719">
        <f>+'STER Canalyst'!BB522*1000</f>
        <v>14</v>
      </c>
      <c r="AR171" s="719">
        <f>+'STER Canalyst'!BC522*1000</f>
        <v>236</v>
      </c>
      <c r="AS171" s="719">
        <f>+'STER Canalyst'!BD522*1000</f>
        <v>41</v>
      </c>
      <c r="AT171" s="719">
        <v>51</v>
      </c>
      <c r="AU171" s="719">
        <v>122</v>
      </c>
      <c r="AV171" s="719"/>
      <c r="AW171" s="614"/>
    </row>
    <row r="172" spans="1:49" s="163" customFormat="1" ht="13" x14ac:dyDescent="0.3">
      <c r="A172" s="426" t="s">
        <v>860</v>
      </c>
      <c r="C172" s="594"/>
      <c r="D172" s="594"/>
      <c r="E172" s="594"/>
      <c r="F172" s="593"/>
      <c r="G172" s="594"/>
      <c r="H172" s="594"/>
      <c r="I172" s="594">
        <f t="shared" ref="I172" si="290">+SUM(I167:I171)</f>
        <v>-3539</v>
      </c>
      <c r="J172" s="593">
        <f t="shared" ref="J172" si="291">+SUM(J167:J171)</f>
        <v>-3417.0000000000009</v>
      </c>
      <c r="K172" s="594">
        <f t="shared" ref="K172" si="292">+SUM(K167:K171)</f>
        <v>-4185</v>
      </c>
      <c r="L172" s="594">
        <f t="shared" ref="L172" si="293">+SUM(L167:L171)</f>
        <v>-5110</v>
      </c>
      <c r="M172" s="594">
        <f t="shared" ref="M172" si="294">+SUM(M167:M171)</f>
        <v>-5304</v>
      </c>
      <c r="N172" s="593">
        <f t="shared" ref="N172" si="295">+SUM(N167:N171)</f>
        <v>-70777</v>
      </c>
      <c r="O172" s="594">
        <f t="shared" ref="O172" si="296">+SUM(O167:O171)</f>
        <v>-5233</v>
      </c>
      <c r="P172" s="594">
        <f t="shared" ref="P172" si="297">+SUM(P167:P171)</f>
        <v>-5640</v>
      </c>
      <c r="Q172" s="594">
        <f t="shared" ref="Q172" si="298">+SUM(Q167:Q171)</f>
        <v>-4799</v>
      </c>
      <c r="R172" s="593">
        <f t="shared" ref="R172" si="299">+SUM(R167:R171)</f>
        <v>-4464</v>
      </c>
      <c r="S172" s="594">
        <f t="shared" ref="S172" si="300">+SUM(S167:S171)</f>
        <v>-53055</v>
      </c>
      <c r="T172" s="594">
        <f t="shared" ref="T172" si="301">+SUM(T167:T171)</f>
        <v>-4642.9999999999982</v>
      </c>
      <c r="U172" s="594">
        <f t="shared" ref="U172" si="302">+SUM(U167:U171)</f>
        <v>-6132.0000000000027</v>
      </c>
      <c r="V172" s="593">
        <f t="shared" ref="V172" si="303">+SUM(V167:V171)</f>
        <v>-5619.9999999999991</v>
      </c>
      <c r="W172" s="594">
        <f t="shared" ref="W172" si="304">+SUM(W167:W171)</f>
        <v>-76099</v>
      </c>
      <c r="X172" s="594">
        <f t="shared" ref="X172" si="305">+SUM(X167:X171)</f>
        <v>-5682.9999999999982</v>
      </c>
      <c r="Y172" s="594"/>
      <c r="Z172" s="594"/>
      <c r="AA172" s="594"/>
      <c r="AB172" s="594"/>
      <c r="AC172" s="594"/>
      <c r="AD172" s="594"/>
      <c r="AE172" s="594"/>
      <c r="AF172" s="594"/>
      <c r="AG172" s="594"/>
      <c r="AH172" s="594"/>
      <c r="AI172" s="594"/>
      <c r="AJ172" s="594"/>
      <c r="AK172" s="594"/>
      <c r="AL172" s="594"/>
      <c r="AM172" s="594"/>
      <c r="AN172" s="594"/>
      <c r="AO172" s="594"/>
      <c r="AP172" s="594"/>
      <c r="AQ172" s="594">
        <f t="shared" ref="AQ172:AR172" si="306">+SUM(AQ167:AQ171)</f>
        <v>-33869</v>
      </c>
      <c r="AR172" s="594">
        <f t="shared" si="306"/>
        <v>-16266</v>
      </c>
      <c r="AS172" s="594">
        <f>+SUM(AS167:AS171)</f>
        <v>-85376</v>
      </c>
      <c r="AT172" s="594">
        <v>-20136</v>
      </c>
      <c r="AU172" s="594">
        <v>-69450</v>
      </c>
      <c r="AV172" s="594"/>
      <c r="AW172" s="573"/>
    </row>
    <row r="173" spans="1:49" x14ac:dyDescent="0.25">
      <c r="A173" s="425"/>
      <c r="C173" s="583"/>
      <c r="D173" s="583"/>
      <c r="E173" s="583"/>
      <c r="F173" s="588"/>
      <c r="G173" s="583"/>
      <c r="H173" s="583"/>
      <c r="I173" s="583"/>
      <c r="J173" s="588"/>
      <c r="K173" s="583"/>
      <c r="L173" s="583"/>
      <c r="M173" s="583"/>
      <c r="N173" s="588"/>
      <c r="O173" s="583"/>
      <c r="P173" s="583"/>
      <c r="Q173" s="583"/>
      <c r="R173" s="588"/>
      <c r="S173" s="583"/>
      <c r="T173" s="583"/>
      <c r="U173" s="583"/>
      <c r="V173" s="588"/>
      <c r="W173" s="583"/>
      <c r="X173" s="583"/>
      <c r="Y173" s="583"/>
      <c r="Z173" s="583"/>
      <c r="AA173" s="583"/>
      <c r="AB173" s="583"/>
      <c r="AC173" s="583"/>
      <c r="AD173" s="583"/>
      <c r="AE173" s="583"/>
      <c r="AF173" s="583"/>
      <c r="AG173" s="583"/>
      <c r="AH173" s="583"/>
      <c r="AI173" s="583"/>
      <c r="AJ173" s="583"/>
      <c r="AK173" s="583"/>
      <c r="AL173" s="583"/>
      <c r="AM173" s="583"/>
      <c r="AN173" s="583"/>
      <c r="AO173" s="583"/>
      <c r="AP173" s="583"/>
      <c r="AQ173" s="583"/>
      <c r="AR173" s="583"/>
      <c r="AS173" s="583"/>
      <c r="AT173" s="583"/>
      <c r="AU173" s="583"/>
      <c r="AV173" s="583"/>
      <c r="AW173" s="571"/>
    </row>
    <row r="174" spans="1:49" ht="13" x14ac:dyDescent="0.3">
      <c r="A174" s="2152" t="s">
        <v>598</v>
      </c>
      <c r="C174" s="571"/>
      <c r="D174" s="571"/>
      <c r="E174" s="571"/>
      <c r="F174" s="666"/>
      <c r="G174" s="667"/>
      <c r="H174" s="667"/>
      <c r="I174" s="667"/>
      <c r="J174" s="666"/>
      <c r="K174" s="667"/>
      <c r="L174" s="667"/>
      <c r="M174" s="667"/>
      <c r="N174" s="666"/>
      <c r="O174" s="667"/>
      <c r="P174" s="667"/>
      <c r="Q174" s="667"/>
      <c r="R174" s="666"/>
      <c r="S174" s="667"/>
      <c r="T174" s="667"/>
      <c r="U174" s="667"/>
      <c r="V174" s="666"/>
      <c r="W174" s="571"/>
      <c r="X174" s="571"/>
      <c r="Y174" s="571"/>
      <c r="Z174" s="571"/>
      <c r="AA174" s="571"/>
      <c r="AB174" s="571"/>
      <c r="AC174" s="571"/>
      <c r="AD174" s="571"/>
      <c r="AE174" s="571"/>
      <c r="AF174" s="571"/>
      <c r="AG174" s="571"/>
      <c r="AH174" s="571"/>
      <c r="AI174" s="571"/>
      <c r="AJ174" s="571"/>
      <c r="AK174" s="571"/>
      <c r="AL174" s="571"/>
      <c r="AM174" s="571"/>
      <c r="AN174" s="571"/>
      <c r="AO174" s="571"/>
      <c r="AP174" s="571"/>
      <c r="AQ174" s="571"/>
      <c r="AR174" s="571"/>
      <c r="AS174" s="2155"/>
      <c r="AT174" s="2155"/>
      <c r="AU174" s="2155"/>
    </row>
    <row r="175" spans="1:49" x14ac:dyDescent="0.25">
      <c r="A175" s="649" t="s">
        <v>861</v>
      </c>
      <c r="C175" s="2153"/>
      <c r="D175" s="2153"/>
      <c r="E175" s="2153"/>
      <c r="F175" s="2159"/>
      <c r="G175" s="2166"/>
      <c r="H175" s="2166"/>
      <c r="I175" s="2166">
        <f>+'STER Canalyst'!U527*1000</f>
        <v>0</v>
      </c>
      <c r="J175" s="2159">
        <f>+'STER Canalyst'!V527*1000</f>
        <v>2050</v>
      </c>
      <c r="K175" s="2166">
        <f>+'STER Canalyst'!W527*1000</f>
        <v>2227</v>
      </c>
      <c r="L175" s="2166">
        <f>+'STER Canalyst'!X527*1000</f>
        <v>200.00000000000017</v>
      </c>
      <c r="M175" s="2166">
        <f>+'STER Canalyst'!Y527*1000</f>
        <v>56.00000000000005</v>
      </c>
      <c r="N175" s="2159">
        <f>+'STER Canalyst'!Z527*1000</f>
        <v>0</v>
      </c>
      <c r="O175" s="2166">
        <f>+'STER Canalyst'!AA527*1000</f>
        <v>70</v>
      </c>
      <c r="P175" s="2166">
        <f>+'STER Canalyst'!AB527*1000</f>
        <v>744</v>
      </c>
      <c r="Q175" s="2166">
        <f>+'STER Canalyst'!AC527*1000</f>
        <v>1476.9999999999998</v>
      </c>
      <c r="R175" s="2159">
        <f>+'STER Canalyst'!AD527*1000</f>
        <v>125</v>
      </c>
      <c r="S175" s="2166">
        <f>+'STER Canalyst'!AE527*1000</f>
        <v>0</v>
      </c>
      <c r="T175" s="2166">
        <f>+'STER Canalyst'!AF527*1000</f>
        <v>611</v>
      </c>
      <c r="U175" s="2166">
        <f>+'STER Canalyst'!AG527*1000</f>
        <v>1387</v>
      </c>
      <c r="V175" s="2159">
        <f>+'STER Canalyst'!AH527*1000</f>
        <v>3362.9999999999995</v>
      </c>
      <c r="W175" s="2153">
        <f>+'STER Canalyst'!AI527*1000</f>
        <v>0</v>
      </c>
      <c r="X175" s="2153">
        <f>+'STER Canalyst'!AJ527*1000</f>
        <v>0</v>
      </c>
      <c r="Y175" s="2153"/>
      <c r="Z175" s="2153"/>
      <c r="AA175" s="2153"/>
      <c r="AB175" s="2153"/>
      <c r="AC175" s="2153"/>
      <c r="AD175" s="2153"/>
      <c r="AE175" s="2153"/>
      <c r="AF175" s="2153"/>
      <c r="AG175" s="2153"/>
      <c r="AH175" s="2153"/>
      <c r="AI175" s="2153"/>
      <c r="AJ175" s="2153"/>
      <c r="AK175" s="2153"/>
      <c r="AL175" s="2153"/>
      <c r="AM175" s="2153"/>
      <c r="AN175" s="2153"/>
      <c r="AO175" s="2153"/>
      <c r="AP175" s="2153"/>
      <c r="AQ175" s="2153">
        <f>+'STER Canalyst'!BB527*1000</f>
        <v>130</v>
      </c>
      <c r="AR175" s="2153">
        <f>+'STER Canalyst'!BC527*1000</f>
        <v>3250</v>
      </c>
      <c r="AS175" s="2153">
        <f>+'STER Canalyst'!BD527*1000</f>
        <v>2483</v>
      </c>
      <c r="AT175" s="2153">
        <v>2416</v>
      </c>
      <c r="AU175" s="2153">
        <v>5361</v>
      </c>
    </row>
    <row r="176" spans="1:49" x14ac:dyDescent="0.25">
      <c r="A176" s="649" t="s">
        <v>862</v>
      </c>
      <c r="C176" s="2153"/>
      <c r="D176" s="2153"/>
      <c r="E176" s="2153"/>
      <c r="F176" s="2159"/>
      <c r="G176" s="2166"/>
      <c r="H176" s="2166"/>
      <c r="I176" s="2166">
        <f>+'STER Canalyst'!U529*1000</f>
        <v>0</v>
      </c>
      <c r="J176" s="2159">
        <f>+'STER Canalyst'!V529*1000</f>
        <v>0</v>
      </c>
      <c r="K176" s="2166">
        <f>+'STER Canalyst'!W529*1000</f>
        <v>0</v>
      </c>
      <c r="L176" s="2166">
        <f>+'STER Canalyst'!X529*1000</f>
        <v>0</v>
      </c>
      <c r="M176" s="2166">
        <f>+'STER Canalyst'!Y529*1000</f>
        <v>0</v>
      </c>
      <c r="N176" s="2159">
        <f>+'STER Canalyst'!Z529*1000</f>
        <v>0</v>
      </c>
      <c r="O176" s="2166">
        <f>+'STER Canalyst'!AA529*1000</f>
        <v>0</v>
      </c>
      <c r="P176" s="2166">
        <f>+'STER Canalyst'!AB529*1000</f>
        <v>0</v>
      </c>
      <c r="Q176" s="2166">
        <f>+'STER Canalyst'!AC529*1000</f>
        <v>0</v>
      </c>
      <c r="R176" s="2159">
        <f>+'STER Canalyst'!AD529*1000</f>
        <v>0</v>
      </c>
      <c r="S176" s="2166">
        <f>+'STER Canalyst'!AE529*1000</f>
        <v>0</v>
      </c>
      <c r="T176" s="2166">
        <f>+'STER Canalyst'!AF529*1000</f>
        <v>0</v>
      </c>
      <c r="U176" s="2166">
        <f>+'STER Canalyst'!AG529*1000</f>
        <v>0</v>
      </c>
      <c r="V176" s="2159">
        <f>+'STER Canalyst'!AH529*1000</f>
        <v>0</v>
      </c>
      <c r="W176" s="2153">
        <f>+'STER Canalyst'!AI529*1000</f>
        <v>53629</v>
      </c>
      <c r="X176" s="2153">
        <f>+'STER Canalyst'!AJ529*1000</f>
        <v>-11073.999999999998</v>
      </c>
      <c r="Y176" s="2153"/>
      <c r="Z176" s="2153"/>
      <c r="AA176" s="2153"/>
      <c r="AB176" s="2153"/>
      <c r="AC176" s="2153"/>
      <c r="AD176" s="2153"/>
      <c r="AE176" s="2153"/>
      <c r="AF176" s="2153"/>
      <c r="AG176" s="2153"/>
      <c r="AH176" s="2153"/>
      <c r="AI176" s="2153"/>
      <c r="AJ176" s="2153"/>
      <c r="AK176" s="2153"/>
      <c r="AL176" s="2153"/>
      <c r="AM176" s="2153"/>
      <c r="AN176" s="2153"/>
      <c r="AO176" s="2153"/>
      <c r="AP176" s="2153"/>
      <c r="AQ176" s="2153">
        <f>+'STER Canalyst'!BB529*1000</f>
        <v>0</v>
      </c>
      <c r="AR176" s="2153">
        <f>+'STER Canalyst'!BC529*1000</f>
        <v>0</v>
      </c>
      <c r="AS176" s="2153">
        <f>+'STER Canalyst'!BD529*1000</f>
        <v>0</v>
      </c>
      <c r="AT176" s="2153">
        <f>+'STER Canalyst'!BE529*1000</f>
        <v>0</v>
      </c>
      <c r="AU176" s="2153">
        <f>+'STER Canalyst'!BF529*1000</f>
        <v>0</v>
      </c>
    </row>
    <row r="177" spans="1:49" x14ac:dyDescent="0.25">
      <c r="A177" s="649" t="s">
        <v>863</v>
      </c>
      <c r="C177" s="2153"/>
      <c r="D177" s="2153"/>
      <c r="E177" s="2153"/>
      <c r="F177" s="2159"/>
      <c r="G177" s="2166"/>
      <c r="H177" s="2166"/>
      <c r="I177" s="2166">
        <f>+'STER Canalyst'!U530*1000</f>
        <v>0</v>
      </c>
      <c r="J177" s="2159">
        <f>+'STER Canalyst'!V530*1000</f>
        <v>0</v>
      </c>
      <c r="K177" s="2166">
        <f>+'STER Canalyst'!W530*1000</f>
        <v>0</v>
      </c>
      <c r="L177" s="2166">
        <f>+'STER Canalyst'!X530*1000</f>
        <v>0</v>
      </c>
      <c r="M177" s="2166">
        <f>+'STER Canalyst'!Y530*1000</f>
        <v>0</v>
      </c>
      <c r="N177" s="2159">
        <f>+'STER Canalyst'!Z530*1000</f>
        <v>0</v>
      </c>
      <c r="O177" s="2166">
        <f>+'STER Canalyst'!AA530*1000</f>
        <v>0</v>
      </c>
      <c r="P177" s="2166">
        <f>+'STER Canalyst'!AB530*1000</f>
        <v>0</v>
      </c>
      <c r="Q177" s="2166">
        <f>+'STER Canalyst'!AC530*1000</f>
        <v>0</v>
      </c>
      <c r="R177" s="2159">
        <f>+'STER Canalyst'!AD530*1000</f>
        <v>0</v>
      </c>
      <c r="S177" s="2166">
        <f>+'STER Canalyst'!AE530*1000</f>
        <v>0</v>
      </c>
      <c r="T177" s="2166">
        <f>+'STER Canalyst'!AF530*1000</f>
        <v>0</v>
      </c>
      <c r="U177" s="2166">
        <f>+'STER Canalyst'!AG530*1000</f>
        <v>0</v>
      </c>
      <c r="V177" s="2159">
        <f>+'STER Canalyst'!AH530*1000</f>
        <v>0</v>
      </c>
      <c r="W177" s="2153">
        <f>+'STER Canalyst'!AI530*1000</f>
        <v>-19172</v>
      </c>
      <c r="X177" s="2153">
        <f>+'STER Canalyst'!AJ530*1000</f>
        <v>11496</v>
      </c>
      <c r="Y177" s="2153"/>
      <c r="Z177" s="2153"/>
      <c r="AA177" s="2153"/>
      <c r="AB177" s="2153"/>
      <c r="AC177" s="2153"/>
      <c r="AD177" s="2153"/>
      <c r="AE177" s="2153"/>
      <c r="AF177" s="2153"/>
      <c r="AG177" s="2153"/>
      <c r="AH177" s="2153"/>
      <c r="AI177" s="2153"/>
      <c r="AJ177" s="2153"/>
      <c r="AK177" s="2153"/>
      <c r="AL177" s="2153"/>
      <c r="AM177" s="2153"/>
      <c r="AN177" s="2153"/>
      <c r="AO177" s="2153"/>
      <c r="AP177" s="2153"/>
      <c r="AQ177" s="2153">
        <f>+'STER Canalyst'!BB530*1000</f>
        <v>0</v>
      </c>
      <c r="AR177" s="2153">
        <f>+'STER Canalyst'!BC530*1000</f>
        <v>0</v>
      </c>
      <c r="AS177" s="2153">
        <f>+'STER Canalyst'!BD530*1000</f>
        <v>0</v>
      </c>
      <c r="AT177" s="2153">
        <f>+'STER Canalyst'!BE530*1000</f>
        <v>0</v>
      </c>
      <c r="AU177" s="2153">
        <f>+'STER Canalyst'!BF530*1000</f>
        <v>0</v>
      </c>
    </row>
    <row r="178" spans="1:49" x14ac:dyDescent="0.25">
      <c r="A178" s="649" t="s">
        <v>864</v>
      </c>
      <c r="C178" s="2153"/>
      <c r="D178" s="2153"/>
      <c r="E178" s="2153"/>
      <c r="F178" s="2159"/>
      <c r="G178" s="2166"/>
      <c r="H178" s="2166"/>
      <c r="I178" s="2166">
        <f>+'STER Canalyst'!U531*1000</f>
        <v>0</v>
      </c>
      <c r="J178" s="2159">
        <f>+'STER Canalyst'!V531*1000</f>
        <v>0</v>
      </c>
      <c r="K178" s="2166">
        <f>+'STER Canalyst'!W531*1000</f>
        <v>0</v>
      </c>
      <c r="L178" s="2166">
        <f>+'STER Canalyst'!X531*1000</f>
        <v>0</v>
      </c>
      <c r="M178" s="2166">
        <f>+'STER Canalyst'!Y531*1000</f>
        <v>0</v>
      </c>
      <c r="N178" s="2159">
        <f>+'STER Canalyst'!Z531*1000</f>
        <v>0</v>
      </c>
      <c r="O178" s="2166">
        <f>+'STER Canalyst'!AA531*1000</f>
        <v>0</v>
      </c>
      <c r="P178" s="2166">
        <f>+'STER Canalyst'!AB531*1000</f>
        <v>0</v>
      </c>
      <c r="Q178" s="2166">
        <f>+'STER Canalyst'!AC531*1000</f>
        <v>0</v>
      </c>
      <c r="R178" s="2159">
        <f>+'STER Canalyst'!AD531*1000</f>
        <v>0</v>
      </c>
      <c r="S178" s="2166">
        <f>+'STER Canalyst'!AE531*1000</f>
        <v>0</v>
      </c>
      <c r="T178" s="2166">
        <f>+'STER Canalyst'!AF531*1000</f>
        <v>0</v>
      </c>
      <c r="U178" s="2166">
        <f>+'STER Canalyst'!AG531*1000</f>
        <v>0</v>
      </c>
      <c r="V178" s="2159">
        <f>+'STER Canalyst'!AH531*1000</f>
        <v>0</v>
      </c>
      <c r="W178" s="2153">
        <f>+'STER Canalyst'!AI531*1000</f>
        <v>695</v>
      </c>
      <c r="X178" s="2153">
        <f>+'STER Canalyst'!AJ531*1000</f>
        <v>0</v>
      </c>
      <c r="Y178" s="2153"/>
      <c r="Z178" s="2153"/>
      <c r="AA178" s="2153"/>
      <c r="AB178" s="2153"/>
      <c r="AC178" s="2153"/>
      <c r="AD178" s="2153"/>
      <c r="AE178" s="2153"/>
      <c r="AF178" s="2153"/>
      <c r="AG178" s="2153"/>
      <c r="AH178" s="2153"/>
      <c r="AI178" s="2153"/>
      <c r="AJ178" s="2153"/>
      <c r="AK178" s="2153"/>
      <c r="AL178" s="2153"/>
      <c r="AM178" s="2153"/>
      <c r="AN178" s="2153"/>
      <c r="AO178" s="2153"/>
      <c r="AP178" s="2153"/>
      <c r="AQ178" s="2153">
        <f>+'STER Canalyst'!BB531*1000</f>
        <v>0</v>
      </c>
      <c r="AR178" s="2153">
        <f>+'STER Canalyst'!BC531*1000</f>
        <v>0</v>
      </c>
      <c r="AS178" s="2153">
        <f>+'STER Canalyst'!BD531*1000</f>
        <v>0</v>
      </c>
      <c r="AT178" s="2153">
        <f>+'STER Canalyst'!BE531*1000</f>
        <v>0</v>
      </c>
      <c r="AU178" s="2153">
        <f>+'STER Canalyst'!BF531*1000</f>
        <v>0</v>
      </c>
    </row>
    <row r="179" spans="1:49" x14ac:dyDescent="0.25">
      <c r="A179" s="649" t="s">
        <v>865</v>
      </c>
      <c r="C179" s="2153"/>
      <c r="D179" s="2153"/>
      <c r="E179" s="2153"/>
      <c r="F179" s="2159"/>
      <c r="G179" s="2166"/>
      <c r="H179" s="2166"/>
      <c r="I179" s="2166">
        <f>+'STER Canalyst'!U534*1000</f>
        <v>0</v>
      </c>
      <c r="J179" s="2159">
        <f>+'STER Canalyst'!V534*1000</f>
        <v>0</v>
      </c>
      <c r="K179" s="2166">
        <f>+'STER Canalyst'!W534*1000</f>
        <v>0</v>
      </c>
      <c r="L179" s="2166">
        <f>+'STER Canalyst'!X534*1000</f>
        <v>0</v>
      </c>
      <c r="M179" s="2166">
        <f>+'STER Canalyst'!Y534*1000</f>
        <v>0</v>
      </c>
      <c r="N179" s="2159">
        <f>+'STER Canalyst'!Z534*1000</f>
        <v>0</v>
      </c>
      <c r="O179" s="2166">
        <f>+'STER Canalyst'!AA534*1000</f>
        <v>0</v>
      </c>
      <c r="P179" s="2166">
        <f>+'STER Canalyst'!AB534*1000</f>
        <v>0</v>
      </c>
      <c r="Q179" s="2166">
        <f>+'STER Canalyst'!AC534*1000</f>
        <v>0</v>
      </c>
      <c r="R179" s="2159">
        <f>+'STER Canalyst'!AD534*1000</f>
        <v>-13962</v>
      </c>
      <c r="S179" s="2166">
        <f>+'STER Canalyst'!AE534*1000</f>
        <v>-7711</v>
      </c>
      <c r="T179" s="2166">
        <f>+'STER Canalyst'!AF534*1000</f>
        <v>-17631</v>
      </c>
      <c r="U179" s="2166">
        <f>+'STER Canalyst'!AG534*1000</f>
        <v>-20701</v>
      </c>
      <c r="V179" s="2159">
        <f>+'STER Canalyst'!AH534*1000</f>
        <v>-21719</v>
      </c>
      <c r="W179" s="2153">
        <f>+'STER Canalyst'!AI534*1000</f>
        <v>-6832</v>
      </c>
      <c r="X179" s="2153">
        <f>+'STER Canalyst'!AJ534*1000</f>
        <v>0</v>
      </c>
      <c r="Y179" s="2153"/>
      <c r="Z179" s="2153"/>
      <c r="AA179" s="2153"/>
      <c r="AB179" s="2153"/>
      <c r="AC179" s="2153"/>
      <c r="AD179" s="2153"/>
      <c r="AE179" s="2153"/>
      <c r="AF179" s="2153"/>
      <c r="AG179" s="2153"/>
      <c r="AH179" s="2153"/>
      <c r="AI179" s="2153"/>
      <c r="AJ179" s="2153"/>
      <c r="AK179" s="2153"/>
      <c r="AL179" s="2153"/>
      <c r="AM179" s="2153"/>
      <c r="AN179" s="2153"/>
      <c r="AO179" s="2153"/>
      <c r="AP179" s="2153"/>
      <c r="AQ179" s="2153">
        <f>+'STER Canalyst'!BB534*1000</f>
        <v>0</v>
      </c>
      <c r="AR179" s="2153">
        <f>+'STER Canalyst'!BC534*1000</f>
        <v>0</v>
      </c>
      <c r="AS179" s="2153">
        <f>+'STER Canalyst'!BD534*1000</f>
        <v>0</v>
      </c>
      <c r="AT179" s="2153">
        <f>+'STER Canalyst'!BE534*1000</f>
        <v>-13962</v>
      </c>
      <c r="AU179" s="2153">
        <v>-67762</v>
      </c>
    </row>
    <row r="180" spans="1:49" x14ac:dyDescent="0.25">
      <c r="A180" s="649" t="s">
        <v>866</v>
      </c>
      <c r="C180" s="2153"/>
      <c r="D180" s="2153"/>
      <c r="E180" s="2153"/>
      <c r="F180" s="2159"/>
      <c r="G180" s="2166"/>
      <c r="H180" s="2166"/>
      <c r="I180" s="2166">
        <f>+'STER Canalyst'!U528*1000</f>
        <v>0</v>
      </c>
      <c r="J180" s="2159">
        <f>+'STER Canalyst'!V528*1000</f>
        <v>0</v>
      </c>
      <c r="K180" s="2166">
        <f>+'STER Canalyst'!W528*1000</f>
        <v>0</v>
      </c>
      <c r="L180" s="2166">
        <f>+'STER Canalyst'!X528*1000</f>
        <v>0</v>
      </c>
      <c r="M180" s="2166">
        <f>+'STER Canalyst'!Y528*1000</f>
        <v>102638</v>
      </c>
      <c r="N180" s="2159">
        <f>+'STER Canalyst'!Z528*1000</f>
        <v>0</v>
      </c>
      <c r="O180" s="2166">
        <f>+'STER Canalyst'!AA528*1000</f>
        <v>0</v>
      </c>
      <c r="P180" s="2166">
        <f>+'STER Canalyst'!AB528*1000</f>
        <v>0</v>
      </c>
      <c r="Q180" s="2166">
        <f>+'STER Canalyst'!AC528*1000</f>
        <v>0</v>
      </c>
      <c r="R180" s="2159">
        <f>+'STER Canalyst'!AD528*1000</f>
        <v>0</v>
      </c>
      <c r="S180" s="2166">
        <f>+'STER Canalyst'!AE528*1000</f>
        <v>0</v>
      </c>
      <c r="T180" s="2166">
        <f>+'STER Canalyst'!AF528*1000</f>
        <v>0</v>
      </c>
      <c r="U180" s="2166">
        <f>+'STER Canalyst'!AG528*1000</f>
        <v>0</v>
      </c>
      <c r="V180" s="2159">
        <f>+'STER Canalyst'!AH528*1000</f>
        <v>0</v>
      </c>
      <c r="W180" s="2153">
        <f>+'STER Canalyst'!AI528*1000</f>
        <v>0</v>
      </c>
      <c r="X180" s="2153">
        <f>+'STER Canalyst'!AJ528*1000</f>
        <v>0</v>
      </c>
      <c r="Y180" s="2153"/>
      <c r="Z180" s="2153"/>
      <c r="AA180" s="2153"/>
      <c r="AB180" s="2153"/>
      <c r="AC180" s="2153"/>
      <c r="AD180" s="2153"/>
      <c r="AE180" s="2153"/>
      <c r="AF180" s="2153"/>
      <c r="AG180" s="2153"/>
      <c r="AH180" s="2153"/>
      <c r="AI180" s="2153"/>
      <c r="AJ180" s="2153"/>
      <c r="AK180" s="2153"/>
      <c r="AL180" s="2153"/>
      <c r="AM180" s="2153"/>
      <c r="AN180" s="2153"/>
      <c r="AO180" s="2153"/>
      <c r="AP180" s="2153"/>
      <c r="AQ180" s="2153">
        <f>+'STER Canalyst'!BB528*1000</f>
        <v>0</v>
      </c>
      <c r="AR180" s="2153">
        <f>+'STER Canalyst'!BC528*1000</f>
        <v>0</v>
      </c>
      <c r="AS180" s="2153">
        <f>+'STER Canalyst'!BD528*1000</f>
        <v>102638</v>
      </c>
      <c r="AT180" s="2153">
        <v>0</v>
      </c>
      <c r="AU180" s="2153">
        <v>0</v>
      </c>
    </row>
    <row r="181" spans="1:49" x14ac:dyDescent="0.25">
      <c r="A181" s="649" t="s">
        <v>541</v>
      </c>
      <c r="C181" s="2153"/>
      <c r="D181" s="2153"/>
      <c r="E181" s="2153"/>
      <c r="F181" s="2159"/>
      <c r="G181" s="2166"/>
      <c r="H181" s="2166"/>
      <c r="I181" s="2166">
        <f>+'STER Canalyst'!U532*1000</f>
        <v>0</v>
      </c>
      <c r="J181" s="2159">
        <f>+'STER Canalyst'!V532*1000</f>
        <v>0</v>
      </c>
      <c r="K181" s="2166">
        <f>+'STER Canalyst'!W532*1000</f>
        <v>0</v>
      </c>
      <c r="L181" s="2166">
        <f>+'STER Canalyst'!X532*1000</f>
        <v>0</v>
      </c>
      <c r="M181" s="2166">
        <f>+'STER Canalyst'!Y532*1000</f>
        <v>-6120</v>
      </c>
      <c r="N181" s="2159">
        <f>+'STER Canalyst'!Z532*1000</f>
        <v>-1769.9999999999995</v>
      </c>
      <c r="O181" s="2166">
        <f>+'STER Canalyst'!AA532*1000</f>
        <v>-225</v>
      </c>
      <c r="P181" s="2166">
        <f>+'STER Canalyst'!AB532*1000</f>
        <v>0</v>
      </c>
      <c r="Q181" s="2166">
        <f>+'STER Canalyst'!AC532*1000</f>
        <v>0</v>
      </c>
      <c r="R181" s="2159">
        <f>+'STER Canalyst'!AD532*1000</f>
        <v>0</v>
      </c>
      <c r="S181" s="2166">
        <f>+'STER Canalyst'!AE532*1000</f>
        <v>0</v>
      </c>
      <c r="T181" s="2166">
        <f>+'STER Canalyst'!AF532*1000</f>
        <v>0</v>
      </c>
      <c r="U181" s="2166">
        <f>+'STER Canalyst'!AG532*1000</f>
        <v>0</v>
      </c>
      <c r="V181" s="2159">
        <f>+'STER Canalyst'!AH532*1000</f>
        <v>0</v>
      </c>
      <c r="W181" s="2153">
        <f>+'STER Canalyst'!AI532*1000</f>
        <v>0</v>
      </c>
      <c r="X181" s="2153">
        <f>+'STER Canalyst'!AJ532*1000</f>
        <v>0</v>
      </c>
      <c r="Y181" s="2153"/>
      <c r="Z181" s="2153"/>
      <c r="AA181" s="2153"/>
      <c r="AB181" s="2153"/>
      <c r="AC181" s="2153"/>
      <c r="AD181" s="2153"/>
      <c r="AE181" s="2153"/>
      <c r="AF181" s="2153"/>
      <c r="AG181" s="2153"/>
      <c r="AH181" s="2153"/>
      <c r="AI181" s="2153"/>
      <c r="AJ181" s="2153"/>
      <c r="AK181" s="2153"/>
      <c r="AL181" s="2153"/>
      <c r="AM181" s="2153"/>
      <c r="AN181" s="2153"/>
      <c r="AO181" s="2153"/>
      <c r="AP181" s="2153"/>
      <c r="AQ181" s="2153">
        <f>+'STER Canalyst'!BB532*1000</f>
        <v>0</v>
      </c>
      <c r="AR181" s="2153">
        <f>+'STER Canalyst'!BC532*1000</f>
        <v>0</v>
      </c>
      <c r="AS181" s="2153">
        <f>+'STER Canalyst'!BD532*1000</f>
        <v>-7890</v>
      </c>
      <c r="AT181" s="2153">
        <f>+'STER Canalyst'!BE532*1000</f>
        <v>-225</v>
      </c>
      <c r="AU181" s="2153">
        <v>0</v>
      </c>
    </row>
    <row r="182" spans="1:49" x14ac:dyDescent="0.25">
      <c r="A182" s="649" t="s">
        <v>867</v>
      </c>
      <c r="C182" s="2153"/>
      <c r="D182" s="2153"/>
      <c r="E182" s="2153"/>
      <c r="F182" s="2159"/>
      <c r="G182" s="2166"/>
      <c r="H182" s="2166"/>
      <c r="I182" s="2166">
        <f>+'STER Canalyst'!U540*1000</f>
        <v>0</v>
      </c>
      <c r="J182" s="2159">
        <f>+'STER Canalyst'!V540*1000</f>
        <v>0</v>
      </c>
      <c r="K182" s="2166">
        <f>+'STER Canalyst'!W540*1000</f>
        <v>0</v>
      </c>
      <c r="L182" s="2166">
        <f>+'STER Canalyst'!X540*1000</f>
        <v>0</v>
      </c>
      <c r="M182" s="2166">
        <f>+'STER Canalyst'!Y540*1000</f>
        <v>0</v>
      </c>
      <c r="N182" s="2159">
        <f>+'STER Canalyst'!Z540*1000</f>
        <v>0</v>
      </c>
      <c r="O182" s="2166">
        <f>+'STER Canalyst'!AA540*1000</f>
        <v>0</v>
      </c>
      <c r="P182" s="2166">
        <f>+'STER Canalyst'!AB540*1000</f>
        <v>0</v>
      </c>
      <c r="Q182" s="2166">
        <f>+'STER Canalyst'!AC540*1000</f>
        <v>0</v>
      </c>
      <c r="R182" s="2159">
        <f>+'STER Canalyst'!AD540*1000</f>
        <v>0</v>
      </c>
      <c r="S182" s="2166">
        <f>+'STER Canalyst'!AE540*1000</f>
        <v>-487</v>
      </c>
      <c r="T182" s="2166">
        <f>+'STER Canalyst'!AF540*1000</f>
        <v>-84.999999999999972</v>
      </c>
      <c r="U182" s="2166">
        <f>+'STER Canalyst'!AG540*1000</f>
        <v>-3025</v>
      </c>
      <c r="V182" s="2159">
        <f>+'STER Canalyst'!AH540*1000</f>
        <v>-2100</v>
      </c>
      <c r="W182" s="2153">
        <f>+'STER Canalyst'!AI540*1000</f>
        <v>-3903</v>
      </c>
      <c r="X182" s="2153">
        <f>+'STER Canalyst'!AJ540*1000</f>
        <v>-276.00000000000023</v>
      </c>
      <c r="Y182" s="2153"/>
      <c r="Z182" s="2153"/>
      <c r="AA182" s="2153"/>
      <c r="AB182" s="2153"/>
      <c r="AC182" s="2153"/>
      <c r="AD182" s="2153"/>
      <c r="AE182" s="2153"/>
      <c r="AF182" s="2153"/>
      <c r="AG182" s="2153"/>
      <c r="AH182" s="2153"/>
      <c r="AI182" s="2153"/>
      <c r="AJ182" s="2153"/>
      <c r="AK182" s="2153"/>
      <c r="AL182" s="2153"/>
      <c r="AM182" s="2153"/>
      <c r="AN182" s="2153"/>
      <c r="AO182" s="2153"/>
      <c r="AP182" s="2153"/>
      <c r="AQ182" s="2153">
        <f>+'STER Canalyst'!BB540*1000</f>
        <v>0</v>
      </c>
      <c r="AR182" s="2153">
        <f>+'STER Canalyst'!BC540*1000</f>
        <v>0</v>
      </c>
      <c r="AS182" s="2153">
        <f>+'STER Canalyst'!BD540*1000</f>
        <v>0</v>
      </c>
      <c r="AT182" s="2153">
        <v>0</v>
      </c>
      <c r="AU182" s="2153">
        <v>-5697</v>
      </c>
    </row>
    <row r="183" spans="1:49" x14ac:dyDescent="0.25">
      <c r="A183" s="649" t="s">
        <v>868</v>
      </c>
      <c r="C183" s="2153"/>
      <c r="D183" s="2153"/>
      <c r="E183" s="2153"/>
      <c r="F183" s="2159"/>
      <c r="G183" s="2166"/>
      <c r="H183" s="2166"/>
      <c r="I183" s="2166">
        <f>+'STER Canalyst'!U533*1000</f>
        <v>0</v>
      </c>
      <c r="J183" s="2159">
        <f>+'STER Canalyst'!V533*1000</f>
        <v>0</v>
      </c>
      <c r="K183" s="2166">
        <f>+'STER Canalyst'!W533*1000</f>
        <v>0</v>
      </c>
      <c r="L183" s="2166">
        <f>+'STER Canalyst'!X533*1000</f>
        <v>0</v>
      </c>
      <c r="M183" s="2166">
        <f>+'STER Canalyst'!Y533*1000</f>
        <v>15576</v>
      </c>
      <c r="N183" s="2159">
        <f>+'STER Canalyst'!Z533*1000</f>
        <v>0</v>
      </c>
      <c r="O183" s="2166">
        <f>+'STER Canalyst'!AA533*1000</f>
        <v>0</v>
      </c>
      <c r="P183" s="2166">
        <f>+'STER Canalyst'!AB533*1000</f>
        <v>0</v>
      </c>
      <c r="Q183" s="2166">
        <f>+'STER Canalyst'!AC533*1000</f>
        <v>0</v>
      </c>
      <c r="R183" s="2159">
        <f>+'STER Canalyst'!AD533*1000</f>
        <v>0</v>
      </c>
      <c r="S183" s="2166">
        <f>+'STER Canalyst'!AE533*1000</f>
        <v>0</v>
      </c>
      <c r="T183" s="2166">
        <f>+'STER Canalyst'!AF533*1000</f>
        <v>0</v>
      </c>
      <c r="U183" s="2166">
        <f>+'STER Canalyst'!AG533*1000</f>
        <v>0</v>
      </c>
      <c r="V183" s="2159">
        <f>+'STER Canalyst'!AH533*1000</f>
        <v>0</v>
      </c>
      <c r="W183" s="2153">
        <f>+'STER Canalyst'!AI533*1000</f>
        <v>0</v>
      </c>
      <c r="X183" s="2153">
        <f>+'STER Canalyst'!AJ533*1000</f>
        <v>0</v>
      </c>
      <c r="Y183" s="2153"/>
      <c r="Z183" s="2153"/>
      <c r="AA183" s="2153"/>
      <c r="AB183" s="2153"/>
      <c r="AC183" s="2153"/>
      <c r="AD183" s="2153"/>
      <c r="AE183" s="2153"/>
      <c r="AF183" s="2153"/>
      <c r="AG183" s="2153"/>
      <c r="AH183" s="2153"/>
      <c r="AI183" s="2153"/>
      <c r="AJ183" s="2153"/>
      <c r="AK183" s="2153"/>
      <c r="AL183" s="2153"/>
      <c r="AM183" s="2153"/>
      <c r="AN183" s="2153"/>
      <c r="AO183" s="2153"/>
      <c r="AP183" s="2153"/>
      <c r="AQ183" s="2153">
        <f>+'STER Canalyst'!BB533*1000</f>
        <v>0</v>
      </c>
      <c r="AR183" s="2153">
        <f>+'STER Canalyst'!BC533*1000</f>
        <v>0</v>
      </c>
      <c r="AS183" s="2153">
        <f>+'STER Canalyst'!BD533*1000</f>
        <v>15576</v>
      </c>
      <c r="AT183" s="2153">
        <v>0</v>
      </c>
      <c r="AU183" s="2153">
        <v>0</v>
      </c>
    </row>
    <row r="184" spans="1:49" x14ac:dyDescent="0.25">
      <c r="A184" s="649" t="s">
        <v>869</v>
      </c>
      <c r="C184" s="2153"/>
      <c r="D184" s="2153"/>
      <c r="E184" s="2153"/>
      <c r="F184" s="2159"/>
      <c r="G184" s="2166"/>
      <c r="H184" s="2166"/>
      <c r="I184" s="2166">
        <f>+'STER Canalyst'!U535*1000</f>
        <v>-1616</v>
      </c>
      <c r="J184" s="2159">
        <f>+'STER Canalyst'!V535*1000</f>
        <v>-1615.0000000000002</v>
      </c>
      <c r="K184" s="2166">
        <f>+'STER Canalyst'!W535*1000</f>
        <v>-1615</v>
      </c>
      <c r="L184" s="2166">
        <f>+'STER Canalyst'!X535*1000</f>
        <v>-8301</v>
      </c>
      <c r="M184" s="2166">
        <f>+'STER Canalyst'!Y535*1000</f>
        <v>-1615.0000000000002</v>
      </c>
      <c r="N184" s="2159">
        <f>+'STER Canalyst'!Z535*1000</f>
        <v>-101616</v>
      </c>
      <c r="O184" s="2166">
        <f>+'STER Canalyst'!AA535*1000</f>
        <v>-1615</v>
      </c>
      <c r="P184" s="2166">
        <f>+'STER Canalyst'!AB535*1000</f>
        <v>-1615.9999999999998</v>
      </c>
      <c r="Q184" s="2166">
        <f>+'STER Canalyst'!AC535*1000</f>
        <v>-1615.0000000000002</v>
      </c>
      <c r="R184" s="2159">
        <f>+'STER Canalyst'!AD535*1000</f>
        <v>-505494</v>
      </c>
      <c r="S184" s="2166">
        <f>+'STER Canalyst'!AE535*1000</f>
        <v>-1875</v>
      </c>
      <c r="T184" s="2166">
        <f>+'STER Canalyst'!AF535*1000</f>
        <v>-1875</v>
      </c>
      <c r="U184" s="2166">
        <f>+'STER Canalyst'!AG535*1000</f>
        <v>-1875</v>
      </c>
      <c r="V184" s="2159">
        <f>+'STER Canalyst'!AH535*1000</f>
        <v>-1875</v>
      </c>
      <c r="W184" s="2153">
        <f>+'STER Canalyst'!AI535*1000</f>
        <v>-3750</v>
      </c>
      <c r="X184" s="2153">
        <f>+'STER Canalyst'!AJ535*1000</f>
        <v>-3750</v>
      </c>
      <c r="Y184" s="2153"/>
      <c r="Z184" s="2153"/>
      <c r="AA184" s="2153"/>
      <c r="AB184" s="2153"/>
      <c r="AC184" s="2153"/>
      <c r="AD184" s="2153"/>
      <c r="AE184" s="2153"/>
      <c r="AF184" s="2153"/>
      <c r="AG184" s="2153"/>
      <c r="AH184" s="2153"/>
      <c r="AI184" s="2153"/>
      <c r="AJ184" s="2153"/>
      <c r="AK184" s="2153"/>
      <c r="AL184" s="2153"/>
      <c r="AM184" s="2153"/>
      <c r="AN184" s="2153"/>
      <c r="AO184" s="2153"/>
      <c r="AP184" s="2153"/>
      <c r="AQ184" s="2153">
        <f>+'STER Canalyst'!BB535*1000</f>
        <v>-6461</v>
      </c>
      <c r="AR184" s="2153">
        <f>+'STER Canalyst'!BC535*1000</f>
        <v>-6461</v>
      </c>
      <c r="AS184" s="2153">
        <f>+'STER Canalyst'!BD535*1000</f>
        <v>-113147</v>
      </c>
      <c r="AT184" s="2153">
        <v>-510340</v>
      </c>
      <c r="AU184" s="2153">
        <v>-7500</v>
      </c>
    </row>
    <row r="185" spans="1:49" x14ac:dyDescent="0.25">
      <c r="A185" s="649" t="s">
        <v>870</v>
      </c>
      <c r="C185" s="2153"/>
      <c r="D185" s="2153"/>
      <c r="E185" s="2153"/>
      <c r="F185" s="2159"/>
      <c r="G185" s="2166"/>
      <c r="H185" s="2166"/>
      <c r="I185" s="2166">
        <f>+'STER Canalyst'!U536*1000</f>
        <v>0</v>
      </c>
      <c r="J185" s="2159">
        <f>+'STER Canalyst'!V536*1000</f>
        <v>0</v>
      </c>
      <c r="K185" s="2166">
        <f>+'STER Canalyst'!W536*1000</f>
        <v>0</v>
      </c>
      <c r="L185" s="2166">
        <f>+'STER Canalyst'!X536*1000</f>
        <v>0</v>
      </c>
      <c r="M185" s="2166">
        <f>+'STER Canalyst'!Y536*1000</f>
        <v>0</v>
      </c>
      <c r="N185" s="2159">
        <f>+'STER Canalyst'!Z536*1000</f>
        <v>0</v>
      </c>
      <c r="O185" s="2166">
        <f>+'STER Canalyst'!AA536*1000</f>
        <v>0</v>
      </c>
      <c r="P185" s="2166">
        <f>+'STER Canalyst'!AB536*1000</f>
        <v>0</v>
      </c>
      <c r="Q185" s="2166">
        <f>+'STER Canalyst'!AC536*1000</f>
        <v>0</v>
      </c>
      <c r="R185" s="2159">
        <f>+'STER Canalyst'!AD536*1000</f>
        <v>300000</v>
      </c>
      <c r="S185" s="2166">
        <f>+'STER Canalyst'!AE536*1000</f>
        <v>0</v>
      </c>
      <c r="T185" s="2166">
        <f>+'STER Canalyst'!AF536*1000</f>
        <v>0</v>
      </c>
      <c r="U185" s="2166">
        <f>+'STER Canalyst'!AG536*1000</f>
        <v>0</v>
      </c>
      <c r="V185" s="2159">
        <f>+'STER Canalyst'!AH536*1000</f>
        <v>0</v>
      </c>
      <c r="W185" s="2153">
        <f>+'STER Canalyst'!AI536*1000</f>
        <v>0</v>
      </c>
      <c r="X185" s="2153">
        <f>+'STER Canalyst'!AJ536*1000</f>
        <v>0</v>
      </c>
      <c r="Y185" s="2153"/>
      <c r="Z185" s="2153"/>
      <c r="AA185" s="2153"/>
      <c r="AB185" s="2153"/>
      <c r="AC185" s="2153"/>
      <c r="AD185" s="2153"/>
      <c r="AE185" s="2153"/>
      <c r="AF185" s="2153"/>
      <c r="AG185" s="2153"/>
      <c r="AH185" s="2153"/>
      <c r="AI185" s="2153"/>
      <c r="AJ185" s="2153"/>
      <c r="AK185" s="2153"/>
      <c r="AL185" s="2153"/>
      <c r="AM185" s="2153"/>
      <c r="AN185" s="2153"/>
      <c r="AO185" s="2153"/>
      <c r="AP185" s="2153"/>
      <c r="AQ185" s="2153">
        <f>+'STER Canalyst'!BB536*1000</f>
        <v>0</v>
      </c>
      <c r="AR185" s="2153">
        <f>+'STER Canalyst'!BC536*1000</f>
        <v>0</v>
      </c>
      <c r="AS185" s="2153">
        <f>+'STER Canalyst'!BD536*1000</f>
        <v>0</v>
      </c>
      <c r="AT185" s="2153">
        <f>+'STER Canalyst'!BE536*1000</f>
        <v>300000</v>
      </c>
      <c r="AU185" s="2153">
        <v>0</v>
      </c>
    </row>
    <row r="186" spans="1:49" x14ac:dyDescent="0.25">
      <c r="A186" s="649" t="s">
        <v>871</v>
      </c>
      <c r="C186" s="2153"/>
      <c r="D186" s="2153"/>
      <c r="E186" s="2153"/>
      <c r="F186" s="2159"/>
      <c r="G186" s="2166"/>
      <c r="H186" s="2166"/>
      <c r="I186" s="2166">
        <f>+'STER Canalyst'!U537*1000</f>
        <v>0</v>
      </c>
      <c r="J186" s="2159">
        <f>+'STER Canalyst'!V537*1000</f>
        <v>0</v>
      </c>
      <c r="K186" s="2166">
        <f>+'STER Canalyst'!W537*1000</f>
        <v>0</v>
      </c>
      <c r="L186" s="2166">
        <f>+'STER Canalyst'!X537*1000</f>
        <v>0</v>
      </c>
      <c r="M186" s="2166">
        <f>+'STER Canalyst'!Y537*1000</f>
        <v>0</v>
      </c>
      <c r="N186" s="2159">
        <f>+'STER Canalyst'!Z537*1000</f>
        <v>0</v>
      </c>
      <c r="O186" s="2166">
        <f>+'STER Canalyst'!AA537*1000</f>
        <v>0</v>
      </c>
      <c r="P186" s="2166">
        <f>+'STER Canalyst'!AB537*1000</f>
        <v>0</v>
      </c>
      <c r="Q186" s="2166">
        <f>+'STER Canalyst'!AC537*1000</f>
        <v>0</v>
      </c>
      <c r="R186" s="2159">
        <f>+'STER Canalyst'!AD537*1000</f>
        <v>-17495</v>
      </c>
      <c r="S186" s="2166">
        <f>+'STER Canalyst'!AE537*1000</f>
        <v>0</v>
      </c>
      <c r="T186" s="2166">
        <f>+'STER Canalyst'!AF537*1000</f>
        <v>0</v>
      </c>
      <c r="U186" s="2166">
        <f>+'STER Canalyst'!AG537*1000</f>
        <v>0</v>
      </c>
      <c r="V186" s="2159">
        <f>+'STER Canalyst'!AH537*1000</f>
        <v>0</v>
      </c>
      <c r="W186" s="2153">
        <f>+'STER Canalyst'!AI537*1000</f>
        <v>0</v>
      </c>
      <c r="X186" s="2153">
        <f>+'STER Canalyst'!AJ537*1000</f>
        <v>0</v>
      </c>
      <c r="Y186" s="2153"/>
      <c r="Z186" s="2153"/>
      <c r="AA186" s="2153"/>
      <c r="AB186" s="2153"/>
      <c r="AC186" s="2153"/>
      <c r="AD186" s="2153"/>
      <c r="AE186" s="2153"/>
      <c r="AF186" s="2153"/>
      <c r="AG186" s="2153"/>
      <c r="AH186" s="2153"/>
      <c r="AI186" s="2153"/>
      <c r="AJ186" s="2153"/>
      <c r="AK186" s="2153"/>
      <c r="AL186" s="2153"/>
      <c r="AM186" s="2153"/>
      <c r="AN186" s="2153"/>
      <c r="AO186" s="2153"/>
      <c r="AP186" s="2153"/>
      <c r="AQ186" s="2153">
        <f>+'STER Canalyst'!BB537*1000</f>
        <v>0</v>
      </c>
      <c r="AR186" s="2153">
        <f>+'STER Canalyst'!BC537*1000</f>
        <v>-83800</v>
      </c>
      <c r="AS186" s="2153">
        <f>+'STER Canalyst'!BD537*1000</f>
        <v>0</v>
      </c>
      <c r="AT186" s="2153">
        <f>+'STER Canalyst'!BE537*1000</f>
        <v>-17495</v>
      </c>
      <c r="AU186" s="2153">
        <v>0</v>
      </c>
    </row>
    <row r="187" spans="1:49" x14ac:dyDescent="0.25">
      <c r="A187" s="649" t="s">
        <v>872</v>
      </c>
      <c r="C187" s="2153"/>
      <c r="D187" s="2153"/>
      <c r="E187" s="2153"/>
      <c r="F187" s="2159"/>
      <c r="G187" s="2166"/>
      <c r="H187" s="2166"/>
      <c r="I187" s="2166">
        <f>+'STER Canalyst'!U538*1000</f>
        <v>0</v>
      </c>
      <c r="J187" s="2159">
        <f>+'STER Canalyst'!V538*1000</f>
        <v>0</v>
      </c>
      <c r="K187" s="2166">
        <f>+'STER Canalyst'!W538*1000</f>
        <v>0</v>
      </c>
      <c r="L187" s="2166">
        <f>+'STER Canalyst'!X538*1000</f>
        <v>0</v>
      </c>
      <c r="M187" s="2166">
        <f>+'STER Canalyst'!Y538*1000</f>
        <v>0</v>
      </c>
      <c r="N187" s="2159">
        <f>+'STER Canalyst'!Z538*1000</f>
        <v>0</v>
      </c>
      <c r="O187" s="2166">
        <f>+'STER Canalyst'!AA538*1000</f>
        <v>0</v>
      </c>
      <c r="P187" s="2166">
        <f>+'STER Canalyst'!AB538*1000</f>
        <v>0</v>
      </c>
      <c r="Q187" s="2166">
        <f>+'STER Canalyst'!AC538*1000</f>
        <v>0</v>
      </c>
      <c r="R187" s="2159">
        <f>+'STER Canalyst'!AD538*1000</f>
        <v>222989</v>
      </c>
      <c r="S187" s="2166">
        <f>+'STER Canalyst'!AE538*1000</f>
        <v>0</v>
      </c>
      <c r="T187" s="2166">
        <f>+'STER Canalyst'!AF538*1000</f>
        <v>0</v>
      </c>
      <c r="U187" s="2166">
        <f>+'STER Canalyst'!AG538*1000</f>
        <v>0</v>
      </c>
      <c r="V187" s="2159">
        <f>+'STER Canalyst'!AH538*1000</f>
        <v>0</v>
      </c>
      <c r="W187" s="2153">
        <f>+'STER Canalyst'!AI538*1000</f>
        <v>65000</v>
      </c>
      <c r="X187" s="2153">
        <f>+'STER Canalyst'!AJ538*1000</f>
        <v>0</v>
      </c>
      <c r="Y187" s="2153"/>
      <c r="Z187" s="2153"/>
      <c r="AA187" s="2153"/>
      <c r="AB187" s="2153"/>
      <c r="AC187" s="2153"/>
      <c r="AD187" s="2153"/>
      <c r="AE187" s="2153"/>
      <c r="AF187" s="2153"/>
      <c r="AG187" s="2153"/>
      <c r="AH187" s="2153"/>
      <c r="AI187" s="2153"/>
      <c r="AJ187" s="2153"/>
      <c r="AK187" s="2153"/>
      <c r="AL187" s="2153"/>
      <c r="AM187" s="2153"/>
      <c r="AN187" s="2153"/>
      <c r="AO187" s="2153"/>
      <c r="AP187" s="2153"/>
      <c r="AQ187" s="2153">
        <f>+'STER Canalyst'!BB538*1000</f>
        <v>0</v>
      </c>
      <c r="AR187" s="2153">
        <f>+'STER Canalyst'!BC538*1000</f>
        <v>83800</v>
      </c>
      <c r="AS187" s="2153">
        <f>+'STER Canalyst'!BD538*1000</f>
        <v>0</v>
      </c>
      <c r="AT187" s="2153">
        <f>+'STER Canalyst'!BE538*1000</f>
        <v>222989</v>
      </c>
      <c r="AU187" s="2153">
        <v>0</v>
      </c>
    </row>
    <row r="188" spans="1:49" x14ac:dyDescent="0.25">
      <c r="A188" s="649" t="s">
        <v>550</v>
      </c>
      <c r="C188" s="2153"/>
      <c r="D188" s="2153"/>
      <c r="E188" s="2153"/>
      <c r="F188" s="2159"/>
      <c r="G188" s="2166"/>
      <c r="H188" s="2166"/>
      <c r="I188" s="2166">
        <f>+'STER Canalyst'!U539*1000</f>
        <v>0</v>
      </c>
      <c r="J188" s="2159">
        <f>+'STER Canalyst'!V539*1000</f>
        <v>0</v>
      </c>
      <c r="K188" s="2166">
        <f>+'STER Canalyst'!W539*1000</f>
        <v>0</v>
      </c>
      <c r="L188" s="2166">
        <f>+'STER Canalyst'!X539*1000</f>
        <v>0</v>
      </c>
      <c r="M188" s="2166">
        <f>+'STER Canalyst'!Y539*1000</f>
        <v>0</v>
      </c>
      <c r="N188" s="2159">
        <f>+'STER Canalyst'!Z539*1000</f>
        <v>0</v>
      </c>
      <c r="O188" s="2166">
        <f>+'STER Canalyst'!AA539*1000</f>
        <v>0</v>
      </c>
      <c r="P188" s="2166">
        <f>+'STER Canalyst'!AB539*1000</f>
        <v>0</v>
      </c>
      <c r="Q188" s="2166">
        <f>+'STER Canalyst'!AC539*1000</f>
        <v>0</v>
      </c>
      <c r="R188" s="2159">
        <f>+'STER Canalyst'!AD539*1000</f>
        <v>-9093</v>
      </c>
      <c r="S188" s="2166">
        <f>+'STER Canalyst'!AE539*1000</f>
        <v>0</v>
      </c>
      <c r="T188" s="2166">
        <f>+'STER Canalyst'!AF539*1000</f>
        <v>0</v>
      </c>
      <c r="U188" s="2166">
        <f>+'STER Canalyst'!AG539*1000</f>
        <v>0</v>
      </c>
      <c r="V188" s="2159">
        <f>+'STER Canalyst'!AH539*1000</f>
        <v>0</v>
      </c>
      <c r="W188" s="2153">
        <f>+'STER Canalyst'!AI539*1000</f>
        <v>0</v>
      </c>
      <c r="X188" s="2153">
        <f>+'STER Canalyst'!AJ539*1000</f>
        <v>0</v>
      </c>
      <c r="Y188" s="2153"/>
      <c r="Z188" s="2153"/>
      <c r="AA188" s="2153"/>
      <c r="AB188" s="2153"/>
      <c r="AC188" s="2153"/>
      <c r="AD188" s="2153"/>
      <c r="AE188" s="2153"/>
      <c r="AF188" s="2153"/>
      <c r="AG188" s="2153"/>
      <c r="AH188" s="2153"/>
      <c r="AI188" s="2153"/>
      <c r="AJ188" s="2153"/>
      <c r="AK188" s="2153"/>
      <c r="AL188" s="2153"/>
      <c r="AM188" s="2153"/>
      <c r="AN188" s="2153"/>
      <c r="AO188" s="2153"/>
      <c r="AP188" s="2153"/>
      <c r="AQ188" s="2153">
        <f>+'STER Canalyst'!BB539*1000</f>
        <v>0</v>
      </c>
      <c r="AR188" s="2153">
        <f>+'STER Canalyst'!BC539*1000</f>
        <v>0</v>
      </c>
      <c r="AS188" s="2153">
        <f>+'STER Canalyst'!BD539*1000</f>
        <v>0</v>
      </c>
      <c r="AT188" s="2153">
        <f>+'STER Canalyst'!BE539*1000</f>
        <v>-9093</v>
      </c>
      <c r="AU188" s="2153">
        <v>0</v>
      </c>
    </row>
    <row r="189" spans="1:49" x14ac:dyDescent="0.25">
      <c r="A189" s="649" t="s">
        <v>873</v>
      </c>
      <c r="C189" s="2153"/>
      <c r="D189" s="2153"/>
      <c r="E189" s="2153"/>
      <c r="F189" s="2159"/>
      <c r="G189" s="2166"/>
      <c r="H189" s="2166"/>
      <c r="I189" s="2166">
        <f>+'STER Canalyst'!U541*1000</f>
        <v>0</v>
      </c>
      <c r="J189" s="2159">
        <f>+'STER Canalyst'!V541*1000</f>
        <v>0</v>
      </c>
      <c r="K189" s="2166">
        <f>+'STER Canalyst'!W541*1000</f>
        <v>-738</v>
      </c>
      <c r="L189" s="2166">
        <f>+'STER Canalyst'!X541*1000</f>
        <v>0</v>
      </c>
      <c r="M189" s="2166">
        <f>+'STER Canalyst'!Y541*1000</f>
        <v>0</v>
      </c>
      <c r="N189" s="2159">
        <f>+'STER Canalyst'!Z541*1000</f>
        <v>0</v>
      </c>
      <c r="O189" s="2166">
        <f>+'STER Canalyst'!AA541*1000</f>
        <v>0</v>
      </c>
      <c r="P189" s="2166">
        <f>+'STER Canalyst'!AB541*1000</f>
        <v>-215</v>
      </c>
      <c r="Q189" s="2166">
        <f>+'STER Canalyst'!AC541*1000</f>
        <v>-11.000000000000011</v>
      </c>
      <c r="R189" s="2159">
        <f>+'STER Canalyst'!AD541*1000</f>
        <v>0</v>
      </c>
      <c r="S189" s="2166">
        <f>+'STER Canalyst'!AE541*1000</f>
        <v>-305</v>
      </c>
      <c r="T189" s="2166">
        <f>+'STER Canalyst'!AF541*1000</f>
        <v>0</v>
      </c>
      <c r="U189" s="2166">
        <f>+'STER Canalyst'!AG541*1000</f>
        <v>0</v>
      </c>
      <c r="V189" s="2159">
        <f>+'STER Canalyst'!AH541*1000</f>
        <v>0</v>
      </c>
      <c r="W189" s="2153">
        <f>+'STER Canalyst'!AI541*1000</f>
        <v>0</v>
      </c>
      <c r="X189" s="2153">
        <f>+'STER Canalyst'!AJ541*1000</f>
        <v>0</v>
      </c>
      <c r="Y189" s="2153"/>
      <c r="Z189" s="2153"/>
      <c r="AA189" s="2153"/>
      <c r="AB189" s="2153"/>
      <c r="AC189" s="2153"/>
      <c r="AD189" s="2153"/>
      <c r="AE189" s="2153"/>
      <c r="AF189" s="2153"/>
      <c r="AG189" s="2153"/>
      <c r="AH189" s="2153"/>
      <c r="AI189" s="2153"/>
      <c r="AJ189" s="2153"/>
      <c r="AK189" s="2153"/>
      <c r="AL189" s="2153"/>
      <c r="AM189" s="2153"/>
      <c r="AN189" s="2153"/>
      <c r="AO189" s="2153"/>
      <c r="AP189" s="2153"/>
      <c r="AQ189" s="2153">
        <f>+'STER Canalyst'!BB541*1000</f>
        <v>-1530</v>
      </c>
      <c r="AR189" s="2153">
        <f>+'STER Canalyst'!BC541*1000</f>
        <v>0</v>
      </c>
      <c r="AS189" s="2153">
        <f>+'STER Canalyst'!BD541*1000</f>
        <v>-738</v>
      </c>
      <c r="AT189" s="2153">
        <v>-226</v>
      </c>
      <c r="AU189" s="2153">
        <v>-305</v>
      </c>
    </row>
    <row r="190" spans="1:49" s="413" customFormat="1" ht="14" x14ac:dyDescent="0.4">
      <c r="A190" s="132" t="s">
        <v>874</v>
      </c>
      <c r="C190" s="719"/>
      <c r="D190" s="719"/>
      <c r="E190" s="719"/>
      <c r="F190" s="718"/>
      <c r="G190" s="719"/>
      <c r="H190" s="719"/>
      <c r="I190" s="719">
        <f>+'STER Canalyst'!U542*1000</f>
        <v>-3</v>
      </c>
      <c r="J190" s="718">
        <f>+'STER Canalyst'!V542*1000</f>
        <v>-2</v>
      </c>
      <c r="K190" s="719">
        <f>+'STER Canalyst'!W542*1000</f>
        <v>-1</v>
      </c>
      <c r="L190" s="719">
        <f>+'STER Canalyst'!X542*1000</f>
        <v>-6</v>
      </c>
      <c r="M190" s="719">
        <f>+'STER Canalyst'!Y542*1000</f>
        <v>-1</v>
      </c>
      <c r="N190" s="718">
        <f>+'STER Canalyst'!Z542*1000</f>
        <v>-0.99999999999999911</v>
      </c>
      <c r="O190" s="719">
        <f>+'STER Canalyst'!AA542*1000</f>
        <v>-1</v>
      </c>
      <c r="P190" s="719">
        <f>+'STER Canalyst'!AB542*1000</f>
        <v>0</v>
      </c>
      <c r="Q190" s="719">
        <f>+'STER Canalyst'!AC542*1000</f>
        <v>-2</v>
      </c>
      <c r="R190" s="718">
        <f>+'STER Canalyst'!AD542*1000</f>
        <v>0</v>
      </c>
      <c r="S190" s="719">
        <f>+'STER Canalyst'!AE542*1000</f>
        <v>0</v>
      </c>
      <c r="T190" s="719">
        <f>+'STER Canalyst'!AF542*1000</f>
        <v>0</v>
      </c>
      <c r="U190" s="719">
        <f>+'STER Canalyst'!AG542*1000</f>
        <v>0</v>
      </c>
      <c r="V190" s="718">
        <f>+'STER Canalyst'!AH542*1000</f>
        <v>0</v>
      </c>
      <c r="W190" s="719">
        <f>+'STER Canalyst'!AI542*1000</f>
        <v>0</v>
      </c>
      <c r="X190" s="719">
        <f>+'STER Canalyst'!AJ542*1000</f>
        <v>0</v>
      </c>
      <c r="Y190" s="719"/>
      <c r="Z190" s="719"/>
      <c r="AA190" s="719"/>
      <c r="AB190" s="719"/>
      <c r="AC190" s="719"/>
      <c r="AD190" s="719"/>
      <c r="AE190" s="719"/>
      <c r="AF190" s="719"/>
      <c r="AG190" s="719"/>
      <c r="AH190" s="719"/>
      <c r="AI190" s="719"/>
      <c r="AJ190" s="719"/>
      <c r="AK190" s="719"/>
      <c r="AL190" s="719"/>
      <c r="AM190" s="719"/>
      <c r="AN190" s="719"/>
      <c r="AO190" s="719"/>
      <c r="AP190" s="719"/>
      <c r="AQ190" s="719">
        <f>+'STER Canalyst'!BB542*1000</f>
        <v>-12</v>
      </c>
      <c r="AR190" s="719">
        <f>+'STER Canalyst'!BC542*1000</f>
        <v>-7</v>
      </c>
      <c r="AS190" s="719">
        <f>+'STER Canalyst'!BD542*1000</f>
        <v>-9</v>
      </c>
      <c r="AT190" s="719">
        <v>-3</v>
      </c>
      <c r="AU190" s="719">
        <v>0</v>
      </c>
      <c r="AV190" s="719"/>
      <c r="AW190" s="614"/>
    </row>
    <row r="191" spans="1:49" s="163" customFormat="1" ht="13" x14ac:dyDescent="0.3">
      <c r="A191" s="426" t="s">
        <v>875</v>
      </c>
      <c r="C191" s="594"/>
      <c r="D191" s="594"/>
      <c r="E191" s="594"/>
      <c r="F191" s="593"/>
      <c r="G191" s="594"/>
      <c r="H191" s="594"/>
      <c r="I191" s="594">
        <f t="shared" ref="I191" si="307">+SUM(I175:I190)</f>
        <v>-1619</v>
      </c>
      <c r="J191" s="593">
        <f t="shared" ref="J191" si="308">+SUM(J175:J190)</f>
        <v>432.99999999999977</v>
      </c>
      <c r="K191" s="594">
        <f t="shared" ref="K191" si="309">+SUM(K175:K190)</f>
        <v>-127</v>
      </c>
      <c r="L191" s="594">
        <f t="shared" ref="L191" si="310">+SUM(L175:L190)</f>
        <v>-8107</v>
      </c>
      <c r="M191" s="594">
        <f t="shared" ref="M191" si="311">+SUM(M175:M190)</f>
        <v>110534</v>
      </c>
      <c r="N191" s="593">
        <f t="shared" ref="N191" si="312">+SUM(N175:N190)</f>
        <v>-103387</v>
      </c>
      <c r="O191" s="594">
        <f t="shared" ref="O191" si="313">+SUM(O175:O190)</f>
        <v>-1771</v>
      </c>
      <c r="P191" s="594">
        <f t="shared" ref="P191" si="314">+SUM(P175:P190)</f>
        <v>-1086.9999999999998</v>
      </c>
      <c r="Q191" s="594">
        <f t="shared" ref="Q191" si="315">+SUM(Q175:Q190)</f>
        <v>-151.00000000000045</v>
      </c>
      <c r="R191" s="593">
        <f t="shared" ref="R191" si="316">+SUM(R175:R190)</f>
        <v>-22930</v>
      </c>
      <c r="S191" s="594">
        <f t="shared" ref="S191" si="317">+SUM(S175:S190)</f>
        <v>-10378</v>
      </c>
      <c r="T191" s="594">
        <f t="shared" ref="T191" si="318">+SUM(T175:T190)</f>
        <v>-18980</v>
      </c>
      <c r="U191" s="594">
        <f t="shared" ref="U191" si="319">+SUM(U175:U190)</f>
        <v>-24214</v>
      </c>
      <c r="V191" s="593">
        <f t="shared" ref="V191" si="320">+SUM(V175:V190)</f>
        <v>-22331</v>
      </c>
      <c r="W191" s="594">
        <f t="shared" ref="W191" si="321">+SUM(W175:W190)</f>
        <v>85667</v>
      </c>
      <c r="X191" s="594">
        <f t="shared" ref="X191" si="322">+SUM(X175:X190)</f>
        <v>-3603.9999999999982</v>
      </c>
      <c r="Y191" s="594"/>
      <c r="Z191" s="594"/>
      <c r="AA191" s="594"/>
      <c r="AB191" s="594"/>
      <c r="AC191" s="594"/>
      <c r="AD191" s="594"/>
      <c r="AE191" s="594"/>
      <c r="AF191" s="594"/>
      <c r="AG191" s="594"/>
      <c r="AH191" s="594"/>
      <c r="AI191" s="594"/>
      <c r="AJ191" s="594"/>
      <c r="AK191" s="594"/>
      <c r="AL191" s="594"/>
      <c r="AM191" s="594"/>
      <c r="AN191" s="594"/>
      <c r="AO191" s="594"/>
      <c r="AP191" s="594"/>
      <c r="AQ191" s="594">
        <f t="shared" ref="AQ191:AR191" si="323">+SUM(AQ175:AQ190)</f>
        <v>-7873</v>
      </c>
      <c r="AR191" s="594">
        <f t="shared" si="323"/>
        <v>-3218</v>
      </c>
      <c r="AS191" s="594">
        <f>+SUM(AS175:AS190)</f>
        <v>-1087</v>
      </c>
      <c r="AT191" s="594">
        <v>-25939</v>
      </c>
      <c r="AU191" s="594">
        <v>-75903</v>
      </c>
      <c r="AV191" s="594"/>
      <c r="AW191" s="573"/>
    </row>
    <row r="192" spans="1:49" x14ac:dyDescent="0.25">
      <c r="A192" s="425"/>
      <c r="C192" s="583"/>
      <c r="D192" s="583"/>
      <c r="E192" s="583"/>
      <c r="F192" s="588"/>
      <c r="G192" s="583"/>
      <c r="H192" s="583"/>
      <c r="I192" s="583"/>
      <c r="J192" s="588"/>
      <c r="K192" s="583"/>
      <c r="L192" s="583"/>
      <c r="M192" s="583"/>
      <c r="N192" s="588"/>
      <c r="O192" s="583"/>
      <c r="P192" s="583"/>
      <c r="Q192" s="583"/>
      <c r="R192" s="588"/>
      <c r="S192" s="583"/>
      <c r="T192" s="583"/>
      <c r="U192" s="583"/>
      <c r="V192" s="588"/>
      <c r="W192" s="583"/>
      <c r="X192" s="583"/>
      <c r="Y192" s="583"/>
      <c r="Z192" s="583"/>
      <c r="AA192" s="583"/>
      <c r="AB192" s="583"/>
      <c r="AC192" s="583"/>
      <c r="AD192" s="583"/>
      <c r="AE192" s="583"/>
      <c r="AF192" s="583"/>
      <c r="AG192" s="583"/>
      <c r="AH192" s="583"/>
      <c r="AI192" s="583"/>
      <c r="AJ192" s="583"/>
      <c r="AK192" s="583"/>
      <c r="AL192" s="583"/>
      <c r="AM192" s="583"/>
      <c r="AN192" s="583"/>
      <c r="AO192" s="583"/>
      <c r="AP192" s="583"/>
      <c r="AQ192" s="583"/>
      <c r="AR192" s="583"/>
      <c r="AS192" s="583"/>
      <c r="AT192" s="583"/>
      <c r="AU192" s="583"/>
      <c r="AV192" s="583"/>
      <c r="AW192" s="571"/>
    </row>
    <row r="193" spans="1:49" s="413" customFormat="1" ht="14" x14ac:dyDescent="0.4">
      <c r="A193" s="132" t="s">
        <v>876</v>
      </c>
      <c r="C193" s="719"/>
      <c r="D193" s="719"/>
      <c r="E193" s="719"/>
      <c r="F193" s="718"/>
      <c r="G193" s="719"/>
      <c r="H193" s="719"/>
      <c r="I193" s="719">
        <f>+'STER Canalyst'!U546*1000</f>
        <v>326.00000000000006</v>
      </c>
      <c r="J193" s="718">
        <f>+'STER Canalyst'!V546*1000</f>
        <v>1827</v>
      </c>
      <c r="K193" s="719">
        <f>+'STER Canalyst'!W546*1000</f>
        <v>151</v>
      </c>
      <c r="L193" s="719">
        <f>+'STER Canalyst'!X546*1000</f>
        <v>-254</v>
      </c>
      <c r="M193" s="719">
        <f>+'STER Canalyst'!Y546*1000</f>
        <v>-760</v>
      </c>
      <c r="N193" s="718">
        <f>+'STER Canalyst'!Z546*1000</f>
        <v>85.999999999999972</v>
      </c>
      <c r="O193" s="719">
        <f>+'STER Canalyst'!AA546*1000</f>
        <v>-92</v>
      </c>
      <c r="P193" s="719">
        <f>+'STER Canalyst'!AB546*1000</f>
        <v>-1643</v>
      </c>
      <c r="Q193" s="719">
        <f>+'STER Canalyst'!AC546*1000</f>
        <v>-1990</v>
      </c>
      <c r="R193" s="718">
        <f>+'STER Canalyst'!AD546*1000</f>
        <v>633.99999999999989</v>
      </c>
      <c r="S193" s="719">
        <f>+'STER Canalyst'!AE546*1000</f>
        <v>20</v>
      </c>
      <c r="T193" s="719">
        <f>+'STER Canalyst'!AF546*1000</f>
        <v>-139.99999999999997</v>
      </c>
      <c r="U193" s="719">
        <f>+'STER Canalyst'!AG546*1000</f>
        <v>-1372</v>
      </c>
      <c r="V193" s="718">
        <f>+'STER Canalyst'!AH546*1000</f>
        <v>1113</v>
      </c>
      <c r="W193" s="719">
        <f>+'STER Canalyst'!AI546*1000</f>
        <v>-487</v>
      </c>
      <c r="X193" s="719">
        <f>+'STER Canalyst'!AJ546*1000</f>
        <v>-3.0000000000000027</v>
      </c>
      <c r="Y193" s="719"/>
      <c r="Z193" s="719"/>
      <c r="AA193" s="719"/>
      <c r="AB193" s="719"/>
      <c r="AC193" s="719"/>
      <c r="AD193" s="719"/>
      <c r="AE193" s="719"/>
      <c r="AF193" s="719"/>
      <c r="AG193" s="719"/>
      <c r="AH193" s="719"/>
      <c r="AI193" s="719"/>
      <c r="AJ193" s="719"/>
      <c r="AK193" s="719"/>
      <c r="AL193" s="719"/>
      <c r="AM193" s="719"/>
      <c r="AN193" s="719"/>
      <c r="AO193" s="719"/>
      <c r="AP193" s="719"/>
      <c r="AQ193" s="719">
        <f>+'STER Canalyst'!BB546*1000</f>
        <v>427</v>
      </c>
      <c r="AR193" s="719">
        <f>+'STER Canalyst'!BC546*1000</f>
        <v>-367</v>
      </c>
      <c r="AS193" s="719">
        <f>+'STER Canalyst'!BD546*1000</f>
        <v>-777</v>
      </c>
      <c r="AT193" s="719">
        <v>-3091</v>
      </c>
      <c r="AU193" s="719">
        <v>-379</v>
      </c>
      <c r="AV193" s="719"/>
      <c r="AW193" s="614"/>
    </row>
    <row r="194" spans="1:49" x14ac:dyDescent="0.25">
      <c r="A194" s="425" t="s">
        <v>877</v>
      </c>
      <c r="C194" s="583"/>
      <c r="D194" s="583"/>
      <c r="E194" s="583"/>
      <c r="F194" s="588"/>
      <c r="G194" s="583"/>
      <c r="H194" s="583"/>
      <c r="I194" s="583">
        <f t="shared" ref="I194" si="324">+I193+I191+I172+I164</f>
        <v>795</v>
      </c>
      <c r="J194" s="588">
        <f t="shared" ref="J194" si="325">+J193+J191+J172+J164</f>
        <v>9174.9999999999927</v>
      </c>
      <c r="K194" s="583">
        <f t="shared" ref="K194" si="326">+K193+K191+K172+K164</f>
        <v>17822</v>
      </c>
      <c r="L194" s="583">
        <f t="shared" ref="L194" si="327">+L193+L191+L172+L164</f>
        <v>9836</v>
      </c>
      <c r="M194" s="583">
        <f t="shared" ref="M194" si="328">+M193+M191+M172+M164</f>
        <v>98106</v>
      </c>
      <c r="N194" s="588">
        <f t="shared" ref="N194" si="329">+N193+N191+N172+N164</f>
        <v>-144399</v>
      </c>
      <c r="O194" s="583">
        <f t="shared" ref="O194" si="330">+O193+O191+O172+O164</f>
        <v>-3647</v>
      </c>
      <c r="P194" s="583">
        <f t="shared" ref="P194" si="331">+P193+P191+P172+P164</f>
        <v>21460</v>
      </c>
      <c r="Q194" s="583">
        <f t="shared" ref="Q194" si="332">+Q193+Q191+Q172+Q164</f>
        <v>33379</v>
      </c>
      <c r="R194" s="588">
        <f t="shared" ref="R194" si="333">+R193+R191+R172+R164</f>
        <v>3905.0000000000073</v>
      </c>
      <c r="S194" s="583">
        <f t="shared" ref="S194" si="334">+S193+S191+S172+S164</f>
        <v>-52131</v>
      </c>
      <c r="T194" s="583">
        <f t="shared" ref="T194" si="335">+T193+T191+T172+T164</f>
        <v>-2147</v>
      </c>
      <c r="U194" s="583">
        <f t="shared" ref="U194" si="336">+U193+U191+U172+U164</f>
        <v>1059.9999999999964</v>
      </c>
      <c r="V194" s="588">
        <f t="shared" ref="V194" si="337">+V193+V191+V172+V164</f>
        <v>4347</v>
      </c>
      <c r="W194" s="583">
        <f t="shared" ref="W194" si="338">+W193+W191+W172+W164</f>
        <v>12755</v>
      </c>
      <c r="X194" s="583">
        <f t="shared" ref="X194" si="339">+X193+X191+X172+X164</f>
        <v>7203.0000000000036</v>
      </c>
      <c r="Y194" s="583"/>
      <c r="Z194" s="583"/>
      <c r="AA194" s="583"/>
      <c r="AB194" s="583"/>
      <c r="AC194" s="583"/>
      <c r="AD194" s="583"/>
      <c r="AE194" s="583"/>
      <c r="AF194" s="583"/>
      <c r="AG194" s="583"/>
      <c r="AH194" s="583"/>
      <c r="AI194" s="583"/>
      <c r="AJ194" s="583"/>
      <c r="AK194" s="583"/>
      <c r="AL194" s="583"/>
      <c r="AM194" s="583"/>
      <c r="AN194" s="583"/>
      <c r="AO194" s="583"/>
      <c r="AP194" s="583"/>
      <c r="AQ194" s="583">
        <f t="shared" ref="AQ194:AR194" si="340">+AQ193+AQ191+AQ172+AQ164</f>
        <v>-5111</v>
      </c>
      <c r="AR194" s="583">
        <f t="shared" si="340"/>
        <v>16334</v>
      </c>
      <c r="AS194" s="583">
        <f>+AS193+AS191+AS172+AS164</f>
        <v>-18635</v>
      </c>
      <c r="AT194" s="583">
        <v>55097</v>
      </c>
      <c r="AU194" s="583">
        <v>-48871</v>
      </c>
      <c r="AV194" s="583"/>
      <c r="AW194" s="571"/>
    </row>
    <row r="195" spans="1:49" x14ac:dyDescent="0.25">
      <c r="A195" s="425"/>
      <c r="C195" s="583"/>
      <c r="D195" s="583"/>
      <c r="E195" s="583"/>
      <c r="F195" s="588"/>
      <c r="G195" s="583"/>
      <c r="H195" s="583"/>
      <c r="I195" s="583"/>
      <c r="J195" s="588"/>
      <c r="K195" s="583"/>
      <c r="L195" s="583"/>
      <c r="M195" s="583"/>
      <c r="N195" s="588"/>
      <c r="O195" s="583"/>
      <c r="P195" s="583"/>
      <c r="Q195" s="583"/>
      <c r="R195" s="588"/>
      <c r="S195" s="583"/>
      <c r="T195" s="583"/>
      <c r="U195" s="583"/>
      <c r="V195" s="588"/>
      <c r="W195" s="583"/>
      <c r="X195" s="583"/>
      <c r="Y195" s="583"/>
      <c r="Z195" s="583"/>
      <c r="AA195" s="583"/>
      <c r="AB195" s="583"/>
      <c r="AC195" s="583"/>
      <c r="AD195" s="583"/>
      <c r="AE195" s="583"/>
      <c r="AF195" s="583"/>
      <c r="AG195" s="583"/>
      <c r="AH195" s="583"/>
      <c r="AI195" s="583"/>
      <c r="AJ195" s="583"/>
      <c r="AK195" s="583"/>
      <c r="AL195" s="583"/>
      <c r="AM195" s="583"/>
      <c r="AN195" s="583"/>
      <c r="AO195" s="583"/>
      <c r="AP195" s="583"/>
      <c r="AQ195" s="583"/>
      <c r="AR195" s="583"/>
      <c r="AS195" s="583"/>
      <c r="AT195" s="583"/>
      <c r="AU195" s="583"/>
      <c r="AV195" s="583"/>
      <c r="AW195" s="571"/>
    </row>
    <row r="196" spans="1:49" x14ac:dyDescent="0.25">
      <c r="A196" s="2150" t="s">
        <v>599</v>
      </c>
      <c r="C196" s="571"/>
      <c r="D196" s="571"/>
      <c r="E196" s="571"/>
      <c r="F196" s="666"/>
      <c r="G196" s="667"/>
      <c r="H196" s="667"/>
      <c r="I196" s="667"/>
      <c r="J196" s="666"/>
      <c r="K196" s="667"/>
      <c r="L196" s="667"/>
      <c r="M196" s="667"/>
      <c r="N196" s="666"/>
      <c r="O196" s="667"/>
      <c r="P196" s="667"/>
      <c r="Q196" s="667"/>
      <c r="R196" s="666"/>
      <c r="S196" s="667"/>
      <c r="T196" s="667"/>
      <c r="U196" s="667"/>
      <c r="V196" s="666"/>
      <c r="W196" s="571"/>
      <c r="X196" s="571"/>
      <c r="Y196" s="571"/>
      <c r="Z196" s="571"/>
      <c r="AA196" s="571"/>
      <c r="AB196" s="571"/>
      <c r="AC196" s="571"/>
      <c r="AD196" s="571"/>
      <c r="AE196" s="571"/>
      <c r="AF196" s="571"/>
      <c r="AG196" s="571"/>
      <c r="AH196" s="571"/>
      <c r="AI196" s="571"/>
      <c r="AJ196" s="571"/>
      <c r="AK196" s="571"/>
      <c r="AL196" s="571"/>
      <c r="AM196" s="571"/>
      <c r="AN196" s="571"/>
      <c r="AO196" s="571"/>
      <c r="AP196" s="571"/>
      <c r="AQ196" s="571"/>
      <c r="AR196" s="571"/>
      <c r="AS196" s="2155"/>
      <c r="AT196" s="2155"/>
      <c r="AU196" s="2155"/>
    </row>
    <row r="197" spans="1:49" x14ac:dyDescent="0.25">
      <c r="A197" s="649" t="s">
        <v>878</v>
      </c>
      <c r="C197" s="2153"/>
      <c r="D197" s="2153"/>
      <c r="E197" s="2153"/>
      <c r="F197" s="2159"/>
      <c r="G197" s="2166"/>
      <c r="H197" s="2166"/>
      <c r="I197" s="2166">
        <f>+H198</f>
        <v>0</v>
      </c>
      <c r="J197" s="2159">
        <f>+'STER Canalyst'!V549*1000</f>
        <v>57458.000000000015</v>
      </c>
      <c r="K197" s="2166">
        <f>+'STER Canalyst'!W549*1000</f>
        <v>66633</v>
      </c>
      <c r="L197" s="2166">
        <f>+'STER Canalyst'!X549*1000</f>
        <v>84455</v>
      </c>
      <c r="M197" s="2166">
        <f>+'STER Canalyst'!Y549*1000</f>
        <v>94291</v>
      </c>
      <c r="N197" s="2159">
        <f>+'STER Canalyst'!Z549*1000</f>
        <v>192397</v>
      </c>
      <c r="O197" s="2166">
        <f>+'STER Canalyst'!AA549*1000</f>
        <v>47998.000000000022</v>
      </c>
      <c r="P197" s="2166">
        <f>+'STER Canalyst'!AB549*1000</f>
        <v>44347.000000000022</v>
      </c>
      <c r="Q197" s="2166">
        <f>+'STER Canalyst'!AC549*1000</f>
        <v>65811.000000000029</v>
      </c>
      <c r="R197" s="2159">
        <f>+'STER Canalyst'!AD549*1000</f>
        <v>99190</v>
      </c>
      <c r="S197" s="2166">
        <f>+'STER Canalyst'!AE549*1000</f>
        <v>103095.00000000003</v>
      </c>
      <c r="T197" s="2166">
        <f>+'STER Canalyst'!AF549*1000</f>
        <v>50964.000000000036</v>
      </c>
      <c r="U197" s="2166">
        <f>+'STER Canalyst'!AG549*1000</f>
        <v>48817.000000000044</v>
      </c>
      <c r="V197" s="2159">
        <f>+'STER Canalyst'!AH549*1000</f>
        <v>49877.000000000029</v>
      </c>
      <c r="W197" s="2153">
        <f>+'STER Canalyst'!AI549*1000</f>
        <v>54224.000000000036</v>
      </c>
      <c r="X197" s="2153">
        <f>+'STER Canalyst'!AJ549*1000</f>
        <v>66979.000000000029</v>
      </c>
      <c r="Y197" s="2153"/>
      <c r="Z197" s="571"/>
      <c r="AA197" s="571"/>
      <c r="AB197" s="571"/>
      <c r="AC197" s="571"/>
      <c r="AD197" s="571"/>
      <c r="AE197" s="571"/>
      <c r="AF197" s="571"/>
      <c r="AG197" s="571"/>
      <c r="AH197" s="571"/>
      <c r="AI197" s="571"/>
      <c r="AJ197" s="571"/>
      <c r="AK197" s="571"/>
      <c r="AL197" s="571"/>
      <c r="AM197" s="571"/>
      <c r="AN197" s="571"/>
      <c r="AO197" s="571"/>
      <c r="AP197" s="571"/>
      <c r="AQ197" s="2153">
        <f>+'STER Canalyst'!BB549*1000</f>
        <v>55410</v>
      </c>
      <c r="AR197" s="2153">
        <f>+'STER Canalyst'!BC549*1000</f>
        <v>50299.000000000007</v>
      </c>
      <c r="AS197" s="2153">
        <f>+'STER Canalyst'!BD549*1000</f>
        <v>66633</v>
      </c>
      <c r="AT197" s="2153">
        <v>47998</v>
      </c>
      <c r="AU197" s="2153">
        <v>103095</v>
      </c>
    </row>
    <row r="198" spans="1:49" x14ac:dyDescent="0.25">
      <c r="A198" s="649" t="s">
        <v>879</v>
      </c>
      <c r="C198" s="2153"/>
      <c r="D198" s="2153"/>
      <c r="E198" s="2153"/>
      <c r="F198" s="2159"/>
      <c r="G198" s="2166"/>
      <c r="H198" s="2166"/>
      <c r="I198" s="2166">
        <f>+I197+I194</f>
        <v>795</v>
      </c>
      <c r="J198" s="2159">
        <f>+'STER Canalyst'!V550*1000</f>
        <v>66633.000000000015</v>
      </c>
      <c r="K198" s="2166">
        <f>+'STER Canalyst'!W550*1000</f>
        <v>84455</v>
      </c>
      <c r="L198" s="2166">
        <f>+'STER Canalyst'!X550*1000</f>
        <v>94291</v>
      </c>
      <c r="M198" s="2166">
        <f>+'STER Canalyst'!Y550*1000</f>
        <v>192397</v>
      </c>
      <c r="N198" s="2159">
        <f>+'STER Canalyst'!Z550*1000</f>
        <v>47998.000000000022</v>
      </c>
      <c r="O198" s="2166">
        <f>+'STER Canalyst'!AA550*1000</f>
        <v>44347.000000000022</v>
      </c>
      <c r="P198" s="2166">
        <f>+'STER Canalyst'!AB550*1000</f>
        <v>65811.000000000029</v>
      </c>
      <c r="Q198" s="2166">
        <f>+'STER Canalyst'!AC550*1000</f>
        <v>99190</v>
      </c>
      <c r="R198" s="2159">
        <f>+'STER Canalyst'!AD550*1000</f>
        <v>103094.99999999999</v>
      </c>
      <c r="S198" s="2166">
        <f>+'STER Canalyst'!AE550*1000</f>
        <v>50964.000000000036</v>
      </c>
      <c r="T198" s="2166">
        <f>+'STER Canalyst'!AF550*1000</f>
        <v>48817.000000000044</v>
      </c>
      <c r="U198" s="2166">
        <f>+'STER Canalyst'!AG550*1000</f>
        <v>49877.000000000029</v>
      </c>
      <c r="V198" s="2159">
        <f>+'STER Canalyst'!AH550*1000</f>
        <v>54224.000000000029</v>
      </c>
      <c r="W198" s="2153">
        <f>+'STER Canalyst'!AI550*1000</f>
        <v>66979.000000000029</v>
      </c>
      <c r="X198" s="2153">
        <f>+'STER Canalyst'!AJ550*1000</f>
        <v>74182.000000000029</v>
      </c>
      <c r="Y198" s="2153"/>
      <c r="Z198" s="571"/>
      <c r="AA198" s="571"/>
      <c r="AB198" s="571"/>
      <c r="AC198" s="571"/>
      <c r="AD198" s="571"/>
      <c r="AE198" s="571"/>
      <c r="AF198" s="571"/>
      <c r="AG198" s="571"/>
      <c r="AH198" s="571"/>
      <c r="AI198" s="571"/>
      <c r="AJ198" s="571"/>
      <c r="AK198" s="571"/>
      <c r="AL198" s="571"/>
      <c r="AM198" s="571"/>
      <c r="AN198" s="571"/>
      <c r="AO198" s="571"/>
      <c r="AP198" s="571"/>
      <c r="AQ198" s="2153">
        <f>+'STER Canalyst'!BB550*1000</f>
        <v>50299.000000000007</v>
      </c>
      <c r="AR198" s="2153">
        <f>+'STER Canalyst'!BC550*1000</f>
        <v>66633</v>
      </c>
      <c r="AS198" s="2153">
        <f>+'STER Canalyst'!BD550*1000</f>
        <v>47998.000000000022</v>
      </c>
      <c r="AT198" s="2153">
        <v>103095</v>
      </c>
      <c r="AU198" s="2153">
        <v>54224</v>
      </c>
    </row>
    <row r="199" spans="1:49" x14ac:dyDescent="0.25">
      <c r="C199" s="571"/>
      <c r="D199" s="571"/>
      <c r="E199" s="571"/>
      <c r="F199" s="666"/>
      <c r="G199" s="667"/>
      <c r="H199" s="667"/>
      <c r="I199" s="667"/>
      <c r="J199" s="666"/>
      <c r="K199" s="667"/>
      <c r="L199" s="667"/>
      <c r="M199" s="667"/>
      <c r="N199" s="666"/>
      <c r="O199" s="667"/>
      <c r="P199" s="667"/>
      <c r="Q199" s="667"/>
      <c r="R199" s="666"/>
      <c r="S199" s="667"/>
      <c r="T199" s="667"/>
      <c r="U199" s="667"/>
      <c r="V199" s="666"/>
      <c r="W199" s="571"/>
      <c r="X199" s="571"/>
      <c r="Y199" s="571"/>
      <c r="Z199" s="571"/>
      <c r="AA199" s="571"/>
      <c r="AB199" s="571"/>
      <c r="AC199" s="571"/>
      <c r="AD199" s="571"/>
      <c r="AE199" s="571"/>
      <c r="AF199" s="571"/>
      <c r="AG199" s="571"/>
      <c r="AH199" s="571"/>
      <c r="AI199" s="571"/>
      <c r="AJ199" s="571"/>
      <c r="AK199" s="571"/>
      <c r="AL199" s="571"/>
      <c r="AM199" s="571"/>
      <c r="AN199" s="571"/>
      <c r="AO199" s="571"/>
      <c r="AP199" s="571"/>
      <c r="AQ199" s="571"/>
      <c r="AR199" s="571"/>
      <c r="AS199" s="571"/>
      <c r="AT199" s="571"/>
      <c r="AU199" s="571"/>
    </row>
    <row r="200" spans="1:49" x14ac:dyDescent="0.25">
      <c r="A200" s="2150" t="s">
        <v>600</v>
      </c>
      <c r="C200" s="571"/>
      <c r="D200" s="571"/>
      <c r="E200" s="571"/>
      <c r="F200" s="666"/>
      <c r="G200" s="667"/>
      <c r="H200" s="667"/>
      <c r="I200" s="667"/>
      <c r="J200" s="666"/>
      <c r="K200" s="667"/>
      <c r="L200" s="667"/>
      <c r="M200" s="667"/>
      <c r="N200" s="666"/>
      <c r="O200" s="667"/>
      <c r="P200" s="667"/>
      <c r="Q200" s="667"/>
      <c r="R200" s="666"/>
      <c r="S200" s="667"/>
      <c r="T200" s="667"/>
      <c r="U200" s="667"/>
      <c r="V200" s="666"/>
      <c r="W200" s="571"/>
      <c r="X200" s="571"/>
      <c r="Y200" s="571"/>
      <c r="Z200" s="571"/>
      <c r="AA200" s="571"/>
      <c r="AB200" s="571"/>
      <c r="AC200" s="571"/>
      <c r="AD200" s="571"/>
      <c r="AE200" s="571"/>
      <c r="AF200" s="571"/>
      <c r="AG200" s="571"/>
      <c r="AH200" s="571"/>
      <c r="AI200" s="571"/>
      <c r="AJ200" s="571"/>
      <c r="AK200" s="571"/>
      <c r="AL200" s="571"/>
      <c r="AM200" s="571"/>
      <c r="AN200" s="571"/>
      <c r="AO200" s="571"/>
      <c r="AP200" s="571"/>
      <c r="AQ200" s="571"/>
      <c r="AR200" s="571"/>
      <c r="AS200" s="571"/>
      <c r="AT200" s="571"/>
      <c r="AU200" s="571"/>
    </row>
    <row r="201" spans="1:49" x14ac:dyDescent="0.25">
      <c r="A201" s="649" t="s">
        <v>880</v>
      </c>
      <c r="C201" s="2153"/>
      <c r="D201" s="2153"/>
      <c r="E201" s="2153"/>
      <c r="F201" s="2159"/>
      <c r="G201" s="2166"/>
      <c r="H201" s="2166"/>
      <c r="I201" s="2166">
        <f>+'STER Canalyst'!U552*1000</f>
        <v>8639.9999999999982</v>
      </c>
      <c r="J201" s="2159">
        <f>+'STER Canalyst'!V552*1000</f>
        <v>14156.000000000002</v>
      </c>
      <c r="K201" s="2166">
        <f>+'STER Canalyst'!W552*1000</f>
        <v>3182</v>
      </c>
      <c r="L201" s="2166">
        <f>+'STER Canalyst'!X552*1000</f>
        <v>9138</v>
      </c>
      <c r="M201" s="2166">
        <f>+'STER Canalyst'!Y552*1000</f>
        <v>9174</v>
      </c>
      <c r="N201" s="2159">
        <f>+'STER Canalyst'!Z552*1000</f>
        <v>9288</v>
      </c>
      <c r="O201" s="2166">
        <f>+'STER Canalyst'!AA552*1000</f>
        <v>8296</v>
      </c>
      <c r="P201" s="2166">
        <f>+'STER Canalyst'!AB552*1000</f>
        <v>8929.0000000000018</v>
      </c>
      <c r="Q201" s="2166">
        <f>+'STER Canalyst'!AC552*1000</f>
        <v>7052</v>
      </c>
      <c r="R201" s="2159">
        <f>+'STER Canalyst'!AD552*1000</f>
        <v>8070.9999999999982</v>
      </c>
      <c r="S201" s="2166">
        <f>+'STER Canalyst'!AE552*1000</f>
        <v>11602</v>
      </c>
      <c r="T201" s="2166">
        <f>+'STER Canalyst'!AF552*1000</f>
        <v>8637</v>
      </c>
      <c r="U201" s="2166">
        <f>+'STER Canalyst'!AG552*1000</f>
        <v>8767</v>
      </c>
      <c r="V201" s="2159">
        <f>+'STER Canalyst'!AH552*1000</f>
        <v>8722.9999999999982</v>
      </c>
      <c r="W201" s="2153">
        <f>+'STER Canalyst'!AI552*1000</f>
        <v>9102</v>
      </c>
      <c r="X201" s="2153">
        <f>+'STER Canalyst'!AJ552*1000</f>
        <v>10425</v>
      </c>
      <c r="Y201" s="2153"/>
      <c r="Z201" s="571"/>
      <c r="AA201" s="571"/>
      <c r="AB201" s="571"/>
      <c r="AC201" s="571"/>
      <c r="AD201" s="571"/>
      <c r="AE201" s="571"/>
      <c r="AF201" s="571"/>
      <c r="AG201" s="571"/>
      <c r="AH201" s="571"/>
      <c r="AI201" s="571"/>
      <c r="AJ201" s="571"/>
      <c r="AK201" s="571"/>
      <c r="AL201" s="571"/>
      <c r="AM201" s="571"/>
      <c r="AN201" s="571"/>
      <c r="AO201" s="571"/>
      <c r="AP201" s="571"/>
      <c r="AQ201" s="2153">
        <f>+'STER Canalyst'!BB552*1000</f>
        <v>33869</v>
      </c>
      <c r="AR201" s="2153">
        <f>+'STER Canalyst'!BC552*1000</f>
        <v>34658</v>
      </c>
      <c r="AS201" s="2153">
        <f>+'STER Canalyst'!BD552*1000</f>
        <v>30782</v>
      </c>
      <c r="AT201" s="2153">
        <v>32348</v>
      </c>
      <c r="AU201" s="2153">
        <v>37729</v>
      </c>
    </row>
    <row r="202" spans="1:49" x14ac:dyDescent="0.25">
      <c r="A202" s="649" t="s">
        <v>881</v>
      </c>
      <c r="C202" s="2153"/>
      <c r="D202" s="2153"/>
      <c r="E202" s="2153"/>
      <c r="F202" s="2159"/>
      <c r="G202" s="2166"/>
      <c r="H202" s="2166"/>
      <c r="I202" s="2166">
        <f>+'STER Canalyst'!U553*1000</f>
        <v>1081.9999999999998</v>
      </c>
      <c r="J202" s="2159">
        <f>+'STER Canalyst'!V553*1000</f>
        <v>-477.99999999999977</v>
      </c>
      <c r="K202" s="2166">
        <f>+'STER Canalyst'!W553*1000</f>
        <v>1075</v>
      </c>
      <c r="L202" s="2166">
        <f>+'STER Canalyst'!X553*1000</f>
        <v>1668</v>
      </c>
      <c r="M202" s="2166">
        <f>+'STER Canalyst'!Y553*1000</f>
        <v>1920.0000000000005</v>
      </c>
      <c r="N202" s="2159">
        <f>+'STER Canalyst'!Z553*1000</f>
        <v>910.99999999999955</v>
      </c>
      <c r="O202" s="2166">
        <f>+'STER Canalyst'!AA553*1000</f>
        <v>4222</v>
      </c>
      <c r="P202" s="2166">
        <f>+'STER Canalyst'!AB553*1000</f>
        <v>5309</v>
      </c>
      <c r="Q202" s="2166">
        <f>+'STER Canalyst'!AC553*1000</f>
        <v>1981.9999999999993</v>
      </c>
      <c r="R202" s="2159">
        <f>+'STER Canalyst'!AD553*1000</f>
        <v>7019</v>
      </c>
      <c r="S202" s="2166">
        <f>+'STER Canalyst'!AE553*1000</f>
        <v>2978</v>
      </c>
      <c r="T202" s="2166">
        <f>+'STER Canalyst'!AF553*1000</f>
        <v>6725</v>
      </c>
      <c r="U202" s="2166">
        <f>+'STER Canalyst'!AG553*1000</f>
        <v>3516</v>
      </c>
      <c r="V202" s="2159">
        <f>+'STER Canalyst'!AH553*1000</f>
        <v>4265.0000000000027</v>
      </c>
      <c r="W202" s="2153">
        <f>+'STER Canalyst'!AI553*1000</f>
        <v>9542</v>
      </c>
      <c r="X202" s="2153">
        <f>+'STER Canalyst'!AJ553*1000</f>
        <v>10071</v>
      </c>
      <c r="Y202" s="2153"/>
      <c r="Z202" s="571"/>
      <c r="AA202" s="571"/>
      <c r="AB202" s="571"/>
      <c r="AC202" s="571"/>
      <c r="AD202" s="571"/>
      <c r="AE202" s="571"/>
      <c r="AF202" s="571"/>
      <c r="AG202" s="571"/>
      <c r="AH202" s="571"/>
      <c r="AI202" s="571"/>
      <c r="AJ202" s="571"/>
      <c r="AK202" s="571"/>
      <c r="AL202" s="571"/>
      <c r="AM202" s="571"/>
      <c r="AN202" s="571"/>
      <c r="AO202" s="571"/>
      <c r="AP202" s="571"/>
      <c r="AQ202" s="2153">
        <f>+'STER Canalyst'!BB553*1000</f>
        <v>6585</v>
      </c>
      <c r="AR202" s="2153">
        <f>+'STER Canalyst'!BC553*1000</f>
        <v>3224</v>
      </c>
      <c r="AS202" s="2153">
        <f>+'STER Canalyst'!BD553*1000</f>
        <v>5574</v>
      </c>
      <c r="AT202" s="2153">
        <v>18532</v>
      </c>
      <c r="AU202" s="2153">
        <v>17484</v>
      </c>
    </row>
    <row r="203" spans="1:49" x14ac:dyDescent="0.25">
      <c r="C203" s="571"/>
      <c r="D203" s="571"/>
      <c r="E203" s="571"/>
      <c r="F203" s="666"/>
      <c r="G203" s="667"/>
      <c r="H203" s="667"/>
      <c r="I203" s="667"/>
      <c r="J203" s="666"/>
      <c r="K203" s="667"/>
      <c r="L203" s="667"/>
      <c r="M203" s="667"/>
      <c r="N203" s="666"/>
      <c r="O203" s="667"/>
      <c r="P203" s="667"/>
      <c r="Q203" s="667"/>
      <c r="R203" s="666"/>
      <c r="S203" s="667"/>
      <c r="T203" s="667"/>
      <c r="U203" s="667"/>
      <c r="V203" s="666"/>
      <c r="W203" s="571"/>
      <c r="X203" s="571"/>
      <c r="Y203" s="571"/>
      <c r="Z203" s="571"/>
      <c r="AA203" s="571"/>
      <c r="AB203" s="571"/>
      <c r="AC203" s="571"/>
      <c r="AD203" s="571"/>
      <c r="AE203" s="571"/>
      <c r="AF203" s="571"/>
      <c r="AG203" s="571"/>
      <c r="AH203" s="571"/>
      <c r="AI203" s="571"/>
      <c r="AJ203" s="571"/>
      <c r="AK203" s="571"/>
      <c r="AL203" s="571"/>
      <c r="AM203" s="571"/>
      <c r="AN203" s="571"/>
      <c r="AO203" s="571"/>
      <c r="AP203" s="571"/>
      <c r="AQ203" s="571"/>
      <c r="AR203" s="571"/>
      <c r="AS203" s="571"/>
      <c r="AT203" s="571"/>
      <c r="AU203" s="571"/>
    </row>
    <row r="204" spans="1:49" x14ac:dyDescent="0.25">
      <c r="C204" s="571"/>
      <c r="D204" s="571"/>
      <c r="E204" s="571"/>
      <c r="F204" s="666"/>
      <c r="G204" s="667"/>
      <c r="H204" s="667"/>
      <c r="I204" s="667"/>
      <c r="J204" s="666"/>
      <c r="K204" s="667"/>
      <c r="L204" s="667"/>
      <c r="M204" s="667"/>
      <c r="N204" s="666"/>
      <c r="O204" s="667"/>
      <c r="P204" s="667"/>
      <c r="Q204" s="667"/>
      <c r="R204" s="666"/>
      <c r="S204" s="667"/>
      <c r="T204" s="667"/>
      <c r="U204" s="667"/>
      <c r="V204" s="666"/>
      <c r="W204" s="571"/>
      <c r="X204" s="571"/>
      <c r="Y204" s="571"/>
      <c r="Z204" s="571"/>
      <c r="AA204" s="571"/>
      <c r="AB204" s="571"/>
      <c r="AC204" s="571"/>
      <c r="AD204" s="571"/>
      <c r="AE204" s="571"/>
      <c r="AF204" s="571"/>
      <c r="AG204" s="571"/>
      <c r="AH204" s="571"/>
      <c r="AI204" s="571"/>
      <c r="AJ204" s="571"/>
      <c r="AK204" s="571"/>
      <c r="AL204" s="571"/>
      <c r="AM204" s="571"/>
      <c r="AN204" s="571"/>
      <c r="AO204" s="571"/>
      <c r="AP204" s="571"/>
      <c r="AQ204" s="571"/>
      <c r="AR204" s="571"/>
      <c r="AS204" s="571"/>
      <c r="AT204" s="571"/>
      <c r="AU204" s="571"/>
    </row>
    <row r="205" spans="1:49" x14ac:dyDescent="0.25">
      <c r="F205" s="407"/>
      <c r="J205" s="407"/>
      <c r="N205" s="407"/>
      <c r="R205" s="407"/>
      <c r="V205" s="407"/>
    </row>
    <row r="206" spans="1:49" x14ac:dyDescent="0.25">
      <c r="F206" s="407"/>
      <c r="J206" s="407"/>
      <c r="N206" s="407"/>
      <c r="R206" s="407"/>
      <c r="V206" s="407"/>
    </row>
    <row r="207" spans="1:49" x14ac:dyDescent="0.25">
      <c r="F207" s="407"/>
      <c r="J207" s="407"/>
      <c r="N207" s="407"/>
      <c r="R207" s="407"/>
      <c r="V207" s="407"/>
    </row>
    <row r="208" spans="1:49" x14ac:dyDescent="0.25">
      <c r="F208" s="407"/>
      <c r="J208" s="407"/>
      <c r="N208" s="407"/>
      <c r="R208" s="407"/>
      <c r="V208" s="407"/>
    </row>
  </sheetData>
  <pageMargins left="0.3" right="0.3" top="0.3" bottom="0.3" header="0.3" footer="0.3"/>
  <pageSetup scale="43" fitToHeight="0" orientation="landscape" r:id="rId1"/>
  <rowBreaks count="2" manualBreakCount="2">
    <brk id="87" max="45" man="1"/>
    <brk id="133" max="45" man="1"/>
  </rowBreaks>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7490C-384B-4B5D-92B7-606559FD0AA9}">
  <sheetPr>
    <pageSetUpPr fitToPage="1"/>
  </sheetPr>
  <dimension ref="A1:BL769"/>
  <sheetViews>
    <sheetView zoomScale="85" zoomScaleNormal="85" workbookViewId="0">
      <pane xSplit="2" ySplit="5" topLeftCell="P117" activePane="bottomRight" state="frozenSplit"/>
      <selection pane="topRight" activeCell="C1" sqref="C1"/>
      <selection pane="bottomLeft" activeCell="A6" sqref="A6"/>
      <selection pane="bottomRight" activeCell="V129" sqref="V129"/>
    </sheetView>
  </sheetViews>
  <sheetFormatPr defaultColWidth="9.1796875" defaultRowHeight="14.5" outlineLevelRow="3" outlineLevelCol="1" x14ac:dyDescent="0.35"/>
  <cols>
    <col min="1" max="1" width="50.7265625" style="1527" customWidth="1"/>
    <col min="2" max="2" width="10.7265625" style="1527" customWidth="1"/>
    <col min="3" max="30" width="9.7265625" style="1527" customWidth="1" outlineLevel="1"/>
    <col min="31" max="43" width="9.7265625" style="1527" customWidth="1"/>
    <col min="44" max="55" width="9.7265625" style="1527" customWidth="1" outlineLevel="1"/>
    <col min="56" max="64" width="9.7265625" style="1527" customWidth="1"/>
    <col min="65" max="16384" width="9.1796875" style="1527"/>
  </cols>
  <sheetData>
    <row r="1" spans="1:64" s="1518" customFormat="1" ht="33.5" x14ac:dyDescent="0.75">
      <c r="A1" s="1514" t="s">
        <v>882</v>
      </c>
      <c r="B1" s="1515"/>
      <c r="C1" s="1515"/>
      <c r="D1" s="1515"/>
      <c r="E1" s="1515"/>
      <c r="F1" s="1515"/>
      <c r="G1" s="1515"/>
      <c r="H1" s="1515"/>
      <c r="I1" s="1515"/>
      <c r="J1" s="1515"/>
      <c r="K1" s="1515"/>
      <c r="L1" s="1515"/>
      <c r="M1" s="1515"/>
      <c r="N1" s="1515"/>
      <c r="O1" s="1515"/>
      <c r="P1" s="1515"/>
      <c r="Q1" s="1515"/>
      <c r="R1" s="1515"/>
      <c r="S1" s="1515"/>
      <c r="T1" s="1515"/>
      <c r="U1" s="1515"/>
      <c r="V1" s="1515"/>
      <c r="W1" s="1515"/>
      <c r="X1" s="1515"/>
      <c r="Y1" s="1515"/>
      <c r="Z1" s="1515"/>
      <c r="AA1" s="1515"/>
      <c r="AB1" s="1515"/>
      <c r="AC1" s="1515"/>
      <c r="AD1" s="1515"/>
      <c r="AE1" s="1515"/>
      <c r="AF1" s="1515"/>
      <c r="AG1" s="1515"/>
      <c r="AH1" s="1515"/>
      <c r="AI1" s="1515"/>
      <c r="AJ1" s="1516"/>
      <c r="AK1" s="1515"/>
      <c r="AL1" s="1515"/>
      <c r="AM1" s="1515"/>
      <c r="AN1" s="1515"/>
      <c r="AO1" s="1515"/>
      <c r="AP1" s="1515"/>
      <c r="AQ1" s="1515"/>
      <c r="AR1" s="1515"/>
      <c r="AS1" s="1515"/>
      <c r="AT1" s="1515"/>
      <c r="AU1" s="1515"/>
      <c r="AV1" s="1515"/>
      <c r="AW1" s="1515"/>
      <c r="AX1" s="1515"/>
      <c r="AY1" s="1515"/>
      <c r="AZ1" s="1515"/>
      <c r="BA1" s="1515"/>
      <c r="BB1" s="1515"/>
      <c r="BC1" s="1515"/>
      <c r="BD1" s="1515"/>
      <c r="BE1" s="1515"/>
      <c r="BF1" s="1516"/>
      <c r="BG1" s="1515"/>
      <c r="BH1" s="1515"/>
      <c r="BI1" s="1515"/>
      <c r="BJ1" s="1515"/>
      <c r="BK1" s="1515"/>
      <c r="BL1" s="1517"/>
    </row>
    <row r="2" spans="1:64" x14ac:dyDescent="0.35">
      <c r="A2" s="1519" t="str">
        <f>CHOOSE(MO.DataSourceIndex,MO.Ticker.Bloomberg,MO.Ticker.CapIQ,MO.Ticker.FactSet,MO.Ticker.Thomson)</f>
        <v>STER US</v>
      </c>
      <c r="B2" s="1520"/>
      <c r="C2" s="1521"/>
      <c r="D2" s="1521"/>
      <c r="E2" s="1521"/>
      <c r="F2" s="1521"/>
      <c r="G2" s="1521"/>
      <c r="H2" s="1521"/>
      <c r="I2" s="1521"/>
      <c r="J2" s="1521"/>
      <c r="K2" s="1521"/>
      <c r="L2" s="1521"/>
      <c r="M2" s="1521"/>
      <c r="N2" s="1521"/>
      <c r="O2" s="1521"/>
      <c r="P2" s="1521"/>
      <c r="Q2" s="1521"/>
      <c r="R2" s="1521"/>
      <c r="S2" s="1522"/>
      <c r="T2" s="1522"/>
      <c r="U2" s="1522"/>
      <c r="V2" s="1522"/>
      <c r="W2" s="1521"/>
      <c r="X2" s="1521"/>
      <c r="Y2" s="1521"/>
      <c r="Z2" s="1522"/>
      <c r="AA2" s="1521"/>
      <c r="AB2" s="1521"/>
      <c r="AC2" s="1521"/>
      <c r="AD2" s="1522"/>
      <c r="AE2" s="1521"/>
      <c r="AF2" s="1521"/>
      <c r="AG2" s="1521"/>
      <c r="AH2" s="1522"/>
      <c r="AI2" s="1521"/>
      <c r="AJ2" s="1523"/>
      <c r="AK2" s="1521"/>
      <c r="AL2" s="1521"/>
      <c r="AM2" s="1521"/>
      <c r="AN2" s="1521"/>
      <c r="AO2" s="1521"/>
      <c r="AP2" s="1521"/>
      <c r="AQ2" s="1521"/>
      <c r="AR2" s="1524">
        <f>EOMONTH(AR4,-12)</f>
        <v>39813</v>
      </c>
      <c r="AS2" s="1521"/>
      <c r="AT2" s="1521"/>
      <c r="AU2" s="1521"/>
      <c r="AV2" s="1521"/>
      <c r="AW2" s="1521"/>
      <c r="AX2" s="1521"/>
      <c r="AY2" s="1521"/>
      <c r="AZ2" s="1521"/>
      <c r="BA2" s="1521"/>
      <c r="BB2" s="1521"/>
      <c r="BC2" s="1522"/>
      <c r="BD2" s="1522"/>
      <c r="BE2" s="1522"/>
      <c r="BF2" s="1525"/>
      <c r="BG2" s="1521"/>
      <c r="BH2" s="1521"/>
      <c r="BI2" s="1521"/>
      <c r="BJ2" s="1521"/>
      <c r="BK2" s="1521"/>
      <c r="BL2" s="1526"/>
    </row>
    <row r="3" spans="1:64" s="1537" customFormat="1" x14ac:dyDescent="0.35">
      <c r="A3" s="1528" t="str">
        <f ca="1">HP.TradeCurrency</f>
        <v>USD</v>
      </c>
      <c r="B3" s="1529">
        <f ca="1">IF(MO.RealTime="OFF",MO.LastPriceHardcoded,MO.LastPriceFormula)</f>
        <v>15.35</v>
      </c>
      <c r="C3" s="1530">
        <f>C4-AX4</f>
        <v>91</v>
      </c>
      <c r="D3" s="1530">
        <f>D4-C4</f>
        <v>91</v>
      </c>
      <c r="E3" s="1530">
        <f>E4-D4</f>
        <v>92</v>
      </c>
      <c r="F3" s="1530">
        <f>F4-E4</f>
        <v>92</v>
      </c>
      <c r="G3" s="1530">
        <f>G4-AY4</f>
        <v>90</v>
      </c>
      <c r="H3" s="1530">
        <f>H4-G4</f>
        <v>91</v>
      </c>
      <c r="I3" s="1530">
        <f>I4-H4</f>
        <v>92</v>
      </c>
      <c r="J3" s="1530">
        <f>J4-I4</f>
        <v>92</v>
      </c>
      <c r="K3" s="1530">
        <f>K4-AZ4</f>
        <v>90</v>
      </c>
      <c r="L3" s="1530">
        <f>L4-K4</f>
        <v>91</v>
      </c>
      <c r="M3" s="1530">
        <f>M4-L4</f>
        <v>92</v>
      </c>
      <c r="N3" s="1530">
        <f>N4-M4</f>
        <v>92</v>
      </c>
      <c r="O3" s="1530">
        <f>O4-BA4</f>
        <v>90</v>
      </c>
      <c r="P3" s="1530">
        <f>P4-O4</f>
        <v>91</v>
      </c>
      <c r="Q3" s="1530">
        <f>Q4-P4</f>
        <v>92</v>
      </c>
      <c r="R3" s="1530">
        <f>R4-Q4</f>
        <v>92</v>
      </c>
      <c r="S3" s="1530">
        <f>S4-BB4</f>
        <v>91</v>
      </c>
      <c r="T3" s="1530">
        <f>T4-S4</f>
        <v>91</v>
      </c>
      <c r="U3" s="1530">
        <f>U4-T4</f>
        <v>92</v>
      </c>
      <c r="V3" s="1530">
        <f>V4-U4</f>
        <v>92</v>
      </c>
      <c r="W3" s="1530">
        <f>W4-BC4</f>
        <v>90</v>
      </c>
      <c r="X3" s="1530">
        <f>X4-W4</f>
        <v>91</v>
      </c>
      <c r="Y3" s="1530">
        <f>Y4-X4</f>
        <v>92</v>
      </c>
      <c r="Z3" s="1530">
        <f>Z4-Y4</f>
        <v>92</v>
      </c>
      <c r="AA3" s="1530">
        <f>AA4-BD4</f>
        <v>90</v>
      </c>
      <c r="AB3" s="1530">
        <f>AB4-AA4</f>
        <v>91</v>
      </c>
      <c r="AC3" s="1530">
        <f>AC4-AB4</f>
        <v>92</v>
      </c>
      <c r="AD3" s="1530">
        <f>AD4-AC4</f>
        <v>92</v>
      </c>
      <c r="AE3" s="1530">
        <f>AE4-BE4</f>
        <v>90</v>
      </c>
      <c r="AF3" s="1530">
        <f>AF4-AE4</f>
        <v>91</v>
      </c>
      <c r="AG3" s="1530">
        <f>AG4-AF4</f>
        <v>92</v>
      </c>
      <c r="AH3" s="1530">
        <f>AH4-AG4</f>
        <v>92</v>
      </c>
      <c r="AI3" s="1530">
        <f>AI4-BF4</f>
        <v>91</v>
      </c>
      <c r="AJ3" s="1531">
        <f>AJ4-AI4</f>
        <v>91</v>
      </c>
      <c r="AK3" s="1532">
        <f>AK4-AJ4</f>
        <v>92</v>
      </c>
      <c r="AL3" s="1532">
        <f>AL4-AK4</f>
        <v>92</v>
      </c>
      <c r="AM3" s="1532">
        <f>AM4-BG4</f>
        <v>90</v>
      </c>
      <c r="AN3" s="1532">
        <f>AN4-AM4</f>
        <v>91</v>
      </c>
      <c r="AO3" s="1532">
        <f>AO4-AN4</f>
        <v>92</v>
      </c>
      <c r="AP3" s="1532">
        <f>AP4-AO4</f>
        <v>92</v>
      </c>
      <c r="AQ3" s="1532"/>
      <c r="AR3" s="1533">
        <f>AR4-AR2</f>
        <v>365</v>
      </c>
      <c r="AS3" s="1533">
        <f t="shared" ref="AS3:BK3" si="0">AS4-AR4</f>
        <v>365</v>
      </c>
      <c r="AT3" s="1533">
        <f t="shared" si="0"/>
        <v>365</v>
      </c>
      <c r="AU3" s="1533">
        <f t="shared" si="0"/>
        <v>366</v>
      </c>
      <c r="AV3" s="1533">
        <f t="shared" si="0"/>
        <v>365</v>
      </c>
      <c r="AW3" s="1533">
        <f t="shared" si="0"/>
        <v>365</v>
      </c>
      <c r="AX3" s="1533">
        <f t="shared" si="0"/>
        <v>365</v>
      </c>
      <c r="AY3" s="1533">
        <f t="shared" si="0"/>
        <v>366</v>
      </c>
      <c r="AZ3" s="1533">
        <f t="shared" si="0"/>
        <v>365</v>
      </c>
      <c r="BA3" s="1533">
        <f t="shared" si="0"/>
        <v>365</v>
      </c>
      <c r="BB3" s="1533">
        <f t="shared" si="0"/>
        <v>365</v>
      </c>
      <c r="BC3" s="1533">
        <f t="shared" si="0"/>
        <v>366</v>
      </c>
      <c r="BD3" s="1533">
        <f t="shared" si="0"/>
        <v>365</v>
      </c>
      <c r="BE3" s="1533">
        <f t="shared" si="0"/>
        <v>365</v>
      </c>
      <c r="BF3" s="1534">
        <f t="shared" si="0"/>
        <v>365</v>
      </c>
      <c r="BG3" s="1535">
        <f t="shared" si="0"/>
        <v>366</v>
      </c>
      <c r="BH3" s="1535">
        <f t="shared" si="0"/>
        <v>365</v>
      </c>
      <c r="BI3" s="1535">
        <f t="shared" si="0"/>
        <v>365</v>
      </c>
      <c r="BJ3" s="1535">
        <f t="shared" si="0"/>
        <v>365</v>
      </c>
      <c r="BK3" s="1535">
        <f t="shared" si="0"/>
        <v>366</v>
      </c>
      <c r="BL3" s="1536"/>
    </row>
    <row r="4" spans="1:64" x14ac:dyDescent="0.35">
      <c r="A4" s="1538" t="str">
        <f>FP.DataSourceName</f>
        <v>Bloomberg</v>
      </c>
      <c r="B4" s="1539" t="str">
        <f ca="1">IF(AND(MO.RealTimeStockPriceToggle,MO.LastPriceFormula&lt;&gt;"N/A"),"ON","OFF")</f>
        <v>OFF</v>
      </c>
      <c r="C4" s="1540">
        <f>EOMONTH(AX4,3)</f>
        <v>42460</v>
      </c>
      <c r="D4" s="1541">
        <f>EOMONTH(C4,3)</f>
        <v>42551</v>
      </c>
      <c r="E4" s="1540">
        <f>EOMONTH(D4,3)</f>
        <v>42643</v>
      </c>
      <c r="F4" s="1540">
        <f>EOMONTH(E4,3)</f>
        <v>42735</v>
      </c>
      <c r="G4" s="1540">
        <f>EOMONTH(AY4,3)</f>
        <v>42825</v>
      </c>
      <c r="H4" s="1541">
        <f>EOMONTH(G4,3)</f>
        <v>42916</v>
      </c>
      <c r="I4" s="1540">
        <f>EOMONTH(H4,3)</f>
        <v>43008</v>
      </c>
      <c r="J4" s="1540">
        <f>EOMONTH(I4,3)</f>
        <v>43100</v>
      </c>
      <c r="K4" s="1540">
        <f>EOMONTH(AZ4,3)</f>
        <v>43190</v>
      </c>
      <c r="L4" s="1541">
        <f>EOMONTH(K4,3)</f>
        <v>43281</v>
      </c>
      <c r="M4" s="1540">
        <f>EOMONTH(L4,3)</f>
        <v>43373</v>
      </c>
      <c r="N4" s="1540">
        <f>EOMONTH(M4,3)</f>
        <v>43465</v>
      </c>
      <c r="O4" s="1540">
        <f>EOMONTH(BA4,3)</f>
        <v>43555</v>
      </c>
      <c r="P4" s="1541">
        <f>EOMONTH(O4,3)</f>
        <v>43646</v>
      </c>
      <c r="Q4" s="1540">
        <f>EOMONTH(P4,3)</f>
        <v>43738</v>
      </c>
      <c r="R4" s="1540">
        <f>EOMONTH(Q4,3)</f>
        <v>43830</v>
      </c>
      <c r="S4" s="1540">
        <f>EOMONTH(BB4,3)</f>
        <v>43921</v>
      </c>
      <c r="T4" s="1541">
        <f>EOMONTH(S4,3)</f>
        <v>44012</v>
      </c>
      <c r="U4" s="1540">
        <f>EOMONTH(T4,3)</f>
        <v>44104</v>
      </c>
      <c r="V4" s="1540">
        <f>EOMONTH(U4,3)</f>
        <v>44196</v>
      </c>
      <c r="W4" s="1540">
        <f>EOMONTH(BC4,3)</f>
        <v>44286</v>
      </c>
      <c r="X4" s="1541">
        <f>EOMONTH(W4,3)</f>
        <v>44377</v>
      </c>
      <c r="Y4" s="1540">
        <f>EOMONTH(X4,3)</f>
        <v>44469</v>
      </c>
      <c r="Z4" s="1540">
        <f>EOMONTH(Y4,3)</f>
        <v>44561</v>
      </c>
      <c r="AA4" s="1540">
        <f>EOMONTH(BD4,3)</f>
        <v>44651</v>
      </c>
      <c r="AB4" s="1541">
        <f>EOMONTH(AA4,3)</f>
        <v>44742</v>
      </c>
      <c r="AC4" s="1540">
        <f>EOMONTH(AB4,3)</f>
        <v>44834</v>
      </c>
      <c r="AD4" s="1540">
        <f>EOMONTH(AC4,3)</f>
        <v>44926</v>
      </c>
      <c r="AE4" s="1540">
        <f>EOMONTH(BE4,3)</f>
        <v>45016</v>
      </c>
      <c r="AF4" s="1541">
        <f>EOMONTH(AE4,3)</f>
        <v>45107</v>
      </c>
      <c r="AG4" s="1540">
        <f>EOMONTH(AF4,3)</f>
        <v>45199</v>
      </c>
      <c r="AH4" s="1540">
        <f>EOMONTH(AG4,3)</f>
        <v>45291</v>
      </c>
      <c r="AI4" s="1540">
        <f>EOMONTH(BF4,3)</f>
        <v>45382</v>
      </c>
      <c r="AJ4" s="1542">
        <f>EOMONTH(AI4,3)</f>
        <v>45473</v>
      </c>
      <c r="AK4" s="1540">
        <f>EOMONTH(AJ4,3)</f>
        <v>45565</v>
      </c>
      <c r="AL4" s="1540">
        <f>EOMONTH(AK4,3)</f>
        <v>45657</v>
      </c>
      <c r="AM4" s="1540">
        <f>EOMONTH(BG4,3)</f>
        <v>45747</v>
      </c>
      <c r="AN4" s="1540">
        <f>EOMONTH(AM4,3)</f>
        <v>45838</v>
      </c>
      <c r="AO4" s="1540">
        <f>EOMONTH(AN4,3)</f>
        <v>45930</v>
      </c>
      <c r="AP4" s="1540">
        <f>EOMONTH(AO4,3)</f>
        <v>46022</v>
      </c>
      <c r="AQ4" s="1540"/>
      <c r="AR4" s="1543">
        <v>40178</v>
      </c>
      <c r="AS4" s="1544">
        <f t="shared" ref="AS4:AX4" si="1">EOMONTH(AR4,12)</f>
        <v>40543</v>
      </c>
      <c r="AT4" s="1544">
        <f t="shared" si="1"/>
        <v>40908</v>
      </c>
      <c r="AU4" s="1544">
        <f t="shared" si="1"/>
        <v>41274</v>
      </c>
      <c r="AV4" s="1544">
        <f t="shared" si="1"/>
        <v>41639</v>
      </c>
      <c r="AW4" s="1544">
        <f t="shared" si="1"/>
        <v>42004</v>
      </c>
      <c r="AX4" s="1544">
        <f t="shared" si="1"/>
        <v>42369</v>
      </c>
      <c r="AY4" s="1544">
        <f>F4</f>
        <v>42735</v>
      </c>
      <c r="AZ4" s="1544">
        <f>J4</f>
        <v>43100</v>
      </c>
      <c r="BA4" s="1544">
        <f>N4</f>
        <v>43465</v>
      </c>
      <c r="BB4" s="1544">
        <f>R4</f>
        <v>43830</v>
      </c>
      <c r="BC4" s="1544">
        <f>V4</f>
        <v>44196</v>
      </c>
      <c r="BD4" s="1544">
        <f>Z4</f>
        <v>44561</v>
      </c>
      <c r="BE4" s="1544">
        <f>AD4</f>
        <v>44926</v>
      </c>
      <c r="BF4" s="1545">
        <f>AH4</f>
        <v>45291</v>
      </c>
      <c r="BG4" s="1544">
        <f>AL4</f>
        <v>45657</v>
      </c>
      <c r="BH4" s="1544">
        <f>AP4</f>
        <v>46022</v>
      </c>
      <c r="BI4" s="1544">
        <f>EOMONTH(BH4,12)</f>
        <v>46387</v>
      </c>
      <c r="BJ4" s="1544">
        <f>EOMONTH(BI4,12)</f>
        <v>46752</v>
      </c>
      <c r="BK4" s="1544">
        <f>EOMONTH(BJ4,12)</f>
        <v>47118</v>
      </c>
      <c r="BL4" s="1526"/>
    </row>
    <row r="5" spans="1:64" x14ac:dyDescent="0.35">
      <c r="A5" s="1546" t="str">
        <f>MO.ReportCurrency</f>
        <v>USD</v>
      </c>
      <c r="B5" s="1547"/>
      <c r="C5" s="1548" t="str">
        <f>CONCATENATE("Q1","-",RIGHT(AX5,4)+1)</f>
        <v>Q1-2016</v>
      </c>
      <c r="D5" s="1549" t="str">
        <f>CONCATENATE("Q2","-",RIGHT(C5,4))</f>
        <v>Q2-2016</v>
      </c>
      <c r="E5" s="1548" t="str">
        <f>CONCATENATE("Q3","-",RIGHT(D5,4))</f>
        <v>Q3-2016</v>
      </c>
      <c r="F5" s="1548" t="str">
        <f>CONCATENATE("Q4","-",RIGHT(E5,4))</f>
        <v>Q4-2016</v>
      </c>
      <c r="G5" s="1548" t="str">
        <f>CONCATENATE("Q1","-",RIGHT(AY5,4)+1)</f>
        <v>Q1-2017</v>
      </c>
      <c r="H5" s="1549" t="str">
        <f>CONCATENATE("Q2","-",RIGHT(G5,4))</f>
        <v>Q2-2017</v>
      </c>
      <c r="I5" s="1548" t="str">
        <f>CONCATENATE("Q3","-",RIGHT(H5,4))</f>
        <v>Q3-2017</v>
      </c>
      <c r="J5" s="1548" t="str">
        <f>CONCATENATE("Q4","-",RIGHT(I5,4))</f>
        <v>Q4-2017</v>
      </c>
      <c r="K5" s="1548" t="str">
        <f>CONCATENATE("Q1","-",RIGHT(AZ5,4)+1)</f>
        <v>Q1-2018</v>
      </c>
      <c r="L5" s="1549" t="str">
        <f>CONCATENATE("Q2","-",RIGHT(K5,4))</f>
        <v>Q2-2018</v>
      </c>
      <c r="M5" s="1548" t="str">
        <f>CONCATENATE("Q3","-",RIGHT(L5,4))</f>
        <v>Q3-2018</v>
      </c>
      <c r="N5" s="1548" t="str">
        <f>CONCATENATE("Q4","-",RIGHT(M5,4))</f>
        <v>Q4-2018</v>
      </c>
      <c r="O5" s="1548" t="str">
        <f>CONCATENATE("Q1","-",RIGHT(BA5,4)+1)</f>
        <v>Q1-2019</v>
      </c>
      <c r="P5" s="1549" t="str">
        <f>CONCATENATE("Q2","-",RIGHT(O5,4))</f>
        <v>Q2-2019</v>
      </c>
      <c r="Q5" s="1548" t="str">
        <f>CONCATENATE("Q3","-",RIGHT(P5,4))</f>
        <v>Q3-2019</v>
      </c>
      <c r="R5" s="1548" t="str">
        <f>CONCATENATE("Q4","-",RIGHT(Q5,4))</f>
        <v>Q4-2019</v>
      </c>
      <c r="S5" s="1548" t="str">
        <f>CONCATENATE("Q1","-",RIGHT(BB5,4)+1)</f>
        <v>Q1-2020</v>
      </c>
      <c r="T5" s="1549" t="str">
        <f>CONCATENATE("Q2","-",RIGHT(S5,4))</f>
        <v>Q2-2020</v>
      </c>
      <c r="U5" s="1548" t="str">
        <f>CONCATENATE("Q3","-",RIGHT(T5,4))</f>
        <v>Q3-2020</v>
      </c>
      <c r="V5" s="1548" t="str">
        <f>CONCATENATE("Q4","-",RIGHT(U5,4))</f>
        <v>Q4-2020</v>
      </c>
      <c r="W5" s="1548" t="str">
        <f>CONCATENATE("Q1","-",RIGHT(BC5,4)+1)</f>
        <v>Q1-2021</v>
      </c>
      <c r="X5" s="1549" t="str">
        <f>CONCATENATE("Q2","-",RIGHT(W5,4))</f>
        <v>Q2-2021</v>
      </c>
      <c r="Y5" s="1548" t="str">
        <f>CONCATENATE("Q3","-",RIGHT(X5,4))</f>
        <v>Q3-2021</v>
      </c>
      <c r="Z5" s="1548" t="str">
        <f>CONCATENATE("Q4","-",RIGHT(Y5,4))</f>
        <v>Q4-2021</v>
      </c>
      <c r="AA5" s="1548" t="str">
        <f>CONCATENATE("Q1","-",RIGHT(BD5,4)+1)</f>
        <v>Q1-2022</v>
      </c>
      <c r="AB5" s="1549" t="str">
        <f>CONCATENATE("Q2","-",RIGHT(AA5,4))</f>
        <v>Q2-2022</v>
      </c>
      <c r="AC5" s="1548" t="str">
        <f>CONCATENATE("Q3","-",RIGHT(AB5,4))</f>
        <v>Q3-2022</v>
      </c>
      <c r="AD5" s="1548" t="str">
        <f>CONCATENATE("Q4","-",RIGHT(AC5,4))</f>
        <v>Q4-2022</v>
      </c>
      <c r="AE5" s="1548" t="str">
        <f>CONCATENATE("Q1","-",RIGHT(BE5,4)+1)</f>
        <v>Q1-2023</v>
      </c>
      <c r="AF5" s="1549" t="str">
        <f>CONCATENATE("Q2","-",RIGHT(AE5,4))</f>
        <v>Q2-2023</v>
      </c>
      <c r="AG5" s="1548" t="str">
        <f>CONCATENATE("Q3","-",RIGHT(AF5,4))</f>
        <v>Q3-2023</v>
      </c>
      <c r="AH5" s="1548" t="str">
        <f>CONCATENATE("Q4","-",RIGHT(AG5,4))</f>
        <v>Q4-2023</v>
      </c>
      <c r="AI5" s="1548" t="str">
        <f>CONCATENATE("Q1","-",RIGHT(BF5,4)+1)</f>
        <v>Q1-2024</v>
      </c>
      <c r="AJ5" s="1550" t="str">
        <f>CONCATENATE("Q2","-",RIGHT(AI5,4))</f>
        <v>Q2-2024</v>
      </c>
      <c r="AK5" s="1548" t="str">
        <f>CONCATENATE("Q3","-",RIGHT(AJ5,4))</f>
        <v>Q3-2024</v>
      </c>
      <c r="AL5" s="1548" t="str">
        <f>CONCATENATE("Q4","-",RIGHT(AK5,4))</f>
        <v>Q4-2024</v>
      </c>
      <c r="AM5" s="1548" t="str">
        <f>CONCATENATE("Q1","-",RIGHT(BG5,4)+1)</f>
        <v>Q1-2025</v>
      </c>
      <c r="AN5" s="1548" t="str">
        <f>CONCATENATE("Q2","-",RIGHT(AM5,4))</f>
        <v>Q2-2025</v>
      </c>
      <c r="AO5" s="1548" t="str">
        <f>CONCATENATE("Q3","-",RIGHT(AN5,4))</f>
        <v>Q3-2025</v>
      </c>
      <c r="AP5" s="1548" t="str">
        <f>CONCATENATE("Q4","-",RIGHT(AO5,4))</f>
        <v>Q4-2025</v>
      </c>
      <c r="AQ5" s="1548"/>
      <c r="AR5" s="1551" t="s">
        <v>883</v>
      </c>
      <c r="AS5" s="1552" t="str">
        <f t="shared" ref="AS5:BK5" si="2">CONCATENATE("FY",RIGHT(AR5,4)+1)</f>
        <v>FY2010</v>
      </c>
      <c r="AT5" s="1552" t="str">
        <f t="shared" si="2"/>
        <v>FY2011</v>
      </c>
      <c r="AU5" s="1552" t="str">
        <f t="shared" si="2"/>
        <v>FY2012</v>
      </c>
      <c r="AV5" s="1552" t="str">
        <f t="shared" si="2"/>
        <v>FY2013</v>
      </c>
      <c r="AW5" s="1552" t="str">
        <f t="shared" si="2"/>
        <v>FY2014</v>
      </c>
      <c r="AX5" s="1552" t="str">
        <f t="shared" si="2"/>
        <v>FY2015</v>
      </c>
      <c r="AY5" s="1552" t="str">
        <f t="shared" si="2"/>
        <v>FY2016</v>
      </c>
      <c r="AZ5" s="1552" t="str">
        <f t="shared" si="2"/>
        <v>FY2017</v>
      </c>
      <c r="BA5" s="1552" t="str">
        <f t="shared" si="2"/>
        <v>FY2018</v>
      </c>
      <c r="BB5" s="1552" t="str">
        <f t="shared" si="2"/>
        <v>FY2019</v>
      </c>
      <c r="BC5" s="1552" t="str">
        <f t="shared" si="2"/>
        <v>FY2020</v>
      </c>
      <c r="BD5" s="1552" t="str">
        <f t="shared" si="2"/>
        <v>FY2021</v>
      </c>
      <c r="BE5" s="1552" t="str">
        <f t="shared" si="2"/>
        <v>FY2022</v>
      </c>
      <c r="BF5" s="1553" t="str">
        <f t="shared" si="2"/>
        <v>FY2023</v>
      </c>
      <c r="BG5" s="1552" t="str">
        <f t="shared" si="2"/>
        <v>FY2024</v>
      </c>
      <c r="BH5" s="1552" t="str">
        <f t="shared" si="2"/>
        <v>FY2025</v>
      </c>
      <c r="BI5" s="1552" t="str">
        <f t="shared" si="2"/>
        <v>FY2026</v>
      </c>
      <c r="BJ5" s="1552" t="str">
        <f t="shared" si="2"/>
        <v>FY2027</v>
      </c>
      <c r="BK5" s="1552" t="str">
        <f t="shared" si="2"/>
        <v>FY2028</v>
      </c>
      <c r="BL5" s="1526"/>
    </row>
    <row r="6" spans="1:64" s="1560" customFormat="1" x14ac:dyDescent="0.35">
      <c r="A6" s="1554" t="s">
        <v>884</v>
      </c>
      <c r="B6" s="1555"/>
      <c r="C6" s="1555"/>
      <c r="D6" s="1555"/>
      <c r="E6" s="1555"/>
      <c r="F6" s="1555"/>
      <c r="G6" s="1555"/>
      <c r="H6" s="1555"/>
      <c r="I6" s="1555"/>
      <c r="J6" s="1555"/>
      <c r="K6" s="1555"/>
      <c r="L6" s="1555"/>
      <c r="M6" s="1555"/>
      <c r="N6" s="1555"/>
      <c r="O6" s="1555"/>
      <c r="P6" s="1555"/>
      <c r="Q6" s="1555"/>
      <c r="R6" s="1555"/>
      <c r="S6" s="1555"/>
      <c r="T6" s="1555"/>
      <c r="U6" s="1555"/>
      <c r="V6" s="1555"/>
      <c r="W6" s="1555"/>
      <c r="X6" s="1555"/>
      <c r="Y6" s="1555"/>
      <c r="Z6" s="1556"/>
      <c r="AA6" s="1555"/>
      <c r="AB6" s="1555"/>
      <c r="AC6" s="1555"/>
      <c r="AD6" s="1556"/>
      <c r="AE6" s="1555"/>
      <c r="AF6" s="1555"/>
      <c r="AG6" s="1555"/>
      <c r="AH6" s="1556"/>
      <c r="AI6" s="1555"/>
      <c r="AJ6" s="1557"/>
      <c r="AK6" s="1555"/>
      <c r="AL6" s="1555"/>
      <c r="AM6" s="1555"/>
      <c r="AN6" s="1555"/>
      <c r="AO6" s="1555"/>
      <c r="AP6" s="1555"/>
      <c r="AQ6" s="1555"/>
      <c r="AR6" s="1555"/>
      <c r="AS6" s="1555"/>
      <c r="AT6" s="1555"/>
      <c r="AU6" s="1555"/>
      <c r="AV6" s="1555"/>
      <c r="AW6" s="1555"/>
      <c r="AX6" s="1555"/>
      <c r="AY6" s="1555"/>
      <c r="AZ6" s="1555"/>
      <c r="BA6" s="1555"/>
      <c r="BB6" s="1555"/>
      <c r="BC6" s="1555"/>
      <c r="BD6" s="1556"/>
      <c r="BE6" s="1556"/>
      <c r="BF6" s="1558"/>
      <c r="BG6" s="1555"/>
      <c r="BH6" s="1555"/>
      <c r="BI6" s="1555"/>
      <c r="BJ6" s="1555"/>
      <c r="BK6" s="1555"/>
      <c r="BL6" s="1559"/>
    </row>
    <row r="7" spans="1:64" s="1560" customFormat="1" x14ac:dyDescent="0.35">
      <c r="A7" s="1561" t="s">
        <v>885</v>
      </c>
      <c r="B7" s="1562"/>
      <c r="C7" s="1563"/>
      <c r="D7" s="1563"/>
      <c r="E7" s="1563"/>
      <c r="F7" s="1563"/>
      <c r="G7" s="1563"/>
      <c r="H7" s="1563"/>
      <c r="I7" s="1563"/>
      <c r="J7" s="1563"/>
      <c r="K7" s="1563"/>
      <c r="L7" s="1563"/>
      <c r="M7" s="1563"/>
      <c r="N7" s="1563"/>
      <c r="O7" s="1563"/>
      <c r="P7" s="1563"/>
      <c r="Q7" s="1563"/>
      <c r="R7" s="1563"/>
      <c r="S7" s="1563"/>
      <c r="T7" s="1563"/>
      <c r="U7" s="1563"/>
      <c r="V7" s="1563"/>
      <c r="W7" s="1563"/>
      <c r="X7" s="1563"/>
      <c r="Y7" s="1563">
        <f t="shared" ref="Y7:AJ8" si="3">Y16/U16-1</f>
        <v>0.44757679709060905</v>
      </c>
      <c r="Z7" s="1563">
        <f t="shared" si="3"/>
        <v>0.35423574335685237</v>
      </c>
      <c r="AA7" s="1563">
        <f t="shared" si="3"/>
        <v>0.38291219963704992</v>
      </c>
      <c r="AB7" s="1563">
        <f t="shared" si="3"/>
        <v>0.29142828243237284</v>
      </c>
      <c r="AC7" s="1563">
        <f t="shared" si="3"/>
        <v>0.17519540066044237</v>
      </c>
      <c r="AD7" s="1563">
        <f t="shared" si="3"/>
        <v>-2.1617670095556374E-2</v>
      </c>
      <c r="AE7" s="1563">
        <f t="shared" si="3"/>
        <v>-6.7863692897948802E-2</v>
      </c>
      <c r="AF7" s="1563">
        <f t="shared" si="3"/>
        <v>-7.6521671023389248E-2</v>
      </c>
      <c r="AG7" s="1563">
        <f t="shared" si="3"/>
        <v>-9.6330924344266489E-2</v>
      </c>
      <c r="AH7" s="1563">
        <f t="shared" si="3"/>
        <v>-4.8092603464330308E-3</v>
      </c>
      <c r="AI7" s="1563">
        <f t="shared" si="3"/>
        <v>3.475979668798157E-2</v>
      </c>
      <c r="AJ7" s="1564">
        <f t="shared" si="3"/>
        <v>5.5239862178637633E-2</v>
      </c>
      <c r="AK7" s="1563"/>
      <c r="AL7" s="1563"/>
      <c r="AM7" s="1563"/>
      <c r="AN7" s="1563"/>
      <c r="AO7" s="1563"/>
      <c r="AP7" s="1563"/>
      <c r="AQ7" s="1563"/>
      <c r="AR7" s="1565"/>
      <c r="AS7" s="1565"/>
      <c r="AT7" s="1565"/>
      <c r="AU7" s="1565"/>
      <c r="AV7" s="1565"/>
      <c r="AW7" s="1565"/>
      <c r="AX7" s="1565"/>
      <c r="AY7" s="1565"/>
      <c r="AZ7" s="1565"/>
      <c r="BA7" s="1565"/>
      <c r="BB7" s="1565"/>
      <c r="BC7" s="1566">
        <f t="shared" ref="BC7:BF8" si="4">BC16/BB16-1</f>
        <v>-8.3969934038963023E-2</v>
      </c>
      <c r="BD7" s="1565">
        <f t="shared" si="4"/>
        <v>0.42032955991694032</v>
      </c>
      <c r="BE7" s="1565">
        <f t="shared" si="4"/>
        <v>0.19557538400592334</v>
      </c>
      <c r="BF7" s="1567">
        <f t="shared" si="4"/>
        <v>-6.3614596605275464E-2</v>
      </c>
      <c r="BG7" s="1565"/>
      <c r="BH7" s="1565"/>
      <c r="BI7" s="1565"/>
      <c r="BJ7" s="1565"/>
      <c r="BK7" s="1565"/>
      <c r="BL7" s="1559"/>
    </row>
    <row r="8" spans="1:64" s="1560" customFormat="1" x14ac:dyDescent="0.35">
      <c r="A8" s="1561" t="s">
        <v>886</v>
      </c>
      <c r="B8" s="1562"/>
      <c r="C8" s="1563"/>
      <c r="D8" s="1563"/>
      <c r="E8" s="1563"/>
      <c r="F8" s="1563"/>
      <c r="G8" s="1563"/>
      <c r="H8" s="1563"/>
      <c r="I8" s="1563"/>
      <c r="J8" s="1563"/>
      <c r="K8" s="1563"/>
      <c r="L8" s="1563"/>
      <c r="M8" s="1563"/>
      <c r="N8" s="1563"/>
      <c r="O8" s="1563"/>
      <c r="P8" s="1563"/>
      <c r="Q8" s="1563"/>
      <c r="R8" s="1563"/>
      <c r="S8" s="1563"/>
      <c r="T8" s="1563"/>
      <c r="U8" s="1563"/>
      <c r="V8" s="1563"/>
      <c r="W8" s="1563"/>
      <c r="X8" s="1563"/>
      <c r="Y8" s="1563">
        <f t="shared" si="3"/>
        <v>-8.068269976726139E-2</v>
      </c>
      <c r="Z8" s="1563">
        <f t="shared" si="3"/>
        <v>3.3360455655004451E-2</v>
      </c>
      <c r="AA8" s="1563">
        <f t="shared" si="3"/>
        <v>2.9153169828783021E-2</v>
      </c>
      <c r="AB8" s="1563">
        <f t="shared" si="3"/>
        <v>0.14323144104803487</v>
      </c>
      <c r="AC8" s="1563">
        <f t="shared" si="3"/>
        <v>0.20590717299578065</v>
      </c>
      <c r="AD8" s="1563">
        <f t="shared" si="3"/>
        <v>1.3385826771652454E-2</v>
      </c>
      <c r="AE8" s="1563">
        <f t="shared" si="3"/>
        <v>8.0485611510791255E-2</v>
      </c>
      <c r="AF8" s="1563">
        <f t="shared" si="3"/>
        <v>0.32467532467532467</v>
      </c>
      <c r="AG8" s="1563">
        <f t="shared" si="3"/>
        <v>0.22953114065780245</v>
      </c>
      <c r="AH8" s="1563">
        <f t="shared" si="3"/>
        <v>0.23853923853923975</v>
      </c>
      <c r="AI8" s="1563">
        <f t="shared" si="3"/>
        <v>0.24011652101539749</v>
      </c>
      <c r="AJ8" s="1564">
        <f t="shared" si="3"/>
        <v>-0.15974625144175314</v>
      </c>
      <c r="AK8" s="1563"/>
      <c r="AL8" s="1563"/>
      <c r="AM8" s="1563"/>
      <c r="AN8" s="1563"/>
      <c r="AO8" s="1563"/>
      <c r="AP8" s="1563"/>
      <c r="AQ8" s="1563"/>
      <c r="AR8" s="1565"/>
      <c r="AS8" s="1565"/>
      <c r="AT8" s="1565"/>
      <c r="AU8" s="1565"/>
      <c r="AV8" s="1565"/>
      <c r="AW8" s="1565"/>
      <c r="AX8" s="1565"/>
      <c r="AY8" s="1565"/>
      <c r="AZ8" s="1565"/>
      <c r="BA8" s="1565"/>
      <c r="BB8" s="1565"/>
      <c r="BC8" s="1566">
        <f t="shared" si="4"/>
        <v>-0.24514711268465395</v>
      </c>
      <c r="BD8" s="1565">
        <f t="shared" si="4"/>
        <v>-6.8251657771308372E-2</v>
      </c>
      <c r="BE8" s="1565">
        <f t="shared" si="4"/>
        <v>8.4707516056240051E-2</v>
      </c>
      <c r="BF8" s="1567">
        <f t="shared" si="4"/>
        <v>0.19827172347575628</v>
      </c>
      <c r="BG8" s="1565"/>
      <c r="BH8" s="1565"/>
      <c r="BI8" s="1565"/>
      <c r="BJ8" s="1565"/>
      <c r="BK8" s="1565"/>
      <c r="BL8" s="1559"/>
    </row>
    <row r="9" spans="1:64" s="1577" customFormat="1" x14ac:dyDescent="0.35">
      <c r="A9" s="1568" t="s">
        <v>887</v>
      </c>
      <c r="B9" s="1569"/>
      <c r="C9" s="1570"/>
      <c r="D9" s="1570"/>
      <c r="E9" s="1570"/>
      <c r="F9" s="1570"/>
      <c r="G9" s="1570"/>
      <c r="H9" s="1570"/>
      <c r="I9" s="1570"/>
      <c r="J9" s="1570"/>
      <c r="K9" s="1570"/>
      <c r="L9" s="1570"/>
      <c r="M9" s="1570"/>
      <c r="N9" s="1570"/>
      <c r="O9" s="1570"/>
      <c r="P9" s="1570"/>
      <c r="Q9" s="1570"/>
      <c r="R9" s="1570"/>
      <c r="S9" s="1570"/>
      <c r="T9" s="1570"/>
      <c r="U9" s="1571">
        <f t="shared" ref="U9:AP9" si="5">U177/Q177-1</f>
        <v>-0.11420931721462724</v>
      </c>
      <c r="V9" s="1571">
        <f t="shared" si="5"/>
        <v>5.8256264977888161E-2</v>
      </c>
      <c r="W9" s="1571">
        <f t="shared" si="5"/>
        <v>0.16748760219809666</v>
      </c>
      <c r="X9" s="1571">
        <f t="shared" si="5"/>
        <v>0.79887322035429209</v>
      </c>
      <c r="Y9" s="1571">
        <f t="shared" si="5"/>
        <v>0.44178670430774969</v>
      </c>
      <c r="Z9" s="1571">
        <f t="shared" si="5"/>
        <v>0.35116689882726471</v>
      </c>
      <c r="AA9" s="1571">
        <f t="shared" si="5"/>
        <v>0.37742699289660608</v>
      </c>
      <c r="AB9" s="1571">
        <f t="shared" si="5"/>
        <v>0.29036327575818444</v>
      </c>
      <c r="AC9" s="1571">
        <f t="shared" si="5"/>
        <v>0.17541003910189512</v>
      </c>
      <c r="AD9" s="1571">
        <f t="shared" si="5"/>
        <v>-2.1361638896728152E-2</v>
      </c>
      <c r="AE9" s="1571">
        <f t="shared" si="5"/>
        <v>-6.6145062821661549E-2</v>
      </c>
      <c r="AF9" s="1571">
        <f t="shared" si="5"/>
        <v>-7.3967245647912683E-2</v>
      </c>
      <c r="AG9" s="1571">
        <f t="shared" si="5"/>
        <v>-9.3994450549174879E-2</v>
      </c>
      <c r="AH9" s="1571">
        <f t="shared" si="5"/>
        <v>-2.9661016949155128E-3</v>
      </c>
      <c r="AI9" s="1571">
        <f t="shared" si="5"/>
        <v>3.7512411169494664E-2</v>
      </c>
      <c r="AJ9" s="1572">
        <f t="shared" si="5"/>
        <v>5.3281788385578732E-2</v>
      </c>
      <c r="AK9" s="1570">
        <f t="shared" si="5"/>
        <v>6.0999999999999721E-2</v>
      </c>
      <c r="AL9" s="1570">
        <f t="shared" si="5"/>
        <v>5.0000000000000266E-2</v>
      </c>
      <c r="AM9" s="1570">
        <f t="shared" si="5"/>
        <v>5.5053999999999936E-2</v>
      </c>
      <c r="AN9" s="1570">
        <f t="shared" si="5"/>
        <v>7.7192999999999845E-2</v>
      </c>
      <c r="AO9" s="1570">
        <f t="shared" si="5"/>
        <v>8.7364999999999915E-2</v>
      </c>
      <c r="AP9" s="1570">
        <f t="shared" si="5"/>
        <v>0.10531000000000001</v>
      </c>
      <c r="AQ9" s="1570"/>
      <c r="AR9" s="1573"/>
      <c r="AS9" s="1573"/>
      <c r="AT9" s="1573"/>
      <c r="AU9" s="1573"/>
      <c r="AV9" s="1573"/>
      <c r="AW9" s="1573"/>
      <c r="AX9" s="1573"/>
      <c r="AY9" s="1573"/>
      <c r="AZ9" s="1573"/>
      <c r="BA9" s="1573"/>
      <c r="BB9" s="1573"/>
      <c r="BC9" s="1574">
        <f t="shared" ref="BC9:BK9" si="6">BC177/BB177-1</f>
        <v>-8.662565678835521E-2</v>
      </c>
      <c r="BD9" s="1574">
        <f t="shared" si="6"/>
        <v>0.41367637698682747</v>
      </c>
      <c r="BE9" s="1574">
        <f t="shared" si="6"/>
        <v>0.19458032915604684</v>
      </c>
      <c r="BF9" s="1575">
        <f t="shared" si="6"/>
        <v>-6.1480316439353144E-2</v>
      </c>
      <c r="BG9" s="1573">
        <f t="shared" si="6"/>
        <v>5.0517378133511315E-2</v>
      </c>
      <c r="BH9" s="1573">
        <f t="shared" si="6"/>
        <v>8.0939811725504907E-2</v>
      </c>
      <c r="BI9" s="1573">
        <f t="shared" si="6"/>
        <v>9.423348017621147E-2</v>
      </c>
      <c r="BJ9" s="1573">
        <f t="shared" si="6"/>
        <v>6.9943019943019991E-2</v>
      </c>
      <c r="BK9" s="1573">
        <f t="shared" si="6"/>
        <v>6.9571295433364266E-2</v>
      </c>
      <c r="BL9" s="1576"/>
    </row>
    <row r="10" spans="1:64" s="1577" customFormat="1" hidden="1" outlineLevel="1" x14ac:dyDescent="0.35">
      <c r="A10" s="1578"/>
      <c r="B10" s="1579"/>
      <c r="C10" s="1580"/>
      <c r="D10" s="1580"/>
      <c r="E10" s="1580"/>
      <c r="F10" s="1580"/>
      <c r="G10" s="1580"/>
      <c r="H10" s="1580"/>
      <c r="I10" s="1580"/>
      <c r="J10" s="1580"/>
      <c r="K10" s="1580"/>
      <c r="L10" s="1580"/>
      <c r="M10" s="1580"/>
      <c r="N10" s="1580"/>
      <c r="O10" s="1580"/>
      <c r="P10" s="1580"/>
      <c r="Q10" s="1580"/>
      <c r="R10" s="1580"/>
      <c r="S10" s="1580"/>
      <c r="T10" s="1580"/>
      <c r="U10" s="1580"/>
      <c r="V10" s="1580"/>
      <c r="W10" s="1580"/>
      <c r="X10" s="1580"/>
      <c r="Y10" s="1580"/>
      <c r="Z10" s="1580"/>
      <c r="AA10" s="1580"/>
      <c r="AB10" s="1580"/>
      <c r="AC10" s="1580"/>
      <c r="AD10" s="1580"/>
      <c r="AE10" s="1580"/>
      <c r="AF10" s="1580"/>
      <c r="AG10" s="1580"/>
      <c r="AH10" s="1580"/>
      <c r="AI10" s="1580"/>
      <c r="AJ10" s="1581"/>
      <c r="AK10" s="1580"/>
      <c r="AL10" s="1580"/>
      <c r="AM10" s="1580"/>
      <c r="AN10" s="1580"/>
      <c r="AO10" s="1580"/>
      <c r="AP10" s="1580"/>
      <c r="AQ10" s="1580"/>
      <c r="AR10" s="1582"/>
      <c r="AS10" s="1582"/>
      <c r="AT10" s="1582"/>
      <c r="AU10" s="1582"/>
      <c r="AV10" s="1582"/>
      <c r="AW10" s="1582"/>
      <c r="AX10" s="1582"/>
      <c r="AY10" s="1582"/>
      <c r="AZ10" s="1582"/>
      <c r="BA10" s="1582"/>
      <c r="BB10" s="1582"/>
      <c r="BC10" s="1582"/>
      <c r="BD10" s="1582"/>
      <c r="BE10" s="1582"/>
      <c r="BF10" s="1583"/>
      <c r="BG10" s="1582"/>
      <c r="BH10" s="1582"/>
      <c r="BI10" s="1582"/>
      <c r="BJ10" s="1582"/>
      <c r="BK10" s="1582"/>
      <c r="BL10" s="1576"/>
    </row>
    <row r="11" spans="1:64" s="1560" customFormat="1" hidden="1" outlineLevel="1" x14ac:dyDescent="0.35">
      <c r="A11" s="1561" t="s">
        <v>888</v>
      </c>
      <c r="B11" s="1562"/>
      <c r="C11" s="1563"/>
      <c r="D11" s="1563"/>
      <c r="E11" s="1563"/>
      <c r="F11" s="1563"/>
      <c r="G11" s="1563"/>
      <c r="H11" s="1563"/>
      <c r="I11" s="1563"/>
      <c r="J11" s="1563"/>
      <c r="K11" s="1563"/>
      <c r="L11" s="1563"/>
      <c r="M11" s="1563"/>
      <c r="N11" s="1563"/>
      <c r="O11" s="1563"/>
      <c r="P11" s="1563"/>
      <c r="Q11" s="1563"/>
      <c r="R11" s="1563"/>
      <c r="S11" s="1563"/>
      <c r="T11" s="1563"/>
      <c r="U11" s="1563"/>
      <c r="V11" s="1563"/>
      <c r="W11" s="1563"/>
      <c r="X11" s="1584">
        <v>0.13</v>
      </c>
      <c r="Y11" s="1584">
        <f>13.5/117.602</f>
        <v>0.11479396608901209</v>
      </c>
      <c r="Z11" s="1563"/>
      <c r="AA11" s="1584">
        <v>9.7000000000000003E-2</v>
      </c>
      <c r="AB11" s="1584">
        <v>0.1</v>
      </c>
      <c r="AC11" s="1584">
        <v>0.09</v>
      </c>
      <c r="AD11" s="1584">
        <v>7.0000000000000007E-2</v>
      </c>
      <c r="AE11" s="1584">
        <v>0.1</v>
      </c>
      <c r="AF11" s="1584">
        <v>0.1</v>
      </c>
      <c r="AG11" s="1584">
        <v>0.1</v>
      </c>
      <c r="AH11" s="1584">
        <v>7.0000000000000007E-2</v>
      </c>
      <c r="AI11" s="1584">
        <v>0.11</v>
      </c>
      <c r="AJ11" s="1585">
        <v>7.0000000000000007E-2</v>
      </c>
      <c r="AK11" s="1563"/>
      <c r="AL11" s="1563"/>
      <c r="AM11" s="1563"/>
      <c r="AN11" s="1563"/>
      <c r="AO11" s="1563"/>
      <c r="AP11" s="1563"/>
      <c r="AQ11" s="1563"/>
      <c r="AR11" s="1565"/>
      <c r="AS11" s="1565"/>
      <c r="AT11" s="1565"/>
      <c r="AU11" s="1565"/>
      <c r="AV11" s="1565"/>
      <c r="AW11" s="1565"/>
      <c r="AX11" s="1565"/>
      <c r="AY11" s="1565"/>
      <c r="AZ11" s="1565"/>
      <c r="BA11" s="1565"/>
      <c r="BB11" s="1565"/>
      <c r="BC11" s="1565"/>
      <c r="BD11" s="1586">
        <v>0.123</v>
      </c>
      <c r="BE11" s="1586">
        <v>0.09</v>
      </c>
      <c r="BF11" s="1587">
        <v>0.05</v>
      </c>
      <c r="BG11" s="1565"/>
      <c r="BH11" s="1565"/>
      <c r="BI11" s="1565"/>
      <c r="BJ11" s="1565"/>
      <c r="BK11" s="1565"/>
      <c r="BL11" s="1559"/>
    </row>
    <row r="12" spans="1:64" s="1560" customFormat="1" hidden="1" outlineLevel="1" x14ac:dyDescent="0.35">
      <c r="A12" s="1561" t="s">
        <v>889</v>
      </c>
      <c r="B12" s="1562"/>
      <c r="C12" s="1563"/>
      <c r="D12" s="1563"/>
      <c r="E12" s="1563"/>
      <c r="F12" s="1563"/>
      <c r="G12" s="1563"/>
      <c r="H12" s="1563"/>
      <c r="I12" s="1563"/>
      <c r="J12" s="1563"/>
      <c r="K12" s="1563"/>
      <c r="L12" s="1563"/>
      <c r="M12" s="1563"/>
      <c r="N12" s="1563"/>
      <c r="O12" s="1563"/>
      <c r="P12" s="1563"/>
      <c r="Q12" s="1563"/>
      <c r="R12" s="1563"/>
      <c r="S12" s="1563"/>
      <c r="T12" s="1563"/>
      <c r="U12" s="1563"/>
      <c r="V12" s="1563"/>
      <c r="W12" s="1563"/>
      <c r="X12" s="1584">
        <v>0.31</v>
      </c>
      <c r="Y12" s="1584">
        <f>38.5/117.602</f>
        <v>0.32737538477236783</v>
      </c>
      <c r="Z12" s="1563"/>
      <c r="AA12" s="1584">
        <v>0.20100000000000001</v>
      </c>
      <c r="AB12" s="1584">
        <v>0.11</v>
      </c>
      <c r="AC12" s="1584">
        <v>0.02</v>
      </c>
      <c r="AD12" s="1563"/>
      <c r="AE12" s="1563"/>
      <c r="AF12" s="1563"/>
      <c r="AG12" s="1563"/>
      <c r="AH12" s="1563"/>
      <c r="AI12" s="1584">
        <v>-0.16</v>
      </c>
      <c r="AJ12" s="1585">
        <v>-0.14000000000000001</v>
      </c>
      <c r="AK12" s="1563"/>
      <c r="AL12" s="1563"/>
      <c r="AM12" s="1563"/>
      <c r="AN12" s="1563"/>
      <c r="AO12" s="1563"/>
      <c r="AP12" s="1563"/>
      <c r="AQ12" s="1563"/>
      <c r="AR12" s="1565"/>
      <c r="AS12" s="1565"/>
      <c r="AT12" s="1565"/>
      <c r="AU12" s="1565"/>
      <c r="AV12" s="1565"/>
      <c r="AW12" s="1565"/>
      <c r="AX12" s="1565"/>
      <c r="AY12" s="1565"/>
      <c r="AZ12" s="1565"/>
      <c r="BA12" s="1565"/>
      <c r="BB12" s="1565"/>
      <c r="BC12" s="1565"/>
      <c r="BD12" s="1586">
        <v>0.28399999999999997</v>
      </c>
      <c r="BE12" s="1565"/>
      <c r="BF12" s="1567"/>
      <c r="BG12" s="1565"/>
      <c r="BH12" s="1565"/>
      <c r="BI12" s="1565"/>
      <c r="BJ12" s="1565"/>
      <c r="BK12" s="1565"/>
      <c r="BL12" s="1559"/>
    </row>
    <row r="13" spans="1:64" s="1560" customFormat="1" hidden="1" outlineLevel="1" x14ac:dyDescent="0.35">
      <c r="A13" s="1561" t="s">
        <v>890</v>
      </c>
      <c r="B13" s="1562"/>
      <c r="C13" s="1563"/>
      <c r="D13" s="1563"/>
      <c r="E13" s="1563"/>
      <c r="F13" s="1563"/>
      <c r="G13" s="1563"/>
      <c r="H13" s="1563"/>
      <c r="I13" s="1563"/>
      <c r="J13" s="1563"/>
      <c r="K13" s="1563"/>
      <c r="L13" s="1563"/>
      <c r="M13" s="1563"/>
      <c r="N13" s="1563"/>
      <c r="O13" s="1563"/>
      <c r="P13" s="1563"/>
      <c r="Q13" s="1563"/>
      <c r="R13" s="1563"/>
      <c r="S13" s="1563"/>
      <c r="T13" s="1563"/>
      <c r="U13" s="1563"/>
      <c r="V13" s="1563"/>
      <c r="W13" s="1563"/>
      <c r="X13" s="1584">
        <v>0.03</v>
      </c>
      <c r="Y13" s="1563"/>
      <c r="Z13" s="1563"/>
      <c r="AA13" s="1563"/>
      <c r="AB13" s="1563"/>
      <c r="AC13" s="1563"/>
      <c r="AD13" s="1563"/>
      <c r="AE13" s="1563"/>
      <c r="AF13" s="1563"/>
      <c r="AG13" s="1563"/>
      <c r="AH13" s="1563"/>
      <c r="AI13" s="1563"/>
      <c r="AJ13" s="1564"/>
      <c r="AK13" s="1563"/>
      <c r="AL13" s="1563"/>
      <c r="AM13" s="1563"/>
      <c r="AN13" s="1563"/>
      <c r="AO13" s="1563"/>
      <c r="AP13" s="1563"/>
      <c r="AQ13" s="1563"/>
      <c r="AR13" s="1565"/>
      <c r="AS13" s="1565"/>
      <c r="AT13" s="1565"/>
      <c r="AU13" s="1565"/>
      <c r="AV13" s="1565"/>
      <c r="AW13" s="1565"/>
      <c r="AX13" s="1565"/>
      <c r="AY13" s="1565"/>
      <c r="AZ13" s="1565"/>
      <c r="BA13" s="1565"/>
      <c r="BB13" s="1565"/>
      <c r="BC13" s="1565"/>
      <c r="BD13" s="1586">
        <v>0.5</v>
      </c>
      <c r="BE13" s="1565"/>
      <c r="BF13" s="1567"/>
      <c r="BG13" s="1565"/>
      <c r="BH13" s="1565"/>
      <c r="BI13" s="1565"/>
      <c r="BJ13" s="1565"/>
      <c r="BK13" s="1565"/>
      <c r="BL13" s="1559"/>
    </row>
    <row r="14" spans="1:64" s="1577" customFormat="1" collapsed="1" x14ac:dyDescent="0.35">
      <c r="A14" s="1578"/>
      <c r="B14" s="1579"/>
      <c r="C14" s="1580"/>
      <c r="D14" s="1580"/>
      <c r="E14" s="1580"/>
      <c r="F14" s="1580"/>
      <c r="G14" s="1580"/>
      <c r="H14" s="1580"/>
      <c r="I14" s="1580"/>
      <c r="J14" s="1580"/>
      <c r="K14" s="1580"/>
      <c r="L14" s="1580"/>
      <c r="M14" s="1580"/>
      <c r="N14" s="1580"/>
      <c r="O14" s="1580"/>
      <c r="P14" s="1580"/>
      <c r="Q14" s="1580"/>
      <c r="R14" s="1580"/>
      <c r="S14" s="1580"/>
      <c r="T14" s="1580"/>
      <c r="U14" s="1580"/>
      <c r="V14" s="1580"/>
      <c r="W14" s="1580"/>
      <c r="X14" s="1580"/>
      <c r="Y14" s="1580"/>
      <c r="Z14" s="1580"/>
      <c r="AA14" s="1580"/>
      <c r="AB14" s="1580"/>
      <c r="AC14" s="1580"/>
      <c r="AD14" s="1580"/>
      <c r="AE14" s="1580"/>
      <c r="AF14" s="1580"/>
      <c r="AG14" s="1580"/>
      <c r="AH14" s="1580"/>
      <c r="AI14" s="1580"/>
      <c r="AJ14" s="1581"/>
      <c r="AK14" s="1580"/>
      <c r="AL14" s="1580"/>
      <c r="AM14" s="1580"/>
      <c r="AN14" s="1580"/>
      <c r="AO14" s="1580"/>
      <c r="AP14" s="1580"/>
      <c r="AQ14" s="1580"/>
      <c r="AR14" s="1582"/>
      <c r="AS14" s="1582"/>
      <c r="AT14" s="1582"/>
      <c r="AU14" s="1582"/>
      <c r="AV14" s="1582"/>
      <c r="AW14" s="1582"/>
      <c r="AX14" s="1582"/>
      <c r="AY14" s="1582"/>
      <c r="AZ14" s="1582"/>
      <c r="BA14" s="1582"/>
      <c r="BB14" s="1582"/>
      <c r="BC14" s="1582"/>
      <c r="BD14" s="1582"/>
      <c r="BE14" s="1582"/>
      <c r="BF14" s="1583"/>
      <c r="BG14" s="1582"/>
      <c r="BH14" s="1582"/>
      <c r="BI14" s="1582"/>
      <c r="BJ14" s="1582"/>
      <c r="BK14" s="1582"/>
      <c r="BL14" s="1576"/>
    </row>
    <row r="15" spans="1:64" s="1518" customFormat="1" x14ac:dyDescent="0.35">
      <c r="A15" s="1588" t="s">
        <v>891</v>
      </c>
      <c r="B15" s="1556"/>
      <c r="C15" s="1556"/>
      <c r="D15" s="1556"/>
      <c r="E15" s="1556"/>
      <c r="F15" s="1556"/>
      <c r="G15" s="1556"/>
      <c r="H15" s="1556"/>
      <c r="I15" s="1556"/>
      <c r="J15" s="1556"/>
      <c r="K15" s="1556"/>
      <c r="L15" s="1556"/>
      <c r="M15" s="1556"/>
      <c r="N15" s="1556"/>
      <c r="O15" s="1556"/>
      <c r="P15" s="1556"/>
      <c r="Q15" s="1556"/>
      <c r="R15" s="1556"/>
      <c r="S15" s="1556"/>
      <c r="T15" s="1589" t="s">
        <v>892</v>
      </c>
      <c r="U15" s="1589"/>
      <c r="V15" s="1556"/>
      <c r="W15" s="1556"/>
      <c r="X15" s="1589"/>
      <c r="Y15" s="1556"/>
      <c r="Z15" s="1556"/>
      <c r="AA15" s="1556"/>
      <c r="AB15" s="1589"/>
      <c r="AC15" s="1556"/>
      <c r="AD15" s="1556"/>
      <c r="AE15" s="1556"/>
      <c r="AF15" s="1589"/>
      <c r="AG15" s="1556"/>
      <c r="AH15" s="1556"/>
      <c r="AI15" s="1556"/>
      <c r="AJ15" s="1590"/>
      <c r="AK15" s="1556"/>
      <c r="AL15" s="1556"/>
      <c r="AM15" s="1556"/>
      <c r="AN15" s="1556"/>
      <c r="AO15" s="1556"/>
      <c r="AP15" s="1556"/>
      <c r="AQ15" s="1556"/>
      <c r="AR15" s="1556"/>
      <c r="AS15" s="1556"/>
      <c r="AT15" s="1556"/>
      <c r="AU15" s="1556"/>
      <c r="AV15" s="1556"/>
      <c r="AW15" s="1556"/>
      <c r="AX15" s="1556"/>
      <c r="AY15" s="1556"/>
      <c r="AZ15" s="1556"/>
      <c r="BA15" s="1556"/>
      <c r="BB15" s="1556"/>
      <c r="BC15" s="1556"/>
      <c r="BD15" s="1556"/>
      <c r="BE15" s="1556"/>
      <c r="BF15" s="1558"/>
      <c r="BG15" s="1556"/>
      <c r="BH15" s="1556"/>
      <c r="BI15" s="1556"/>
      <c r="BJ15" s="1556"/>
      <c r="BK15" s="1556"/>
      <c r="BL15" s="1517"/>
    </row>
    <row r="16" spans="1:64" s="1518" customFormat="1" x14ac:dyDescent="0.35">
      <c r="A16" s="1591" t="s">
        <v>893</v>
      </c>
      <c r="B16" s="1592"/>
      <c r="C16" s="1515"/>
      <c r="D16" s="1515"/>
      <c r="E16" s="1515"/>
      <c r="F16" s="1515"/>
      <c r="G16" s="1515"/>
      <c r="H16" s="1515"/>
      <c r="I16" s="1515"/>
      <c r="J16" s="1515"/>
      <c r="K16" s="1515"/>
      <c r="L16" s="1515"/>
      <c r="M16" s="1515"/>
      <c r="N16" s="1515"/>
      <c r="O16" s="1515"/>
      <c r="P16" s="1515"/>
      <c r="Q16" s="1515"/>
      <c r="R16" s="1515"/>
      <c r="S16" s="1515"/>
      <c r="T16" s="1593">
        <v>204.28299999999999</v>
      </c>
      <c r="U16" s="1593">
        <v>116.313</v>
      </c>
      <c r="V16" s="1515">
        <f>BC16-SUM(S16,T16,U16)</f>
        <v>127.274</v>
      </c>
      <c r="W16" s="1593">
        <v>137.209</v>
      </c>
      <c r="X16" s="1593">
        <v>158.18299999999999</v>
      </c>
      <c r="Y16" s="1593">
        <v>168.37200000000001</v>
      </c>
      <c r="Z16" s="1515">
        <f>BD16-SUM(W16,X16,Y16)</f>
        <v>172.35900000000004</v>
      </c>
      <c r="AA16" s="1593">
        <v>189.74799999999999</v>
      </c>
      <c r="AB16" s="1593">
        <v>204.28200000000001</v>
      </c>
      <c r="AC16" s="1593">
        <v>197.87</v>
      </c>
      <c r="AD16" s="1515">
        <f>BE16-SUM(AA16,AB16,AC16)</f>
        <v>168.63300000000004</v>
      </c>
      <c r="AE16" s="1593">
        <v>176.87100000000001</v>
      </c>
      <c r="AF16" s="1593">
        <v>188.65</v>
      </c>
      <c r="AG16" s="1593">
        <v>178.809</v>
      </c>
      <c r="AH16" s="1517">
        <f>BF16-SUM(AE16,AF16,AG16)</f>
        <v>167.822</v>
      </c>
      <c r="AI16" s="1593">
        <v>183.01900000000001</v>
      </c>
      <c r="AJ16" s="1594">
        <v>199.071</v>
      </c>
      <c r="AK16" s="1515"/>
      <c r="AL16" s="1515"/>
      <c r="AM16" s="1515"/>
      <c r="AN16" s="1515"/>
      <c r="AO16" s="1515"/>
      <c r="AP16" s="1515"/>
      <c r="AQ16" s="1515"/>
      <c r="AR16" s="1595"/>
      <c r="AS16" s="1595"/>
      <c r="AT16" s="1595"/>
      <c r="AU16" s="1595"/>
      <c r="AV16" s="1595"/>
      <c r="AW16" s="1595"/>
      <c r="AX16" s="1595"/>
      <c r="AY16" s="1595"/>
      <c r="AZ16" s="1595"/>
      <c r="BA16" s="1595"/>
      <c r="BB16" s="1596">
        <v>488.92500000000001</v>
      </c>
      <c r="BC16" s="1596">
        <v>447.87</v>
      </c>
      <c r="BD16" s="1596">
        <v>636.12300000000005</v>
      </c>
      <c r="BE16" s="1596">
        <v>760.53300000000002</v>
      </c>
      <c r="BF16" s="1597">
        <v>712.15200000000004</v>
      </c>
      <c r="BG16" s="1595"/>
      <c r="BH16" s="1595"/>
      <c r="BI16" s="1595"/>
      <c r="BJ16" s="1595"/>
      <c r="BK16" s="1595"/>
      <c r="BL16" s="1517"/>
    </row>
    <row r="17" spans="1:64" s="1518" customFormat="1" x14ac:dyDescent="0.35">
      <c r="A17" s="1591" t="s">
        <v>894</v>
      </c>
      <c r="B17" s="1592"/>
      <c r="C17" s="1515"/>
      <c r="D17" s="1515"/>
      <c r="E17" s="1515"/>
      <c r="F17" s="1515"/>
      <c r="G17" s="1515"/>
      <c r="H17" s="1515"/>
      <c r="I17" s="1515"/>
      <c r="J17" s="1515"/>
      <c r="K17" s="1515"/>
      <c r="L17" s="1515"/>
      <c r="M17" s="1515"/>
      <c r="N17" s="1515"/>
      <c r="O17" s="1515"/>
      <c r="P17" s="1515"/>
      <c r="Q17" s="1515"/>
      <c r="R17" s="1515"/>
      <c r="S17" s="1515"/>
      <c r="T17" s="1593">
        <v>3.665</v>
      </c>
      <c r="U17" s="1593">
        <v>1.2889999999999999</v>
      </c>
      <c r="V17" s="1515">
        <f>BC17-SUM(S17,T17,U17)</f>
        <v>1.2290000000000001</v>
      </c>
      <c r="W17" s="1593">
        <v>2.161</v>
      </c>
      <c r="X17" s="1593">
        <v>1.145</v>
      </c>
      <c r="Y17" s="1593">
        <v>1.1850000000000001</v>
      </c>
      <c r="Z17" s="1515">
        <f>BD17-SUM(W17,X17,Y17)</f>
        <v>1.2700000000000005</v>
      </c>
      <c r="AA17" s="1593">
        <v>2.2240000000000002</v>
      </c>
      <c r="AB17" s="1593">
        <v>1.3089999999999999</v>
      </c>
      <c r="AC17" s="1593">
        <v>1.429</v>
      </c>
      <c r="AD17" s="1515">
        <f>BE17-SUM(AA17,AB17,AC17)</f>
        <v>1.286999999999999</v>
      </c>
      <c r="AE17" s="1593">
        <v>2.403</v>
      </c>
      <c r="AF17" s="1593">
        <v>1.734</v>
      </c>
      <c r="AG17" s="1593">
        <v>1.7569999999999999</v>
      </c>
      <c r="AH17" s="1517">
        <f>BF17-SUM(AE17,AF17,AG17)</f>
        <v>1.5940000000000003</v>
      </c>
      <c r="AI17" s="1593">
        <v>2.98</v>
      </c>
      <c r="AJ17" s="1594">
        <v>1.4570000000000001</v>
      </c>
      <c r="AK17" s="1515"/>
      <c r="AL17" s="1515"/>
      <c r="AM17" s="1515"/>
      <c r="AN17" s="1515"/>
      <c r="AO17" s="1515"/>
      <c r="AP17" s="1515"/>
      <c r="AQ17" s="1515"/>
      <c r="AR17" s="1595"/>
      <c r="AS17" s="1595"/>
      <c r="AT17" s="1595"/>
      <c r="AU17" s="1595"/>
      <c r="AV17" s="1595"/>
      <c r="AW17" s="1595"/>
      <c r="AX17" s="1595"/>
      <c r="AY17" s="1595"/>
      <c r="AZ17" s="1595"/>
      <c r="BA17" s="1595"/>
      <c r="BB17" s="1596">
        <v>8.1910000000000007</v>
      </c>
      <c r="BC17" s="1596">
        <v>6.1829999999999998</v>
      </c>
      <c r="BD17" s="1596">
        <v>5.7610000000000001</v>
      </c>
      <c r="BE17" s="1596">
        <v>6.2489999999999997</v>
      </c>
      <c r="BF17" s="1598">
        <v>7.4880000000000004</v>
      </c>
      <c r="BG17" s="1595"/>
      <c r="BH17" s="1595"/>
      <c r="BI17" s="1595"/>
      <c r="BJ17" s="1595"/>
      <c r="BK17" s="1595"/>
      <c r="BL17" s="1517"/>
    </row>
    <row r="18" spans="1:64" s="1608" customFormat="1" x14ac:dyDescent="0.35">
      <c r="A18" s="1599" t="s">
        <v>895</v>
      </c>
      <c r="B18" s="1600"/>
      <c r="C18" s="1601"/>
      <c r="D18" s="1601"/>
      <c r="E18" s="1601"/>
      <c r="F18" s="1601"/>
      <c r="G18" s="1601"/>
      <c r="H18" s="1601"/>
      <c r="I18" s="1601"/>
      <c r="J18" s="1601"/>
      <c r="K18" s="1601"/>
      <c r="L18" s="1601"/>
      <c r="M18" s="1601"/>
      <c r="N18" s="1601"/>
      <c r="O18" s="1601"/>
      <c r="P18" s="1601"/>
      <c r="Q18" s="1601"/>
      <c r="R18" s="1601"/>
      <c r="S18" s="1602">
        <f t="shared" ref="S18:AJ18" si="7">SUM(S16:S17)</f>
        <v>0</v>
      </c>
      <c r="T18" s="1602">
        <f t="shared" si="7"/>
        <v>207.94799999999998</v>
      </c>
      <c r="U18" s="1602">
        <f t="shared" si="7"/>
        <v>117.602</v>
      </c>
      <c r="V18" s="1602">
        <f t="shared" si="7"/>
        <v>128.50300000000001</v>
      </c>
      <c r="W18" s="1602">
        <f t="shared" si="7"/>
        <v>139.37</v>
      </c>
      <c r="X18" s="1602">
        <f t="shared" si="7"/>
        <v>159.328</v>
      </c>
      <c r="Y18" s="1602">
        <f t="shared" si="7"/>
        <v>169.55700000000002</v>
      </c>
      <c r="Z18" s="1601">
        <f t="shared" si="7"/>
        <v>173.62900000000005</v>
      </c>
      <c r="AA18" s="1602">
        <f t="shared" si="7"/>
        <v>191.97199999999998</v>
      </c>
      <c r="AB18" s="1602">
        <f t="shared" si="7"/>
        <v>205.59100000000001</v>
      </c>
      <c r="AC18" s="1602">
        <f t="shared" si="7"/>
        <v>199.29900000000001</v>
      </c>
      <c r="AD18" s="1601">
        <f t="shared" si="7"/>
        <v>169.92000000000004</v>
      </c>
      <c r="AE18" s="1602">
        <f t="shared" si="7"/>
        <v>179.274</v>
      </c>
      <c r="AF18" s="1602">
        <f t="shared" si="7"/>
        <v>190.38400000000001</v>
      </c>
      <c r="AG18" s="1602">
        <f t="shared" si="7"/>
        <v>180.566</v>
      </c>
      <c r="AH18" s="1602">
        <f t="shared" si="7"/>
        <v>169.416</v>
      </c>
      <c r="AI18" s="1602">
        <f t="shared" si="7"/>
        <v>185.999</v>
      </c>
      <c r="AJ18" s="1603">
        <f t="shared" si="7"/>
        <v>200.52799999999999</v>
      </c>
      <c r="AK18" s="1601">
        <f t="shared" ref="AK18:AP18" si="8">(AK29/1000000)*AK32</f>
        <v>191.58052599999996</v>
      </c>
      <c r="AL18" s="1601">
        <f t="shared" si="8"/>
        <v>177.88679999999997</v>
      </c>
      <c r="AM18" s="1601">
        <f t="shared" si="8"/>
        <v>196.23898894599998</v>
      </c>
      <c r="AN18" s="1601">
        <f t="shared" si="8"/>
        <v>216.00735790399997</v>
      </c>
      <c r="AO18" s="1601">
        <f t="shared" si="8"/>
        <v>208.31795865398993</v>
      </c>
      <c r="AP18" s="1601">
        <f t="shared" si="8"/>
        <v>196.62005890799998</v>
      </c>
      <c r="AQ18" s="1601"/>
      <c r="AR18" s="1604"/>
      <c r="AS18" s="1604"/>
      <c r="AT18" s="1604"/>
      <c r="AU18" s="1604"/>
      <c r="AV18" s="1604"/>
      <c r="AW18" s="1604"/>
      <c r="AX18" s="1604"/>
      <c r="AY18" s="1604"/>
      <c r="AZ18" s="1604"/>
      <c r="BA18" s="1604"/>
      <c r="BB18" s="1605">
        <f>SUM(BB16:BB17)</f>
        <v>497.11599999999999</v>
      </c>
      <c r="BC18" s="1605">
        <f>SUM(BC16:BC17)</f>
        <v>454.053</v>
      </c>
      <c r="BD18" s="1604">
        <f>SUM(BD16:BD17)</f>
        <v>641.88400000000001</v>
      </c>
      <c r="BE18" s="1604">
        <f>SUM(BE16:BE17)</f>
        <v>766.78200000000004</v>
      </c>
      <c r="BF18" s="1606">
        <f>SUM(BF16:BF17)</f>
        <v>719.6400000000001</v>
      </c>
      <c r="BG18" s="1604">
        <f>SUM(AI18,AJ18,AK18,AL18)</f>
        <v>755.994326</v>
      </c>
      <c r="BH18" s="1604">
        <f>SUM(AM18,AN18,AO18,AP18)</f>
        <v>817.18436441198992</v>
      </c>
      <c r="BI18" s="1604">
        <f>(BI29/1000000)*BI32</f>
        <v>894.19049101611722</v>
      </c>
      <c r="BJ18" s="1604">
        <f>(BJ29/1000000)*BJ32</f>
        <v>956.73287436211638</v>
      </c>
      <c r="BK18" s="1604">
        <f>(BK29/1000000)*BK32</f>
        <v>1023.294019815175</v>
      </c>
      <c r="BL18" s="1607"/>
    </row>
    <row r="19" spans="1:64" s="1518" customFormat="1" x14ac:dyDescent="0.35">
      <c r="A19" s="1609"/>
      <c r="B19" s="1592"/>
      <c r="C19" s="1515"/>
      <c r="D19" s="1515"/>
      <c r="E19" s="1515"/>
      <c r="F19" s="1515"/>
      <c r="G19" s="1515"/>
      <c r="H19" s="1515"/>
      <c r="I19" s="1515"/>
      <c r="J19" s="1515"/>
      <c r="K19" s="1515"/>
      <c r="L19" s="1515"/>
      <c r="M19" s="1515"/>
      <c r="N19" s="1515"/>
      <c r="O19" s="1515"/>
      <c r="P19" s="1515"/>
      <c r="Q19" s="1515"/>
      <c r="R19" s="1515"/>
      <c r="S19" s="1515"/>
      <c r="T19" s="1515"/>
      <c r="U19" s="1515"/>
      <c r="V19" s="1515"/>
      <c r="W19" s="1515"/>
      <c r="X19" s="1515"/>
      <c r="Y19" s="1515"/>
      <c r="Z19" s="1515"/>
      <c r="AA19" s="1515"/>
      <c r="AB19" s="1515"/>
      <c r="AC19" s="1515"/>
      <c r="AD19" s="1515"/>
      <c r="AE19" s="1515"/>
      <c r="AF19" s="1515"/>
      <c r="AG19" s="1515"/>
      <c r="AH19" s="1515"/>
      <c r="AI19" s="1515"/>
      <c r="AJ19" s="1516"/>
      <c r="AK19" s="1515"/>
      <c r="AL19" s="1515"/>
      <c r="AM19" s="1515"/>
      <c r="AN19" s="1515"/>
      <c r="AO19" s="1515"/>
      <c r="AP19" s="1515"/>
      <c r="AQ19" s="1515"/>
      <c r="AR19" s="1595"/>
      <c r="AS19" s="1595"/>
      <c r="AT19" s="1595"/>
      <c r="AU19" s="1595"/>
      <c r="AV19" s="1595"/>
      <c r="AW19" s="1595"/>
      <c r="AX19" s="1595"/>
      <c r="AY19" s="1595"/>
      <c r="AZ19" s="1595"/>
      <c r="BA19" s="1595"/>
      <c r="BB19" s="1595"/>
      <c r="BC19" s="1595"/>
      <c r="BD19" s="1595"/>
      <c r="BE19" s="1595"/>
      <c r="BF19" s="1610"/>
      <c r="BG19" s="1595"/>
      <c r="BH19" s="1595"/>
      <c r="BI19" s="1595"/>
      <c r="BJ19" s="1595"/>
      <c r="BK19" s="1595"/>
      <c r="BL19" s="1517"/>
    </row>
    <row r="20" spans="1:64" s="1518" customFormat="1" x14ac:dyDescent="0.35">
      <c r="A20" s="1588" t="s">
        <v>896</v>
      </c>
      <c r="B20" s="1556"/>
      <c r="C20" s="1556"/>
      <c r="D20" s="1556"/>
      <c r="E20" s="1556"/>
      <c r="F20" s="1556"/>
      <c r="G20" s="1556"/>
      <c r="H20" s="1556"/>
      <c r="I20" s="1556"/>
      <c r="J20" s="1556"/>
      <c r="K20" s="1556"/>
      <c r="L20" s="1556"/>
      <c r="M20" s="1556"/>
      <c r="N20" s="1556"/>
      <c r="O20" s="1556"/>
      <c r="P20" s="1556"/>
      <c r="Q20" s="1556"/>
      <c r="R20" s="1556"/>
      <c r="S20" s="1556"/>
      <c r="T20" s="1589" t="s">
        <v>892</v>
      </c>
      <c r="U20" s="1589"/>
      <c r="V20" s="1556"/>
      <c r="W20" s="1556"/>
      <c r="X20" s="1589"/>
      <c r="Y20" s="1556"/>
      <c r="Z20" s="1556"/>
      <c r="AA20" s="1556"/>
      <c r="AB20" s="1589"/>
      <c r="AC20" s="1556"/>
      <c r="AD20" s="1556"/>
      <c r="AE20" s="1556"/>
      <c r="AF20" s="1589"/>
      <c r="AG20" s="1556"/>
      <c r="AH20" s="1556"/>
      <c r="AI20" s="1556"/>
      <c r="AJ20" s="1590"/>
      <c r="AK20" s="1556"/>
      <c r="AL20" s="1556"/>
      <c r="AM20" s="1556"/>
      <c r="AN20" s="1556"/>
      <c r="AO20" s="1556"/>
      <c r="AP20" s="1556"/>
      <c r="AQ20" s="1556"/>
      <c r="AR20" s="1556"/>
      <c r="AS20" s="1556"/>
      <c r="AT20" s="1556"/>
      <c r="AU20" s="1556"/>
      <c r="AV20" s="1556"/>
      <c r="AW20" s="1556"/>
      <c r="AX20" s="1556"/>
      <c r="AY20" s="1556"/>
      <c r="AZ20" s="1556"/>
      <c r="BA20" s="1556"/>
      <c r="BB20" s="1556"/>
      <c r="BC20" s="1556"/>
      <c r="BD20" s="1556"/>
      <c r="BE20" s="1556"/>
      <c r="BF20" s="1558"/>
      <c r="BG20" s="1556"/>
      <c r="BH20" s="1556"/>
      <c r="BI20" s="1556"/>
      <c r="BJ20" s="1556"/>
      <c r="BK20" s="1556"/>
      <c r="BL20" s="1517"/>
    </row>
    <row r="21" spans="1:64" s="1518" customFormat="1" outlineLevel="1" x14ac:dyDescent="0.35">
      <c r="A21" s="1591" t="s">
        <v>897</v>
      </c>
      <c r="B21" s="1592"/>
      <c r="C21" s="1515"/>
      <c r="D21" s="1515"/>
      <c r="E21" s="1515"/>
      <c r="F21" s="1515"/>
      <c r="G21" s="1515"/>
      <c r="H21" s="1515"/>
      <c r="I21" s="1515"/>
      <c r="J21" s="1515"/>
      <c r="K21" s="1515"/>
      <c r="L21" s="1515"/>
      <c r="M21" s="1515"/>
      <c r="N21" s="1515"/>
      <c r="O21" s="1515"/>
      <c r="P21" s="1515"/>
      <c r="Q21" s="1515"/>
      <c r="R21" s="1515"/>
      <c r="S21" s="1515"/>
      <c r="T21" s="1515">
        <f>273.407-U21</f>
        <v>174.80099999999999</v>
      </c>
      <c r="U21" s="1593">
        <v>98.605999999999995</v>
      </c>
      <c r="V21" s="1515">
        <f>BC21-SUM(S21,T21,U21)</f>
        <v>103.94400000000002</v>
      </c>
      <c r="W21" s="1593">
        <v>109.19</v>
      </c>
      <c r="X21" s="1593">
        <v>130.29400000000001</v>
      </c>
      <c r="Y21" s="1593">
        <v>139.56399999999999</v>
      </c>
      <c r="Z21" s="1515">
        <f>BD21-SUM(W21,X21,Y21)</f>
        <v>143.62400000000002</v>
      </c>
      <c r="AA21" s="1593">
        <v>159.316</v>
      </c>
      <c r="AB21" s="1593">
        <v>174.11500000000001</v>
      </c>
      <c r="AC21" s="1593">
        <v>168.61500000000001</v>
      </c>
      <c r="AD21" s="1515">
        <f>BE21-SUM(AA21,AB21,AC21)</f>
        <v>141.77999999999997</v>
      </c>
      <c r="AE21" s="1593">
        <v>149.74199999999999</v>
      </c>
      <c r="AF21" s="1593">
        <v>162.19800000000001</v>
      </c>
      <c r="AG21" s="1593">
        <v>153.577</v>
      </c>
      <c r="AH21" s="1515">
        <f>BF21-SUM(AE21,AF21,AG21)</f>
        <v>144.17699999999996</v>
      </c>
      <c r="AI21" s="1593">
        <v>159.827</v>
      </c>
      <c r="AJ21" s="1594">
        <v>173.976</v>
      </c>
      <c r="AK21" s="1515"/>
      <c r="AL21" s="1515"/>
      <c r="AM21" s="1515"/>
      <c r="AN21" s="1515"/>
      <c r="AO21" s="1515"/>
      <c r="AP21" s="1515"/>
      <c r="AQ21" s="1515"/>
      <c r="AR21" s="1595"/>
      <c r="AS21" s="1595"/>
      <c r="AT21" s="1595"/>
      <c r="AU21" s="1595"/>
      <c r="AV21" s="1595"/>
      <c r="AW21" s="1595"/>
      <c r="AX21" s="1595"/>
      <c r="AY21" s="1595"/>
      <c r="AZ21" s="1595"/>
      <c r="BA21" s="1595"/>
      <c r="BB21" s="1596">
        <v>424.77300000000002</v>
      </c>
      <c r="BC21" s="1596">
        <v>377.351</v>
      </c>
      <c r="BD21" s="1596">
        <v>522.67200000000003</v>
      </c>
      <c r="BE21" s="1596">
        <v>643.82600000000002</v>
      </c>
      <c r="BF21" s="1597">
        <v>609.69399999999996</v>
      </c>
      <c r="BG21" s="1595"/>
      <c r="BH21" s="1595"/>
      <c r="BI21" s="1595"/>
      <c r="BJ21" s="1595"/>
      <c r="BK21" s="1595"/>
      <c r="BL21" s="1517"/>
    </row>
    <row r="22" spans="1:64" s="1518" customFormat="1" outlineLevel="1" x14ac:dyDescent="0.35">
      <c r="A22" s="1591" t="s">
        <v>898</v>
      </c>
      <c r="B22" s="1592"/>
      <c r="C22" s="1515"/>
      <c r="D22" s="1515"/>
      <c r="E22" s="1515"/>
      <c r="F22" s="1515"/>
      <c r="G22" s="1515"/>
      <c r="H22" s="1515"/>
      <c r="I22" s="1515"/>
      <c r="J22" s="1515"/>
      <c r="K22" s="1515"/>
      <c r="L22" s="1515"/>
      <c r="M22" s="1515"/>
      <c r="N22" s="1515"/>
      <c r="O22" s="1515"/>
      <c r="P22" s="1515"/>
      <c r="Q22" s="1515"/>
      <c r="R22" s="1515"/>
      <c r="S22" s="1515"/>
      <c r="T22" s="1515">
        <f>52.143-U22</f>
        <v>33.147000000000006</v>
      </c>
      <c r="U22" s="1593">
        <v>18.995999999999999</v>
      </c>
      <c r="V22" s="1515">
        <f>BC22-SUM(S22,T22,U22)</f>
        <v>24.558999999999997</v>
      </c>
      <c r="W22" s="1593">
        <v>30.18</v>
      </c>
      <c r="X22" s="1593">
        <v>29.033999999999999</v>
      </c>
      <c r="Y22" s="1593">
        <v>29.992999999999999</v>
      </c>
      <c r="Z22" s="1515">
        <f>BD22-SUM(W22,X22,Y22)</f>
        <v>30.00500000000001</v>
      </c>
      <c r="AA22" s="1593">
        <v>32.655999999999999</v>
      </c>
      <c r="AB22" s="1593">
        <v>31.475999999999999</v>
      </c>
      <c r="AC22" s="1593">
        <v>30.684000000000001</v>
      </c>
      <c r="AD22" s="1515">
        <f>BE22-SUM(AA22,AB22,AC22)</f>
        <v>28.14</v>
      </c>
      <c r="AE22" s="1593">
        <v>29.532</v>
      </c>
      <c r="AF22" s="1593">
        <v>28.186</v>
      </c>
      <c r="AG22" s="1593">
        <v>26.989000000000001</v>
      </c>
      <c r="AH22" s="1515">
        <f>BF22-SUM(AE22,AF22,AG22)</f>
        <v>25.23899999999999</v>
      </c>
      <c r="AI22" s="1593">
        <v>26.172000000000001</v>
      </c>
      <c r="AJ22" s="1594">
        <v>26.552</v>
      </c>
      <c r="AK22" s="1515"/>
      <c r="AL22" s="1515"/>
      <c r="AM22" s="1515"/>
      <c r="AN22" s="1515"/>
      <c r="AO22" s="1515"/>
      <c r="AP22" s="1515"/>
      <c r="AQ22" s="1515"/>
      <c r="AR22" s="1595"/>
      <c r="AS22" s="1595"/>
      <c r="AT22" s="1595"/>
      <c r="AU22" s="1595"/>
      <c r="AV22" s="1595"/>
      <c r="AW22" s="1595"/>
      <c r="AX22" s="1595"/>
      <c r="AY22" s="1595"/>
      <c r="AZ22" s="1595"/>
      <c r="BA22" s="1595"/>
      <c r="BB22" s="1596">
        <v>72.343000000000004</v>
      </c>
      <c r="BC22" s="1596">
        <v>76.701999999999998</v>
      </c>
      <c r="BD22" s="1596">
        <v>119.212</v>
      </c>
      <c r="BE22" s="1596">
        <v>122.956</v>
      </c>
      <c r="BF22" s="1598">
        <v>109.946</v>
      </c>
      <c r="BG22" s="1595"/>
      <c r="BH22" s="1595"/>
      <c r="BI22" s="1595"/>
      <c r="BJ22" s="1595"/>
      <c r="BK22" s="1595"/>
      <c r="BL22" s="1517"/>
    </row>
    <row r="23" spans="1:64" s="1608" customFormat="1" outlineLevel="1" x14ac:dyDescent="0.35">
      <c r="A23" s="1599" t="s">
        <v>895</v>
      </c>
      <c r="B23" s="1600"/>
      <c r="C23" s="1601"/>
      <c r="D23" s="1601"/>
      <c r="E23" s="1601"/>
      <c r="F23" s="1601"/>
      <c r="G23" s="1601"/>
      <c r="H23" s="1601"/>
      <c r="I23" s="1601"/>
      <c r="J23" s="1601"/>
      <c r="K23" s="1601"/>
      <c r="L23" s="1601"/>
      <c r="M23" s="1601"/>
      <c r="N23" s="1601"/>
      <c r="O23" s="1601"/>
      <c r="P23" s="1601"/>
      <c r="Q23" s="1601"/>
      <c r="R23" s="1601"/>
      <c r="S23" s="1602">
        <f t="shared" ref="S23:AJ23" si="9">SUM(S21:S22)</f>
        <v>0</v>
      </c>
      <c r="T23" s="1602">
        <f t="shared" si="9"/>
        <v>207.94799999999998</v>
      </c>
      <c r="U23" s="1602">
        <f t="shared" si="9"/>
        <v>117.60199999999999</v>
      </c>
      <c r="V23" s="1602">
        <f t="shared" si="9"/>
        <v>128.50300000000001</v>
      </c>
      <c r="W23" s="1601">
        <f t="shared" si="9"/>
        <v>139.37</v>
      </c>
      <c r="X23" s="1602">
        <f t="shared" si="9"/>
        <v>159.328</v>
      </c>
      <c r="Y23" s="1602">
        <f t="shared" si="9"/>
        <v>169.55699999999999</v>
      </c>
      <c r="Z23" s="1601">
        <f t="shared" si="9"/>
        <v>173.62900000000002</v>
      </c>
      <c r="AA23" s="1601">
        <f t="shared" si="9"/>
        <v>191.97200000000001</v>
      </c>
      <c r="AB23" s="1601">
        <f t="shared" si="9"/>
        <v>205.59100000000001</v>
      </c>
      <c r="AC23" s="1601">
        <f t="shared" si="9"/>
        <v>199.29900000000001</v>
      </c>
      <c r="AD23" s="1601">
        <f t="shared" si="9"/>
        <v>169.91999999999996</v>
      </c>
      <c r="AE23" s="1601">
        <f t="shared" si="9"/>
        <v>179.274</v>
      </c>
      <c r="AF23" s="1601">
        <f t="shared" si="9"/>
        <v>190.38400000000001</v>
      </c>
      <c r="AG23" s="1601">
        <f t="shared" si="9"/>
        <v>180.566</v>
      </c>
      <c r="AH23" s="1601">
        <f t="shared" si="9"/>
        <v>169.41599999999994</v>
      </c>
      <c r="AI23" s="1601">
        <f t="shared" si="9"/>
        <v>185.999</v>
      </c>
      <c r="AJ23" s="1611">
        <f t="shared" si="9"/>
        <v>200.52799999999999</v>
      </c>
      <c r="AK23" s="1601"/>
      <c r="AL23" s="1601"/>
      <c r="AM23" s="1601"/>
      <c r="AN23" s="1601"/>
      <c r="AO23" s="1601"/>
      <c r="AP23" s="1601"/>
      <c r="AQ23" s="1601"/>
      <c r="AR23" s="1604"/>
      <c r="AS23" s="1604"/>
      <c r="AT23" s="1604"/>
      <c r="AU23" s="1604"/>
      <c r="AV23" s="1604"/>
      <c r="AW23" s="1604"/>
      <c r="AX23" s="1604"/>
      <c r="AY23" s="1604"/>
      <c r="AZ23" s="1604"/>
      <c r="BA23" s="1604"/>
      <c r="BB23" s="1605">
        <f>SUM(BB21:BB22)</f>
        <v>497.11600000000004</v>
      </c>
      <c r="BC23" s="1605">
        <f>SUM(BC21:BC22)</f>
        <v>454.053</v>
      </c>
      <c r="BD23" s="1604">
        <f>SUM(BD21:BD22)</f>
        <v>641.88400000000001</v>
      </c>
      <c r="BE23" s="1604">
        <f>SUM(BE21:BE22)</f>
        <v>766.78200000000004</v>
      </c>
      <c r="BF23" s="1612">
        <f>SUM(BF21:BF22)</f>
        <v>719.64</v>
      </c>
      <c r="BG23" s="1604"/>
      <c r="BH23" s="1604"/>
      <c r="BI23" s="1604"/>
      <c r="BJ23" s="1604"/>
      <c r="BK23" s="1604"/>
      <c r="BL23" s="1607"/>
    </row>
    <row r="24" spans="1:64" s="1518" customFormat="1" x14ac:dyDescent="0.35">
      <c r="A24" s="1609"/>
      <c r="B24" s="1592"/>
      <c r="C24" s="1515"/>
      <c r="D24" s="1515"/>
      <c r="E24" s="1515"/>
      <c r="F24" s="1515"/>
      <c r="G24" s="1515"/>
      <c r="H24" s="1515"/>
      <c r="I24" s="1515"/>
      <c r="J24" s="1515"/>
      <c r="K24" s="1515"/>
      <c r="L24" s="1515"/>
      <c r="M24" s="1515"/>
      <c r="N24" s="1515"/>
      <c r="O24" s="1515"/>
      <c r="P24" s="1515"/>
      <c r="Q24" s="1515"/>
      <c r="R24" s="1515"/>
      <c r="S24" s="1515"/>
      <c r="T24" s="1515"/>
      <c r="U24" s="1515"/>
      <c r="V24" s="1515"/>
      <c r="W24" s="1515"/>
      <c r="X24" s="1515"/>
      <c r="Y24" s="1515"/>
      <c r="Z24" s="1515"/>
      <c r="AA24" s="1515"/>
      <c r="AB24" s="1515"/>
      <c r="AC24" s="1515"/>
      <c r="AD24" s="1515"/>
      <c r="AE24" s="1515"/>
      <c r="AF24" s="1515"/>
      <c r="AG24" s="1515"/>
      <c r="AH24" s="1515"/>
      <c r="AI24" s="1515"/>
      <c r="AJ24" s="1516"/>
      <c r="AK24" s="1515"/>
      <c r="AL24" s="1515"/>
      <c r="AM24" s="1515"/>
      <c r="AN24" s="1515"/>
      <c r="AO24" s="1515"/>
      <c r="AP24" s="1515"/>
      <c r="AQ24" s="1515"/>
      <c r="AR24" s="1595"/>
      <c r="AS24" s="1595"/>
      <c r="AT24" s="1595"/>
      <c r="AU24" s="1595"/>
      <c r="AV24" s="1595"/>
      <c r="AW24" s="1595"/>
      <c r="AX24" s="1595"/>
      <c r="AY24" s="1595"/>
      <c r="AZ24" s="1595"/>
      <c r="BA24" s="1595"/>
      <c r="BB24" s="1595"/>
      <c r="BC24" s="1595"/>
      <c r="BD24" s="1595"/>
      <c r="BE24" s="1595"/>
      <c r="BF24" s="1610"/>
      <c r="BG24" s="1595"/>
      <c r="BH24" s="1595"/>
      <c r="BI24" s="1595"/>
      <c r="BJ24" s="1595"/>
      <c r="BK24" s="1595"/>
      <c r="BL24" s="1517"/>
    </row>
    <row r="25" spans="1:64" s="1518" customFormat="1" x14ac:dyDescent="0.35">
      <c r="A25" s="1588" t="s">
        <v>899</v>
      </c>
      <c r="B25" s="1556"/>
      <c r="C25" s="1556"/>
      <c r="D25" s="1556"/>
      <c r="E25" s="1556"/>
      <c r="F25" s="1556"/>
      <c r="G25" s="1556"/>
      <c r="H25" s="1556"/>
      <c r="I25" s="1556"/>
      <c r="J25" s="1556"/>
      <c r="K25" s="1556"/>
      <c r="L25" s="1556"/>
      <c r="M25" s="1556"/>
      <c r="N25" s="1556"/>
      <c r="O25" s="1556"/>
      <c r="P25" s="1556"/>
      <c r="Q25" s="1556"/>
      <c r="R25" s="1556"/>
      <c r="S25" s="1556"/>
      <c r="T25" s="1556"/>
      <c r="U25" s="1589"/>
      <c r="V25" s="1556"/>
      <c r="W25" s="1556"/>
      <c r="X25" s="1556"/>
      <c r="Y25" s="1556"/>
      <c r="Z25" s="1556"/>
      <c r="AA25" s="1556"/>
      <c r="AB25" s="1556"/>
      <c r="AC25" s="1556"/>
      <c r="AD25" s="1556"/>
      <c r="AE25" s="1556"/>
      <c r="AF25" s="1556"/>
      <c r="AG25" s="1556"/>
      <c r="AH25" s="1556"/>
      <c r="AI25" s="1556"/>
      <c r="AJ25" s="1558"/>
      <c r="AK25" s="1556"/>
      <c r="AL25" s="1556"/>
      <c r="AM25" s="1556"/>
      <c r="AN25" s="1556"/>
      <c r="AO25" s="1556"/>
      <c r="AP25" s="1556"/>
      <c r="AQ25" s="1556"/>
      <c r="AR25" s="1556"/>
      <c r="AS25" s="1556"/>
      <c r="AT25" s="1556"/>
      <c r="AU25" s="1556"/>
      <c r="AV25" s="1556"/>
      <c r="AW25" s="1556"/>
      <c r="AX25" s="1556"/>
      <c r="AY25" s="1556"/>
      <c r="AZ25" s="1556"/>
      <c r="BA25" s="1556"/>
      <c r="BB25" s="1556"/>
      <c r="BC25" s="1556"/>
      <c r="BD25" s="1556"/>
      <c r="BE25" s="1556"/>
      <c r="BF25" s="1558"/>
      <c r="BG25" s="1556"/>
      <c r="BH25" s="1556"/>
      <c r="BI25" s="1556"/>
      <c r="BJ25" s="1556"/>
      <c r="BK25" s="1556"/>
      <c r="BL25" s="1517"/>
    </row>
    <row r="26" spans="1:64" s="1620" customFormat="1" x14ac:dyDescent="0.35">
      <c r="A26" s="1613" t="s">
        <v>900</v>
      </c>
      <c r="B26" s="1614"/>
      <c r="C26" s="1615"/>
      <c r="D26" s="1615"/>
      <c r="E26" s="1615"/>
      <c r="F26" s="1615"/>
      <c r="G26" s="1615"/>
      <c r="H26" s="1615"/>
      <c r="I26" s="1615"/>
      <c r="J26" s="1615"/>
      <c r="K26" s="1615"/>
      <c r="L26" s="1615"/>
      <c r="M26" s="1615"/>
      <c r="N26" s="1615"/>
      <c r="O26" s="1615"/>
      <c r="P26" s="1615"/>
      <c r="Q26" s="1615"/>
      <c r="R26" s="1615"/>
      <c r="S26" s="1615"/>
      <c r="T26" s="1615"/>
      <c r="U26" s="1615"/>
      <c r="V26" s="1615"/>
      <c r="W26" s="1615"/>
      <c r="X26" s="1615"/>
      <c r="Y26" s="1615">
        <f t="shared" ref="Y26:AL26" si="10">X28</f>
        <v>40000</v>
      </c>
      <c r="Z26" s="1615">
        <f t="shared" si="10"/>
        <v>47000</v>
      </c>
      <c r="AA26" s="1615">
        <f t="shared" si="10"/>
        <v>50000</v>
      </c>
      <c r="AB26" s="1615">
        <f t="shared" si="10"/>
        <v>50000</v>
      </c>
      <c r="AC26" s="1615">
        <f t="shared" si="10"/>
        <v>50000</v>
      </c>
      <c r="AD26" s="1615">
        <f t="shared" si="10"/>
        <v>50000</v>
      </c>
      <c r="AE26" s="1615">
        <f t="shared" si="10"/>
        <v>50000</v>
      </c>
      <c r="AF26" s="1615">
        <f t="shared" si="10"/>
        <v>50000</v>
      </c>
      <c r="AG26" s="1615">
        <f t="shared" si="10"/>
        <v>50000</v>
      </c>
      <c r="AH26" s="1615">
        <f t="shared" si="10"/>
        <v>50000</v>
      </c>
      <c r="AI26" s="1615">
        <f t="shared" si="10"/>
        <v>50000</v>
      </c>
      <c r="AJ26" s="1616">
        <f t="shared" si="10"/>
        <v>50000</v>
      </c>
      <c r="AK26" s="1615">
        <f t="shared" si="10"/>
        <v>50000</v>
      </c>
      <c r="AL26" s="1615">
        <f t="shared" si="10"/>
        <v>50000</v>
      </c>
      <c r="AM26" s="1615">
        <f>BG28</f>
        <v>50000</v>
      </c>
      <c r="AN26" s="1615">
        <f>AM28</f>
        <v>50100</v>
      </c>
      <c r="AO26" s="1615">
        <f>AN28</f>
        <v>50950</v>
      </c>
      <c r="AP26" s="1615">
        <f>AO28</f>
        <v>51150</v>
      </c>
      <c r="AQ26" s="1615"/>
      <c r="AR26" s="1617"/>
      <c r="AS26" s="1617"/>
      <c r="AT26" s="1617"/>
      <c r="AU26" s="1617"/>
      <c r="AV26" s="1617"/>
      <c r="AW26" s="1617"/>
      <c r="AX26" s="1617"/>
      <c r="AY26" s="1617"/>
      <c r="AZ26" s="1617"/>
      <c r="BA26" s="1617"/>
      <c r="BB26" s="1617"/>
      <c r="BC26" s="1617"/>
      <c r="BD26" s="1617"/>
      <c r="BE26" s="1617">
        <f t="shared" ref="BE26:BK26" si="11">BD28</f>
        <v>50000</v>
      </c>
      <c r="BF26" s="1618">
        <f t="shared" si="11"/>
        <v>50000</v>
      </c>
      <c r="BG26" s="1617">
        <f t="shared" si="11"/>
        <v>50000</v>
      </c>
      <c r="BH26" s="1617">
        <f t="shared" si="11"/>
        <v>50000</v>
      </c>
      <c r="BI26" s="1617">
        <f t="shared" si="11"/>
        <v>52150</v>
      </c>
      <c r="BJ26" s="1617">
        <f t="shared" si="11"/>
        <v>53150</v>
      </c>
      <c r="BK26" s="1617">
        <f t="shared" si="11"/>
        <v>54150</v>
      </c>
      <c r="BL26" s="1619"/>
    </row>
    <row r="27" spans="1:64" s="1631" customFormat="1" x14ac:dyDescent="0.35">
      <c r="A27" s="1621" t="s">
        <v>901</v>
      </c>
      <c r="B27" s="1622"/>
      <c r="C27" s="1623"/>
      <c r="D27" s="1623"/>
      <c r="E27" s="1623"/>
      <c r="F27" s="1623"/>
      <c r="G27" s="1623"/>
      <c r="H27" s="1623"/>
      <c r="I27" s="1623"/>
      <c r="J27" s="1623"/>
      <c r="K27" s="1623"/>
      <c r="L27" s="1623"/>
      <c r="M27" s="1623"/>
      <c r="N27" s="1623"/>
      <c r="O27" s="1623"/>
      <c r="P27" s="1623"/>
      <c r="Q27" s="1623"/>
      <c r="R27" s="1623"/>
      <c r="S27" s="1623"/>
      <c r="T27" s="1623"/>
      <c r="U27" s="1623"/>
      <c r="V27" s="1623"/>
      <c r="W27" s="1623"/>
      <c r="X27" s="1623"/>
      <c r="Y27" s="1623">
        <f t="shared" ref="Y27:AJ27" si="12">Y28-Y26</f>
        <v>7000</v>
      </c>
      <c r="Z27" s="1623">
        <f t="shared" si="12"/>
        <v>3000</v>
      </c>
      <c r="AA27" s="1623">
        <f t="shared" si="12"/>
        <v>0</v>
      </c>
      <c r="AB27" s="1623">
        <f t="shared" si="12"/>
        <v>0</v>
      </c>
      <c r="AC27" s="1623">
        <f t="shared" si="12"/>
        <v>0</v>
      </c>
      <c r="AD27" s="1623">
        <f t="shared" si="12"/>
        <v>0</v>
      </c>
      <c r="AE27" s="1623">
        <f t="shared" si="12"/>
        <v>0</v>
      </c>
      <c r="AF27" s="1623">
        <f t="shared" si="12"/>
        <v>0</v>
      </c>
      <c r="AG27" s="1623">
        <f t="shared" si="12"/>
        <v>0</v>
      </c>
      <c r="AH27" s="1623">
        <f t="shared" si="12"/>
        <v>0</v>
      </c>
      <c r="AI27" s="1623">
        <f t="shared" si="12"/>
        <v>0</v>
      </c>
      <c r="AJ27" s="1624">
        <f t="shared" si="12"/>
        <v>0</v>
      </c>
      <c r="AK27" s="1625">
        <v>0</v>
      </c>
      <c r="AL27" s="1625">
        <v>0</v>
      </c>
      <c r="AM27" s="1625">
        <v>100</v>
      </c>
      <c r="AN27" s="1625">
        <v>850</v>
      </c>
      <c r="AO27" s="1625">
        <v>200</v>
      </c>
      <c r="AP27" s="1625">
        <v>1000</v>
      </c>
      <c r="AQ27" s="1626"/>
      <c r="AR27" s="1627"/>
      <c r="AS27" s="1627"/>
      <c r="AT27" s="1627"/>
      <c r="AU27" s="1627"/>
      <c r="AV27" s="1627"/>
      <c r="AW27" s="1627"/>
      <c r="AX27" s="1627"/>
      <c r="AY27" s="1627"/>
      <c r="AZ27" s="1627"/>
      <c r="BA27" s="1627"/>
      <c r="BB27" s="1627"/>
      <c r="BC27" s="1627"/>
      <c r="BD27" s="1627"/>
      <c r="BE27" s="1627">
        <f>BE28-BE26</f>
        <v>0</v>
      </c>
      <c r="BF27" s="1628">
        <f>BF28-BF26</f>
        <v>0</v>
      </c>
      <c r="BG27" s="1627">
        <f>SUM(AI27,AJ27,AK27,AL27)</f>
        <v>0</v>
      </c>
      <c r="BH27" s="1627">
        <f>SUM(AM27,AN27,AO27,AP27)</f>
        <v>2150</v>
      </c>
      <c r="BI27" s="1629">
        <v>1000</v>
      </c>
      <c r="BJ27" s="1629">
        <v>1000</v>
      </c>
      <c r="BK27" s="1629">
        <v>1000</v>
      </c>
      <c r="BL27" s="1630"/>
    </row>
    <row r="28" spans="1:64" s="1620" customFormat="1" x14ac:dyDescent="0.35">
      <c r="A28" s="1613" t="s">
        <v>902</v>
      </c>
      <c r="B28" s="1614"/>
      <c r="C28" s="1615"/>
      <c r="D28" s="1615"/>
      <c r="E28" s="1615"/>
      <c r="F28" s="1615"/>
      <c r="G28" s="1615"/>
      <c r="H28" s="1615"/>
      <c r="I28" s="1615"/>
      <c r="J28" s="1615"/>
      <c r="K28" s="1615"/>
      <c r="L28" s="1615"/>
      <c r="M28" s="1615"/>
      <c r="N28" s="1615"/>
      <c r="O28" s="1615"/>
      <c r="P28" s="1615"/>
      <c r="Q28" s="1615"/>
      <c r="R28" s="1615"/>
      <c r="S28" s="1615"/>
      <c r="T28" s="1615"/>
      <c r="U28" s="1615"/>
      <c r="V28" s="1615"/>
      <c r="W28" s="1615"/>
      <c r="X28" s="1632">
        <v>40000</v>
      </c>
      <c r="Y28" s="1632">
        <v>47000</v>
      </c>
      <c r="Z28" s="1632">
        <v>50000</v>
      </c>
      <c r="AA28" s="1632">
        <v>50000</v>
      </c>
      <c r="AB28" s="1632">
        <v>50000</v>
      </c>
      <c r="AC28" s="1632">
        <v>50000</v>
      </c>
      <c r="AD28" s="1632">
        <v>50000</v>
      </c>
      <c r="AE28" s="1632">
        <v>50000</v>
      </c>
      <c r="AF28" s="1632">
        <v>50000</v>
      </c>
      <c r="AG28" s="1632">
        <v>50000</v>
      </c>
      <c r="AH28" s="1632">
        <v>50000</v>
      </c>
      <c r="AI28" s="1632">
        <v>50000</v>
      </c>
      <c r="AJ28" s="1633">
        <v>50000</v>
      </c>
      <c r="AK28" s="1615">
        <f t="shared" ref="AK28:AP28" si="13">AK26+AK27</f>
        <v>50000</v>
      </c>
      <c r="AL28" s="1615">
        <f t="shared" si="13"/>
        <v>50000</v>
      </c>
      <c r="AM28" s="1615">
        <f t="shared" si="13"/>
        <v>50100</v>
      </c>
      <c r="AN28" s="1615">
        <f t="shared" si="13"/>
        <v>50950</v>
      </c>
      <c r="AO28" s="1615">
        <f t="shared" si="13"/>
        <v>51150</v>
      </c>
      <c r="AP28" s="1615">
        <f t="shared" si="13"/>
        <v>52150</v>
      </c>
      <c r="AQ28" s="1615"/>
      <c r="AR28" s="1617"/>
      <c r="AS28" s="1617"/>
      <c r="AT28" s="1617"/>
      <c r="AU28" s="1617"/>
      <c r="AV28" s="1617"/>
      <c r="AW28" s="1617"/>
      <c r="AX28" s="1617"/>
      <c r="AY28" s="1617"/>
      <c r="AZ28" s="1617"/>
      <c r="BA28" s="1617"/>
      <c r="BB28" s="1617"/>
      <c r="BC28" s="1617"/>
      <c r="BD28" s="1617">
        <f>Z28</f>
        <v>50000</v>
      </c>
      <c r="BE28" s="1617">
        <f>AD28</f>
        <v>50000</v>
      </c>
      <c r="BF28" s="1618">
        <f>AH28</f>
        <v>50000</v>
      </c>
      <c r="BG28" s="1617">
        <f>BG26+BG27</f>
        <v>50000</v>
      </c>
      <c r="BH28" s="1617">
        <f>BH26+BH27</f>
        <v>52150</v>
      </c>
      <c r="BI28" s="1617">
        <f>BI26+BI27</f>
        <v>53150</v>
      </c>
      <c r="BJ28" s="1617">
        <f>BJ26+BJ27</f>
        <v>54150</v>
      </c>
      <c r="BK28" s="1617">
        <f>BK26+BK27</f>
        <v>55150</v>
      </c>
      <c r="BL28" s="1619"/>
    </row>
    <row r="29" spans="1:64" s="1620" customFormat="1" x14ac:dyDescent="0.35">
      <c r="A29" s="1634" t="s">
        <v>903</v>
      </c>
      <c r="B29" s="1614"/>
      <c r="C29" s="1615"/>
      <c r="D29" s="1615"/>
      <c r="E29" s="1615"/>
      <c r="F29" s="1615"/>
      <c r="G29" s="1615"/>
      <c r="H29" s="1615"/>
      <c r="I29" s="1615"/>
      <c r="J29" s="1615"/>
      <c r="K29" s="1615"/>
      <c r="L29" s="1615"/>
      <c r="M29" s="1615"/>
      <c r="N29" s="1615"/>
      <c r="O29" s="1615"/>
      <c r="P29" s="1615"/>
      <c r="Q29" s="1615"/>
      <c r="R29" s="1615"/>
      <c r="S29" s="1615"/>
      <c r="T29" s="1615"/>
      <c r="U29" s="1615"/>
      <c r="V29" s="1615"/>
      <c r="W29" s="1615"/>
      <c r="X29" s="1619">
        <f t="shared" ref="X29:AP29" si="14">AVERAGE(X28,X26)</f>
        <v>40000</v>
      </c>
      <c r="Y29" s="1615">
        <f t="shared" si="14"/>
        <v>43500</v>
      </c>
      <c r="Z29" s="1615">
        <f t="shared" si="14"/>
        <v>48500</v>
      </c>
      <c r="AA29" s="1615">
        <f t="shared" si="14"/>
        <v>50000</v>
      </c>
      <c r="AB29" s="1619">
        <f t="shared" si="14"/>
        <v>50000</v>
      </c>
      <c r="AC29" s="1615">
        <f t="shared" si="14"/>
        <v>50000</v>
      </c>
      <c r="AD29" s="1615">
        <f t="shared" si="14"/>
        <v>50000</v>
      </c>
      <c r="AE29" s="1615">
        <f t="shared" si="14"/>
        <v>50000</v>
      </c>
      <c r="AF29" s="1619">
        <f t="shared" si="14"/>
        <v>50000</v>
      </c>
      <c r="AG29" s="1615">
        <f t="shared" si="14"/>
        <v>50000</v>
      </c>
      <c r="AH29" s="1615">
        <f t="shared" si="14"/>
        <v>50000</v>
      </c>
      <c r="AI29" s="1615">
        <f t="shared" si="14"/>
        <v>50000</v>
      </c>
      <c r="AJ29" s="1635">
        <f t="shared" si="14"/>
        <v>50000</v>
      </c>
      <c r="AK29" s="1615">
        <f t="shared" si="14"/>
        <v>50000</v>
      </c>
      <c r="AL29" s="1615">
        <f t="shared" si="14"/>
        <v>50000</v>
      </c>
      <c r="AM29" s="1615">
        <f t="shared" si="14"/>
        <v>50050</v>
      </c>
      <c r="AN29" s="1615">
        <f t="shared" si="14"/>
        <v>50525</v>
      </c>
      <c r="AO29" s="1615">
        <f t="shared" si="14"/>
        <v>51050</v>
      </c>
      <c r="AP29" s="1615">
        <f t="shared" si="14"/>
        <v>51650</v>
      </c>
      <c r="AQ29" s="1615"/>
      <c r="AR29" s="1617"/>
      <c r="AS29" s="1617"/>
      <c r="AT29" s="1617"/>
      <c r="AU29" s="1617"/>
      <c r="AV29" s="1617"/>
      <c r="AW29" s="1617"/>
      <c r="AX29" s="1617"/>
      <c r="AY29" s="1617"/>
      <c r="AZ29" s="1617"/>
      <c r="BA29" s="1617"/>
      <c r="BB29" s="1617"/>
      <c r="BC29" s="1617"/>
      <c r="BD29" s="1617"/>
      <c r="BE29" s="1617">
        <f t="shared" ref="BE29:BK29" si="15">AVERAGE(BE28,BE26)</f>
        <v>50000</v>
      </c>
      <c r="BF29" s="1618">
        <f t="shared" si="15"/>
        <v>50000</v>
      </c>
      <c r="BG29" s="1617">
        <f t="shared" si="15"/>
        <v>50000</v>
      </c>
      <c r="BH29" s="1617">
        <f t="shared" si="15"/>
        <v>51075</v>
      </c>
      <c r="BI29" s="1617">
        <f t="shared" si="15"/>
        <v>52650</v>
      </c>
      <c r="BJ29" s="1617">
        <f t="shared" si="15"/>
        <v>53650</v>
      </c>
      <c r="BK29" s="1617">
        <f t="shared" si="15"/>
        <v>54650</v>
      </c>
      <c r="BL29" s="1619"/>
    </row>
    <row r="30" spans="1:64" s="1643" customFormat="1" x14ac:dyDescent="0.35">
      <c r="A30" s="1636" t="s">
        <v>904</v>
      </c>
      <c r="B30" s="1637"/>
      <c r="C30" s="1638"/>
      <c r="D30" s="1638"/>
      <c r="E30" s="1638"/>
      <c r="F30" s="1638"/>
      <c r="G30" s="1638"/>
      <c r="H30" s="1638"/>
      <c r="I30" s="1638"/>
      <c r="J30" s="1638"/>
      <c r="K30" s="1638"/>
      <c r="L30" s="1638"/>
      <c r="M30" s="1638"/>
      <c r="N30" s="1638"/>
      <c r="O30" s="1638"/>
      <c r="P30" s="1638"/>
      <c r="Q30" s="1638"/>
      <c r="R30" s="1638"/>
      <c r="S30" s="1638"/>
      <c r="T30" s="1638"/>
      <c r="U30" s="1638"/>
      <c r="V30" s="1638"/>
      <c r="W30" s="1638"/>
      <c r="X30" s="1638"/>
      <c r="Y30" s="1638"/>
      <c r="Z30" s="1638"/>
      <c r="AA30" s="1638"/>
      <c r="AB30" s="1638"/>
      <c r="AC30" s="1638"/>
      <c r="AD30" s="1638"/>
      <c r="AE30" s="1638"/>
      <c r="AF30" s="1638"/>
      <c r="AG30" s="1638"/>
      <c r="AH30" s="1638"/>
      <c r="AI30" s="1638"/>
      <c r="AJ30" s="1639"/>
      <c r="AK30" s="1638">
        <f t="shared" ref="AK30:AP30" si="16">AK28/AG28-1</f>
        <v>0</v>
      </c>
      <c r="AL30" s="1638">
        <f t="shared" si="16"/>
        <v>0</v>
      </c>
      <c r="AM30" s="1638">
        <f t="shared" si="16"/>
        <v>2.0000000000000018E-3</v>
      </c>
      <c r="AN30" s="1638">
        <f t="shared" si="16"/>
        <v>1.8999999999999906E-2</v>
      </c>
      <c r="AO30" s="1638">
        <f t="shared" si="16"/>
        <v>2.2999999999999909E-2</v>
      </c>
      <c r="AP30" s="1638">
        <f t="shared" si="16"/>
        <v>4.2999999999999927E-2</v>
      </c>
      <c r="AQ30" s="1638"/>
      <c r="AR30" s="1640"/>
      <c r="AS30" s="1640"/>
      <c r="AT30" s="1640"/>
      <c r="AU30" s="1640"/>
      <c r="AV30" s="1640"/>
      <c r="AW30" s="1640"/>
      <c r="AX30" s="1640"/>
      <c r="AY30" s="1640"/>
      <c r="AZ30" s="1640"/>
      <c r="BA30" s="1640"/>
      <c r="BB30" s="1640"/>
      <c r="BC30" s="1640"/>
      <c r="BD30" s="1640"/>
      <c r="BE30" s="1640"/>
      <c r="BF30" s="1641"/>
      <c r="BG30" s="1640">
        <f>BG28/BF28-1</f>
        <v>0</v>
      </c>
      <c r="BH30" s="1640">
        <f>BH28/BG28-1</f>
        <v>4.2999999999999927E-2</v>
      </c>
      <c r="BI30" s="1640">
        <f>BI28/BH28-1</f>
        <v>1.9175455417066223E-2</v>
      </c>
      <c r="BJ30" s="1640">
        <f>BJ28/BI28-1</f>
        <v>1.8814675446848561E-2</v>
      </c>
      <c r="BK30" s="1640">
        <f>BK28/BJ28-1</f>
        <v>1.8467220683287211E-2</v>
      </c>
      <c r="BL30" s="1642"/>
    </row>
    <row r="31" spans="1:64" s="1643" customFormat="1" x14ac:dyDescent="0.35">
      <c r="A31" s="1636"/>
      <c r="B31" s="1637"/>
      <c r="C31" s="1638"/>
      <c r="D31" s="1638"/>
      <c r="E31" s="1638"/>
      <c r="F31" s="1638"/>
      <c r="G31" s="1638"/>
      <c r="H31" s="1638"/>
      <c r="I31" s="1638"/>
      <c r="J31" s="1638"/>
      <c r="K31" s="1638"/>
      <c r="L31" s="1638"/>
      <c r="M31" s="1638"/>
      <c r="N31" s="1638"/>
      <c r="O31" s="1638"/>
      <c r="P31" s="1638"/>
      <c r="Q31" s="1638"/>
      <c r="R31" s="1638"/>
      <c r="S31" s="1638"/>
      <c r="T31" s="1638"/>
      <c r="U31" s="1638"/>
      <c r="V31" s="1638"/>
      <c r="W31" s="1638"/>
      <c r="X31" s="1638"/>
      <c r="Y31" s="1638"/>
      <c r="Z31" s="1638"/>
      <c r="AA31" s="1638"/>
      <c r="AB31" s="1638"/>
      <c r="AC31" s="1638"/>
      <c r="AD31" s="1638"/>
      <c r="AE31" s="1638"/>
      <c r="AF31" s="1638"/>
      <c r="AG31" s="1638"/>
      <c r="AH31" s="1638"/>
      <c r="AI31" s="1638"/>
      <c r="AJ31" s="1639"/>
      <c r="AK31" s="1638"/>
      <c r="AL31" s="1638"/>
      <c r="AM31" s="1638"/>
      <c r="AN31" s="1638"/>
      <c r="AO31" s="1638"/>
      <c r="AP31" s="1638"/>
      <c r="AQ31" s="1638"/>
      <c r="AR31" s="1640"/>
      <c r="AS31" s="1640"/>
      <c r="AT31" s="1640"/>
      <c r="AU31" s="1640"/>
      <c r="AV31" s="1640"/>
      <c r="AW31" s="1640"/>
      <c r="AX31" s="1640"/>
      <c r="AY31" s="1640"/>
      <c r="AZ31" s="1640"/>
      <c r="BA31" s="1640"/>
      <c r="BB31" s="1640"/>
      <c r="BC31" s="1640"/>
      <c r="BD31" s="1640"/>
      <c r="BE31" s="1640"/>
      <c r="BF31" s="1641"/>
      <c r="BG31" s="1640"/>
      <c r="BH31" s="1640"/>
      <c r="BI31" s="1640"/>
      <c r="BJ31" s="1640"/>
      <c r="BK31" s="1640"/>
      <c r="BL31" s="1642"/>
    </row>
    <row r="32" spans="1:64" s="1651" customFormat="1" x14ac:dyDescent="0.35">
      <c r="A32" s="1644" t="s">
        <v>905</v>
      </c>
      <c r="B32" s="1645"/>
      <c r="C32" s="1646"/>
      <c r="D32" s="1646"/>
      <c r="E32" s="1646"/>
      <c r="F32" s="1646"/>
      <c r="G32" s="1646"/>
      <c r="H32" s="1646"/>
      <c r="I32" s="1646"/>
      <c r="J32" s="1646"/>
      <c r="K32" s="1646"/>
      <c r="L32" s="1646"/>
      <c r="M32" s="1646"/>
      <c r="N32" s="1646"/>
      <c r="O32" s="1646"/>
      <c r="P32" s="1646"/>
      <c r="Q32" s="1646"/>
      <c r="R32" s="1646"/>
      <c r="S32" s="1646"/>
      <c r="T32" s="1646"/>
      <c r="U32" s="1646"/>
      <c r="V32" s="1646"/>
      <c r="W32" s="1646"/>
      <c r="X32" s="1646">
        <f t="shared" ref="X32:AJ32" si="17">X119/(X29/1000000)</f>
        <v>3983.2</v>
      </c>
      <c r="Y32" s="1646">
        <f t="shared" si="17"/>
        <v>3897.8620689655172</v>
      </c>
      <c r="Z32" s="1646">
        <f t="shared" si="17"/>
        <v>3579.9793814432987</v>
      </c>
      <c r="AA32" s="1646">
        <f t="shared" si="17"/>
        <v>3839.44</v>
      </c>
      <c r="AB32" s="1646">
        <f t="shared" si="17"/>
        <v>4111.82</v>
      </c>
      <c r="AC32" s="1646">
        <f t="shared" si="17"/>
        <v>3985.98</v>
      </c>
      <c r="AD32" s="1646">
        <f t="shared" si="17"/>
        <v>3398.3999999999996</v>
      </c>
      <c r="AE32" s="1646">
        <f t="shared" si="17"/>
        <v>3585.48</v>
      </c>
      <c r="AF32" s="1646">
        <f t="shared" si="17"/>
        <v>3807.6799999999994</v>
      </c>
      <c r="AG32" s="1646">
        <f t="shared" si="17"/>
        <v>3611.3199999999997</v>
      </c>
      <c r="AH32" s="1646">
        <f t="shared" si="17"/>
        <v>3388.3199999999988</v>
      </c>
      <c r="AI32" s="1646">
        <f t="shared" si="17"/>
        <v>3719.9799999999996</v>
      </c>
      <c r="AJ32" s="1647">
        <f t="shared" si="17"/>
        <v>4010.5599999999995</v>
      </c>
      <c r="AK32" s="1646">
        <f t="shared" ref="AK32:AP32" si="18">AG32*(1+AK33)</f>
        <v>3831.6105199999993</v>
      </c>
      <c r="AL32" s="1646">
        <f t="shared" si="18"/>
        <v>3557.735999999999</v>
      </c>
      <c r="AM32" s="1646">
        <f t="shared" si="18"/>
        <v>3920.8589199999997</v>
      </c>
      <c r="AN32" s="1646">
        <f t="shared" si="18"/>
        <v>4275.2569599999997</v>
      </c>
      <c r="AO32" s="1646">
        <f t="shared" si="18"/>
        <v>4080.6652037999988</v>
      </c>
      <c r="AP32" s="1646">
        <f t="shared" si="18"/>
        <v>3806.7775199999992</v>
      </c>
      <c r="AQ32" s="1646"/>
      <c r="AR32" s="1648"/>
      <c r="AS32" s="1648"/>
      <c r="AT32" s="1648"/>
      <c r="AU32" s="1648"/>
      <c r="AV32" s="1648"/>
      <c r="AW32" s="1648"/>
      <c r="AX32" s="1648"/>
      <c r="AY32" s="1648"/>
      <c r="AZ32" s="1648"/>
      <c r="BA32" s="1648"/>
      <c r="BB32" s="1648"/>
      <c r="BC32" s="1648"/>
      <c r="BD32" s="1648">
        <f>BD119/(BD28/1000000)</f>
        <v>12837.68</v>
      </c>
      <c r="BE32" s="1648">
        <f>BE119/(BE28/1000000)</f>
        <v>15335.64</v>
      </c>
      <c r="BF32" s="1649">
        <f>BF119/(BF28/1000000)</f>
        <v>14392.8</v>
      </c>
      <c r="BG32" s="1648">
        <f>BG177/(BG29/1000000)</f>
        <v>15119.88652</v>
      </c>
      <c r="BH32" s="1648">
        <f>BH177/(BH29/1000000)</f>
        <v>15999.693870034065</v>
      </c>
      <c r="BI32" s="1648">
        <f>BH32*(1+BI33)</f>
        <v>16983.675043041163</v>
      </c>
      <c r="BJ32" s="1648">
        <f>BI32*(1+BJ33)</f>
        <v>17832.85879519322</v>
      </c>
      <c r="BK32" s="1648">
        <f>BJ32*(1+BK33)</f>
        <v>18724.501734952883</v>
      </c>
      <c r="BL32" s="1650"/>
    </row>
    <row r="33" spans="1:64" s="1560" customFormat="1" x14ac:dyDescent="0.35">
      <c r="A33" s="1636" t="s">
        <v>906</v>
      </c>
      <c r="B33" s="1637"/>
      <c r="C33" s="1638"/>
      <c r="D33" s="1638"/>
      <c r="E33" s="1638"/>
      <c r="F33" s="1638"/>
      <c r="G33" s="1638"/>
      <c r="H33" s="1638"/>
      <c r="I33" s="1638"/>
      <c r="J33" s="1638"/>
      <c r="K33" s="1638"/>
      <c r="L33" s="1638"/>
      <c r="M33" s="1638"/>
      <c r="N33" s="1638"/>
      <c r="O33" s="1638"/>
      <c r="P33" s="1638"/>
      <c r="Q33" s="1638"/>
      <c r="R33" s="1638"/>
      <c r="S33" s="1638"/>
      <c r="T33" s="1638"/>
      <c r="U33" s="1638"/>
      <c r="V33" s="1638"/>
      <c r="W33" s="1638"/>
      <c r="X33" s="1638"/>
      <c r="Y33" s="1638"/>
      <c r="Z33" s="1638"/>
      <c r="AA33" s="1638"/>
      <c r="AB33" s="1638">
        <f t="shared" ref="AB33:AJ33" si="19">AB32/X32-1</f>
        <v>3.2290620606547416E-2</v>
      </c>
      <c r="AC33" s="1638">
        <f t="shared" si="19"/>
        <v>2.2606734018648655E-2</v>
      </c>
      <c r="AD33" s="1638">
        <f t="shared" si="19"/>
        <v>-5.0720789729826299E-2</v>
      </c>
      <c r="AE33" s="1638">
        <f t="shared" si="19"/>
        <v>-6.6145062821661549E-2</v>
      </c>
      <c r="AF33" s="1638">
        <f t="shared" si="19"/>
        <v>-7.3967245647912683E-2</v>
      </c>
      <c r="AG33" s="1638">
        <f t="shared" si="19"/>
        <v>-9.399445054917499E-2</v>
      </c>
      <c r="AH33" s="1638">
        <f t="shared" si="19"/>
        <v>-2.9661016949155128E-3</v>
      </c>
      <c r="AI33" s="1638">
        <f t="shared" si="19"/>
        <v>3.7512411169494664E-2</v>
      </c>
      <c r="AJ33" s="1639">
        <f t="shared" si="19"/>
        <v>5.3281788385578732E-2</v>
      </c>
      <c r="AK33" s="1652">
        <v>6.0999999999999999E-2</v>
      </c>
      <c r="AL33" s="1652">
        <v>0.05</v>
      </c>
      <c r="AM33" s="1652">
        <v>5.3999999999999999E-2</v>
      </c>
      <c r="AN33" s="1652">
        <v>6.6000000000000003E-2</v>
      </c>
      <c r="AO33" s="1652">
        <v>6.5000000000000002E-2</v>
      </c>
      <c r="AP33" s="1652">
        <v>7.0000000000000007E-2</v>
      </c>
      <c r="AQ33" s="1653"/>
      <c r="AR33" s="1640"/>
      <c r="AS33" s="1640"/>
      <c r="AT33" s="1640"/>
      <c r="AU33" s="1640"/>
      <c r="AV33" s="1640"/>
      <c r="AW33" s="1640"/>
      <c r="AX33" s="1640"/>
      <c r="AY33" s="1640"/>
      <c r="AZ33" s="1640"/>
      <c r="BA33" s="1640"/>
      <c r="BB33" s="1640"/>
      <c r="BC33" s="1640"/>
      <c r="BD33" s="1640"/>
      <c r="BE33" s="1640">
        <f>BE32/BD32-1</f>
        <v>0.19458032915604684</v>
      </c>
      <c r="BF33" s="1641">
        <f>BF32/BE32-1</f>
        <v>-6.1480316439353033E-2</v>
      </c>
      <c r="BG33" s="1640">
        <f>BG32/BF32-1</f>
        <v>5.0517378133511315E-2</v>
      </c>
      <c r="BH33" s="1640">
        <f>BH32/BG32-1</f>
        <v>5.8188753524723191E-2</v>
      </c>
      <c r="BI33" s="1654">
        <v>6.1499999999999999E-2</v>
      </c>
      <c r="BJ33" s="1654">
        <v>0.05</v>
      </c>
      <c r="BK33" s="1654">
        <v>0.05</v>
      </c>
      <c r="BL33" s="1559"/>
    </row>
    <row r="34" spans="1:64" s="1560" customFormat="1" hidden="1" outlineLevel="1" x14ac:dyDescent="0.35">
      <c r="A34" s="1636"/>
      <c r="B34" s="1655"/>
      <c r="C34" s="1656"/>
      <c r="D34" s="1656"/>
      <c r="E34" s="1656"/>
      <c r="F34" s="1656"/>
      <c r="G34" s="1656"/>
      <c r="H34" s="1656"/>
      <c r="I34" s="1656"/>
      <c r="J34" s="1656"/>
      <c r="K34" s="1656"/>
      <c r="L34" s="1656"/>
      <c r="M34" s="1656"/>
      <c r="N34" s="1656"/>
      <c r="O34" s="1656"/>
      <c r="P34" s="1656"/>
      <c r="Q34" s="1656"/>
      <c r="R34" s="1656"/>
      <c r="S34" s="1656"/>
      <c r="T34" s="1656"/>
      <c r="U34" s="1656"/>
      <c r="V34" s="1656"/>
      <c r="W34" s="1656"/>
      <c r="X34" s="1656"/>
      <c r="Y34" s="1656"/>
      <c r="Z34" s="1656"/>
      <c r="AA34" s="1656"/>
      <c r="AB34" s="1656"/>
      <c r="AC34" s="1656"/>
      <c r="AD34" s="1656"/>
      <c r="AE34" s="1656"/>
      <c r="AF34" s="1656"/>
      <c r="AG34" s="1656"/>
      <c r="AH34" s="1656"/>
      <c r="AI34" s="1656"/>
      <c r="AJ34" s="1657"/>
      <c r="AK34" s="1656"/>
      <c r="AL34" s="1656"/>
      <c r="AM34" s="1656"/>
      <c r="AN34" s="1656"/>
      <c r="AO34" s="1656"/>
      <c r="AP34" s="1656"/>
      <c r="AQ34" s="1656"/>
      <c r="AR34" s="1658"/>
      <c r="AS34" s="1658"/>
      <c r="AT34" s="1658"/>
      <c r="AU34" s="1658"/>
      <c r="AV34" s="1658"/>
      <c r="AW34" s="1658"/>
      <c r="AX34" s="1658"/>
      <c r="AY34" s="1658"/>
      <c r="AZ34" s="1658"/>
      <c r="BA34" s="1658"/>
      <c r="BB34" s="1658"/>
      <c r="BC34" s="1658"/>
      <c r="BD34" s="1658"/>
      <c r="BE34" s="1658"/>
      <c r="BF34" s="1659"/>
      <c r="BG34" s="1658"/>
      <c r="BH34" s="1658"/>
      <c r="BI34" s="1658"/>
      <c r="BJ34" s="1658"/>
      <c r="BK34" s="1658"/>
      <c r="BL34" s="1559"/>
    </row>
    <row r="35" spans="1:64" s="1560" customFormat="1" hidden="1" outlineLevel="1" x14ac:dyDescent="0.35">
      <c r="A35" s="1660" t="s">
        <v>907</v>
      </c>
      <c r="B35" s="1655"/>
      <c r="C35" s="1656"/>
      <c r="D35" s="1656"/>
      <c r="E35" s="1656"/>
      <c r="F35" s="1656"/>
      <c r="G35" s="1656"/>
      <c r="H35" s="1656"/>
      <c r="I35" s="1656"/>
      <c r="J35" s="1656"/>
      <c r="K35" s="1656"/>
      <c r="L35" s="1656"/>
      <c r="M35" s="1656"/>
      <c r="N35" s="1656"/>
      <c r="O35" s="1656"/>
      <c r="P35" s="1656"/>
      <c r="Q35" s="1656"/>
      <c r="R35" s="1656"/>
      <c r="S35" s="1656"/>
      <c r="T35" s="1661">
        <v>0.93</v>
      </c>
      <c r="U35" s="1661">
        <v>0.95</v>
      </c>
      <c r="V35" s="1656"/>
      <c r="W35" s="1656"/>
      <c r="X35" s="1661">
        <v>0.96</v>
      </c>
      <c r="Y35" s="1661">
        <v>0.96</v>
      </c>
      <c r="Z35" s="1661">
        <v>0.96</v>
      </c>
      <c r="AA35" s="1661">
        <v>0.96</v>
      </c>
      <c r="AB35" s="1661">
        <v>0.96</v>
      </c>
      <c r="AC35" s="1661">
        <v>0.96</v>
      </c>
      <c r="AD35" s="1661">
        <v>0.96</v>
      </c>
      <c r="AE35" s="1661">
        <v>0.95</v>
      </c>
      <c r="AF35" s="1661">
        <v>0.95</v>
      </c>
      <c r="AG35" s="1661">
        <v>0.95</v>
      </c>
      <c r="AH35" s="1661">
        <v>0.96</v>
      </c>
      <c r="AI35" s="1661">
        <v>0.96</v>
      </c>
      <c r="AJ35" s="1662">
        <v>0.96</v>
      </c>
      <c r="AK35" s="1656"/>
      <c r="AL35" s="1656"/>
      <c r="AM35" s="1656"/>
      <c r="AN35" s="1656"/>
      <c r="AO35" s="1656"/>
      <c r="AP35" s="1656"/>
      <c r="AQ35" s="1656"/>
      <c r="AR35" s="1658"/>
      <c r="AS35" s="1658"/>
      <c r="AT35" s="1658"/>
      <c r="AU35" s="1658"/>
      <c r="AV35" s="1658"/>
      <c r="AW35" s="1658"/>
      <c r="AX35" s="1658"/>
      <c r="AY35" s="1658"/>
      <c r="AZ35" s="1658"/>
      <c r="BA35" s="1663">
        <v>0.88</v>
      </c>
      <c r="BB35" s="1663">
        <v>0.91</v>
      </c>
      <c r="BC35" s="1663">
        <v>0.94</v>
      </c>
      <c r="BD35" s="1663">
        <v>0.96</v>
      </c>
      <c r="BE35" s="1663">
        <v>0.96</v>
      </c>
      <c r="BF35" s="1659">
        <f>+AH35</f>
        <v>0.96</v>
      </c>
      <c r="BG35" s="1658"/>
      <c r="BH35" s="1658"/>
      <c r="BI35" s="1658"/>
      <c r="BJ35" s="1658"/>
      <c r="BK35" s="1658"/>
      <c r="BL35" s="1559"/>
    </row>
    <row r="36" spans="1:64" s="1518" customFormat="1" hidden="1" outlineLevel="1" x14ac:dyDescent="0.35">
      <c r="A36" s="1664" t="s">
        <v>908</v>
      </c>
      <c r="B36" s="1592"/>
      <c r="C36" s="1515"/>
      <c r="D36" s="1515"/>
      <c r="E36" s="1515"/>
      <c r="F36" s="1515"/>
      <c r="G36" s="1515"/>
      <c r="H36" s="1515"/>
      <c r="I36" s="1515"/>
      <c r="J36" s="1515"/>
      <c r="K36" s="1515"/>
      <c r="L36" s="1515"/>
      <c r="M36" s="1515"/>
      <c r="N36" s="1515"/>
      <c r="O36" s="1515"/>
      <c r="P36" s="1515"/>
      <c r="Q36" s="1515"/>
      <c r="R36" s="1515"/>
      <c r="S36" s="1515"/>
      <c r="T36" s="1515"/>
      <c r="U36" s="1515"/>
      <c r="V36" s="1515"/>
      <c r="W36" s="1515"/>
      <c r="X36" s="1593">
        <v>75</v>
      </c>
      <c r="Y36" s="1593">
        <v>75</v>
      </c>
      <c r="Z36" s="1515"/>
      <c r="AA36" s="1593">
        <v>95</v>
      </c>
      <c r="AB36" s="1593">
        <v>95</v>
      </c>
      <c r="AC36" s="1593">
        <v>95</v>
      </c>
      <c r="AD36" s="1515"/>
      <c r="AE36" s="1593">
        <v>110</v>
      </c>
      <c r="AF36" s="1593">
        <v>110</v>
      </c>
      <c r="AG36" s="1593">
        <v>110</v>
      </c>
      <c r="AH36" s="1515"/>
      <c r="AI36" s="1593">
        <v>103</v>
      </c>
      <c r="AJ36" s="1594">
        <v>103</v>
      </c>
      <c r="AK36" s="1515"/>
      <c r="AL36" s="1515"/>
      <c r="AM36" s="1515"/>
      <c r="AN36" s="1515"/>
      <c r="AO36" s="1515"/>
      <c r="AP36" s="1515"/>
      <c r="AQ36" s="1515"/>
      <c r="AR36" s="1595"/>
      <c r="AS36" s="1595"/>
      <c r="AT36" s="1595"/>
      <c r="AU36" s="1595"/>
      <c r="AV36" s="1595"/>
      <c r="AW36" s="1595"/>
      <c r="AX36" s="1595"/>
      <c r="AY36" s="1595"/>
      <c r="AZ36" s="1595"/>
      <c r="BA36" s="1595"/>
      <c r="BB36" s="1595"/>
      <c r="BC36" s="1595"/>
      <c r="BD36" s="1596">
        <v>95</v>
      </c>
      <c r="BE36" s="1596">
        <v>110</v>
      </c>
      <c r="BF36" s="1597">
        <v>103</v>
      </c>
      <c r="BG36" s="1595"/>
      <c r="BH36" s="1595"/>
      <c r="BI36" s="1595"/>
      <c r="BJ36" s="1595"/>
      <c r="BK36" s="1595"/>
      <c r="BL36" s="1517"/>
    </row>
    <row r="37" spans="1:64" s="1608" customFormat="1" collapsed="1" x14ac:dyDescent="0.35">
      <c r="A37" s="1665"/>
      <c r="B37" s="1666"/>
      <c r="C37" s="1667"/>
      <c r="D37" s="1667"/>
      <c r="E37" s="1667"/>
      <c r="F37" s="1667"/>
      <c r="G37" s="1667"/>
      <c r="H37" s="1667"/>
      <c r="I37" s="1667"/>
      <c r="J37" s="1667"/>
      <c r="K37" s="1667"/>
      <c r="L37" s="1667"/>
      <c r="M37" s="1667"/>
      <c r="N37" s="1667"/>
      <c r="O37" s="1667"/>
      <c r="P37" s="1667"/>
      <c r="Q37" s="1667"/>
      <c r="R37" s="1667"/>
      <c r="S37" s="1667"/>
      <c r="T37" s="1667"/>
      <c r="U37" s="1667"/>
      <c r="V37" s="1667"/>
      <c r="W37" s="1667"/>
      <c r="X37" s="1667"/>
      <c r="Y37" s="1667"/>
      <c r="Z37" s="1667"/>
      <c r="AA37" s="1667"/>
      <c r="AB37" s="1667"/>
      <c r="AC37" s="1667"/>
      <c r="AD37" s="1667"/>
      <c r="AE37" s="1667"/>
      <c r="AF37" s="1667"/>
      <c r="AG37" s="1667"/>
      <c r="AH37" s="1667"/>
      <c r="AI37" s="1667"/>
      <c r="AJ37" s="1668"/>
      <c r="AK37" s="1667"/>
      <c r="AL37" s="1667"/>
      <c r="AM37" s="1667"/>
      <c r="AN37" s="1667"/>
      <c r="AO37" s="1667"/>
      <c r="AP37" s="1667"/>
      <c r="AQ37" s="1667"/>
      <c r="AR37" s="1669"/>
      <c r="AS37" s="1669"/>
      <c r="AT37" s="1669"/>
      <c r="AU37" s="1669"/>
      <c r="AV37" s="1669"/>
      <c r="AW37" s="1669"/>
      <c r="AX37" s="1669"/>
      <c r="AY37" s="1669"/>
      <c r="AZ37" s="1669"/>
      <c r="BA37" s="1669"/>
      <c r="BB37" s="1669"/>
      <c r="BC37" s="1669"/>
      <c r="BD37" s="1669"/>
      <c r="BE37" s="1669"/>
      <c r="BF37" s="1612"/>
      <c r="BG37" s="1669"/>
      <c r="BH37" s="1669"/>
      <c r="BI37" s="1669"/>
      <c r="BJ37" s="1669"/>
      <c r="BK37" s="1669"/>
      <c r="BL37" s="1607"/>
    </row>
    <row r="38" spans="1:64" s="1518" customFormat="1" x14ac:dyDescent="0.35">
      <c r="A38" s="1588" t="s">
        <v>909</v>
      </c>
      <c r="B38" s="1556"/>
      <c r="C38" s="1556"/>
      <c r="D38" s="1556"/>
      <c r="E38" s="1556"/>
      <c r="F38" s="1556"/>
      <c r="G38" s="1556"/>
      <c r="H38" s="1556"/>
      <c r="I38" s="1556"/>
      <c r="J38" s="1556"/>
      <c r="K38" s="1556"/>
      <c r="L38" s="1556"/>
      <c r="M38" s="1556"/>
      <c r="N38" s="1556"/>
      <c r="O38" s="1556"/>
      <c r="P38" s="1556"/>
      <c r="Q38" s="1556"/>
      <c r="R38" s="1556"/>
      <c r="S38" s="1556"/>
      <c r="T38" s="1556"/>
      <c r="U38" s="1556"/>
      <c r="V38" s="1556"/>
      <c r="W38" s="1556"/>
      <c r="X38" s="1556"/>
      <c r="Y38" s="1556"/>
      <c r="Z38" s="1556"/>
      <c r="AA38" s="1556"/>
      <c r="AB38" s="1556"/>
      <c r="AC38" s="1556"/>
      <c r="AD38" s="1556"/>
      <c r="AE38" s="1556"/>
      <c r="AF38" s="1556"/>
      <c r="AG38" s="1556"/>
      <c r="AH38" s="1556"/>
      <c r="AI38" s="1556"/>
      <c r="AJ38" s="1558"/>
      <c r="AK38" s="1556"/>
      <c r="AL38" s="1556"/>
      <c r="AM38" s="1556"/>
      <c r="AN38" s="1556"/>
      <c r="AO38" s="1556"/>
      <c r="AP38" s="1556"/>
      <c r="AQ38" s="1556"/>
      <c r="AR38" s="1556"/>
      <c r="AS38" s="1556"/>
      <c r="AT38" s="1556"/>
      <c r="AU38" s="1556"/>
      <c r="AV38" s="1556"/>
      <c r="AW38" s="1556"/>
      <c r="AX38" s="1556"/>
      <c r="AY38" s="1556"/>
      <c r="AZ38" s="1556"/>
      <c r="BA38" s="1556"/>
      <c r="BB38" s="1556"/>
      <c r="BC38" s="1556"/>
      <c r="BD38" s="1556"/>
      <c r="BE38" s="1556"/>
      <c r="BF38" s="1558"/>
      <c r="BG38" s="1556"/>
      <c r="BH38" s="1556"/>
      <c r="BI38" s="1556"/>
      <c r="BJ38" s="1556"/>
      <c r="BK38" s="1556"/>
      <c r="BL38" s="1517"/>
    </row>
    <row r="39" spans="1:64" s="1560" customFormat="1" outlineLevel="1" x14ac:dyDescent="0.35">
      <c r="A39" s="1561" t="s">
        <v>910</v>
      </c>
      <c r="B39" s="1655"/>
      <c r="C39" s="1656"/>
      <c r="D39" s="1656"/>
      <c r="E39" s="1656"/>
      <c r="F39" s="1656"/>
      <c r="G39" s="1656"/>
      <c r="H39" s="1656"/>
      <c r="I39" s="1656"/>
      <c r="J39" s="1656"/>
      <c r="K39" s="1656"/>
      <c r="L39" s="1656"/>
      <c r="M39" s="1656"/>
      <c r="N39" s="1656"/>
      <c r="O39" s="1656"/>
      <c r="P39" s="1656"/>
      <c r="Q39" s="1656"/>
      <c r="R39" s="1656"/>
      <c r="S39" s="1656"/>
      <c r="T39" s="1656"/>
      <c r="U39" s="1656"/>
      <c r="V39" s="1656"/>
      <c r="W39" s="1656"/>
      <c r="X39" s="1656"/>
      <c r="Y39" s="1656"/>
      <c r="Z39" s="1656"/>
      <c r="AA39" s="1656"/>
      <c r="AB39" s="1656"/>
      <c r="AC39" s="1656"/>
      <c r="AD39" s="1656"/>
      <c r="AE39" s="1656"/>
      <c r="AF39" s="1656"/>
      <c r="AG39" s="1656"/>
      <c r="AH39" s="1656"/>
      <c r="AI39" s="1656"/>
      <c r="AJ39" s="1657"/>
      <c r="AK39" s="1656"/>
      <c r="AL39" s="1656"/>
      <c r="AM39" s="1656"/>
      <c r="AN39" s="1656"/>
      <c r="AO39" s="1656"/>
      <c r="AP39" s="1656"/>
      <c r="AQ39" s="1656"/>
      <c r="AR39" s="1658"/>
      <c r="AS39" s="1658"/>
      <c r="AT39" s="1658"/>
      <c r="AU39" s="1658"/>
      <c r="AV39" s="1658"/>
      <c r="AW39" s="1658"/>
      <c r="AX39" s="1658"/>
      <c r="AY39" s="1658"/>
      <c r="AZ39" s="1658"/>
      <c r="BA39" s="1658"/>
      <c r="BB39" s="1658"/>
      <c r="BC39" s="1663">
        <v>0.08</v>
      </c>
      <c r="BD39" s="1658"/>
      <c r="BE39" s="1658"/>
      <c r="BF39" s="1659"/>
      <c r="BG39" s="1658"/>
      <c r="BH39" s="1658"/>
      <c r="BI39" s="1658"/>
      <c r="BJ39" s="1658"/>
      <c r="BK39" s="1658"/>
      <c r="BL39" s="1559"/>
    </row>
    <row r="40" spans="1:64" s="1560" customFormat="1" outlineLevel="1" x14ac:dyDescent="0.35">
      <c r="A40" s="1561" t="s">
        <v>911</v>
      </c>
      <c r="B40" s="1655"/>
      <c r="C40" s="1656"/>
      <c r="D40" s="1656"/>
      <c r="E40" s="1656"/>
      <c r="F40" s="1656"/>
      <c r="G40" s="1656"/>
      <c r="H40" s="1656"/>
      <c r="I40" s="1656"/>
      <c r="J40" s="1656"/>
      <c r="K40" s="1656"/>
      <c r="L40" s="1656"/>
      <c r="M40" s="1656"/>
      <c r="N40" s="1656"/>
      <c r="O40" s="1656"/>
      <c r="P40" s="1656"/>
      <c r="Q40" s="1656"/>
      <c r="R40" s="1656"/>
      <c r="S40" s="1656"/>
      <c r="T40" s="1656"/>
      <c r="U40" s="1656"/>
      <c r="V40" s="1656"/>
      <c r="W40" s="1656"/>
      <c r="X40" s="1656"/>
      <c r="Y40" s="1656"/>
      <c r="Z40" s="1656"/>
      <c r="AA40" s="1656"/>
      <c r="AB40" s="1656"/>
      <c r="AC40" s="1656"/>
      <c r="AD40" s="1656"/>
      <c r="AE40" s="1656"/>
      <c r="AF40" s="1656"/>
      <c r="AG40" s="1656"/>
      <c r="AH40" s="1656"/>
      <c r="AI40" s="1656"/>
      <c r="AJ40" s="1657"/>
      <c r="AK40" s="1656"/>
      <c r="AL40" s="1656"/>
      <c r="AM40" s="1656"/>
      <c r="AN40" s="1656"/>
      <c r="AO40" s="1656"/>
      <c r="AP40" s="1656"/>
      <c r="AQ40" s="1656"/>
      <c r="AR40" s="1658"/>
      <c r="AS40" s="1658"/>
      <c r="AT40" s="1658"/>
      <c r="AU40" s="1658"/>
      <c r="AV40" s="1658"/>
      <c r="AW40" s="1658"/>
      <c r="AX40" s="1658"/>
      <c r="AY40" s="1658"/>
      <c r="AZ40" s="1658"/>
      <c r="BA40" s="1658"/>
      <c r="BB40" s="1658"/>
      <c r="BC40" s="1663">
        <v>0.2</v>
      </c>
      <c r="BD40" s="1658"/>
      <c r="BE40" s="1658"/>
      <c r="BF40" s="1659"/>
      <c r="BG40" s="1658"/>
      <c r="BH40" s="1658"/>
      <c r="BI40" s="1658"/>
      <c r="BJ40" s="1658"/>
      <c r="BK40" s="1658"/>
      <c r="BL40" s="1559"/>
    </row>
    <row r="41" spans="1:64" s="1560" customFormat="1" outlineLevel="1" x14ac:dyDescent="0.35">
      <c r="A41" s="1561" t="s">
        <v>912</v>
      </c>
      <c r="B41" s="1655"/>
      <c r="C41" s="1656"/>
      <c r="D41" s="1656"/>
      <c r="E41" s="1656"/>
      <c r="F41" s="1656"/>
      <c r="G41" s="1656"/>
      <c r="H41" s="1656"/>
      <c r="I41" s="1656"/>
      <c r="J41" s="1656"/>
      <c r="K41" s="1656"/>
      <c r="L41" s="1656"/>
      <c r="M41" s="1656"/>
      <c r="N41" s="1656"/>
      <c r="O41" s="1656"/>
      <c r="P41" s="1656"/>
      <c r="Q41" s="1656"/>
      <c r="R41" s="1656"/>
      <c r="S41" s="1656"/>
      <c r="T41" s="1656"/>
      <c r="U41" s="1656"/>
      <c r="V41" s="1656"/>
      <c r="W41" s="1656"/>
      <c r="X41" s="1656"/>
      <c r="Y41" s="1656"/>
      <c r="Z41" s="1656"/>
      <c r="AA41" s="1656"/>
      <c r="AB41" s="1656"/>
      <c r="AC41" s="1656"/>
      <c r="AD41" s="1656"/>
      <c r="AE41" s="1656"/>
      <c r="AF41" s="1656"/>
      <c r="AG41" s="1656"/>
      <c r="AH41" s="1656"/>
      <c r="AI41" s="1656"/>
      <c r="AJ41" s="1657"/>
      <c r="AK41" s="1656"/>
      <c r="AL41" s="1656"/>
      <c r="AM41" s="1656"/>
      <c r="AN41" s="1656"/>
      <c r="AO41" s="1656"/>
      <c r="AP41" s="1656"/>
      <c r="AQ41" s="1656"/>
      <c r="AR41" s="1658"/>
      <c r="AS41" s="1658"/>
      <c r="AT41" s="1658"/>
      <c r="AU41" s="1658"/>
      <c r="AV41" s="1658"/>
      <c r="AW41" s="1658"/>
      <c r="AX41" s="1658"/>
      <c r="AY41" s="1658"/>
      <c r="AZ41" s="1658"/>
      <c r="BA41" s="1658"/>
      <c r="BB41" s="1658"/>
      <c r="BC41" s="1663">
        <v>0.19</v>
      </c>
      <c r="BD41" s="1658"/>
      <c r="BE41" s="1658"/>
      <c r="BF41" s="1659"/>
      <c r="BG41" s="1658"/>
      <c r="BH41" s="1658"/>
      <c r="BI41" s="1658"/>
      <c r="BJ41" s="1658"/>
      <c r="BK41" s="1658"/>
      <c r="BL41" s="1559"/>
    </row>
    <row r="42" spans="1:64" s="1560" customFormat="1" outlineLevel="1" x14ac:dyDescent="0.35">
      <c r="A42" s="1561" t="s">
        <v>913</v>
      </c>
      <c r="B42" s="1655"/>
      <c r="C42" s="1656"/>
      <c r="D42" s="1656"/>
      <c r="E42" s="1656"/>
      <c r="F42" s="1656"/>
      <c r="G42" s="1656"/>
      <c r="H42" s="1656"/>
      <c r="I42" s="1656"/>
      <c r="J42" s="1656"/>
      <c r="K42" s="1656"/>
      <c r="L42" s="1656"/>
      <c r="M42" s="1656"/>
      <c r="N42" s="1656"/>
      <c r="O42" s="1656"/>
      <c r="P42" s="1656"/>
      <c r="Q42" s="1656"/>
      <c r="R42" s="1656"/>
      <c r="S42" s="1656"/>
      <c r="T42" s="1656"/>
      <c r="U42" s="1656"/>
      <c r="V42" s="1656"/>
      <c r="W42" s="1656"/>
      <c r="X42" s="1656"/>
      <c r="Y42" s="1656"/>
      <c r="Z42" s="1656"/>
      <c r="AA42" s="1656"/>
      <c r="AB42" s="1656"/>
      <c r="AC42" s="1656"/>
      <c r="AD42" s="1656"/>
      <c r="AE42" s="1656"/>
      <c r="AF42" s="1656"/>
      <c r="AG42" s="1656"/>
      <c r="AH42" s="1656"/>
      <c r="AI42" s="1656"/>
      <c r="AJ42" s="1657"/>
      <c r="AK42" s="1656"/>
      <c r="AL42" s="1656"/>
      <c r="AM42" s="1656"/>
      <c r="AN42" s="1656"/>
      <c r="AO42" s="1656"/>
      <c r="AP42" s="1656"/>
      <c r="AQ42" s="1656"/>
      <c r="AR42" s="1658"/>
      <c r="AS42" s="1658"/>
      <c r="AT42" s="1658"/>
      <c r="AU42" s="1658"/>
      <c r="AV42" s="1658"/>
      <c r="AW42" s="1658"/>
      <c r="AX42" s="1658"/>
      <c r="AY42" s="1658"/>
      <c r="AZ42" s="1658"/>
      <c r="BA42" s="1658"/>
      <c r="BB42" s="1658"/>
      <c r="BC42" s="1663">
        <v>0.17</v>
      </c>
      <c r="BD42" s="1658"/>
      <c r="BE42" s="1658"/>
      <c r="BF42" s="1659"/>
      <c r="BG42" s="1658"/>
      <c r="BH42" s="1658"/>
      <c r="BI42" s="1658"/>
      <c r="BJ42" s="1658"/>
      <c r="BK42" s="1658"/>
      <c r="BL42" s="1559"/>
    </row>
    <row r="43" spans="1:64" s="1560" customFormat="1" outlineLevel="1" x14ac:dyDescent="0.35">
      <c r="A43" s="1561" t="s">
        <v>914</v>
      </c>
      <c r="B43" s="1655"/>
      <c r="C43" s="1656"/>
      <c r="D43" s="1656"/>
      <c r="E43" s="1656"/>
      <c r="F43" s="1656"/>
      <c r="G43" s="1656"/>
      <c r="H43" s="1656"/>
      <c r="I43" s="1656"/>
      <c r="J43" s="1656"/>
      <c r="K43" s="1656"/>
      <c r="L43" s="1656"/>
      <c r="M43" s="1656"/>
      <c r="N43" s="1656"/>
      <c r="O43" s="1656"/>
      <c r="P43" s="1656"/>
      <c r="Q43" s="1656"/>
      <c r="R43" s="1656"/>
      <c r="S43" s="1656"/>
      <c r="T43" s="1656"/>
      <c r="U43" s="1656"/>
      <c r="V43" s="1656"/>
      <c r="W43" s="1656"/>
      <c r="X43" s="1656"/>
      <c r="Y43" s="1656"/>
      <c r="Z43" s="1656"/>
      <c r="AA43" s="1656"/>
      <c r="AB43" s="1656"/>
      <c r="AC43" s="1656"/>
      <c r="AD43" s="1656"/>
      <c r="AE43" s="1656"/>
      <c r="AF43" s="1656"/>
      <c r="AG43" s="1656"/>
      <c r="AH43" s="1656"/>
      <c r="AI43" s="1656"/>
      <c r="AJ43" s="1657"/>
      <c r="AK43" s="1656"/>
      <c r="AL43" s="1656"/>
      <c r="AM43" s="1656"/>
      <c r="AN43" s="1656"/>
      <c r="AO43" s="1656"/>
      <c r="AP43" s="1656"/>
      <c r="AQ43" s="1656"/>
      <c r="AR43" s="1658"/>
      <c r="AS43" s="1658"/>
      <c r="AT43" s="1658"/>
      <c r="AU43" s="1658"/>
      <c r="AV43" s="1658"/>
      <c r="AW43" s="1658"/>
      <c r="AX43" s="1658"/>
      <c r="AY43" s="1658"/>
      <c r="AZ43" s="1658"/>
      <c r="BA43" s="1658"/>
      <c r="BB43" s="1658"/>
      <c r="BC43" s="1663">
        <v>0.12</v>
      </c>
      <c r="BD43" s="1658"/>
      <c r="BE43" s="1658"/>
      <c r="BF43" s="1659"/>
      <c r="BG43" s="1658"/>
      <c r="BH43" s="1658"/>
      <c r="BI43" s="1658"/>
      <c r="BJ43" s="1658"/>
      <c r="BK43" s="1658"/>
      <c r="BL43" s="1559"/>
    </row>
    <row r="44" spans="1:64" s="1560" customFormat="1" outlineLevel="1" x14ac:dyDescent="0.35">
      <c r="A44" s="1561" t="s">
        <v>915</v>
      </c>
      <c r="B44" s="1655"/>
      <c r="C44" s="1656"/>
      <c r="D44" s="1656"/>
      <c r="E44" s="1656"/>
      <c r="F44" s="1656"/>
      <c r="G44" s="1656"/>
      <c r="H44" s="1656"/>
      <c r="I44" s="1656"/>
      <c r="J44" s="1656"/>
      <c r="K44" s="1656"/>
      <c r="L44" s="1656"/>
      <c r="M44" s="1656"/>
      <c r="N44" s="1656"/>
      <c r="O44" s="1656"/>
      <c r="P44" s="1656"/>
      <c r="Q44" s="1656"/>
      <c r="R44" s="1656"/>
      <c r="S44" s="1656"/>
      <c r="T44" s="1656"/>
      <c r="U44" s="1656"/>
      <c r="V44" s="1656"/>
      <c r="W44" s="1656"/>
      <c r="X44" s="1656"/>
      <c r="Y44" s="1656"/>
      <c r="Z44" s="1656"/>
      <c r="AA44" s="1656"/>
      <c r="AB44" s="1656"/>
      <c r="AC44" s="1656"/>
      <c r="AD44" s="1656"/>
      <c r="AE44" s="1656"/>
      <c r="AF44" s="1656"/>
      <c r="AG44" s="1656"/>
      <c r="AH44" s="1656"/>
      <c r="AI44" s="1656"/>
      <c r="AJ44" s="1657"/>
      <c r="AK44" s="1656"/>
      <c r="AL44" s="1656"/>
      <c r="AM44" s="1656"/>
      <c r="AN44" s="1656"/>
      <c r="AO44" s="1656"/>
      <c r="AP44" s="1656"/>
      <c r="AQ44" s="1656"/>
      <c r="AR44" s="1658"/>
      <c r="AS44" s="1658"/>
      <c r="AT44" s="1658"/>
      <c r="AU44" s="1658"/>
      <c r="AV44" s="1658"/>
      <c r="AW44" s="1658"/>
      <c r="AX44" s="1658"/>
      <c r="AY44" s="1658"/>
      <c r="AZ44" s="1658"/>
      <c r="BA44" s="1658"/>
      <c r="BB44" s="1658"/>
      <c r="BC44" s="1663">
        <v>0.15</v>
      </c>
      <c r="BD44" s="1658"/>
      <c r="BE44" s="1658"/>
      <c r="BF44" s="1659"/>
      <c r="BG44" s="1658"/>
      <c r="BH44" s="1658"/>
      <c r="BI44" s="1658"/>
      <c r="BJ44" s="1658"/>
      <c r="BK44" s="1658"/>
      <c r="BL44" s="1559"/>
    </row>
    <row r="45" spans="1:64" s="1560" customFormat="1" outlineLevel="1" x14ac:dyDescent="0.35">
      <c r="A45" s="1561" t="s">
        <v>916</v>
      </c>
      <c r="B45" s="1655"/>
      <c r="C45" s="1656"/>
      <c r="D45" s="1656"/>
      <c r="E45" s="1656"/>
      <c r="F45" s="1656"/>
      <c r="G45" s="1656"/>
      <c r="H45" s="1656"/>
      <c r="I45" s="1656"/>
      <c r="J45" s="1656"/>
      <c r="K45" s="1656"/>
      <c r="L45" s="1656"/>
      <c r="M45" s="1656"/>
      <c r="N45" s="1656"/>
      <c r="O45" s="1656"/>
      <c r="P45" s="1656"/>
      <c r="Q45" s="1656"/>
      <c r="R45" s="1656"/>
      <c r="S45" s="1656"/>
      <c r="T45" s="1656"/>
      <c r="U45" s="1656"/>
      <c r="V45" s="1656"/>
      <c r="W45" s="1656"/>
      <c r="X45" s="1656"/>
      <c r="Y45" s="1656"/>
      <c r="Z45" s="1656"/>
      <c r="AA45" s="1656"/>
      <c r="AB45" s="1656"/>
      <c r="AC45" s="1656"/>
      <c r="AD45" s="1656"/>
      <c r="AE45" s="1656"/>
      <c r="AF45" s="1656"/>
      <c r="AG45" s="1656"/>
      <c r="AH45" s="1656"/>
      <c r="AI45" s="1656"/>
      <c r="AJ45" s="1657"/>
      <c r="AK45" s="1656"/>
      <c r="AL45" s="1656"/>
      <c r="AM45" s="1656"/>
      <c r="AN45" s="1656"/>
      <c r="AO45" s="1656"/>
      <c r="AP45" s="1656"/>
      <c r="AQ45" s="1656"/>
      <c r="AR45" s="1658"/>
      <c r="AS45" s="1658"/>
      <c r="AT45" s="1658"/>
      <c r="AU45" s="1658"/>
      <c r="AV45" s="1658"/>
      <c r="AW45" s="1658"/>
      <c r="AX45" s="1658"/>
      <c r="AY45" s="1658"/>
      <c r="AZ45" s="1658"/>
      <c r="BA45" s="1658"/>
      <c r="BB45" s="1658"/>
      <c r="BC45" s="1663">
        <v>0.09</v>
      </c>
      <c r="BD45" s="1658"/>
      <c r="BE45" s="1658"/>
      <c r="BF45" s="1659"/>
      <c r="BG45" s="1658"/>
      <c r="BH45" s="1658"/>
      <c r="BI45" s="1658"/>
      <c r="BJ45" s="1658"/>
      <c r="BK45" s="1658"/>
      <c r="BL45" s="1559"/>
    </row>
    <row r="46" spans="1:64" s="1608" customFormat="1" x14ac:dyDescent="0.35">
      <c r="A46" s="1665"/>
      <c r="B46" s="1666"/>
      <c r="C46" s="1667"/>
      <c r="D46" s="1667"/>
      <c r="E46" s="1667"/>
      <c r="F46" s="1667"/>
      <c r="G46" s="1667"/>
      <c r="H46" s="1667"/>
      <c r="I46" s="1667"/>
      <c r="J46" s="1667"/>
      <c r="K46" s="1667"/>
      <c r="L46" s="1667"/>
      <c r="M46" s="1667"/>
      <c r="N46" s="1667"/>
      <c r="O46" s="1667"/>
      <c r="P46" s="1667"/>
      <c r="Q46" s="1667"/>
      <c r="R46" s="1667"/>
      <c r="S46" s="1667"/>
      <c r="T46" s="1667"/>
      <c r="U46" s="1667"/>
      <c r="V46" s="1667"/>
      <c r="W46" s="1667"/>
      <c r="X46" s="1667"/>
      <c r="Y46" s="1667"/>
      <c r="Z46" s="1667"/>
      <c r="AA46" s="1667"/>
      <c r="AB46" s="1667"/>
      <c r="AC46" s="1667"/>
      <c r="AD46" s="1667"/>
      <c r="AE46" s="1667"/>
      <c r="AF46" s="1667"/>
      <c r="AG46" s="1667"/>
      <c r="AH46" s="1667"/>
      <c r="AI46" s="1667"/>
      <c r="AJ46" s="1668"/>
      <c r="AK46" s="1667"/>
      <c r="AL46" s="1667"/>
      <c r="AM46" s="1667"/>
      <c r="AN46" s="1667"/>
      <c r="AO46" s="1667"/>
      <c r="AP46" s="1667"/>
      <c r="AQ46" s="1667"/>
      <c r="AR46" s="1669"/>
      <c r="AS46" s="1669"/>
      <c r="AT46" s="1669"/>
      <c r="AU46" s="1669"/>
      <c r="AV46" s="1669"/>
      <c r="AW46" s="1669"/>
      <c r="AX46" s="1669"/>
      <c r="AY46" s="1669"/>
      <c r="AZ46" s="1669"/>
      <c r="BA46" s="1669"/>
      <c r="BB46" s="1669"/>
      <c r="BC46" s="1669"/>
      <c r="BD46" s="1669"/>
      <c r="BE46" s="1669"/>
      <c r="BF46" s="1612"/>
      <c r="BG46" s="1669"/>
      <c r="BH46" s="1669"/>
      <c r="BI46" s="1669"/>
      <c r="BJ46" s="1669"/>
      <c r="BK46" s="1669"/>
      <c r="BL46" s="1607"/>
    </row>
    <row r="47" spans="1:64" s="1518" customFormat="1" x14ac:dyDescent="0.35">
      <c r="A47" s="1588" t="s">
        <v>917</v>
      </c>
      <c r="B47" s="1556"/>
      <c r="C47" s="1556"/>
      <c r="D47" s="1556"/>
      <c r="E47" s="1556"/>
      <c r="F47" s="1556"/>
      <c r="G47" s="1556"/>
      <c r="H47" s="1556"/>
      <c r="I47" s="1556"/>
      <c r="J47" s="1556"/>
      <c r="K47" s="1556"/>
      <c r="L47" s="1556"/>
      <c r="M47" s="1556"/>
      <c r="N47" s="1556"/>
      <c r="O47" s="1556"/>
      <c r="P47" s="1556"/>
      <c r="Q47" s="1556"/>
      <c r="R47" s="1556"/>
      <c r="S47" s="1556"/>
      <c r="T47" s="1556"/>
      <c r="U47" s="1556"/>
      <c r="V47" s="1556"/>
      <c r="W47" s="1556"/>
      <c r="X47" s="1556"/>
      <c r="Y47" s="1556"/>
      <c r="Z47" s="1556"/>
      <c r="AA47" s="1556"/>
      <c r="AB47" s="1556"/>
      <c r="AC47" s="1556"/>
      <c r="AD47" s="1556"/>
      <c r="AE47" s="1556"/>
      <c r="AF47" s="1556"/>
      <c r="AG47" s="1556"/>
      <c r="AH47" s="1556"/>
      <c r="AI47" s="1556"/>
      <c r="AJ47" s="1558"/>
      <c r="AK47" s="1556"/>
      <c r="AL47" s="1556"/>
      <c r="AM47" s="1556"/>
      <c r="AN47" s="1556"/>
      <c r="AO47" s="1556"/>
      <c r="AP47" s="1556"/>
      <c r="AQ47" s="1556"/>
      <c r="AR47" s="1556"/>
      <c r="AS47" s="1556"/>
      <c r="AT47" s="1556"/>
      <c r="AU47" s="1556"/>
      <c r="AV47" s="1556"/>
      <c r="AW47" s="1556"/>
      <c r="AX47" s="1556"/>
      <c r="AY47" s="1556"/>
      <c r="AZ47" s="1556"/>
      <c r="BA47" s="1556"/>
      <c r="BB47" s="1556"/>
      <c r="BC47" s="1556"/>
      <c r="BD47" s="1556"/>
      <c r="BE47" s="1556"/>
      <c r="BF47" s="1558"/>
      <c r="BG47" s="1556"/>
      <c r="BH47" s="1556"/>
      <c r="BI47" s="1556"/>
      <c r="BJ47" s="1556"/>
      <c r="BK47" s="1556"/>
      <c r="BL47" s="1517"/>
    </row>
    <row r="48" spans="1:64" s="1518" customFormat="1" outlineLevel="1" x14ac:dyDescent="0.35">
      <c r="A48" s="1591" t="s">
        <v>918</v>
      </c>
      <c r="B48" s="1592"/>
      <c r="C48" s="1515"/>
      <c r="D48" s="1515"/>
      <c r="E48" s="1515"/>
      <c r="F48" s="1515"/>
      <c r="G48" s="1515"/>
      <c r="H48" s="1515"/>
      <c r="I48" s="1515"/>
      <c r="J48" s="1515"/>
      <c r="K48" s="1515"/>
      <c r="L48" s="1515"/>
      <c r="M48" s="1515"/>
      <c r="N48" s="1515"/>
      <c r="O48" s="1515"/>
      <c r="P48" s="1515"/>
      <c r="Q48" s="1515"/>
      <c r="R48" s="1515"/>
      <c r="S48" s="1515"/>
      <c r="T48" s="1515"/>
      <c r="U48" s="1515"/>
      <c r="V48" s="1515"/>
      <c r="W48" s="1515"/>
      <c r="X48" s="1515"/>
      <c r="Y48" s="1515"/>
      <c r="Z48" s="1515"/>
      <c r="AA48" s="1515"/>
      <c r="AB48" s="1515"/>
      <c r="AC48" s="1515"/>
      <c r="AD48" s="1515"/>
      <c r="AE48" s="1515"/>
      <c r="AF48" s="1515"/>
      <c r="AG48" s="1515"/>
      <c r="AH48" s="1515"/>
      <c r="AI48" s="1515"/>
      <c r="AJ48" s="1516"/>
      <c r="AK48" s="1515"/>
      <c r="AL48" s="1515"/>
      <c r="AM48" s="1515"/>
      <c r="AN48" s="1515"/>
      <c r="AO48" s="1515"/>
      <c r="AP48" s="1515"/>
      <c r="AQ48" s="1515"/>
      <c r="AR48" s="1595"/>
      <c r="AS48" s="1595"/>
      <c r="AT48" s="1595"/>
      <c r="AU48" s="1595"/>
      <c r="AV48" s="1595"/>
      <c r="AW48" s="1595"/>
      <c r="AX48" s="1595"/>
      <c r="AY48" s="1595"/>
      <c r="AZ48" s="1595"/>
      <c r="BA48" s="1595"/>
      <c r="BB48" s="1595"/>
      <c r="BC48" s="1596">
        <v>8</v>
      </c>
      <c r="BD48" s="1595"/>
      <c r="BE48" s="1595"/>
      <c r="BF48" s="1610"/>
      <c r="BG48" s="1595"/>
      <c r="BH48" s="1595"/>
      <c r="BI48" s="1595"/>
      <c r="BJ48" s="1595"/>
      <c r="BK48" s="1595"/>
      <c r="BL48" s="1517"/>
    </row>
    <row r="49" spans="1:64" s="1518" customFormat="1" outlineLevel="1" x14ac:dyDescent="0.35">
      <c r="A49" s="1591" t="s">
        <v>919</v>
      </c>
      <c r="B49" s="1592"/>
      <c r="C49" s="1515"/>
      <c r="D49" s="1515"/>
      <c r="E49" s="1515"/>
      <c r="F49" s="1515"/>
      <c r="G49" s="1515"/>
      <c r="H49" s="1515"/>
      <c r="I49" s="1515"/>
      <c r="J49" s="1515"/>
      <c r="K49" s="1515"/>
      <c r="L49" s="1515"/>
      <c r="M49" s="1515"/>
      <c r="N49" s="1515"/>
      <c r="O49" s="1515"/>
      <c r="P49" s="1515"/>
      <c r="Q49" s="1515"/>
      <c r="R49" s="1515"/>
      <c r="S49" s="1515"/>
      <c r="T49" s="1515"/>
      <c r="U49" s="1515"/>
      <c r="V49" s="1515"/>
      <c r="W49" s="1515"/>
      <c r="X49" s="1515"/>
      <c r="Y49" s="1515"/>
      <c r="Z49" s="1515"/>
      <c r="AA49" s="1515"/>
      <c r="AB49" s="1515"/>
      <c r="AC49" s="1515"/>
      <c r="AD49" s="1515"/>
      <c r="AE49" s="1515"/>
      <c r="AF49" s="1515"/>
      <c r="AG49" s="1515"/>
      <c r="AH49" s="1515"/>
      <c r="AI49" s="1515"/>
      <c r="AJ49" s="1516"/>
      <c r="AK49" s="1515"/>
      <c r="AL49" s="1515"/>
      <c r="AM49" s="1515"/>
      <c r="AN49" s="1515"/>
      <c r="AO49" s="1515"/>
      <c r="AP49" s="1515"/>
      <c r="AQ49" s="1515"/>
      <c r="AR49" s="1595"/>
      <c r="AS49" s="1595"/>
      <c r="AT49" s="1595"/>
      <c r="AU49" s="1595"/>
      <c r="AV49" s="1595"/>
      <c r="AW49" s="1595"/>
      <c r="AX49" s="1595"/>
      <c r="AY49" s="1595"/>
      <c r="AZ49" s="1595"/>
      <c r="BA49" s="1595"/>
      <c r="BB49" s="1595"/>
      <c r="BC49" s="1596">
        <v>6</v>
      </c>
      <c r="BD49" s="1595"/>
      <c r="BE49" s="1595"/>
      <c r="BF49" s="1610"/>
      <c r="BG49" s="1595"/>
      <c r="BH49" s="1595"/>
      <c r="BI49" s="1595"/>
      <c r="BJ49" s="1595"/>
      <c r="BK49" s="1595"/>
      <c r="BL49" s="1517"/>
    </row>
    <row r="50" spans="1:64" s="1518" customFormat="1" outlineLevel="1" x14ac:dyDescent="0.35">
      <c r="A50" s="1591" t="s">
        <v>920</v>
      </c>
      <c r="B50" s="1592"/>
      <c r="C50" s="1515"/>
      <c r="D50" s="1515"/>
      <c r="E50" s="1515"/>
      <c r="F50" s="1515"/>
      <c r="G50" s="1515"/>
      <c r="H50" s="1515"/>
      <c r="I50" s="1515"/>
      <c r="J50" s="1515"/>
      <c r="K50" s="1515"/>
      <c r="L50" s="1515"/>
      <c r="M50" s="1515"/>
      <c r="N50" s="1515"/>
      <c r="O50" s="1515"/>
      <c r="P50" s="1515"/>
      <c r="Q50" s="1515"/>
      <c r="R50" s="1515"/>
      <c r="S50" s="1515"/>
      <c r="T50" s="1515"/>
      <c r="U50" s="1515"/>
      <c r="V50" s="1515"/>
      <c r="W50" s="1515"/>
      <c r="X50" s="1515"/>
      <c r="Y50" s="1515"/>
      <c r="Z50" s="1515"/>
      <c r="AA50" s="1515"/>
      <c r="AB50" s="1515"/>
      <c r="AC50" s="1515"/>
      <c r="AD50" s="1515"/>
      <c r="AE50" s="1515"/>
      <c r="AF50" s="1515"/>
      <c r="AG50" s="1515"/>
      <c r="AH50" s="1515"/>
      <c r="AI50" s="1515"/>
      <c r="AJ50" s="1516"/>
      <c r="AK50" s="1515"/>
      <c r="AL50" s="1515"/>
      <c r="AM50" s="1515"/>
      <c r="AN50" s="1515"/>
      <c r="AO50" s="1515"/>
      <c r="AP50" s="1515"/>
      <c r="AQ50" s="1515"/>
      <c r="AR50" s="1595"/>
      <c r="AS50" s="1595"/>
      <c r="AT50" s="1595"/>
      <c r="AU50" s="1595"/>
      <c r="AV50" s="1595"/>
      <c r="AW50" s="1595"/>
      <c r="AX50" s="1595"/>
      <c r="AY50" s="1595"/>
      <c r="AZ50" s="1595"/>
      <c r="BA50" s="1595"/>
      <c r="BB50" s="1595"/>
      <c r="BC50" s="1596">
        <v>3</v>
      </c>
      <c r="BD50" s="1595"/>
      <c r="BE50" s="1595"/>
      <c r="BF50" s="1610"/>
      <c r="BG50" s="1595"/>
      <c r="BH50" s="1595"/>
      <c r="BI50" s="1595"/>
      <c r="BJ50" s="1595"/>
      <c r="BK50" s="1595"/>
      <c r="BL50" s="1517"/>
    </row>
    <row r="51" spans="1:64" s="1608" customFormat="1" outlineLevel="1" x14ac:dyDescent="0.35">
      <c r="A51" s="1599" t="s">
        <v>921</v>
      </c>
      <c r="B51" s="1600"/>
      <c r="C51" s="1601"/>
      <c r="D51" s="1601"/>
      <c r="E51" s="1601"/>
      <c r="F51" s="1601"/>
      <c r="G51" s="1601"/>
      <c r="H51" s="1601"/>
      <c r="I51" s="1601"/>
      <c r="J51" s="1601"/>
      <c r="K51" s="1601"/>
      <c r="L51" s="1601"/>
      <c r="M51" s="1601"/>
      <c r="N51" s="1601"/>
      <c r="O51" s="1601"/>
      <c r="P51" s="1601"/>
      <c r="Q51" s="1601"/>
      <c r="R51" s="1601"/>
      <c r="S51" s="1601"/>
      <c r="T51" s="1601"/>
      <c r="U51" s="1601"/>
      <c r="V51" s="1601"/>
      <c r="W51" s="1601"/>
      <c r="X51" s="1601"/>
      <c r="Y51" s="1601"/>
      <c r="Z51" s="1601"/>
      <c r="AA51" s="1601"/>
      <c r="AB51" s="1601"/>
      <c r="AC51" s="1601"/>
      <c r="AD51" s="1601"/>
      <c r="AE51" s="1601"/>
      <c r="AF51" s="1601"/>
      <c r="AG51" s="1601"/>
      <c r="AH51" s="1601"/>
      <c r="AI51" s="1601"/>
      <c r="AJ51" s="1611"/>
      <c r="AK51" s="1601"/>
      <c r="AL51" s="1601"/>
      <c r="AM51" s="1601"/>
      <c r="AN51" s="1601"/>
      <c r="AO51" s="1601"/>
      <c r="AP51" s="1601"/>
      <c r="AQ51" s="1601"/>
      <c r="AR51" s="1604"/>
      <c r="AS51" s="1604"/>
      <c r="AT51" s="1604"/>
      <c r="AU51" s="1604"/>
      <c r="AV51" s="1604"/>
      <c r="AW51" s="1604"/>
      <c r="AX51" s="1604"/>
      <c r="AY51" s="1604"/>
      <c r="AZ51" s="1604"/>
      <c r="BA51" s="1604"/>
      <c r="BB51" s="1604"/>
      <c r="BC51" s="1670">
        <v>16</v>
      </c>
      <c r="BD51" s="1604"/>
      <c r="BE51" s="1604"/>
      <c r="BF51" s="1671"/>
      <c r="BG51" s="1604"/>
      <c r="BH51" s="1604"/>
      <c r="BI51" s="1604"/>
      <c r="BJ51" s="1604"/>
      <c r="BK51" s="1604"/>
      <c r="BL51" s="1607"/>
    </row>
    <row r="52" spans="1:64" s="1560" customFormat="1" outlineLevel="1" x14ac:dyDescent="0.35">
      <c r="A52" s="1672"/>
      <c r="B52" s="1655"/>
      <c r="C52" s="1656"/>
      <c r="D52" s="1656"/>
      <c r="E52" s="1656"/>
      <c r="F52" s="1656"/>
      <c r="G52" s="1656"/>
      <c r="H52" s="1656"/>
      <c r="I52" s="1656"/>
      <c r="J52" s="1656"/>
      <c r="K52" s="1656"/>
      <c r="L52" s="1656"/>
      <c r="M52" s="1656"/>
      <c r="N52" s="1656"/>
      <c r="O52" s="1656"/>
      <c r="P52" s="1656"/>
      <c r="Q52" s="1656"/>
      <c r="R52" s="1656"/>
      <c r="S52" s="1656"/>
      <c r="T52" s="1656"/>
      <c r="U52" s="1656"/>
      <c r="V52" s="1656"/>
      <c r="W52" s="1656"/>
      <c r="X52" s="1656"/>
      <c r="Y52" s="1656"/>
      <c r="Z52" s="1656"/>
      <c r="AA52" s="1656"/>
      <c r="AB52" s="1656"/>
      <c r="AC52" s="1656"/>
      <c r="AD52" s="1656"/>
      <c r="AE52" s="1656"/>
      <c r="AF52" s="1656"/>
      <c r="AG52" s="1656"/>
      <c r="AH52" s="1656"/>
      <c r="AI52" s="1656"/>
      <c r="AJ52" s="1657"/>
      <c r="AK52" s="1656"/>
      <c r="AL52" s="1656"/>
      <c r="AM52" s="1656"/>
      <c r="AN52" s="1656"/>
      <c r="AO52" s="1656"/>
      <c r="AP52" s="1656"/>
      <c r="AQ52" s="1656"/>
      <c r="AR52" s="1658"/>
      <c r="AS52" s="1658"/>
      <c r="AT52" s="1658"/>
      <c r="AU52" s="1658"/>
      <c r="AV52" s="1658"/>
      <c r="AW52" s="1658"/>
      <c r="AX52" s="1658"/>
      <c r="AY52" s="1658"/>
      <c r="AZ52" s="1658"/>
      <c r="BA52" s="1658"/>
      <c r="BB52" s="1658"/>
      <c r="BC52" s="1658"/>
      <c r="BD52" s="1658"/>
      <c r="BE52" s="1658"/>
      <c r="BF52" s="1659"/>
      <c r="BG52" s="1658"/>
      <c r="BH52" s="1658"/>
      <c r="BI52" s="1658"/>
      <c r="BJ52" s="1658"/>
      <c r="BK52" s="1658"/>
      <c r="BL52" s="1559"/>
    </row>
    <row r="53" spans="1:64" s="1560" customFormat="1" outlineLevel="1" x14ac:dyDescent="0.35">
      <c r="A53" s="1561" t="s">
        <v>922</v>
      </c>
      <c r="B53" s="1655"/>
      <c r="C53" s="1656"/>
      <c r="D53" s="1656"/>
      <c r="E53" s="1656"/>
      <c r="F53" s="1656"/>
      <c r="G53" s="1656"/>
      <c r="H53" s="1656"/>
      <c r="I53" s="1656"/>
      <c r="J53" s="1656"/>
      <c r="K53" s="1656"/>
      <c r="L53" s="1656"/>
      <c r="M53" s="1656"/>
      <c r="N53" s="1656"/>
      <c r="O53" s="1656"/>
      <c r="P53" s="1656"/>
      <c r="Q53" s="1656"/>
      <c r="R53" s="1656"/>
      <c r="S53" s="1656"/>
      <c r="T53" s="1656"/>
      <c r="U53" s="1656"/>
      <c r="V53" s="1656"/>
      <c r="W53" s="1656"/>
      <c r="X53" s="1656"/>
      <c r="Y53" s="1656"/>
      <c r="Z53" s="1656"/>
      <c r="AA53" s="1656"/>
      <c r="AB53" s="1656"/>
      <c r="AC53" s="1656"/>
      <c r="AD53" s="1656"/>
      <c r="AE53" s="1656"/>
      <c r="AF53" s="1656"/>
      <c r="AG53" s="1656"/>
      <c r="AH53" s="1656"/>
      <c r="AI53" s="1656"/>
      <c r="AJ53" s="1657"/>
      <c r="AK53" s="1656"/>
      <c r="AL53" s="1656"/>
      <c r="AM53" s="1656"/>
      <c r="AN53" s="1656"/>
      <c r="AO53" s="1656"/>
      <c r="AP53" s="1656"/>
      <c r="AQ53" s="1656"/>
      <c r="AR53" s="1658"/>
      <c r="AS53" s="1658"/>
      <c r="AT53" s="1658"/>
      <c r="AU53" s="1658"/>
      <c r="AV53" s="1658"/>
      <c r="AW53" s="1658"/>
      <c r="AX53" s="1658"/>
      <c r="AY53" s="1658"/>
      <c r="AZ53" s="1658"/>
      <c r="BA53" s="1658"/>
      <c r="BB53" s="1658"/>
      <c r="BC53" s="1663">
        <v>0.42</v>
      </c>
      <c r="BD53" s="1658"/>
      <c r="BE53" s="1658"/>
      <c r="BF53" s="1659"/>
      <c r="BG53" s="1658"/>
      <c r="BH53" s="1658"/>
      <c r="BI53" s="1658"/>
      <c r="BJ53" s="1658"/>
      <c r="BK53" s="1658"/>
      <c r="BL53" s="1559"/>
    </row>
    <row r="54" spans="1:64" s="1560" customFormat="1" outlineLevel="1" x14ac:dyDescent="0.35">
      <c r="A54" s="1561" t="s">
        <v>923</v>
      </c>
      <c r="B54" s="1655"/>
      <c r="C54" s="1656"/>
      <c r="D54" s="1656"/>
      <c r="E54" s="1656"/>
      <c r="F54" s="1656"/>
      <c r="G54" s="1656"/>
      <c r="H54" s="1656"/>
      <c r="I54" s="1656"/>
      <c r="J54" s="1656"/>
      <c r="K54" s="1656"/>
      <c r="L54" s="1656"/>
      <c r="M54" s="1656"/>
      <c r="N54" s="1656"/>
      <c r="O54" s="1656"/>
      <c r="P54" s="1656"/>
      <c r="Q54" s="1656"/>
      <c r="R54" s="1656"/>
      <c r="S54" s="1656"/>
      <c r="T54" s="1656"/>
      <c r="U54" s="1656"/>
      <c r="V54" s="1656"/>
      <c r="W54" s="1656"/>
      <c r="X54" s="1656"/>
      <c r="Y54" s="1656"/>
      <c r="Z54" s="1656"/>
      <c r="AA54" s="1656"/>
      <c r="AB54" s="1656"/>
      <c r="AC54" s="1656"/>
      <c r="AD54" s="1656"/>
      <c r="AE54" s="1656"/>
      <c r="AF54" s="1656"/>
      <c r="AG54" s="1656"/>
      <c r="AH54" s="1656"/>
      <c r="AI54" s="1656"/>
      <c r="AJ54" s="1657"/>
      <c r="AK54" s="1656"/>
      <c r="AL54" s="1656"/>
      <c r="AM54" s="1656"/>
      <c r="AN54" s="1656"/>
      <c r="AO54" s="1656"/>
      <c r="AP54" s="1656"/>
      <c r="AQ54" s="1656"/>
      <c r="AR54" s="1658"/>
      <c r="AS54" s="1658"/>
      <c r="AT54" s="1658"/>
      <c r="AU54" s="1658"/>
      <c r="AV54" s="1658"/>
      <c r="AW54" s="1658"/>
      <c r="AX54" s="1658"/>
      <c r="AY54" s="1658"/>
      <c r="AZ54" s="1658"/>
      <c r="BA54" s="1658"/>
      <c r="BB54" s="1658"/>
      <c r="BC54" s="1663">
        <v>0.26</v>
      </c>
      <c r="BD54" s="1658"/>
      <c r="BE54" s="1658"/>
      <c r="BF54" s="1659"/>
      <c r="BG54" s="1658"/>
      <c r="BH54" s="1658"/>
      <c r="BI54" s="1658"/>
      <c r="BJ54" s="1658"/>
      <c r="BK54" s="1658"/>
      <c r="BL54" s="1559"/>
    </row>
    <row r="55" spans="1:64" s="1560" customFormat="1" outlineLevel="1" x14ac:dyDescent="0.35">
      <c r="A55" s="1561" t="s">
        <v>924</v>
      </c>
      <c r="B55" s="1655"/>
      <c r="C55" s="1656"/>
      <c r="D55" s="1656"/>
      <c r="E55" s="1656"/>
      <c r="F55" s="1656"/>
      <c r="G55" s="1656"/>
      <c r="H55" s="1656"/>
      <c r="I55" s="1656"/>
      <c r="J55" s="1656"/>
      <c r="K55" s="1656"/>
      <c r="L55" s="1656"/>
      <c r="M55" s="1656"/>
      <c r="N55" s="1656"/>
      <c r="O55" s="1656"/>
      <c r="P55" s="1656"/>
      <c r="Q55" s="1656"/>
      <c r="R55" s="1656"/>
      <c r="S55" s="1656"/>
      <c r="T55" s="1656"/>
      <c r="U55" s="1656"/>
      <c r="V55" s="1656"/>
      <c r="W55" s="1656"/>
      <c r="X55" s="1656"/>
      <c r="Y55" s="1656"/>
      <c r="Z55" s="1656"/>
      <c r="AA55" s="1656"/>
      <c r="AB55" s="1656"/>
      <c r="AC55" s="1656"/>
      <c r="AD55" s="1656"/>
      <c r="AE55" s="1656"/>
      <c r="AF55" s="1656"/>
      <c r="AG55" s="1656"/>
      <c r="AH55" s="1656"/>
      <c r="AI55" s="1656"/>
      <c r="AJ55" s="1657"/>
      <c r="AK55" s="1656"/>
      <c r="AL55" s="1656"/>
      <c r="AM55" s="1656"/>
      <c r="AN55" s="1656"/>
      <c r="AO55" s="1656"/>
      <c r="AP55" s="1656"/>
      <c r="AQ55" s="1656"/>
      <c r="AR55" s="1658"/>
      <c r="AS55" s="1658"/>
      <c r="AT55" s="1658"/>
      <c r="AU55" s="1658"/>
      <c r="AV55" s="1658"/>
      <c r="AW55" s="1658"/>
      <c r="AX55" s="1658"/>
      <c r="AY55" s="1658"/>
      <c r="AZ55" s="1658"/>
      <c r="BA55" s="1658"/>
      <c r="BB55" s="1658"/>
      <c r="BC55" s="1663">
        <v>0.19</v>
      </c>
      <c r="BD55" s="1658"/>
      <c r="BE55" s="1658"/>
      <c r="BF55" s="1659"/>
      <c r="BG55" s="1658"/>
      <c r="BH55" s="1658"/>
      <c r="BI55" s="1658"/>
      <c r="BJ55" s="1658"/>
      <c r="BK55" s="1658"/>
      <c r="BL55" s="1559"/>
    </row>
    <row r="56" spans="1:64" s="1560" customFormat="1" outlineLevel="1" x14ac:dyDescent="0.35">
      <c r="A56" s="1561" t="s">
        <v>925</v>
      </c>
      <c r="B56" s="1655"/>
      <c r="C56" s="1656"/>
      <c r="D56" s="1656"/>
      <c r="E56" s="1656"/>
      <c r="F56" s="1656"/>
      <c r="G56" s="1656"/>
      <c r="H56" s="1656"/>
      <c r="I56" s="1656"/>
      <c r="J56" s="1656"/>
      <c r="K56" s="1656"/>
      <c r="L56" s="1656"/>
      <c r="M56" s="1656"/>
      <c r="N56" s="1656"/>
      <c r="O56" s="1656"/>
      <c r="P56" s="1656"/>
      <c r="Q56" s="1656"/>
      <c r="R56" s="1656"/>
      <c r="S56" s="1656"/>
      <c r="T56" s="1656"/>
      <c r="U56" s="1656"/>
      <c r="V56" s="1656"/>
      <c r="W56" s="1656"/>
      <c r="X56" s="1656"/>
      <c r="Y56" s="1656"/>
      <c r="Z56" s="1656"/>
      <c r="AA56" s="1656"/>
      <c r="AB56" s="1656"/>
      <c r="AC56" s="1656"/>
      <c r="AD56" s="1656"/>
      <c r="AE56" s="1656"/>
      <c r="AF56" s="1656"/>
      <c r="AG56" s="1656"/>
      <c r="AH56" s="1656"/>
      <c r="AI56" s="1656"/>
      <c r="AJ56" s="1657"/>
      <c r="AK56" s="1656"/>
      <c r="AL56" s="1656"/>
      <c r="AM56" s="1656"/>
      <c r="AN56" s="1656"/>
      <c r="AO56" s="1656"/>
      <c r="AP56" s="1656"/>
      <c r="AQ56" s="1656"/>
      <c r="AR56" s="1658"/>
      <c r="AS56" s="1658"/>
      <c r="AT56" s="1658"/>
      <c r="AU56" s="1658"/>
      <c r="AV56" s="1658"/>
      <c r="AW56" s="1658"/>
      <c r="AX56" s="1658"/>
      <c r="AY56" s="1658"/>
      <c r="AZ56" s="1658"/>
      <c r="BA56" s="1658"/>
      <c r="BB56" s="1658"/>
      <c r="BC56" s="1663">
        <v>7.0000000000000007E-2</v>
      </c>
      <c r="BD56" s="1658"/>
      <c r="BE56" s="1658"/>
      <c r="BF56" s="1659"/>
      <c r="BG56" s="1658"/>
      <c r="BH56" s="1658"/>
      <c r="BI56" s="1658"/>
      <c r="BJ56" s="1658"/>
      <c r="BK56" s="1658"/>
      <c r="BL56" s="1559"/>
    </row>
    <row r="57" spans="1:64" s="1560" customFormat="1" outlineLevel="1" x14ac:dyDescent="0.35">
      <c r="A57" s="1561" t="s">
        <v>926</v>
      </c>
      <c r="B57" s="1655"/>
      <c r="C57" s="1656"/>
      <c r="D57" s="1656"/>
      <c r="E57" s="1656"/>
      <c r="F57" s="1656"/>
      <c r="G57" s="1656"/>
      <c r="H57" s="1656"/>
      <c r="I57" s="1656"/>
      <c r="J57" s="1656"/>
      <c r="K57" s="1656"/>
      <c r="L57" s="1656"/>
      <c r="M57" s="1656"/>
      <c r="N57" s="1656"/>
      <c r="O57" s="1656"/>
      <c r="P57" s="1656"/>
      <c r="Q57" s="1656"/>
      <c r="R57" s="1656"/>
      <c r="S57" s="1656"/>
      <c r="T57" s="1656"/>
      <c r="U57" s="1656"/>
      <c r="V57" s="1656"/>
      <c r="W57" s="1656"/>
      <c r="X57" s="1656"/>
      <c r="Y57" s="1656"/>
      <c r="Z57" s="1656"/>
      <c r="AA57" s="1656"/>
      <c r="AB57" s="1656"/>
      <c r="AC57" s="1656"/>
      <c r="AD57" s="1656"/>
      <c r="AE57" s="1656"/>
      <c r="AF57" s="1656"/>
      <c r="AG57" s="1656"/>
      <c r="AH57" s="1656"/>
      <c r="AI57" s="1656"/>
      <c r="AJ57" s="1657"/>
      <c r="AK57" s="1656"/>
      <c r="AL57" s="1656"/>
      <c r="AM57" s="1656"/>
      <c r="AN57" s="1656"/>
      <c r="AO57" s="1656"/>
      <c r="AP57" s="1656"/>
      <c r="AQ57" s="1656"/>
      <c r="AR57" s="1658"/>
      <c r="AS57" s="1658"/>
      <c r="AT57" s="1658"/>
      <c r="AU57" s="1658"/>
      <c r="AV57" s="1658"/>
      <c r="AW57" s="1658"/>
      <c r="AX57" s="1658"/>
      <c r="AY57" s="1658"/>
      <c r="AZ57" s="1658"/>
      <c r="BA57" s="1658"/>
      <c r="BB57" s="1658"/>
      <c r="BC57" s="1663">
        <v>0.06</v>
      </c>
      <c r="BD57" s="1658"/>
      <c r="BE57" s="1658"/>
      <c r="BF57" s="1659"/>
      <c r="BG57" s="1658"/>
      <c r="BH57" s="1658"/>
      <c r="BI57" s="1658"/>
      <c r="BJ57" s="1658"/>
      <c r="BK57" s="1658"/>
      <c r="BL57" s="1559"/>
    </row>
    <row r="58" spans="1:64" s="1560" customFormat="1" outlineLevel="1" x14ac:dyDescent="0.35">
      <c r="A58" s="1672"/>
      <c r="B58" s="1655"/>
      <c r="C58" s="1656"/>
      <c r="D58" s="1656"/>
      <c r="E58" s="1656"/>
      <c r="F58" s="1656"/>
      <c r="G58" s="1656"/>
      <c r="H58" s="1656"/>
      <c r="I58" s="1656"/>
      <c r="J58" s="1656"/>
      <c r="K58" s="1656"/>
      <c r="L58" s="1656"/>
      <c r="M58" s="1656"/>
      <c r="N58" s="1656"/>
      <c r="O58" s="1656"/>
      <c r="P58" s="1656"/>
      <c r="Q58" s="1656"/>
      <c r="R58" s="1656"/>
      <c r="S58" s="1656"/>
      <c r="T58" s="1656"/>
      <c r="U58" s="1656"/>
      <c r="V58" s="1656"/>
      <c r="W58" s="1656"/>
      <c r="X58" s="1656"/>
      <c r="Y58" s="1656"/>
      <c r="Z58" s="1656"/>
      <c r="AA58" s="1656"/>
      <c r="AB58" s="1656"/>
      <c r="AC58" s="1656"/>
      <c r="AD58" s="1656"/>
      <c r="AE58" s="1656"/>
      <c r="AF58" s="1656"/>
      <c r="AG58" s="1656"/>
      <c r="AH58" s="1656"/>
      <c r="AI58" s="1656"/>
      <c r="AJ58" s="1657"/>
      <c r="AK58" s="1656"/>
      <c r="AL58" s="1656"/>
      <c r="AM58" s="1656"/>
      <c r="AN58" s="1656"/>
      <c r="AO58" s="1656"/>
      <c r="AP58" s="1656"/>
      <c r="AQ58" s="1656"/>
      <c r="AR58" s="1658"/>
      <c r="AS58" s="1658"/>
      <c r="AT58" s="1658"/>
      <c r="AU58" s="1658"/>
      <c r="AV58" s="1658"/>
      <c r="AW58" s="1658"/>
      <c r="AX58" s="1658"/>
      <c r="AY58" s="1658"/>
      <c r="AZ58" s="1658"/>
      <c r="BA58" s="1658"/>
      <c r="BB58" s="1658"/>
      <c r="BC58" s="1658"/>
      <c r="BD58" s="1658"/>
      <c r="BE58" s="1658"/>
      <c r="BF58" s="1659"/>
      <c r="BG58" s="1658"/>
      <c r="BH58" s="1658"/>
      <c r="BI58" s="1658"/>
      <c r="BJ58" s="1658"/>
      <c r="BK58" s="1658"/>
      <c r="BL58" s="1559"/>
    </row>
    <row r="59" spans="1:64" s="1518" customFormat="1" outlineLevel="1" x14ac:dyDescent="0.35">
      <c r="A59" s="1664" t="s">
        <v>927</v>
      </c>
      <c r="B59" s="1592"/>
      <c r="C59" s="1515"/>
      <c r="D59" s="1515"/>
      <c r="E59" s="1515"/>
      <c r="F59" s="1515"/>
      <c r="G59" s="1515"/>
      <c r="H59" s="1515"/>
      <c r="I59" s="1515"/>
      <c r="J59" s="1515"/>
      <c r="K59" s="1515"/>
      <c r="L59" s="1515"/>
      <c r="M59" s="1515"/>
      <c r="N59" s="1515"/>
      <c r="O59" s="1515"/>
      <c r="P59" s="1515"/>
      <c r="Q59" s="1515"/>
      <c r="R59" s="1515"/>
      <c r="S59" s="1515"/>
      <c r="T59" s="1515"/>
      <c r="U59" s="1515"/>
      <c r="V59" s="1515"/>
      <c r="W59" s="1515"/>
      <c r="X59" s="1515"/>
      <c r="Y59" s="1515"/>
      <c r="Z59" s="1515"/>
      <c r="AA59" s="1515"/>
      <c r="AB59" s="1515"/>
      <c r="AC59" s="1515"/>
      <c r="AD59" s="1515"/>
      <c r="AE59" s="1515"/>
      <c r="AF59" s="1515"/>
      <c r="AG59" s="1515"/>
      <c r="AH59" s="1515"/>
      <c r="AI59" s="1515"/>
      <c r="AJ59" s="1516"/>
      <c r="AK59" s="1515"/>
      <c r="AL59" s="1515"/>
      <c r="AM59" s="1515"/>
      <c r="AN59" s="1515"/>
      <c r="AO59" s="1515"/>
      <c r="AP59" s="1515"/>
      <c r="AQ59" s="1515"/>
      <c r="AR59" s="1595"/>
      <c r="AS59" s="1595"/>
      <c r="AT59" s="1595"/>
      <c r="AU59" s="1595"/>
      <c r="AV59" s="1595"/>
      <c r="AW59" s="1595"/>
      <c r="AX59" s="1595"/>
      <c r="AY59" s="1595"/>
      <c r="AZ59" s="1595"/>
      <c r="BA59" s="1595"/>
      <c r="BB59" s="1595"/>
      <c r="BC59" s="1596">
        <v>57.3</v>
      </c>
      <c r="BD59" s="1595"/>
      <c r="BE59" s="1595"/>
      <c r="BF59" s="1610"/>
      <c r="BG59" s="1595"/>
      <c r="BH59" s="1595"/>
      <c r="BI59" s="1595"/>
      <c r="BJ59" s="1595"/>
      <c r="BK59" s="1595"/>
      <c r="BL59" s="1517"/>
    </row>
    <row r="60" spans="1:64" s="1518" customFormat="1" outlineLevel="1" x14ac:dyDescent="0.35">
      <c r="A60" s="1664" t="s">
        <v>928</v>
      </c>
      <c r="B60" s="1592"/>
      <c r="C60" s="1515"/>
      <c r="D60" s="1515"/>
      <c r="E60" s="1515"/>
      <c r="F60" s="1515"/>
      <c r="G60" s="1515"/>
      <c r="H60" s="1515"/>
      <c r="I60" s="1515"/>
      <c r="J60" s="1515"/>
      <c r="K60" s="1515"/>
      <c r="L60" s="1515"/>
      <c r="M60" s="1515"/>
      <c r="N60" s="1515"/>
      <c r="O60" s="1515"/>
      <c r="P60" s="1515"/>
      <c r="Q60" s="1515"/>
      <c r="R60" s="1515"/>
      <c r="S60" s="1515"/>
      <c r="T60" s="1515"/>
      <c r="U60" s="1515"/>
      <c r="V60" s="1515"/>
      <c r="W60" s="1515"/>
      <c r="X60" s="1515"/>
      <c r="Y60" s="1515"/>
      <c r="Z60" s="1515"/>
      <c r="AA60" s="1515"/>
      <c r="AB60" s="1515"/>
      <c r="AC60" s="1515"/>
      <c r="AD60" s="1515"/>
      <c r="AE60" s="1515"/>
      <c r="AF60" s="1515"/>
      <c r="AG60" s="1515"/>
      <c r="AH60" s="1515"/>
      <c r="AI60" s="1515"/>
      <c r="AJ60" s="1516"/>
      <c r="AK60" s="1515"/>
      <c r="AL60" s="1515"/>
      <c r="AM60" s="1515"/>
      <c r="AN60" s="1515"/>
      <c r="AO60" s="1515"/>
      <c r="AP60" s="1515"/>
      <c r="AQ60" s="1515"/>
      <c r="AR60" s="1595"/>
      <c r="AS60" s="1595"/>
      <c r="AT60" s="1595"/>
      <c r="AU60" s="1595"/>
      <c r="AV60" s="1595"/>
      <c r="AW60" s="1595"/>
      <c r="AX60" s="1595"/>
      <c r="AY60" s="1595"/>
      <c r="AZ60" s="1595"/>
      <c r="BA60" s="1595"/>
      <c r="BB60" s="1595"/>
      <c r="BC60" s="1596">
        <v>40</v>
      </c>
      <c r="BD60" s="1595"/>
      <c r="BE60" s="1595"/>
      <c r="BF60" s="1610"/>
      <c r="BG60" s="1595"/>
      <c r="BH60" s="1595"/>
      <c r="BI60" s="1595"/>
      <c r="BJ60" s="1595"/>
      <c r="BK60" s="1595"/>
      <c r="BL60" s="1517"/>
    </row>
    <row r="61" spans="1:64" s="1518" customFormat="1" x14ac:dyDescent="0.35">
      <c r="A61" s="1609"/>
      <c r="B61" s="1592"/>
      <c r="C61" s="1515"/>
      <c r="D61" s="1515"/>
      <c r="E61" s="1515"/>
      <c r="F61" s="1515"/>
      <c r="G61" s="1515"/>
      <c r="H61" s="1515"/>
      <c r="I61" s="1515"/>
      <c r="J61" s="1515"/>
      <c r="K61" s="1515"/>
      <c r="L61" s="1515"/>
      <c r="M61" s="1515"/>
      <c r="N61" s="1515"/>
      <c r="O61" s="1515"/>
      <c r="P61" s="1515"/>
      <c r="Q61" s="1515"/>
      <c r="R61" s="1515"/>
      <c r="S61" s="1515"/>
      <c r="T61" s="1515"/>
      <c r="U61" s="1515"/>
      <c r="V61" s="1515"/>
      <c r="W61" s="1515"/>
      <c r="X61" s="1515"/>
      <c r="Y61" s="1515"/>
      <c r="Z61" s="1515"/>
      <c r="AA61" s="1515"/>
      <c r="AB61" s="1515"/>
      <c r="AC61" s="1515"/>
      <c r="AD61" s="1515"/>
      <c r="AE61" s="1515"/>
      <c r="AF61" s="1515"/>
      <c r="AG61" s="1515"/>
      <c r="AH61" s="1515"/>
      <c r="AI61" s="1515"/>
      <c r="AJ61" s="1516"/>
      <c r="AK61" s="1515"/>
      <c r="AL61" s="1515"/>
      <c r="AM61" s="1515"/>
      <c r="AN61" s="1515"/>
      <c r="AO61" s="1515"/>
      <c r="AP61" s="1515"/>
      <c r="AQ61" s="1515"/>
      <c r="AR61" s="1595"/>
      <c r="AS61" s="1595"/>
      <c r="AT61" s="1595"/>
      <c r="AU61" s="1595"/>
      <c r="AV61" s="1595"/>
      <c r="AW61" s="1595"/>
      <c r="AX61" s="1595"/>
      <c r="AY61" s="1595"/>
      <c r="AZ61" s="1595"/>
      <c r="BA61" s="1595"/>
      <c r="BB61" s="1595"/>
      <c r="BC61" s="1595"/>
      <c r="BD61" s="1595"/>
      <c r="BE61" s="1595"/>
      <c r="BF61" s="1610"/>
      <c r="BG61" s="1595"/>
      <c r="BH61" s="1595"/>
      <c r="BI61" s="1595"/>
      <c r="BJ61" s="1595"/>
      <c r="BK61" s="1595"/>
      <c r="BL61" s="1517"/>
    </row>
    <row r="62" spans="1:64" s="1676" customFormat="1" x14ac:dyDescent="0.35">
      <c r="A62" s="1673" t="s">
        <v>929</v>
      </c>
      <c r="B62" s="1674"/>
      <c r="C62" s="1588"/>
      <c r="D62" s="1588"/>
      <c r="E62" s="1588"/>
      <c r="F62" s="1588"/>
      <c r="G62" s="1588"/>
      <c r="H62" s="1588"/>
      <c r="I62" s="1588"/>
      <c r="J62" s="1588"/>
      <c r="K62" s="1588"/>
      <c r="L62" s="1588"/>
      <c r="M62" s="1588"/>
      <c r="N62" s="1588"/>
      <c r="O62" s="1588"/>
      <c r="P62" s="1588"/>
      <c r="Q62" s="1588"/>
      <c r="R62" s="1588"/>
      <c r="S62" s="1588"/>
      <c r="T62" s="1588"/>
      <c r="U62" s="1588"/>
      <c r="V62" s="1588"/>
      <c r="W62" s="1588"/>
      <c r="X62" s="1589" t="s">
        <v>892</v>
      </c>
      <c r="Y62" s="1588"/>
      <c r="Z62" s="1588"/>
      <c r="AA62" s="1588"/>
      <c r="AB62" s="1589"/>
      <c r="AC62" s="1588"/>
      <c r="AD62" s="1588"/>
      <c r="AE62" s="1588"/>
      <c r="AF62" s="1589"/>
      <c r="AG62" s="1588"/>
      <c r="AH62" s="1588"/>
      <c r="AI62" s="1588"/>
      <c r="AJ62" s="1590"/>
      <c r="AK62" s="1588"/>
      <c r="AL62" s="1588"/>
      <c r="AM62" s="1588"/>
      <c r="AN62" s="1588"/>
      <c r="AO62" s="1588"/>
      <c r="AP62" s="1588"/>
      <c r="AQ62" s="1588"/>
      <c r="AR62" s="1588"/>
      <c r="AS62" s="1588"/>
      <c r="AT62" s="1588"/>
      <c r="AU62" s="1588"/>
      <c r="AV62" s="1588"/>
      <c r="AW62" s="1588"/>
      <c r="AX62" s="1588"/>
      <c r="AY62" s="1588"/>
      <c r="AZ62" s="1588"/>
      <c r="BA62" s="1588"/>
      <c r="BB62" s="1588"/>
      <c r="BC62" s="1588"/>
      <c r="BD62" s="1556"/>
      <c r="BE62" s="1556"/>
      <c r="BF62" s="1558"/>
      <c r="BG62" s="1588"/>
      <c r="BH62" s="1588"/>
      <c r="BI62" s="1588"/>
      <c r="BJ62" s="1588"/>
      <c r="BK62" s="1588"/>
      <c r="BL62" s="1675"/>
    </row>
    <row r="63" spans="1:64" s="1608" customFormat="1" hidden="1" outlineLevel="1" x14ac:dyDescent="0.35">
      <c r="A63" s="1665" t="s">
        <v>930</v>
      </c>
      <c r="B63" s="1666"/>
      <c r="C63" s="1667"/>
      <c r="D63" s="1667"/>
      <c r="E63" s="1667"/>
      <c r="F63" s="1667"/>
      <c r="G63" s="1667"/>
      <c r="H63" s="1667"/>
      <c r="I63" s="1667"/>
      <c r="J63" s="1667"/>
      <c r="K63" s="1667"/>
      <c r="L63" s="1667"/>
      <c r="M63" s="1667"/>
      <c r="N63" s="1667"/>
      <c r="O63" s="1667"/>
      <c r="P63" s="1667"/>
      <c r="Q63" s="1667"/>
      <c r="R63" s="1667"/>
      <c r="S63" s="1667"/>
      <c r="T63" s="1667"/>
      <c r="U63" s="1667"/>
      <c r="V63" s="1667"/>
      <c r="W63" s="1667"/>
      <c r="X63" s="1677">
        <v>98.344999999999999</v>
      </c>
      <c r="Y63" s="1667">
        <f>U120</f>
        <v>55.112000000000002</v>
      </c>
      <c r="Z63" s="1667"/>
      <c r="AA63" s="1667">
        <f>W120</f>
        <v>67.578999999999994</v>
      </c>
      <c r="AB63" s="1667">
        <f>X120</f>
        <v>75.58099999999996</v>
      </c>
      <c r="AC63" s="1667">
        <f>Y120</f>
        <v>82.638000000000005</v>
      </c>
      <c r="AD63" s="1667"/>
      <c r="AE63" s="1667">
        <f>AA120</f>
        <v>100.956</v>
      </c>
      <c r="AF63" s="1667">
        <f>AB120</f>
        <v>107.57599999999999</v>
      </c>
      <c r="AG63" s="1667">
        <f>AC120</f>
        <v>106.422</v>
      </c>
      <c r="AH63" s="1667"/>
      <c r="AI63" s="1667">
        <f>AE120</f>
        <v>94.754000000000005</v>
      </c>
      <c r="AJ63" s="1668">
        <f>AF120</f>
        <v>102.056</v>
      </c>
      <c r="AK63" s="1667"/>
      <c r="AL63" s="1667"/>
      <c r="AM63" s="1667"/>
      <c r="AN63" s="1667"/>
      <c r="AO63" s="1667"/>
      <c r="AP63" s="1667"/>
      <c r="AQ63" s="1667"/>
      <c r="AR63" s="1669"/>
      <c r="AS63" s="1669"/>
      <c r="AT63" s="1669"/>
      <c r="AU63" s="1669"/>
      <c r="AV63" s="1669"/>
      <c r="AW63" s="1669"/>
      <c r="AX63" s="1669"/>
      <c r="AY63" s="1669"/>
      <c r="AZ63" s="1669"/>
      <c r="BA63" s="1669"/>
      <c r="BB63" s="1669"/>
      <c r="BC63" s="1669">
        <f>BB120</f>
        <v>221.34700000000001</v>
      </c>
      <c r="BD63" s="1669">
        <f>BC120</f>
        <v>217.31</v>
      </c>
      <c r="BE63" s="1669">
        <f>BD120</f>
        <v>313.15499999999997</v>
      </c>
      <c r="BF63" s="1612">
        <f>BE120</f>
        <v>407.68299999999999</v>
      </c>
      <c r="BG63" s="1669"/>
      <c r="BH63" s="1669"/>
      <c r="BI63" s="1669"/>
      <c r="BJ63" s="1669"/>
      <c r="BK63" s="1669"/>
      <c r="BL63" s="1607"/>
    </row>
    <row r="64" spans="1:64" s="1518" customFormat="1" hidden="1" outlineLevel="1" x14ac:dyDescent="0.35">
      <c r="A64" s="1678" t="s">
        <v>931</v>
      </c>
      <c r="B64" s="1592"/>
      <c r="C64" s="1515"/>
      <c r="D64" s="1515"/>
      <c r="E64" s="1515"/>
      <c r="F64" s="1515"/>
      <c r="G64" s="1515"/>
      <c r="H64" s="1515"/>
      <c r="I64" s="1515"/>
      <c r="J64" s="1515"/>
      <c r="K64" s="1515"/>
      <c r="L64" s="1515"/>
      <c r="M64" s="1515"/>
      <c r="N64" s="1515"/>
      <c r="O64" s="1515"/>
      <c r="P64" s="1515"/>
      <c r="Q64" s="1515"/>
      <c r="R64" s="1515"/>
      <c r="S64" s="1515"/>
      <c r="T64" s="1515"/>
      <c r="U64" s="1515"/>
      <c r="V64" s="1515"/>
      <c r="W64" s="1515"/>
      <c r="X64" s="1593">
        <v>43.5</v>
      </c>
      <c r="Y64" s="1515"/>
      <c r="Z64" s="1515"/>
      <c r="AA64" s="1593">
        <v>25.5</v>
      </c>
      <c r="AB64" s="1593">
        <v>29.1</v>
      </c>
      <c r="AC64" s="1593">
        <v>21.3</v>
      </c>
      <c r="AD64" s="1515"/>
      <c r="AE64" s="1593">
        <v>-6.7</v>
      </c>
      <c r="AF64" s="1593">
        <v>-7.9</v>
      </c>
      <c r="AG64" s="1593">
        <v>-10</v>
      </c>
      <c r="AH64" s="1515"/>
      <c r="AI64" s="1515"/>
      <c r="AJ64" s="1516"/>
      <c r="AK64" s="1515"/>
      <c r="AL64" s="1515"/>
      <c r="AM64" s="1515"/>
      <c r="AN64" s="1515"/>
      <c r="AO64" s="1515"/>
      <c r="AP64" s="1515"/>
      <c r="AQ64" s="1515"/>
      <c r="AR64" s="1595"/>
      <c r="AS64" s="1595"/>
      <c r="AT64" s="1595"/>
      <c r="AU64" s="1595"/>
      <c r="AV64" s="1595"/>
      <c r="AW64" s="1595"/>
      <c r="AX64" s="1595"/>
      <c r="AY64" s="1595"/>
      <c r="AZ64" s="1595"/>
      <c r="BA64" s="1595"/>
      <c r="BB64" s="1595"/>
      <c r="BC64" s="1596">
        <v>-19.2</v>
      </c>
      <c r="BD64" s="1596">
        <v>89.9</v>
      </c>
      <c r="BE64" s="1596">
        <v>87.4</v>
      </c>
      <c r="BF64" s="1597">
        <v>-25.1</v>
      </c>
      <c r="BG64" s="1595"/>
      <c r="BH64" s="1595"/>
      <c r="BI64" s="1595"/>
      <c r="BJ64" s="1595"/>
      <c r="BK64" s="1595"/>
      <c r="BL64" s="1517"/>
    </row>
    <row r="65" spans="1:64" s="1518" customFormat="1" hidden="1" outlineLevel="1" x14ac:dyDescent="0.35">
      <c r="A65" s="1678" t="s">
        <v>932</v>
      </c>
      <c r="B65" s="1592"/>
      <c r="C65" s="1515"/>
      <c r="D65" s="1515"/>
      <c r="E65" s="1515"/>
      <c r="F65" s="1515"/>
      <c r="G65" s="1515"/>
      <c r="H65" s="1515"/>
      <c r="I65" s="1515"/>
      <c r="J65" s="1515"/>
      <c r="K65" s="1515"/>
      <c r="L65" s="1515"/>
      <c r="M65" s="1515"/>
      <c r="N65" s="1515"/>
      <c r="O65" s="1515"/>
      <c r="P65" s="1515"/>
      <c r="Q65" s="1515"/>
      <c r="R65" s="1515"/>
      <c r="S65" s="1515"/>
      <c r="T65" s="1515"/>
      <c r="U65" s="1515"/>
      <c r="V65" s="1515"/>
      <c r="W65" s="1515"/>
      <c r="X65" s="1515"/>
      <c r="Y65" s="1515"/>
      <c r="Z65" s="1515"/>
      <c r="AA65" s="1515"/>
      <c r="AB65" s="1515"/>
      <c r="AC65" s="1515"/>
      <c r="AD65" s="1515"/>
      <c r="AE65" s="1593">
        <v>0.6</v>
      </c>
      <c r="AF65" s="1515"/>
      <c r="AG65" s="1515"/>
      <c r="AH65" s="1515"/>
      <c r="AI65" s="1515"/>
      <c r="AJ65" s="1516"/>
      <c r="AK65" s="1515"/>
      <c r="AL65" s="1515"/>
      <c r="AM65" s="1515"/>
      <c r="AN65" s="1515"/>
      <c r="AO65" s="1515"/>
      <c r="AP65" s="1515"/>
      <c r="AQ65" s="1515"/>
      <c r="AR65" s="1595"/>
      <c r="AS65" s="1595"/>
      <c r="AT65" s="1595"/>
      <c r="AU65" s="1595"/>
      <c r="AV65" s="1595"/>
      <c r="AW65" s="1595"/>
      <c r="AX65" s="1595"/>
      <c r="AY65" s="1595"/>
      <c r="AZ65" s="1595"/>
      <c r="BA65" s="1595"/>
      <c r="BB65" s="1595"/>
      <c r="BC65" s="1595"/>
      <c r="BD65" s="1595"/>
      <c r="BE65" s="1595"/>
      <c r="BF65" s="1597">
        <v>0.6</v>
      </c>
      <c r="BG65" s="1595"/>
      <c r="BH65" s="1595"/>
      <c r="BI65" s="1595"/>
      <c r="BJ65" s="1595"/>
      <c r="BK65" s="1595"/>
      <c r="BL65" s="1517"/>
    </row>
    <row r="66" spans="1:64" s="1518" customFormat="1" hidden="1" outlineLevel="1" x14ac:dyDescent="0.35">
      <c r="A66" s="1678" t="s">
        <v>933</v>
      </c>
      <c r="B66" s="1592"/>
      <c r="C66" s="1515"/>
      <c r="D66" s="1515"/>
      <c r="E66" s="1515"/>
      <c r="F66" s="1515"/>
      <c r="G66" s="1515"/>
      <c r="H66" s="1515"/>
      <c r="I66" s="1515"/>
      <c r="J66" s="1515"/>
      <c r="K66" s="1515"/>
      <c r="L66" s="1515"/>
      <c r="M66" s="1515"/>
      <c r="N66" s="1515"/>
      <c r="O66" s="1515"/>
      <c r="P66" s="1515"/>
      <c r="Q66" s="1515"/>
      <c r="R66" s="1515"/>
      <c r="S66" s="1515"/>
      <c r="T66" s="1515"/>
      <c r="U66" s="1515"/>
      <c r="V66" s="1515"/>
      <c r="W66" s="1515"/>
      <c r="X66" s="1515"/>
      <c r="Y66" s="1515"/>
      <c r="Z66" s="1515"/>
      <c r="AA66" s="1515"/>
      <c r="AB66" s="1515"/>
      <c r="AC66" s="1515"/>
      <c r="AD66" s="1515"/>
      <c r="AE66" s="1515"/>
      <c r="AF66" s="1593">
        <v>2.4</v>
      </c>
      <c r="AG66" s="1515"/>
      <c r="AH66" s="1515"/>
      <c r="AI66" s="1515"/>
      <c r="AJ66" s="1516"/>
      <c r="AK66" s="1515"/>
      <c r="AL66" s="1515"/>
      <c r="AM66" s="1515"/>
      <c r="AN66" s="1515"/>
      <c r="AO66" s="1515"/>
      <c r="AP66" s="1515"/>
      <c r="AQ66" s="1515"/>
      <c r="AR66" s="1595"/>
      <c r="AS66" s="1595"/>
      <c r="AT66" s="1595"/>
      <c r="AU66" s="1595"/>
      <c r="AV66" s="1595"/>
      <c r="AW66" s="1595"/>
      <c r="AX66" s="1595"/>
      <c r="AY66" s="1595"/>
      <c r="AZ66" s="1595"/>
      <c r="BA66" s="1595"/>
      <c r="BB66" s="1595"/>
      <c r="BC66" s="1595"/>
      <c r="BD66" s="1595"/>
      <c r="BE66" s="1595"/>
      <c r="BF66" s="1597">
        <v>1.1000000000000001</v>
      </c>
      <c r="BG66" s="1595"/>
      <c r="BH66" s="1595"/>
      <c r="BI66" s="1595"/>
      <c r="BJ66" s="1595"/>
      <c r="BK66" s="1595"/>
      <c r="BL66" s="1517"/>
    </row>
    <row r="67" spans="1:64" s="1518" customFormat="1" hidden="1" outlineLevel="1" x14ac:dyDescent="0.35">
      <c r="A67" s="1678" t="s">
        <v>934</v>
      </c>
      <c r="B67" s="1592"/>
      <c r="C67" s="1515"/>
      <c r="D67" s="1515"/>
      <c r="E67" s="1515"/>
      <c r="F67" s="1515"/>
      <c r="G67" s="1515"/>
      <c r="H67" s="1515"/>
      <c r="I67" s="1515"/>
      <c r="J67" s="1515"/>
      <c r="K67" s="1515"/>
      <c r="L67" s="1515"/>
      <c r="M67" s="1515"/>
      <c r="N67" s="1515"/>
      <c r="O67" s="1515"/>
      <c r="P67" s="1515"/>
      <c r="Q67" s="1515"/>
      <c r="R67" s="1515"/>
      <c r="S67" s="1515"/>
      <c r="T67" s="1515"/>
      <c r="U67" s="1515"/>
      <c r="V67" s="1515"/>
      <c r="W67" s="1515"/>
      <c r="X67" s="1593">
        <v>1.3</v>
      </c>
      <c r="Y67" s="1515"/>
      <c r="Z67" s="1515"/>
      <c r="AA67" s="1515"/>
      <c r="AB67" s="1515"/>
      <c r="AC67" s="1515"/>
      <c r="AD67" s="1515"/>
      <c r="AE67" s="1515"/>
      <c r="AF67" s="1515"/>
      <c r="AG67" s="1515"/>
      <c r="AH67" s="1515"/>
      <c r="AI67" s="1515"/>
      <c r="AJ67" s="1516"/>
      <c r="AK67" s="1515"/>
      <c r="AL67" s="1515"/>
      <c r="AM67" s="1515"/>
      <c r="AN67" s="1515"/>
      <c r="AO67" s="1515"/>
      <c r="AP67" s="1515"/>
      <c r="AQ67" s="1515"/>
      <c r="AR67" s="1595"/>
      <c r="AS67" s="1595"/>
      <c r="AT67" s="1595"/>
      <c r="AU67" s="1595"/>
      <c r="AV67" s="1595"/>
      <c r="AW67" s="1595"/>
      <c r="AX67" s="1595"/>
      <c r="AY67" s="1595"/>
      <c r="AZ67" s="1595"/>
      <c r="BA67" s="1595"/>
      <c r="BB67" s="1595"/>
      <c r="BC67" s="1596">
        <v>12.5</v>
      </c>
      <c r="BD67" s="1596">
        <v>5.9</v>
      </c>
      <c r="BE67" s="1595"/>
      <c r="BF67" s="1610"/>
      <c r="BG67" s="1595"/>
      <c r="BH67" s="1595"/>
      <c r="BI67" s="1595"/>
      <c r="BJ67" s="1595"/>
      <c r="BK67" s="1595"/>
      <c r="BL67" s="1517"/>
    </row>
    <row r="68" spans="1:64" s="1518" customFormat="1" hidden="1" outlineLevel="1" x14ac:dyDescent="0.35">
      <c r="A68" s="1678" t="s">
        <v>935</v>
      </c>
      <c r="B68" s="1592"/>
      <c r="C68" s="1515"/>
      <c r="D68" s="1515"/>
      <c r="E68" s="1515"/>
      <c r="F68" s="1515"/>
      <c r="G68" s="1515"/>
      <c r="H68" s="1515"/>
      <c r="I68" s="1515"/>
      <c r="J68" s="1515"/>
      <c r="K68" s="1515"/>
      <c r="L68" s="1515"/>
      <c r="M68" s="1515"/>
      <c r="N68" s="1515"/>
      <c r="O68" s="1515"/>
      <c r="P68" s="1515"/>
      <c r="Q68" s="1515"/>
      <c r="R68" s="1515"/>
      <c r="S68" s="1515"/>
      <c r="T68" s="1515"/>
      <c r="U68" s="1515"/>
      <c r="V68" s="1515"/>
      <c r="W68" s="1515"/>
      <c r="X68" s="1515"/>
      <c r="Y68" s="1515"/>
      <c r="Z68" s="1515"/>
      <c r="AA68" s="1515"/>
      <c r="AB68" s="1593">
        <v>0.4</v>
      </c>
      <c r="AC68" s="1515"/>
      <c r="AD68" s="1515"/>
      <c r="AE68" s="1515"/>
      <c r="AF68" s="1515"/>
      <c r="AG68" s="1515"/>
      <c r="AH68" s="1515"/>
      <c r="AI68" s="1515"/>
      <c r="AJ68" s="1516"/>
      <c r="AK68" s="1515"/>
      <c r="AL68" s="1515"/>
      <c r="AM68" s="1515"/>
      <c r="AN68" s="1515"/>
      <c r="AO68" s="1515"/>
      <c r="AP68" s="1515"/>
      <c r="AQ68" s="1515"/>
      <c r="AR68" s="1595"/>
      <c r="AS68" s="1595"/>
      <c r="AT68" s="1595"/>
      <c r="AU68" s="1595"/>
      <c r="AV68" s="1595"/>
      <c r="AW68" s="1595"/>
      <c r="AX68" s="1595"/>
      <c r="AY68" s="1595"/>
      <c r="AZ68" s="1595"/>
      <c r="BA68" s="1595"/>
      <c r="BB68" s="1595"/>
      <c r="BC68" s="1595"/>
      <c r="BD68" s="1595"/>
      <c r="BE68" s="1595"/>
      <c r="BF68" s="1610"/>
      <c r="BG68" s="1595"/>
      <c r="BH68" s="1595"/>
      <c r="BI68" s="1595"/>
      <c r="BJ68" s="1595"/>
      <c r="BK68" s="1595"/>
      <c r="BL68" s="1517"/>
    </row>
    <row r="69" spans="1:64" s="1518" customFormat="1" hidden="1" outlineLevel="1" x14ac:dyDescent="0.35">
      <c r="A69" s="1678" t="s">
        <v>936</v>
      </c>
      <c r="B69" s="1592"/>
      <c r="C69" s="1515"/>
      <c r="D69" s="1515"/>
      <c r="E69" s="1515"/>
      <c r="F69" s="1515"/>
      <c r="G69" s="1515"/>
      <c r="H69" s="1515"/>
      <c r="I69" s="1515"/>
      <c r="J69" s="1515"/>
      <c r="K69" s="1515"/>
      <c r="L69" s="1515"/>
      <c r="M69" s="1515"/>
      <c r="N69" s="1515"/>
      <c r="O69" s="1515"/>
      <c r="P69" s="1515"/>
      <c r="Q69" s="1515"/>
      <c r="R69" s="1515"/>
      <c r="S69" s="1515"/>
      <c r="T69" s="1515"/>
      <c r="U69" s="1515"/>
      <c r="V69" s="1515"/>
      <c r="W69" s="1515"/>
      <c r="X69" s="1515"/>
      <c r="Y69" s="1515"/>
      <c r="Z69" s="1515"/>
      <c r="AA69" s="1515"/>
      <c r="AB69" s="1515"/>
      <c r="AC69" s="1515"/>
      <c r="AD69" s="1515"/>
      <c r="AE69" s="1515"/>
      <c r="AF69" s="1515"/>
      <c r="AG69" s="1515"/>
      <c r="AH69" s="1515"/>
      <c r="AI69" s="1515"/>
      <c r="AJ69" s="1516"/>
      <c r="AK69" s="1515"/>
      <c r="AL69" s="1515"/>
      <c r="AM69" s="1515"/>
      <c r="AN69" s="1515"/>
      <c r="AO69" s="1515"/>
      <c r="AP69" s="1515"/>
      <c r="AQ69" s="1515"/>
      <c r="AR69" s="1595"/>
      <c r="AS69" s="1595"/>
      <c r="AT69" s="1595"/>
      <c r="AU69" s="1595"/>
      <c r="AV69" s="1595"/>
      <c r="AW69" s="1595"/>
      <c r="AX69" s="1595"/>
      <c r="AY69" s="1595"/>
      <c r="AZ69" s="1595"/>
      <c r="BA69" s="1595"/>
      <c r="BB69" s="1595"/>
      <c r="BC69" s="1596">
        <v>2.7</v>
      </c>
      <c r="BD69" s="1595"/>
      <c r="BE69" s="1595"/>
      <c r="BF69" s="1610"/>
      <c r="BG69" s="1595"/>
      <c r="BH69" s="1595"/>
      <c r="BI69" s="1595"/>
      <c r="BJ69" s="1595"/>
      <c r="BK69" s="1595"/>
      <c r="BL69" s="1517"/>
    </row>
    <row r="70" spans="1:64" s="1518" customFormat="1" hidden="1" outlineLevel="1" x14ac:dyDescent="0.35">
      <c r="A70" s="1679" t="s">
        <v>937</v>
      </c>
      <c r="B70" s="1680"/>
      <c r="C70" s="1681"/>
      <c r="D70" s="1681"/>
      <c r="E70" s="1681"/>
      <c r="F70" s="1681"/>
      <c r="G70" s="1681"/>
      <c r="H70" s="1681"/>
      <c r="I70" s="1681"/>
      <c r="J70" s="1681"/>
      <c r="K70" s="1681"/>
      <c r="L70" s="1681"/>
      <c r="M70" s="1681"/>
      <c r="N70" s="1681"/>
      <c r="O70" s="1681"/>
      <c r="P70" s="1681"/>
      <c r="Q70" s="1681"/>
      <c r="R70" s="1681"/>
      <c r="S70" s="1681"/>
      <c r="T70" s="1681"/>
      <c r="U70" s="1681"/>
      <c r="V70" s="1681"/>
      <c r="W70" s="1681"/>
      <c r="X70" s="1681">
        <f>X71-SUM(X63:X69)</f>
        <v>1.3999999999981583E-2</v>
      </c>
      <c r="Y70" s="1681">
        <f>Y71-SUM(Y63:Y69)</f>
        <v>27.526000000000003</v>
      </c>
      <c r="Z70" s="1681"/>
      <c r="AA70" s="1681">
        <f>AA71-SUM(AA63:AA69)</f>
        <v>7.8770000000000095</v>
      </c>
      <c r="AB70" s="1681">
        <f>AB71-SUM(AB63:AB69)</f>
        <v>2.495000000000033</v>
      </c>
      <c r="AC70" s="1681">
        <f>AC71-SUM(AC63:AC69)</f>
        <v>2.4839999999999947</v>
      </c>
      <c r="AD70" s="1681"/>
      <c r="AE70" s="1681">
        <f>AE71-SUM(AE63:AE69)</f>
        <v>-0.10199999999998965</v>
      </c>
      <c r="AF70" s="1681">
        <f>AF71-SUM(AF63:AF69)</f>
        <v>-1.9999999999996021E-2</v>
      </c>
      <c r="AG70" s="1681">
        <f>AG71-SUM(AG63:AG69)</f>
        <v>-0.53999999999999204</v>
      </c>
      <c r="AH70" s="1681"/>
      <c r="AI70" s="1681">
        <f>AI71-SUM(AI63:AI69)</f>
        <v>9.2869999999999919</v>
      </c>
      <c r="AJ70" s="1682">
        <f>AJ71-SUM(AJ63:AJ69)</f>
        <v>8.8029999999999973</v>
      </c>
      <c r="AK70" s="1681"/>
      <c r="AL70" s="1681"/>
      <c r="AM70" s="1681"/>
      <c r="AN70" s="1681"/>
      <c r="AO70" s="1681"/>
      <c r="AP70" s="1681"/>
      <c r="AQ70" s="1681"/>
      <c r="AR70" s="1683"/>
      <c r="AS70" s="1683"/>
      <c r="AT70" s="1683"/>
      <c r="AU70" s="1683"/>
      <c r="AV70" s="1683"/>
      <c r="AW70" s="1683"/>
      <c r="AX70" s="1683"/>
      <c r="AY70" s="1683"/>
      <c r="AZ70" s="1683"/>
      <c r="BA70" s="1683"/>
      <c r="BB70" s="1683"/>
      <c r="BC70" s="1683">
        <f>BC71-SUM(BC63:BC69)</f>
        <v>-3.7000000000006139E-2</v>
      </c>
      <c r="BD70" s="1683">
        <f>BD71-SUM(BD63:BD69)</f>
        <v>4.4999999999959073E-2</v>
      </c>
      <c r="BE70" s="1683">
        <f>BE71-SUM(BE63:BE69)</f>
        <v>7.1280000000000427</v>
      </c>
      <c r="BF70" s="1684">
        <f>BF71-SUM(BF63:BF69)</f>
        <v>0.37000000000000455</v>
      </c>
      <c r="BG70" s="1683"/>
      <c r="BH70" s="1683"/>
      <c r="BI70" s="1683"/>
      <c r="BJ70" s="1683"/>
      <c r="BK70" s="1683"/>
      <c r="BL70" s="1517"/>
    </row>
    <row r="71" spans="1:64" s="1608" customFormat="1" hidden="1" outlineLevel="1" x14ac:dyDescent="0.35">
      <c r="A71" s="1665" t="s">
        <v>938</v>
      </c>
      <c r="B71" s="1666"/>
      <c r="C71" s="1667"/>
      <c r="D71" s="1667"/>
      <c r="E71" s="1667"/>
      <c r="F71" s="1667"/>
      <c r="G71" s="1667"/>
      <c r="H71" s="1667"/>
      <c r="I71" s="1667"/>
      <c r="J71" s="1667"/>
      <c r="K71" s="1667"/>
      <c r="L71" s="1667"/>
      <c r="M71" s="1667"/>
      <c r="N71" s="1667"/>
      <c r="O71" s="1667"/>
      <c r="P71" s="1667"/>
      <c r="Q71" s="1667"/>
      <c r="R71" s="1667"/>
      <c r="S71" s="1667"/>
      <c r="T71" s="1667"/>
      <c r="U71" s="1667"/>
      <c r="V71" s="1667"/>
      <c r="W71" s="1667"/>
      <c r="X71" s="1677">
        <v>143.15899999999999</v>
      </c>
      <c r="Y71" s="1667">
        <f>Y120</f>
        <v>82.638000000000005</v>
      </c>
      <c r="Z71" s="1667"/>
      <c r="AA71" s="1667">
        <f>AA120</f>
        <v>100.956</v>
      </c>
      <c r="AB71" s="1667">
        <f>AB120</f>
        <v>107.57599999999999</v>
      </c>
      <c r="AC71" s="1667">
        <f>AC120</f>
        <v>106.422</v>
      </c>
      <c r="AD71" s="1667"/>
      <c r="AE71" s="1667">
        <f>AE120</f>
        <v>94.754000000000005</v>
      </c>
      <c r="AF71" s="1667">
        <f>AF120</f>
        <v>102.056</v>
      </c>
      <c r="AG71" s="1667">
        <f>AG120</f>
        <v>95.882000000000005</v>
      </c>
      <c r="AH71" s="1667"/>
      <c r="AI71" s="1667">
        <f>AI120</f>
        <v>104.041</v>
      </c>
      <c r="AJ71" s="1668">
        <f>AJ120</f>
        <v>110.85899999999999</v>
      </c>
      <c r="AK71" s="1667"/>
      <c r="AL71" s="1667"/>
      <c r="AM71" s="1667"/>
      <c r="AN71" s="1667"/>
      <c r="AO71" s="1667"/>
      <c r="AP71" s="1667"/>
      <c r="AQ71" s="1667"/>
      <c r="AR71" s="1669"/>
      <c r="AS71" s="1669"/>
      <c r="AT71" s="1669"/>
      <c r="AU71" s="1669"/>
      <c r="AV71" s="1669"/>
      <c r="AW71" s="1669"/>
      <c r="AX71" s="1669"/>
      <c r="AY71" s="1669"/>
      <c r="AZ71" s="1669"/>
      <c r="BA71" s="1669"/>
      <c r="BB71" s="1669"/>
      <c r="BC71" s="1669">
        <f>BC120</f>
        <v>217.31</v>
      </c>
      <c r="BD71" s="1669">
        <f>BD120</f>
        <v>313.15499999999997</v>
      </c>
      <c r="BE71" s="1669">
        <f>BE120</f>
        <v>407.68299999999999</v>
      </c>
      <c r="BF71" s="1612">
        <f>BF120</f>
        <v>384.65300000000002</v>
      </c>
      <c r="BG71" s="1669"/>
      <c r="BH71" s="1669"/>
      <c r="BI71" s="1669"/>
      <c r="BJ71" s="1669"/>
      <c r="BK71" s="1669"/>
      <c r="BL71" s="1607"/>
    </row>
    <row r="72" spans="1:64" s="1518" customFormat="1" hidden="1" outlineLevel="1" x14ac:dyDescent="0.35">
      <c r="A72" s="1609"/>
      <c r="B72" s="1592"/>
      <c r="C72" s="1515"/>
      <c r="D72" s="1515"/>
      <c r="E72" s="1515"/>
      <c r="F72" s="1515"/>
      <c r="G72" s="1515"/>
      <c r="H72" s="1515"/>
      <c r="I72" s="1515"/>
      <c r="J72" s="1515"/>
      <c r="K72" s="1515"/>
      <c r="L72" s="1515"/>
      <c r="M72" s="1515"/>
      <c r="N72" s="1515"/>
      <c r="O72" s="1515"/>
      <c r="P72" s="1515"/>
      <c r="Q72" s="1515"/>
      <c r="R72" s="1515"/>
      <c r="S72" s="1515"/>
      <c r="T72" s="1515"/>
      <c r="U72" s="1515"/>
      <c r="V72" s="1515"/>
      <c r="W72" s="1515"/>
      <c r="X72" s="1515"/>
      <c r="Y72" s="1515"/>
      <c r="Z72" s="1515"/>
      <c r="AA72" s="1515"/>
      <c r="AB72" s="1515"/>
      <c r="AC72" s="1515"/>
      <c r="AD72" s="1515"/>
      <c r="AE72" s="1515"/>
      <c r="AF72" s="1515"/>
      <c r="AG72" s="1515"/>
      <c r="AH72" s="1515"/>
      <c r="AI72" s="1515"/>
      <c r="AJ72" s="1516"/>
      <c r="AK72" s="1515"/>
      <c r="AL72" s="1515"/>
      <c r="AM72" s="1515"/>
      <c r="AN72" s="1515"/>
      <c r="AO72" s="1515"/>
      <c r="AP72" s="1515"/>
      <c r="AQ72" s="1515"/>
      <c r="AR72" s="1595"/>
      <c r="AS72" s="1595"/>
      <c r="AT72" s="1595"/>
      <c r="AU72" s="1595"/>
      <c r="AV72" s="1595"/>
      <c r="AW72" s="1595"/>
      <c r="AX72" s="1595"/>
      <c r="AY72" s="1595"/>
      <c r="AZ72" s="1595"/>
      <c r="BA72" s="1595"/>
      <c r="BB72" s="1595"/>
      <c r="BC72" s="1595"/>
      <c r="BD72" s="1595"/>
      <c r="BE72" s="1595"/>
      <c r="BF72" s="1610"/>
      <c r="BG72" s="1595"/>
      <c r="BH72" s="1595"/>
      <c r="BI72" s="1595"/>
      <c r="BJ72" s="1595"/>
      <c r="BK72" s="1595"/>
      <c r="BL72" s="1517"/>
    </row>
    <row r="73" spans="1:64" s="1608" customFormat="1" hidden="1" outlineLevel="1" x14ac:dyDescent="0.35">
      <c r="A73" s="1665" t="s">
        <v>939</v>
      </c>
      <c r="B73" s="1666"/>
      <c r="C73" s="1667"/>
      <c r="D73" s="1667"/>
      <c r="E73" s="1667"/>
      <c r="F73" s="1667"/>
      <c r="G73" s="1667"/>
      <c r="H73" s="1667"/>
      <c r="I73" s="1667"/>
      <c r="J73" s="1667"/>
      <c r="K73" s="1667"/>
      <c r="L73" s="1667"/>
      <c r="M73" s="1667"/>
      <c r="N73" s="1667"/>
      <c r="O73" s="1667"/>
      <c r="P73" s="1667"/>
      <c r="Q73" s="1667"/>
      <c r="R73" s="1667"/>
      <c r="S73" s="1667"/>
      <c r="T73" s="1667"/>
      <c r="U73" s="1667"/>
      <c r="V73" s="1667"/>
      <c r="W73" s="1667"/>
      <c r="X73" s="1677">
        <v>22.08</v>
      </c>
      <c r="Y73" s="1667">
        <f>U122</f>
        <v>10.842000000000001</v>
      </c>
      <c r="Z73" s="1667"/>
      <c r="AA73" s="1667">
        <f>W122</f>
        <v>10.353</v>
      </c>
      <c r="AB73" s="1667">
        <f>X122</f>
        <v>9.9979999999999993</v>
      </c>
      <c r="AC73" s="1667">
        <f>Y122</f>
        <v>12.084</v>
      </c>
      <c r="AD73" s="1667"/>
      <c r="AE73" s="1667">
        <f>AA122</f>
        <v>12.552</v>
      </c>
      <c r="AF73" s="1667">
        <f>AB122</f>
        <v>12.539</v>
      </c>
      <c r="AG73" s="1667">
        <f>AC122</f>
        <v>13.715</v>
      </c>
      <c r="AH73" s="1667"/>
      <c r="AI73" s="1667">
        <f>AE122</f>
        <v>11.952</v>
      </c>
      <c r="AJ73" s="1668">
        <f>AF122</f>
        <v>11.428000000000001</v>
      </c>
      <c r="AK73" s="1667"/>
      <c r="AL73" s="1667"/>
      <c r="AM73" s="1667"/>
      <c r="AN73" s="1667"/>
      <c r="AO73" s="1667"/>
      <c r="AP73" s="1667"/>
      <c r="AQ73" s="1667"/>
      <c r="AR73" s="1669"/>
      <c r="AS73" s="1669"/>
      <c r="AT73" s="1669"/>
      <c r="AU73" s="1669"/>
      <c r="AV73" s="1669"/>
      <c r="AW73" s="1669"/>
      <c r="AX73" s="1669"/>
      <c r="AY73" s="1669"/>
      <c r="AZ73" s="1669"/>
      <c r="BA73" s="1669"/>
      <c r="BB73" s="1669"/>
      <c r="BC73" s="1669">
        <f>BB122</f>
        <v>44.923000000000002</v>
      </c>
      <c r="BD73" s="1669">
        <f>BC122</f>
        <v>44.295999999999999</v>
      </c>
      <c r="BE73" s="1669">
        <f>BD122</f>
        <v>44.323</v>
      </c>
      <c r="BF73" s="1612">
        <f>BE122</f>
        <v>50.487000000000002</v>
      </c>
      <c r="BG73" s="1669"/>
      <c r="BH73" s="1669"/>
      <c r="BI73" s="1669"/>
      <c r="BJ73" s="1669"/>
      <c r="BK73" s="1669"/>
      <c r="BL73" s="1607"/>
    </row>
    <row r="74" spans="1:64" s="1518" customFormat="1" hidden="1" outlineLevel="1" x14ac:dyDescent="0.35">
      <c r="A74" s="1678" t="s">
        <v>940</v>
      </c>
      <c r="B74" s="1592"/>
      <c r="C74" s="1515"/>
      <c r="D74" s="1515"/>
      <c r="E74" s="1515"/>
      <c r="F74" s="1515"/>
      <c r="G74" s="1515"/>
      <c r="H74" s="1515"/>
      <c r="I74" s="1515"/>
      <c r="J74" s="1515"/>
      <c r="K74" s="1515"/>
      <c r="L74" s="1515"/>
      <c r="M74" s="1515"/>
      <c r="N74" s="1515"/>
      <c r="O74" s="1515"/>
      <c r="P74" s="1515"/>
      <c r="Q74" s="1515"/>
      <c r="R74" s="1515"/>
      <c r="S74" s="1515"/>
      <c r="T74" s="1515"/>
      <c r="U74" s="1515"/>
      <c r="V74" s="1515"/>
      <c r="W74" s="1515"/>
      <c r="X74" s="1515"/>
      <c r="Y74" s="1593">
        <v>-0.2</v>
      </c>
      <c r="Z74" s="1515"/>
      <c r="AA74" s="1593">
        <v>0.7</v>
      </c>
      <c r="AB74" s="1593">
        <v>0.4</v>
      </c>
      <c r="AC74" s="1593">
        <v>0.5</v>
      </c>
      <c r="AD74" s="1515"/>
      <c r="AE74" s="1593">
        <v>0.2</v>
      </c>
      <c r="AF74" s="1593">
        <f>4.3-4.1</f>
        <v>0.20000000000000018</v>
      </c>
      <c r="AG74" s="1515"/>
      <c r="AH74" s="1515"/>
      <c r="AI74" s="1593">
        <v>1.1000000000000001</v>
      </c>
      <c r="AJ74" s="1594">
        <v>0.6</v>
      </c>
      <c r="AK74" s="1515"/>
      <c r="AL74" s="1515"/>
      <c r="AM74" s="1515"/>
      <c r="AN74" s="1515"/>
      <c r="AO74" s="1515"/>
      <c r="AP74" s="1515"/>
      <c r="AQ74" s="1515"/>
      <c r="AR74" s="1595"/>
      <c r="AS74" s="1595"/>
      <c r="AT74" s="1595"/>
      <c r="AU74" s="1595"/>
      <c r="AV74" s="1595"/>
      <c r="AW74" s="1595"/>
      <c r="AX74" s="1595"/>
      <c r="AY74" s="1595"/>
      <c r="AZ74" s="1595"/>
      <c r="BA74" s="1595"/>
      <c r="BB74" s="1595"/>
      <c r="BC74" s="1595"/>
      <c r="BD74" s="1596">
        <v>-1.2</v>
      </c>
      <c r="BE74" s="1596">
        <v>1.3</v>
      </c>
      <c r="BF74" s="1597">
        <f>16.4-16.7</f>
        <v>-0.30000000000000071</v>
      </c>
      <c r="BG74" s="1595"/>
      <c r="BH74" s="1595"/>
      <c r="BI74" s="1595"/>
      <c r="BJ74" s="1595"/>
      <c r="BK74" s="1595"/>
      <c r="BL74" s="1517"/>
    </row>
    <row r="75" spans="1:64" s="1518" customFormat="1" hidden="1" outlineLevel="1" x14ac:dyDescent="0.35">
      <c r="A75" s="1678" t="s">
        <v>941</v>
      </c>
      <c r="B75" s="1592"/>
      <c r="C75" s="1515"/>
      <c r="D75" s="1515"/>
      <c r="E75" s="1515"/>
      <c r="F75" s="1515"/>
      <c r="G75" s="1515"/>
      <c r="H75" s="1515"/>
      <c r="I75" s="1515"/>
      <c r="J75" s="1515"/>
      <c r="K75" s="1515"/>
      <c r="L75" s="1515"/>
      <c r="M75" s="1515"/>
      <c r="N75" s="1515"/>
      <c r="O75" s="1515"/>
      <c r="P75" s="1515"/>
      <c r="Q75" s="1515"/>
      <c r="R75" s="1515"/>
      <c r="S75" s="1515"/>
      <c r="T75" s="1515"/>
      <c r="U75" s="1515"/>
      <c r="V75" s="1515"/>
      <c r="W75" s="1515"/>
      <c r="X75" s="1515"/>
      <c r="Y75" s="1593">
        <v>0.1</v>
      </c>
      <c r="Z75" s="1515"/>
      <c r="AA75" s="1593">
        <v>0</v>
      </c>
      <c r="AB75" s="1593">
        <v>0.8</v>
      </c>
      <c r="AC75" s="1593">
        <v>0.2</v>
      </c>
      <c r="AD75" s="1515"/>
      <c r="AE75" s="1593">
        <v>0.1</v>
      </c>
      <c r="AF75" s="1593">
        <f>2.2-2.1</f>
        <v>0.10000000000000009</v>
      </c>
      <c r="AG75" s="1515"/>
      <c r="AH75" s="1515"/>
      <c r="AI75" s="1593">
        <v>0.6</v>
      </c>
      <c r="AJ75" s="1594">
        <v>0.3</v>
      </c>
      <c r="AK75" s="1515"/>
      <c r="AL75" s="1515"/>
      <c r="AM75" s="1515"/>
      <c r="AN75" s="1515"/>
      <c r="AO75" s="1515"/>
      <c r="AP75" s="1515"/>
      <c r="AQ75" s="1515"/>
      <c r="AR75" s="1595"/>
      <c r="AS75" s="1595"/>
      <c r="AT75" s="1595"/>
      <c r="AU75" s="1595"/>
      <c r="AV75" s="1595"/>
      <c r="AW75" s="1595"/>
      <c r="AX75" s="1595"/>
      <c r="AY75" s="1595"/>
      <c r="AZ75" s="1595"/>
      <c r="BA75" s="1595"/>
      <c r="BB75" s="1595"/>
      <c r="BC75" s="1595"/>
      <c r="BD75" s="1596">
        <v>-0.3</v>
      </c>
      <c r="BE75" s="1596">
        <v>0.9</v>
      </c>
      <c r="BF75" s="1597">
        <v>0</v>
      </c>
      <c r="BG75" s="1595"/>
      <c r="BH75" s="1595"/>
      <c r="BI75" s="1595"/>
      <c r="BJ75" s="1595"/>
      <c r="BK75" s="1595"/>
      <c r="BL75" s="1517"/>
    </row>
    <row r="76" spans="1:64" s="1518" customFormat="1" hidden="1" outlineLevel="1" x14ac:dyDescent="0.35">
      <c r="A76" s="1678" t="s">
        <v>942</v>
      </c>
      <c r="B76" s="1592"/>
      <c r="C76" s="1515"/>
      <c r="D76" s="1515"/>
      <c r="E76" s="1515"/>
      <c r="F76" s="1515"/>
      <c r="G76" s="1515"/>
      <c r="H76" s="1515"/>
      <c r="I76" s="1515"/>
      <c r="J76" s="1515"/>
      <c r="K76" s="1515"/>
      <c r="L76" s="1515"/>
      <c r="M76" s="1515"/>
      <c r="N76" s="1515"/>
      <c r="O76" s="1515"/>
      <c r="P76" s="1515"/>
      <c r="Q76" s="1515"/>
      <c r="R76" s="1515"/>
      <c r="S76" s="1515"/>
      <c r="T76" s="1515"/>
      <c r="U76" s="1515"/>
      <c r="V76" s="1515"/>
      <c r="W76" s="1515"/>
      <c r="X76" s="1515"/>
      <c r="Y76" s="1593">
        <v>1.4</v>
      </c>
      <c r="Z76" s="1515"/>
      <c r="AA76" s="1593">
        <v>1.6</v>
      </c>
      <c r="AB76" s="1593">
        <v>1.4</v>
      </c>
      <c r="AC76" s="1593">
        <v>0.9</v>
      </c>
      <c r="AD76" s="1515"/>
      <c r="AE76" s="1593">
        <v>-0.9</v>
      </c>
      <c r="AF76" s="1593">
        <v>-1.4</v>
      </c>
      <c r="AG76" s="1593">
        <v>-2.2999999999999998</v>
      </c>
      <c r="AH76" s="1515"/>
      <c r="AI76" s="1593">
        <v>-0.4</v>
      </c>
      <c r="AJ76" s="1594">
        <v>0.4</v>
      </c>
      <c r="AK76" s="1515"/>
      <c r="AL76" s="1515"/>
      <c r="AM76" s="1515"/>
      <c r="AN76" s="1515"/>
      <c r="AO76" s="1515"/>
      <c r="AP76" s="1515"/>
      <c r="AQ76" s="1515"/>
      <c r="AR76" s="1595"/>
      <c r="AS76" s="1595"/>
      <c r="AT76" s="1595"/>
      <c r="AU76" s="1595"/>
      <c r="AV76" s="1595"/>
      <c r="AW76" s="1595"/>
      <c r="AX76" s="1595"/>
      <c r="AY76" s="1595"/>
      <c r="AZ76" s="1595"/>
      <c r="BA76" s="1595"/>
      <c r="BB76" s="1595"/>
      <c r="BC76" s="1595"/>
      <c r="BD76" s="1596">
        <v>1.5</v>
      </c>
      <c r="BE76" s="1596">
        <v>3.9</v>
      </c>
      <c r="BF76" s="1597">
        <v>-5.7</v>
      </c>
      <c r="BG76" s="1595"/>
      <c r="BH76" s="1595"/>
      <c r="BI76" s="1595"/>
      <c r="BJ76" s="1595"/>
      <c r="BK76" s="1595"/>
      <c r="BL76" s="1517"/>
    </row>
    <row r="77" spans="1:64" s="1518" customFormat="1" hidden="1" outlineLevel="1" x14ac:dyDescent="0.35">
      <c r="A77" s="1678" t="s">
        <v>943</v>
      </c>
      <c r="B77" s="1592"/>
      <c r="C77" s="1515"/>
      <c r="D77" s="1515"/>
      <c r="E77" s="1515"/>
      <c r="F77" s="1515"/>
      <c r="G77" s="1515"/>
      <c r="H77" s="1515"/>
      <c r="I77" s="1515"/>
      <c r="J77" s="1515"/>
      <c r="K77" s="1515"/>
      <c r="L77" s="1515"/>
      <c r="M77" s="1515"/>
      <c r="N77" s="1515"/>
      <c r="O77" s="1515"/>
      <c r="P77" s="1515"/>
      <c r="Q77" s="1515"/>
      <c r="R77" s="1515"/>
      <c r="S77" s="1515"/>
      <c r="T77" s="1515"/>
      <c r="U77" s="1515"/>
      <c r="V77" s="1515"/>
      <c r="W77" s="1515"/>
      <c r="X77" s="1515"/>
      <c r="Y77" s="1593">
        <v>1.5</v>
      </c>
      <c r="Z77" s="1515"/>
      <c r="AA77" s="1515"/>
      <c r="AB77" s="1515"/>
      <c r="AC77" s="1515"/>
      <c r="AD77" s="1515"/>
      <c r="AE77" s="1515"/>
      <c r="AF77" s="1515"/>
      <c r="AG77" s="1515"/>
      <c r="AH77" s="1515"/>
      <c r="AI77" s="1515"/>
      <c r="AJ77" s="1516"/>
      <c r="AK77" s="1515"/>
      <c r="AL77" s="1515"/>
      <c r="AM77" s="1515"/>
      <c r="AN77" s="1515"/>
      <c r="AO77" s="1515"/>
      <c r="AP77" s="1515"/>
      <c r="AQ77" s="1515"/>
      <c r="AR77" s="1595"/>
      <c r="AS77" s="1595"/>
      <c r="AT77" s="1595"/>
      <c r="AU77" s="1595"/>
      <c r="AV77" s="1595"/>
      <c r="AW77" s="1595"/>
      <c r="AX77" s="1595"/>
      <c r="AY77" s="1595"/>
      <c r="AZ77" s="1595"/>
      <c r="BA77" s="1595"/>
      <c r="BB77" s="1595"/>
      <c r="BC77" s="1595"/>
      <c r="BD77" s="1595"/>
      <c r="BE77" s="1595"/>
      <c r="BF77" s="1610"/>
      <c r="BG77" s="1595"/>
      <c r="BH77" s="1595"/>
      <c r="BI77" s="1595"/>
      <c r="BJ77" s="1595"/>
      <c r="BK77" s="1595"/>
      <c r="BL77" s="1517"/>
    </row>
    <row r="78" spans="1:64" s="1518" customFormat="1" hidden="1" outlineLevel="1" x14ac:dyDescent="0.35">
      <c r="A78" s="1678" t="s">
        <v>944</v>
      </c>
      <c r="B78" s="1592"/>
      <c r="C78" s="1515"/>
      <c r="D78" s="1515"/>
      <c r="E78" s="1515"/>
      <c r="F78" s="1515"/>
      <c r="G78" s="1515"/>
      <c r="H78" s="1515"/>
      <c r="I78" s="1515"/>
      <c r="J78" s="1515"/>
      <c r="K78" s="1515"/>
      <c r="L78" s="1515"/>
      <c r="M78" s="1515"/>
      <c r="N78" s="1515"/>
      <c r="O78" s="1515"/>
      <c r="P78" s="1515"/>
      <c r="Q78" s="1515"/>
      <c r="R78" s="1515"/>
      <c r="S78" s="1515"/>
      <c r="T78" s="1515"/>
      <c r="U78" s="1515"/>
      <c r="V78" s="1515"/>
      <c r="W78" s="1515"/>
      <c r="X78" s="1593">
        <f>-(0.9+3.2+2.8)+(1.5+1.9+2.3)</f>
        <v>-1.2000000000000011</v>
      </c>
      <c r="Y78" s="1593">
        <v>-0.1</v>
      </c>
      <c r="Z78" s="1515"/>
      <c r="AA78" s="1515"/>
      <c r="AB78" s="1515"/>
      <c r="AC78" s="1515"/>
      <c r="AD78" s="1515"/>
      <c r="AE78" s="1515"/>
      <c r="AF78" s="1515"/>
      <c r="AG78" s="1515"/>
      <c r="AH78" s="1515"/>
      <c r="AI78" s="1515"/>
      <c r="AJ78" s="1516"/>
      <c r="AK78" s="1515"/>
      <c r="AL78" s="1515"/>
      <c r="AM78" s="1515"/>
      <c r="AN78" s="1515"/>
      <c r="AO78" s="1515"/>
      <c r="AP78" s="1515"/>
      <c r="AQ78" s="1515"/>
      <c r="AR78" s="1595"/>
      <c r="AS78" s="1595"/>
      <c r="AT78" s="1595"/>
      <c r="AU78" s="1595"/>
      <c r="AV78" s="1595"/>
      <c r="AW78" s="1595"/>
      <c r="AX78" s="1595"/>
      <c r="AY78" s="1595"/>
      <c r="AZ78" s="1595"/>
      <c r="BA78" s="1595"/>
      <c r="BB78" s="1595"/>
      <c r="BC78" s="1596">
        <f>-(3.2+4.1+4.9)+(7.2+3.1+4.6)</f>
        <v>2.7000000000000011</v>
      </c>
      <c r="BD78" s="1595"/>
      <c r="BE78" s="1595"/>
      <c r="BF78" s="1610"/>
      <c r="BG78" s="1595"/>
      <c r="BH78" s="1595"/>
      <c r="BI78" s="1595"/>
      <c r="BJ78" s="1595"/>
      <c r="BK78" s="1595"/>
      <c r="BL78" s="1517"/>
    </row>
    <row r="79" spans="1:64" s="1518" customFormat="1" hidden="1" outlineLevel="1" x14ac:dyDescent="0.35">
      <c r="A79" s="1679" t="s">
        <v>945</v>
      </c>
      <c r="B79" s="1680"/>
      <c r="C79" s="1681"/>
      <c r="D79" s="1681"/>
      <c r="E79" s="1681"/>
      <c r="F79" s="1681"/>
      <c r="G79" s="1681"/>
      <c r="H79" s="1681"/>
      <c r="I79" s="1681"/>
      <c r="J79" s="1681"/>
      <c r="K79" s="1681"/>
      <c r="L79" s="1681"/>
      <c r="M79" s="1681"/>
      <c r="N79" s="1681"/>
      <c r="O79" s="1681"/>
      <c r="P79" s="1681"/>
      <c r="Q79" s="1681"/>
      <c r="R79" s="1681"/>
      <c r="S79" s="1681"/>
      <c r="T79" s="1681"/>
      <c r="U79" s="1681"/>
      <c r="V79" s="1681"/>
      <c r="W79" s="1681"/>
      <c r="X79" s="1681">
        <f>X80-SUM(X73:X78)</f>
        <v>-0.52899999999999636</v>
      </c>
      <c r="Y79" s="1681">
        <f>Y80-SUM(Y73:Y78)</f>
        <v>-1.458000000000002</v>
      </c>
      <c r="Z79" s="1681"/>
      <c r="AA79" s="1681">
        <f>AA80-SUM(AA73:AA78)</f>
        <v>-0.10099999999999909</v>
      </c>
      <c r="AB79" s="1681">
        <f>AB80-SUM(AB73:AB78)</f>
        <v>-5.9000000000001052E-2</v>
      </c>
      <c r="AC79" s="1681">
        <f>AC80-SUM(AC73:AC78)</f>
        <v>3.1000000000000583E-2</v>
      </c>
      <c r="AD79" s="1681"/>
      <c r="AE79" s="1681">
        <f>AE80-SUM(AE73:AE78)</f>
        <v>0</v>
      </c>
      <c r="AF79" s="1681">
        <f>AF80-SUM(AF73:AF78)</f>
        <v>-1.0999999999999233E-2</v>
      </c>
      <c r="AG79" s="1681">
        <f>AG80-SUM(AG73:AG78)</f>
        <v>-8.5999999999998522E-2</v>
      </c>
      <c r="AH79" s="1681"/>
      <c r="AI79" s="1681">
        <f>AI80-SUM(AI73:AI78)</f>
        <v>-3.7999999999998479E-2</v>
      </c>
      <c r="AJ79" s="1682">
        <f>AJ80-SUM(AJ73:AJ78)</f>
        <v>2.6999999999999247E-2</v>
      </c>
      <c r="AK79" s="1681"/>
      <c r="AL79" s="1681"/>
      <c r="AM79" s="1681"/>
      <c r="AN79" s="1681"/>
      <c r="AO79" s="1681"/>
      <c r="AP79" s="1681"/>
      <c r="AQ79" s="1681"/>
      <c r="AR79" s="1683"/>
      <c r="AS79" s="1683"/>
      <c r="AT79" s="1683"/>
      <c r="AU79" s="1683"/>
      <c r="AV79" s="1683"/>
      <c r="AW79" s="1683"/>
      <c r="AX79" s="1683"/>
      <c r="AY79" s="1683"/>
      <c r="AZ79" s="1683"/>
      <c r="BA79" s="1683"/>
      <c r="BB79" s="1683"/>
      <c r="BC79" s="1683">
        <f>BC80-SUM(BC73:BC78)</f>
        <v>-3.3270000000000053</v>
      </c>
      <c r="BD79" s="1683">
        <f>BD80-SUM(BD73:BD78)</f>
        <v>2.7000000000001023E-2</v>
      </c>
      <c r="BE79" s="1683">
        <f>BE80-SUM(BE73:BE78)</f>
        <v>6.4000000000007162E-2</v>
      </c>
      <c r="BF79" s="1684">
        <f>BF80-SUM(BF73:BF78)</f>
        <v>-7.1999999999995623E-2</v>
      </c>
      <c r="BG79" s="1683"/>
      <c r="BH79" s="1683"/>
      <c r="BI79" s="1683"/>
      <c r="BJ79" s="1683"/>
      <c r="BK79" s="1683"/>
      <c r="BL79" s="1517"/>
    </row>
    <row r="80" spans="1:64" s="1608" customFormat="1" hidden="1" outlineLevel="1" x14ac:dyDescent="0.35">
      <c r="A80" s="1665" t="s">
        <v>946</v>
      </c>
      <c r="B80" s="1666"/>
      <c r="C80" s="1667"/>
      <c r="D80" s="1667"/>
      <c r="E80" s="1667"/>
      <c r="F80" s="1667"/>
      <c r="G80" s="1667"/>
      <c r="H80" s="1667"/>
      <c r="I80" s="1667"/>
      <c r="J80" s="1667"/>
      <c r="K80" s="1667"/>
      <c r="L80" s="1667"/>
      <c r="M80" s="1667"/>
      <c r="N80" s="1667"/>
      <c r="O80" s="1667"/>
      <c r="P80" s="1667"/>
      <c r="Q80" s="1667"/>
      <c r="R80" s="1667"/>
      <c r="S80" s="1667"/>
      <c r="T80" s="1667"/>
      <c r="U80" s="1667"/>
      <c r="V80" s="1667"/>
      <c r="W80" s="1667"/>
      <c r="X80" s="1677">
        <v>20.350999999999999</v>
      </c>
      <c r="Y80" s="1667">
        <f>Y122</f>
        <v>12.084</v>
      </c>
      <c r="Z80" s="1667"/>
      <c r="AA80" s="1667">
        <f>AA122</f>
        <v>12.552</v>
      </c>
      <c r="AB80" s="1667">
        <f>AB122</f>
        <v>12.539</v>
      </c>
      <c r="AC80" s="1667">
        <f>AC122</f>
        <v>13.715</v>
      </c>
      <c r="AD80" s="1667"/>
      <c r="AE80" s="1667">
        <f>AE122</f>
        <v>11.952</v>
      </c>
      <c r="AF80" s="1667">
        <f>AF122</f>
        <v>11.428000000000001</v>
      </c>
      <c r="AG80" s="1667">
        <f>AG122</f>
        <v>11.329000000000001</v>
      </c>
      <c r="AH80" s="1667"/>
      <c r="AI80" s="1667">
        <f>AI122</f>
        <v>13.214</v>
      </c>
      <c r="AJ80" s="1668">
        <f>AJ122</f>
        <v>12.755000000000001</v>
      </c>
      <c r="AK80" s="1667"/>
      <c r="AL80" s="1667"/>
      <c r="AM80" s="1667"/>
      <c r="AN80" s="1667"/>
      <c r="AO80" s="1667"/>
      <c r="AP80" s="1667"/>
      <c r="AQ80" s="1667"/>
      <c r="AR80" s="1669"/>
      <c r="AS80" s="1669"/>
      <c r="AT80" s="1669"/>
      <c r="AU80" s="1669"/>
      <c r="AV80" s="1669"/>
      <c r="AW80" s="1669"/>
      <c r="AX80" s="1669"/>
      <c r="AY80" s="1669"/>
      <c r="AZ80" s="1669"/>
      <c r="BA80" s="1669"/>
      <c r="BB80" s="1669"/>
      <c r="BC80" s="1669">
        <f>BC122</f>
        <v>44.295999999999999</v>
      </c>
      <c r="BD80" s="1669">
        <f>BD122</f>
        <v>44.323</v>
      </c>
      <c r="BE80" s="1669">
        <f>BE122</f>
        <v>50.487000000000002</v>
      </c>
      <c r="BF80" s="1612">
        <f>BF122</f>
        <v>44.414999999999999</v>
      </c>
      <c r="BG80" s="1669"/>
      <c r="BH80" s="1669"/>
      <c r="BI80" s="1669"/>
      <c r="BJ80" s="1669"/>
      <c r="BK80" s="1669"/>
      <c r="BL80" s="1607"/>
    </row>
    <row r="81" spans="1:64" s="1518" customFormat="1" hidden="1" outlineLevel="1" x14ac:dyDescent="0.35">
      <c r="A81" s="1609"/>
      <c r="B81" s="1592"/>
      <c r="C81" s="1515"/>
      <c r="D81" s="1515"/>
      <c r="E81" s="1515"/>
      <c r="F81" s="1515"/>
      <c r="G81" s="1515"/>
      <c r="H81" s="1515"/>
      <c r="I81" s="1515"/>
      <c r="J81" s="1515"/>
      <c r="K81" s="1515"/>
      <c r="L81" s="1515"/>
      <c r="M81" s="1515"/>
      <c r="N81" s="1515"/>
      <c r="O81" s="1515"/>
      <c r="P81" s="1515"/>
      <c r="Q81" s="1515"/>
      <c r="R81" s="1515"/>
      <c r="S81" s="1515"/>
      <c r="T81" s="1515"/>
      <c r="U81" s="1515"/>
      <c r="V81" s="1515"/>
      <c r="W81" s="1515"/>
      <c r="X81" s="1515"/>
      <c r="Y81" s="1515"/>
      <c r="Z81" s="1515"/>
      <c r="AA81" s="1515"/>
      <c r="AB81" s="1515"/>
      <c r="AC81" s="1515"/>
      <c r="AD81" s="1515"/>
      <c r="AE81" s="1515"/>
      <c r="AF81" s="1515"/>
      <c r="AG81" s="1515"/>
      <c r="AH81" s="1515"/>
      <c r="AI81" s="1515"/>
      <c r="AJ81" s="1516"/>
      <c r="AK81" s="1515"/>
      <c r="AL81" s="1515"/>
      <c r="AM81" s="1515"/>
      <c r="AN81" s="1515"/>
      <c r="AO81" s="1515"/>
      <c r="AP81" s="1515"/>
      <c r="AQ81" s="1515"/>
      <c r="AR81" s="1595"/>
      <c r="AS81" s="1595"/>
      <c r="AT81" s="1595"/>
      <c r="AU81" s="1595"/>
      <c r="AV81" s="1595"/>
      <c r="AW81" s="1595"/>
      <c r="AX81" s="1595"/>
      <c r="AY81" s="1595"/>
      <c r="AZ81" s="1595"/>
      <c r="BA81" s="1595"/>
      <c r="BB81" s="1595"/>
      <c r="BC81" s="1595"/>
      <c r="BD81" s="1595"/>
      <c r="BE81" s="1595"/>
      <c r="BF81" s="1610"/>
      <c r="BG81" s="1595"/>
      <c r="BH81" s="1595"/>
      <c r="BI81" s="1595"/>
      <c r="BJ81" s="1595"/>
      <c r="BK81" s="1595"/>
      <c r="BL81" s="1517"/>
    </row>
    <row r="82" spans="1:64" s="1608" customFormat="1" hidden="1" outlineLevel="1" x14ac:dyDescent="0.35">
      <c r="A82" s="1665" t="s">
        <v>947</v>
      </c>
      <c r="B82" s="1666"/>
      <c r="C82" s="1667"/>
      <c r="D82" s="1667"/>
      <c r="E82" s="1667"/>
      <c r="F82" s="1667"/>
      <c r="G82" s="1667"/>
      <c r="H82" s="1667"/>
      <c r="I82" s="1667"/>
      <c r="J82" s="1667"/>
      <c r="K82" s="1667"/>
      <c r="L82" s="1667"/>
      <c r="M82" s="1667"/>
      <c r="N82" s="1667"/>
      <c r="O82" s="1667"/>
      <c r="P82" s="1667"/>
      <c r="Q82" s="1667"/>
      <c r="R82" s="1667"/>
      <c r="S82" s="1667"/>
      <c r="T82" s="1667"/>
      <c r="U82" s="1667"/>
      <c r="V82" s="1667"/>
      <c r="W82" s="1667"/>
      <c r="X82" s="1677">
        <v>61.457000000000001</v>
      </c>
      <c r="Y82" s="1667">
        <f>U123</f>
        <v>25.390999999999998</v>
      </c>
      <c r="Z82" s="1667"/>
      <c r="AA82" s="1667">
        <f>W123</f>
        <v>29.606000000000002</v>
      </c>
      <c r="AB82" s="1667">
        <f>X123</f>
        <v>38.60499999999999</v>
      </c>
      <c r="AC82" s="1667">
        <f>Y123</f>
        <v>84.983000000000004</v>
      </c>
      <c r="AD82" s="1667"/>
      <c r="AE82" s="1667">
        <f>AA123</f>
        <v>42.332999999999998</v>
      </c>
      <c r="AF82" s="1667">
        <f>AB123</f>
        <v>41.886000000000003</v>
      </c>
      <c r="AG82" s="1667">
        <f>AC123</f>
        <v>42.411000000000001</v>
      </c>
      <c r="AH82" s="1667"/>
      <c r="AI82" s="1667">
        <f>AE123</f>
        <v>47.451000000000001</v>
      </c>
      <c r="AJ82" s="1668">
        <f>AF123</f>
        <v>44.91</v>
      </c>
      <c r="AK82" s="1667"/>
      <c r="AL82" s="1667"/>
      <c r="AM82" s="1667"/>
      <c r="AN82" s="1667"/>
      <c r="AO82" s="1667"/>
      <c r="AP82" s="1667"/>
      <c r="AQ82" s="1667"/>
      <c r="AR82" s="1669"/>
      <c r="AS82" s="1669"/>
      <c r="AT82" s="1669"/>
      <c r="AU82" s="1669"/>
      <c r="AV82" s="1669"/>
      <c r="AW82" s="1669"/>
      <c r="AX82" s="1669"/>
      <c r="AY82" s="1669"/>
      <c r="AZ82" s="1669"/>
      <c r="BA82" s="1669"/>
      <c r="BB82" s="1669"/>
      <c r="BC82" s="1669">
        <f>BB123</f>
        <v>147.19800000000001</v>
      </c>
      <c r="BD82" s="1669">
        <f>BC123</f>
        <v>122.554</v>
      </c>
      <c r="BE82" s="1669">
        <f>BD123</f>
        <v>198.7</v>
      </c>
      <c r="BF82" s="1612">
        <f>BE123</f>
        <v>175.459</v>
      </c>
      <c r="BG82" s="1669"/>
      <c r="BH82" s="1669"/>
      <c r="BI82" s="1669"/>
      <c r="BJ82" s="1669"/>
      <c r="BK82" s="1669"/>
      <c r="BL82" s="1607"/>
    </row>
    <row r="83" spans="1:64" s="1518" customFormat="1" hidden="1" outlineLevel="1" x14ac:dyDescent="0.35">
      <c r="A83" s="1678" t="s">
        <v>948</v>
      </c>
      <c r="B83" s="1592"/>
      <c r="C83" s="1515"/>
      <c r="D83" s="1515"/>
      <c r="E83" s="1515"/>
      <c r="F83" s="1515"/>
      <c r="G83" s="1515"/>
      <c r="H83" s="1515"/>
      <c r="I83" s="1515"/>
      <c r="J83" s="1515"/>
      <c r="K83" s="1515"/>
      <c r="L83" s="1515"/>
      <c r="M83" s="1515"/>
      <c r="N83" s="1515"/>
      <c r="O83" s="1515"/>
      <c r="P83" s="1515"/>
      <c r="Q83" s="1515"/>
      <c r="R83" s="1515"/>
      <c r="S83" s="1515"/>
      <c r="T83" s="1515"/>
      <c r="U83" s="1515"/>
      <c r="V83" s="1515"/>
      <c r="W83" s="1515"/>
      <c r="X83" s="1515"/>
      <c r="Y83" s="1515"/>
      <c r="Z83" s="1515"/>
      <c r="AA83" s="1593">
        <v>5.2</v>
      </c>
      <c r="AB83" s="1593">
        <v>1.7</v>
      </c>
      <c r="AC83" s="1593">
        <v>1.9</v>
      </c>
      <c r="AD83" s="1515"/>
      <c r="AE83" s="1593">
        <v>-3</v>
      </c>
      <c r="AF83" s="1593">
        <v>-3.5</v>
      </c>
      <c r="AG83" s="1593">
        <v>-3.2</v>
      </c>
      <c r="AH83" s="1515"/>
      <c r="AI83" s="1515"/>
      <c r="AJ83" s="1594">
        <v>2.6</v>
      </c>
      <c r="AK83" s="1515"/>
      <c r="AL83" s="1515"/>
      <c r="AM83" s="1515"/>
      <c r="AN83" s="1515"/>
      <c r="AO83" s="1515"/>
      <c r="AP83" s="1515"/>
      <c r="AQ83" s="1515"/>
      <c r="AR83" s="1595"/>
      <c r="AS83" s="1595"/>
      <c r="AT83" s="1595"/>
      <c r="AU83" s="1595"/>
      <c r="AV83" s="1595"/>
      <c r="AW83" s="1595"/>
      <c r="AX83" s="1595"/>
      <c r="AY83" s="1595"/>
      <c r="AZ83" s="1595"/>
      <c r="BA83" s="1595"/>
      <c r="BB83" s="1595"/>
      <c r="BC83" s="1595"/>
      <c r="BD83" s="1595"/>
      <c r="BE83" s="1596">
        <v>5.0999999999999996</v>
      </c>
      <c r="BF83" s="1597">
        <v>-11</v>
      </c>
      <c r="BG83" s="1595"/>
      <c r="BH83" s="1595"/>
      <c r="BI83" s="1595"/>
      <c r="BJ83" s="1595"/>
      <c r="BK83" s="1595"/>
      <c r="BL83" s="1517"/>
    </row>
    <row r="84" spans="1:64" s="1518" customFormat="1" hidden="1" outlineLevel="1" x14ac:dyDescent="0.35">
      <c r="A84" s="1678" t="s">
        <v>949</v>
      </c>
      <c r="B84" s="1592"/>
      <c r="C84" s="1515"/>
      <c r="D84" s="1515"/>
      <c r="E84" s="1515"/>
      <c r="F84" s="1515"/>
      <c r="G84" s="1515"/>
      <c r="H84" s="1515"/>
      <c r="I84" s="1515"/>
      <c r="J84" s="1515"/>
      <c r="K84" s="1515"/>
      <c r="L84" s="1515"/>
      <c r="M84" s="1515"/>
      <c r="N84" s="1515"/>
      <c r="O84" s="1515"/>
      <c r="P84" s="1515"/>
      <c r="Q84" s="1515"/>
      <c r="R84" s="1515"/>
      <c r="S84" s="1515"/>
      <c r="T84" s="1515"/>
      <c r="U84" s="1515"/>
      <c r="V84" s="1515"/>
      <c r="W84" s="1515"/>
      <c r="X84" s="1515"/>
      <c r="Y84" s="1515"/>
      <c r="Z84" s="1515"/>
      <c r="AA84" s="1515"/>
      <c r="AB84" s="1515"/>
      <c r="AC84" s="1593">
        <v>-16.8</v>
      </c>
      <c r="AD84" s="1515"/>
      <c r="AE84" s="1515"/>
      <c r="AF84" s="1515"/>
      <c r="AG84" s="1515"/>
      <c r="AH84" s="1515"/>
      <c r="AI84" s="1515"/>
      <c r="AJ84" s="1516"/>
      <c r="AK84" s="1515"/>
      <c r="AL84" s="1515"/>
      <c r="AM84" s="1515"/>
      <c r="AN84" s="1515"/>
      <c r="AO84" s="1515"/>
      <c r="AP84" s="1515"/>
      <c r="AQ84" s="1515"/>
      <c r="AR84" s="1595"/>
      <c r="AS84" s="1595"/>
      <c r="AT84" s="1595"/>
      <c r="AU84" s="1595"/>
      <c r="AV84" s="1595"/>
      <c r="AW84" s="1595"/>
      <c r="AX84" s="1595"/>
      <c r="AY84" s="1595"/>
      <c r="AZ84" s="1595"/>
      <c r="BA84" s="1595"/>
      <c r="BB84" s="1595"/>
      <c r="BC84" s="1595"/>
      <c r="BD84" s="1595"/>
      <c r="BE84" s="1596">
        <v>-16.8</v>
      </c>
      <c r="BF84" s="1610"/>
      <c r="BG84" s="1595"/>
      <c r="BH84" s="1595"/>
      <c r="BI84" s="1595"/>
      <c r="BJ84" s="1595"/>
      <c r="BK84" s="1595"/>
      <c r="BL84" s="1517"/>
    </row>
    <row r="85" spans="1:64" s="1518" customFormat="1" hidden="1" outlineLevel="1" x14ac:dyDescent="0.35">
      <c r="A85" s="1678" t="s">
        <v>950</v>
      </c>
      <c r="B85" s="1592"/>
      <c r="C85" s="1515"/>
      <c r="D85" s="1515"/>
      <c r="E85" s="1515"/>
      <c r="F85" s="1515"/>
      <c r="G85" s="1515"/>
      <c r="H85" s="1515"/>
      <c r="I85" s="1515"/>
      <c r="J85" s="1515"/>
      <c r="K85" s="1515"/>
      <c r="L85" s="1515"/>
      <c r="M85" s="1515"/>
      <c r="N85" s="1515"/>
      <c r="O85" s="1515"/>
      <c r="P85" s="1515"/>
      <c r="Q85" s="1515"/>
      <c r="R85" s="1515"/>
      <c r="S85" s="1515"/>
      <c r="T85" s="1515"/>
      <c r="U85" s="1515"/>
      <c r="V85" s="1515"/>
      <c r="W85" s="1515"/>
      <c r="X85" s="1515"/>
      <c r="Y85" s="1515"/>
      <c r="Z85" s="1515"/>
      <c r="AA85" s="1515"/>
      <c r="AB85" s="1515"/>
      <c r="AC85" s="1593">
        <v>-7.8</v>
      </c>
      <c r="AD85" s="1515"/>
      <c r="AE85" s="1515"/>
      <c r="AF85" s="1515"/>
      <c r="AG85" s="1515"/>
      <c r="AH85" s="1515"/>
      <c r="AI85" s="1515"/>
      <c r="AJ85" s="1516"/>
      <c r="AK85" s="1515"/>
      <c r="AL85" s="1515"/>
      <c r="AM85" s="1515"/>
      <c r="AN85" s="1515"/>
      <c r="AO85" s="1515"/>
      <c r="AP85" s="1515"/>
      <c r="AQ85" s="1515"/>
      <c r="AR85" s="1595"/>
      <c r="AS85" s="1595"/>
      <c r="AT85" s="1595"/>
      <c r="AU85" s="1595"/>
      <c r="AV85" s="1595"/>
      <c r="AW85" s="1595"/>
      <c r="AX85" s="1595"/>
      <c r="AY85" s="1595"/>
      <c r="AZ85" s="1595"/>
      <c r="BA85" s="1595"/>
      <c r="BB85" s="1595"/>
      <c r="BC85" s="1595"/>
      <c r="BD85" s="1595"/>
      <c r="BE85" s="1596">
        <v>-8.9</v>
      </c>
      <c r="BF85" s="1610"/>
      <c r="BG85" s="1595"/>
      <c r="BH85" s="1595"/>
      <c r="BI85" s="1595"/>
      <c r="BJ85" s="1595"/>
      <c r="BK85" s="1595"/>
      <c r="BL85" s="1517"/>
    </row>
    <row r="86" spans="1:64" s="1518" customFormat="1" hidden="1" outlineLevel="1" x14ac:dyDescent="0.35">
      <c r="A86" s="1678" t="s">
        <v>951</v>
      </c>
      <c r="B86" s="1592"/>
      <c r="C86" s="1515"/>
      <c r="D86" s="1515"/>
      <c r="E86" s="1515"/>
      <c r="F86" s="1515"/>
      <c r="G86" s="1515"/>
      <c r="H86" s="1515"/>
      <c r="I86" s="1515"/>
      <c r="J86" s="1515"/>
      <c r="K86" s="1515"/>
      <c r="L86" s="1515"/>
      <c r="M86" s="1515"/>
      <c r="N86" s="1515"/>
      <c r="O86" s="1515"/>
      <c r="P86" s="1515"/>
      <c r="Q86" s="1515"/>
      <c r="R86" s="1515"/>
      <c r="S86" s="1515"/>
      <c r="T86" s="1515"/>
      <c r="U86" s="1515"/>
      <c r="V86" s="1515"/>
      <c r="W86" s="1515"/>
      <c r="X86" s="1515"/>
      <c r="Y86" s="1593">
        <v>30.5</v>
      </c>
      <c r="Z86" s="1515"/>
      <c r="AA86" s="1515"/>
      <c r="AB86" s="1515"/>
      <c r="AC86" s="1515"/>
      <c r="AD86" s="1515"/>
      <c r="AE86" s="1515"/>
      <c r="AF86" s="1515"/>
      <c r="AG86" s="1515"/>
      <c r="AH86" s="1515"/>
      <c r="AI86" s="1515"/>
      <c r="AJ86" s="1516"/>
      <c r="AK86" s="1515"/>
      <c r="AL86" s="1515"/>
      <c r="AM86" s="1515"/>
      <c r="AN86" s="1515"/>
      <c r="AO86" s="1515"/>
      <c r="AP86" s="1515"/>
      <c r="AQ86" s="1515"/>
      <c r="AR86" s="1595"/>
      <c r="AS86" s="1595"/>
      <c r="AT86" s="1595"/>
      <c r="AU86" s="1595"/>
      <c r="AV86" s="1595"/>
      <c r="AW86" s="1595"/>
      <c r="AX86" s="1595"/>
      <c r="AY86" s="1595"/>
      <c r="AZ86" s="1595"/>
      <c r="BA86" s="1595"/>
      <c r="BB86" s="1595"/>
      <c r="BC86" s="1595"/>
      <c r="BD86" s="1596">
        <v>38.200000000000003</v>
      </c>
      <c r="BE86" s="1596">
        <v>2.9</v>
      </c>
      <c r="BF86" s="1610"/>
      <c r="BG86" s="1595"/>
      <c r="BH86" s="1595"/>
      <c r="BI86" s="1595"/>
      <c r="BJ86" s="1595"/>
      <c r="BK86" s="1595"/>
      <c r="BL86" s="1517"/>
    </row>
    <row r="87" spans="1:64" s="1518" customFormat="1" hidden="1" outlineLevel="1" x14ac:dyDescent="0.35">
      <c r="A87" s="1678" t="s">
        <v>952</v>
      </c>
      <c r="B87" s="1592"/>
      <c r="C87" s="1515"/>
      <c r="D87" s="1515"/>
      <c r="E87" s="1515"/>
      <c r="F87" s="1515"/>
      <c r="G87" s="1515"/>
      <c r="H87" s="1515"/>
      <c r="I87" s="1515"/>
      <c r="J87" s="1515"/>
      <c r="K87" s="1515"/>
      <c r="L87" s="1515"/>
      <c r="M87" s="1515"/>
      <c r="N87" s="1515"/>
      <c r="O87" s="1515"/>
      <c r="P87" s="1515"/>
      <c r="Q87" s="1515"/>
      <c r="R87" s="1515"/>
      <c r="S87" s="1515"/>
      <c r="T87" s="1515"/>
      <c r="U87" s="1515"/>
      <c r="V87" s="1515"/>
      <c r="W87" s="1515"/>
      <c r="X87" s="1515"/>
      <c r="Y87" s="1515"/>
      <c r="Z87" s="1515"/>
      <c r="AA87" s="1515"/>
      <c r="AB87" s="1515"/>
      <c r="AC87" s="1515"/>
      <c r="AD87" s="1515"/>
      <c r="AE87" s="1515"/>
      <c r="AF87" s="1515"/>
      <c r="AG87" s="1515"/>
      <c r="AH87" s="1515"/>
      <c r="AI87" s="1515"/>
      <c r="AJ87" s="1516"/>
      <c r="AK87" s="1515"/>
      <c r="AL87" s="1515"/>
      <c r="AM87" s="1515"/>
      <c r="AN87" s="1515"/>
      <c r="AO87" s="1515"/>
      <c r="AP87" s="1515"/>
      <c r="AQ87" s="1515"/>
      <c r="AR87" s="1595"/>
      <c r="AS87" s="1595"/>
      <c r="AT87" s="1595"/>
      <c r="AU87" s="1595"/>
      <c r="AV87" s="1595"/>
      <c r="AW87" s="1595"/>
      <c r="AX87" s="1595"/>
      <c r="AY87" s="1595"/>
      <c r="AZ87" s="1595"/>
      <c r="BA87" s="1595"/>
      <c r="BB87" s="1595"/>
      <c r="BC87" s="1595"/>
      <c r="BD87" s="1595"/>
      <c r="BE87" s="1595"/>
      <c r="BF87" s="1597">
        <v>3.9</v>
      </c>
      <c r="BG87" s="1595"/>
      <c r="BH87" s="1595"/>
      <c r="BI87" s="1595"/>
      <c r="BJ87" s="1595"/>
      <c r="BK87" s="1595"/>
      <c r="BL87" s="1517"/>
    </row>
    <row r="88" spans="1:64" s="1518" customFormat="1" hidden="1" outlineLevel="1" x14ac:dyDescent="0.35">
      <c r="A88" s="1678" t="s">
        <v>953</v>
      </c>
      <c r="B88" s="1592"/>
      <c r="C88" s="1515"/>
      <c r="D88" s="1515"/>
      <c r="E88" s="1515"/>
      <c r="F88" s="1515"/>
      <c r="G88" s="1515"/>
      <c r="H88" s="1515"/>
      <c r="I88" s="1515"/>
      <c r="J88" s="1515"/>
      <c r="K88" s="1515"/>
      <c r="L88" s="1515"/>
      <c r="M88" s="1515"/>
      <c r="N88" s="1515"/>
      <c r="O88" s="1515"/>
      <c r="P88" s="1515"/>
      <c r="Q88" s="1515"/>
      <c r="R88" s="1515"/>
      <c r="S88" s="1515"/>
      <c r="T88" s="1515"/>
      <c r="U88" s="1515"/>
      <c r="V88" s="1515"/>
      <c r="W88" s="1515"/>
      <c r="X88" s="1515"/>
      <c r="Y88" s="1593">
        <v>22.6</v>
      </c>
      <c r="Z88" s="1515"/>
      <c r="AA88" s="1593">
        <v>3.3</v>
      </c>
      <c r="AB88" s="1593">
        <v>4.4000000000000004</v>
      </c>
      <c r="AC88" s="1593">
        <v>-18</v>
      </c>
      <c r="AD88" s="1515"/>
      <c r="AE88" s="1593">
        <v>2.8</v>
      </c>
      <c r="AF88" s="1593">
        <v>3.2</v>
      </c>
      <c r="AG88" s="1593">
        <v>3.5</v>
      </c>
      <c r="AH88" s="1515"/>
      <c r="AI88" s="1593">
        <v>1.1000000000000001</v>
      </c>
      <c r="AJ88" s="1594">
        <v>2.1</v>
      </c>
      <c r="AK88" s="1515"/>
      <c r="AL88" s="1515"/>
      <c r="AM88" s="1515"/>
      <c r="AN88" s="1515"/>
      <c r="AO88" s="1515"/>
      <c r="AP88" s="1515"/>
      <c r="AQ88" s="1515"/>
      <c r="AR88" s="1595"/>
      <c r="AS88" s="1595"/>
      <c r="AT88" s="1595"/>
      <c r="AU88" s="1595"/>
      <c r="AV88" s="1595"/>
      <c r="AW88" s="1595"/>
      <c r="AX88" s="1595"/>
      <c r="AY88" s="1595"/>
      <c r="AZ88" s="1595"/>
      <c r="BA88" s="1595"/>
      <c r="BB88" s="1595"/>
      <c r="BC88" s="1595"/>
      <c r="BD88" s="1596">
        <v>25.5</v>
      </c>
      <c r="BE88" s="1596">
        <v>-9</v>
      </c>
      <c r="BF88" s="1597">
        <v>10.199999999999999</v>
      </c>
      <c r="BG88" s="1595"/>
      <c r="BH88" s="1595"/>
      <c r="BI88" s="1595"/>
      <c r="BJ88" s="1595"/>
      <c r="BK88" s="1595"/>
      <c r="BL88" s="1517"/>
    </row>
    <row r="89" spans="1:64" s="1518" customFormat="1" hidden="1" outlineLevel="1" x14ac:dyDescent="0.35">
      <c r="A89" s="1678" t="s">
        <v>954</v>
      </c>
      <c r="B89" s="1592"/>
      <c r="C89" s="1515"/>
      <c r="D89" s="1515"/>
      <c r="E89" s="1515"/>
      <c r="F89" s="1515"/>
      <c r="G89" s="1515"/>
      <c r="H89" s="1515"/>
      <c r="I89" s="1515"/>
      <c r="J89" s="1515"/>
      <c r="K89" s="1515"/>
      <c r="L89" s="1515"/>
      <c r="M89" s="1515"/>
      <c r="N89" s="1515"/>
      <c r="O89" s="1515"/>
      <c r="P89" s="1515"/>
      <c r="Q89" s="1515"/>
      <c r="R89" s="1515"/>
      <c r="S89" s="1515"/>
      <c r="T89" s="1515"/>
      <c r="U89" s="1515"/>
      <c r="V89" s="1515"/>
      <c r="W89" s="1515"/>
      <c r="X89" s="1593">
        <v>5</v>
      </c>
      <c r="Y89" s="1515"/>
      <c r="Z89" s="1515"/>
      <c r="AA89" s="1593">
        <v>2.7</v>
      </c>
      <c r="AB89" s="1515"/>
      <c r="AC89" s="1593">
        <v>-2.2000000000000002</v>
      </c>
      <c r="AD89" s="1515"/>
      <c r="AE89" s="1593">
        <v>2.6</v>
      </c>
      <c r="AF89" s="1593">
        <v>0.9</v>
      </c>
      <c r="AG89" s="1593">
        <v>-2.6</v>
      </c>
      <c r="AH89" s="1515"/>
      <c r="AI89" s="1593">
        <v>8</v>
      </c>
      <c r="AJ89" s="1594">
        <v>3.5</v>
      </c>
      <c r="AK89" s="1515"/>
      <c r="AL89" s="1515"/>
      <c r="AM89" s="1515"/>
      <c r="AN89" s="1515"/>
      <c r="AO89" s="1515"/>
      <c r="AP89" s="1515"/>
      <c r="AQ89" s="1515"/>
      <c r="AR89" s="1595"/>
      <c r="AS89" s="1595"/>
      <c r="AT89" s="1595"/>
      <c r="AU89" s="1595"/>
      <c r="AV89" s="1595"/>
      <c r="AW89" s="1595"/>
      <c r="AX89" s="1595"/>
      <c r="AY89" s="1595"/>
      <c r="AZ89" s="1595"/>
      <c r="BA89" s="1595"/>
      <c r="BB89" s="1595"/>
      <c r="BC89" s="1595"/>
      <c r="BD89" s="1595"/>
      <c r="BE89" s="1595"/>
      <c r="BF89" s="1597">
        <v>-4.7</v>
      </c>
      <c r="BG89" s="1595"/>
      <c r="BH89" s="1595"/>
      <c r="BI89" s="1595"/>
      <c r="BJ89" s="1595"/>
      <c r="BK89" s="1595"/>
      <c r="BL89" s="1517"/>
    </row>
    <row r="90" spans="1:64" s="1518" customFormat="1" hidden="1" outlineLevel="1" x14ac:dyDescent="0.35">
      <c r="A90" s="1678" t="s">
        <v>955</v>
      </c>
      <c r="B90" s="1592"/>
      <c r="C90" s="1515"/>
      <c r="D90" s="1515"/>
      <c r="E90" s="1515"/>
      <c r="F90" s="1515"/>
      <c r="G90" s="1515"/>
      <c r="H90" s="1515"/>
      <c r="I90" s="1515"/>
      <c r="J90" s="1515"/>
      <c r="K90" s="1515"/>
      <c r="L90" s="1515"/>
      <c r="M90" s="1515"/>
      <c r="N90" s="1515"/>
      <c r="O90" s="1515"/>
      <c r="P90" s="1515"/>
      <c r="Q90" s="1515"/>
      <c r="R90" s="1515"/>
      <c r="S90" s="1515"/>
      <c r="T90" s="1515"/>
      <c r="U90" s="1515"/>
      <c r="V90" s="1515"/>
      <c r="W90" s="1515"/>
      <c r="X90" s="1515"/>
      <c r="Y90" s="1515"/>
      <c r="Z90" s="1515"/>
      <c r="AA90" s="1515"/>
      <c r="AB90" s="1515"/>
      <c r="AC90" s="1515"/>
      <c r="AD90" s="1515"/>
      <c r="AE90" s="1593">
        <v>2.5</v>
      </c>
      <c r="AF90" s="1593">
        <v>3.4</v>
      </c>
      <c r="AG90" s="1593">
        <v>2.9</v>
      </c>
      <c r="AH90" s="1515"/>
      <c r="AI90" s="1515"/>
      <c r="AJ90" s="1516"/>
      <c r="AK90" s="1515"/>
      <c r="AL90" s="1515"/>
      <c r="AM90" s="1515"/>
      <c r="AN90" s="1515"/>
      <c r="AO90" s="1515"/>
      <c r="AP90" s="1515"/>
      <c r="AQ90" s="1515"/>
      <c r="AR90" s="1595"/>
      <c r="AS90" s="1595"/>
      <c r="AT90" s="1595"/>
      <c r="AU90" s="1595"/>
      <c r="AV90" s="1595"/>
      <c r="AW90" s="1595"/>
      <c r="AX90" s="1595"/>
      <c r="AY90" s="1595"/>
      <c r="AZ90" s="1595"/>
      <c r="BA90" s="1595"/>
      <c r="BB90" s="1595"/>
      <c r="BC90" s="1595"/>
      <c r="BD90" s="1595"/>
      <c r="BE90" s="1595"/>
      <c r="BF90" s="1610">
        <f>5.1-BF91-BF96</f>
        <v>0</v>
      </c>
      <c r="BG90" s="1595"/>
      <c r="BH90" s="1595"/>
      <c r="BI90" s="1595"/>
      <c r="BJ90" s="1595"/>
      <c r="BK90" s="1595"/>
      <c r="BL90" s="1517"/>
    </row>
    <row r="91" spans="1:64" s="1518" customFormat="1" hidden="1" outlineLevel="1" x14ac:dyDescent="0.35">
      <c r="A91" s="1678" t="s">
        <v>956</v>
      </c>
      <c r="B91" s="1592"/>
      <c r="C91" s="1515"/>
      <c r="D91" s="1515"/>
      <c r="E91" s="1515"/>
      <c r="F91" s="1515"/>
      <c r="G91" s="1515"/>
      <c r="H91" s="1515"/>
      <c r="I91" s="1515"/>
      <c r="J91" s="1515"/>
      <c r="K91" s="1515"/>
      <c r="L91" s="1515"/>
      <c r="M91" s="1515"/>
      <c r="N91" s="1515"/>
      <c r="O91" s="1515"/>
      <c r="P91" s="1515"/>
      <c r="Q91" s="1515"/>
      <c r="R91" s="1515"/>
      <c r="S91" s="1515"/>
      <c r="T91" s="1515"/>
      <c r="U91" s="1515"/>
      <c r="V91" s="1515"/>
      <c r="W91" s="1515"/>
      <c r="X91" s="1515"/>
      <c r="Y91" s="1515"/>
      <c r="Z91" s="1515"/>
      <c r="AA91" s="1515"/>
      <c r="AB91" s="1515"/>
      <c r="AC91" s="1515"/>
      <c r="AD91" s="1515"/>
      <c r="AE91" s="1515"/>
      <c r="AF91" s="1515"/>
      <c r="AG91" s="1515"/>
      <c r="AH91" s="1515"/>
      <c r="AI91" s="1515"/>
      <c r="AJ91" s="1516"/>
      <c r="AK91" s="1515"/>
      <c r="AL91" s="1515"/>
      <c r="AM91" s="1515"/>
      <c r="AN91" s="1515"/>
      <c r="AO91" s="1515"/>
      <c r="AP91" s="1515"/>
      <c r="AQ91" s="1515"/>
      <c r="AR91" s="1595"/>
      <c r="AS91" s="1595"/>
      <c r="AT91" s="1595"/>
      <c r="AU91" s="1595"/>
      <c r="AV91" s="1595"/>
      <c r="AW91" s="1595"/>
      <c r="AX91" s="1595"/>
      <c r="AY91" s="1595"/>
      <c r="AZ91" s="1595"/>
      <c r="BA91" s="1595"/>
      <c r="BB91" s="1595"/>
      <c r="BC91" s="1595"/>
      <c r="BD91" s="1595"/>
      <c r="BE91" s="1595"/>
      <c r="BF91" s="1597">
        <v>3.6</v>
      </c>
      <c r="BG91" s="1595"/>
      <c r="BH91" s="1595"/>
      <c r="BI91" s="1595"/>
      <c r="BJ91" s="1595"/>
      <c r="BK91" s="1595"/>
      <c r="BL91" s="1517"/>
    </row>
    <row r="92" spans="1:64" s="1518" customFormat="1" hidden="1" outlineLevel="1" x14ac:dyDescent="0.35">
      <c r="A92" s="1678" t="s">
        <v>957</v>
      </c>
      <c r="B92" s="1592"/>
      <c r="C92" s="1515"/>
      <c r="D92" s="1515"/>
      <c r="E92" s="1515"/>
      <c r="F92" s="1515"/>
      <c r="G92" s="1515"/>
      <c r="H92" s="1515"/>
      <c r="I92" s="1515"/>
      <c r="J92" s="1515"/>
      <c r="K92" s="1515"/>
      <c r="L92" s="1515"/>
      <c r="M92" s="1515"/>
      <c r="N92" s="1515"/>
      <c r="O92" s="1515"/>
      <c r="P92" s="1515"/>
      <c r="Q92" s="1515"/>
      <c r="R92" s="1515"/>
      <c r="S92" s="1515"/>
      <c r="T92" s="1515"/>
      <c r="U92" s="1515"/>
      <c r="V92" s="1515"/>
      <c r="W92" s="1515"/>
      <c r="X92" s="1593">
        <v>8.5</v>
      </c>
      <c r="Y92" s="1515"/>
      <c r="Z92" s="1515"/>
      <c r="AA92" s="1515"/>
      <c r="AB92" s="1515"/>
      <c r="AC92" s="1593">
        <v>-0.6</v>
      </c>
      <c r="AD92" s="1515"/>
      <c r="AE92" s="1515"/>
      <c r="AF92" s="1515"/>
      <c r="AG92" s="1515"/>
      <c r="AH92" s="1515"/>
      <c r="AI92" s="1515"/>
      <c r="AJ92" s="1516"/>
      <c r="AK92" s="1515"/>
      <c r="AL92" s="1515"/>
      <c r="AM92" s="1515"/>
      <c r="AN92" s="1515"/>
      <c r="AO92" s="1515"/>
      <c r="AP92" s="1515"/>
      <c r="AQ92" s="1515"/>
      <c r="AR92" s="1595"/>
      <c r="AS92" s="1595"/>
      <c r="AT92" s="1595"/>
      <c r="AU92" s="1595"/>
      <c r="AV92" s="1595"/>
      <c r="AW92" s="1595"/>
      <c r="AX92" s="1595"/>
      <c r="AY92" s="1595"/>
      <c r="AZ92" s="1595"/>
      <c r="BA92" s="1595"/>
      <c r="BB92" s="1595"/>
      <c r="BC92" s="1595"/>
      <c r="BD92" s="1595"/>
      <c r="BE92" s="1595"/>
      <c r="BF92" s="1610"/>
      <c r="BG92" s="1595"/>
      <c r="BH92" s="1595"/>
      <c r="BI92" s="1595"/>
      <c r="BJ92" s="1595"/>
      <c r="BK92" s="1595"/>
      <c r="BL92" s="1517"/>
    </row>
    <row r="93" spans="1:64" s="1518" customFormat="1" hidden="1" outlineLevel="1" x14ac:dyDescent="0.35">
      <c r="A93" s="1678" t="s">
        <v>958</v>
      </c>
      <c r="B93" s="1592"/>
      <c r="C93" s="1515"/>
      <c r="D93" s="1515"/>
      <c r="E93" s="1515"/>
      <c r="F93" s="1515"/>
      <c r="G93" s="1515"/>
      <c r="H93" s="1515"/>
      <c r="I93" s="1515"/>
      <c r="J93" s="1515"/>
      <c r="K93" s="1515"/>
      <c r="L93" s="1515"/>
      <c r="M93" s="1515"/>
      <c r="N93" s="1515"/>
      <c r="O93" s="1515"/>
      <c r="P93" s="1515"/>
      <c r="Q93" s="1515"/>
      <c r="R93" s="1515"/>
      <c r="S93" s="1515"/>
      <c r="T93" s="1515"/>
      <c r="U93" s="1515"/>
      <c r="V93" s="1515"/>
      <c r="W93" s="1515"/>
      <c r="X93" s="1515"/>
      <c r="Y93" s="1515"/>
      <c r="Z93" s="1515"/>
      <c r="AA93" s="1515"/>
      <c r="AB93" s="1515"/>
      <c r="AC93" s="1515"/>
      <c r="AD93" s="1515"/>
      <c r="AE93" s="1515"/>
      <c r="AF93" s="1515"/>
      <c r="AG93" s="1515"/>
      <c r="AH93" s="1515"/>
      <c r="AI93" s="1515"/>
      <c r="AJ93" s="1594">
        <v>1</v>
      </c>
      <c r="AK93" s="1515"/>
      <c r="AL93" s="1515"/>
      <c r="AM93" s="1515"/>
      <c r="AN93" s="1515"/>
      <c r="AO93" s="1515"/>
      <c r="AP93" s="1515"/>
      <c r="AQ93" s="1515"/>
      <c r="AR93" s="1595"/>
      <c r="AS93" s="1595"/>
      <c r="AT93" s="1595"/>
      <c r="AU93" s="1595"/>
      <c r="AV93" s="1595"/>
      <c r="AW93" s="1595"/>
      <c r="AX93" s="1595"/>
      <c r="AY93" s="1595"/>
      <c r="AZ93" s="1595"/>
      <c r="BA93" s="1595"/>
      <c r="BB93" s="1595"/>
      <c r="BC93" s="1595"/>
      <c r="BD93" s="1595"/>
      <c r="BE93" s="1596">
        <v>3.3</v>
      </c>
      <c r="BF93" s="1597">
        <v>-3.2</v>
      </c>
      <c r="BG93" s="1595"/>
      <c r="BH93" s="1595"/>
      <c r="BI93" s="1595"/>
      <c r="BJ93" s="1595"/>
      <c r="BK93" s="1595"/>
      <c r="BL93" s="1517"/>
    </row>
    <row r="94" spans="1:64" s="1518" customFormat="1" hidden="1" outlineLevel="1" x14ac:dyDescent="0.35">
      <c r="A94" s="1678" t="s">
        <v>959</v>
      </c>
      <c r="B94" s="1592"/>
      <c r="C94" s="1515"/>
      <c r="D94" s="1515"/>
      <c r="E94" s="1515"/>
      <c r="F94" s="1515"/>
      <c r="G94" s="1515"/>
      <c r="H94" s="1515"/>
      <c r="I94" s="1515"/>
      <c r="J94" s="1515"/>
      <c r="K94" s="1515"/>
      <c r="L94" s="1515"/>
      <c r="M94" s="1515"/>
      <c r="N94" s="1515"/>
      <c r="O94" s="1515"/>
      <c r="P94" s="1515"/>
      <c r="Q94" s="1515"/>
      <c r="R94" s="1515"/>
      <c r="S94" s="1515"/>
      <c r="T94" s="1515"/>
      <c r="U94" s="1515"/>
      <c r="V94" s="1515"/>
      <c r="W94" s="1515"/>
      <c r="X94" s="1515"/>
      <c r="Y94" s="1515"/>
      <c r="Z94" s="1515"/>
      <c r="AA94" s="1515"/>
      <c r="AB94" s="1515"/>
      <c r="AC94" s="1515"/>
      <c r="AD94" s="1515"/>
      <c r="AE94" s="1515"/>
      <c r="AF94" s="1515"/>
      <c r="AG94" s="1593">
        <v>-0.7</v>
      </c>
      <c r="AH94" s="1515"/>
      <c r="AI94" s="1593">
        <v>4</v>
      </c>
      <c r="AJ94" s="1594">
        <v>-2.7</v>
      </c>
      <c r="AK94" s="1515"/>
      <c r="AL94" s="1515"/>
      <c r="AM94" s="1515"/>
      <c r="AN94" s="1515"/>
      <c r="AO94" s="1515"/>
      <c r="AP94" s="1515"/>
      <c r="AQ94" s="1515"/>
      <c r="AR94" s="1595"/>
      <c r="AS94" s="1595"/>
      <c r="AT94" s="1595"/>
      <c r="AU94" s="1595"/>
      <c r="AV94" s="1595"/>
      <c r="AW94" s="1595"/>
      <c r="AX94" s="1595"/>
      <c r="AY94" s="1595"/>
      <c r="AZ94" s="1595"/>
      <c r="BA94" s="1595"/>
      <c r="BB94" s="1595"/>
      <c r="BC94" s="1595"/>
      <c r="BD94" s="1595"/>
      <c r="BE94" s="1595"/>
      <c r="BF94" s="1597">
        <v>-2.6</v>
      </c>
      <c r="BG94" s="1595"/>
      <c r="BH94" s="1595"/>
      <c r="BI94" s="1595"/>
      <c r="BJ94" s="1595"/>
      <c r="BK94" s="1595"/>
      <c r="BL94" s="1517"/>
    </row>
    <row r="95" spans="1:64" s="1518" customFormat="1" hidden="1" outlineLevel="1" x14ac:dyDescent="0.35">
      <c r="A95" s="1678" t="s">
        <v>960</v>
      </c>
      <c r="B95" s="1592"/>
      <c r="C95" s="1515"/>
      <c r="D95" s="1515"/>
      <c r="E95" s="1515"/>
      <c r="F95" s="1515"/>
      <c r="G95" s="1515"/>
      <c r="H95" s="1515"/>
      <c r="I95" s="1515"/>
      <c r="J95" s="1515"/>
      <c r="K95" s="1515"/>
      <c r="L95" s="1515"/>
      <c r="M95" s="1515"/>
      <c r="N95" s="1515"/>
      <c r="O95" s="1515"/>
      <c r="P95" s="1515"/>
      <c r="Q95" s="1515"/>
      <c r="R95" s="1515"/>
      <c r="S95" s="1515"/>
      <c r="T95" s="1515"/>
      <c r="U95" s="1515"/>
      <c r="V95" s="1515"/>
      <c r="W95" s="1515"/>
      <c r="X95" s="1593">
        <v>-4</v>
      </c>
      <c r="Y95" s="1515"/>
      <c r="Z95" s="1515"/>
      <c r="AA95" s="1515"/>
      <c r="AB95" s="1515"/>
      <c r="AC95" s="1515"/>
      <c r="AD95" s="1515"/>
      <c r="AE95" s="1515"/>
      <c r="AF95" s="1515"/>
      <c r="AG95" s="1515"/>
      <c r="AH95" s="1515"/>
      <c r="AI95" s="1515"/>
      <c r="AJ95" s="1516"/>
      <c r="AK95" s="1515"/>
      <c r="AL95" s="1515"/>
      <c r="AM95" s="1515"/>
      <c r="AN95" s="1515"/>
      <c r="AO95" s="1515"/>
      <c r="AP95" s="1515"/>
      <c r="AQ95" s="1515"/>
      <c r="AR95" s="1595"/>
      <c r="AS95" s="1595"/>
      <c r="AT95" s="1595"/>
      <c r="AU95" s="1595"/>
      <c r="AV95" s="1595"/>
      <c r="AW95" s="1595"/>
      <c r="AX95" s="1595"/>
      <c r="AY95" s="1595"/>
      <c r="AZ95" s="1595"/>
      <c r="BA95" s="1595"/>
      <c r="BB95" s="1595"/>
      <c r="BC95" s="1595"/>
      <c r="BD95" s="1595"/>
      <c r="BE95" s="1595"/>
      <c r="BF95" s="1610"/>
      <c r="BG95" s="1595"/>
      <c r="BH95" s="1595"/>
      <c r="BI95" s="1595"/>
      <c r="BJ95" s="1595"/>
      <c r="BK95" s="1595"/>
      <c r="BL95" s="1517"/>
    </row>
    <row r="96" spans="1:64" s="1518" customFormat="1" hidden="1" outlineLevel="1" x14ac:dyDescent="0.35">
      <c r="A96" s="1678" t="s">
        <v>961</v>
      </c>
      <c r="B96" s="1592"/>
      <c r="C96" s="1515"/>
      <c r="D96" s="1515"/>
      <c r="E96" s="1515"/>
      <c r="F96" s="1515"/>
      <c r="G96" s="1515"/>
      <c r="H96" s="1515"/>
      <c r="I96" s="1515"/>
      <c r="J96" s="1515"/>
      <c r="K96" s="1515"/>
      <c r="L96" s="1515"/>
      <c r="M96" s="1515"/>
      <c r="N96" s="1515"/>
      <c r="O96" s="1515"/>
      <c r="P96" s="1515"/>
      <c r="Q96" s="1515"/>
      <c r="R96" s="1515"/>
      <c r="S96" s="1515"/>
      <c r="T96" s="1515"/>
      <c r="U96" s="1515"/>
      <c r="V96" s="1515"/>
      <c r="W96" s="1515"/>
      <c r="X96" s="1593">
        <v>-2</v>
      </c>
      <c r="Y96" s="1515"/>
      <c r="Z96" s="1515"/>
      <c r="AA96" s="1515"/>
      <c r="AB96" s="1515"/>
      <c r="AC96" s="1515"/>
      <c r="AD96" s="1515"/>
      <c r="AE96" s="1515"/>
      <c r="AF96" s="1515"/>
      <c r="AG96" s="1515"/>
      <c r="AH96" s="1515"/>
      <c r="AI96" s="1515"/>
      <c r="AJ96" s="1594">
        <v>-1.5</v>
      </c>
      <c r="AK96" s="1515"/>
      <c r="AL96" s="1515"/>
      <c r="AM96" s="1515"/>
      <c r="AN96" s="1515"/>
      <c r="AO96" s="1515"/>
      <c r="AP96" s="1515"/>
      <c r="AQ96" s="1515"/>
      <c r="AR96" s="1595"/>
      <c r="AS96" s="1595"/>
      <c r="AT96" s="1595"/>
      <c r="AU96" s="1595"/>
      <c r="AV96" s="1595"/>
      <c r="AW96" s="1595"/>
      <c r="AX96" s="1595"/>
      <c r="AY96" s="1595"/>
      <c r="AZ96" s="1595"/>
      <c r="BA96" s="1595"/>
      <c r="BB96" s="1595"/>
      <c r="BC96" s="1595"/>
      <c r="BD96" s="1595"/>
      <c r="BE96" s="1595"/>
      <c r="BF96" s="1597">
        <v>1.5</v>
      </c>
      <c r="BG96" s="1595"/>
      <c r="BH96" s="1595"/>
      <c r="BI96" s="1595"/>
      <c r="BJ96" s="1595"/>
      <c r="BK96" s="1595"/>
      <c r="BL96" s="1517"/>
    </row>
    <row r="97" spans="1:64" s="1518" customFormat="1" hidden="1" outlineLevel="1" x14ac:dyDescent="0.35">
      <c r="A97" s="1679" t="s">
        <v>962</v>
      </c>
      <c r="B97" s="1680"/>
      <c r="C97" s="1681"/>
      <c r="D97" s="1681"/>
      <c r="E97" s="1681"/>
      <c r="F97" s="1681"/>
      <c r="G97" s="1681"/>
      <c r="H97" s="1681"/>
      <c r="I97" s="1681"/>
      <c r="J97" s="1681"/>
      <c r="K97" s="1681"/>
      <c r="L97" s="1681"/>
      <c r="M97" s="1681"/>
      <c r="N97" s="1681"/>
      <c r="O97" s="1681"/>
      <c r="P97" s="1681"/>
      <c r="Q97" s="1681"/>
      <c r="R97" s="1681"/>
      <c r="S97" s="1681"/>
      <c r="T97" s="1681"/>
      <c r="U97" s="1681"/>
      <c r="V97" s="1681"/>
      <c r="W97" s="1681"/>
      <c r="X97" s="1681">
        <f>X98-SUM(X82:X96)</f>
        <v>-0.74599999999999511</v>
      </c>
      <c r="Y97" s="1681">
        <f>Y98-SUM(Y82:Y96)</f>
        <v>6.4920000000000044</v>
      </c>
      <c r="Z97" s="1681"/>
      <c r="AA97" s="1681">
        <f>AA98-SUM(AA82:AA96)</f>
        <v>1.5269999999999939</v>
      </c>
      <c r="AB97" s="1681">
        <f>AB98-SUM(AB82:AB96)</f>
        <v>-2.8189999999999884</v>
      </c>
      <c r="AC97" s="1681">
        <f>AC98-SUM(AC82:AC96)</f>
        <v>0.92799999999999017</v>
      </c>
      <c r="AD97" s="1681"/>
      <c r="AE97" s="1681">
        <f>AE98-SUM(AE82:AE96)</f>
        <v>0.21800000000000352</v>
      </c>
      <c r="AF97" s="1681">
        <f>AF98-SUM(AF82:AF96)</f>
        <v>-0.9760000000000062</v>
      </c>
      <c r="AG97" s="1681">
        <f>AG98-SUM(AG82:AG96)</f>
        <v>7.1000000000005059E-2</v>
      </c>
      <c r="AH97" s="1681"/>
      <c r="AI97" s="1681">
        <f>AI98-SUM(AI82:AI96)</f>
        <v>-0.66100000000000136</v>
      </c>
      <c r="AJ97" s="1682">
        <f>AJ98-SUM(AJ82:AJ96)</f>
        <v>0.46900000000000119</v>
      </c>
      <c r="AK97" s="1681"/>
      <c r="AL97" s="1681"/>
      <c r="AM97" s="1681"/>
      <c r="AN97" s="1681"/>
      <c r="AO97" s="1681"/>
      <c r="AP97" s="1681"/>
      <c r="AQ97" s="1681"/>
      <c r="AR97" s="1683"/>
      <c r="AS97" s="1683"/>
      <c r="AT97" s="1683"/>
      <c r="AU97" s="1683"/>
      <c r="AV97" s="1683"/>
      <c r="AW97" s="1683"/>
      <c r="AX97" s="1683"/>
      <c r="AY97" s="1683"/>
      <c r="AZ97" s="1683"/>
      <c r="BA97" s="1683"/>
      <c r="BB97" s="1683"/>
      <c r="BC97" s="1683">
        <f>BC98-SUM(BC82:BC96)</f>
        <v>-24.644000000000005</v>
      </c>
      <c r="BD97" s="1683">
        <f>BD98-SUM(BD82:BD96)</f>
        <v>12.44599999999997</v>
      </c>
      <c r="BE97" s="1683">
        <f>BE98-SUM(BE82:BE96)</f>
        <v>0.15900000000002024</v>
      </c>
      <c r="BF97" s="1684">
        <f>BF98-SUM(BF82:BF96)</f>
        <v>0.59599999999997522</v>
      </c>
      <c r="BG97" s="1683"/>
      <c r="BH97" s="1683"/>
      <c r="BI97" s="1683"/>
      <c r="BJ97" s="1683"/>
      <c r="BK97" s="1683"/>
      <c r="BL97" s="1517"/>
    </row>
    <row r="98" spans="1:64" s="1608" customFormat="1" hidden="1" outlineLevel="1" x14ac:dyDescent="0.35">
      <c r="A98" s="1665" t="s">
        <v>963</v>
      </c>
      <c r="B98" s="1666"/>
      <c r="C98" s="1667"/>
      <c r="D98" s="1667"/>
      <c r="E98" s="1667"/>
      <c r="F98" s="1667"/>
      <c r="G98" s="1667"/>
      <c r="H98" s="1667"/>
      <c r="I98" s="1667"/>
      <c r="J98" s="1667"/>
      <c r="K98" s="1667"/>
      <c r="L98" s="1667"/>
      <c r="M98" s="1667"/>
      <c r="N98" s="1667"/>
      <c r="O98" s="1667"/>
      <c r="P98" s="1667"/>
      <c r="Q98" s="1667"/>
      <c r="R98" s="1667"/>
      <c r="S98" s="1667"/>
      <c r="T98" s="1667"/>
      <c r="U98" s="1667"/>
      <c r="V98" s="1667"/>
      <c r="W98" s="1667"/>
      <c r="X98" s="1677">
        <v>68.210999999999999</v>
      </c>
      <c r="Y98" s="1667">
        <f>Y123</f>
        <v>84.983000000000004</v>
      </c>
      <c r="Z98" s="1667"/>
      <c r="AA98" s="1667">
        <f>AA123</f>
        <v>42.332999999999998</v>
      </c>
      <c r="AB98" s="1667">
        <f>AB123</f>
        <v>41.886000000000003</v>
      </c>
      <c r="AC98" s="1667">
        <f>AC123</f>
        <v>42.411000000000001</v>
      </c>
      <c r="AD98" s="1667"/>
      <c r="AE98" s="1667">
        <f>AE123</f>
        <v>47.451000000000001</v>
      </c>
      <c r="AF98" s="1667">
        <f>AF123</f>
        <v>44.91</v>
      </c>
      <c r="AG98" s="1667">
        <f>AG123</f>
        <v>42.381999999999998</v>
      </c>
      <c r="AH98" s="1667"/>
      <c r="AI98" s="1667">
        <f>AI123</f>
        <v>59.89</v>
      </c>
      <c r="AJ98" s="1668">
        <f>AJ123</f>
        <v>50.378999999999998</v>
      </c>
      <c r="AK98" s="1667"/>
      <c r="AL98" s="1667"/>
      <c r="AM98" s="1667"/>
      <c r="AN98" s="1667"/>
      <c r="AO98" s="1667"/>
      <c r="AP98" s="1667"/>
      <c r="AQ98" s="1667"/>
      <c r="AR98" s="1669"/>
      <c r="AS98" s="1669"/>
      <c r="AT98" s="1669"/>
      <c r="AU98" s="1669"/>
      <c r="AV98" s="1669"/>
      <c r="AW98" s="1669"/>
      <c r="AX98" s="1669"/>
      <c r="AY98" s="1669"/>
      <c r="AZ98" s="1669"/>
      <c r="BA98" s="1669"/>
      <c r="BB98" s="1669"/>
      <c r="BC98" s="1669">
        <f>BC123</f>
        <v>122.554</v>
      </c>
      <c r="BD98" s="1669">
        <f>BD123</f>
        <v>198.7</v>
      </c>
      <c r="BE98" s="1669">
        <f>BE123</f>
        <v>175.459</v>
      </c>
      <c r="BF98" s="1612">
        <f>BF123</f>
        <v>173.755</v>
      </c>
      <c r="BG98" s="1669"/>
      <c r="BH98" s="1669"/>
      <c r="BI98" s="1669"/>
      <c r="BJ98" s="1669"/>
      <c r="BK98" s="1669"/>
      <c r="BL98" s="1607"/>
    </row>
    <row r="99" spans="1:64" s="1518" customFormat="1" hidden="1" outlineLevel="1" x14ac:dyDescent="0.35">
      <c r="A99" s="1609"/>
      <c r="B99" s="1592"/>
      <c r="C99" s="1515"/>
      <c r="D99" s="1515"/>
      <c r="E99" s="1515"/>
      <c r="F99" s="1515"/>
      <c r="G99" s="1515"/>
      <c r="H99" s="1515"/>
      <c r="I99" s="1515"/>
      <c r="J99" s="1515"/>
      <c r="K99" s="1515"/>
      <c r="L99" s="1515"/>
      <c r="M99" s="1515"/>
      <c r="N99" s="1515"/>
      <c r="O99" s="1515"/>
      <c r="P99" s="1515"/>
      <c r="Q99" s="1515"/>
      <c r="R99" s="1515"/>
      <c r="S99" s="1515"/>
      <c r="T99" s="1515"/>
      <c r="U99" s="1515"/>
      <c r="V99" s="1515"/>
      <c r="W99" s="1515"/>
      <c r="X99" s="1515"/>
      <c r="Y99" s="1515"/>
      <c r="Z99" s="1515"/>
      <c r="AA99" s="1515"/>
      <c r="AB99" s="1515"/>
      <c r="AC99" s="1515"/>
      <c r="AD99" s="1515"/>
      <c r="AE99" s="1515"/>
      <c r="AF99" s="1515"/>
      <c r="AG99" s="1515"/>
      <c r="AH99" s="1515"/>
      <c r="AI99" s="1515"/>
      <c r="AJ99" s="1516"/>
      <c r="AK99" s="1515"/>
      <c r="AL99" s="1515"/>
      <c r="AM99" s="1515"/>
      <c r="AN99" s="1515"/>
      <c r="AO99" s="1515"/>
      <c r="AP99" s="1515"/>
      <c r="AQ99" s="1515"/>
      <c r="AR99" s="1595"/>
      <c r="AS99" s="1595"/>
      <c r="AT99" s="1595"/>
      <c r="AU99" s="1595"/>
      <c r="AV99" s="1595"/>
      <c r="AW99" s="1595"/>
      <c r="AX99" s="1595"/>
      <c r="AY99" s="1595"/>
      <c r="AZ99" s="1595"/>
      <c r="BA99" s="1595"/>
      <c r="BB99" s="1595"/>
      <c r="BC99" s="1595"/>
      <c r="BD99" s="1595"/>
      <c r="BE99" s="1595"/>
      <c r="BF99" s="1610"/>
      <c r="BG99" s="1595"/>
      <c r="BH99" s="1595"/>
      <c r="BI99" s="1595"/>
      <c r="BJ99" s="1595"/>
      <c r="BK99" s="1595"/>
      <c r="BL99" s="1517"/>
    </row>
    <row r="100" spans="1:64" s="1608" customFormat="1" hidden="1" outlineLevel="1" x14ac:dyDescent="0.35">
      <c r="A100" s="1665" t="s">
        <v>964</v>
      </c>
      <c r="B100" s="1666"/>
      <c r="C100" s="1667"/>
      <c r="D100" s="1667"/>
      <c r="E100" s="1667"/>
      <c r="F100" s="1667"/>
      <c r="G100" s="1667"/>
      <c r="H100" s="1667"/>
      <c r="I100" s="1667"/>
      <c r="J100" s="1667"/>
      <c r="K100" s="1667"/>
      <c r="L100" s="1667"/>
      <c r="M100" s="1667"/>
      <c r="N100" s="1667"/>
      <c r="O100" s="1667"/>
      <c r="P100" s="1667"/>
      <c r="Q100" s="1667"/>
      <c r="R100" s="1667"/>
      <c r="S100" s="1667"/>
      <c r="T100" s="1667"/>
      <c r="U100" s="1667"/>
      <c r="V100" s="1667"/>
      <c r="W100" s="1667"/>
      <c r="X100" s="1677">
        <v>45.578000000000003</v>
      </c>
      <c r="Y100" s="1667">
        <f>U124</f>
        <v>22.863</v>
      </c>
      <c r="Z100" s="1667"/>
      <c r="AA100" s="1667">
        <f>W124</f>
        <v>20.548999999999999</v>
      </c>
      <c r="AB100" s="1667">
        <f>X124</f>
        <v>20.297999999999998</v>
      </c>
      <c r="AC100" s="1667">
        <f>Y124</f>
        <v>20.346</v>
      </c>
      <c r="AD100" s="1667"/>
      <c r="AE100" s="1667">
        <f>AA124</f>
        <v>20.155999999999999</v>
      </c>
      <c r="AF100" s="1667">
        <f>AB124</f>
        <v>19.872</v>
      </c>
      <c r="AG100" s="1667">
        <f>AC124</f>
        <v>16.57</v>
      </c>
      <c r="AH100" s="1667"/>
      <c r="AI100" s="1667">
        <f>AE124</f>
        <v>15.122</v>
      </c>
      <c r="AJ100" s="1668">
        <f>AF124</f>
        <v>16.12</v>
      </c>
      <c r="AK100" s="1667"/>
      <c r="AL100" s="1667"/>
      <c r="AM100" s="1667"/>
      <c r="AN100" s="1667"/>
      <c r="AO100" s="1667"/>
      <c r="AP100" s="1667"/>
      <c r="AQ100" s="1667"/>
      <c r="AR100" s="1669"/>
      <c r="AS100" s="1669"/>
      <c r="AT100" s="1669"/>
      <c r="AU100" s="1669"/>
      <c r="AV100" s="1669"/>
      <c r="AW100" s="1669"/>
      <c r="AX100" s="1669"/>
      <c r="AY100" s="1669"/>
      <c r="AZ100" s="1669"/>
      <c r="BA100" s="1669"/>
      <c r="BB100" s="1669"/>
      <c r="BC100" s="1669">
        <f>BB124</f>
        <v>93.802000000000007</v>
      </c>
      <c r="BD100" s="1669">
        <f>BC124</f>
        <v>91.198999999999998</v>
      </c>
      <c r="BE100" s="1669">
        <f>BD124</f>
        <v>82.063999999999993</v>
      </c>
      <c r="BF100" s="1612">
        <f>BE124</f>
        <v>73.14</v>
      </c>
      <c r="BG100" s="1669"/>
      <c r="BH100" s="1669"/>
      <c r="BI100" s="1669"/>
      <c r="BJ100" s="1669"/>
      <c r="BK100" s="1669"/>
      <c r="BL100" s="1607"/>
    </row>
    <row r="101" spans="1:64" s="1518" customFormat="1" hidden="1" outlineLevel="1" x14ac:dyDescent="0.35">
      <c r="A101" s="1678" t="s">
        <v>965</v>
      </c>
      <c r="B101" s="1592"/>
      <c r="C101" s="1515"/>
      <c r="D101" s="1515"/>
      <c r="E101" s="1515"/>
      <c r="F101" s="1515"/>
      <c r="G101" s="1515"/>
      <c r="H101" s="1515"/>
      <c r="I101" s="1515"/>
      <c r="J101" s="1515"/>
      <c r="K101" s="1515"/>
      <c r="L101" s="1515"/>
      <c r="M101" s="1515"/>
      <c r="N101" s="1515"/>
      <c r="O101" s="1515"/>
      <c r="P101" s="1515"/>
      <c r="Q101" s="1515"/>
      <c r="R101" s="1515"/>
      <c r="S101" s="1515"/>
      <c r="T101" s="1515"/>
      <c r="U101" s="1515"/>
      <c r="V101" s="1515"/>
      <c r="W101" s="1515"/>
      <c r="X101" s="1593">
        <v>-3.2</v>
      </c>
      <c r="Y101" s="1593">
        <v>-2</v>
      </c>
      <c r="Z101" s="1515"/>
      <c r="AA101" s="1515"/>
      <c r="AB101" s="1515"/>
      <c r="AC101" s="1515"/>
      <c r="AD101" s="1515"/>
      <c r="AE101" s="1593">
        <v>-5.5</v>
      </c>
      <c r="AF101" s="1593">
        <v>-4.2</v>
      </c>
      <c r="AG101" s="1593">
        <v>-1.8</v>
      </c>
      <c r="AH101" s="1515"/>
      <c r="AI101" s="1515"/>
      <c r="AJ101" s="1594">
        <v>-1.6</v>
      </c>
      <c r="AK101" s="1515"/>
      <c r="AL101" s="1515"/>
      <c r="AM101" s="1515"/>
      <c r="AN101" s="1515"/>
      <c r="AO101" s="1515"/>
      <c r="AP101" s="1515"/>
      <c r="AQ101" s="1515"/>
      <c r="AR101" s="1595"/>
      <c r="AS101" s="1595"/>
      <c r="AT101" s="1595"/>
      <c r="AU101" s="1595"/>
      <c r="AV101" s="1595"/>
      <c r="AW101" s="1595"/>
      <c r="AX101" s="1595"/>
      <c r="AY101" s="1595"/>
      <c r="AZ101" s="1595"/>
      <c r="BA101" s="1595"/>
      <c r="BB101" s="1595"/>
      <c r="BC101" s="1596">
        <f>84.1-85.2</f>
        <v>-1.1000000000000085</v>
      </c>
      <c r="BD101" s="1596">
        <v>-6.6</v>
      </c>
      <c r="BE101" s="1596">
        <v>-11</v>
      </c>
      <c r="BF101" s="1597">
        <v>-14.6</v>
      </c>
      <c r="BG101" s="1595"/>
      <c r="BH101" s="1595"/>
      <c r="BI101" s="1595"/>
      <c r="BJ101" s="1595"/>
      <c r="BK101" s="1595"/>
      <c r="BL101" s="1517"/>
    </row>
    <row r="102" spans="1:64" s="1518" customFormat="1" hidden="1" outlineLevel="1" x14ac:dyDescent="0.35">
      <c r="A102" s="1678" t="s">
        <v>966</v>
      </c>
      <c r="B102" s="1592"/>
      <c r="C102" s="1515"/>
      <c r="D102" s="1515"/>
      <c r="E102" s="1515"/>
      <c r="F102" s="1515"/>
      <c r="G102" s="1515"/>
      <c r="H102" s="1515"/>
      <c r="I102" s="1515"/>
      <c r="J102" s="1515"/>
      <c r="K102" s="1515"/>
      <c r="L102" s="1515"/>
      <c r="M102" s="1515"/>
      <c r="N102" s="1515"/>
      <c r="O102" s="1515"/>
      <c r="P102" s="1515"/>
      <c r="Q102" s="1515"/>
      <c r="R102" s="1515"/>
      <c r="S102" s="1515"/>
      <c r="T102" s="1515"/>
      <c r="U102" s="1515"/>
      <c r="V102" s="1515"/>
      <c r="W102" s="1515"/>
      <c r="X102" s="1515"/>
      <c r="Y102" s="1515"/>
      <c r="Z102" s="1515"/>
      <c r="AA102" s="1515"/>
      <c r="AB102" s="1515"/>
      <c r="AC102" s="1515"/>
      <c r="AD102" s="1515"/>
      <c r="AE102" s="1593">
        <v>0.5</v>
      </c>
      <c r="AF102" s="1593">
        <v>0.9</v>
      </c>
      <c r="AG102" s="1593">
        <v>1.3</v>
      </c>
      <c r="AH102" s="1515"/>
      <c r="AI102" s="1515"/>
      <c r="AJ102" s="1594">
        <v>1.3</v>
      </c>
      <c r="AK102" s="1515"/>
      <c r="AL102" s="1515"/>
      <c r="AM102" s="1515"/>
      <c r="AN102" s="1515"/>
      <c r="AO102" s="1515"/>
      <c r="AP102" s="1515"/>
      <c r="AQ102" s="1515"/>
      <c r="AR102" s="1595"/>
      <c r="AS102" s="1595"/>
      <c r="AT102" s="1595"/>
      <c r="AU102" s="1595"/>
      <c r="AV102" s="1595"/>
      <c r="AW102" s="1595"/>
      <c r="AX102" s="1595"/>
      <c r="AY102" s="1595"/>
      <c r="AZ102" s="1595"/>
      <c r="BA102" s="1595"/>
      <c r="BB102" s="1595"/>
      <c r="BC102" s="1595"/>
      <c r="BD102" s="1595"/>
      <c r="BE102" s="1595"/>
      <c r="BF102" s="1597">
        <v>5</v>
      </c>
      <c r="BG102" s="1595"/>
      <c r="BH102" s="1595"/>
      <c r="BI102" s="1595"/>
      <c r="BJ102" s="1595"/>
      <c r="BK102" s="1595"/>
      <c r="BL102" s="1517"/>
    </row>
    <row r="103" spans="1:64" s="1518" customFormat="1" hidden="1" outlineLevel="1" x14ac:dyDescent="0.35">
      <c r="A103" s="1678" t="s">
        <v>967</v>
      </c>
      <c r="B103" s="1592"/>
      <c r="C103" s="1515"/>
      <c r="D103" s="1515"/>
      <c r="E103" s="1515"/>
      <c r="F103" s="1515"/>
      <c r="G103" s="1515"/>
      <c r="H103" s="1515"/>
      <c r="I103" s="1515"/>
      <c r="J103" s="1515"/>
      <c r="K103" s="1515"/>
      <c r="L103" s="1515"/>
      <c r="M103" s="1515"/>
      <c r="N103" s="1515"/>
      <c r="O103" s="1515"/>
      <c r="P103" s="1515"/>
      <c r="Q103" s="1515"/>
      <c r="R103" s="1515"/>
      <c r="S103" s="1515"/>
      <c r="T103" s="1515"/>
      <c r="U103" s="1515"/>
      <c r="V103" s="1515"/>
      <c r="W103" s="1515"/>
      <c r="X103" s="1593">
        <v>-1.5</v>
      </c>
      <c r="Y103" s="1593">
        <v>-0.5</v>
      </c>
      <c r="Z103" s="1515"/>
      <c r="AA103" s="1515"/>
      <c r="AB103" s="1515"/>
      <c r="AC103" s="1515"/>
      <c r="AD103" s="1515"/>
      <c r="AE103" s="1515"/>
      <c r="AF103" s="1515"/>
      <c r="AG103" s="1515"/>
      <c r="AH103" s="1515"/>
      <c r="AI103" s="1515"/>
      <c r="AJ103" s="1516"/>
      <c r="AK103" s="1515"/>
      <c r="AL103" s="1515"/>
      <c r="AM103" s="1515"/>
      <c r="AN103" s="1515"/>
      <c r="AO103" s="1515"/>
      <c r="AP103" s="1515"/>
      <c r="AQ103" s="1515"/>
      <c r="AR103" s="1595"/>
      <c r="AS103" s="1595"/>
      <c r="AT103" s="1595"/>
      <c r="AU103" s="1595"/>
      <c r="AV103" s="1595"/>
      <c r="AW103" s="1595"/>
      <c r="AX103" s="1595"/>
      <c r="AY103" s="1595"/>
      <c r="AZ103" s="1595"/>
      <c r="BA103" s="1595"/>
      <c r="BB103" s="1595"/>
      <c r="BC103" s="1596">
        <f>7.1-8.6</f>
        <v>-1.5</v>
      </c>
      <c r="BD103" s="1596">
        <v>-2.6</v>
      </c>
      <c r="BE103" s="1595"/>
      <c r="BF103" s="1610"/>
      <c r="BG103" s="1595"/>
      <c r="BH103" s="1595"/>
      <c r="BI103" s="1595"/>
      <c r="BJ103" s="1595"/>
      <c r="BK103" s="1595"/>
      <c r="BL103" s="1517"/>
    </row>
    <row r="104" spans="1:64" s="1518" customFormat="1" hidden="1" outlineLevel="1" x14ac:dyDescent="0.35">
      <c r="A104" s="1679" t="s">
        <v>968</v>
      </c>
      <c r="B104" s="1680"/>
      <c r="C104" s="1681"/>
      <c r="D104" s="1681"/>
      <c r="E104" s="1681"/>
      <c r="F104" s="1681"/>
      <c r="G104" s="1681"/>
      <c r="H104" s="1681"/>
      <c r="I104" s="1681"/>
      <c r="J104" s="1681"/>
      <c r="K104" s="1681"/>
      <c r="L104" s="1681"/>
      <c r="M104" s="1681"/>
      <c r="N104" s="1681"/>
      <c r="O104" s="1681"/>
      <c r="P104" s="1681"/>
      <c r="Q104" s="1681"/>
      <c r="R104" s="1681"/>
      <c r="S104" s="1681"/>
      <c r="T104" s="1681"/>
      <c r="U104" s="1681"/>
      <c r="V104" s="1681"/>
      <c r="W104" s="1681"/>
      <c r="X104" s="1681">
        <f>X105-SUM(X100:X103)</f>
        <v>-3.0000000000001137E-2</v>
      </c>
      <c r="Y104" s="1681">
        <f>Y105-SUM(Y100:Y103)</f>
        <v>-1.699999999999946E-2</v>
      </c>
      <c r="Z104" s="1681"/>
      <c r="AA104" s="1681">
        <f>AA105-SUM(AA100:AA103)</f>
        <v>-0.39300000000000068</v>
      </c>
      <c r="AB104" s="1681">
        <f>AB105-SUM(AB100:AB103)</f>
        <v>-0.42599999999999838</v>
      </c>
      <c r="AC104" s="1681">
        <f>AC105-SUM(AC100:AC103)</f>
        <v>-3.7759999999999998</v>
      </c>
      <c r="AD104" s="1681"/>
      <c r="AE104" s="1681">
        <f>AE105-SUM(AE100:AE103)</f>
        <v>-3.399999999999892E-2</v>
      </c>
      <c r="AF104" s="1681">
        <f>AF105-SUM(AF100:AF103)</f>
        <v>-0.45199999999999818</v>
      </c>
      <c r="AG104" s="1681">
        <f>AG105-SUM(AG100:AG103)</f>
        <v>-0.19500000000000028</v>
      </c>
      <c r="AH104" s="1681"/>
      <c r="AI104" s="1681">
        <f>AI105-SUM(AI100:AI103)</f>
        <v>0.64799999999999969</v>
      </c>
      <c r="AJ104" s="1682">
        <f>AJ105-SUM(AJ100:AJ103)</f>
        <v>0</v>
      </c>
      <c r="AK104" s="1681"/>
      <c r="AL104" s="1681"/>
      <c r="AM104" s="1681"/>
      <c r="AN104" s="1681"/>
      <c r="AO104" s="1681"/>
      <c r="AP104" s="1681"/>
      <c r="AQ104" s="1681"/>
      <c r="AR104" s="1683"/>
      <c r="AS104" s="1683"/>
      <c r="AT104" s="1683"/>
      <c r="AU104" s="1683"/>
      <c r="AV104" s="1683"/>
      <c r="AW104" s="1683"/>
      <c r="AX104" s="1683"/>
      <c r="AY104" s="1683"/>
      <c r="AZ104" s="1683"/>
      <c r="BA104" s="1683"/>
      <c r="BB104" s="1683"/>
      <c r="BC104" s="1683">
        <f>BC105-SUM(BC100:BC103)</f>
        <v>-3.0000000000001137E-3</v>
      </c>
      <c r="BD104" s="1683">
        <f>BD105-SUM(BD100:BD103)</f>
        <v>6.4999999999983515E-2</v>
      </c>
      <c r="BE104" s="1683">
        <f>BE105-SUM(BE100:BE103)</f>
        <v>2.0760000000000076</v>
      </c>
      <c r="BF104" s="1684">
        <f>BF105-SUM(BF100:BF103)</f>
        <v>-0.68699999999999761</v>
      </c>
      <c r="BG104" s="1683"/>
      <c r="BH104" s="1683"/>
      <c r="BI104" s="1683"/>
      <c r="BJ104" s="1683"/>
      <c r="BK104" s="1683"/>
      <c r="BL104" s="1517"/>
    </row>
    <row r="105" spans="1:64" s="1608" customFormat="1" hidden="1" outlineLevel="1" x14ac:dyDescent="0.35">
      <c r="A105" s="1665" t="s">
        <v>969</v>
      </c>
      <c r="B105" s="1666"/>
      <c r="C105" s="1667"/>
      <c r="D105" s="1667"/>
      <c r="E105" s="1667"/>
      <c r="F105" s="1667"/>
      <c r="G105" s="1667"/>
      <c r="H105" s="1667"/>
      <c r="I105" s="1667"/>
      <c r="J105" s="1667"/>
      <c r="K105" s="1667"/>
      <c r="L105" s="1667"/>
      <c r="M105" s="1667"/>
      <c r="N105" s="1667"/>
      <c r="O105" s="1667"/>
      <c r="P105" s="1667"/>
      <c r="Q105" s="1667"/>
      <c r="R105" s="1667"/>
      <c r="S105" s="1667"/>
      <c r="T105" s="1667"/>
      <c r="U105" s="1667"/>
      <c r="V105" s="1667"/>
      <c r="W105" s="1667"/>
      <c r="X105" s="1677">
        <v>40.847999999999999</v>
      </c>
      <c r="Y105" s="1667">
        <f>Y124</f>
        <v>20.346</v>
      </c>
      <c r="Z105" s="1667"/>
      <c r="AA105" s="1667">
        <f>AA124</f>
        <v>20.155999999999999</v>
      </c>
      <c r="AB105" s="1667">
        <f>AB124</f>
        <v>19.872</v>
      </c>
      <c r="AC105" s="1667">
        <f>AC124</f>
        <v>16.57</v>
      </c>
      <c r="AD105" s="1667"/>
      <c r="AE105" s="1667">
        <f>AE124</f>
        <v>15.122</v>
      </c>
      <c r="AF105" s="1667">
        <f>AF124</f>
        <v>16.12</v>
      </c>
      <c r="AG105" s="1667">
        <f>AG124</f>
        <v>15.875</v>
      </c>
      <c r="AH105" s="1667"/>
      <c r="AI105" s="1667">
        <f>AI124</f>
        <v>15.77</v>
      </c>
      <c r="AJ105" s="1668">
        <f>AJ124</f>
        <v>15.82</v>
      </c>
      <c r="AK105" s="1667"/>
      <c r="AL105" s="1667"/>
      <c r="AM105" s="1667"/>
      <c r="AN105" s="1667"/>
      <c r="AO105" s="1667"/>
      <c r="AP105" s="1667"/>
      <c r="AQ105" s="1667"/>
      <c r="AR105" s="1669"/>
      <c r="AS105" s="1669"/>
      <c r="AT105" s="1669"/>
      <c r="AU105" s="1669"/>
      <c r="AV105" s="1669"/>
      <c r="AW105" s="1669"/>
      <c r="AX105" s="1669"/>
      <c r="AY105" s="1669"/>
      <c r="AZ105" s="1669"/>
      <c r="BA105" s="1669"/>
      <c r="BB105" s="1669"/>
      <c r="BC105" s="1669">
        <f>BC124</f>
        <v>91.198999999999998</v>
      </c>
      <c r="BD105" s="1669">
        <f>BD124</f>
        <v>82.063999999999993</v>
      </c>
      <c r="BE105" s="1669">
        <f>BE124</f>
        <v>73.14</v>
      </c>
      <c r="BF105" s="1612">
        <f>BF124</f>
        <v>62.853000000000002</v>
      </c>
      <c r="BG105" s="1669"/>
      <c r="BH105" s="1669"/>
      <c r="BI105" s="1669"/>
      <c r="BJ105" s="1669"/>
      <c r="BK105" s="1669"/>
      <c r="BL105" s="1607"/>
    </row>
    <row r="106" spans="1:64" s="1518" customFormat="1" collapsed="1" x14ac:dyDescent="0.35">
      <c r="A106" s="1609"/>
      <c r="B106" s="1592"/>
      <c r="C106" s="1515"/>
      <c r="D106" s="1515"/>
      <c r="E106" s="1515"/>
      <c r="F106" s="1515"/>
      <c r="G106" s="1515"/>
      <c r="H106" s="1515"/>
      <c r="I106" s="1515"/>
      <c r="J106" s="1515"/>
      <c r="K106" s="1515"/>
      <c r="L106" s="1515"/>
      <c r="M106" s="1515"/>
      <c r="N106" s="1515"/>
      <c r="O106" s="1515"/>
      <c r="P106" s="1515"/>
      <c r="Q106" s="1515"/>
      <c r="R106" s="1515"/>
      <c r="S106" s="1515"/>
      <c r="T106" s="1515"/>
      <c r="U106" s="1515"/>
      <c r="V106" s="1515"/>
      <c r="W106" s="1515"/>
      <c r="X106" s="1515"/>
      <c r="Y106" s="1515"/>
      <c r="Z106" s="1515"/>
      <c r="AA106" s="1515"/>
      <c r="AB106" s="1515"/>
      <c r="AC106" s="1515"/>
      <c r="AD106" s="1515"/>
      <c r="AE106" s="1515"/>
      <c r="AF106" s="1515"/>
      <c r="AG106" s="1515"/>
      <c r="AH106" s="1515"/>
      <c r="AI106" s="1515"/>
      <c r="AJ106" s="1516"/>
      <c r="AK106" s="1515"/>
      <c r="AL106" s="1515"/>
      <c r="AM106" s="1515"/>
      <c r="AN106" s="1515"/>
      <c r="AO106" s="1515"/>
      <c r="AP106" s="1515"/>
      <c r="AQ106" s="1515"/>
      <c r="AR106" s="1595"/>
      <c r="AS106" s="1595"/>
      <c r="AT106" s="1595"/>
      <c r="AU106" s="1595"/>
      <c r="AV106" s="1595"/>
      <c r="AW106" s="1595"/>
      <c r="AX106" s="1595"/>
      <c r="AY106" s="1595"/>
      <c r="AZ106" s="1595"/>
      <c r="BA106" s="1595"/>
      <c r="BB106" s="1595"/>
      <c r="BC106" s="1595"/>
      <c r="BD106" s="1595"/>
      <c r="BE106" s="1595"/>
      <c r="BF106" s="1610"/>
      <c r="BG106" s="1595"/>
      <c r="BH106" s="1595"/>
      <c r="BI106" s="1595"/>
      <c r="BJ106" s="1595"/>
      <c r="BK106" s="1595"/>
      <c r="BL106" s="1517"/>
    </row>
    <row r="107" spans="1:64" s="1560" customFormat="1" x14ac:dyDescent="0.35">
      <c r="A107" s="1554" t="s">
        <v>970</v>
      </c>
      <c r="B107" s="1555"/>
      <c r="C107" s="1555"/>
      <c r="D107" s="1555"/>
      <c r="E107" s="1555"/>
      <c r="F107" s="1555"/>
      <c r="G107" s="1555"/>
      <c r="H107" s="1555"/>
      <c r="I107" s="1555"/>
      <c r="J107" s="1555"/>
      <c r="K107" s="1555"/>
      <c r="L107" s="1555"/>
      <c r="M107" s="1555"/>
      <c r="N107" s="1555"/>
      <c r="O107" s="1555"/>
      <c r="P107" s="1555"/>
      <c r="Q107" s="1555"/>
      <c r="R107" s="1555"/>
      <c r="S107" s="1555"/>
      <c r="T107" s="1555"/>
      <c r="U107" s="1555"/>
      <c r="V107" s="1555"/>
      <c r="W107" s="1555"/>
      <c r="X107" s="1555"/>
      <c r="Y107" s="1555"/>
      <c r="Z107" s="1555"/>
      <c r="AA107" s="1555"/>
      <c r="AB107" s="1555"/>
      <c r="AC107" s="1555"/>
      <c r="AD107" s="1555"/>
      <c r="AE107" s="1555"/>
      <c r="AF107" s="1555"/>
      <c r="AG107" s="1555"/>
      <c r="AH107" s="1555"/>
      <c r="AI107" s="1555"/>
      <c r="AJ107" s="1557"/>
      <c r="AK107" s="1555"/>
      <c r="AL107" s="1555"/>
      <c r="AM107" s="1555"/>
      <c r="AN107" s="1555"/>
      <c r="AO107" s="1555"/>
      <c r="AP107" s="1555"/>
      <c r="AQ107" s="1555"/>
      <c r="AR107" s="1555"/>
      <c r="AS107" s="1555"/>
      <c r="AT107" s="1555"/>
      <c r="AU107" s="1555"/>
      <c r="AV107" s="1555"/>
      <c r="AW107" s="1555"/>
      <c r="AX107" s="1555"/>
      <c r="AY107" s="1555"/>
      <c r="AZ107" s="1555"/>
      <c r="BA107" s="1555"/>
      <c r="BB107" s="1555"/>
      <c r="BC107" s="1555"/>
      <c r="BD107" s="1555"/>
      <c r="BE107" s="1555"/>
      <c r="BF107" s="1557"/>
      <c r="BG107" s="1555"/>
      <c r="BH107" s="1555"/>
      <c r="BI107" s="1555"/>
      <c r="BJ107" s="1555"/>
      <c r="BK107" s="1555"/>
      <c r="BL107" s="1559"/>
    </row>
    <row r="108" spans="1:64" s="1577" customFormat="1" x14ac:dyDescent="0.35">
      <c r="A108" s="1685" t="s">
        <v>971</v>
      </c>
      <c r="B108" s="1569"/>
      <c r="C108" s="1570"/>
      <c r="D108" s="1570"/>
      <c r="E108" s="1570"/>
      <c r="F108" s="1570"/>
      <c r="G108" s="1570"/>
      <c r="H108" s="1570"/>
      <c r="I108" s="1570"/>
      <c r="J108" s="1570"/>
      <c r="K108" s="1570"/>
      <c r="L108" s="1570"/>
      <c r="M108" s="1570"/>
      <c r="N108" s="1570"/>
      <c r="O108" s="1570"/>
      <c r="P108" s="1570"/>
      <c r="Q108" s="1571">
        <f t="shared" ref="Q108:AJ108" si="20">Q180/Q$177</f>
        <v>0</v>
      </c>
      <c r="R108" s="1571">
        <f t="shared" si="20"/>
        <v>0</v>
      </c>
      <c r="S108" s="1571">
        <f t="shared" si="20"/>
        <v>0</v>
      </c>
      <c r="T108" s="1571">
        <f t="shared" si="20"/>
        <v>0</v>
      </c>
      <c r="U108" s="1571">
        <f t="shared" si="20"/>
        <v>0.46863148585908404</v>
      </c>
      <c r="V108" s="1571">
        <f t="shared" si="20"/>
        <v>0</v>
      </c>
      <c r="W108" s="1571">
        <f t="shared" si="20"/>
        <v>0.48488914400516603</v>
      </c>
      <c r="X108" s="1571">
        <f t="shared" si="20"/>
        <v>0.47437361920064242</v>
      </c>
      <c r="Y108" s="1571">
        <f t="shared" si="20"/>
        <v>0.48737592667952379</v>
      </c>
      <c r="Z108" s="1571">
        <f t="shared" si="20"/>
        <v>0.50312447805378135</v>
      </c>
      <c r="AA108" s="1571">
        <f t="shared" si="20"/>
        <v>0.52588919217385866</v>
      </c>
      <c r="AB108" s="1571">
        <f t="shared" si="20"/>
        <v>0.5232524770053163</v>
      </c>
      <c r="AC108" s="1571">
        <f t="shared" si="20"/>
        <v>0.53398160552737339</v>
      </c>
      <c r="AD108" s="1571">
        <f t="shared" si="20"/>
        <v>0.54572151600753305</v>
      </c>
      <c r="AE108" s="1571">
        <f t="shared" si="20"/>
        <v>0.52854290081104904</v>
      </c>
      <c r="AF108" s="1571">
        <f t="shared" si="20"/>
        <v>0.53605344986973702</v>
      </c>
      <c r="AG108" s="1571">
        <f t="shared" si="20"/>
        <v>0.53100805245727323</v>
      </c>
      <c r="AH108" s="1571">
        <f t="shared" si="20"/>
        <v>0.54281177692779925</v>
      </c>
      <c r="AI108" s="1571">
        <f t="shared" si="20"/>
        <v>0.55936322238291603</v>
      </c>
      <c r="AJ108" s="1572">
        <f t="shared" si="20"/>
        <v>0.55283551424240007</v>
      </c>
      <c r="AK108" s="1686">
        <v>0.47499999999999998</v>
      </c>
      <c r="AL108" s="1686">
        <v>0.47875000000000001</v>
      </c>
      <c r="AM108" s="1686">
        <v>0.48</v>
      </c>
      <c r="AN108" s="1686">
        <v>0.46350000000000002</v>
      </c>
      <c r="AO108" s="1686">
        <v>0.45400000000000001</v>
      </c>
      <c r="AP108" s="1686">
        <v>0.4965</v>
      </c>
      <c r="AQ108" s="1687"/>
      <c r="AR108" s="1573"/>
      <c r="AS108" s="1573"/>
      <c r="AT108" s="1573"/>
      <c r="AU108" s="1573"/>
      <c r="AV108" s="1573"/>
      <c r="AW108" s="1573"/>
      <c r="AX108" s="1573"/>
      <c r="AY108" s="1573"/>
      <c r="AZ108" s="1573"/>
      <c r="BA108" s="1573"/>
      <c r="BB108" s="1574">
        <f t="shared" ref="BB108:BH108" si="21">BB180/BB$177</f>
        <v>0.44526227278944958</v>
      </c>
      <c r="BC108" s="1574">
        <f t="shared" si="21"/>
        <v>0.47860051579881646</v>
      </c>
      <c r="BD108" s="1574">
        <f t="shared" si="21"/>
        <v>0.48786852453091206</v>
      </c>
      <c r="BE108" s="1574">
        <f t="shared" si="21"/>
        <v>0.53168045154946253</v>
      </c>
      <c r="BF108" s="1575">
        <f t="shared" si="21"/>
        <v>0.53450753154354957</v>
      </c>
      <c r="BG108" s="1573">
        <f t="shared" si="21"/>
        <v>0.51728437886450473</v>
      </c>
      <c r="BH108" s="1573">
        <f t="shared" si="21"/>
        <v>0.47298058356443806</v>
      </c>
      <c r="BI108" s="1688">
        <v>0.46150000000000002</v>
      </c>
      <c r="BJ108" s="1688">
        <v>0.44</v>
      </c>
      <c r="BK108" s="1688">
        <v>0.44</v>
      </c>
      <c r="BL108" s="1576"/>
    </row>
    <row r="109" spans="1:64" s="1577" customFormat="1" x14ac:dyDescent="0.35">
      <c r="A109" s="1689" t="s">
        <v>972</v>
      </c>
      <c r="B109" s="1569"/>
      <c r="C109" s="1570"/>
      <c r="D109" s="1570"/>
      <c r="E109" s="1570"/>
      <c r="F109" s="1570"/>
      <c r="G109" s="1570"/>
      <c r="H109" s="1570"/>
      <c r="I109" s="1570"/>
      <c r="J109" s="1570"/>
      <c r="K109" s="1570"/>
      <c r="L109" s="1570"/>
      <c r="M109" s="1570"/>
      <c r="N109" s="1570"/>
      <c r="O109" s="1570"/>
      <c r="P109" s="1570"/>
      <c r="Q109" s="1571">
        <f t="shared" ref="Q109:AP109" si="22">1-Q108</f>
        <v>1</v>
      </c>
      <c r="R109" s="1571">
        <f t="shared" si="22"/>
        <v>1</v>
      </c>
      <c r="S109" s="1571">
        <f t="shared" si="22"/>
        <v>1</v>
      </c>
      <c r="T109" s="1571">
        <f t="shared" si="22"/>
        <v>1</v>
      </c>
      <c r="U109" s="1571">
        <f t="shared" si="22"/>
        <v>0.5313685141409159</v>
      </c>
      <c r="V109" s="1571">
        <f t="shared" si="22"/>
        <v>1</v>
      </c>
      <c r="W109" s="1571">
        <f t="shared" si="22"/>
        <v>0.51511085599483397</v>
      </c>
      <c r="X109" s="1571">
        <f t="shared" si="22"/>
        <v>0.52562638079935753</v>
      </c>
      <c r="Y109" s="1571">
        <f t="shared" si="22"/>
        <v>0.51262407332047621</v>
      </c>
      <c r="Z109" s="1571">
        <f t="shared" si="22"/>
        <v>0.49687552194621865</v>
      </c>
      <c r="AA109" s="1571">
        <f t="shared" si="22"/>
        <v>0.47411080782614134</v>
      </c>
      <c r="AB109" s="1571">
        <f t="shared" si="22"/>
        <v>0.4767475229946837</v>
      </c>
      <c r="AC109" s="1571">
        <f t="shared" si="22"/>
        <v>0.46601839447262661</v>
      </c>
      <c r="AD109" s="1571">
        <f t="shared" si="22"/>
        <v>0.45427848399246695</v>
      </c>
      <c r="AE109" s="1571">
        <f t="shared" si="22"/>
        <v>0.47145709918895096</v>
      </c>
      <c r="AF109" s="1571">
        <f t="shared" si="22"/>
        <v>0.46394655013026298</v>
      </c>
      <c r="AG109" s="1571">
        <f t="shared" si="22"/>
        <v>0.46899194754272677</v>
      </c>
      <c r="AH109" s="1571">
        <f t="shared" si="22"/>
        <v>0.45718822307220075</v>
      </c>
      <c r="AI109" s="1571">
        <f t="shared" si="22"/>
        <v>0.44063677761708397</v>
      </c>
      <c r="AJ109" s="1572">
        <f t="shared" si="22"/>
        <v>0.44716448575759993</v>
      </c>
      <c r="AK109" s="1570">
        <f t="shared" si="22"/>
        <v>0.52500000000000002</v>
      </c>
      <c r="AL109" s="1570">
        <f t="shared" si="22"/>
        <v>0.52124999999999999</v>
      </c>
      <c r="AM109" s="1570">
        <f t="shared" si="22"/>
        <v>0.52</v>
      </c>
      <c r="AN109" s="1570">
        <f t="shared" si="22"/>
        <v>0.53649999999999998</v>
      </c>
      <c r="AO109" s="1570">
        <f t="shared" si="22"/>
        <v>0.54600000000000004</v>
      </c>
      <c r="AP109" s="1570">
        <f t="shared" si="22"/>
        <v>0.50350000000000006</v>
      </c>
      <c r="AQ109" s="1570"/>
      <c r="AR109" s="1573"/>
      <c r="AS109" s="1573"/>
      <c r="AT109" s="1573"/>
      <c r="AU109" s="1573"/>
      <c r="AV109" s="1573"/>
      <c r="AW109" s="1573"/>
      <c r="AX109" s="1573"/>
      <c r="AY109" s="1573"/>
      <c r="AZ109" s="1573"/>
      <c r="BA109" s="1573"/>
      <c r="BB109" s="1574">
        <f t="shared" ref="BB109:BK109" si="23">1-BB108</f>
        <v>0.55473772721055048</v>
      </c>
      <c r="BC109" s="1574">
        <f t="shared" si="23"/>
        <v>0.52139948420118354</v>
      </c>
      <c r="BD109" s="1574">
        <f t="shared" si="23"/>
        <v>0.51213147546908799</v>
      </c>
      <c r="BE109" s="1574">
        <f t="shared" si="23"/>
        <v>0.46831954845053747</v>
      </c>
      <c r="BF109" s="1575">
        <f t="shared" si="23"/>
        <v>0.46549246845645043</v>
      </c>
      <c r="BG109" s="1573">
        <f t="shared" si="23"/>
        <v>0.48271562113549527</v>
      </c>
      <c r="BH109" s="1573">
        <f t="shared" si="23"/>
        <v>0.52701941643556194</v>
      </c>
      <c r="BI109" s="1573">
        <f t="shared" si="23"/>
        <v>0.53849999999999998</v>
      </c>
      <c r="BJ109" s="1573">
        <f t="shared" si="23"/>
        <v>0.56000000000000005</v>
      </c>
      <c r="BK109" s="1573">
        <f t="shared" si="23"/>
        <v>0.56000000000000005</v>
      </c>
      <c r="BL109" s="1576"/>
    </row>
    <row r="110" spans="1:64" s="1696" customFormat="1" x14ac:dyDescent="0.35">
      <c r="A110" s="1690" t="s">
        <v>973</v>
      </c>
      <c r="B110" s="1691"/>
      <c r="C110" s="1638"/>
      <c r="D110" s="1692"/>
      <c r="E110" s="1638"/>
      <c r="F110" s="1638"/>
      <c r="G110" s="1638"/>
      <c r="H110" s="1692"/>
      <c r="I110" s="1638"/>
      <c r="J110" s="1638"/>
      <c r="K110" s="1638"/>
      <c r="L110" s="1692"/>
      <c r="M110" s="1638"/>
      <c r="N110" s="1638"/>
      <c r="O110" s="1638"/>
      <c r="P110" s="1692"/>
      <c r="Q110" s="1638"/>
      <c r="R110" s="1638"/>
      <c r="S110" s="1638"/>
      <c r="T110" s="1692"/>
      <c r="U110" s="1638"/>
      <c r="V110" s="1638"/>
      <c r="W110" s="1638"/>
      <c r="X110" s="1692"/>
      <c r="Y110" s="1638"/>
      <c r="Z110" s="1638"/>
      <c r="AA110" s="1638"/>
      <c r="AB110" s="1692"/>
      <c r="AC110" s="1638"/>
      <c r="AD110" s="1638"/>
      <c r="AE110" s="1638"/>
      <c r="AF110" s="1692"/>
      <c r="AG110" s="1638"/>
      <c r="AH110" s="1638"/>
      <c r="AI110" s="1638"/>
      <c r="AJ110" s="1693"/>
      <c r="AK110" s="1694" t="str">
        <f t="shared" ref="AK110:AP110" ca="1" si="24">IFERROR(VLOOKUP($A110,tb_ConsensusEstimate,MATCH(AK$5,OFFSET(tb_ConsensusEstimate,0,0,1,COLUMNS(tb_ConsensusEstimate)),0),FALSE),"-")</f>
        <v>N/A</v>
      </c>
      <c r="AL110" s="1694" t="str">
        <f t="shared" ca="1" si="24"/>
        <v>N/A</v>
      </c>
      <c r="AM110" s="1694" t="str">
        <f t="shared" ca="1" si="24"/>
        <v>N/A</v>
      </c>
      <c r="AN110" s="1694" t="str">
        <f t="shared" ca="1" si="24"/>
        <v>N/A</v>
      </c>
      <c r="AO110" s="1694" t="str">
        <f t="shared" ca="1" si="24"/>
        <v>N/A</v>
      </c>
      <c r="AP110" s="1694" t="str">
        <f t="shared" ca="1" si="24"/>
        <v>N/A</v>
      </c>
      <c r="AQ110" s="1694"/>
      <c r="AR110" s="1640"/>
      <c r="AS110" s="1640"/>
      <c r="AT110" s="1640"/>
      <c r="AU110" s="1640"/>
      <c r="AV110" s="1640"/>
      <c r="AW110" s="1640"/>
      <c r="AX110" s="1640"/>
      <c r="AY110" s="1640"/>
      <c r="AZ110" s="1640"/>
      <c r="BA110" s="1640"/>
      <c r="BB110" s="1640"/>
      <c r="BC110" s="1640"/>
      <c r="BD110" s="1640"/>
      <c r="BE110" s="1640"/>
      <c r="BF110" s="1641"/>
      <c r="BG110" s="1695" t="str">
        <f ca="1">IFERROR(VLOOKUP($A110,tb_ConsensusEstimate,MATCH(BG$5,OFFSET(tb_ConsensusEstimate,0,0,1,COLUMNS(tb_ConsensusEstimate)),0),FALSE),"-")</f>
        <v>N/A</v>
      </c>
      <c r="BH110" s="1695" t="str">
        <f ca="1">IFERROR(VLOOKUP($A110,tb_ConsensusEstimate,MATCH(BH$5,OFFSET(tb_ConsensusEstimate,0,0,1,COLUMNS(tb_ConsensusEstimate)),0),FALSE),"-")</f>
        <v>N/A</v>
      </c>
      <c r="BI110" s="1695" t="str">
        <f ca="1">IFERROR(VLOOKUP($A110,tb_ConsensusEstimate,MATCH(BI$5,OFFSET(tb_ConsensusEstimate,0,0,1,COLUMNS(tb_ConsensusEstimate)),0),FALSE),"-")</f>
        <v>N/A</v>
      </c>
      <c r="BJ110" s="1695" t="str">
        <f ca="1">IFERROR(VLOOKUP($A110,tb_ConsensusEstimate,MATCH(BJ$5,OFFSET(tb_ConsensusEstimate,0,0,1,COLUMNS(tb_ConsensusEstimate)),0),FALSE),"-")</f>
        <v>N/A</v>
      </c>
      <c r="BK110" s="1695" t="str">
        <f ca="1">IFERROR(VLOOKUP($A110,tb_ConsensusEstimate,MATCH(BK$5,OFFSET(tb_ConsensusEstimate,0,0,1,COLUMNS(tb_ConsensusEstimate)),0),FALSE),"-")</f>
        <v>N/A</v>
      </c>
      <c r="BL110" s="1638"/>
    </row>
    <row r="111" spans="1:64" s="1577" customFormat="1" x14ac:dyDescent="0.35">
      <c r="A111" s="1697"/>
      <c r="B111" s="1579"/>
      <c r="C111" s="1580"/>
      <c r="D111" s="1580"/>
      <c r="E111" s="1580"/>
      <c r="F111" s="1580"/>
      <c r="G111" s="1580"/>
      <c r="H111" s="1580"/>
      <c r="I111" s="1580"/>
      <c r="J111" s="1580"/>
      <c r="K111" s="1580"/>
      <c r="L111" s="1580"/>
      <c r="M111" s="1580"/>
      <c r="N111" s="1580"/>
      <c r="O111" s="1580"/>
      <c r="P111" s="1580"/>
      <c r="Q111" s="1580"/>
      <c r="R111" s="1580"/>
      <c r="S111" s="1580"/>
      <c r="T111" s="1580"/>
      <c r="U111" s="1580"/>
      <c r="V111" s="1580"/>
      <c r="W111" s="1580"/>
      <c r="X111" s="1580"/>
      <c r="Y111" s="1580"/>
      <c r="Z111" s="1580"/>
      <c r="AA111" s="1580"/>
      <c r="AB111" s="1580"/>
      <c r="AC111" s="1580"/>
      <c r="AD111" s="1580"/>
      <c r="AE111" s="1580"/>
      <c r="AF111" s="1580"/>
      <c r="AG111" s="1580"/>
      <c r="AH111" s="1580"/>
      <c r="AI111" s="1580"/>
      <c r="AJ111" s="1581"/>
      <c r="AK111" s="1580"/>
      <c r="AL111" s="1580"/>
      <c r="AM111" s="1580"/>
      <c r="AN111" s="1580"/>
      <c r="AO111" s="1580"/>
      <c r="AP111" s="1580"/>
      <c r="AQ111" s="1580"/>
      <c r="AR111" s="1582"/>
      <c r="AS111" s="1582"/>
      <c r="AT111" s="1582"/>
      <c r="AU111" s="1582"/>
      <c r="AV111" s="1582"/>
      <c r="AW111" s="1582"/>
      <c r="AX111" s="1582"/>
      <c r="AY111" s="1582"/>
      <c r="AZ111" s="1582"/>
      <c r="BA111" s="1582"/>
      <c r="BB111" s="1582"/>
      <c r="BC111" s="1582"/>
      <c r="BD111" s="1582"/>
      <c r="BE111" s="1582"/>
      <c r="BF111" s="1583"/>
      <c r="BG111" s="1582"/>
      <c r="BH111" s="1582"/>
      <c r="BI111" s="1582"/>
      <c r="BJ111" s="1582"/>
      <c r="BK111" s="1582"/>
      <c r="BL111" s="1576"/>
    </row>
    <row r="112" spans="1:64" s="1577" customFormat="1" x14ac:dyDescent="0.35">
      <c r="A112" s="1697" t="s">
        <v>974</v>
      </c>
      <c r="B112" s="1579"/>
      <c r="C112" s="1580"/>
      <c r="D112" s="1580"/>
      <c r="E112" s="1580"/>
      <c r="F112" s="1580"/>
      <c r="G112" s="1580"/>
      <c r="H112" s="1580"/>
      <c r="I112" s="1580"/>
      <c r="J112" s="1580"/>
      <c r="K112" s="1580"/>
      <c r="L112" s="1580"/>
      <c r="M112" s="1580"/>
      <c r="N112" s="1580"/>
      <c r="O112" s="1580"/>
      <c r="P112" s="1580"/>
      <c r="Q112" s="1580">
        <f t="shared" ref="Q112:AJ112" si="25">Q183/Q177</f>
        <v>0</v>
      </c>
      <c r="R112" s="1580">
        <f t="shared" si="25"/>
        <v>0</v>
      </c>
      <c r="S112" s="1580">
        <f t="shared" si="25"/>
        <v>0</v>
      </c>
      <c r="T112" s="1580">
        <f t="shared" si="25"/>
        <v>0</v>
      </c>
      <c r="U112" s="1580">
        <f t="shared" si="25"/>
        <v>9.2192309654597709E-2</v>
      </c>
      <c r="V112" s="1580">
        <f t="shared" si="25"/>
        <v>0</v>
      </c>
      <c r="W112" s="1580">
        <f t="shared" si="25"/>
        <v>7.4284279256654942E-2</v>
      </c>
      <c r="X112" s="1580">
        <f t="shared" si="25"/>
        <v>6.2751054428600114E-2</v>
      </c>
      <c r="Y112" s="1580">
        <f t="shared" si="25"/>
        <v>7.1268069144889326E-2</v>
      </c>
      <c r="Z112" s="1580">
        <f t="shared" si="25"/>
        <v>6.8467825075304245E-2</v>
      </c>
      <c r="AA112" s="1580">
        <f t="shared" si="25"/>
        <v>6.538453524472318E-2</v>
      </c>
      <c r="AB112" s="1580">
        <f t="shared" si="25"/>
        <v>6.0990023882368391E-2</v>
      </c>
      <c r="AC112" s="1580">
        <f t="shared" si="25"/>
        <v>6.8816200783747034E-2</v>
      </c>
      <c r="AD112" s="1580">
        <f t="shared" si="25"/>
        <v>6.8744114877589454E-2</v>
      </c>
      <c r="AE112" s="1580">
        <f t="shared" si="25"/>
        <v>6.6668897888148865E-2</v>
      </c>
      <c r="AF112" s="1580">
        <f t="shared" si="25"/>
        <v>6.002605260946299E-2</v>
      </c>
      <c r="AG112" s="1580">
        <f t="shared" si="25"/>
        <v>6.2741601408903114E-2</v>
      </c>
      <c r="AH112" s="1580">
        <f t="shared" si="25"/>
        <v>5.7290928837890158E-2</v>
      </c>
      <c r="AI112" s="1580">
        <f t="shared" si="25"/>
        <v>7.1043392706412398E-2</v>
      </c>
      <c r="AJ112" s="1581">
        <f t="shared" si="25"/>
        <v>6.3607077315886065E-2</v>
      </c>
      <c r="AK112" s="1698">
        <v>5.7000000000000002E-2</v>
      </c>
      <c r="AL112" s="1698">
        <v>0.05</v>
      </c>
      <c r="AM112" s="1698">
        <v>7.0000000000000007E-2</v>
      </c>
      <c r="AN112" s="1698">
        <v>7.0000000000000007E-2</v>
      </c>
      <c r="AO112" s="1698">
        <v>7.1999999999999995E-2</v>
      </c>
      <c r="AP112" s="1698">
        <v>4.2000000000000003E-2</v>
      </c>
      <c r="AQ112" s="1699"/>
      <c r="AR112" s="1582"/>
      <c r="AS112" s="1582"/>
      <c r="AT112" s="1582"/>
      <c r="AU112" s="1582"/>
      <c r="AV112" s="1582"/>
      <c r="AW112" s="1582"/>
      <c r="AX112" s="1582"/>
      <c r="AY112" s="1582"/>
      <c r="AZ112" s="1582"/>
      <c r="BA112" s="1582"/>
      <c r="BB112" s="1582">
        <f t="shared" ref="BB112:BH112" si="26">BB183/BB177</f>
        <v>9.0367238230111294E-2</v>
      </c>
      <c r="BC112" s="1582">
        <f t="shared" si="26"/>
        <v>9.7556893138025735E-2</v>
      </c>
      <c r="BD112" s="1582">
        <f t="shared" si="26"/>
        <v>6.9051417390058017E-2</v>
      </c>
      <c r="BE112" s="1582">
        <f t="shared" si="26"/>
        <v>6.5842703662840285E-2</v>
      </c>
      <c r="BF112" s="1583">
        <f t="shared" si="26"/>
        <v>6.1718359179589795E-2</v>
      </c>
      <c r="BG112" s="1582">
        <f t="shared" si="26"/>
        <v>6.0560547093312447E-2</v>
      </c>
      <c r="BH112" s="1582">
        <f t="shared" si="26"/>
        <v>6.3772854751353872E-2</v>
      </c>
      <c r="BI112" s="1700">
        <v>0.05</v>
      </c>
      <c r="BJ112" s="1700">
        <v>0.05</v>
      </c>
      <c r="BK112" s="1700">
        <v>0.05</v>
      </c>
      <c r="BL112" s="1576"/>
    </row>
    <row r="113" spans="1:64" s="1577" customFormat="1" x14ac:dyDescent="0.35">
      <c r="A113" s="1697" t="s">
        <v>975</v>
      </c>
      <c r="B113" s="1579"/>
      <c r="C113" s="1580"/>
      <c r="D113" s="1580"/>
      <c r="E113" s="1580"/>
      <c r="F113" s="1580"/>
      <c r="G113" s="1580"/>
      <c r="H113" s="1580"/>
      <c r="I113" s="1580"/>
      <c r="J113" s="1580"/>
      <c r="K113" s="1580"/>
      <c r="L113" s="1580"/>
      <c r="M113" s="1580"/>
      <c r="N113" s="1580"/>
      <c r="O113" s="1580"/>
      <c r="P113" s="1580"/>
      <c r="Q113" s="1580">
        <f t="shared" ref="Q113:AJ113" si="27">Q184/Q$177</f>
        <v>-1.8754942944300081E-3</v>
      </c>
      <c r="R113" s="1580">
        <f t="shared" si="27"/>
        <v>-4.1505735862108718E-3</v>
      </c>
      <c r="S113" s="1580">
        <f t="shared" si="27"/>
        <v>-4.5654067819327166E-3</v>
      </c>
      <c r="T113" s="1580">
        <f t="shared" si="27"/>
        <v>-7.2371317925731902E-3</v>
      </c>
      <c r="U113" s="1580">
        <f t="shared" si="27"/>
        <v>0.21105933572558289</v>
      </c>
      <c r="V113" s="1580">
        <f t="shared" si="27"/>
        <v>-1.3291518485949746E-2</v>
      </c>
      <c r="W113" s="1580">
        <f t="shared" si="27"/>
        <v>0.20598407117744136</v>
      </c>
      <c r="X113" s="1580">
        <f t="shared" si="27"/>
        <v>0.23755397670214895</v>
      </c>
      <c r="Y113" s="1580">
        <f t="shared" si="27"/>
        <v>0.35033056730185136</v>
      </c>
      <c r="Z113" s="1580">
        <f t="shared" si="27"/>
        <v>0.23130928589118177</v>
      </c>
      <c r="AA113" s="1580">
        <f t="shared" si="27"/>
        <v>0.19390848665430374</v>
      </c>
      <c r="AB113" s="1580">
        <f t="shared" si="27"/>
        <v>0.17443856978175112</v>
      </c>
      <c r="AC113" s="1580">
        <f t="shared" si="27"/>
        <v>0.1812251943060427</v>
      </c>
      <c r="AD113" s="1580">
        <f t="shared" si="27"/>
        <v>0.24981167608286253</v>
      </c>
      <c r="AE113" s="1580">
        <f t="shared" si="27"/>
        <v>0.21981994042638642</v>
      </c>
      <c r="AF113" s="1580">
        <f t="shared" si="27"/>
        <v>0.18673838137658624</v>
      </c>
      <c r="AG113" s="1580">
        <f t="shared" si="27"/>
        <v>0.18053786427123597</v>
      </c>
      <c r="AH113" s="1580">
        <f t="shared" si="27"/>
        <v>0.18620437266846113</v>
      </c>
      <c r="AI113" s="1580">
        <f t="shared" si="27"/>
        <v>0.2717649019618385</v>
      </c>
      <c r="AJ113" s="1581">
        <f t="shared" si="27"/>
        <v>0.1928708210324743</v>
      </c>
      <c r="AK113" s="1698">
        <v>0.2</v>
      </c>
      <c r="AL113" s="1698">
        <v>0.21</v>
      </c>
      <c r="AM113" s="1698">
        <v>0.23</v>
      </c>
      <c r="AN113" s="1698">
        <v>0.245</v>
      </c>
      <c r="AO113" s="1698">
        <v>0.24</v>
      </c>
      <c r="AP113" s="1698">
        <v>0.22</v>
      </c>
      <c r="AQ113" s="1699"/>
      <c r="AR113" s="1582"/>
      <c r="AS113" s="1582"/>
      <c r="AT113" s="1582"/>
      <c r="AU113" s="1582"/>
      <c r="AV113" s="1582"/>
      <c r="AW113" s="1582"/>
      <c r="AX113" s="1582"/>
      <c r="AY113" s="1582"/>
      <c r="AZ113" s="1582"/>
      <c r="BA113" s="1582"/>
      <c r="BB113" s="1582">
        <f t="shared" ref="BB113:BH113" si="28">BB184/BB$177</f>
        <v>0.29308048825626215</v>
      </c>
      <c r="BC113" s="1582">
        <f t="shared" si="28"/>
        <v>0.26228215648833947</v>
      </c>
      <c r="BD113" s="1582">
        <f t="shared" si="28"/>
        <v>0.25880065557016535</v>
      </c>
      <c r="BE113" s="1582">
        <f t="shared" si="28"/>
        <v>0.19777981225433042</v>
      </c>
      <c r="BF113" s="1583">
        <f t="shared" si="28"/>
        <v>0.19329803790784281</v>
      </c>
      <c r="BG113" s="1582">
        <f t="shared" si="28"/>
        <v>0.21811847989980812</v>
      </c>
      <c r="BH113" s="1582">
        <f t="shared" si="28"/>
        <v>0.23410811747289792</v>
      </c>
      <c r="BI113" s="1700">
        <v>0.25</v>
      </c>
      <c r="BJ113" s="1700">
        <v>0.22</v>
      </c>
      <c r="BK113" s="1700">
        <v>0.2</v>
      </c>
      <c r="BL113" s="1576"/>
    </row>
    <row r="114" spans="1:64" s="1577" customFormat="1" x14ac:dyDescent="0.35">
      <c r="A114" s="1568" t="s">
        <v>976</v>
      </c>
      <c r="B114" s="1569"/>
      <c r="C114" s="1570"/>
      <c r="D114" s="1570"/>
      <c r="E114" s="1570"/>
      <c r="F114" s="1570"/>
      <c r="G114" s="1570"/>
      <c r="H114" s="1570"/>
      <c r="I114" s="1570"/>
      <c r="J114" s="1570"/>
      <c r="K114" s="1570"/>
      <c r="L114" s="1570"/>
      <c r="M114" s="1570"/>
      <c r="N114" s="1570"/>
      <c r="O114" s="1570"/>
      <c r="P114" s="1570"/>
      <c r="Q114" s="1571">
        <f t="shared" ref="Q114:AP114" si="29">Q185/Q177</f>
        <v>1.0018754942944299</v>
      </c>
      <c r="R114" s="1571">
        <f t="shared" si="29"/>
        <v>1.0041505735862108</v>
      </c>
      <c r="S114" s="1571">
        <f t="shared" si="29"/>
        <v>1.0045654067819327</v>
      </c>
      <c r="T114" s="1571">
        <f t="shared" si="29"/>
        <v>1.0072371317925732</v>
      </c>
      <c r="U114" s="1571">
        <f t="shared" si="29"/>
        <v>0.22811686876073539</v>
      </c>
      <c r="V114" s="1571">
        <f t="shared" si="29"/>
        <v>1.0132915184859497</v>
      </c>
      <c r="W114" s="1571">
        <f t="shared" si="29"/>
        <v>0.23484250556073769</v>
      </c>
      <c r="X114" s="1571">
        <f t="shared" si="29"/>
        <v>0.22532134966860851</v>
      </c>
      <c r="Y114" s="1571">
        <f t="shared" si="29"/>
        <v>9.1025436873735585E-2</v>
      </c>
      <c r="Z114" s="1571">
        <f t="shared" si="29"/>
        <v>0.19709841097973263</v>
      </c>
      <c r="AA114" s="1571">
        <f t="shared" si="29"/>
        <v>0.2148177859271144</v>
      </c>
      <c r="AB114" s="1571">
        <f t="shared" si="29"/>
        <v>0.24131892933056415</v>
      </c>
      <c r="AC114" s="1571">
        <f t="shared" si="29"/>
        <v>0.2159769993828369</v>
      </c>
      <c r="AD114" s="1571">
        <f t="shared" si="29"/>
        <v>0.13572269303201501</v>
      </c>
      <c r="AE114" s="1571">
        <f t="shared" si="29"/>
        <v>0.18496826087441567</v>
      </c>
      <c r="AF114" s="1571">
        <f t="shared" si="29"/>
        <v>0.21718211614421382</v>
      </c>
      <c r="AG114" s="1571">
        <f t="shared" si="29"/>
        <v>0.22571248186258763</v>
      </c>
      <c r="AH114" s="1571">
        <f t="shared" si="29"/>
        <v>0.2136929215658494</v>
      </c>
      <c r="AI114" s="1571">
        <f t="shared" si="29"/>
        <v>9.7828482948833048E-2</v>
      </c>
      <c r="AJ114" s="1572">
        <f t="shared" si="29"/>
        <v>0.19068658740923958</v>
      </c>
      <c r="AK114" s="1570">
        <f t="shared" si="29"/>
        <v>0.26800000000000002</v>
      </c>
      <c r="AL114" s="1570">
        <f t="shared" si="29"/>
        <v>0.26124999999999998</v>
      </c>
      <c r="AM114" s="1570">
        <f t="shared" si="29"/>
        <v>0.21999999999999997</v>
      </c>
      <c r="AN114" s="1570">
        <f t="shared" si="29"/>
        <v>0.22149999999999997</v>
      </c>
      <c r="AO114" s="1570">
        <f t="shared" si="29"/>
        <v>0.23399999999999999</v>
      </c>
      <c r="AP114" s="1570">
        <f t="shared" si="29"/>
        <v>0.24150000000000002</v>
      </c>
      <c r="AQ114" s="1570"/>
      <c r="AR114" s="1573"/>
      <c r="AS114" s="1573"/>
      <c r="AT114" s="1573"/>
      <c r="AU114" s="1573"/>
      <c r="AV114" s="1573"/>
      <c r="AW114" s="1573"/>
      <c r="AX114" s="1573"/>
      <c r="AY114" s="1573"/>
      <c r="AZ114" s="1573"/>
      <c r="BA114" s="1573"/>
      <c r="BB114" s="1574">
        <f t="shared" ref="BB114:BK114" si="30">BB185/BB177</f>
        <v>0.17129000072417702</v>
      </c>
      <c r="BC114" s="1574">
        <f t="shared" si="30"/>
        <v>0.16156043457481836</v>
      </c>
      <c r="BD114" s="1574">
        <f t="shared" si="30"/>
        <v>0.18427940250886457</v>
      </c>
      <c r="BE114" s="1574">
        <f t="shared" si="30"/>
        <v>0.20469703253336677</v>
      </c>
      <c r="BF114" s="1575">
        <f t="shared" si="30"/>
        <v>0.21047607136901783</v>
      </c>
      <c r="BG114" s="1573">
        <f t="shared" si="30"/>
        <v>0.20403659414237466</v>
      </c>
      <c r="BH114" s="1573">
        <f t="shared" si="30"/>
        <v>0.22913844421131013</v>
      </c>
      <c r="BI114" s="1573">
        <f t="shared" si="30"/>
        <v>0.23850000000000002</v>
      </c>
      <c r="BJ114" s="1573">
        <f t="shared" si="30"/>
        <v>0.28999999999999998</v>
      </c>
      <c r="BK114" s="1573">
        <f t="shared" si="30"/>
        <v>0.31</v>
      </c>
      <c r="BL114" s="1576"/>
    </row>
    <row r="115" spans="1:64" s="1577" customFormat="1" x14ac:dyDescent="0.35">
      <c r="A115" s="1701" t="s">
        <v>977</v>
      </c>
      <c r="B115" s="1579"/>
      <c r="C115" s="1580"/>
      <c r="D115" s="1580"/>
      <c r="E115" s="1580"/>
      <c r="F115" s="1580"/>
      <c r="G115" s="1580"/>
      <c r="H115" s="1580"/>
      <c r="I115" s="1580"/>
      <c r="J115" s="1580"/>
      <c r="K115" s="1580"/>
      <c r="L115" s="1580"/>
      <c r="M115" s="1580"/>
      <c r="N115" s="1580"/>
      <c r="O115" s="1580"/>
      <c r="P115" s="1580"/>
      <c r="Q115" s="1702">
        <f t="shared" ref="Q115:AP115" si="31">Q186/Q177</f>
        <v>0.27028207735472448</v>
      </c>
      <c r="R115" s="1702">
        <f t="shared" si="31"/>
        <v>0.19548872180451124</v>
      </c>
      <c r="S115" s="1702">
        <f t="shared" si="31"/>
        <v>0.23335511325559577</v>
      </c>
      <c r="T115" s="1702">
        <f t="shared" si="31"/>
        <v>0.16618306217610723</v>
      </c>
      <c r="U115" s="1702">
        <f t="shared" si="31"/>
        <v>0.2606758388462781</v>
      </c>
      <c r="V115" s="1702">
        <f t="shared" si="31"/>
        <v>0.21800269254414292</v>
      </c>
      <c r="W115" s="1702">
        <f t="shared" si="31"/>
        <v>0.26407404749946189</v>
      </c>
      <c r="X115" s="1702">
        <f t="shared" si="31"/>
        <v>0.2952023498694521</v>
      </c>
      <c r="Y115" s="1702">
        <f t="shared" si="31"/>
        <v>0.30254722600659356</v>
      </c>
      <c r="Z115" s="1702">
        <f t="shared" si="31"/>
        <v>0.25369609915394326</v>
      </c>
      <c r="AA115" s="1702">
        <f t="shared" si="31"/>
        <v>0.24814035380159599</v>
      </c>
      <c r="AB115" s="1702">
        <f t="shared" si="31"/>
        <v>0.27468128468658642</v>
      </c>
      <c r="AC115" s="1702">
        <f t="shared" si="31"/>
        <v>0.26642381547323368</v>
      </c>
      <c r="AD115" s="1702">
        <f t="shared" si="31"/>
        <v>0.24303790018832391</v>
      </c>
      <c r="AE115" s="1702">
        <f t="shared" si="31"/>
        <v>0.25410823655410147</v>
      </c>
      <c r="AF115" s="1702">
        <f t="shared" si="31"/>
        <v>0.26261135389528528</v>
      </c>
      <c r="AG115" s="1702">
        <f t="shared" si="31"/>
        <v>0.26337184187499307</v>
      </c>
      <c r="AH115" s="1702">
        <f t="shared" si="31"/>
        <v>0.24741464796713383</v>
      </c>
      <c r="AI115" s="1702">
        <f t="shared" si="31"/>
        <v>0.20704412389313917</v>
      </c>
      <c r="AJ115" s="1703">
        <f t="shared" si="31"/>
        <v>0.23081065985797494</v>
      </c>
      <c r="AK115" s="1580">
        <f t="shared" si="31"/>
        <v>0.26800000000000002</v>
      </c>
      <c r="AL115" s="1580">
        <f t="shared" si="31"/>
        <v>0.26124999999999998</v>
      </c>
      <c r="AM115" s="1580">
        <f t="shared" si="31"/>
        <v>0.21999999999999997</v>
      </c>
      <c r="AN115" s="1580">
        <f t="shared" si="31"/>
        <v>0.22149999999999997</v>
      </c>
      <c r="AO115" s="1580">
        <f t="shared" si="31"/>
        <v>0.23399999999999999</v>
      </c>
      <c r="AP115" s="1580">
        <f t="shared" si="31"/>
        <v>0.24150000000000002</v>
      </c>
      <c r="AQ115" s="1580"/>
      <c r="AR115" s="1582"/>
      <c r="AS115" s="1582"/>
      <c r="AT115" s="1582"/>
      <c r="AU115" s="1582"/>
      <c r="AV115" s="1582"/>
      <c r="AW115" s="1582"/>
      <c r="AX115" s="1582"/>
      <c r="AY115" s="1582"/>
      <c r="AZ115" s="1582"/>
      <c r="BA115" s="1582"/>
      <c r="BB115" s="1704">
        <f t="shared" ref="BB115:BK115" si="32">BB186/BB177</f>
        <v>0.2393485625085493</v>
      </c>
      <c r="BC115" s="1704">
        <f t="shared" si="32"/>
        <v>0.22298057715729219</v>
      </c>
      <c r="BD115" s="1704">
        <f t="shared" si="32"/>
        <v>0.27915324264197272</v>
      </c>
      <c r="BE115" s="1704">
        <f t="shared" si="32"/>
        <v>0.25887801226424206</v>
      </c>
      <c r="BF115" s="1705">
        <f t="shared" si="32"/>
        <v>0.25710633094324931</v>
      </c>
      <c r="BG115" s="1582">
        <f t="shared" si="32"/>
        <v>0.24155010320540418</v>
      </c>
      <c r="BH115" s="1582">
        <f t="shared" si="32"/>
        <v>0.22913844421131005</v>
      </c>
      <c r="BI115" s="1582">
        <f t="shared" si="32"/>
        <v>0.23850000000000002</v>
      </c>
      <c r="BJ115" s="1582">
        <f t="shared" si="32"/>
        <v>0.28999999999999998</v>
      </c>
      <c r="BK115" s="1582">
        <f t="shared" si="32"/>
        <v>0.31</v>
      </c>
      <c r="BL115" s="1576"/>
    </row>
    <row r="116" spans="1:64" s="1696" customFormat="1" x14ac:dyDescent="0.35">
      <c r="A116" s="1690" t="s">
        <v>978</v>
      </c>
      <c r="B116" s="1691"/>
      <c r="C116" s="1638"/>
      <c r="D116" s="1692"/>
      <c r="E116" s="1638"/>
      <c r="F116" s="1638"/>
      <c r="G116" s="1638"/>
      <c r="H116" s="1692"/>
      <c r="I116" s="1638"/>
      <c r="J116" s="1638"/>
      <c r="K116" s="1638"/>
      <c r="L116" s="1692"/>
      <c r="M116" s="1638"/>
      <c r="N116" s="1638"/>
      <c r="O116" s="1638"/>
      <c r="P116" s="1692"/>
      <c r="Q116" s="1638"/>
      <c r="R116" s="1638"/>
      <c r="S116" s="1638"/>
      <c r="T116" s="1692"/>
      <c r="U116" s="1638"/>
      <c r="V116" s="1638"/>
      <c r="W116" s="1638"/>
      <c r="X116" s="1692"/>
      <c r="Y116" s="1638"/>
      <c r="Z116" s="1638"/>
      <c r="AA116" s="1638"/>
      <c r="AB116" s="1692"/>
      <c r="AC116" s="1638"/>
      <c r="AD116" s="1638"/>
      <c r="AE116" s="1638"/>
      <c r="AF116" s="1692"/>
      <c r="AG116" s="1638"/>
      <c r="AH116" s="1638"/>
      <c r="AI116" s="1638"/>
      <c r="AJ116" s="1693"/>
      <c r="AK116" s="1694">
        <f t="shared" ref="AK116:AP116" ca="1" si="33">IFERROR(AK187/AK178,0)</f>
        <v>0</v>
      </c>
      <c r="AL116" s="1694">
        <f t="shared" ca="1" si="33"/>
        <v>0</v>
      </c>
      <c r="AM116" s="1694">
        <f t="shared" ca="1" si="33"/>
        <v>0</v>
      </c>
      <c r="AN116" s="1694">
        <f t="shared" ca="1" si="33"/>
        <v>0</v>
      </c>
      <c r="AO116" s="1694">
        <f t="shared" ca="1" si="33"/>
        <v>0</v>
      </c>
      <c r="AP116" s="1694">
        <f t="shared" ca="1" si="33"/>
        <v>0</v>
      </c>
      <c r="AQ116" s="1694"/>
      <c r="AR116" s="1640"/>
      <c r="AS116" s="1640"/>
      <c r="AT116" s="1640"/>
      <c r="AU116" s="1640"/>
      <c r="AV116" s="1640"/>
      <c r="AW116" s="1640"/>
      <c r="AX116" s="1640"/>
      <c r="AY116" s="1640"/>
      <c r="AZ116" s="1640"/>
      <c r="BA116" s="1640"/>
      <c r="BB116" s="1640"/>
      <c r="BC116" s="1640"/>
      <c r="BD116" s="1640"/>
      <c r="BE116" s="1640"/>
      <c r="BF116" s="1641"/>
      <c r="BG116" s="1695">
        <f ca="1">IFERROR(BG187/BG178,0)</f>
        <v>0</v>
      </c>
      <c r="BH116" s="1695">
        <f ca="1">IFERROR(BH187/BH178,0)</f>
        <v>0</v>
      </c>
      <c r="BI116" s="1695">
        <f ca="1">IFERROR(BI187/BI178,0)</f>
        <v>0</v>
      </c>
      <c r="BJ116" s="1695">
        <f ca="1">IFERROR(BJ187/BJ178,0)</f>
        <v>0</v>
      </c>
      <c r="BK116" s="1695">
        <f ca="1">IFERROR(BK187/BK178,0)</f>
        <v>0</v>
      </c>
      <c r="BL116" s="1638"/>
    </row>
    <row r="117" spans="1:64" s="1560" customFormat="1" x14ac:dyDescent="0.35">
      <c r="A117" s="1656"/>
      <c r="B117" s="1562"/>
      <c r="C117" s="1706"/>
      <c r="D117" s="1706"/>
      <c r="E117" s="1706"/>
      <c r="F117" s="1706"/>
      <c r="G117" s="1706"/>
      <c r="H117" s="1706"/>
      <c r="I117" s="1706"/>
      <c r="J117" s="1706"/>
      <c r="K117" s="1706"/>
      <c r="L117" s="1706"/>
      <c r="M117" s="1706"/>
      <c r="N117" s="1706"/>
      <c r="O117" s="1706"/>
      <c r="P117" s="1706"/>
      <c r="Q117" s="1706"/>
      <c r="R117" s="1706"/>
      <c r="S117" s="1706"/>
      <c r="T117" s="1706"/>
      <c r="U117" s="1706"/>
      <c r="V117" s="1706"/>
      <c r="W117" s="1706"/>
      <c r="X117" s="1706"/>
      <c r="Y117" s="1706"/>
      <c r="Z117" s="1706"/>
      <c r="AA117" s="1706"/>
      <c r="AB117" s="1706"/>
      <c r="AC117" s="1706"/>
      <c r="AD117" s="1706"/>
      <c r="AE117" s="1706"/>
      <c r="AF117" s="1706"/>
      <c r="AG117" s="1706"/>
      <c r="AH117" s="1706"/>
      <c r="AI117" s="1706"/>
      <c r="AJ117" s="1707"/>
      <c r="AK117" s="1706"/>
      <c r="AL117" s="1708"/>
      <c r="AM117" s="1706"/>
      <c r="AN117" s="1706"/>
      <c r="AO117" s="1706"/>
      <c r="AP117" s="1708"/>
      <c r="AQ117" s="1708"/>
      <c r="AR117" s="1709"/>
      <c r="AS117" s="1709"/>
      <c r="AT117" s="1709"/>
      <c r="AU117" s="1709"/>
      <c r="AV117" s="1709"/>
      <c r="AW117" s="1709"/>
      <c r="AX117" s="1709"/>
      <c r="AY117" s="1709"/>
      <c r="AZ117" s="1709"/>
      <c r="BA117" s="1709"/>
      <c r="BB117" s="1709"/>
      <c r="BC117" s="1709"/>
      <c r="BD117" s="1709"/>
      <c r="BE117" s="1709"/>
      <c r="BF117" s="1710"/>
      <c r="BG117" s="1658"/>
      <c r="BH117" s="1658"/>
      <c r="BI117" s="1658"/>
      <c r="BJ117" s="1658"/>
      <c r="BK117" s="1658"/>
      <c r="BL117" s="1559"/>
    </row>
    <row r="118" spans="1:64" s="1518" customFormat="1" x14ac:dyDescent="0.35">
      <c r="A118" s="1588" t="s">
        <v>979</v>
      </c>
      <c r="B118" s="1556"/>
      <c r="C118" s="1556"/>
      <c r="D118" s="1556"/>
      <c r="E118" s="1556"/>
      <c r="F118" s="1556"/>
      <c r="G118" s="1556"/>
      <c r="H118" s="1556"/>
      <c r="I118" s="1556"/>
      <c r="J118" s="1556"/>
      <c r="K118" s="1556"/>
      <c r="L118" s="1556"/>
      <c r="M118" s="1556"/>
      <c r="N118" s="1556"/>
      <c r="O118" s="1556"/>
      <c r="P118" s="1556"/>
      <c r="Q118" s="1556"/>
      <c r="R118" s="1556"/>
      <c r="S118" s="1556"/>
      <c r="T118" s="1556"/>
      <c r="U118" s="1556"/>
      <c r="V118" s="1556"/>
      <c r="W118" s="1556"/>
      <c r="X118" s="1556"/>
      <c r="Y118" s="1556"/>
      <c r="Z118" s="1556"/>
      <c r="AA118" s="1556"/>
      <c r="AB118" s="1556"/>
      <c r="AC118" s="1556"/>
      <c r="AD118" s="1556"/>
      <c r="AE118" s="1556"/>
      <c r="AF118" s="1556"/>
      <c r="AG118" s="1556"/>
      <c r="AH118" s="1556"/>
      <c r="AI118" s="1556"/>
      <c r="AJ118" s="1558"/>
      <c r="AK118" s="1556"/>
      <c r="AL118" s="1556"/>
      <c r="AM118" s="1556"/>
      <c r="AN118" s="1556"/>
      <c r="AO118" s="1556"/>
      <c r="AP118" s="1556"/>
      <c r="AQ118" s="1556"/>
      <c r="AR118" s="1556"/>
      <c r="AS118" s="1556"/>
      <c r="AT118" s="1556"/>
      <c r="AU118" s="1556"/>
      <c r="AV118" s="1556"/>
      <c r="AW118" s="1556"/>
      <c r="AX118" s="1556"/>
      <c r="AY118" s="1556"/>
      <c r="AZ118" s="1556"/>
      <c r="BA118" s="1556"/>
      <c r="BB118" s="1556"/>
      <c r="BC118" s="1556"/>
      <c r="BD118" s="1556"/>
      <c r="BE118" s="1556"/>
      <c r="BF118" s="1558"/>
      <c r="BG118" s="1556"/>
      <c r="BH118" s="1556"/>
      <c r="BI118" s="1556"/>
      <c r="BJ118" s="1556"/>
      <c r="BK118" s="1556"/>
      <c r="BL118" s="1517"/>
    </row>
    <row r="119" spans="1:64" s="1608" customFormat="1" outlineLevel="1" x14ac:dyDescent="0.35">
      <c r="A119" s="1711" t="s">
        <v>784</v>
      </c>
      <c r="B119" s="1712"/>
      <c r="C119" s="1667"/>
      <c r="D119" s="1667"/>
      <c r="E119" s="1667"/>
      <c r="F119" s="1667"/>
      <c r="G119" s="1667"/>
      <c r="H119" s="1667"/>
      <c r="I119" s="1667"/>
      <c r="J119" s="1667"/>
      <c r="K119" s="1667"/>
      <c r="L119" s="1667"/>
      <c r="M119" s="1667"/>
      <c r="N119" s="1667"/>
      <c r="O119" s="1667"/>
      <c r="P119" s="1667"/>
      <c r="Q119" s="1677">
        <v>132.76499999999999</v>
      </c>
      <c r="R119" s="1677">
        <v>121.429</v>
      </c>
      <c r="S119" s="1677">
        <v>119.376</v>
      </c>
      <c r="T119" s="1677">
        <v>88.570999999999998</v>
      </c>
      <c r="U119" s="1677">
        <v>117.602</v>
      </c>
      <c r="V119" s="1677">
        <v>128.50299999999999</v>
      </c>
      <c r="W119" s="1677">
        <v>139.37</v>
      </c>
      <c r="X119" s="1677">
        <v>159.328</v>
      </c>
      <c r="Y119" s="1677">
        <v>169.55699999999999</v>
      </c>
      <c r="Z119" s="1677">
        <v>173.62899999999999</v>
      </c>
      <c r="AA119" s="1677">
        <v>191.97200000000001</v>
      </c>
      <c r="AB119" s="1677">
        <v>205.59100000000001</v>
      </c>
      <c r="AC119" s="1677">
        <v>199.29900000000001</v>
      </c>
      <c r="AD119" s="1677">
        <v>169.92</v>
      </c>
      <c r="AE119" s="1677">
        <v>179.274</v>
      </c>
      <c r="AF119" s="1677">
        <v>190.38399999999999</v>
      </c>
      <c r="AG119" s="1677">
        <v>180.566</v>
      </c>
      <c r="AH119" s="1607">
        <f>BF119-SUM(AE119,AF119,AG119)</f>
        <v>169.41599999999994</v>
      </c>
      <c r="AI119" s="1677">
        <v>185.999</v>
      </c>
      <c r="AJ119" s="1713">
        <v>200.52799999999999</v>
      </c>
      <c r="AK119" s="1667"/>
      <c r="AL119" s="1667"/>
      <c r="AM119" s="1667"/>
      <c r="AN119" s="1667"/>
      <c r="AO119" s="1667"/>
      <c r="AP119" s="1667"/>
      <c r="AQ119" s="1667"/>
      <c r="AR119" s="1669"/>
      <c r="AS119" s="1669"/>
      <c r="AT119" s="1669"/>
      <c r="AU119" s="1669"/>
      <c r="AV119" s="1669"/>
      <c r="AW119" s="1669"/>
      <c r="AX119" s="1669"/>
      <c r="AY119" s="1669"/>
      <c r="AZ119" s="1669"/>
      <c r="BA119" s="1669"/>
      <c r="BB119" s="1714">
        <v>497.11599999999999</v>
      </c>
      <c r="BC119" s="1714">
        <v>454.053</v>
      </c>
      <c r="BD119" s="1714">
        <v>641.88400000000001</v>
      </c>
      <c r="BE119" s="1714">
        <v>766.78200000000004</v>
      </c>
      <c r="BF119" s="1715">
        <v>719.64</v>
      </c>
      <c r="BG119" s="1669"/>
      <c r="BH119" s="1669"/>
      <c r="BI119" s="1669"/>
      <c r="BJ119" s="1669"/>
      <c r="BK119" s="1669"/>
      <c r="BL119" s="1607"/>
    </row>
    <row r="120" spans="1:64" s="1518" customFormat="1" outlineLevel="1" x14ac:dyDescent="0.35">
      <c r="A120" s="1678" t="s">
        <v>980</v>
      </c>
      <c r="B120" s="1716"/>
      <c r="C120" s="1515"/>
      <c r="D120" s="1515"/>
      <c r="E120" s="1515"/>
      <c r="F120" s="1515"/>
      <c r="G120" s="1515"/>
      <c r="H120" s="1515"/>
      <c r="I120" s="1515"/>
      <c r="J120" s="1515"/>
      <c r="K120" s="1515"/>
      <c r="L120" s="1515"/>
      <c r="M120" s="1515"/>
      <c r="N120" s="1515"/>
      <c r="O120" s="1515"/>
      <c r="P120" s="1515"/>
      <c r="Q120" s="1515"/>
      <c r="R120" s="1515"/>
      <c r="S120" s="1593"/>
      <c r="T120" s="1593"/>
      <c r="U120" s="1593">
        <v>55.112000000000002</v>
      </c>
      <c r="V120" s="1517"/>
      <c r="W120" s="1593">
        <v>67.578999999999994</v>
      </c>
      <c r="X120" s="1517">
        <f>BD120-W120-Y120-Z120</f>
        <v>75.58099999999996</v>
      </c>
      <c r="Y120" s="1593">
        <v>82.638000000000005</v>
      </c>
      <c r="Z120" s="1593">
        <v>87.356999999999999</v>
      </c>
      <c r="AA120" s="1593">
        <v>100.956</v>
      </c>
      <c r="AB120" s="1593">
        <v>107.57599999999999</v>
      </c>
      <c r="AC120" s="1593">
        <v>106.422</v>
      </c>
      <c r="AD120" s="1593">
        <v>92.728999999999999</v>
      </c>
      <c r="AE120" s="1593">
        <v>94.754000000000005</v>
      </c>
      <c r="AF120" s="1593">
        <v>102.056</v>
      </c>
      <c r="AG120" s="1593">
        <v>95.882000000000005</v>
      </c>
      <c r="AH120" s="1517">
        <f>BF120-SUM(AE120,AF120,AG120)</f>
        <v>91.961000000000013</v>
      </c>
      <c r="AI120" s="1593">
        <v>104.041</v>
      </c>
      <c r="AJ120" s="1594">
        <v>110.85899999999999</v>
      </c>
      <c r="AK120" s="1515"/>
      <c r="AL120" s="1515"/>
      <c r="AM120" s="1515"/>
      <c r="AN120" s="1515"/>
      <c r="AO120" s="1515"/>
      <c r="AP120" s="1515"/>
      <c r="AQ120" s="1515"/>
      <c r="AR120" s="1595"/>
      <c r="AS120" s="1595"/>
      <c r="AT120" s="1595"/>
      <c r="AU120" s="1595"/>
      <c r="AV120" s="1595"/>
      <c r="AW120" s="1595"/>
      <c r="AX120" s="1595"/>
      <c r="AY120" s="1595"/>
      <c r="AZ120" s="1595"/>
      <c r="BA120" s="1595"/>
      <c r="BB120" s="1596">
        <v>221.34700000000001</v>
      </c>
      <c r="BC120" s="1596">
        <v>217.31</v>
      </c>
      <c r="BD120" s="1596">
        <v>313.15499999999997</v>
      </c>
      <c r="BE120" s="1596">
        <v>407.68299999999999</v>
      </c>
      <c r="BF120" s="1597">
        <v>384.65300000000002</v>
      </c>
      <c r="BG120" s="1595"/>
      <c r="BH120" s="1595"/>
      <c r="BI120" s="1595"/>
      <c r="BJ120" s="1595"/>
      <c r="BK120" s="1595"/>
      <c r="BL120" s="1517"/>
    </row>
    <row r="121" spans="1:64" s="1608" customFormat="1" outlineLevel="1" x14ac:dyDescent="0.35">
      <c r="A121" s="1599" t="s">
        <v>620</v>
      </c>
      <c r="B121" s="1717"/>
      <c r="C121" s="1601"/>
      <c r="D121" s="1601"/>
      <c r="E121" s="1601"/>
      <c r="F121" s="1601"/>
      <c r="G121" s="1601"/>
      <c r="H121" s="1601"/>
      <c r="I121" s="1601"/>
      <c r="J121" s="1601"/>
      <c r="K121" s="1601"/>
      <c r="L121" s="1601"/>
      <c r="M121" s="1601"/>
      <c r="N121" s="1601"/>
      <c r="O121" s="1601"/>
      <c r="P121" s="1601"/>
      <c r="Q121" s="1602"/>
      <c r="R121" s="1602"/>
      <c r="S121" s="1602"/>
      <c r="T121" s="1602"/>
      <c r="U121" s="1602">
        <f t="shared" ref="U121:AJ121" si="34">U119-U120</f>
        <v>62.49</v>
      </c>
      <c r="V121" s="1602"/>
      <c r="W121" s="1602">
        <f t="shared" si="34"/>
        <v>71.791000000000011</v>
      </c>
      <c r="X121" s="1602">
        <f t="shared" si="34"/>
        <v>83.747000000000043</v>
      </c>
      <c r="Y121" s="1602">
        <f t="shared" si="34"/>
        <v>86.918999999999983</v>
      </c>
      <c r="Z121" s="1602">
        <f t="shared" si="34"/>
        <v>86.271999999999991</v>
      </c>
      <c r="AA121" s="1602">
        <f t="shared" si="34"/>
        <v>91.016000000000005</v>
      </c>
      <c r="AB121" s="1602">
        <f t="shared" si="34"/>
        <v>98.015000000000015</v>
      </c>
      <c r="AC121" s="1602">
        <f t="shared" si="34"/>
        <v>92.87700000000001</v>
      </c>
      <c r="AD121" s="1602">
        <f t="shared" si="34"/>
        <v>77.190999999999988</v>
      </c>
      <c r="AE121" s="1602">
        <f t="shared" si="34"/>
        <v>84.52</v>
      </c>
      <c r="AF121" s="1602">
        <f t="shared" si="34"/>
        <v>88.327999999999989</v>
      </c>
      <c r="AG121" s="1602">
        <f t="shared" si="34"/>
        <v>84.683999999999997</v>
      </c>
      <c r="AH121" s="1602">
        <f t="shared" si="34"/>
        <v>77.454999999999927</v>
      </c>
      <c r="AI121" s="1602">
        <f t="shared" si="34"/>
        <v>81.957999999999998</v>
      </c>
      <c r="AJ121" s="1603">
        <f t="shared" si="34"/>
        <v>89.668999999999997</v>
      </c>
      <c r="AK121" s="1601"/>
      <c r="AL121" s="1601"/>
      <c r="AM121" s="1601"/>
      <c r="AN121" s="1601"/>
      <c r="AO121" s="1601"/>
      <c r="AP121" s="1601"/>
      <c r="AQ121" s="1601"/>
      <c r="AR121" s="1604"/>
      <c r="AS121" s="1604"/>
      <c r="AT121" s="1604"/>
      <c r="AU121" s="1604"/>
      <c r="AV121" s="1604"/>
      <c r="AW121" s="1604"/>
      <c r="AX121" s="1604"/>
      <c r="AY121" s="1604"/>
      <c r="AZ121" s="1604"/>
      <c r="BA121" s="1604"/>
      <c r="BB121" s="1605">
        <f>BB119-BB120</f>
        <v>275.76900000000001</v>
      </c>
      <c r="BC121" s="1605">
        <f>BC119-BC120</f>
        <v>236.74299999999999</v>
      </c>
      <c r="BD121" s="1605">
        <f>BD119-BD120</f>
        <v>328.72900000000004</v>
      </c>
      <c r="BE121" s="1605">
        <f>BE119-BE120</f>
        <v>359.09900000000005</v>
      </c>
      <c r="BF121" s="1718">
        <f>BF119-BF120</f>
        <v>334.98699999999997</v>
      </c>
      <c r="BG121" s="1604"/>
      <c r="BH121" s="1604"/>
      <c r="BI121" s="1604"/>
      <c r="BJ121" s="1604"/>
      <c r="BK121" s="1604"/>
      <c r="BL121" s="1607"/>
    </row>
    <row r="122" spans="1:64" s="1518" customFormat="1" outlineLevel="1" x14ac:dyDescent="0.35">
      <c r="A122" s="1591" t="s">
        <v>341</v>
      </c>
      <c r="B122" s="1716"/>
      <c r="C122" s="1515"/>
      <c r="D122" s="1515"/>
      <c r="E122" s="1515"/>
      <c r="F122" s="1515"/>
      <c r="G122" s="1515"/>
      <c r="H122" s="1515"/>
      <c r="I122" s="1515"/>
      <c r="J122" s="1515"/>
      <c r="K122" s="1515"/>
      <c r="L122" s="1515"/>
      <c r="M122" s="1515"/>
      <c r="N122" s="1515"/>
      <c r="O122" s="1515"/>
      <c r="P122" s="1515"/>
      <c r="Q122" s="1515"/>
      <c r="R122" s="1515"/>
      <c r="S122" s="1593"/>
      <c r="T122" s="1593"/>
      <c r="U122" s="1593">
        <v>10.842000000000001</v>
      </c>
      <c r="V122" s="1517"/>
      <c r="W122" s="1593">
        <v>10.353</v>
      </c>
      <c r="X122" s="1517">
        <f>BD122-W122-Y122-Z122</f>
        <v>9.9979999999999993</v>
      </c>
      <c r="Y122" s="1593">
        <v>12.084</v>
      </c>
      <c r="Z122" s="1593">
        <v>11.888</v>
      </c>
      <c r="AA122" s="1593">
        <v>12.552</v>
      </c>
      <c r="AB122" s="1593">
        <v>12.539</v>
      </c>
      <c r="AC122" s="1593">
        <v>13.715</v>
      </c>
      <c r="AD122" s="1593">
        <v>11.680999999999999</v>
      </c>
      <c r="AE122" s="1593">
        <v>11.952</v>
      </c>
      <c r="AF122" s="1593">
        <v>11.428000000000001</v>
      </c>
      <c r="AG122" s="1593">
        <v>11.329000000000001</v>
      </c>
      <c r="AH122" s="1517">
        <f>BF122-SUM(AE122,AF122,AG122)</f>
        <v>9.705999999999996</v>
      </c>
      <c r="AI122" s="1593">
        <v>13.214</v>
      </c>
      <c r="AJ122" s="1594">
        <v>12.755000000000001</v>
      </c>
      <c r="AK122" s="1515"/>
      <c r="AL122" s="1515"/>
      <c r="AM122" s="1515"/>
      <c r="AN122" s="1515"/>
      <c r="AO122" s="1515"/>
      <c r="AP122" s="1515"/>
      <c r="AQ122" s="1515"/>
      <c r="AR122" s="1595"/>
      <c r="AS122" s="1595"/>
      <c r="AT122" s="1595"/>
      <c r="AU122" s="1595"/>
      <c r="AV122" s="1595"/>
      <c r="AW122" s="1595"/>
      <c r="AX122" s="1595"/>
      <c r="AY122" s="1595"/>
      <c r="AZ122" s="1595"/>
      <c r="BA122" s="1595"/>
      <c r="BB122" s="1596">
        <v>44.923000000000002</v>
      </c>
      <c r="BC122" s="1596">
        <v>44.295999999999999</v>
      </c>
      <c r="BD122" s="1596">
        <v>44.323</v>
      </c>
      <c r="BE122" s="1596">
        <v>50.487000000000002</v>
      </c>
      <c r="BF122" s="1597">
        <v>44.414999999999999</v>
      </c>
      <c r="BG122" s="1595"/>
      <c r="BH122" s="1595"/>
      <c r="BI122" s="1595"/>
      <c r="BJ122" s="1595"/>
      <c r="BK122" s="1595"/>
      <c r="BL122" s="1517"/>
    </row>
    <row r="123" spans="1:64" s="1518" customFormat="1" outlineLevel="1" x14ac:dyDescent="0.35">
      <c r="A123" s="1591" t="s">
        <v>787</v>
      </c>
      <c r="B123" s="1716"/>
      <c r="C123" s="1515"/>
      <c r="D123" s="1515"/>
      <c r="E123" s="1515"/>
      <c r="F123" s="1515"/>
      <c r="G123" s="1515"/>
      <c r="H123" s="1515"/>
      <c r="I123" s="1515"/>
      <c r="J123" s="1515"/>
      <c r="K123" s="1515"/>
      <c r="L123" s="1515"/>
      <c r="M123" s="1515"/>
      <c r="N123" s="1515"/>
      <c r="O123" s="1515"/>
      <c r="P123" s="1515"/>
      <c r="Q123" s="1515"/>
      <c r="R123" s="1515"/>
      <c r="S123" s="1593"/>
      <c r="T123" s="1593"/>
      <c r="U123" s="1593">
        <v>25.390999999999998</v>
      </c>
      <c r="V123" s="1517"/>
      <c r="W123" s="1593">
        <v>29.606000000000002</v>
      </c>
      <c r="X123" s="1517">
        <f>BD123-W123-Y123-Z123</f>
        <v>38.60499999999999</v>
      </c>
      <c r="Y123" s="1593">
        <v>84.983000000000004</v>
      </c>
      <c r="Z123" s="1593">
        <v>45.506</v>
      </c>
      <c r="AA123" s="1593">
        <v>42.332999999999998</v>
      </c>
      <c r="AB123" s="1593">
        <v>41.886000000000003</v>
      </c>
      <c r="AC123" s="1593">
        <v>42.411000000000001</v>
      </c>
      <c r="AD123" s="1593">
        <v>48.829000000000001</v>
      </c>
      <c r="AE123" s="1593">
        <v>47.451000000000001</v>
      </c>
      <c r="AF123" s="1593">
        <v>44.91</v>
      </c>
      <c r="AG123" s="1593">
        <v>42.381999999999998</v>
      </c>
      <c r="AH123" s="1517">
        <f>BF123-SUM(AE123,AF123,AG123)</f>
        <v>39.012</v>
      </c>
      <c r="AI123" s="1593">
        <v>59.89</v>
      </c>
      <c r="AJ123" s="1594">
        <v>50.378999999999998</v>
      </c>
      <c r="AK123" s="1515"/>
      <c r="AL123" s="1515"/>
      <c r="AM123" s="1515"/>
      <c r="AN123" s="1515"/>
      <c r="AO123" s="1515"/>
      <c r="AP123" s="1515"/>
      <c r="AQ123" s="1515"/>
      <c r="AR123" s="1595"/>
      <c r="AS123" s="1595"/>
      <c r="AT123" s="1595"/>
      <c r="AU123" s="1595"/>
      <c r="AV123" s="1595"/>
      <c r="AW123" s="1595"/>
      <c r="AX123" s="1595"/>
      <c r="AY123" s="1595"/>
      <c r="AZ123" s="1595"/>
      <c r="BA123" s="1595"/>
      <c r="BB123" s="1596">
        <v>147.19800000000001</v>
      </c>
      <c r="BC123" s="1596">
        <v>122.554</v>
      </c>
      <c r="BD123" s="1596">
        <v>198.7</v>
      </c>
      <c r="BE123" s="1596">
        <v>175.459</v>
      </c>
      <c r="BF123" s="1597">
        <v>173.755</v>
      </c>
      <c r="BG123" s="1595"/>
      <c r="BH123" s="1595"/>
      <c r="BI123" s="1595"/>
      <c r="BJ123" s="1595"/>
      <c r="BK123" s="1595"/>
      <c r="BL123" s="1517"/>
    </row>
    <row r="124" spans="1:64" s="1518" customFormat="1" outlineLevel="1" x14ac:dyDescent="0.35">
      <c r="A124" s="1591" t="s">
        <v>343</v>
      </c>
      <c r="B124" s="1716"/>
      <c r="C124" s="1515"/>
      <c r="D124" s="1515"/>
      <c r="E124" s="1515"/>
      <c r="F124" s="1515"/>
      <c r="G124" s="1515"/>
      <c r="H124" s="1515"/>
      <c r="I124" s="1515"/>
      <c r="J124" s="1515"/>
      <c r="K124" s="1515"/>
      <c r="L124" s="1515"/>
      <c r="M124" s="1515"/>
      <c r="N124" s="1515"/>
      <c r="O124" s="1515"/>
      <c r="P124" s="1515"/>
      <c r="Q124" s="1517"/>
      <c r="R124" s="1517"/>
      <c r="S124" s="1517"/>
      <c r="T124" s="1517"/>
      <c r="U124" s="1517">
        <f t="shared" ref="U124" si="35">U141</f>
        <v>22.863</v>
      </c>
      <c r="V124" s="1517"/>
      <c r="W124" s="1593">
        <v>20.548999999999999</v>
      </c>
      <c r="X124" s="1517">
        <f>BD124-W124-Y124-Z124</f>
        <v>20.297999999999998</v>
      </c>
      <c r="Y124" s="1593">
        <v>20.346</v>
      </c>
      <c r="Z124" s="1593">
        <v>20.870999999999999</v>
      </c>
      <c r="AA124" s="1593">
        <v>20.155999999999999</v>
      </c>
      <c r="AB124" s="1593">
        <v>19.872</v>
      </c>
      <c r="AC124" s="1593">
        <v>16.57</v>
      </c>
      <c r="AD124" s="1593">
        <v>16.542000000000002</v>
      </c>
      <c r="AE124" s="1593">
        <v>15.122</v>
      </c>
      <c r="AF124" s="1593">
        <v>16.12</v>
      </c>
      <c r="AG124" s="1593">
        <v>15.875</v>
      </c>
      <c r="AH124" s="1517">
        <f>BF124-SUM(AE124,AF124,AG124)</f>
        <v>15.735999999999997</v>
      </c>
      <c r="AI124" s="1593">
        <v>15.77</v>
      </c>
      <c r="AJ124" s="1594">
        <v>15.82</v>
      </c>
      <c r="AK124" s="1515"/>
      <c r="AL124" s="1515"/>
      <c r="AM124" s="1515"/>
      <c r="AN124" s="1515"/>
      <c r="AO124" s="1515"/>
      <c r="AP124" s="1515"/>
      <c r="AQ124" s="1515"/>
      <c r="AR124" s="1595"/>
      <c r="AS124" s="1595"/>
      <c r="AT124" s="1595"/>
      <c r="AU124" s="1595"/>
      <c r="AV124" s="1595"/>
      <c r="AW124" s="1595"/>
      <c r="AX124" s="1595"/>
      <c r="AY124" s="1595"/>
      <c r="AZ124" s="1595"/>
      <c r="BA124" s="1595"/>
      <c r="BB124" s="1596">
        <v>93.802000000000007</v>
      </c>
      <c r="BC124" s="1596">
        <v>91.198999999999998</v>
      </c>
      <c r="BD124" s="1596">
        <v>82.063999999999993</v>
      </c>
      <c r="BE124" s="1596">
        <v>73.14</v>
      </c>
      <c r="BF124" s="1597">
        <v>62.853000000000002</v>
      </c>
      <c r="BG124" s="1595"/>
      <c r="BH124" s="1595"/>
      <c r="BI124" s="1595"/>
      <c r="BJ124" s="1595"/>
      <c r="BK124" s="1595"/>
      <c r="BL124" s="1517"/>
    </row>
    <row r="125" spans="1:64" s="1518" customFormat="1" outlineLevel="1" x14ac:dyDescent="0.35">
      <c r="A125" s="1591" t="s">
        <v>981</v>
      </c>
      <c r="B125" s="1716"/>
      <c r="C125" s="1515"/>
      <c r="D125" s="1515"/>
      <c r="E125" s="1515"/>
      <c r="F125" s="1515"/>
      <c r="G125" s="1515"/>
      <c r="H125" s="1515"/>
      <c r="I125" s="1515"/>
      <c r="J125" s="1515"/>
      <c r="K125" s="1515"/>
      <c r="L125" s="1515"/>
      <c r="M125" s="1515"/>
      <c r="N125" s="1515"/>
      <c r="O125" s="1515"/>
      <c r="P125" s="1515"/>
      <c r="Q125" s="1515"/>
      <c r="R125" s="1515"/>
      <c r="S125" s="1515"/>
      <c r="T125" s="1515"/>
      <c r="U125" s="1593">
        <v>0.621</v>
      </c>
      <c r="V125" s="1517"/>
      <c r="W125" s="1593">
        <v>2.8759999999999999</v>
      </c>
      <c r="X125" s="1517">
        <f>BD125-W125-Y125-Z125</f>
        <v>4.9000000000000099E-2</v>
      </c>
      <c r="Y125" s="1593">
        <v>1.4999999999999999E-2</v>
      </c>
      <c r="Z125" s="1593">
        <v>0.33400000000000002</v>
      </c>
      <c r="AA125" s="1515"/>
      <c r="AB125" s="1593">
        <v>0.61199999999999999</v>
      </c>
      <c r="AC125" s="1593">
        <v>0.193</v>
      </c>
      <c r="AD125" s="1593">
        <v>0.20300000000000001</v>
      </c>
      <c r="AE125" s="1593">
        <v>0.106</v>
      </c>
      <c r="AF125" s="1593">
        <v>7.0389999999999997</v>
      </c>
      <c r="AG125" s="1593">
        <v>4.8000000000000001E-2</v>
      </c>
      <c r="AH125" s="1517">
        <f>BF125-SUM(AE125,AF125,AG125)</f>
        <v>0.17800000000000082</v>
      </c>
      <c r="AI125" s="1593">
        <v>0.16800000000000001</v>
      </c>
      <c r="AJ125" s="1594">
        <v>3.2000000000000001E-2</v>
      </c>
      <c r="AK125" s="1515"/>
      <c r="AL125" s="1515"/>
      <c r="AM125" s="1515"/>
      <c r="AN125" s="1515"/>
      <c r="AO125" s="1515"/>
      <c r="AP125" s="1515"/>
      <c r="AQ125" s="1515"/>
      <c r="AR125" s="1595"/>
      <c r="AS125" s="1595"/>
      <c r="AT125" s="1595"/>
      <c r="AU125" s="1595"/>
      <c r="AV125" s="1595"/>
      <c r="AW125" s="1595"/>
      <c r="AX125" s="1595"/>
      <c r="AY125" s="1595"/>
      <c r="AZ125" s="1595"/>
      <c r="BA125" s="1595"/>
      <c r="BB125" s="1596">
        <v>3.22</v>
      </c>
      <c r="BC125" s="1596">
        <v>1.7969999999999999</v>
      </c>
      <c r="BD125" s="1596">
        <v>3.274</v>
      </c>
      <c r="BE125" s="1596">
        <v>1.008</v>
      </c>
      <c r="BF125" s="1598">
        <v>7.3710000000000004</v>
      </c>
      <c r="BG125" s="1595"/>
      <c r="BH125" s="1595"/>
      <c r="BI125" s="1595"/>
      <c r="BJ125" s="1595"/>
      <c r="BK125" s="1595"/>
      <c r="BL125" s="1517"/>
    </row>
    <row r="126" spans="1:64" s="1608" customFormat="1" outlineLevel="1" x14ac:dyDescent="0.35">
      <c r="A126" s="1599" t="s">
        <v>982</v>
      </c>
      <c r="B126" s="1717"/>
      <c r="C126" s="1601"/>
      <c r="D126" s="1601"/>
      <c r="E126" s="1601"/>
      <c r="F126" s="1601"/>
      <c r="G126" s="1601"/>
      <c r="H126" s="1601"/>
      <c r="I126" s="1601"/>
      <c r="J126" s="1601"/>
      <c r="K126" s="1601"/>
      <c r="L126" s="1601">
        <v>5618</v>
      </c>
      <c r="M126" s="1601">
        <v>-20614</v>
      </c>
      <c r="N126" s="1601">
        <v>-1886</v>
      </c>
      <c r="O126" s="1601">
        <v>-17686</v>
      </c>
      <c r="P126" s="1601"/>
      <c r="Q126" s="1602">
        <f>+L126/1000</f>
        <v>5.6180000000000003</v>
      </c>
      <c r="R126" s="1602">
        <f t="shared" ref="R126:T126" si="36">+M126/1000</f>
        <v>-20.614000000000001</v>
      </c>
      <c r="S126" s="1602">
        <f t="shared" si="36"/>
        <v>-1.8859999999999999</v>
      </c>
      <c r="T126" s="1602">
        <f t="shared" si="36"/>
        <v>-17.686</v>
      </c>
      <c r="U126" s="1602">
        <f t="shared" ref="U126:AJ126" si="37">U121-U123-U124-U125-U122</f>
        <v>2.7730000000000032</v>
      </c>
      <c r="V126" s="1602">
        <f>+BC126-U126-T126-S126</f>
        <v>-6.3040000000000083</v>
      </c>
      <c r="W126" s="1602">
        <f t="shared" si="37"/>
        <v>8.4070000000000089</v>
      </c>
      <c r="X126" s="1602">
        <f t="shared" si="37"/>
        <v>14.797000000000056</v>
      </c>
      <c r="Y126" s="1602">
        <f t="shared" si="37"/>
        <v>-30.509000000000022</v>
      </c>
      <c r="Z126" s="1602">
        <f t="shared" si="37"/>
        <v>7.6729999999999929</v>
      </c>
      <c r="AA126" s="1602">
        <f t="shared" si="37"/>
        <v>15.975000000000009</v>
      </c>
      <c r="AB126" s="1602">
        <f t="shared" si="37"/>
        <v>23.106000000000009</v>
      </c>
      <c r="AC126" s="1602">
        <f t="shared" si="37"/>
        <v>19.98800000000001</v>
      </c>
      <c r="AD126" s="1602">
        <f t="shared" si="37"/>
        <v>-6.4000000000012491E-2</v>
      </c>
      <c r="AE126" s="1602">
        <f t="shared" si="37"/>
        <v>9.888999999999994</v>
      </c>
      <c r="AF126" s="1602">
        <f t="shared" si="37"/>
        <v>8.8309999999999924</v>
      </c>
      <c r="AG126" s="1602">
        <f t="shared" si="37"/>
        <v>15.05</v>
      </c>
      <c r="AH126" s="1602">
        <f t="shared" si="37"/>
        <v>12.822999999999933</v>
      </c>
      <c r="AI126" s="1602">
        <f t="shared" si="37"/>
        <v>-7.0840000000000023</v>
      </c>
      <c r="AJ126" s="1603">
        <f t="shared" si="37"/>
        <v>10.682999999999998</v>
      </c>
      <c r="AK126" s="1601"/>
      <c r="AL126" s="1601"/>
      <c r="AM126" s="1601"/>
      <c r="AN126" s="1601"/>
      <c r="AO126" s="1601"/>
      <c r="AP126" s="1601"/>
      <c r="AQ126" s="1601"/>
      <c r="AR126" s="1604"/>
      <c r="AS126" s="1604"/>
      <c r="AT126" s="1604"/>
      <c r="AU126" s="1604"/>
      <c r="AV126" s="1604"/>
      <c r="AW126" s="1604"/>
      <c r="AX126" s="1604"/>
      <c r="AY126" s="1604"/>
      <c r="AZ126" s="1604"/>
      <c r="BA126" s="1604"/>
      <c r="BB126" s="1605">
        <f>BB121-BB123-BB124-BB125-BB122</f>
        <v>-13.374000000000009</v>
      </c>
      <c r="BC126" s="1605">
        <f>BC121-BC123-BC124-BC125-BC122</f>
        <v>-23.103000000000005</v>
      </c>
      <c r="BD126" s="1605">
        <f>BD121-BD123-BD124-BD125-BD122</f>
        <v>0.36800000000005895</v>
      </c>
      <c r="BE126" s="1605">
        <f>BE121-BE123-BE124-BE125-BE122</f>
        <v>59.005000000000045</v>
      </c>
      <c r="BF126" s="1606">
        <f>BF121-BF123-BF124-BF125-BF122</f>
        <v>46.592999999999968</v>
      </c>
      <c r="BG126" s="1604"/>
      <c r="BH126" s="1604"/>
      <c r="BI126" s="1604"/>
      <c r="BJ126" s="1604"/>
      <c r="BK126" s="1604"/>
      <c r="BL126" s="1607"/>
    </row>
    <row r="127" spans="1:64" s="1518" customFormat="1" outlineLevel="1" x14ac:dyDescent="0.35">
      <c r="A127" s="1591" t="s">
        <v>790</v>
      </c>
      <c r="B127" s="1716"/>
      <c r="C127" s="1515"/>
      <c r="D127" s="1515"/>
      <c r="E127" s="1515"/>
      <c r="F127" s="1515"/>
      <c r="G127" s="1515"/>
      <c r="H127" s="1515"/>
      <c r="I127" s="1515"/>
      <c r="J127" s="1515"/>
      <c r="K127" s="1515"/>
      <c r="L127" s="1515"/>
      <c r="M127" s="1515"/>
      <c r="N127" s="1515"/>
      <c r="O127" s="1515"/>
      <c r="P127" s="1515"/>
      <c r="Q127" s="1593">
        <v>9.7840000000000007</v>
      </c>
      <c r="R127" s="1593">
        <v>9.1989999999999998</v>
      </c>
      <c r="S127" s="1593">
        <v>9.0559999999999992</v>
      </c>
      <c r="T127" s="1593">
        <v>8.2370000000000001</v>
      </c>
      <c r="U127" s="1593">
        <v>7.8170000000000002</v>
      </c>
      <c r="V127" s="1593">
        <v>7.8369999999999997</v>
      </c>
      <c r="W127" s="1593">
        <v>7.57</v>
      </c>
      <c r="X127" s="1593">
        <v>7.6029999999999998</v>
      </c>
      <c r="Y127" s="1593">
        <v>7.6680000000000001</v>
      </c>
      <c r="Z127" s="1593">
        <v>8.016</v>
      </c>
      <c r="AA127" s="1593">
        <v>6.3360000000000003</v>
      </c>
      <c r="AB127" s="1593">
        <v>6.6189999999999998</v>
      </c>
      <c r="AC127" s="1593">
        <v>7.7640000000000002</v>
      </c>
      <c r="AD127" s="1593">
        <v>8.8279999999999994</v>
      </c>
      <c r="AE127" s="1593">
        <v>8.6080000000000005</v>
      </c>
      <c r="AF127" s="1593">
        <v>8.99</v>
      </c>
      <c r="AG127" s="1593">
        <v>9.3049999999999997</v>
      </c>
      <c r="AH127" s="1517">
        <f>BF127-SUM(AE127,AF127,AG127)</f>
        <v>9.3299999999999983</v>
      </c>
      <c r="AI127" s="1593">
        <v>10.311999999999999</v>
      </c>
      <c r="AJ127" s="1594">
        <v>10.143000000000001</v>
      </c>
      <c r="AK127" s="1515"/>
      <c r="AL127" s="1515"/>
      <c r="AM127" s="1515"/>
      <c r="AN127" s="1515"/>
      <c r="AO127" s="1515"/>
      <c r="AP127" s="1515"/>
      <c r="AQ127" s="1515"/>
      <c r="AR127" s="1595"/>
      <c r="AS127" s="1595"/>
      <c r="AT127" s="1595"/>
      <c r="AU127" s="1595"/>
      <c r="AV127" s="1595"/>
      <c r="AW127" s="1595"/>
      <c r="AX127" s="1595"/>
      <c r="AY127" s="1595"/>
      <c r="AZ127" s="1595"/>
      <c r="BA127" s="1595"/>
      <c r="BB127" s="1596">
        <v>39.316000000000003</v>
      </c>
      <c r="BC127" s="1596">
        <v>32.947000000000003</v>
      </c>
      <c r="BD127" s="1596">
        <v>30.856999999999999</v>
      </c>
      <c r="BE127" s="1596">
        <v>29.547000000000001</v>
      </c>
      <c r="BF127" s="1597">
        <v>36.232999999999997</v>
      </c>
      <c r="BG127" s="1595"/>
      <c r="BH127" s="1595"/>
      <c r="BI127" s="1595"/>
      <c r="BJ127" s="1595"/>
      <c r="BK127" s="1595"/>
      <c r="BL127" s="1517"/>
    </row>
    <row r="128" spans="1:64" s="1518" customFormat="1" outlineLevel="1" x14ac:dyDescent="0.35">
      <c r="A128" s="1591" t="s">
        <v>983</v>
      </c>
      <c r="B128" s="1716"/>
      <c r="C128" s="1515"/>
      <c r="D128" s="1515"/>
      <c r="E128" s="1515"/>
      <c r="F128" s="1515"/>
      <c r="G128" s="1515"/>
      <c r="H128" s="1515"/>
      <c r="I128" s="1515"/>
      <c r="J128" s="1515"/>
      <c r="K128" s="1515"/>
      <c r="L128" s="1515"/>
      <c r="M128" s="1515"/>
      <c r="N128" s="1515"/>
      <c r="O128" s="1515"/>
      <c r="P128" s="1515"/>
      <c r="Q128" s="1593">
        <v>1.069</v>
      </c>
      <c r="R128" s="1593">
        <v>-1.181</v>
      </c>
      <c r="S128" s="1593">
        <v>8.7550000000000008</v>
      </c>
      <c r="T128" s="1593">
        <v>0.89900000000000002</v>
      </c>
      <c r="U128" s="1593">
        <v>-4.9000000000000002E-2</v>
      </c>
      <c r="V128" s="1593">
        <v>-0.153</v>
      </c>
      <c r="W128" s="1593">
        <v>-4.5999999999999999E-2</v>
      </c>
      <c r="X128" s="1593">
        <v>0.13300000000000001</v>
      </c>
      <c r="Y128" s="1593">
        <v>0.112</v>
      </c>
      <c r="Z128" s="1593">
        <v>-0.16800000000000001</v>
      </c>
      <c r="AA128" s="1593">
        <v>-0.32800000000000001</v>
      </c>
      <c r="AB128" s="1593">
        <v>3.2000000000000001E-2</v>
      </c>
      <c r="AC128" s="1515"/>
      <c r="AD128" s="1515"/>
      <c r="AE128" s="1515"/>
      <c r="AF128" s="1515"/>
      <c r="AG128" s="1515"/>
      <c r="AH128" s="1515">
        <f>BF128-SUM(AE128,AF128,AG128)</f>
        <v>0</v>
      </c>
      <c r="AI128" s="1515"/>
      <c r="AJ128" s="1516"/>
      <c r="AK128" s="1515"/>
      <c r="AL128" s="1515"/>
      <c r="AM128" s="1515"/>
      <c r="AN128" s="1515"/>
      <c r="AO128" s="1515"/>
      <c r="AP128" s="1515"/>
      <c r="AQ128" s="1515"/>
      <c r="AR128" s="1595"/>
      <c r="AS128" s="1595"/>
      <c r="AT128" s="1595"/>
      <c r="AU128" s="1595"/>
      <c r="AV128" s="1595"/>
      <c r="AW128" s="1595"/>
      <c r="AX128" s="1595"/>
      <c r="AY128" s="1595"/>
      <c r="AZ128" s="1595"/>
      <c r="BA128" s="1595"/>
      <c r="BB128" s="1596">
        <v>7.3239999999999998</v>
      </c>
      <c r="BC128" s="1596">
        <v>9.4510000000000005</v>
      </c>
      <c r="BD128" s="1596">
        <v>3.1E-2</v>
      </c>
      <c r="BE128" s="1596">
        <v>-0.29699999999999999</v>
      </c>
      <c r="BF128" s="1610"/>
      <c r="BG128" s="1595"/>
      <c r="BH128" s="1595"/>
      <c r="BI128" s="1595"/>
      <c r="BJ128" s="1595"/>
      <c r="BK128" s="1595"/>
      <c r="BL128" s="1517"/>
    </row>
    <row r="129" spans="1:64" s="1518" customFormat="1" outlineLevel="1" x14ac:dyDescent="0.35">
      <c r="A129" s="1591" t="s">
        <v>348</v>
      </c>
      <c r="B129" s="1716"/>
      <c r="C129" s="1515"/>
      <c r="D129" s="1515"/>
      <c r="E129" s="1515"/>
      <c r="F129" s="1515"/>
      <c r="G129" s="1515"/>
      <c r="H129" s="1515"/>
      <c r="I129" s="1515"/>
      <c r="J129" s="1515"/>
      <c r="K129" s="1515"/>
      <c r="L129" s="1515"/>
      <c r="M129" s="1515"/>
      <c r="N129" s="1515"/>
      <c r="O129" s="1515"/>
      <c r="P129" s="1515"/>
      <c r="Q129" s="1515"/>
      <c r="R129" s="1515"/>
      <c r="S129" s="1515"/>
      <c r="T129" s="1515"/>
      <c r="U129" s="1515"/>
      <c r="V129" s="1515">
        <f>+V126*1000</f>
        <v>-6304.0000000000082</v>
      </c>
      <c r="W129" s="1515"/>
      <c r="X129" s="1515"/>
      <c r="Y129" s="1515"/>
      <c r="Z129" s="1515"/>
      <c r="AA129" s="1515"/>
      <c r="AB129" s="1515"/>
      <c r="AC129" s="1515"/>
      <c r="AD129" s="1593">
        <v>3.673</v>
      </c>
      <c r="AE129" s="1515"/>
      <c r="AF129" s="1515"/>
      <c r="AG129" s="1515"/>
      <c r="AH129" s="1517">
        <f>BF129-SUM(AE129,AF129,AG129)</f>
        <v>0</v>
      </c>
      <c r="AI129" s="1515"/>
      <c r="AJ129" s="1516"/>
      <c r="AK129" s="1515"/>
      <c r="AL129" s="1515"/>
      <c r="AM129" s="1515"/>
      <c r="AN129" s="1515"/>
      <c r="AO129" s="1515"/>
      <c r="AP129" s="1515"/>
      <c r="AQ129" s="1515"/>
      <c r="AR129" s="1595"/>
      <c r="AS129" s="1595"/>
      <c r="AT129" s="1595"/>
      <c r="AU129" s="1595"/>
      <c r="AV129" s="1595"/>
      <c r="AW129" s="1595"/>
      <c r="AX129" s="1595"/>
      <c r="AY129" s="1595"/>
      <c r="AZ129" s="1595"/>
      <c r="BA129" s="1595"/>
      <c r="BB129" s="1595"/>
      <c r="BC129" s="1595"/>
      <c r="BD129" s="1595"/>
      <c r="BE129" s="1596">
        <v>3.673</v>
      </c>
      <c r="BF129" s="1610"/>
      <c r="BG129" s="1595"/>
      <c r="BH129" s="1595"/>
      <c r="BI129" s="1595"/>
      <c r="BJ129" s="1595"/>
      <c r="BK129" s="1595"/>
      <c r="BL129" s="1517"/>
    </row>
    <row r="130" spans="1:64" s="1518" customFormat="1" outlineLevel="1" x14ac:dyDescent="0.35">
      <c r="A130" s="1591" t="s">
        <v>792</v>
      </c>
      <c r="B130" s="1716"/>
      <c r="C130" s="1515"/>
      <c r="D130" s="1515"/>
      <c r="E130" s="1515"/>
      <c r="F130" s="1515"/>
      <c r="G130" s="1515"/>
      <c r="H130" s="1515"/>
      <c r="I130" s="1515"/>
      <c r="J130" s="1515"/>
      <c r="K130" s="1515"/>
      <c r="L130" s="1515"/>
      <c r="M130" s="1515"/>
      <c r="N130" s="1515"/>
      <c r="O130" s="1515"/>
      <c r="P130" s="1515"/>
      <c r="Q130" s="1593">
        <v>-0.34699999999999998</v>
      </c>
      <c r="R130" s="1593">
        <v>-0.38500000000000001</v>
      </c>
      <c r="S130" s="1593">
        <v>-0.24099999999999999</v>
      </c>
      <c r="T130" s="1593">
        <v>-0.42099999999999999</v>
      </c>
      <c r="U130" s="1593">
        <v>-0.33600000000000002</v>
      </c>
      <c r="V130" s="1593">
        <v>-0.64800000000000002</v>
      </c>
      <c r="W130" s="1593">
        <v>-0.27100000000000002</v>
      </c>
      <c r="X130" s="1593">
        <v>-0.36299999999999999</v>
      </c>
      <c r="Y130" s="1593">
        <v>-0.4</v>
      </c>
      <c r="Z130" s="1593">
        <v>-0.498</v>
      </c>
      <c r="AA130" s="1593">
        <v>-0.35399999999999998</v>
      </c>
      <c r="AB130" s="1593">
        <v>-0.50800000000000001</v>
      </c>
      <c r="AC130" s="1593">
        <v>-0.56000000000000005</v>
      </c>
      <c r="AD130" s="1593">
        <v>-0.61199999999999999</v>
      </c>
      <c r="AE130" s="1593">
        <v>-0.41199999999999998</v>
      </c>
      <c r="AF130" s="1593">
        <v>-0.39700000000000002</v>
      </c>
      <c r="AG130" s="1593">
        <v>-0.56100000000000005</v>
      </c>
      <c r="AH130" s="1517">
        <f>BF130-SUM(AE130,AF130,AG130)</f>
        <v>-0.52099999999999991</v>
      </c>
      <c r="AI130" s="1593">
        <v>-0.42299999999999999</v>
      </c>
      <c r="AJ130" s="1594">
        <v>-0.32200000000000001</v>
      </c>
      <c r="AK130" s="1515"/>
      <c r="AL130" s="1515"/>
      <c r="AM130" s="1515"/>
      <c r="AN130" s="1515"/>
      <c r="AO130" s="1515"/>
      <c r="AP130" s="1515"/>
      <c r="AQ130" s="1515"/>
      <c r="AR130" s="1595"/>
      <c r="AS130" s="1595"/>
      <c r="AT130" s="1595"/>
      <c r="AU130" s="1595"/>
      <c r="AV130" s="1595"/>
      <c r="AW130" s="1595"/>
      <c r="AX130" s="1595"/>
      <c r="AY130" s="1595"/>
      <c r="AZ130" s="1595"/>
      <c r="BA130" s="1595"/>
      <c r="BB130" s="1596">
        <v>-1.5289999999999999</v>
      </c>
      <c r="BC130" s="1596">
        <v>-1.6459999999999999</v>
      </c>
      <c r="BD130" s="1596">
        <v>-1.532</v>
      </c>
      <c r="BE130" s="1596">
        <v>-2.0339999999999998</v>
      </c>
      <c r="BF130" s="1597">
        <v>-1.891</v>
      </c>
      <c r="BG130" s="1595"/>
      <c r="BH130" s="1595"/>
      <c r="BI130" s="1595"/>
      <c r="BJ130" s="1595"/>
      <c r="BK130" s="1595"/>
      <c r="BL130" s="1517"/>
    </row>
    <row r="131" spans="1:64" s="1608" customFormat="1" outlineLevel="1" x14ac:dyDescent="0.35">
      <c r="A131" s="1599" t="s">
        <v>984</v>
      </c>
      <c r="B131" s="1717"/>
      <c r="C131" s="1601"/>
      <c r="D131" s="1601"/>
      <c r="E131" s="1601"/>
      <c r="F131" s="1601"/>
      <c r="G131" s="1601"/>
      <c r="H131" s="1601"/>
      <c r="I131" s="1601"/>
      <c r="J131" s="1601"/>
      <c r="K131" s="1601"/>
      <c r="L131" s="1601"/>
      <c r="M131" s="1601"/>
      <c r="N131" s="1601"/>
      <c r="O131" s="1601"/>
      <c r="P131" s="1601"/>
      <c r="Q131" s="1602">
        <f t="shared" ref="Q131:AJ131" si="38">Q126-Q127-Q128-Q130-Q129</f>
        <v>-4.8879999999999999</v>
      </c>
      <c r="R131" s="1602">
        <f t="shared" si="38"/>
        <v>-28.247</v>
      </c>
      <c r="S131" s="1602">
        <f t="shared" si="38"/>
        <v>-19.456</v>
      </c>
      <c r="T131" s="1602">
        <f t="shared" si="38"/>
        <v>-26.401000000000003</v>
      </c>
      <c r="U131" s="1602">
        <f t="shared" si="38"/>
        <v>-4.6589999999999963</v>
      </c>
      <c r="V131" s="1602">
        <f t="shared" si="38"/>
        <v>6290.660000000008</v>
      </c>
      <c r="W131" s="1602">
        <f t="shared" si="38"/>
        <v>1.1540000000000088</v>
      </c>
      <c r="X131" s="1602">
        <f t="shared" si="38"/>
        <v>7.4240000000000563</v>
      </c>
      <c r="Y131" s="1602">
        <f t="shared" si="38"/>
        <v>-37.889000000000024</v>
      </c>
      <c r="Z131" s="1602">
        <f t="shared" si="38"/>
        <v>0.32299999999999296</v>
      </c>
      <c r="AA131" s="1602">
        <f t="shared" si="38"/>
        <v>10.321000000000007</v>
      </c>
      <c r="AB131" s="1602">
        <f t="shared" si="38"/>
        <v>16.963000000000008</v>
      </c>
      <c r="AC131" s="1602">
        <f t="shared" si="38"/>
        <v>12.784000000000011</v>
      </c>
      <c r="AD131" s="1602">
        <f t="shared" si="38"/>
        <v>-11.953000000000012</v>
      </c>
      <c r="AE131" s="1602">
        <f t="shared" si="38"/>
        <v>1.6929999999999934</v>
      </c>
      <c r="AF131" s="1602">
        <f t="shared" si="38"/>
        <v>0.23799999999999222</v>
      </c>
      <c r="AG131" s="1602">
        <f t="shared" si="38"/>
        <v>6.3060000000000009</v>
      </c>
      <c r="AH131" s="1602">
        <f t="shared" si="38"/>
        <v>4.0139999999999345</v>
      </c>
      <c r="AI131" s="1602">
        <f t="shared" si="38"/>
        <v>-16.973000000000003</v>
      </c>
      <c r="AJ131" s="1603">
        <f t="shared" si="38"/>
        <v>0.86199999999999743</v>
      </c>
      <c r="AK131" s="1601"/>
      <c r="AL131" s="1601"/>
      <c r="AM131" s="1601"/>
      <c r="AN131" s="1601"/>
      <c r="AO131" s="1601"/>
      <c r="AP131" s="1601"/>
      <c r="AQ131" s="1601"/>
      <c r="AR131" s="1604"/>
      <c r="AS131" s="1604"/>
      <c r="AT131" s="1604"/>
      <c r="AU131" s="1604"/>
      <c r="AV131" s="1604"/>
      <c r="AW131" s="1604"/>
      <c r="AX131" s="1604"/>
      <c r="AY131" s="1604"/>
      <c r="AZ131" s="1604"/>
      <c r="BA131" s="1604"/>
      <c r="BB131" s="1605">
        <f>BB126-BB127-BB128-BB130-BB129</f>
        <v>-58.485000000000014</v>
      </c>
      <c r="BC131" s="1605">
        <f>BC126-BC127-BC128-BC130-BC129</f>
        <v>-63.855000000000004</v>
      </c>
      <c r="BD131" s="1605">
        <f>BD126-BD127-BD128-BD130-BD129</f>
        <v>-28.987999999999939</v>
      </c>
      <c r="BE131" s="1605">
        <f>BE126-BE127-BE128-BE130-BE129</f>
        <v>28.116000000000042</v>
      </c>
      <c r="BF131" s="1718">
        <f>BF126-BF127-BF128-BF130-BF129</f>
        <v>12.250999999999971</v>
      </c>
      <c r="BG131" s="1604"/>
      <c r="BH131" s="1604"/>
      <c r="BI131" s="1604"/>
      <c r="BJ131" s="1604"/>
      <c r="BK131" s="1604"/>
      <c r="BL131" s="1607"/>
    </row>
    <row r="132" spans="1:64" s="1518" customFormat="1" outlineLevel="1" x14ac:dyDescent="0.35">
      <c r="A132" s="1591" t="s">
        <v>985</v>
      </c>
      <c r="B132" s="1716"/>
      <c r="C132" s="1515"/>
      <c r="D132" s="1515"/>
      <c r="E132" s="1515"/>
      <c r="F132" s="1515"/>
      <c r="G132" s="1515"/>
      <c r="H132" s="1515"/>
      <c r="I132" s="1515"/>
      <c r="J132" s="1515"/>
      <c r="K132" s="1515"/>
      <c r="L132" s="1515"/>
      <c r="M132" s="1515"/>
      <c r="N132" s="1515"/>
      <c r="O132" s="1515"/>
      <c r="P132" s="1515"/>
      <c r="Q132" s="1593">
        <v>-0.97899999999999998</v>
      </c>
      <c r="R132" s="1593">
        <v>-10.544</v>
      </c>
      <c r="S132" s="1593">
        <v>-3.556</v>
      </c>
      <c r="T132" s="1593">
        <v>-1.454</v>
      </c>
      <c r="U132" s="1593">
        <v>5.7270000000000003</v>
      </c>
      <c r="V132" s="1593">
        <v>-12.28</v>
      </c>
      <c r="W132" s="1593">
        <v>0.52600000000000002</v>
      </c>
      <c r="X132" s="1593">
        <v>4.0259999999999998</v>
      </c>
      <c r="Y132" s="1593">
        <v>-12.632999999999999</v>
      </c>
      <c r="Z132" s="1593">
        <v>-2.3809999999999998</v>
      </c>
      <c r="AA132" s="1593">
        <v>4.085</v>
      </c>
      <c r="AB132" s="1593">
        <v>5.3920000000000003</v>
      </c>
      <c r="AC132" s="1593">
        <v>3.4809999999999999</v>
      </c>
      <c r="AD132" s="1593">
        <v>-4.2530000000000001</v>
      </c>
      <c r="AE132" s="1593">
        <v>1.1020000000000001</v>
      </c>
      <c r="AF132" s="1593">
        <v>-8.5000000000000006E-2</v>
      </c>
      <c r="AG132" s="1593">
        <v>3.952</v>
      </c>
      <c r="AH132" s="1517">
        <f>BF132-SUM(AE132,AF132,AG132)</f>
        <v>7.3980000000000006</v>
      </c>
      <c r="AI132" s="1593">
        <v>-9.0180000000000007</v>
      </c>
      <c r="AJ132" s="1594">
        <v>7.0940000000000003</v>
      </c>
      <c r="AK132" s="1515"/>
      <c r="AL132" s="1515"/>
      <c r="AM132" s="1515"/>
      <c r="AN132" s="1515"/>
      <c r="AO132" s="1515"/>
      <c r="AP132" s="1515"/>
      <c r="AQ132" s="1515"/>
      <c r="AR132" s="1595"/>
      <c r="AS132" s="1595"/>
      <c r="AT132" s="1595"/>
      <c r="AU132" s="1595"/>
      <c r="AV132" s="1595"/>
      <c r="AW132" s="1595"/>
      <c r="AX132" s="1595"/>
      <c r="AY132" s="1595"/>
      <c r="AZ132" s="1595"/>
      <c r="BA132" s="1595"/>
      <c r="BB132" s="1596">
        <v>-11.803000000000001</v>
      </c>
      <c r="BC132" s="1596">
        <v>-11.561999999999999</v>
      </c>
      <c r="BD132" s="1596">
        <v>-10.461</v>
      </c>
      <c r="BE132" s="1596">
        <v>8.7059999999999995</v>
      </c>
      <c r="BF132" s="1597">
        <v>12.367000000000001</v>
      </c>
      <c r="BG132" s="1595"/>
      <c r="BH132" s="1595"/>
      <c r="BI132" s="1595"/>
      <c r="BJ132" s="1595"/>
      <c r="BK132" s="1595"/>
      <c r="BL132" s="1517"/>
    </row>
    <row r="133" spans="1:64" s="1608" customFormat="1" outlineLevel="1" x14ac:dyDescent="0.35">
      <c r="A133" s="1719" t="s">
        <v>796</v>
      </c>
      <c r="B133" s="1720"/>
      <c r="C133" s="1721"/>
      <c r="D133" s="1721"/>
      <c r="E133" s="1721"/>
      <c r="F133" s="1721"/>
      <c r="G133" s="1721"/>
      <c r="H133" s="1721"/>
      <c r="I133" s="1721"/>
      <c r="J133" s="1721"/>
      <c r="K133" s="1721"/>
      <c r="L133" s="1721"/>
      <c r="M133" s="1721"/>
      <c r="N133" s="1721"/>
      <c r="O133" s="1721"/>
      <c r="P133" s="1721"/>
      <c r="Q133" s="1722">
        <f t="shared" ref="Q133:AJ133" si="39">Q131-Q132</f>
        <v>-3.9089999999999998</v>
      </c>
      <c r="R133" s="1722">
        <f t="shared" si="39"/>
        <v>-17.702999999999999</v>
      </c>
      <c r="S133" s="1722">
        <f t="shared" si="39"/>
        <v>-15.899999999999999</v>
      </c>
      <c r="T133" s="1722">
        <f t="shared" si="39"/>
        <v>-24.947000000000003</v>
      </c>
      <c r="U133" s="1722">
        <f t="shared" si="39"/>
        <v>-10.385999999999996</v>
      </c>
      <c r="V133" s="1722">
        <f t="shared" si="39"/>
        <v>6302.9400000000078</v>
      </c>
      <c r="W133" s="1722">
        <f t="shared" si="39"/>
        <v>0.62800000000000877</v>
      </c>
      <c r="X133" s="1722">
        <f t="shared" si="39"/>
        <v>3.3980000000000565</v>
      </c>
      <c r="Y133" s="1722">
        <f t="shared" si="39"/>
        <v>-25.256000000000025</v>
      </c>
      <c r="Z133" s="1722">
        <f t="shared" si="39"/>
        <v>2.7039999999999926</v>
      </c>
      <c r="AA133" s="1722">
        <f t="shared" si="39"/>
        <v>6.2360000000000069</v>
      </c>
      <c r="AB133" s="1722">
        <f t="shared" si="39"/>
        <v>11.571000000000009</v>
      </c>
      <c r="AC133" s="1722">
        <f t="shared" si="39"/>
        <v>9.3030000000000115</v>
      </c>
      <c r="AD133" s="1722">
        <f t="shared" si="39"/>
        <v>-7.7000000000000117</v>
      </c>
      <c r="AE133" s="1722">
        <f t="shared" si="39"/>
        <v>0.59099999999999331</v>
      </c>
      <c r="AF133" s="1722">
        <f t="shared" si="39"/>
        <v>0.32299999999999224</v>
      </c>
      <c r="AG133" s="1722">
        <f t="shared" si="39"/>
        <v>2.354000000000001</v>
      </c>
      <c r="AH133" s="1722">
        <f t="shared" si="39"/>
        <v>-3.3840000000000661</v>
      </c>
      <c r="AI133" s="1722">
        <f t="shared" si="39"/>
        <v>-7.9550000000000018</v>
      </c>
      <c r="AJ133" s="1723">
        <f t="shared" si="39"/>
        <v>-6.2320000000000029</v>
      </c>
      <c r="AK133" s="1721"/>
      <c r="AL133" s="1721"/>
      <c r="AM133" s="1721"/>
      <c r="AN133" s="1721"/>
      <c r="AO133" s="1721"/>
      <c r="AP133" s="1721"/>
      <c r="AQ133" s="1721"/>
      <c r="AR133" s="1724"/>
      <c r="AS133" s="1724"/>
      <c r="AT133" s="1724"/>
      <c r="AU133" s="1724"/>
      <c r="AV133" s="1724"/>
      <c r="AW133" s="1724"/>
      <c r="AX133" s="1724"/>
      <c r="AY133" s="1724"/>
      <c r="AZ133" s="1724"/>
      <c r="BA133" s="1724"/>
      <c r="BB133" s="1725">
        <f>BB131-BB132</f>
        <v>-46.682000000000016</v>
      </c>
      <c r="BC133" s="1725">
        <f>BC131-BC132</f>
        <v>-52.293000000000006</v>
      </c>
      <c r="BD133" s="1725">
        <f>BD131-BD132</f>
        <v>-18.526999999999937</v>
      </c>
      <c r="BE133" s="1725">
        <f>BE131-BE132</f>
        <v>19.410000000000043</v>
      </c>
      <c r="BF133" s="1726">
        <f>BF131-BF132</f>
        <v>-0.11600000000002986</v>
      </c>
      <c r="BG133" s="1724"/>
      <c r="BH133" s="1724"/>
      <c r="BI133" s="1724"/>
      <c r="BJ133" s="1724"/>
      <c r="BK133" s="1724"/>
      <c r="BL133" s="1607"/>
    </row>
    <row r="134" spans="1:64" s="1608" customFormat="1" outlineLevel="1" x14ac:dyDescent="0.35">
      <c r="A134" s="1678"/>
      <c r="B134" s="1712"/>
      <c r="C134" s="1515"/>
      <c r="D134" s="1667"/>
      <c r="E134" s="1515"/>
      <c r="F134" s="1515"/>
      <c r="G134" s="1515"/>
      <c r="H134" s="1667"/>
      <c r="I134" s="1515"/>
      <c r="J134" s="1515"/>
      <c r="K134" s="1515"/>
      <c r="L134" s="1667"/>
      <c r="M134" s="1515"/>
      <c r="N134" s="1515"/>
      <c r="O134" s="1515"/>
      <c r="P134" s="1667"/>
      <c r="Q134" s="1515"/>
      <c r="R134" s="1515"/>
      <c r="S134" s="1515"/>
      <c r="T134" s="1667"/>
      <c r="U134" s="1515"/>
      <c r="V134" s="1515"/>
      <c r="W134" s="1515"/>
      <c r="X134" s="1667"/>
      <c r="Y134" s="1515"/>
      <c r="Z134" s="1515"/>
      <c r="AA134" s="1515"/>
      <c r="AB134" s="1667"/>
      <c r="AC134" s="1515"/>
      <c r="AD134" s="1515"/>
      <c r="AE134" s="1515"/>
      <c r="AF134" s="1667"/>
      <c r="AG134" s="1515"/>
      <c r="AH134" s="1515"/>
      <c r="AI134" s="1515"/>
      <c r="AJ134" s="1668"/>
      <c r="AK134" s="1667"/>
      <c r="AL134" s="1667"/>
      <c r="AM134" s="1667"/>
      <c r="AN134" s="1667"/>
      <c r="AO134" s="1667"/>
      <c r="AP134" s="1667"/>
      <c r="AQ134" s="1667"/>
      <c r="AR134" s="1595"/>
      <c r="AS134" s="1595"/>
      <c r="AT134" s="1595"/>
      <c r="AU134" s="1595"/>
      <c r="AV134" s="1595"/>
      <c r="AW134" s="1595"/>
      <c r="AX134" s="1595"/>
      <c r="AY134" s="1595"/>
      <c r="AZ134" s="1595"/>
      <c r="BA134" s="1595"/>
      <c r="BB134" s="1595"/>
      <c r="BC134" s="1595"/>
      <c r="BD134" s="1595"/>
      <c r="BE134" s="1595"/>
      <c r="BF134" s="1610"/>
      <c r="BG134" s="1669"/>
      <c r="BH134" s="1669"/>
      <c r="BI134" s="1669"/>
      <c r="BJ134" s="1669"/>
      <c r="BK134" s="1669"/>
      <c r="BL134" s="1607"/>
    </row>
    <row r="135" spans="1:64" s="1518" customFormat="1" outlineLevel="1" x14ac:dyDescent="0.35">
      <c r="A135" s="1727" t="s">
        <v>986</v>
      </c>
      <c r="B135" s="1727"/>
      <c r="C135" s="1728"/>
      <c r="D135" s="1728"/>
      <c r="E135" s="1728"/>
      <c r="F135" s="1728"/>
      <c r="G135" s="1728"/>
      <c r="H135" s="1728"/>
      <c r="I135" s="1728"/>
      <c r="J135" s="1728"/>
      <c r="K135" s="1728"/>
      <c r="L135" s="1728"/>
      <c r="M135" s="1728"/>
      <c r="N135" s="1728"/>
      <c r="O135" s="1728"/>
      <c r="P135" s="1728"/>
      <c r="Q135" s="1728"/>
      <c r="R135" s="1728"/>
      <c r="S135" s="1728"/>
      <c r="T135" s="1728"/>
      <c r="U135" s="1728">
        <f t="shared" ref="U135:AP135" si="40">IF(ISBLANK(INDEX(MO_IS_FirstRow,0,COLUMN())),0,ROUND(U133-U490,6))</f>
        <v>0</v>
      </c>
      <c r="V135" s="1728">
        <f t="shared" si="40"/>
        <v>6304</v>
      </c>
      <c r="W135" s="1728">
        <f t="shared" si="40"/>
        <v>0</v>
      </c>
      <c r="X135" s="1728">
        <f t="shared" si="40"/>
        <v>1E-3</v>
      </c>
      <c r="Y135" s="1728">
        <f t="shared" si="40"/>
        <v>0</v>
      </c>
      <c r="Z135" s="1728">
        <f t="shared" si="40"/>
        <v>0</v>
      </c>
      <c r="AA135" s="1728">
        <f t="shared" si="40"/>
        <v>0</v>
      </c>
      <c r="AB135" s="1728">
        <f t="shared" si="40"/>
        <v>0</v>
      </c>
      <c r="AC135" s="1728">
        <f t="shared" si="40"/>
        <v>0</v>
      </c>
      <c r="AD135" s="1728">
        <f t="shared" si="40"/>
        <v>0</v>
      </c>
      <c r="AE135" s="1728">
        <f t="shared" si="40"/>
        <v>0</v>
      </c>
      <c r="AF135" s="1728">
        <f t="shared" si="40"/>
        <v>0</v>
      </c>
      <c r="AG135" s="1728">
        <f t="shared" si="40"/>
        <v>0</v>
      </c>
      <c r="AH135" s="1728">
        <f t="shared" si="40"/>
        <v>0</v>
      </c>
      <c r="AI135" s="1728">
        <f t="shared" si="40"/>
        <v>0</v>
      </c>
      <c r="AJ135" s="1729">
        <f t="shared" si="40"/>
        <v>0</v>
      </c>
      <c r="AK135" s="1728">
        <f t="shared" si="40"/>
        <v>0</v>
      </c>
      <c r="AL135" s="1728">
        <f t="shared" si="40"/>
        <v>0</v>
      </c>
      <c r="AM135" s="1728">
        <f t="shared" si="40"/>
        <v>0</v>
      </c>
      <c r="AN135" s="1728">
        <f t="shared" si="40"/>
        <v>0</v>
      </c>
      <c r="AO135" s="1728">
        <f t="shared" si="40"/>
        <v>0</v>
      </c>
      <c r="AP135" s="1728">
        <f t="shared" si="40"/>
        <v>0</v>
      </c>
      <c r="AQ135" s="1728"/>
      <c r="AR135" s="1728"/>
      <c r="AS135" s="1728"/>
      <c r="AT135" s="1728"/>
      <c r="AU135" s="1728"/>
      <c r="AV135" s="1728"/>
      <c r="AW135" s="1728"/>
      <c r="AX135" s="1728"/>
      <c r="AY135" s="1728"/>
      <c r="AZ135" s="1728"/>
      <c r="BA135" s="1728"/>
      <c r="BB135" s="1728">
        <f t="shared" ref="BB135:BK135" si="41">IF(ISBLANK(INDEX(MO_IS_FirstRow,0,COLUMN())),0,ROUND(BB133-BB490,6))</f>
        <v>0</v>
      </c>
      <c r="BC135" s="1728">
        <f t="shared" si="41"/>
        <v>0</v>
      </c>
      <c r="BD135" s="1728">
        <f t="shared" si="41"/>
        <v>0</v>
      </c>
      <c r="BE135" s="1728">
        <f t="shared" si="41"/>
        <v>0</v>
      </c>
      <c r="BF135" s="1729">
        <f t="shared" si="41"/>
        <v>0</v>
      </c>
      <c r="BG135" s="1728">
        <f t="shared" si="41"/>
        <v>0</v>
      </c>
      <c r="BH135" s="1728">
        <f t="shared" si="41"/>
        <v>0</v>
      </c>
      <c r="BI135" s="1728">
        <f t="shared" si="41"/>
        <v>0</v>
      </c>
      <c r="BJ135" s="1728">
        <f t="shared" si="41"/>
        <v>0</v>
      </c>
      <c r="BK135" s="1728">
        <f t="shared" si="41"/>
        <v>0</v>
      </c>
      <c r="BL135" s="1517"/>
    </row>
    <row r="136" spans="1:64" s="1608" customFormat="1" x14ac:dyDescent="0.35">
      <c r="A136" s="1678"/>
      <c r="B136" s="1712"/>
      <c r="C136" s="1515"/>
      <c r="D136" s="1667"/>
      <c r="E136" s="1515"/>
      <c r="F136" s="1515"/>
      <c r="G136" s="1515"/>
      <c r="H136" s="1667"/>
      <c r="I136" s="1515"/>
      <c r="J136" s="1515"/>
      <c r="K136" s="1515"/>
      <c r="L136" s="1667"/>
      <c r="M136" s="1515"/>
      <c r="N136" s="1515"/>
      <c r="O136" s="1515"/>
      <c r="P136" s="1667"/>
      <c r="Q136" s="1515"/>
      <c r="R136" s="1515"/>
      <c r="S136" s="1515"/>
      <c r="T136" s="1667"/>
      <c r="U136" s="1515"/>
      <c r="V136" s="1515"/>
      <c r="W136" s="1515"/>
      <c r="X136" s="1667"/>
      <c r="Y136" s="1515"/>
      <c r="Z136" s="1515"/>
      <c r="AA136" s="1515"/>
      <c r="AB136" s="1667"/>
      <c r="AC136" s="1515"/>
      <c r="AD136" s="1515"/>
      <c r="AE136" s="1515"/>
      <c r="AF136" s="1667"/>
      <c r="AG136" s="1515"/>
      <c r="AH136" s="1515"/>
      <c r="AI136" s="1515"/>
      <c r="AJ136" s="1668"/>
      <c r="AK136" s="1667"/>
      <c r="AL136" s="1667"/>
      <c r="AM136" s="1667"/>
      <c r="AN136" s="1667"/>
      <c r="AO136" s="1667"/>
      <c r="AP136" s="1667"/>
      <c r="AQ136" s="1667"/>
      <c r="AR136" s="1595"/>
      <c r="AS136" s="1595"/>
      <c r="AT136" s="1595"/>
      <c r="AU136" s="1595"/>
      <c r="AV136" s="1595"/>
      <c r="AW136" s="1595"/>
      <c r="AX136" s="1595"/>
      <c r="AY136" s="1595"/>
      <c r="AZ136" s="1595"/>
      <c r="BA136" s="1595"/>
      <c r="BB136" s="1595"/>
      <c r="BC136" s="1595"/>
      <c r="BD136" s="1595"/>
      <c r="BE136" s="1595"/>
      <c r="BF136" s="1610"/>
      <c r="BG136" s="1669"/>
      <c r="BH136" s="1669"/>
      <c r="BI136" s="1669"/>
      <c r="BJ136" s="1669"/>
      <c r="BK136" s="1669"/>
      <c r="BL136" s="1607"/>
    </row>
    <row r="137" spans="1:64" s="1518" customFormat="1" x14ac:dyDescent="0.35">
      <c r="A137" s="1588" t="s">
        <v>987</v>
      </c>
      <c r="B137" s="1556"/>
      <c r="C137" s="1556"/>
      <c r="D137" s="1556"/>
      <c r="E137" s="1556"/>
      <c r="F137" s="1556"/>
      <c r="G137" s="1556"/>
      <c r="H137" s="1556"/>
      <c r="I137" s="1556"/>
      <c r="J137" s="1556"/>
      <c r="K137" s="1556"/>
      <c r="L137" s="1556"/>
      <c r="M137" s="1556"/>
      <c r="N137" s="1556"/>
      <c r="O137" s="1556"/>
      <c r="P137" s="1556"/>
      <c r="Q137" s="1556"/>
      <c r="R137" s="1556"/>
      <c r="S137" s="1556"/>
      <c r="T137" s="1556"/>
      <c r="U137" s="1556"/>
      <c r="V137" s="1556"/>
      <c r="W137" s="1589" t="s">
        <v>988</v>
      </c>
      <c r="X137" s="1589" t="s">
        <v>988</v>
      </c>
      <c r="Y137" s="1556"/>
      <c r="Z137" s="1556"/>
      <c r="AA137" s="1556"/>
      <c r="AB137" s="1589"/>
      <c r="AC137" s="1556"/>
      <c r="AD137" s="1556"/>
      <c r="AE137" s="1556"/>
      <c r="AF137" s="1589"/>
      <c r="AG137" s="1556"/>
      <c r="AH137" s="1556"/>
      <c r="AI137" s="1556"/>
      <c r="AJ137" s="1590"/>
      <c r="AK137" s="1556"/>
      <c r="AL137" s="1556"/>
      <c r="AM137" s="1556"/>
      <c r="AN137" s="1556"/>
      <c r="AO137" s="1556"/>
      <c r="AP137" s="1556"/>
      <c r="AQ137" s="1556"/>
      <c r="AR137" s="1556"/>
      <c r="AS137" s="1556"/>
      <c r="AT137" s="1556"/>
      <c r="AU137" s="1556"/>
      <c r="AV137" s="1556"/>
      <c r="AW137" s="1556"/>
      <c r="AX137" s="1556"/>
      <c r="AY137" s="1556"/>
      <c r="AZ137" s="1556"/>
      <c r="BA137" s="1556"/>
      <c r="BB137" s="1556"/>
      <c r="BC137" s="1556"/>
      <c r="BD137" s="1556"/>
      <c r="BE137" s="1556"/>
      <c r="BF137" s="1558"/>
      <c r="BG137" s="1556"/>
      <c r="BH137" s="1556"/>
      <c r="BI137" s="1556"/>
      <c r="BJ137" s="1556"/>
      <c r="BK137" s="1556"/>
      <c r="BL137" s="1517"/>
    </row>
    <row r="138" spans="1:64" s="1608" customFormat="1" outlineLevel="1" x14ac:dyDescent="0.35">
      <c r="A138" s="1711" t="s">
        <v>796</v>
      </c>
      <c r="B138" s="1712"/>
      <c r="C138" s="1667"/>
      <c r="D138" s="1667"/>
      <c r="E138" s="1667"/>
      <c r="F138" s="1667"/>
      <c r="G138" s="1667"/>
      <c r="H138" s="1667"/>
      <c r="I138" s="1667"/>
      <c r="J138" s="1667"/>
      <c r="K138" s="1667"/>
      <c r="L138" s="1667"/>
      <c r="M138" s="1667"/>
      <c r="N138" s="1667"/>
      <c r="O138" s="1667"/>
      <c r="P138" s="1667"/>
      <c r="Q138" s="1607">
        <f>Q133</f>
        <v>-3.9089999999999998</v>
      </c>
      <c r="R138" s="1677">
        <v>-17.702000000000002</v>
      </c>
      <c r="S138" s="1607">
        <f>S133</f>
        <v>-15.899999999999999</v>
      </c>
      <c r="T138" s="1607">
        <f>T133</f>
        <v>-24.947000000000003</v>
      </c>
      <c r="U138" s="1677">
        <v>-10.385</v>
      </c>
      <c r="V138" s="1677">
        <v>-1.06</v>
      </c>
      <c r="W138" s="1607">
        <f t="shared" ref="W138:AJ138" si="42">W133</f>
        <v>0.62800000000000877</v>
      </c>
      <c r="X138" s="1607">
        <f t="shared" si="42"/>
        <v>3.3980000000000565</v>
      </c>
      <c r="Y138" s="1607">
        <f t="shared" si="42"/>
        <v>-25.256000000000025</v>
      </c>
      <c r="Z138" s="1607">
        <f t="shared" si="42"/>
        <v>2.7039999999999926</v>
      </c>
      <c r="AA138" s="1607">
        <f t="shared" si="42"/>
        <v>6.2360000000000069</v>
      </c>
      <c r="AB138" s="1607">
        <f t="shared" si="42"/>
        <v>11.571000000000009</v>
      </c>
      <c r="AC138" s="1607">
        <f t="shared" si="42"/>
        <v>9.3030000000000115</v>
      </c>
      <c r="AD138" s="1607">
        <f t="shared" si="42"/>
        <v>-7.7000000000000117</v>
      </c>
      <c r="AE138" s="1607">
        <f t="shared" si="42"/>
        <v>0.59099999999999331</v>
      </c>
      <c r="AF138" s="1607">
        <f t="shared" si="42"/>
        <v>0.32299999999999224</v>
      </c>
      <c r="AG138" s="1607">
        <f t="shared" si="42"/>
        <v>2.354000000000001</v>
      </c>
      <c r="AH138" s="1607">
        <f t="shared" si="42"/>
        <v>-3.3840000000000661</v>
      </c>
      <c r="AI138" s="1607">
        <f t="shared" si="42"/>
        <v>-7.9550000000000018</v>
      </c>
      <c r="AJ138" s="1730">
        <f t="shared" si="42"/>
        <v>-6.2320000000000029</v>
      </c>
      <c r="AK138" s="1667"/>
      <c r="AL138" s="1667"/>
      <c r="AM138" s="1667"/>
      <c r="AN138" s="1667"/>
      <c r="AO138" s="1667"/>
      <c r="AP138" s="1667"/>
      <c r="AQ138" s="1667"/>
      <c r="AR138" s="1669"/>
      <c r="AS138" s="1669"/>
      <c r="AT138" s="1669"/>
      <c r="AU138" s="1669"/>
      <c r="AV138" s="1669"/>
      <c r="AW138" s="1669"/>
      <c r="AX138" s="1669"/>
      <c r="AY138" s="1669"/>
      <c r="AZ138" s="1669"/>
      <c r="BA138" s="1669"/>
      <c r="BB138" s="1731">
        <f>BB133</f>
        <v>-46.682000000000016</v>
      </c>
      <c r="BC138" s="1714">
        <v>-52.292999999999999</v>
      </c>
      <c r="BD138" s="1731">
        <f>BD133</f>
        <v>-18.526999999999937</v>
      </c>
      <c r="BE138" s="1731">
        <f>BE133</f>
        <v>19.410000000000043</v>
      </c>
      <c r="BF138" s="1606">
        <f>BF133</f>
        <v>-0.11600000000002986</v>
      </c>
      <c r="BG138" s="1669"/>
      <c r="BH138" s="1669"/>
      <c r="BI138" s="1669"/>
      <c r="BJ138" s="1669"/>
      <c r="BK138" s="1669"/>
      <c r="BL138" s="1607"/>
    </row>
    <row r="139" spans="1:64" s="1608" customFormat="1" outlineLevel="1" x14ac:dyDescent="0.35">
      <c r="A139" s="1591" t="s">
        <v>989</v>
      </c>
      <c r="B139" s="1712"/>
      <c r="C139" s="1515"/>
      <c r="D139" s="1515"/>
      <c r="E139" s="1515"/>
      <c r="F139" s="1515"/>
      <c r="G139" s="1515"/>
      <c r="H139" s="1515"/>
      <c r="I139" s="1515"/>
      <c r="J139" s="1515"/>
      <c r="K139" s="1515"/>
      <c r="L139" s="1515"/>
      <c r="M139" s="1515"/>
      <c r="N139" s="1515"/>
      <c r="O139" s="1515"/>
      <c r="P139" s="1515"/>
      <c r="Q139" s="1517">
        <f>Q132</f>
        <v>-0.97899999999999998</v>
      </c>
      <c r="R139" s="1517">
        <f>R132</f>
        <v>-10.544</v>
      </c>
      <c r="S139" s="1517">
        <f>S132</f>
        <v>-3.556</v>
      </c>
      <c r="T139" s="1593">
        <v>-1.4530000000000001</v>
      </c>
      <c r="U139" s="1517">
        <f>U132</f>
        <v>5.7270000000000003</v>
      </c>
      <c r="V139" s="1593">
        <v>-12.28</v>
      </c>
      <c r="W139" s="1517">
        <f>W132</f>
        <v>0.52600000000000002</v>
      </c>
      <c r="X139" s="1517">
        <f>X132</f>
        <v>4.0259999999999998</v>
      </c>
      <c r="Y139" s="1517">
        <f>Y132</f>
        <v>-12.632999999999999</v>
      </c>
      <c r="Z139" s="1593">
        <v>-2.3809999999999998</v>
      </c>
      <c r="AA139" s="1517">
        <f>AA132</f>
        <v>4.085</v>
      </c>
      <c r="AB139" s="1517">
        <f>AB132</f>
        <v>5.3920000000000003</v>
      </c>
      <c r="AC139" s="1517">
        <f>AC132</f>
        <v>3.4809999999999999</v>
      </c>
      <c r="AD139" s="1593">
        <v>-4.2519999999999998</v>
      </c>
      <c r="AE139" s="1517">
        <f>AE132</f>
        <v>1.1020000000000001</v>
      </c>
      <c r="AF139" s="1517">
        <f>AF132</f>
        <v>-8.5000000000000006E-2</v>
      </c>
      <c r="AG139" s="1517">
        <f>AG132</f>
        <v>3.952</v>
      </c>
      <c r="AH139" s="1593">
        <v>7.3980000000000006</v>
      </c>
      <c r="AI139" s="1517">
        <f>AI132</f>
        <v>-9.0180000000000007</v>
      </c>
      <c r="AJ139" s="1732">
        <f>AJ132</f>
        <v>7.0940000000000003</v>
      </c>
      <c r="AK139" s="1667"/>
      <c r="AL139" s="1667"/>
      <c r="AM139" s="1667"/>
      <c r="AN139" s="1667"/>
      <c r="AO139" s="1667"/>
      <c r="AP139" s="1667"/>
      <c r="AQ139" s="1667"/>
      <c r="AR139" s="1595"/>
      <c r="AS139" s="1595"/>
      <c r="AT139" s="1595"/>
      <c r="AU139" s="1595"/>
      <c r="AV139" s="1595"/>
      <c r="AW139" s="1595"/>
      <c r="AX139" s="1595"/>
      <c r="AY139" s="1595"/>
      <c r="AZ139" s="1595"/>
      <c r="BA139" s="1595"/>
      <c r="BB139" s="1596">
        <v>-11.803000000000001</v>
      </c>
      <c r="BC139" s="1596">
        <v>-11.561999999999999</v>
      </c>
      <c r="BD139" s="1596">
        <v>-10.461</v>
      </c>
      <c r="BE139" s="1596">
        <v>8.7059999999999995</v>
      </c>
      <c r="BF139" s="1597">
        <v>12.367000000000001</v>
      </c>
      <c r="BG139" s="1669"/>
      <c r="BH139" s="1669"/>
      <c r="BI139" s="1669"/>
      <c r="BJ139" s="1669"/>
      <c r="BK139" s="1669"/>
      <c r="BL139" s="1607"/>
    </row>
    <row r="140" spans="1:64" s="1608" customFormat="1" outlineLevel="1" x14ac:dyDescent="0.35">
      <c r="A140" s="1591" t="s">
        <v>790</v>
      </c>
      <c r="B140" s="1712"/>
      <c r="C140" s="1515"/>
      <c r="D140" s="1515"/>
      <c r="E140" s="1515"/>
      <c r="F140" s="1515"/>
      <c r="G140" s="1515"/>
      <c r="H140" s="1515"/>
      <c r="I140" s="1515"/>
      <c r="J140" s="1515"/>
      <c r="K140" s="1515"/>
      <c r="L140" s="1515"/>
      <c r="M140" s="1515"/>
      <c r="N140" s="1515"/>
      <c r="O140" s="1515"/>
      <c r="P140" s="1515"/>
      <c r="Q140" s="1517">
        <f t="shared" ref="Q140:AJ140" si="43">Q127</f>
        <v>9.7840000000000007</v>
      </c>
      <c r="R140" s="1517">
        <f t="shared" si="43"/>
        <v>9.1989999999999998</v>
      </c>
      <c r="S140" s="1517">
        <f t="shared" si="43"/>
        <v>9.0559999999999992</v>
      </c>
      <c r="T140" s="1517">
        <f t="shared" si="43"/>
        <v>8.2370000000000001</v>
      </c>
      <c r="U140" s="1517">
        <f t="shared" si="43"/>
        <v>7.8170000000000002</v>
      </c>
      <c r="V140" s="1517">
        <f t="shared" si="43"/>
        <v>7.8369999999999997</v>
      </c>
      <c r="W140" s="1517">
        <f t="shared" si="43"/>
        <v>7.57</v>
      </c>
      <c r="X140" s="1517">
        <f t="shared" si="43"/>
        <v>7.6029999999999998</v>
      </c>
      <c r="Y140" s="1517">
        <f t="shared" si="43"/>
        <v>7.6680000000000001</v>
      </c>
      <c r="Z140" s="1517">
        <f t="shared" si="43"/>
        <v>8.016</v>
      </c>
      <c r="AA140" s="1517">
        <f t="shared" si="43"/>
        <v>6.3360000000000003</v>
      </c>
      <c r="AB140" s="1517">
        <f t="shared" si="43"/>
        <v>6.6189999999999998</v>
      </c>
      <c r="AC140" s="1517">
        <f t="shared" si="43"/>
        <v>7.7640000000000002</v>
      </c>
      <c r="AD140" s="1517">
        <f t="shared" si="43"/>
        <v>8.8279999999999994</v>
      </c>
      <c r="AE140" s="1517">
        <f t="shared" si="43"/>
        <v>8.6080000000000005</v>
      </c>
      <c r="AF140" s="1517">
        <f t="shared" si="43"/>
        <v>8.99</v>
      </c>
      <c r="AG140" s="1517">
        <f t="shared" si="43"/>
        <v>9.3049999999999997</v>
      </c>
      <c r="AH140" s="1517">
        <f t="shared" si="43"/>
        <v>9.3299999999999983</v>
      </c>
      <c r="AI140" s="1517">
        <f t="shared" si="43"/>
        <v>10.311999999999999</v>
      </c>
      <c r="AJ140" s="1732">
        <f t="shared" si="43"/>
        <v>10.143000000000001</v>
      </c>
      <c r="AK140" s="1667"/>
      <c r="AL140" s="1667"/>
      <c r="AM140" s="1667"/>
      <c r="AN140" s="1667"/>
      <c r="AO140" s="1667"/>
      <c r="AP140" s="1667"/>
      <c r="AQ140" s="1667"/>
      <c r="AR140" s="1595"/>
      <c r="AS140" s="1595"/>
      <c r="AT140" s="1595"/>
      <c r="AU140" s="1595"/>
      <c r="AV140" s="1595"/>
      <c r="AW140" s="1595"/>
      <c r="AX140" s="1595"/>
      <c r="AY140" s="1595"/>
      <c r="AZ140" s="1595"/>
      <c r="BA140" s="1595"/>
      <c r="BB140" s="1596">
        <v>39.316000000000003</v>
      </c>
      <c r="BC140" s="1596">
        <v>32.947000000000003</v>
      </c>
      <c r="BD140" s="1733">
        <f>BD127</f>
        <v>30.856999999999999</v>
      </c>
      <c r="BE140" s="1733">
        <f>BE127</f>
        <v>29.547000000000001</v>
      </c>
      <c r="BF140" s="1734">
        <f>BF127</f>
        <v>36.232999999999997</v>
      </c>
      <c r="BG140" s="1669"/>
      <c r="BH140" s="1669"/>
      <c r="BI140" s="1669"/>
      <c r="BJ140" s="1669"/>
      <c r="BK140" s="1669"/>
      <c r="BL140" s="1607"/>
    </row>
    <row r="141" spans="1:64" s="1608" customFormat="1" outlineLevel="1" x14ac:dyDescent="0.35">
      <c r="A141" s="1591" t="s">
        <v>990</v>
      </c>
      <c r="B141" s="1712"/>
      <c r="C141" s="1515"/>
      <c r="D141" s="1515"/>
      <c r="E141" s="1515"/>
      <c r="F141" s="1515"/>
      <c r="G141" s="1515"/>
      <c r="H141" s="1515"/>
      <c r="I141" s="1515"/>
      <c r="J141" s="1515"/>
      <c r="K141" s="1515"/>
      <c r="L141" s="1515"/>
      <c r="M141" s="1515"/>
      <c r="N141" s="1515"/>
      <c r="O141" s="1515"/>
      <c r="P141" s="1515"/>
      <c r="Q141" s="1593">
        <v>23.478999999999999</v>
      </c>
      <c r="R141" s="1593">
        <v>23.774000000000001</v>
      </c>
      <c r="S141" s="1593">
        <v>22.934999999999999</v>
      </c>
      <c r="T141" s="1593">
        <v>22.643000000000001</v>
      </c>
      <c r="U141" s="1593">
        <v>22.863</v>
      </c>
      <c r="V141" s="1593">
        <v>22.757999999999999</v>
      </c>
      <c r="W141" s="1593">
        <v>20.548999999999999</v>
      </c>
      <c r="X141" s="1593">
        <v>20.298999999999999</v>
      </c>
      <c r="Y141" s="1593">
        <v>20.346</v>
      </c>
      <c r="Z141" s="1593">
        <v>20.870999999999999</v>
      </c>
      <c r="AA141" s="1593">
        <v>20.155999999999999</v>
      </c>
      <c r="AB141" s="1593">
        <v>19.872</v>
      </c>
      <c r="AC141" s="1593">
        <v>16.57</v>
      </c>
      <c r="AD141" s="1593">
        <v>16.542000000000002</v>
      </c>
      <c r="AE141" s="1593">
        <v>15.122</v>
      </c>
      <c r="AF141" s="1593">
        <v>16.12</v>
      </c>
      <c r="AG141" s="1593">
        <v>15.875</v>
      </c>
      <c r="AH141" s="1593">
        <v>15.735999999999997</v>
      </c>
      <c r="AI141" s="1593">
        <v>15.77</v>
      </c>
      <c r="AJ141" s="1594">
        <v>15.82</v>
      </c>
      <c r="AK141" s="1667"/>
      <c r="AL141" s="1667"/>
      <c r="AM141" s="1667"/>
      <c r="AN141" s="1667"/>
      <c r="AO141" s="1667"/>
      <c r="AP141" s="1667"/>
      <c r="AQ141" s="1667"/>
      <c r="AR141" s="1595"/>
      <c r="AS141" s="1595"/>
      <c r="AT141" s="1595"/>
      <c r="AU141" s="1595"/>
      <c r="AV141" s="1595"/>
      <c r="AW141" s="1595"/>
      <c r="AX141" s="1595"/>
      <c r="AY141" s="1595"/>
      <c r="AZ141" s="1595"/>
      <c r="BA141" s="1595"/>
      <c r="BB141" s="1596">
        <v>93.802000000000007</v>
      </c>
      <c r="BC141" s="1596">
        <v>91.198999999999998</v>
      </c>
      <c r="BD141" s="1596">
        <v>82.063999999999993</v>
      </c>
      <c r="BE141" s="1596">
        <v>73.14</v>
      </c>
      <c r="BF141" s="1597">
        <v>62.853000000000002</v>
      </c>
      <c r="BG141" s="1669"/>
      <c r="BH141" s="1669"/>
      <c r="BI141" s="1669"/>
      <c r="BJ141" s="1669"/>
      <c r="BK141" s="1669"/>
      <c r="BL141" s="1607"/>
    </row>
    <row r="142" spans="1:64" s="1608" customFormat="1" outlineLevel="1" x14ac:dyDescent="0.35">
      <c r="A142" s="1591" t="s">
        <v>807</v>
      </c>
      <c r="B142" s="1712"/>
      <c r="C142" s="1515"/>
      <c r="D142" s="1515"/>
      <c r="E142" s="1515"/>
      <c r="F142" s="1515"/>
      <c r="G142" s="1515"/>
      <c r="H142" s="1515"/>
      <c r="I142" s="1515"/>
      <c r="J142" s="1515"/>
      <c r="K142" s="1515"/>
      <c r="L142" s="1515"/>
      <c r="M142" s="1515"/>
      <c r="N142" s="1515"/>
      <c r="O142" s="1515"/>
      <c r="P142" s="1515"/>
      <c r="Q142" s="1593">
        <v>0.249</v>
      </c>
      <c r="R142" s="1593">
        <v>0.504</v>
      </c>
      <c r="S142" s="1593">
        <v>0.54500000000000004</v>
      </c>
      <c r="T142" s="1593">
        <v>0.64100000000000001</v>
      </c>
      <c r="U142" s="1593">
        <v>0.56999999999999995</v>
      </c>
      <c r="V142" s="1593">
        <v>1.708</v>
      </c>
      <c r="W142" s="1593">
        <v>0.89800000000000002</v>
      </c>
      <c r="X142" s="1593">
        <v>0.75600000000000001</v>
      </c>
      <c r="Y142" s="1593">
        <v>25.582000000000001</v>
      </c>
      <c r="Z142" s="1593">
        <v>5.3440000000000003</v>
      </c>
      <c r="AA142" s="1593">
        <v>5.1079999999999997</v>
      </c>
      <c r="AB142" s="1593">
        <v>6.0229999999999997</v>
      </c>
      <c r="AC142" s="1593">
        <v>6.2930000000000001</v>
      </c>
      <c r="AD142" s="1593">
        <v>6.3810000000000002</v>
      </c>
      <c r="AE142" s="1593">
        <v>8.0429999999999993</v>
      </c>
      <c r="AF142" s="1593">
        <v>9.3580000000000005</v>
      </c>
      <c r="AG142" s="1593">
        <v>9.7829999999999995</v>
      </c>
      <c r="AH142" s="1593">
        <v>7.4660000000000011</v>
      </c>
      <c r="AI142" s="1593">
        <v>9.3420000000000005</v>
      </c>
      <c r="AJ142" s="1594">
        <v>11.702999999999999</v>
      </c>
      <c r="AK142" s="1667"/>
      <c r="AL142" s="1667"/>
      <c r="AM142" s="1667"/>
      <c r="AN142" s="1667"/>
      <c r="AO142" s="1667"/>
      <c r="AP142" s="1667"/>
      <c r="AQ142" s="1667"/>
      <c r="AR142" s="1595"/>
      <c r="AS142" s="1595"/>
      <c r="AT142" s="1595"/>
      <c r="AU142" s="1595"/>
      <c r="AV142" s="1595"/>
      <c r="AW142" s="1595"/>
      <c r="AX142" s="1595"/>
      <c r="AY142" s="1595"/>
      <c r="AZ142" s="1595"/>
      <c r="BA142" s="1595"/>
      <c r="BB142" s="1596">
        <v>1.5029999999999999</v>
      </c>
      <c r="BC142" s="1596">
        <v>3.464</v>
      </c>
      <c r="BD142" s="1596">
        <v>32.58</v>
      </c>
      <c r="BE142" s="1596">
        <v>23.805</v>
      </c>
      <c r="BF142" s="1597">
        <v>34.65</v>
      </c>
      <c r="BG142" s="1669"/>
      <c r="BH142" s="1669"/>
      <c r="BI142" s="1669"/>
      <c r="BJ142" s="1669"/>
      <c r="BK142" s="1669"/>
      <c r="BL142" s="1607"/>
    </row>
    <row r="143" spans="1:64" s="1608" customFormat="1" outlineLevel="1" x14ac:dyDescent="0.35">
      <c r="A143" s="1591" t="s">
        <v>348</v>
      </c>
      <c r="B143" s="1712"/>
      <c r="C143" s="1515"/>
      <c r="D143" s="1515"/>
      <c r="E143" s="1515"/>
      <c r="F143" s="1515"/>
      <c r="G143" s="1515"/>
      <c r="H143" s="1515"/>
      <c r="I143" s="1515"/>
      <c r="J143" s="1515"/>
      <c r="K143" s="1515"/>
      <c r="L143" s="1515"/>
      <c r="M143" s="1515"/>
      <c r="N143" s="1515"/>
      <c r="O143" s="1515"/>
      <c r="P143" s="1515"/>
      <c r="Q143" s="1515"/>
      <c r="R143" s="1515"/>
      <c r="S143" s="1515"/>
      <c r="T143" s="1515"/>
      <c r="U143" s="1515"/>
      <c r="V143" s="1515"/>
      <c r="W143" s="1515"/>
      <c r="X143" s="1515"/>
      <c r="Y143" s="1515"/>
      <c r="Z143" s="1515"/>
      <c r="AA143" s="1515"/>
      <c r="AB143" s="1515"/>
      <c r="AC143" s="1515"/>
      <c r="AD143" s="1593">
        <v>3.673</v>
      </c>
      <c r="AE143" s="1515"/>
      <c r="AF143" s="1515"/>
      <c r="AG143" s="1515"/>
      <c r="AH143" s="1515"/>
      <c r="AI143" s="1515"/>
      <c r="AJ143" s="1516"/>
      <c r="AK143" s="1667"/>
      <c r="AL143" s="1667"/>
      <c r="AM143" s="1667"/>
      <c r="AN143" s="1667"/>
      <c r="AO143" s="1667"/>
      <c r="AP143" s="1667"/>
      <c r="AQ143" s="1667"/>
      <c r="AR143" s="1595"/>
      <c r="AS143" s="1595"/>
      <c r="AT143" s="1595"/>
      <c r="AU143" s="1595"/>
      <c r="AV143" s="1595"/>
      <c r="AW143" s="1595"/>
      <c r="AX143" s="1595"/>
      <c r="AY143" s="1595"/>
      <c r="AZ143" s="1595"/>
      <c r="BA143" s="1595"/>
      <c r="BB143" s="1595"/>
      <c r="BC143" s="1595"/>
      <c r="BD143" s="1595"/>
      <c r="BE143" s="1596">
        <v>3.673</v>
      </c>
      <c r="BF143" s="1610"/>
      <c r="BG143" s="1669"/>
      <c r="BH143" s="1669"/>
      <c r="BI143" s="1669"/>
      <c r="BJ143" s="1669"/>
      <c r="BK143" s="1669"/>
      <c r="BL143" s="1607"/>
    </row>
    <row r="144" spans="1:64" s="1608" customFormat="1" outlineLevel="1" x14ac:dyDescent="0.35">
      <c r="A144" s="1591" t="s">
        <v>808</v>
      </c>
      <c r="B144" s="1712"/>
      <c r="C144" s="1515"/>
      <c r="D144" s="1515"/>
      <c r="E144" s="1515"/>
      <c r="F144" s="1515"/>
      <c r="G144" s="1515"/>
      <c r="H144" s="1515"/>
      <c r="I144" s="1515"/>
      <c r="J144" s="1515"/>
      <c r="K144" s="1515"/>
      <c r="L144" s="1515"/>
      <c r="M144" s="1515"/>
      <c r="N144" s="1515"/>
      <c r="O144" s="1515"/>
      <c r="P144" s="1515"/>
      <c r="Q144" s="1593">
        <v>0.56599999999999995</v>
      </c>
      <c r="R144" s="1593">
        <v>0.89200000000000002</v>
      </c>
      <c r="S144" s="1593">
        <v>0.53800000000000003</v>
      </c>
      <c r="T144" s="1593">
        <v>0.54600000000000004</v>
      </c>
      <c r="U144" s="1593">
        <v>0.53900000000000003</v>
      </c>
      <c r="V144" s="1593">
        <v>1.4059999999999999</v>
      </c>
      <c r="W144" s="1593">
        <v>1.089</v>
      </c>
      <c r="X144" s="1593">
        <v>6.1390000000000002</v>
      </c>
      <c r="Y144" s="1593">
        <v>31.513000000000002</v>
      </c>
      <c r="Z144" s="1593">
        <v>4.2919999999999998</v>
      </c>
      <c r="AA144" s="1593">
        <v>1.8879999999999999</v>
      </c>
      <c r="AB144" s="1593">
        <v>1.8939999999999999</v>
      </c>
      <c r="AC144" s="1593">
        <v>2.8090000000000002</v>
      </c>
      <c r="AD144" s="1593">
        <v>4.9020000000000001</v>
      </c>
      <c r="AE144" s="1593">
        <v>5.1260000000000003</v>
      </c>
      <c r="AF144" s="1593">
        <v>3.133</v>
      </c>
      <c r="AG144" s="1593">
        <v>2.238</v>
      </c>
      <c r="AH144" s="1593">
        <v>2.3810000000000002</v>
      </c>
      <c r="AI144" s="1593">
        <v>16.988</v>
      </c>
      <c r="AJ144" s="1594">
        <v>4.12</v>
      </c>
      <c r="AK144" s="1667"/>
      <c r="AL144" s="1667"/>
      <c r="AM144" s="1667"/>
      <c r="AN144" s="1667"/>
      <c r="AO144" s="1667"/>
      <c r="AP144" s="1667"/>
      <c r="AQ144" s="1667"/>
      <c r="AR144" s="1595"/>
      <c r="AS144" s="1595"/>
      <c r="AT144" s="1595"/>
      <c r="AU144" s="1595"/>
      <c r="AV144" s="1595"/>
      <c r="AW144" s="1595"/>
      <c r="AX144" s="1595"/>
      <c r="AY144" s="1595"/>
      <c r="AZ144" s="1595"/>
      <c r="BA144" s="1595"/>
      <c r="BB144" s="1596">
        <v>2.617</v>
      </c>
      <c r="BC144" s="1596">
        <v>3.0289999999999999</v>
      </c>
      <c r="BD144" s="1596">
        <v>43.045999999999999</v>
      </c>
      <c r="BE144" s="1596">
        <v>11.493</v>
      </c>
      <c r="BF144" s="1597">
        <v>12.878</v>
      </c>
      <c r="BG144" s="1669"/>
      <c r="BH144" s="1669"/>
      <c r="BI144" s="1669"/>
      <c r="BJ144" s="1669"/>
      <c r="BK144" s="1669"/>
      <c r="BL144" s="1607"/>
    </row>
    <row r="145" spans="1:64" s="1608" customFormat="1" outlineLevel="1" x14ac:dyDescent="0.35">
      <c r="A145" s="1591" t="s">
        <v>809</v>
      </c>
      <c r="B145" s="1712"/>
      <c r="C145" s="1515"/>
      <c r="D145" s="1515"/>
      <c r="E145" s="1515"/>
      <c r="F145" s="1515"/>
      <c r="G145" s="1515"/>
      <c r="H145" s="1515"/>
      <c r="I145" s="1515"/>
      <c r="J145" s="1515"/>
      <c r="K145" s="1515"/>
      <c r="L145" s="1515"/>
      <c r="M145" s="1515"/>
      <c r="N145" s="1515"/>
      <c r="O145" s="1515"/>
      <c r="P145" s="1515"/>
      <c r="Q145" s="1593">
        <v>1.1499999999999999</v>
      </c>
      <c r="R145" s="1593">
        <v>1.335</v>
      </c>
      <c r="S145" s="1593">
        <v>0.52600000000000002</v>
      </c>
      <c r="T145" s="1593">
        <v>5.484</v>
      </c>
      <c r="U145" s="1593">
        <v>1.06</v>
      </c>
      <c r="V145" s="1593">
        <v>1.768</v>
      </c>
      <c r="W145" s="1593">
        <v>3.0350000000000001</v>
      </c>
      <c r="X145" s="1593">
        <v>0.60399999999999998</v>
      </c>
      <c r="Y145" s="1593">
        <v>0.63400000000000001</v>
      </c>
      <c r="Z145" s="1593">
        <v>0.65500000000000003</v>
      </c>
      <c r="AA145" s="1593">
        <v>0.34599999999999997</v>
      </c>
      <c r="AB145" s="1593">
        <v>0.83599999999999997</v>
      </c>
      <c r="AC145" s="1593">
        <v>2.73</v>
      </c>
      <c r="AD145" s="1593">
        <v>5.1120000000000001</v>
      </c>
      <c r="AE145" s="1593">
        <v>3.2730000000000001</v>
      </c>
      <c r="AF145" s="1593">
        <v>11.49</v>
      </c>
      <c r="AG145" s="1593">
        <v>4.0179999999999998</v>
      </c>
      <c r="AH145" s="1593">
        <v>2.5740000000000016</v>
      </c>
      <c r="AI145" s="1593">
        <v>3.2010000000000001</v>
      </c>
      <c r="AJ145" s="1594">
        <v>1.5660000000000001</v>
      </c>
      <c r="AK145" s="1667"/>
      <c r="AL145" s="1667"/>
      <c r="AM145" s="1667"/>
      <c r="AN145" s="1667"/>
      <c r="AO145" s="1667"/>
      <c r="AP145" s="1667"/>
      <c r="AQ145" s="1667"/>
      <c r="AR145" s="1595"/>
      <c r="AS145" s="1595"/>
      <c r="AT145" s="1595"/>
      <c r="AU145" s="1595"/>
      <c r="AV145" s="1595"/>
      <c r="AW145" s="1595"/>
      <c r="AX145" s="1595"/>
      <c r="AY145" s="1595"/>
      <c r="AZ145" s="1595"/>
      <c r="BA145" s="1595"/>
      <c r="BB145" s="1596">
        <v>4.5259999999999998</v>
      </c>
      <c r="BC145" s="1596">
        <v>8.8379999999999992</v>
      </c>
      <c r="BD145" s="1596">
        <v>4.915</v>
      </c>
      <c r="BE145" s="1596">
        <v>9.0239999999999991</v>
      </c>
      <c r="BF145" s="1597">
        <v>21.355</v>
      </c>
      <c r="BG145" s="1669"/>
      <c r="BH145" s="1669"/>
      <c r="BI145" s="1669"/>
      <c r="BJ145" s="1669"/>
      <c r="BK145" s="1669"/>
      <c r="BL145" s="1607"/>
    </row>
    <row r="146" spans="1:64" s="1608" customFormat="1" outlineLevel="1" x14ac:dyDescent="0.35">
      <c r="A146" s="1591" t="s">
        <v>991</v>
      </c>
      <c r="B146" s="1712"/>
      <c r="C146" s="1515"/>
      <c r="D146" s="1515"/>
      <c r="E146" s="1515"/>
      <c r="F146" s="1515"/>
      <c r="G146" s="1515"/>
      <c r="H146" s="1515"/>
      <c r="I146" s="1515"/>
      <c r="J146" s="1515"/>
      <c r="K146" s="1515"/>
      <c r="L146" s="1515"/>
      <c r="M146" s="1515"/>
      <c r="N146" s="1515"/>
      <c r="O146" s="1515"/>
      <c r="P146" s="1515"/>
      <c r="Q146" s="1593">
        <v>2.2970000000000002</v>
      </c>
      <c r="R146" s="1593">
        <v>3.0150000000000001</v>
      </c>
      <c r="S146" s="1593">
        <v>3.0089999999999999</v>
      </c>
      <c r="T146" s="1593">
        <v>2.4580000000000002</v>
      </c>
      <c r="U146" s="1593">
        <v>2.581</v>
      </c>
      <c r="V146" s="1593">
        <v>2.8719999999999999</v>
      </c>
      <c r="W146" s="1593">
        <v>2.0590000000000002</v>
      </c>
      <c r="X146" s="1593">
        <v>3.9420000000000002</v>
      </c>
      <c r="Y146" s="1593">
        <v>3.137</v>
      </c>
      <c r="Z146" s="1593">
        <v>3.95</v>
      </c>
      <c r="AA146" s="1593">
        <v>3.762</v>
      </c>
      <c r="AB146" s="1593">
        <v>4.5369999999999999</v>
      </c>
      <c r="AC146" s="1593">
        <v>4.7670000000000003</v>
      </c>
      <c r="AD146" s="1593">
        <v>3.7280000000000002</v>
      </c>
      <c r="AE146" s="1593">
        <v>3.2330000000000001</v>
      </c>
      <c r="AF146" s="1593">
        <v>0.17899999999999999</v>
      </c>
      <c r="AG146" s="1593">
        <v>0.25600000000000001</v>
      </c>
      <c r="AH146" s="1593">
        <v>0.254</v>
      </c>
      <c r="AI146" s="1593">
        <v>0.375</v>
      </c>
      <c r="AJ146" s="1594">
        <v>0.45500000000000002</v>
      </c>
      <c r="AK146" s="1667"/>
      <c r="AL146" s="1667"/>
      <c r="AM146" s="1667"/>
      <c r="AN146" s="1667"/>
      <c r="AO146" s="1667"/>
      <c r="AP146" s="1667"/>
      <c r="AQ146" s="1667"/>
      <c r="AR146" s="1595"/>
      <c r="AS146" s="1595"/>
      <c r="AT146" s="1595"/>
      <c r="AU146" s="1595"/>
      <c r="AV146" s="1595"/>
      <c r="AW146" s="1595"/>
      <c r="AX146" s="1595"/>
      <c r="AY146" s="1595"/>
      <c r="AZ146" s="1595"/>
      <c r="BA146" s="1595"/>
      <c r="BB146" s="1596">
        <v>9.7629999999999999</v>
      </c>
      <c r="BC146" s="1596">
        <v>10.92</v>
      </c>
      <c r="BD146" s="1596">
        <v>13.087999999999999</v>
      </c>
      <c r="BE146" s="1596">
        <v>16.794</v>
      </c>
      <c r="BF146" s="1597">
        <v>3.9220000000000002</v>
      </c>
      <c r="BG146" s="1669"/>
      <c r="BH146" s="1669"/>
      <c r="BI146" s="1669"/>
      <c r="BJ146" s="1669"/>
      <c r="BK146" s="1669"/>
      <c r="BL146" s="1607"/>
    </row>
    <row r="147" spans="1:64" s="1608" customFormat="1" outlineLevel="1" x14ac:dyDescent="0.35">
      <c r="A147" s="1591" t="s">
        <v>811</v>
      </c>
      <c r="B147" s="1712"/>
      <c r="C147" s="1515"/>
      <c r="D147" s="1515"/>
      <c r="E147" s="1515"/>
      <c r="F147" s="1515"/>
      <c r="G147" s="1515"/>
      <c r="H147" s="1515"/>
      <c r="I147" s="1515"/>
      <c r="J147" s="1515"/>
      <c r="K147" s="1515"/>
      <c r="L147" s="1515"/>
      <c r="M147" s="1515"/>
      <c r="N147" s="1515"/>
      <c r="O147" s="1515"/>
      <c r="P147" s="1515"/>
      <c r="Q147" s="1593">
        <v>0.28699999999999998</v>
      </c>
      <c r="R147" s="1593">
        <v>11.218999999999999</v>
      </c>
      <c r="S147" s="1593">
        <v>9.7000000000000003E-2</v>
      </c>
      <c r="T147" s="1593">
        <v>4.2999999999999997E-2</v>
      </c>
      <c r="U147" s="1593">
        <v>0.12</v>
      </c>
      <c r="V147" s="1593">
        <v>2.6619999999999999</v>
      </c>
      <c r="W147" s="1515"/>
      <c r="X147" s="1515"/>
      <c r="Y147" s="1515"/>
      <c r="Z147" s="1593">
        <v>0.46800000000000003</v>
      </c>
      <c r="AA147" s="1515"/>
      <c r="AB147" s="1515"/>
      <c r="AC147" s="1593">
        <v>0.21299999999999999</v>
      </c>
      <c r="AD147" s="1593">
        <v>3.1059999999999999</v>
      </c>
      <c r="AE147" s="1515"/>
      <c r="AF147" s="1515"/>
      <c r="AG147" s="1515"/>
      <c r="AH147" s="1593">
        <v>0.13100000000000001</v>
      </c>
      <c r="AI147" s="1515"/>
      <c r="AJ147" s="1594">
        <v>1</v>
      </c>
      <c r="AK147" s="1667"/>
      <c r="AL147" s="1667"/>
      <c r="AM147" s="1667"/>
      <c r="AN147" s="1667"/>
      <c r="AO147" s="1667"/>
      <c r="AP147" s="1667"/>
      <c r="AQ147" s="1667"/>
      <c r="AR147" s="1595"/>
      <c r="AS147" s="1595"/>
      <c r="AT147" s="1595"/>
      <c r="AU147" s="1595"/>
      <c r="AV147" s="1595"/>
      <c r="AW147" s="1595"/>
      <c r="AX147" s="1595"/>
      <c r="AY147" s="1595"/>
      <c r="AZ147" s="1595"/>
      <c r="BA147" s="1595"/>
      <c r="BB147" s="1596">
        <v>12.065</v>
      </c>
      <c r="BC147" s="1596">
        <v>2.9220000000000002</v>
      </c>
      <c r="BD147" s="1596">
        <v>0.46800000000000003</v>
      </c>
      <c r="BE147" s="1596">
        <v>3.319</v>
      </c>
      <c r="BF147" s="1597">
        <v>0.13100000000000001</v>
      </c>
      <c r="BG147" s="1669"/>
      <c r="BH147" s="1669"/>
      <c r="BI147" s="1669"/>
      <c r="BJ147" s="1669"/>
      <c r="BK147" s="1669"/>
      <c r="BL147" s="1607"/>
    </row>
    <row r="148" spans="1:64" s="1608" customFormat="1" outlineLevel="1" x14ac:dyDescent="0.35">
      <c r="A148" s="1591" t="s">
        <v>992</v>
      </c>
      <c r="B148" s="1712"/>
      <c r="C148" s="1515"/>
      <c r="D148" s="1515"/>
      <c r="E148" s="1515"/>
      <c r="F148" s="1515"/>
      <c r="G148" s="1515"/>
      <c r="H148" s="1515"/>
      <c r="I148" s="1515"/>
      <c r="J148" s="1515"/>
      <c r="K148" s="1515"/>
      <c r="L148" s="1515"/>
      <c r="M148" s="1515"/>
      <c r="N148" s="1515"/>
      <c r="O148" s="1515"/>
      <c r="P148" s="1515"/>
      <c r="Q148" s="1593">
        <v>1.069</v>
      </c>
      <c r="R148" s="1593">
        <v>-1.181</v>
      </c>
      <c r="S148" s="1593">
        <v>8.7550000000000008</v>
      </c>
      <c r="T148" s="1593">
        <v>0.89900000000000002</v>
      </c>
      <c r="U148" s="1593">
        <v>-4.9000000000000002E-2</v>
      </c>
      <c r="V148" s="1593">
        <v>-0.153</v>
      </c>
      <c r="W148" s="1593">
        <v>-4.5999999999999999E-2</v>
      </c>
      <c r="X148" s="1593">
        <v>0.13300000000000001</v>
      </c>
      <c r="Y148" s="1593">
        <v>0.112</v>
      </c>
      <c r="Z148" s="1593">
        <v>-0.16800000000000001</v>
      </c>
      <c r="AA148" s="1593">
        <v>-0.32800000000000001</v>
      </c>
      <c r="AB148" s="1593">
        <v>3.2000000000000001E-2</v>
      </c>
      <c r="AC148" s="1515"/>
      <c r="AD148" s="1593">
        <v>-1E-3</v>
      </c>
      <c r="AE148" s="1515"/>
      <c r="AF148" s="1515"/>
      <c r="AG148" s="1515"/>
      <c r="AH148" s="1515"/>
      <c r="AI148" s="1515"/>
      <c r="AJ148" s="1516"/>
      <c r="AK148" s="1667"/>
      <c r="AL148" s="1667"/>
      <c r="AM148" s="1667"/>
      <c r="AN148" s="1667"/>
      <c r="AO148" s="1667"/>
      <c r="AP148" s="1667"/>
      <c r="AQ148" s="1667"/>
      <c r="AR148" s="1595"/>
      <c r="AS148" s="1595"/>
      <c r="AT148" s="1595"/>
      <c r="AU148" s="1595"/>
      <c r="AV148" s="1595"/>
      <c r="AW148" s="1595"/>
      <c r="AX148" s="1595"/>
      <c r="AY148" s="1595"/>
      <c r="AZ148" s="1595"/>
      <c r="BA148" s="1595"/>
      <c r="BB148" s="1596">
        <v>7.3239999999999998</v>
      </c>
      <c r="BC148" s="1596">
        <v>9.452</v>
      </c>
      <c r="BD148" s="1596">
        <v>3.1E-2</v>
      </c>
      <c r="BE148" s="1596">
        <v>-0.29699999999999999</v>
      </c>
      <c r="BF148" s="1610"/>
      <c r="BG148" s="1669"/>
      <c r="BH148" s="1669"/>
      <c r="BI148" s="1669"/>
      <c r="BJ148" s="1669"/>
      <c r="BK148" s="1669"/>
      <c r="BL148" s="1607"/>
    </row>
    <row r="149" spans="1:64" s="1608" customFormat="1" outlineLevel="1" x14ac:dyDescent="0.35">
      <c r="A149" s="1591" t="s">
        <v>363</v>
      </c>
      <c r="B149" s="1712"/>
      <c r="C149" s="1515"/>
      <c r="D149" s="1515"/>
      <c r="E149" s="1515"/>
      <c r="F149" s="1515"/>
      <c r="G149" s="1515"/>
      <c r="H149" s="1515"/>
      <c r="I149" s="1515"/>
      <c r="J149" s="1515"/>
      <c r="K149" s="1515"/>
      <c r="L149" s="1515"/>
      <c r="M149" s="1515"/>
      <c r="N149" s="1515"/>
      <c r="O149" s="1515"/>
      <c r="P149" s="1515"/>
      <c r="Q149" s="1593">
        <v>1.891</v>
      </c>
      <c r="R149" s="1593">
        <v>3.2269999999999999</v>
      </c>
      <c r="S149" s="1593">
        <v>1.8520000000000001</v>
      </c>
      <c r="T149" s="1593">
        <v>0.16800000000000001</v>
      </c>
      <c r="U149" s="1593">
        <v>-0.187</v>
      </c>
      <c r="V149" s="1593">
        <v>0.496</v>
      </c>
      <c r="W149" s="1593">
        <v>0.496</v>
      </c>
      <c r="X149" s="1593">
        <v>0.13400000000000001</v>
      </c>
      <c r="Y149" s="1593">
        <v>0.19600000000000001</v>
      </c>
      <c r="Z149" s="1593">
        <v>0.29799999999999999</v>
      </c>
      <c r="AA149" s="1593">
        <v>4.7E-2</v>
      </c>
      <c r="AB149" s="1593">
        <v>-0.30399999999999999</v>
      </c>
      <c r="AC149" s="1593">
        <v>-0.83199999999999996</v>
      </c>
      <c r="AD149" s="1593">
        <v>0.97799999999999998</v>
      </c>
      <c r="AE149" s="1593">
        <v>0.45700000000000002</v>
      </c>
      <c r="AF149" s="1593">
        <v>0.48899999999999999</v>
      </c>
      <c r="AG149" s="1593">
        <v>-0.22500000000000001</v>
      </c>
      <c r="AH149" s="1593">
        <v>3.0000000000000027E-2</v>
      </c>
      <c r="AI149" s="1593">
        <v>-0.505</v>
      </c>
      <c r="AJ149" s="1594">
        <v>0.61499999999999999</v>
      </c>
      <c r="AK149" s="1667"/>
      <c r="AL149" s="1667"/>
      <c r="AM149" s="1667"/>
      <c r="AN149" s="1667"/>
      <c r="AO149" s="1667"/>
      <c r="AP149" s="1667"/>
      <c r="AQ149" s="1667"/>
      <c r="AR149" s="1595"/>
      <c r="AS149" s="1595"/>
      <c r="AT149" s="1595"/>
      <c r="AU149" s="1595"/>
      <c r="AV149" s="1595"/>
      <c r="AW149" s="1595"/>
      <c r="AX149" s="1595"/>
      <c r="AY149" s="1595"/>
      <c r="AZ149" s="1595"/>
      <c r="BA149" s="1595"/>
      <c r="BB149" s="1596">
        <v>6.5529999999999999</v>
      </c>
      <c r="BC149" s="1596">
        <v>2.3290000000000002</v>
      </c>
      <c r="BD149" s="1596">
        <v>1.123</v>
      </c>
      <c r="BE149" s="1596">
        <v>-0.111</v>
      </c>
      <c r="BF149" s="1597">
        <v>0.751</v>
      </c>
      <c r="BG149" s="1669"/>
      <c r="BH149" s="1669"/>
      <c r="BI149" s="1669"/>
      <c r="BJ149" s="1669"/>
      <c r="BK149" s="1669"/>
      <c r="BL149" s="1607"/>
    </row>
    <row r="150" spans="1:64" s="1608" customFormat="1" outlineLevel="1" x14ac:dyDescent="0.35">
      <c r="A150" s="1599" t="s">
        <v>364</v>
      </c>
      <c r="B150" s="1717"/>
      <c r="C150" s="1601"/>
      <c r="D150" s="1601"/>
      <c r="E150" s="1601"/>
      <c r="F150" s="1601"/>
      <c r="G150" s="1601"/>
      <c r="H150" s="1601"/>
      <c r="I150" s="1601"/>
      <c r="J150" s="1601"/>
      <c r="K150" s="1601"/>
      <c r="L150" s="1601"/>
      <c r="M150" s="1601"/>
      <c r="N150" s="1601"/>
      <c r="O150" s="1601"/>
      <c r="P150" s="1601"/>
      <c r="Q150" s="1602">
        <f t="shared" ref="Q150:AJ150" si="44">SUM(Q138:Q149)</f>
        <v>35.883999999999993</v>
      </c>
      <c r="R150" s="1602">
        <f t="shared" si="44"/>
        <v>23.737999999999996</v>
      </c>
      <c r="S150" s="1602">
        <f t="shared" si="44"/>
        <v>27.857000000000003</v>
      </c>
      <c r="T150" s="1602">
        <f t="shared" si="44"/>
        <v>14.718999999999994</v>
      </c>
      <c r="U150" s="1602">
        <f t="shared" si="44"/>
        <v>30.655999999999999</v>
      </c>
      <c r="V150" s="1602">
        <f t="shared" si="44"/>
        <v>28.013999999999996</v>
      </c>
      <c r="W150" s="1602">
        <f t="shared" si="44"/>
        <v>36.804000000000009</v>
      </c>
      <c r="X150" s="1602">
        <f t="shared" si="44"/>
        <v>47.034000000000063</v>
      </c>
      <c r="Y150" s="1602">
        <f t="shared" si="44"/>
        <v>51.298999999999978</v>
      </c>
      <c r="Z150" s="1602">
        <f t="shared" si="44"/>
        <v>44.049000000000007</v>
      </c>
      <c r="AA150" s="1602">
        <f t="shared" si="44"/>
        <v>47.635999999999989</v>
      </c>
      <c r="AB150" s="1602">
        <f t="shared" si="44"/>
        <v>56.471999999999994</v>
      </c>
      <c r="AC150" s="1602">
        <f t="shared" si="44"/>
        <v>53.098000000000006</v>
      </c>
      <c r="AD150" s="1602">
        <f t="shared" si="44"/>
        <v>41.296999999999997</v>
      </c>
      <c r="AE150" s="1602">
        <f t="shared" si="44"/>
        <v>45.554999999999993</v>
      </c>
      <c r="AF150" s="1602">
        <f t="shared" si="44"/>
        <v>49.996999999999993</v>
      </c>
      <c r="AG150" s="1602">
        <f t="shared" si="44"/>
        <v>47.555999999999997</v>
      </c>
      <c r="AH150" s="1602">
        <f t="shared" si="44"/>
        <v>41.915999999999933</v>
      </c>
      <c r="AI150" s="1602">
        <f t="shared" si="44"/>
        <v>38.509999999999991</v>
      </c>
      <c r="AJ150" s="1603">
        <f t="shared" si="44"/>
        <v>46.283999999999999</v>
      </c>
      <c r="AK150" s="1601"/>
      <c r="AL150" s="1601"/>
      <c r="AM150" s="1601"/>
      <c r="AN150" s="1601"/>
      <c r="AO150" s="1601"/>
      <c r="AP150" s="1601"/>
      <c r="AQ150" s="1601"/>
      <c r="AR150" s="1604"/>
      <c r="AS150" s="1604"/>
      <c r="AT150" s="1604"/>
      <c r="AU150" s="1604"/>
      <c r="AV150" s="1604"/>
      <c r="AW150" s="1604"/>
      <c r="AX150" s="1604"/>
      <c r="AY150" s="1604"/>
      <c r="AZ150" s="1604"/>
      <c r="BA150" s="1604"/>
      <c r="BB150" s="1605">
        <f>SUM(BB138:BB149)</f>
        <v>118.98399999999999</v>
      </c>
      <c r="BC150" s="1605">
        <f>SUM(BC138:BC149)</f>
        <v>101.24499999999999</v>
      </c>
      <c r="BD150" s="1605">
        <f>SUM(BD138:BD149)</f>
        <v>179.18400000000003</v>
      </c>
      <c r="BE150" s="1605">
        <f>SUM(BE138:BE149)</f>
        <v>198.50300000000007</v>
      </c>
      <c r="BF150" s="1718">
        <f>SUM(BF138:BF149)</f>
        <v>185.02399999999994</v>
      </c>
      <c r="BG150" s="1604"/>
      <c r="BH150" s="1604"/>
      <c r="BI150" s="1604"/>
      <c r="BJ150" s="1604"/>
      <c r="BK150" s="1604"/>
      <c r="BL150" s="1607"/>
    </row>
    <row r="151" spans="1:64" s="1608" customFormat="1" outlineLevel="1" x14ac:dyDescent="0.35">
      <c r="A151" s="1678"/>
      <c r="B151" s="1712"/>
      <c r="C151" s="1515"/>
      <c r="D151" s="1515"/>
      <c r="E151" s="1515"/>
      <c r="F151" s="1515"/>
      <c r="G151" s="1515"/>
      <c r="H151" s="1515"/>
      <c r="I151" s="1515"/>
      <c r="J151" s="1515"/>
      <c r="K151" s="1515"/>
      <c r="L151" s="1515"/>
      <c r="M151" s="1515"/>
      <c r="N151" s="1515"/>
      <c r="O151" s="1515"/>
      <c r="P151" s="1515"/>
      <c r="Q151" s="1515"/>
      <c r="R151" s="1515"/>
      <c r="S151" s="1515"/>
      <c r="T151" s="1515"/>
      <c r="U151" s="1515"/>
      <c r="V151" s="1515"/>
      <c r="W151" s="1515"/>
      <c r="X151" s="1515"/>
      <c r="Y151" s="1515"/>
      <c r="Z151" s="1515"/>
      <c r="AA151" s="1515"/>
      <c r="AB151" s="1515"/>
      <c r="AC151" s="1515"/>
      <c r="AD151" s="1515"/>
      <c r="AE151" s="1515"/>
      <c r="AF151" s="1515"/>
      <c r="AG151" s="1515"/>
      <c r="AH151" s="1515"/>
      <c r="AI151" s="1515"/>
      <c r="AJ151" s="1516"/>
      <c r="AK151" s="1667"/>
      <c r="AL151" s="1667"/>
      <c r="AM151" s="1667"/>
      <c r="AN151" s="1667"/>
      <c r="AO151" s="1667"/>
      <c r="AP151" s="1667"/>
      <c r="AQ151" s="1667"/>
      <c r="AR151" s="1595"/>
      <c r="AS151" s="1595"/>
      <c r="AT151" s="1595"/>
      <c r="AU151" s="1595"/>
      <c r="AV151" s="1595"/>
      <c r="AW151" s="1595"/>
      <c r="AX151" s="1595"/>
      <c r="AY151" s="1595"/>
      <c r="AZ151" s="1595"/>
      <c r="BA151" s="1595"/>
      <c r="BB151" s="1595"/>
      <c r="BC151" s="1595"/>
      <c r="BD151" s="1595"/>
      <c r="BE151" s="1595"/>
      <c r="BF151" s="1610"/>
      <c r="BG151" s="1669"/>
      <c r="BH151" s="1669"/>
      <c r="BI151" s="1669"/>
      <c r="BJ151" s="1669"/>
      <c r="BK151" s="1669"/>
      <c r="BL151" s="1607"/>
    </row>
    <row r="152" spans="1:64" s="1608" customFormat="1" outlineLevel="1" x14ac:dyDescent="0.35">
      <c r="A152" s="1711" t="s">
        <v>796</v>
      </c>
      <c r="B152" s="1712"/>
      <c r="C152" s="1667"/>
      <c r="D152" s="1667"/>
      <c r="E152" s="1667"/>
      <c r="F152" s="1667"/>
      <c r="G152" s="1667"/>
      <c r="H152" s="1667"/>
      <c r="I152" s="1667"/>
      <c r="J152" s="1667"/>
      <c r="K152" s="1667"/>
      <c r="L152" s="1667"/>
      <c r="M152" s="1667"/>
      <c r="N152" s="1667"/>
      <c r="O152" s="1667"/>
      <c r="P152" s="1667"/>
      <c r="Q152" s="1607">
        <f t="shared" ref="Q152:AJ153" si="45">Q138</f>
        <v>-3.9089999999999998</v>
      </c>
      <c r="R152" s="1607">
        <f t="shared" si="45"/>
        <v>-17.702000000000002</v>
      </c>
      <c r="S152" s="1607">
        <f t="shared" si="45"/>
        <v>-15.899999999999999</v>
      </c>
      <c r="T152" s="1607">
        <f t="shared" si="45"/>
        <v>-24.947000000000003</v>
      </c>
      <c r="U152" s="1607">
        <f t="shared" si="45"/>
        <v>-10.385</v>
      </c>
      <c r="V152" s="1607">
        <f t="shared" si="45"/>
        <v>-1.06</v>
      </c>
      <c r="W152" s="1607">
        <f t="shared" si="45"/>
        <v>0.62800000000000877</v>
      </c>
      <c r="X152" s="1607">
        <f t="shared" si="45"/>
        <v>3.3980000000000565</v>
      </c>
      <c r="Y152" s="1607">
        <f t="shared" si="45"/>
        <v>-25.256000000000025</v>
      </c>
      <c r="Z152" s="1607">
        <f t="shared" si="45"/>
        <v>2.7039999999999926</v>
      </c>
      <c r="AA152" s="1607">
        <f t="shared" si="45"/>
        <v>6.2360000000000069</v>
      </c>
      <c r="AB152" s="1607">
        <f t="shared" si="45"/>
        <v>11.571000000000009</v>
      </c>
      <c r="AC152" s="1607">
        <f t="shared" si="45"/>
        <v>9.3030000000000115</v>
      </c>
      <c r="AD152" s="1607">
        <f t="shared" si="45"/>
        <v>-7.7000000000000117</v>
      </c>
      <c r="AE152" s="1607">
        <f t="shared" si="45"/>
        <v>0.59099999999999331</v>
      </c>
      <c r="AF152" s="1607">
        <f t="shared" si="45"/>
        <v>0.32299999999999224</v>
      </c>
      <c r="AG152" s="1607">
        <f t="shared" si="45"/>
        <v>2.354000000000001</v>
      </c>
      <c r="AH152" s="1607">
        <f t="shared" si="45"/>
        <v>-3.3840000000000661</v>
      </c>
      <c r="AI152" s="1607">
        <f t="shared" si="45"/>
        <v>-7.9550000000000018</v>
      </c>
      <c r="AJ152" s="1730">
        <f t="shared" si="45"/>
        <v>-6.2320000000000029</v>
      </c>
      <c r="AK152" s="1667"/>
      <c r="AL152" s="1667"/>
      <c r="AM152" s="1667"/>
      <c r="AN152" s="1667"/>
      <c r="AO152" s="1667"/>
      <c r="AP152" s="1667"/>
      <c r="AQ152" s="1667"/>
      <c r="AR152" s="1669"/>
      <c r="AS152" s="1669"/>
      <c r="AT152" s="1669"/>
      <c r="AU152" s="1669"/>
      <c r="AV152" s="1669"/>
      <c r="AW152" s="1669"/>
      <c r="AX152" s="1669"/>
      <c r="AY152" s="1669"/>
      <c r="AZ152" s="1669"/>
      <c r="BA152" s="1669"/>
      <c r="BB152" s="1731">
        <f>BB133</f>
        <v>-46.682000000000016</v>
      </c>
      <c r="BC152" s="1714">
        <v>-52.292999999999999</v>
      </c>
      <c r="BD152" s="1731">
        <f t="shared" ref="BD152:BF153" si="46">BD138</f>
        <v>-18.526999999999937</v>
      </c>
      <c r="BE152" s="1731">
        <f t="shared" si="46"/>
        <v>19.410000000000043</v>
      </c>
      <c r="BF152" s="1606">
        <f t="shared" si="46"/>
        <v>-0.11600000000002986</v>
      </c>
      <c r="BG152" s="1669"/>
      <c r="BH152" s="1669"/>
      <c r="BI152" s="1669"/>
      <c r="BJ152" s="1669"/>
      <c r="BK152" s="1669"/>
      <c r="BL152" s="1607"/>
    </row>
    <row r="153" spans="1:64" s="1608" customFormat="1" outlineLevel="1" x14ac:dyDescent="0.35">
      <c r="A153" s="1591" t="s">
        <v>993</v>
      </c>
      <c r="B153" s="1712"/>
      <c r="C153" s="1515"/>
      <c r="D153" s="1515"/>
      <c r="E153" s="1515"/>
      <c r="F153" s="1515"/>
      <c r="G153" s="1515"/>
      <c r="H153" s="1515"/>
      <c r="I153" s="1515"/>
      <c r="J153" s="1515"/>
      <c r="K153" s="1515"/>
      <c r="L153" s="1515"/>
      <c r="M153" s="1515"/>
      <c r="N153" s="1515"/>
      <c r="O153" s="1515"/>
      <c r="P153" s="1515"/>
      <c r="Q153" s="1517">
        <f t="shared" si="45"/>
        <v>-0.97899999999999998</v>
      </c>
      <c r="R153" s="1517">
        <f t="shared" si="45"/>
        <v>-10.544</v>
      </c>
      <c r="S153" s="1517">
        <f t="shared" si="45"/>
        <v>-3.556</v>
      </c>
      <c r="T153" s="1517">
        <f t="shared" si="45"/>
        <v>-1.4530000000000001</v>
      </c>
      <c r="U153" s="1517">
        <f t="shared" si="45"/>
        <v>5.7270000000000003</v>
      </c>
      <c r="V153" s="1517">
        <f t="shared" si="45"/>
        <v>-12.28</v>
      </c>
      <c r="W153" s="1517">
        <f t="shared" si="45"/>
        <v>0.52600000000000002</v>
      </c>
      <c r="X153" s="1517">
        <f t="shared" si="45"/>
        <v>4.0259999999999998</v>
      </c>
      <c r="Y153" s="1517">
        <f t="shared" si="45"/>
        <v>-12.632999999999999</v>
      </c>
      <c r="Z153" s="1517">
        <f t="shared" si="45"/>
        <v>-2.3809999999999998</v>
      </c>
      <c r="AA153" s="1517">
        <f t="shared" si="45"/>
        <v>4.085</v>
      </c>
      <c r="AB153" s="1517">
        <f t="shared" si="45"/>
        <v>5.3920000000000003</v>
      </c>
      <c r="AC153" s="1517">
        <f t="shared" si="45"/>
        <v>3.4809999999999999</v>
      </c>
      <c r="AD153" s="1517">
        <f t="shared" si="45"/>
        <v>-4.2519999999999998</v>
      </c>
      <c r="AE153" s="1517">
        <f t="shared" si="45"/>
        <v>1.1020000000000001</v>
      </c>
      <c r="AF153" s="1517">
        <f t="shared" si="45"/>
        <v>-8.5000000000000006E-2</v>
      </c>
      <c r="AG153" s="1517">
        <f t="shared" si="45"/>
        <v>3.952</v>
      </c>
      <c r="AH153" s="1517">
        <f t="shared" si="45"/>
        <v>7.3980000000000006</v>
      </c>
      <c r="AI153" s="1517">
        <f t="shared" si="45"/>
        <v>-9.0180000000000007</v>
      </c>
      <c r="AJ153" s="1732">
        <f t="shared" si="45"/>
        <v>7.0940000000000003</v>
      </c>
      <c r="AK153" s="1667"/>
      <c r="AL153" s="1667"/>
      <c r="AM153" s="1667"/>
      <c r="AN153" s="1667"/>
      <c r="AO153" s="1667"/>
      <c r="AP153" s="1667"/>
      <c r="AQ153" s="1667"/>
      <c r="AR153" s="1595"/>
      <c r="AS153" s="1595"/>
      <c r="AT153" s="1595"/>
      <c r="AU153" s="1595"/>
      <c r="AV153" s="1595"/>
      <c r="AW153" s="1595"/>
      <c r="AX153" s="1595"/>
      <c r="AY153" s="1595"/>
      <c r="AZ153" s="1595"/>
      <c r="BA153" s="1595"/>
      <c r="BB153" s="1733">
        <f>BB132</f>
        <v>-11.803000000000001</v>
      </c>
      <c r="BC153" s="1733">
        <f>BC139</f>
        <v>-11.561999999999999</v>
      </c>
      <c r="BD153" s="1733">
        <f t="shared" si="46"/>
        <v>-10.461</v>
      </c>
      <c r="BE153" s="1733">
        <f t="shared" si="46"/>
        <v>8.7059999999999995</v>
      </c>
      <c r="BF153" s="1734">
        <f t="shared" si="46"/>
        <v>12.367000000000001</v>
      </c>
      <c r="BG153" s="1669"/>
      <c r="BH153" s="1669"/>
      <c r="BI153" s="1669"/>
      <c r="BJ153" s="1669"/>
      <c r="BK153" s="1669"/>
      <c r="BL153" s="1607"/>
    </row>
    <row r="154" spans="1:64" s="1608" customFormat="1" outlineLevel="1" x14ac:dyDescent="0.35">
      <c r="A154" s="1599" t="s">
        <v>994</v>
      </c>
      <c r="B154" s="1717"/>
      <c r="C154" s="1601"/>
      <c r="D154" s="1601"/>
      <c r="E154" s="1601"/>
      <c r="F154" s="1601"/>
      <c r="G154" s="1601"/>
      <c r="H154" s="1601"/>
      <c r="I154" s="1601"/>
      <c r="J154" s="1601"/>
      <c r="K154" s="1601"/>
      <c r="L154" s="1601"/>
      <c r="M154" s="1601"/>
      <c r="N154" s="1601"/>
      <c r="O154" s="1601"/>
      <c r="P154" s="1601"/>
      <c r="Q154" s="1602">
        <f t="shared" ref="Q154:AJ154" si="47">Q152+Q153</f>
        <v>-4.8879999999999999</v>
      </c>
      <c r="R154" s="1602">
        <f t="shared" si="47"/>
        <v>-28.246000000000002</v>
      </c>
      <c r="S154" s="1602">
        <f t="shared" si="47"/>
        <v>-19.456</v>
      </c>
      <c r="T154" s="1602">
        <f t="shared" si="47"/>
        <v>-26.400000000000002</v>
      </c>
      <c r="U154" s="1602">
        <f t="shared" si="47"/>
        <v>-4.6579999999999995</v>
      </c>
      <c r="V154" s="1602">
        <f t="shared" si="47"/>
        <v>-13.34</v>
      </c>
      <c r="W154" s="1602">
        <f t="shared" si="47"/>
        <v>1.1540000000000088</v>
      </c>
      <c r="X154" s="1602">
        <f t="shared" si="47"/>
        <v>7.4240000000000563</v>
      </c>
      <c r="Y154" s="1602">
        <f t="shared" si="47"/>
        <v>-37.889000000000024</v>
      </c>
      <c r="Z154" s="1602">
        <f t="shared" si="47"/>
        <v>0.32299999999999285</v>
      </c>
      <c r="AA154" s="1602">
        <f t="shared" si="47"/>
        <v>10.321000000000007</v>
      </c>
      <c r="AB154" s="1602">
        <f t="shared" si="47"/>
        <v>16.963000000000008</v>
      </c>
      <c r="AC154" s="1602">
        <f t="shared" si="47"/>
        <v>12.784000000000011</v>
      </c>
      <c r="AD154" s="1602">
        <f t="shared" si="47"/>
        <v>-11.952000000000012</v>
      </c>
      <c r="AE154" s="1602">
        <f t="shared" si="47"/>
        <v>1.6929999999999934</v>
      </c>
      <c r="AF154" s="1602">
        <f t="shared" si="47"/>
        <v>0.23799999999999222</v>
      </c>
      <c r="AG154" s="1602">
        <f t="shared" si="47"/>
        <v>6.3060000000000009</v>
      </c>
      <c r="AH154" s="1602">
        <f t="shared" si="47"/>
        <v>4.0139999999999345</v>
      </c>
      <c r="AI154" s="1602">
        <f t="shared" si="47"/>
        <v>-16.973000000000003</v>
      </c>
      <c r="AJ154" s="1603">
        <f t="shared" si="47"/>
        <v>0.86199999999999743</v>
      </c>
      <c r="AK154" s="1601"/>
      <c r="AL154" s="1601"/>
      <c r="AM154" s="1601"/>
      <c r="AN154" s="1601"/>
      <c r="AO154" s="1601"/>
      <c r="AP154" s="1601"/>
      <c r="AQ154" s="1601"/>
      <c r="AR154" s="1604"/>
      <c r="AS154" s="1604"/>
      <c r="AT154" s="1604"/>
      <c r="AU154" s="1604"/>
      <c r="AV154" s="1604"/>
      <c r="AW154" s="1604"/>
      <c r="AX154" s="1604"/>
      <c r="AY154" s="1604"/>
      <c r="AZ154" s="1604"/>
      <c r="BA154" s="1604"/>
      <c r="BB154" s="1605">
        <f>BB152+BB153</f>
        <v>-58.485000000000014</v>
      </c>
      <c r="BC154" s="1605">
        <f>BC152+BC153</f>
        <v>-63.854999999999997</v>
      </c>
      <c r="BD154" s="1605">
        <f>BD152+BD153</f>
        <v>-28.987999999999936</v>
      </c>
      <c r="BE154" s="1605">
        <f>BE152+BE153</f>
        <v>28.116000000000042</v>
      </c>
      <c r="BF154" s="1718">
        <f>BF152+BF153</f>
        <v>12.250999999999971</v>
      </c>
      <c r="BG154" s="1604"/>
      <c r="BH154" s="1604"/>
      <c r="BI154" s="1604"/>
      <c r="BJ154" s="1604"/>
      <c r="BK154" s="1604"/>
      <c r="BL154" s="1607"/>
    </row>
    <row r="155" spans="1:64" s="1608" customFormat="1" outlineLevel="1" x14ac:dyDescent="0.35">
      <c r="A155" s="1735" t="s">
        <v>812</v>
      </c>
      <c r="B155" s="1712"/>
      <c r="C155" s="1515"/>
      <c r="D155" s="1515"/>
      <c r="E155" s="1515"/>
      <c r="F155" s="1515"/>
      <c r="G155" s="1515"/>
      <c r="H155" s="1515"/>
      <c r="I155" s="1515"/>
      <c r="J155" s="1515"/>
      <c r="K155" s="1515"/>
      <c r="L155" s="1515"/>
      <c r="M155" s="1515"/>
      <c r="N155" s="1515"/>
      <c r="O155" s="1515"/>
      <c r="P155" s="1515"/>
      <c r="Q155" s="1593">
        <v>16.373999999999999</v>
      </c>
      <c r="R155" s="1593">
        <v>16.280999999999999</v>
      </c>
      <c r="S155" s="1593">
        <v>15.089</v>
      </c>
      <c r="T155" s="1593">
        <v>15.082000000000001</v>
      </c>
      <c r="U155" s="1593">
        <v>15.119</v>
      </c>
      <c r="V155" s="1593">
        <v>15.055999999999999</v>
      </c>
      <c r="W155" s="1593">
        <v>13.263</v>
      </c>
      <c r="X155" s="1593">
        <v>13.006</v>
      </c>
      <c r="Y155" s="1593">
        <v>12.962</v>
      </c>
      <c r="Z155" s="1593">
        <v>13.545</v>
      </c>
      <c r="AA155" s="1593">
        <v>13.763999999999999</v>
      </c>
      <c r="AB155" s="1593">
        <v>13.363</v>
      </c>
      <c r="AC155" s="1593">
        <v>10.903</v>
      </c>
      <c r="AD155" s="1593">
        <v>10.753</v>
      </c>
      <c r="AE155" s="1593">
        <v>10.061</v>
      </c>
      <c r="AF155" s="1593">
        <v>10.625</v>
      </c>
      <c r="AG155" s="1593">
        <v>10.621</v>
      </c>
      <c r="AH155" s="1593">
        <v>10.451000000000001</v>
      </c>
      <c r="AI155" s="1593">
        <v>10.631</v>
      </c>
      <c r="AJ155" s="1594">
        <v>10.686999999999999</v>
      </c>
      <c r="AK155" s="1667"/>
      <c r="AL155" s="1667"/>
      <c r="AM155" s="1667"/>
      <c r="AN155" s="1667"/>
      <c r="AO155" s="1667"/>
      <c r="AP155" s="1667"/>
      <c r="AQ155" s="1667"/>
      <c r="AR155" s="1595"/>
      <c r="AS155" s="1595"/>
      <c r="AT155" s="1595"/>
      <c r="AU155" s="1595"/>
      <c r="AV155" s="1595"/>
      <c r="AW155" s="1595"/>
      <c r="AX155" s="1595"/>
      <c r="AY155" s="1595"/>
      <c r="AZ155" s="1595"/>
      <c r="BA155" s="1595"/>
      <c r="BB155" s="1596">
        <v>65.528999999999996</v>
      </c>
      <c r="BC155" s="1596">
        <v>60.345999999999997</v>
      </c>
      <c r="BD155" s="1596">
        <v>52.777000000000001</v>
      </c>
      <c r="BE155" s="1596">
        <v>48.783000000000001</v>
      </c>
      <c r="BF155" s="1597">
        <v>41.758000000000003</v>
      </c>
      <c r="BG155" s="1669"/>
      <c r="BH155" s="1669"/>
      <c r="BI155" s="1669"/>
      <c r="BJ155" s="1669"/>
      <c r="BK155" s="1669"/>
      <c r="BL155" s="1607"/>
    </row>
    <row r="156" spans="1:64" s="1608" customFormat="1" outlineLevel="1" x14ac:dyDescent="0.35">
      <c r="A156" s="1591" t="s">
        <v>807</v>
      </c>
      <c r="B156" s="1712"/>
      <c r="C156" s="1515"/>
      <c r="D156" s="1515"/>
      <c r="E156" s="1515"/>
      <c r="F156" s="1515"/>
      <c r="G156" s="1515"/>
      <c r="H156" s="1515"/>
      <c r="I156" s="1515"/>
      <c r="J156" s="1515"/>
      <c r="K156" s="1515"/>
      <c r="L156" s="1515"/>
      <c r="M156" s="1515"/>
      <c r="N156" s="1515"/>
      <c r="O156" s="1515"/>
      <c r="P156" s="1515"/>
      <c r="Q156" s="1593">
        <v>0.249</v>
      </c>
      <c r="R156" s="1593">
        <v>0.504</v>
      </c>
      <c r="S156" s="1593">
        <v>0.54500000000000004</v>
      </c>
      <c r="T156" s="1593">
        <v>0.64100000000000001</v>
      </c>
      <c r="U156" s="1593">
        <v>0.56999999999999995</v>
      </c>
      <c r="V156" s="1593">
        <v>1.708</v>
      </c>
      <c r="W156" s="1593">
        <v>0.89800000000000002</v>
      </c>
      <c r="X156" s="1593">
        <v>0.75600000000000001</v>
      </c>
      <c r="Y156" s="1593">
        <v>25.582000000000001</v>
      </c>
      <c r="Z156" s="1593">
        <v>5.3440000000000003</v>
      </c>
      <c r="AA156" s="1593">
        <v>5.1079999999999997</v>
      </c>
      <c r="AB156" s="1593">
        <v>6.0229999999999997</v>
      </c>
      <c r="AC156" s="1593">
        <v>6.2930000000000001</v>
      </c>
      <c r="AD156" s="1593">
        <v>6.3810000000000002</v>
      </c>
      <c r="AE156" s="1593">
        <v>8.0429999999999993</v>
      </c>
      <c r="AF156" s="1593">
        <v>9.3580000000000005</v>
      </c>
      <c r="AG156" s="1593">
        <v>9.7829999999999995</v>
      </c>
      <c r="AH156" s="1593">
        <v>7.4660000000000011</v>
      </c>
      <c r="AI156" s="1593">
        <v>9.3420000000000005</v>
      </c>
      <c r="AJ156" s="1594">
        <v>11.702999999999999</v>
      </c>
      <c r="AK156" s="1667"/>
      <c r="AL156" s="1667"/>
      <c r="AM156" s="1667"/>
      <c r="AN156" s="1667"/>
      <c r="AO156" s="1667"/>
      <c r="AP156" s="1667"/>
      <c r="AQ156" s="1667"/>
      <c r="AR156" s="1595"/>
      <c r="AS156" s="1595"/>
      <c r="AT156" s="1595"/>
      <c r="AU156" s="1595"/>
      <c r="AV156" s="1595"/>
      <c r="AW156" s="1595"/>
      <c r="AX156" s="1595"/>
      <c r="AY156" s="1595"/>
      <c r="AZ156" s="1595"/>
      <c r="BA156" s="1595"/>
      <c r="BB156" s="1596">
        <v>1.5029999999999999</v>
      </c>
      <c r="BC156" s="1596">
        <v>3.464</v>
      </c>
      <c r="BD156" s="1596">
        <v>32.58</v>
      </c>
      <c r="BE156" s="1596">
        <v>23.805</v>
      </c>
      <c r="BF156" s="1597">
        <v>34.65</v>
      </c>
      <c r="BG156" s="1669"/>
      <c r="BH156" s="1669"/>
      <c r="BI156" s="1669"/>
      <c r="BJ156" s="1669"/>
      <c r="BK156" s="1669"/>
      <c r="BL156" s="1607"/>
    </row>
    <row r="157" spans="1:64" s="1608" customFormat="1" outlineLevel="1" x14ac:dyDescent="0.35">
      <c r="A157" s="1591" t="s">
        <v>348</v>
      </c>
      <c r="B157" s="1712"/>
      <c r="C157" s="1515"/>
      <c r="D157" s="1515"/>
      <c r="E157" s="1515"/>
      <c r="F157" s="1515"/>
      <c r="G157" s="1515"/>
      <c r="H157" s="1515"/>
      <c r="I157" s="1515"/>
      <c r="J157" s="1515"/>
      <c r="K157" s="1515"/>
      <c r="L157" s="1515"/>
      <c r="M157" s="1515"/>
      <c r="N157" s="1515"/>
      <c r="O157" s="1515"/>
      <c r="P157" s="1515"/>
      <c r="Q157" s="1515"/>
      <c r="R157" s="1515"/>
      <c r="S157" s="1515"/>
      <c r="T157" s="1515"/>
      <c r="U157" s="1515"/>
      <c r="V157" s="1515"/>
      <c r="W157" s="1515"/>
      <c r="X157" s="1515"/>
      <c r="Y157" s="1515"/>
      <c r="Z157" s="1515"/>
      <c r="AA157" s="1515"/>
      <c r="AB157" s="1515"/>
      <c r="AC157" s="1515"/>
      <c r="AD157" s="1593">
        <v>3.673</v>
      </c>
      <c r="AE157" s="1515"/>
      <c r="AF157" s="1515"/>
      <c r="AG157" s="1515"/>
      <c r="AH157" s="1515"/>
      <c r="AI157" s="1515"/>
      <c r="AJ157" s="1516"/>
      <c r="AK157" s="1667"/>
      <c r="AL157" s="1667"/>
      <c r="AM157" s="1667"/>
      <c r="AN157" s="1667"/>
      <c r="AO157" s="1667"/>
      <c r="AP157" s="1667"/>
      <c r="AQ157" s="1667"/>
      <c r="AR157" s="1595"/>
      <c r="AS157" s="1595"/>
      <c r="AT157" s="1595"/>
      <c r="AU157" s="1595"/>
      <c r="AV157" s="1595"/>
      <c r="AW157" s="1595"/>
      <c r="AX157" s="1595"/>
      <c r="AY157" s="1595"/>
      <c r="AZ157" s="1595"/>
      <c r="BA157" s="1595"/>
      <c r="BB157" s="1595"/>
      <c r="BC157" s="1595"/>
      <c r="BD157" s="1595"/>
      <c r="BE157" s="1596">
        <v>3.673</v>
      </c>
      <c r="BF157" s="1610"/>
      <c r="BG157" s="1669"/>
      <c r="BH157" s="1669"/>
      <c r="BI157" s="1669"/>
      <c r="BJ157" s="1669"/>
      <c r="BK157" s="1669"/>
      <c r="BL157" s="1607"/>
    </row>
    <row r="158" spans="1:64" s="1608" customFormat="1" outlineLevel="1" x14ac:dyDescent="0.35">
      <c r="A158" s="1591" t="s">
        <v>808</v>
      </c>
      <c r="B158" s="1712"/>
      <c r="C158" s="1515"/>
      <c r="D158" s="1515"/>
      <c r="E158" s="1515"/>
      <c r="F158" s="1515"/>
      <c r="G158" s="1515"/>
      <c r="H158" s="1515"/>
      <c r="I158" s="1515"/>
      <c r="J158" s="1515"/>
      <c r="K158" s="1515"/>
      <c r="L158" s="1515"/>
      <c r="M158" s="1515"/>
      <c r="N158" s="1515"/>
      <c r="O158" s="1515"/>
      <c r="P158" s="1515"/>
      <c r="Q158" s="1593">
        <v>0.56599999999999995</v>
      </c>
      <c r="R158" s="1593">
        <v>0.89200000000000002</v>
      </c>
      <c r="S158" s="1593">
        <v>0.53800000000000003</v>
      </c>
      <c r="T158" s="1593">
        <v>0.54600000000000004</v>
      </c>
      <c r="U158" s="1593">
        <v>0.53900000000000003</v>
      </c>
      <c r="V158" s="1593">
        <v>1.4059999999999999</v>
      </c>
      <c r="W158" s="1593">
        <v>1.089</v>
      </c>
      <c r="X158" s="1593">
        <v>6.1390000000000002</v>
      </c>
      <c r="Y158" s="1593">
        <v>31.513000000000002</v>
      </c>
      <c r="Z158" s="1593">
        <v>4.2919999999999998</v>
      </c>
      <c r="AA158" s="1593">
        <v>1.8879999999999999</v>
      </c>
      <c r="AB158" s="1593">
        <v>1.8939999999999999</v>
      </c>
      <c r="AC158" s="1593">
        <v>2.8090000000000002</v>
      </c>
      <c r="AD158" s="1593">
        <v>4.9020000000000001</v>
      </c>
      <c r="AE158" s="1593">
        <v>5.1260000000000003</v>
      </c>
      <c r="AF158" s="1593">
        <v>3.133</v>
      </c>
      <c r="AG158" s="1593">
        <v>2.238</v>
      </c>
      <c r="AH158" s="1593">
        <v>2.3810000000000002</v>
      </c>
      <c r="AI158" s="1593">
        <v>16.988</v>
      </c>
      <c r="AJ158" s="1594">
        <v>4.12</v>
      </c>
      <c r="AK158" s="1667"/>
      <c r="AL158" s="1667"/>
      <c r="AM158" s="1667"/>
      <c r="AN158" s="1667"/>
      <c r="AO158" s="1667"/>
      <c r="AP158" s="1667"/>
      <c r="AQ158" s="1667"/>
      <c r="AR158" s="1595"/>
      <c r="AS158" s="1595"/>
      <c r="AT158" s="1595"/>
      <c r="AU158" s="1595"/>
      <c r="AV158" s="1595"/>
      <c r="AW158" s="1595"/>
      <c r="AX158" s="1595"/>
      <c r="AY158" s="1595"/>
      <c r="AZ158" s="1595"/>
      <c r="BA158" s="1595"/>
      <c r="BB158" s="1596">
        <v>2.617</v>
      </c>
      <c r="BC158" s="1596">
        <v>3.0289999999999999</v>
      </c>
      <c r="BD158" s="1596">
        <v>43.045999999999999</v>
      </c>
      <c r="BE158" s="1596">
        <v>11.493</v>
      </c>
      <c r="BF158" s="1597">
        <v>12.878</v>
      </c>
      <c r="BG158" s="1669"/>
      <c r="BH158" s="1669"/>
      <c r="BI158" s="1669"/>
      <c r="BJ158" s="1669"/>
      <c r="BK158" s="1669"/>
      <c r="BL158" s="1607"/>
    </row>
    <row r="159" spans="1:64" s="1608" customFormat="1" outlineLevel="1" x14ac:dyDescent="0.35">
      <c r="A159" s="1591" t="s">
        <v>809</v>
      </c>
      <c r="B159" s="1712"/>
      <c r="C159" s="1515"/>
      <c r="D159" s="1515"/>
      <c r="E159" s="1515"/>
      <c r="F159" s="1515"/>
      <c r="G159" s="1515"/>
      <c r="H159" s="1515"/>
      <c r="I159" s="1515"/>
      <c r="J159" s="1515"/>
      <c r="K159" s="1515"/>
      <c r="L159" s="1515"/>
      <c r="M159" s="1515"/>
      <c r="N159" s="1515"/>
      <c r="O159" s="1515"/>
      <c r="P159" s="1515"/>
      <c r="Q159" s="1593">
        <v>1.1499999999999999</v>
      </c>
      <c r="R159" s="1593">
        <v>1.335</v>
      </c>
      <c r="S159" s="1593">
        <v>0.52600000000000002</v>
      </c>
      <c r="T159" s="1593">
        <v>5.484</v>
      </c>
      <c r="U159" s="1593">
        <v>1.06</v>
      </c>
      <c r="V159" s="1593">
        <v>1.768</v>
      </c>
      <c r="W159" s="1593">
        <v>3.0350000000000001</v>
      </c>
      <c r="X159" s="1593">
        <v>0.60399999999999998</v>
      </c>
      <c r="Y159" s="1593">
        <v>0.63400000000000001</v>
      </c>
      <c r="Z159" s="1593">
        <v>0.65500000000000003</v>
      </c>
      <c r="AA159" s="1593">
        <v>0.34599999999999997</v>
      </c>
      <c r="AB159" s="1593">
        <v>0.83599999999999997</v>
      </c>
      <c r="AC159" s="1593">
        <v>2.73</v>
      </c>
      <c r="AD159" s="1593">
        <v>5.1120000000000001</v>
      </c>
      <c r="AE159" s="1593">
        <v>3.2730000000000001</v>
      </c>
      <c r="AF159" s="1593">
        <v>11.49</v>
      </c>
      <c r="AG159" s="1593">
        <v>4.0179999999999998</v>
      </c>
      <c r="AH159" s="1593">
        <v>2.5740000000000016</v>
      </c>
      <c r="AI159" s="1593">
        <v>3.2010000000000001</v>
      </c>
      <c r="AJ159" s="1594">
        <v>1.5660000000000001</v>
      </c>
      <c r="AK159" s="1667"/>
      <c r="AL159" s="1667"/>
      <c r="AM159" s="1667"/>
      <c r="AN159" s="1667"/>
      <c r="AO159" s="1667"/>
      <c r="AP159" s="1667"/>
      <c r="AQ159" s="1667"/>
      <c r="AR159" s="1595"/>
      <c r="AS159" s="1595"/>
      <c r="AT159" s="1595"/>
      <c r="AU159" s="1595"/>
      <c r="AV159" s="1595"/>
      <c r="AW159" s="1595"/>
      <c r="AX159" s="1595"/>
      <c r="AY159" s="1595"/>
      <c r="AZ159" s="1595"/>
      <c r="BA159" s="1595"/>
      <c r="BB159" s="1596">
        <v>4.5259999999999998</v>
      </c>
      <c r="BC159" s="1596">
        <v>8.8379999999999992</v>
      </c>
      <c r="BD159" s="1596">
        <v>4.915</v>
      </c>
      <c r="BE159" s="1596">
        <v>9.0239999999999991</v>
      </c>
      <c r="BF159" s="1597">
        <v>21.355</v>
      </c>
      <c r="BG159" s="1669"/>
      <c r="BH159" s="1669"/>
      <c r="BI159" s="1669"/>
      <c r="BJ159" s="1669"/>
      <c r="BK159" s="1669"/>
      <c r="BL159" s="1607"/>
    </row>
    <row r="160" spans="1:64" s="1608" customFormat="1" outlineLevel="1" x14ac:dyDescent="0.35">
      <c r="A160" s="1591" t="s">
        <v>991</v>
      </c>
      <c r="B160" s="1712"/>
      <c r="C160" s="1515"/>
      <c r="D160" s="1515"/>
      <c r="E160" s="1515"/>
      <c r="F160" s="1515"/>
      <c r="G160" s="1515"/>
      <c r="H160" s="1515"/>
      <c r="I160" s="1515"/>
      <c r="J160" s="1515"/>
      <c r="K160" s="1515"/>
      <c r="L160" s="1515"/>
      <c r="M160" s="1515"/>
      <c r="N160" s="1515"/>
      <c r="O160" s="1515"/>
      <c r="P160" s="1515"/>
      <c r="Q160" s="1593">
        <v>2.2970000000000002</v>
      </c>
      <c r="R160" s="1593">
        <v>3.0150000000000001</v>
      </c>
      <c r="S160" s="1593">
        <v>3.0089999999999999</v>
      </c>
      <c r="T160" s="1593">
        <v>2.4580000000000002</v>
      </c>
      <c r="U160" s="1593">
        <v>2.581</v>
      </c>
      <c r="V160" s="1593">
        <v>2.8719999999999999</v>
      </c>
      <c r="W160" s="1593">
        <v>2.0590000000000002</v>
      </c>
      <c r="X160" s="1593">
        <v>3.9420000000000002</v>
      </c>
      <c r="Y160" s="1593">
        <v>3.137</v>
      </c>
      <c r="Z160" s="1593">
        <v>3.95</v>
      </c>
      <c r="AA160" s="1593">
        <v>3.762</v>
      </c>
      <c r="AB160" s="1593">
        <v>4.5369999999999999</v>
      </c>
      <c r="AC160" s="1593">
        <v>4.7670000000000003</v>
      </c>
      <c r="AD160" s="1593">
        <v>3.7280000000000002</v>
      </c>
      <c r="AE160" s="1593">
        <v>3.2330000000000001</v>
      </c>
      <c r="AF160" s="1593">
        <v>0.17899999999999999</v>
      </c>
      <c r="AG160" s="1593">
        <v>0.25600000000000001</v>
      </c>
      <c r="AH160" s="1593">
        <v>0.254</v>
      </c>
      <c r="AI160" s="1593">
        <v>0.375</v>
      </c>
      <c r="AJ160" s="1594">
        <v>0.45500000000000002</v>
      </c>
      <c r="AK160" s="1667"/>
      <c r="AL160" s="1667"/>
      <c r="AM160" s="1667"/>
      <c r="AN160" s="1667"/>
      <c r="AO160" s="1667"/>
      <c r="AP160" s="1667"/>
      <c r="AQ160" s="1667"/>
      <c r="AR160" s="1595"/>
      <c r="AS160" s="1595"/>
      <c r="AT160" s="1595"/>
      <c r="AU160" s="1595"/>
      <c r="AV160" s="1595"/>
      <c r="AW160" s="1595"/>
      <c r="AX160" s="1595"/>
      <c r="AY160" s="1595"/>
      <c r="AZ160" s="1595"/>
      <c r="BA160" s="1595"/>
      <c r="BB160" s="1596">
        <v>9.7629999999999999</v>
      </c>
      <c r="BC160" s="1596">
        <v>10.92</v>
      </c>
      <c r="BD160" s="1596">
        <v>13.087999999999999</v>
      </c>
      <c r="BE160" s="1596">
        <v>16.794</v>
      </c>
      <c r="BF160" s="1597">
        <v>3.9220000000000002</v>
      </c>
      <c r="BG160" s="1669"/>
      <c r="BH160" s="1669"/>
      <c r="BI160" s="1669"/>
      <c r="BJ160" s="1669"/>
      <c r="BK160" s="1669"/>
      <c r="BL160" s="1607"/>
    </row>
    <row r="161" spans="1:64" s="1608" customFormat="1" outlineLevel="1" x14ac:dyDescent="0.35">
      <c r="A161" s="1591" t="s">
        <v>811</v>
      </c>
      <c r="B161" s="1712"/>
      <c r="C161" s="1515"/>
      <c r="D161" s="1515"/>
      <c r="E161" s="1515"/>
      <c r="F161" s="1515"/>
      <c r="G161" s="1515"/>
      <c r="H161" s="1515"/>
      <c r="I161" s="1515"/>
      <c r="J161" s="1515"/>
      <c r="K161" s="1515"/>
      <c r="L161" s="1515"/>
      <c r="M161" s="1515"/>
      <c r="N161" s="1515"/>
      <c r="O161" s="1515"/>
      <c r="P161" s="1515"/>
      <c r="Q161" s="1593">
        <v>0.28699999999999998</v>
      </c>
      <c r="R161" s="1593">
        <v>11.218999999999999</v>
      </c>
      <c r="S161" s="1593">
        <v>9.7000000000000003E-2</v>
      </c>
      <c r="T161" s="1593">
        <v>4.2999999999999997E-2</v>
      </c>
      <c r="U161" s="1593">
        <v>0.12</v>
      </c>
      <c r="V161" s="1593">
        <v>2.6619999999999999</v>
      </c>
      <c r="W161" s="1517">
        <f>W147</f>
        <v>0</v>
      </c>
      <c r="X161" s="1517">
        <f>X147</f>
        <v>0</v>
      </c>
      <c r="Y161" s="1515"/>
      <c r="Z161" s="1593">
        <v>0.46800000000000003</v>
      </c>
      <c r="AA161" s="1517">
        <f>AA147</f>
        <v>0</v>
      </c>
      <c r="AB161" s="1517">
        <f>AB147</f>
        <v>0</v>
      </c>
      <c r="AC161" s="1593">
        <v>0.21299999999999999</v>
      </c>
      <c r="AD161" s="1593">
        <v>3.1059999999999999</v>
      </c>
      <c r="AE161" s="1517">
        <f>AE147</f>
        <v>0</v>
      </c>
      <c r="AF161" s="1517">
        <f>AF147</f>
        <v>0</v>
      </c>
      <c r="AG161" s="1515">
        <f>AG147</f>
        <v>0</v>
      </c>
      <c r="AH161" s="1593">
        <v>0.13100000000000001</v>
      </c>
      <c r="AI161" s="1517">
        <f>AI147</f>
        <v>0</v>
      </c>
      <c r="AJ161" s="1732">
        <f>AJ147</f>
        <v>1</v>
      </c>
      <c r="AK161" s="1667"/>
      <c r="AL161" s="1667"/>
      <c r="AM161" s="1667"/>
      <c r="AN161" s="1667"/>
      <c r="AO161" s="1667"/>
      <c r="AP161" s="1667"/>
      <c r="AQ161" s="1667"/>
      <c r="AR161" s="1595"/>
      <c r="AS161" s="1595"/>
      <c r="AT161" s="1595"/>
      <c r="AU161" s="1595"/>
      <c r="AV161" s="1595"/>
      <c r="AW161" s="1595"/>
      <c r="AX161" s="1595"/>
      <c r="AY161" s="1595"/>
      <c r="AZ161" s="1595"/>
      <c r="BA161" s="1595"/>
      <c r="BB161" s="1596">
        <v>12.065</v>
      </c>
      <c r="BC161" s="1596">
        <v>2.9220000000000002</v>
      </c>
      <c r="BD161" s="1596">
        <v>0.46800000000000003</v>
      </c>
      <c r="BE161" s="1596">
        <v>3.319</v>
      </c>
      <c r="BF161" s="1597">
        <v>0.13100000000000001</v>
      </c>
      <c r="BG161" s="1669"/>
      <c r="BH161" s="1669"/>
      <c r="BI161" s="1669"/>
      <c r="BJ161" s="1669"/>
      <c r="BK161" s="1669"/>
      <c r="BL161" s="1607"/>
    </row>
    <row r="162" spans="1:64" s="1608" customFormat="1" outlineLevel="1" x14ac:dyDescent="0.35">
      <c r="A162" s="1591" t="s">
        <v>992</v>
      </c>
      <c r="B162" s="1712"/>
      <c r="C162" s="1515"/>
      <c r="D162" s="1515"/>
      <c r="E162" s="1515"/>
      <c r="F162" s="1515"/>
      <c r="G162" s="1515"/>
      <c r="H162" s="1515"/>
      <c r="I162" s="1515"/>
      <c r="J162" s="1515"/>
      <c r="K162" s="1515"/>
      <c r="L162" s="1515"/>
      <c r="M162" s="1515"/>
      <c r="N162" s="1515"/>
      <c r="O162" s="1515"/>
      <c r="P162" s="1515"/>
      <c r="Q162" s="1593">
        <v>1.069</v>
      </c>
      <c r="R162" s="1593">
        <v>-1.181</v>
      </c>
      <c r="S162" s="1593">
        <v>8.7550000000000008</v>
      </c>
      <c r="T162" s="1593">
        <v>0.89900000000000002</v>
      </c>
      <c r="U162" s="1593">
        <v>-4.9000000000000002E-2</v>
      </c>
      <c r="V162" s="1593">
        <v>-0.153</v>
      </c>
      <c r="W162" s="1593">
        <v>-4.5999999999999999E-2</v>
      </c>
      <c r="X162" s="1593">
        <v>0.13300000000000001</v>
      </c>
      <c r="Y162" s="1593">
        <v>0.112</v>
      </c>
      <c r="Z162" s="1593">
        <v>-0.16800000000000001</v>
      </c>
      <c r="AA162" s="1593">
        <v>-0.32800000000000001</v>
      </c>
      <c r="AB162" s="1593">
        <v>3.2000000000000001E-2</v>
      </c>
      <c r="AC162" s="1593">
        <v>0</v>
      </c>
      <c r="AD162" s="1593">
        <v>-1E-3</v>
      </c>
      <c r="AE162" s="1515"/>
      <c r="AF162" s="1515"/>
      <c r="AG162" s="1515"/>
      <c r="AH162" s="1515"/>
      <c r="AI162" s="1515"/>
      <c r="AJ162" s="1516"/>
      <c r="AK162" s="1667"/>
      <c r="AL162" s="1667"/>
      <c r="AM162" s="1667"/>
      <c r="AN162" s="1667"/>
      <c r="AO162" s="1667"/>
      <c r="AP162" s="1667"/>
      <c r="AQ162" s="1667"/>
      <c r="AR162" s="1595"/>
      <c r="AS162" s="1595"/>
      <c r="AT162" s="1595"/>
      <c r="AU162" s="1595"/>
      <c r="AV162" s="1595"/>
      <c r="AW162" s="1595"/>
      <c r="AX162" s="1595"/>
      <c r="AY162" s="1595"/>
      <c r="AZ162" s="1595"/>
      <c r="BA162" s="1595"/>
      <c r="BB162" s="1596">
        <v>7.3239999999999998</v>
      </c>
      <c r="BC162" s="1596">
        <v>9.452</v>
      </c>
      <c r="BD162" s="1596">
        <v>3.1E-2</v>
      </c>
      <c r="BE162" s="1596">
        <v>-0.29699999999999999</v>
      </c>
      <c r="BF162" s="1610"/>
      <c r="BG162" s="1669"/>
      <c r="BH162" s="1669"/>
      <c r="BI162" s="1669"/>
      <c r="BJ162" s="1669"/>
      <c r="BK162" s="1669"/>
      <c r="BL162" s="1607"/>
    </row>
    <row r="163" spans="1:64" s="1608" customFormat="1" outlineLevel="1" x14ac:dyDescent="0.35">
      <c r="A163" s="1591" t="s">
        <v>363</v>
      </c>
      <c r="B163" s="1712"/>
      <c r="C163" s="1515"/>
      <c r="D163" s="1515"/>
      <c r="E163" s="1515"/>
      <c r="F163" s="1515"/>
      <c r="G163" s="1515"/>
      <c r="H163" s="1515"/>
      <c r="I163" s="1515"/>
      <c r="J163" s="1515"/>
      <c r="K163" s="1515"/>
      <c r="L163" s="1515"/>
      <c r="M163" s="1515"/>
      <c r="N163" s="1515"/>
      <c r="O163" s="1515"/>
      <c r="P163" s="1515"/>
      <c r="Q163" s="1593">
        <v>1.891</v>
      </c>
      <c r="R163" s="1593">
        <v>3.2269999999999999</v>
      </c>
      <c r="S163" s="1593">
        <v>1.8520000000000001</v>
      </c>
      <c r="T163" s="1593">
        <v>0.16800000000000001</v>
      </c>
      <c r="U163" s="1593">
        <v>-0.187</v>
      </c>
      <c r="V163" s="1593">
        <v>0.496</v>
      </c>
      <c r="W163" s="1593">
        <v>0.496</v>
      </c>
      <c r="X163" s="1593">
        <v>0.13400000000000001</v>
      </c>
      <c r="Y163" s="1593">
        <v>0.19600000000000001</v>
      </c>
      <c r="Z163" s="1593">
        <v>0.29799999999999999</v>
      </c>
      <c r="AA163" s="1593">
        <v>4.7E-2</v>
      </c>
      <c r="AB163" s="1593">
        <v>-0.30399999999999999</v>
      </c>
      <c r="AC163" s="1593">
        <v>-0.83199999999999996</v>
      </c>
      <c r="AD163" s="1593">
        <v>0.97799999999999998</v>
      </c>
      <c r="AE163" s="1593">
        <v>0.45700000000000002</v>
      </c>
      <c r="AF163" s="1593">
        <v>0.48899999999999999</v>
      </c>
      <c r="AG163" s="1593">
        <v>-0.22500000000000001</v>
      </c>
      <c r="AH163" s="1593">
        <v>3.0000000000000027E-2</v>
      </c>
      <c r="AI163" s="1593">
        <v>-0.505</v>
      </c>
      <c r="AJ163" s="1594">
        <v>0.61499999999999999</v>
      </c>
      <c r="AK163" s="1667"/>
      <c r="AL163" s="1667"/>
      <c r="AM163" s="1667"/>
      <c r="AN163" s="1667"/>
      <c r="AO163" s="1667"/>
      <c r="AP163" s="1667"/>
      <c r="AQ163" s="1667"/>
      <c r="AR163" s="1595"/>
      <c r="AS163" s="1595"/>
      <c r="AT163" s="1595"/>
      <c r="AU163" s="1595"/>
      <c r="AV163" s="1595"/>
      <c r="AW163" s="1595"/>
      <c r="AX163" s="1595"/>
      <c r="AY163" s="1595"/>
      <c r="AZ163" s="1595"/>
      <c r="BA163" s="1595"/>
      <c r="BB163" s="1596">
        <v>6.5529999999999999</v>
      </c>
      <c r="BC163" s="1596">
        <v>2.3290000000000002</v>
      </c>
      <c r="BD163" s="1596">
        <v>1.123</v>
      </c>
      <c r="BE163" s="1596">
        <v>-0.111</v>
      </c>
      <c r="BF163" s="1597">
        <v>0.751</v>
      </c>
      <c r="BG163" s="1669"/>
      <c r="BH163" s="1669"/>
      <c r="BI163" s="1669"/>
      <c r="BJ163" s="1669"/>
      <c r="BK163" s="1669"/>
      <c r="BL163" s="1607"/>
    </row>
    <row r="164" spans="1:64" s="1608" customFormat="1" outlineLevel="1" x14ac:dyDescent="0.35">
      <c r="A164" s="1599" t="s">
        <v>813</v>
      </c>
      <c r="B164" s="1717"/>
      <c r="C164" s="1601"/>
      <c r="D164" s="1601"/>
      <c r="E164" s="1601"/>
      <c r="F164" s="1601"/>
      <c r="G164" s="1601"/>
      <c r="H164" s="1601"/>
      <c r="I164" s="1601"/>
      <c r="J164" s="1601"/>
      <c r="K164" s="1601"/>
      <c r="L164" s="1601"/>
      <c r="M164" s="1601"/>
      <c r="N164" s="1601"/>
      <c r="O164" s="1601"/>
      <c r="P164" s="1601"/>
      <c r="Q164" s="1602">
        <f t="shared" ref="Q164:AJ164" si="48">SUM(Q154:Q163)</f>
        <v>18.994999999999997</v>
      </c>
      <c r="R164" s="1602">
        <f t="shared" si="48"/>
        <v>7.045999999999994</v>
      </c>
      <c r="S164" s="1602">
        <f t="shared" si="48"/>
        <v>10.955000000000002</v>
      </c>
      <c r="T164" s="1602">
        <f t="shared" si="48"/>
        <v>-1.0790000000000017</v>
      </c>
      <c r="U164" s="1602">
        <f t="shared" si="48"/>
        <v>15.095000000000001</v>
      </c>
      <c r="V164" s="1602">
        <f t="shared" si="48"/>
        <v>12.474999999999998</v>
      </c>
      <c r="W164" s="1602">
        <f t="shared" si="48"/>
        <v>21.948000000000008</v>
      </c>
      <c r="X164" s="1602">
        <f t="shared" si="48"/>
        <v>32.138000000000055</v>
      </c>
      <c r="Y164" s="1602">
        <f t="shared" si="48"/>
        <v>36.246999999999979</v>
      </c>
      <c r="Z164" s="1602">
        <f t="shared" si="48"/>
        <v>28.70699999999999</v>
      </c>
      <c r="AA164" s="1602">
        <f t="shared" si="48"/>
        <v>34.908000000000001</v>
      </c>
      <c r="AB164" s="1602">
        <f t="shared" si="48"/>
        <v>43.343999999999994</v>
      </c>
      <c r="AC164" s="1602">
        <f t="shared" si="48"/>
        <v>39.667000000000009</v>
      </c>
      <c r="AD164" s="1602">
        <f t="shared" si="48"/>
        <v>26.679999999999989</v>
      </c>
      <c r="AE164" s="1602">
        <f t="shared" si="48"/>
        <v>31.885999999999996</v>
      </c>
      <c r="AF164" s="1602">
        <f t="shared" si="48"/>
        <v>35.511999999999993</v>
      </c>
      <c r="AG164" s="1602">
        <f t="shared" si="48"/>
        <v>32.997</v>
      </c>
      <c r="AH164" s="1602">
        <f t="shared" si="48"/>
        <v>27.300999999999942</v>
      </c>
      <c r="AI164" s="1602">
        <f t="shared" si="48"/>
        <v>23.059000000000001</v>
      </c>
      <c r="AJ164" s="1603">
        <f t="shared" si="48"/>
        <v>31.007999999999992</v>
      </c>
      <c r="AK164" s="1601"/>
      <c r="AL164" s="1601"/>
      <c r="AM164" s="1601"/>
      <c r="AN164" s="1601"/>
      <c r="AO164" s="1601"/>
      <c r="AP164" s="1601"/>
      <c r="AQ164" s="1601"/>
      <c r="AR164" s="1604"/>
      <c r="AS164" s="1604"/>
      <c r="AT164" s="1604"/>
      <c r="AU164" s="1604"/>
      <c r="AV164" s="1604"/>
      <c r="AW164" s="1604"/>
      <c r="AX164" s="1604"/>
      <c r="AY164" s="1604"/>
      <c r="AZ164" s="1604"/>
      <c r="BA164" s="1604"/>
      <c r="BB164" s="1605">
        <f>SUM(BB154:BB163)</f>
        <v>51.394999999999975</v>
      </c>
      <c r="BC164" s="1605">
        <f>SUM(BC154:BC163)</f>
        <v>37.445</v>
      </c>
      <c r="BD164" s="1605">
        <f>SUM(BD154:BD163)</f>
        <v>119.04000000000008</v>
      </c>
      <c r="BE164" s="1605">
        <f>SUM(BE154:BE163)</f>
        <v>144.59900000000005</v>
      </c>
      <c r="BF164" s="1718">
        <f>SUM(BF154:BF163)</f>
        <v>127.69599999999997</v>
      </c>
      <c r="BG164" s="1604"/>
      <c r="BH164" s="1604"/>
      <c r="BI164" s="1604"/>
      <c r="BJ164" s="1604"/>
      <c r="BK164" s="1604"/>
      <c r="BL164" s="1607"/>
    </row>
    <row r="165" spans="1:64" s="1608" customFormat="1" outlineLevel="1" x14ac:dyDescent="0.35">
      <c r="A165" s="1591" t="s">
        <v>814</v>
      </c>
      <c r="B165" s="1712"/>
      <c r="C165" s="1515"/>
      <c r="D165" s="1515"/>
      <c r="E165" s="1515"/>
      <c r="F165" s="1515"/>
      <c r="G165" s="1515"/>
      <c r="H165" s="1515"/>
      <c r="I165" s="1515"/>
      <c r="J165" s="1515"/>
      <c r="K165" s="1515"/>
      <c r="L165" s="1515"/>
      <c r="M165" s="1515"/>
      <c r="N165" s="1515"/>
      <c r="O165" s="1515"/>
      <c r="P165" s="1515"/>
      <c r="Q165" s="1593">
        <v>4.9390000000000001</v>
      </c>
      <c r="R165" s="1593">
        <v>1.8320000000000001</v>
      </c>
      <c r="S165" s="1593">
        <v>2.8479999999999999</v>
      </c>
      <c r="T165" s="1593">
        <v>-0.28100000000000003</v>
      </c>
      <c r="U165" s="1593">
        <v>3.9249999999999998</v>
      </c>
      <c r="V165" s="1593">
        <v>3.2440000000000002</v>
      </c>
      <c r="W165" s="1593">
        <v>6.4980000000000002</v>
      </c>
      <c r="X165" s="1593">
        <v>9.516</v>
      </c>
      <c r="Y165" s="1593">
        <v>4.6719999999999997</v>
      </c>
      <c r="Z165" s="1593">
        <v>6.1230000000000002</v>
      </c>
      <c r="AA165" s="1593">
        <v>10.507</v>
      </c>
      <c r="AB165" s="1593">
        <v>10.845000000000001</v>
      </c>
      <c r="AC165" s="1593">
        <v>10.496</v>
      </c>
      <c r="AD165" s="1593">
        <v>6.2060000000000004</v>
      </c>
      <c r="AE165" s="1593">
        <v>8.6</v>
      </c>
      <c r="AF165" s="1593">
        <v>9.3079999999999998</v>
      </c>
      <c r="AG165" s="1593">
        <v>8.2629999999999999</v>
      </c>
      <c r="AH165" s="1736">
        <v>7.615000000000002</v>
      </c>
      <c r="AI165" s="1593">
        <v>5.6479999999999997</v>
      </c>
      <c r="AJ165" s="1594">
        <v>9.2159999999999993</v>
      </c>
      <c r="AK165" s="1667"/>
      <c r="AL165" s="1667"/>
      <c r="AM165" s="1667"/>
      <c r="AN165" s="1667"/>
      <c r="AO165" s="1667"/>
      <c r="AP165" s="1667"/>
      <c r="AQ165" s="1667"/>
      <c r="AR165" s="1595"/>
      <c r="AS165" s="1595"/>
      <c r="AT165" s="1595"/>
      <c r="AU165" s="1595"/>
      <c r="AV165" s="1595"/>
      <c r="AW165" s="1595"/>
      <c r="AX165" s="1595"/>
      <c r="AY165" s="1595"/>
      <c r="AZ165" s="1595"/>
      <c r="BA165" s="1595"/>
      <c r="BB165" s="1596">
        <v>13.363</v>
      </c>
      <c r="BC165" s="1596">
        <v>9.7360000000000007</v>
      </c>
      <c r="BD165" s="1596">
        <v>26.808</v>
      </c>
      <c r="BE165" s="1596">
        <v>38.054000000000002</v>
      </c>
      <c r="BF165" s="1598">
        <v>33.786000000000001</v>
      </c>
      <c r="BG165" s="1669"/>
      <c r="BH165" s="1669"/>
      <c r="BI165" s="1669"/>
      <c r="BJ165" s="1669"/>
      <c r="BK165" s="1669"/>
      <c r="BL165" s="1607"/>
    </row>
    <row r="166" spans="1:64" s="1608" customFormat="1" outlineLevel="1" x14ac:dyDescent="0.35">
      <c r="A166" s="1599" t="s">
        <v>815</v>
      </c>
      <c r="B166" s="1717"/>
      <c r="C166" s="1601"/>
      <c r="D166" s="1601"/>
      <c r="E166" s="1601"/>
      <c r="F166" s="1601"/>
      <c r="G166" s="1601"/>
      <c r="H166" s="1601"/>
      <c r="I166" s="1601"/>
      <c r="J166" s="1601"/>
      <c r="K166" s="1601"/>
      <c r="L166" s="1601"/>
      <c r="M166" s="1601"/>
      <c r="N166" s="1601"/>
      <c r="O166" s="1601"/>
      <c r="P166" s="1601"/>
      <c r="Q166" s="1602">
        <f t="shared" ref="Q166:AJ166" si="49">Q164-Q165</f>
        <v>14.055999999999997</v>
      </c>
      <c r="R166" s="1602">
        <f t="shared" si="49"/>
        <v>5.2139999999999942</v>
      </c>
      <c r="S166" s="1602">
        <f t="shared" si="49"/>
        <v>8.1070000000000029</v>
      </c>
      <c r="T166" s="1602">
        <f t="shared" si="49"/>
        <v>-0.79800000000000171</v>
      </c>
      <c r="U166" s="1602">
        <f t="shared" si="49"/>
        <v>11.170000000000002</v>
      </c>
      <c r="V166" s="1602">
        <f t="shared" si="49"/>
        <v>9.2309999999999981</v>
      </c>
      <c r="W166" s="1602">
        <f t="shared" si="49"/>
        <v>15.450000000000006</v>
      </c>
      <c r="X166" s="1602">
        <f t="shared" si="49"/>
        <v>22.622000000000057</v>
      </c>
      <c r="Y166" s="1602">
        <f t="shared" si="49"/>
        <v>31.574999999999978</v>
      </c>
      <c r="Z166" s="1602">
        <f t="shared" si="49"/>
        <v>22.583999999999989</v>
      </c>
      <c r="AA166" s="1602">
        <f t="shared" si="49"/>
        <v>24.401000000000003</v>
      </c>
      <c r="AB166" s="1602">
        <f t="shared" si="49"/>
        <v>32.498999999999995</v>
      </c>
      <c r="AC166" s="1602">
        <f t="shared" si="49"/>
        <v>29.171000000000006</v>
      </c>
      <c r="AD166" s="1602">
        <f t="shared" si="49"/>
        <v>20.47399999999999</v>
      </c>
      <c r="AE166" s="1602">
        <f t="shared" si="49"/>
        <v>23.285999999999994</v>
      </c>
      <c r="AF166" s="1602">
        <f t="shared" si="49"/>
        <v>26.203999999999994</v>
      </c>
      <c r="AG166" s="1602">
        <f t="shared" si="49"/>
        <v>24.734000000000002</v>
      </c>
      <c r="AH166" s="1607">
        <f t="shared" si="49"/>
        <v>19.68599999999994</v>
      </c>
      <c r="AI166" s="1602">
        <f t="shared" si="49"/>
        <v>17.411000000000001</v>
      </c>
      <c r="AJ166" s="1603">
        <f t="shared" si="49"/>
        <v>21.791999999999994</v>
      </c>
      <c r="AK166" s="1601"/>
      <c r="AL166" s="1601"/>
      <c r="AM166" s="1601"/>
      <c r="AN166" s="1601"/>
      <c r="AO166" s="1601"/>
      <c r="AP166" s="1601"/>
      <c r="AQ166" s="1601"/>
      <c r="AR166" s="1604"/>
      <c r="AS166" s="1604"/>
      <c r="AT166" s="1604"/>
      <c r="AU166" s="1604"/>
      <c r="AV166" s="1604"/>
      <c r="AW166" s="1604"/>
      <c r="AX166" s="1604"/>
      <c r="AY166" s="1604"/>
      <c r="AZ166" s="1604"/>
      <c r="BA166" s="1604"/>
      <c r="BB166" s="1605">
        <f>BB164-BB165</f>
        <v>38.031999999999975</v>
      </c>
      <c r="BC166" s="1605">
        <f>BC164-BC165</f>
        <v>27.709</v>
      </c>
      <c r="BD166" s="1605">
        <f>BD164-BD165</f>
        <v>92.232000000000085</v>
      </c>
      <c r="BE166" s="1605">
        <f>BE164-BE165</f>
        <v>106.54500000000004</v>
      </c>
      <c r="BF166" s="1606">
        <f>BF164-BF165</f>
        <v>93.909999999999968</v>
      </c>
      <c r="BG166" s="1604"/>
      <c r="BH166" s="1604"/>
      <c r="BI166" s="1604"/>
      <c r="BJ166" s="1604"/>
      <c r="BK166" s="1604"/>
      <c r="BL166" s="1607"/>
    </row>
    <row r="167" spans="1:64" s="1608" customFormat="1" outlineLevel="1" x14ac:dyDescent="0.35">
      <c r="A167" s="1665"/>
      <c r="B167" s="1712"/>
      <c r="C167" s="1667"/>
      <c r="D167" s="1667"/>
      <c r="E167" s="1667"/>
      <c r="F167" s="1667"/>
      <c r="G167" s="1667"/>
      <c r="H167" s="1667"/>
      <c r="I167" s="1667"/>
      <c r="J167" s="1667"/>
      <c r="K167" s="1667"/>
      <c r="L167" s="1667"/>
      <c r="M167" s="1667"/>
      <c r="N167" s="1667"/>
      <c r="O167" s="1667"/>
      <c r="P167" s="1667"/>
      <c r="Q167" s="1667"/>
      <c r="R167" s="1667"/>
      <c r="S167" s="1667"/>
      <c r="T167" s="1667"/>
      <c r="U167" s="1667"/>
      <c r="V167" s="1667"/>
      <c r="W167" s="1667"/>
      <c r="X167" s="1667"/>
      <c r="Y167" s="1667"/>
      <c r="Z167" s="1667"/>
      <c r="AA167" s="1667"/>
      <c r="AB167" s="1667"/>
      <c r="AC167" s="1667"/>
      <c r="AD167" s="1667"/>
      <c r="AE167" s="1667"/>
      <c r="AF167" s="1667"/>
      <c r="AG167" s="1667"/>
      <c r="AH167" s="1667"/>
      <c r="AI167" s="1667"/>
      <c r="AJ167" s="1668"/>
      <c r="AK167" s="1667"/>
      <c r="AL167" s="1667"/>
      <c r="AM167" s="1667"/>
      <c r="AN167" s="1667"/>
      <c r="AO167" s="1667"/>
      <c r="AP167" s="1667"/>
      <c r="AQ167" s="1667"/>
      <c r="AR167" s="1669"/>
      <c r="AS167" s="1669"/>
      <c r="AT167" s="1669"/>
      <c r="AU167" s="1669"/>
      <c r="AV167" s="1669"/>
      <c r="AW167" s="1669"/>
      <c r="AX167" s="1669"/>
      <c r="AY167" s="1669"/>
      <c r="AZ167" s="1669"/>
      <c r="BA167" s="1669"/>
      <c r="BB167" s="1669"/>
      <c r="BC167" s="1669"/>
      <c r="BD167" s="1669"/>
      <c r="BE167" s="1669"/>
      <c r="BF167" s="1612"/>
      <c r="BG167" s="1669"/>
      <c r="BH167" s="1669"/>
      <c r="BI167" s="1669"/>
      <c r="BJ167" s="1669"/>
      <c r="BK167" s="1669"/>
      <c r="BL167" s="1607"/>
    </row>
    <row r="168" spans="1:64" s="1518" customFormat="1" outlineLevel="1" x14ac:dyDescent="0.35">
      <c r="A168" s="1591" t="s">
        <v>995</v>
      </c>
      <c r="B168" s="1716"/>
      <c r="C168" s="1515"/>
      <c r="D168" s="1515"/>
      <c r="E168" s="1515"/>
      <c r="F168" s="1515"/>
      <c r="G168" s="1515"/>
      <c r="H168" s="1515"/>
      <c r="I168" s="1515"/>
      <c r="J168" s="1515"/>
      <c r="K168" s="1515"/>
      <c r="L168" s="1515"/>
      <c r="M168" s="1515"/>
      <c r="N168" s="1515"/>
      <c r="O168" s="1515"/>
      <c r="P168" s="1515"/>
      <c r="Q168" s="1515">
        <f>BB168/4</f>
        <v>1.8262499999999999</v>
      </c>
      <c r="R168" s="1515">
        <f>BB168/4</f>
        <v>1.8262499999999999</v>
      </c>
      <c r="S168" s="1515">
        <f>BC168/4</f>
        <v>1.3754999999999999</v>
      </c>
      <c r="T168" s="1515">
        <f>BC168/4</f>
        <v>1.3754999999999999</v>
      </c>
      <c r="U168" s="1515">
        <f>BC168/4</f>
        <v>1.3754999999999999</v>
      </c>
      <c r="V168" s="1515">
        <f>BC168/4</f>
        <v>1.3754999999999999</v>
      </c>
      <c r="W168" s="1515">
        <f>BD168/4</f>
        <v>2.8387500000000001</v>
      </c>
      <c r="X168" s="1515">
        <f>BD168/4</f>
        <v>2.8387500000000001</v>
      </c>
      <c r="Y168" s="1515">
        <f>BD168/4</f>
        <v>2.8387500000000001</v>
      </c>
      <c r="Z168" s="1515">
        <f>BD168/4</f>
        <v>2.8387500000000001</v>
      </c>
      <c r="AA168" s="1515">
        <f t="shared" ref="AA168:AJ168" si="50">AA170-AA169</f>
        <v>4.9227499999999997</v>
      </c>
      <c r="AB168" s="1515">
        <f t="shared" si="50"/>
        <v>6.2297500000000001</v>
      </c>
      <c r="AC168" s="1515">
        <f t="shared" si="50"/>
        <v>4.3187499999999996</v>
      </c>
      <c r="AD168" s="1515">
        <f t="shared" si="50"/>
        <v>-3.4152500000000003</v>
      </c>
      <c r="AE168" s="1515">
        <f t="shared" si="50"/>
        <v>4.5709999999999997</v>
      </c>
      <c r="AF168" s="1515">
        <f t="shared" si="50"/>
        <v>3.3839999999999999</v>
      </c>
      <c r="AG168" s="1515">
        <f t="shared" si="50"/>
        <v>7.4209999999999994</v>
      </c>
      <c r="AH168" s="1515">
        <f t="shared" si="50"/>
        <v>10.867000000000001</v>
      </c>
      <c r="AI168" s="1515">
        <f t="shared" si="50"/>
        <v>-5.5180000000000007</v>
      </c>
      <c r="AJ168" s="1516">
        <f t="shared" si="50"/>
        <v>6.8940000000000001</v>
      </c>
      <c r="AK168" s="1515"/>
      <c r="AL168" s="1515"/>
      <c r="AM168" s="1515"/>
      <c r="AN168" s="1515"/>
      <c r="AO168" s="1515"/>
      <c r="AP168" s="1515"/>
      <c r="AQ168" s="1515"/>
      <c r="AR168" s="1595"/>
      <c r="AS168" s="1595"/>
      <c r="AT168" s="1595"/>
      <c r="AU168" s="1595"/>
      <c r="AV168" s="1595"/>
      <c r="AW168" s="1595"/>
      <c r="AX168" s="1595"/>
      <c r="AY168" s="1595"/>
      <c r="AZ168" s="1595"/>
      <c r="BA168" s="1595"/>
      <c r="BB168" s="1596">
        <v>7.3049999999999997</v>
      </c>
      <c r="BC168" s="1596">
        <v>5.5019999999999998</v>
      </c>
      <c r="BD168" s="1596">
        <v>11.355</v>
      </c>
      <c r="BE168" s="1596">
        <v>12.057</v>
      </c>
      <c r="BF168" s="1597">
        <v>26.242999999999999</v>
      </c>
      <c r="BG168" s="1595"/>
      <c r="BH168" s="1595"/>
      <c r="BI168" s="1595"/>
      <c r="BJ168" s="1595"/>
      <c r="BK168" s="1595"/>
      <c r="BL168" s="1517"/>
    </row>
    <row r="169" spans="1:64" s="1518" customFormat="1" outlineLevel="1" x14ac:dyDescent="0.35">
      <c r="A169" s="1737" t="s">
        <v>996</v>
      </c>
      <c r="B169" s="1738"/>
      <c r="C169" s="1681"/>
      <c r="D169" s="1681"/>
      <c r="E169" s="1681"/>
      <c r="F169" s="1681"/>
      <c r="G169" s="1681"/>
      <c r="H169" s="1681"/>
      <c r="I169" s="1681"/>
      <c r="J169" s="1681"/>
      <c r="K169" s="1681"/>
      <c r="L169" s="1681"/>
      <c r="M169" s="1681"/>
      <c r="N169" s="1681"/>
      <c r="O169" s="1681"/>
      <c r="P169" s="1681"/>
      <c r="Q169" s="1681">
        <f t="shared" ref="Q169:Z169" si="51">+Q170-Q168</f>
        <v>-2.80525</v>
      </c>
      <c r="R169" s="1681">
        <f t="shared" si="51"/>
        <v>-12.37025</v>
      </c>
      <c r="S169" s="1681">
        <f t="shared" si="51"/>
        <v>-4.9314999999999998</v>
      </c>
      <c r="T169" s="1681">
        <f t="shared" si="51"/>
        <v>-2.8294999999999999</v>
      </c>
      <c r="U169" s="1681">
        <f t="shared" si="51"/>
        <v>4.3515000000000006</v>
      </c>
      <c r="V169" s="1681">
        <f t="shared" si="51"/>
        <v>-13.6555</v>
      </c>
      <c r="W169" s="1681">
        <f t="shared" si="51"/>
        <v>-2.3127500000000003</v>
      </c>
      <c r="X169" s="1681">
        <f t="shared" si="51"/>
        <v>1.1872499999999997</v>
      </c>
      <c r="Y169" s="1681">
        <f t="shared" si="51"/>
        <v>-15.47175</v>
      </c>
      <c r="Z169" s="1681">
        <f t="shared" si="51"/>
        <v>-5.2197499999999994</v>
      </c>
      <c r="AA169" s="1681">
        <f>BE169/4</f>
        <v>-0.83774999999999999</v>
      </c>
      <c r="AB169" s="1681">
        <f>BE169/4</f>
        <v>-0.83774999999999999</v>
      </c>
      <c r="AC169" s="1681">
        <f>BE169/4</f>
        <v>-0.83774999999999999</v>
      </c>
      <c r="AD169" s="1681">
        <f>BE169/4</f>
        <v>-0.83774999999999999</v>
      </c>
      <c r="AE169" s="1681">
        <f>BF169/4</f>
        <v>-3.4689999999999999</v>
      </c>
      <c r="AF169" s="1681">
        <f>BF169/4</f>
        <v>-3.4689999999999999</v>
      </c>
      <c r="AG169" s="1681">
        <f>BF169/4</f>
        <v>-3.4689999999999999</v>
      </c>
      <c r="AH169" s="1681">
        <f>BF169/4</f>
        <v>-3.4689999999999999</v>
      </c>
      <c r="AI169" s="1736">
        <v>-3.5</v>
      </c>
      <c r="AJ169" s="1739">
        <v>0.2</v>
      </c>
      <c r="AK169" s="1681"/>
      <c r="AL169" s="1681"/>
      <c r="AM169" s="1681"/>
      <c r="AN169" s="1681"/>
      <c r="AO169" s="1681"/>
      <c r="AP169" s="1681"/>
      <c r="AQ169" s="1681"/>
      <c r="AR169" s="1683"/>
      <c r="AS169" s="1683"/>
      <c r="AT169" s="1683"/>
      <c r="AU169" s="1683"/>
      <c r="AV169" s="1683"/>
      <c r="AW169" s="1683"/>
      <c r="AX169" s="1683"/>
      <c r="AY169" s="1683"/>
      <c r="AZ169" s="1683"/>
      <c r="BA169" s="1683"/>
      <c r="BB169" s="1740">
        <v>-19.108000000000001</v>
      </c>
      <c r="BC169" s="1740">
        <v>-17.064</v>
      </c>
      <c r="BD169" s="1740">
        <v>-21.816000000000003</v>
      </c>
      <c r="BE169" s="1740">
        <v>-3.351</v>
      </c>
      <c r="BF169" s="1598">
        <v>-13.875999999999999</v>
      </c>
      <c r="BG169" s="1683"/>
      <c r="BH169" s="1683"/>
      <c r="BI169" s="1683"/>
      <c r="BJ169" s="1683"/>
      <c r="BK169" s="1683"/>
      <c r="BL169" s="1517"/>
    </row>
    <row r="170" spans="1:64" s="1608" customFormat="1" outlineLevel="1" x14ac:dyDescent="0.35">
      <c r="A170" s="1711" t="s">
        <v>997</v>
      </c>
      <c r="B170" s="1712"/>
      <c r="C170" s="1667"/>
      <c r="D170" s="1667"/>
      <c r="E170" s="1667"/>
      <c r="F170" s="1667"/>
      <c r="G170" s="1667"/>
      <c r="H170" s="1667"/>
      <c r="I170" s="1667"/>
      <c r="J170" s="1667"/>
      <c r="K170" s="1667"/>
      <c r="L170" s="1667"/>
      <c r="M170" s="1667"/>
      <c r="N170" s="1667"/>
      <c r="O170" s="1667"/>
      <c r="P170" s="1667"/>
      <c r="Q170" s="1607">
        <f t="shared" ref="Q170:AJ170" si="52">Q132</f>
        <v>-0.97899999999999998</v>
      </c>
      <c r="R170" s="1607">
        <f t="shared" si="52"/>
        <v>-10.544</v>
      </c>
      <c r="S170" s="1607">
        <f t="shared" si="52"/>
        <v>-3.556</v>
      </c>
      <c r="T170" s="1607">
        <f t="shared" si="52"/>
        <v>-1.454</v>
      </c>
      <c r="U170" s="1607">
        <f t="shared" si="52"/>
        <v>5.7270000000000003</v>
      </c>
      <c r="V170" s="1607">
        <f t="shared" si="52"/>
        <v>-12.28</v>
      </c>
      <c r="W170" s="1607">
        <f t="shared" si="52"/>
        <v>0.52600000000000002</v>
      </c>
      <c r="X170" s="1607">
        <f t="shared" si="52"/>
        <v>4.0259999999999998</v>
      </c>
      <c r="Y170" s="1607">
        <f t="shared" si="52"/>
        <v>-12.632999999999999</v>
      </c>
      <c r="Z170" s="1607">
        <f t="shared" si="52"/>
        <v>-2.3809999999999998</v>
      </c>
      <c r="AA170" s="1607">
        <f t="shared" si="52"/>
        <v>4.085</v>
      </c>
      <c r="AB170" s="1607">
        <f t="shared" si="52"/>
        <v>5.3920000000000003</v>
      </c>
      <c r="AC170" s="1607">
        <f t="shared" si="52"/>
        <v>3.4809999999999999</v>
      </c>
      <c r="AD170" s="1607">
        <f t="shared" si="52"/>
        <v>-4.2530000000000001</v>
      </c>
      <c r="AE170" s="1607">
        <f t="shared" si="52"/>
        <v>1.1020000000000001</v>
      </c>
      <c r="AF170" s="1607">
        <f t="shared" si="52"/>
        <v>-8.5000000000000006E-2</v>
      </c>
      <c r="AG170" s="1607">
        <f t="shared" si="52"/>
        <v>3.952</v>
      </c>
      <c r="AH170" s="1607">
        <f t="shared" si="52"/>
        <v>7.3980000000000006</v>
      </c>
      <c r="AI170" s="1607">
        <f t="shared" si="52"/>
        <v>-9.0180000000000007</v>
      </c>
      <c r="AJ170" s="1730">
        <f t="shared" si="52"/>
        <v>7.0940000000000003</v>
      </c>
      <c r="AK170" s="1667"/>
      <c r="AL170" s="1667"/>
      <c r="AM170" s="1667"/>
      <c r="AN170" s="1667"/>
      <c r="AO170" s="1667"/>
      <c r="AP170" s="1667"/>
      <c r="AQ170" s="1667"/>
      <c r="AR170" s="1669"/>
      <c r="AS170" s="1669"/>
      <c r="AT170" s="1669"/>
      <c r="AU170" s="1669"/>
      <c r="AV170" s="1669"/>
      <c r="AW170" s="1669"/>
      <c r="AX170" s="1669"/>
      <c r="AY170" s="1669"/>
      <c r="AZ170" s="1669"/>
      <c r="BA170" s="1669"/>
      <c r="BB170" s="1731">
        <f>BB132</f>
        <v>-11.803000000000001</v>
      </c>
      <c r="BC170" s="1731">
        <f>BC132</f>
        <v>-11.561999999999999</v>
      </c>
      <c r="BD170" s="1731">
        <f>BD132</f>
        <v>-10.461</v>
      </c>
      <c r="BE170" s="1731">
        <f>SUM(BE168:BE169)</f>
        <v>8.7059999999999995</v>
      </c>
      <c r="BF170" s="1606">
        <f>SUM(BF168:BF169)</f>
        <v>12.366999999999999</v>
      </c>
      <c r="BG170" s="1669"/>
      <c r="BH170" s="1669"/>
      <c r="BI170" s="1669"/>
      <c r="BJ170" s="1669"/>
      <c r="BK170" s="1669"/>
      <c r="BL170" s="1607"/>
    </row>
    <row r="171" spans="1:64" s="1608" customFormat="1" outlineLevel="1" x14ac:dyDescent="0.35">
      <c r="A171" s="1665"/>
      <c r="B171" s="1712"/>
      <c r="C171" s="1667"/>
      <c r="D171" s="1667"/>
      <c r="E171" s="1667"/>
      <c r="F171" s="1667"/>
      <c r="G171" s="1667"/>
      <c r="H171" s="1667"/>
      <c r="I171" s="1667"/>
      <c r="J171" s="1667"/>
      <c r="K171" s="1667"/>
      <c r="L171" s="1667"/>
      <c r="M171" s="1667"/>
      <c r="N171" s="1667"/>
      <c r="O171" s="1667"/>
      <c r="P171" s="1667"/>
      <c r="Q171" s="1667"/>
      <c r="R171" s="1667"/>
      <c r="S171" s="1667"/>
      <c r="T171" s="1667"/>
      <c r="U171" s="1667"/>
      <c r="V171" s="1667"/>
      <c r="W171" s="1667"/>
      <c r="X171" s="1667"/>
      <c r="Y171" s="1667"/>
      <c r="Z171" s="1667"/>
      <c r="AA171" s="1667"/>
      <c r="AB171" s="1667"/>
      <c r="AC171" s="1667"/>
      <c r="AD171" s="1667"/>
      <c r="AE171" s="1667"/>
      <c r="AF171" s="1667"/>
      <c r="AG171" s="1667"/>
      <c r="AH171" s="1667"/>
      <c r="AI171" s="1667"/>
      <c r="AJ171" s="1668"/>
      <c r="AK171" s="1667"/>
      <c r="AL171" s="1667"/>
      <c r="AM171" s="1667"/>
      <c r="AN171" s="1667"/>
      <c r="AO171" s="1667"/>
      <c r="AP171" s="1667"/>
      <c r="AQ171" s="1667"/>
      <c r="AR171" s="1669"/>
      <c r="AS171" s="1669"/>
      <c r="AT171" s="1669"/>
      <c r="AU171" s="1669"/>
      <c r="AV171" s="1669"/>
      <c r="AW171" s="1669"/>
      <c r="AX171" s="1669"/>
      <c r="AY171" s="1669"/>
      <c r="AZ171" s="1669"/>
      <c r="BA171" s="1669"/>
      <c r="BB171" s="1669"/>
      <c r="BC171" s="1669"/>
      <c r="BD171" s="1669"/>
      <c r="BE171" s="1669"/>
      <c r="BF171" s="1612"/>
      <c r="BG171" s="1669"/>
      <c r="BH171" s="1669"/>
      <c r="BI171" s="1669"/>
      <c r="BJ171" s="1669"/>
      <c r="BK171" s="1669"/>
      <c r="BL171" s="1607"/>
    </row>
    <row r="172" spans="1:64" s="1518" customFormat="1" outlineLevel="1" x14ac:dyDescent="0.35">
      <c r="A172" s="1591" t="s">
        <v>998</v>
      </c>
      <c r="B172" s="1716"/>
      <c r="C172" s="1515"/>
      <c r="D172" s="1515"/>
      <c r="E172" s="1515"/>
      <c r="F172" s="1515"/>
      <c r="G172" s="1515"/>
      <c r="H172" s="1515"/>
      <c r="I172" s="1515"/>
      <c r="J172" s="1515"/>
      <c r="K172" s="1515"/>
      <c r="L172" s="1515"/>
      <c r="M172" s="1515"/>
      <c r="N172" s="1515"/>
      <c r="O172" s="1515"/>
      <c r="P172" s="1515"/>
      <c r="Q172" s="1515">
        <f>BB172/4</f>
        <v>2.15</v>
      </c>
      <c r="R172" s="1515">
        <f>BB172/4</f>
        <v>2.15</v>
      </c>
      <c r="S172" s="1593">
        <v>1.8</v>
      </c>
      <c r="T172" s="1593">
        <v>1.8</v>
      </c>
      <c r="U172" s="1593">
        <v>1.7</v>
      </c>
      <c r="V172" s="1515">
        <f>BC172-SUM(S172,T172,U172)</f>
        <v>1.7999999999999998</v>
      </c>
      <c r="W172" s="1593">
        <v>1.3</v>
      </c>
      <c r="X172" s="1593">
        <v>1.1000000000000001</v>
      </c>
      <c r="Y172" s="1593">
        <v>1.1000000000000001</v>
      </c>
      <c r="Z172" s="1515">
        <f>BD172-SUM(W172,X172,Y172)</f>
        <v>0.99999999999999956</v>
      </c>
      <c r="AA172" s="1593">
        <v>1.1000000000000001</v>
      </c>
      <c r="AB172" s="1593">
        <v>1.1000000000000001</v>
      </c>
      <c r="AC172" s="1593">
        <v>1.1000000000000001</v>
      </c>
      <c r="AD172" s="1517">
        <f>BE172-SUM(AA172,AB172,AC172)</f>
        <v>3.7999999999999994</v>
      </c>
      <c r="AE172" s="1593">
        <v>1</v>
      </c>
      <c r="AF172" s="1593">
        <v>0.9</v>
      </c>
      <c r="AG172" s="1593">
        <v>0.8</v>
      </c>
      <c r="AH172" s="1517">
        <f>BF172-SUM(AE172,AF172,AG172)</f>
        <v>0.89999999999999991</v>
      </c>
      <c r="AI172" s="1593">
        <v>0.9</v>
      </c>
      <c r="AJ172" s="1594">
        <v>0.9</v>
      </c>
      <c r="AK172" s="1515"/>
      <c r="AL172" s="1515"/>
      <c r="AM172" s="1515"/>
      <c r="AN172" s="1515"/>
      <c r="AO172" s="1515"/>
      <c r="AP172" s="1515"/>
      <c r="AQ172" s="1515"/>
      <c r="AR172" s="1595"/>
      <c r="AS172" s="1595"/>
      <c r="AT172" s="1595"/>
      <c r="AU172" s="1595"/>
      <c r="AV172" s="1595"/>
      <c r="AW172" s="1595"/>
      <c r="AX172" s="1595"/>
      <c r="AY172" s="1595"/>
      <c r="AZ172" s="1595"/>
      <c r="BA172" s="1595"/>
      <c r="BB172" s="1596">
        <v>8.6</v>
      </c>
      <c r="BC172" s="1596">
        <v>7.1</v>
      </c>
      <c r="BD172" s="1596">
        <v>4.5</v>
      </c>
      <c r="BE172" s="1596">
        <v>7.1</v>
      </c>
      <c r="BF172" s="1597">
        <v>3.6</v>
      </c>
      <c r="BG172" s="1595"/>
      <c r="BH172" s="1595"/>
      <c r="BI172" s="1595"/>
      <c r="BJ172" s="1595"/>
      <c r="BK172" s="1595"/>
      <c r="BL172" s="1517"/>
    </row>
    <row r="173" spans="1:64" s="1518" customFormat="1" outlineLevel="1" x14ac:dyDescent="0.35">
      <c r="A173" s="1737" t="s">
        <v>999</v>
      </c>
      <c r="B173" s="1738"/>
      <c r="C173" s="1681"/>
      <c r="D173" s="1681"/>
      <c r="E173" s="1681"/>
      <c r="F173" s="1681"/>
      <c r="G173" s="1681"/>
      <c r="H173" s="1681"/>
      <c r="I173" s="1681"/>
      <c r="J173" s="1681"/>
      <c r="K173" s="1681"/>
      <c r="L173" s="1681"/>
      <c r="M173" s="1681"/>
      <c r="N173" s="1681"/>
      <c r="O173" s="1681"/>
      <c r="P173" s="1681"/>
      <c r="Q173" s="1741">
        <f t="shared" ref="Q173:AJ173" si="53">Q174-Q172</f>
        <v>-2.15</v>
      </c>
      <c r="R173" s="1741">
        <f t="shared" si="53"/>
        <v>-2.15</v>
      </c>
      <c r="S173" s="1741">
        <f t="shared" si="53"/>
        <v>-1.8</v>
      </c>
      <c r="T173" s="1741">
        <f t="shared" si="53"/>
        <v>-1.8</v>
      </c>
      <c r="U173" s="1741">
        <f t="shared" si="53"/>
        <v>21.163</v>
      </c>
      <c r="V173" s="1741">
        <f t="shared" si="53"/>
        <v>-1.7999999999999998</v>
      </c>
      <c r="W173" s="1741">
        <f t="shared" si="53"/>
        <v>19.248999999999999</v>
      </c>
      <c r="X173" s="1741">
        <f t="shared" si="53"/>
        <v>19.197999999999997</v>
      </c>
      <c r="Y173" s="1741">
        <f t="shared" si="53"/>
        <v>19.245999999999999</v>
      </c>
      <c r="Z173" s="1741">
        <f t="shared" si="53"/>
        <v>19.870999999999999</v>
      </c>
      <c r="AA173" s="1741">
        <f t="shared" si="53"/>
        <v>19.055999999999997</v>
      </c>
      <c r="AB173" s="1741">
        <f t="shared" si="53"/>
        <v>18.771999999999998</v>
      </c>
      <c r="AC173" s="1741">
        <f t="shared" si="53"/>
        <v>15.47</v>
      </c>
      <c r="AD173" s="1741">
        <f t="shared" si="53"/>
        <v>12.742000000000003</v>
      </c>
      <c r="AE173" s="1741">
        <f t="shared" si="53"/>
        <v>14.122</v>
      </c>
      <c r="AF173" s="1741">
        <f t="shared" si="53"/>
        <v>15.22</v>
      </c>
      <c r="AG173" s="1741">
        <f t="shared" si="53"/>
        <v>15.074999999999999</v>
      </c>
      <c r="AH173" s="1741">
        <f t="shared" si="53"/>
        <v>14.835999999999997</v>
      </c>
      <c r="AI173" s="1741">
        <f t="shared" si="53"/>
        <v>14.87</v>
      </c>
      <c r="AJ173" s="1742">
        <f t="shared" si="53"/>
        <v>14.92</v>
      </c>
      <c r="AK173" s="1681"/>
      <c r="AL173" s="1681"/>
      <c r="AM173" s="1681"/>
      <c r="AN173" s="1681"/>
      <c r="AO173" s="1681"/>
      <c r="AP173" s="1681"/>
      <c r="AQ173" s="1681"/>
      <c r="AR173" s="1683"/>
      <c r="AS173" s="1683"/>
      <c r="AT173" s="1683"/>
      <c r="AU173" s="1683"/>
      <c r="AV173" s="1683"/>
      <c r="AW173" s="1683"/>
      <c r="AX173" s="1683"/>
      <c r="AY173" s="1683"/>
      <c r="AZ173" s="1683"/>
      <c r="BA173" s="1683"/>
      <c r="BB173" s="1743">
        <f>BB174-BB172</f>
        <v>85.202000000000012</v>
      </c>
      <c r="BC173" s="1743">
        <f>BC174-BC172</f>
        <v>84.099000000000004</v>
      </c>
      <c r="BD173" s="1743">
        <f>BD174-BD172</f>
        <v>77.563999999999993</v>
      </c>
      <c r="BE173" s="1743">
        <f>BE174-BE172</f>
        <v>66.040000000000006</v>
      </c>
      <c r="BF173" s="1744">
        <f>BF174-BF172</f>
        <v>59.253</v>
      </c>
      <c r="BG173" s="1683"/>
      <c r="BH173" s="1683"/>
      <c r="BI173" s="1683"/>
      <c r="BJ173" s="1683"/>
      <c r="BK173" s="1683"/>
      <c r="BL173" s="1517"/>
    </row>
    <row r="174" spans="1:64" s="1608" customFormat="1" outlineLevel="1" x14ac:dyDescent="0.35">
      <c r="A174" s="1711" t="s">
        <v>1000</v>
      </c>
      <c r="B174" s="1712"/>
      <c r="C174" s="1667"/>
      <c r="D174" s="1667"/>
      <c r="E174" s="1667"/>
      <c r="F174" s="1667"/>
      <c r="G174" s="1667"/>
      <c r="H174" s="1667"/>
      <c r="I174" s="1667"/>
      <c r="J174" s="1667"/>
      <c r="K174" s="1667"/>
      <c r="L174" s="1667"/>
      <c r="M174" s="1667"/>
      <c r="N174" s="1667"/>
      <c r="O174" s="1667"/>
      <c r="P174" s="1667"/>
      <c r="Q174" s="1607">
        <f t="shared" ref="Q174:AJ174" si="54">Q124</f>
        <v>0</v>
      </c>
      <c r="R174" s="1607">
        <f t="shared" si="54"/>
        <v>0</v>
      </c>
      <c r="S174" s="1607">
        <f t="shared" si="54"/>
        <v>0</v>
      </c>
      <c r="T174" s="1607">
        <f t="shared" si="54"/>
        <v>0</v>
      </c>
      <c r="U174" s="1607">
        <f t="shared" si="54"/>
        <v>22.863</v>
      </c>
      <c r="V174" s="1607">
        <f t="shared" si="54"/>
        <v>0</v>
      </c>
      <c r="W174" s="1607">
        <f t="shared" si="54"/>
        <v>20.548999999999999</v>
      </c>
      <c r="X174" s="1607">
        <f t="shared" si="54"/>
        <v>20.297999999999998</v>
      </c>
      <c r="Y174" s="1607">
        <f t="shared" si="54"/>
        <v>20.346</v>
      </c>
      <c r="Z174" s="1607">
        <f t="shared" si="54"/>
        <v>20.870999999999999</v>
      </c>
      <c r="AA174" s="1607">
        <f t="shared" si="54"/>
        <v>20.155999999999999</v>
      </c>
      <c r="AB174" s="1607">
        <f t="shared" si="54"/>
        <v>19.872</v>
      </c>
      <c r="AC174" s="1607">
        <f t="shared" si="54"/>
        <v>16.57</v>
      </c>
      <c r="AD174" s="1607">
        <f t="shared" si="54"/>
        <v>16.542000000000002</v>
      </c>
      <c r="AE174" s="1607">
        <f t="shared" si="54"/>
        <v>15.122</v>
      </c>
      <c r="AF174" s="1607">
        <f t="shared" si="54"/>
        <v>16.12</v>
      </c>
      <c r="AG174" s="1607">
        <f t="shared" si="54"/>
        <v>15.875</v>
      </c>
      <c r="AH174" s="1607">
        <f t="shared" si="54"/>
        <v>15.735999999999997</v>
      </c>
      <c r="AI174" s="1607">
        <f t="shared" si="54"/>
        <v>15.77</v>
      </c>
      <c r="AJ174" s="1730">
        <f t="shared" si="54"/>
        <v>15.82</v>
      </c>
      <c r="AK174" s="1667"/>
      <c r="AL174" s="1667"/>
      <c r="AM174" s="1667"/>
      <c r="AN174" s="1667"/>
      <c r="AO174" s="1667"/>
      <c r="AP174" s="1667"/>
      <c r="AQ174" s="1667"/>
      <c r="AR174" s="1669"/>
      <c r="AS174" s="1669"/>
      <c r="AT174" s="1669"/>
      <c r="AU174" s="1669"/>
      <c r="AV174" s="1669"/>
      <c r="AW174" s="1669"/>
      <c r="AX174" s="1669"/>
      <c r="AY174" s="1669"/>
      <c r="AZ174" s="1669"/>
      <c r="BA174" s="1669"/>
      <c r="BB174" s="1731">
        <f>BB124</f>
        <v>93.802000000000007</v>
      </c>
      <c r="BC174" s="1731">
        <f>BC124</f>
        <v>91.198999999999998</v>
      </c>
      <c r="BD174" s="1731">
        <f>BD124</f>
        <v>82.063999999999993</v>
      </c>
      <c r="BE174" s="1731">
        <f>BE124</f>
        <v>73.14</v>
      </c>
      <c r="BF174" s="1606">
        <f>BF124</f>
        <v>62.853000000000002</v>
      </c>
      <c r="BG174" s="1669"/>
      <c r="BH174" s="1669"/>
      <c r="BI174" s="1669"/>
      <c r="BJ174" s="1669"/>
      <c r="BK174" s="1669"/>
      <c r="BL174" s="1607"/>
    </row>
    <row r="175" spans="1:64" s="1608" customFormat="1" x14ac:dyDescent="0.35">
      <c r="A175" s="1665"/>
      <c r="B175" s="1712"/>
      <c r="C175" s="1667"/>
      <c r="D175" s="1667"/>
      <c r="E175" s="1667"/>
      <c r="F175" s="1667"/>
      <c r="G175" s="1667"/>
      <c r="H175" s="1667"/>
      <c r="I175" s="1667"/>
      <c r="J175" s="1667"/>
      <c r="K175" s="1667"/>
      <c r="L175" s="1667"/>
      <c r="M175" s="1667"/>
      <c r="N175" s="1667"/>
      <c r="O175" s="1667"/>
      <c r="P175" s="1667"/>
      <c r="Q175" s="1667"/>
      <c r="R175" s="1667"/>
      <c r="S175" s="1667"/>
      <c r="T175" s="1667"/>
      <c r="U175" s="1667"/>
      <c r="V175" s="1667"/>
      <c r="W175" s="1667"/>
      <c r="X175" s="1667"/>
      <c r="Y175" s="1667"/>
      <c r="Z175" s="1667"/>
      <c r="AA175" s="1667"/>
      <c r="AB175" s="1667"/>
      <c r="AC175" s="1667"/>
      <c r="AD175" s="1667"/>
      <c r="AE175" s="1667"/>
      <c r="AF175" s="1667"/>
      <c r="AG175" s="1667"/>
      <c r="AH175" s="1667"/>
      <c r="AI175" s="1667"/>
      <c r="AJ175" s="1668"/>
      <c r="AK175" s="1667"/>
      <c r="AL175" s="1667"/>
      <c r="AM175" s="1667"/>
      <c r="AN175" s="1667"/>
      <c r="AO175" s="1667"/>
      <c r="AP175" s="1667"/>
      <c r="AQ175" s="1667"/>
      <c r="AR175" s="1669"/>
      <c r="AS175" s="1669"/>
      <c r="AT175" s="1669"/>
      <c r="AU175" s="1669"/>
      <c r="AV175" s="1669"/>
      <c r="AW175" s="1669"/>
      <c r="AX175" s="1669"/>
      <c r="AY175" s="1669"/>
      <c r="AZ175" s="1669"/>
      <c r="BA175" s="1669"/>
      <c r="BB175" s="1669"/>
      <c r="BC175" s="1669"/>
      <c r="BD175" s="1669"/>
      <c r="BE175" s="1669"/>
      <c r="BF175" s="1612"/>
      <c r="BG175" s="1669"/>
      <c r="BH175" s="1669"/>
      <c r="BI175" s="1669"/>
      <c r="BJ175" s="1669"/>
      <c r="BK175" s="1669"/>
      <c r="BL175" s="1607"/>
    </row>
    <row r="176" spans="1:64" s="1518" customFormat="1" x14ac:dyDescent="0.35">
      <c r="A176" s="1588" t="s">
        <v>1001</v>
      </c>
      <c r="B176" s="1556"/>
      <c r="C176" s="1556"/>
      <c r="D176" s="1556"/>
      <c r="E176" s="1556"/>
      <c r="F176" s="1556"/>
      <c r="G176" s="1556"/>
      <c r="H176" s="1556"/>
      <c r="I176" s="1556"/>
      <c r="J176" s="1556"/>
      <c r="K176" s="1556"/>
      <c r="L176" s="1556"/>
      <c r="M176" s="1556"/>
      <c r="N176" s="1556"/>
      <c r="O176" s="1556"/>
      <c r="P176" s="1556"/>
      <c r="Q176" s="1556"/>
      <c r="R176" s="1556"/>
      <c r="S176" s="1556"/>
      <c r="T176" s="1556"/>
      <c r="U176" s="1556"/>
      <c r="V176" s="1556"/>
      <c r="W176" s="1556"/>
      <c r="X176" s="1556"/>
      <c r="Y176" s="1556"/>
      <c r="Z176" s="1556"/>
      <c r="AA176" s="1556"/>
      <c r="AB176" s="1556"/>
      <c r="AC176" s="1556"/>
      <c r="AD176" s="1556"/>
      <c r="AE176" s="1556"/>
      <c r="AF176" s="1556"/>
      <c r="AG176" s="1556"/>
      <c r="AH176" s="1556"/>
      <c r="AI176" s="1556"/>
      <c r="AJ176" s="1558"/>
      <c r="AK176" s="1556"/>
      <c r="AL176" s="1556"/>
      <c r="AM176" s="1556"/>
      <c r="AN176" s="1556"/>
      <c r="AO176" s="1556"/>
      <c r="AP176" s="1556"/>
      <c r="AQ176" s="1556"/>
      <c r="AR176" s="1556"/>
      <c r="AS176" s="1556"/>
      <c r="AT176" s="1556"/>
      <c r="AU176" s="1556"/>
      <c r="AV176" s="1556"/>
      <c r="AW176" s="1556"/>
      <c r="AX176" s="1556"/>
      <c r="AY176" s="1556"/>
      <c r="AZ176" s="1556"/>
      <c r="BA176" s="1556"/>
      <c r="BB176" s="1556"/>
      <c r="BC176" s="1556"/>
      <c r="BD176" s="1556"/>
      <c r="BE176" s="1556"/>
      <c r="BF176" s="1558"/>
      <c r="BG176" s="1556"/>
      <c r="BH176" s="1556"/>
      <c r="BI176" s="1556"/>
      <c r="BJ176" s="1556"/>
      <c r="BK176" s="1556"/>
      <c r="BL176" s="1517"/>
    </row>
    <row r="177" spans="1:64" s="1608" customFormat="1" x14ac:dyDescent="0.35">
      <c r="A177" s="1711" t="s">
        <v>1002</v>
      </c>
      <c r="B177" s="1712"/>
      <c r="C177" s="1667"/>
      <c r="D177" s="1667"/>
      <c r="E177" s="1667"/>
      <c r="F177" s="1667"/>
      <c r="G177" s="1667"/>
      <c r="H177" s="1667"/>
      <c r="I177" s="1667"/>
      <c r="J177" s="1667"/>
      <c r="K177" s="1667"/>
      <c r="L177" s="1667"/>
      <c r="M177" s="1667"/>
      <c r="N177" s="1667"/>
      <c r="O177" s="1667"/>
      <c r="P177" s="1667"/>
      <c r="Q177" s="1607">
        <f t="shared" ref="Q177:AJ177" si="55">Q119</f>
        <v>132.76499999999999</v>
      </c>
      <c r="R177" s="1607">
        <f t="shared" si="55"/>
        <v>121.429</v>
      </c>
      <c r="S177" s="1607">
        <f t="shared" si="55"/>
        <v>119.376</v>
      </c>
      <c r="T177" s="1607">
        <f t="shared" si="55"/>
        <v>88.570999999999998</v>
      </c>
      <c r="U177" s="1607">
        <f t="shared" si="55"/>
        <v>117.602</v>
      </c>
      <c r="V177" s="1607">
        <f t="shared" si="55"/>
        <v>128.50299999999999</v>
      </c>
      <c r="W177" s="1607">
        <f t="shared" si="55"/>
        <v>139.37</v>
      </c>
      <c r="X177" s="1607">
        <f t="shared" si="55"/>
        <v>159.328</v>
      </c>
      <c r="Y177" s="1607">
        <f t="shared" si="55"/>
        <v>169.55699999999999</v>
      </c>
      <c r="Z177" s="1607">
        <f t="shared" si="55"/>
        <v>173.62899999999999</v>
      </c>
      <c r="AA177" s="1607">
        <f t="shared" si="55"/>
        <v>191.97200000000001</v>
      </c>
      <c r="AB177" s="1607">
        <f t="shared" si="55"/>
        <v>205.59100000000001</v>
      </c>
      <c r="AC177" s="1607">
        <f t="shared" si="55"/>
        <v>199.29900000000001</v>
      </c>
      <c r="AD177" s="1607">
        <f t="shared" si="55"/>
        <v>169.92</v>
      </c>
      <c r="AE177" s="1607">
        <f t="shared" si="55"/>
        <v>179.274</v>
      </c>
      <c r="AF177" s="1607">
        <f t="shared" si="55"/>
        <v>190.38399999999999</v>
      </c>
      <c r="AG177" s="1607">
        <f t="shared" si="55"/>
        <v>180.566</v>
      </c>
      <c r="AH177" s="1607">
        <f t="shared" si="55"/>
        <v>169.41599999999994</v>
      </c>
      <c r="AI177" s="1607">
        <f t="shared" si="55"/>
        <v>185.999</v>
      </c>
      <c r="AJ177" s="1730">
        <f t="shared" si="55"/>
        <v>200.52799999999999</v>
      </c>
      <c r="AK177" s="1667">
        <f t="shared" ref="AK177:AP177" si="56">AK18</f>
        <v>191.58052599999996</v>
      </c>
      <c r="AL177" s="1667">
        <f t="shared" si="56"/>
        <v>177.88679999999997</v>
      </c>
      <c r="AM177" s="1667">
        <f t="shared" si="56"/>
        <v>196.23898894599998</v>
      </c>
      <c r="AN177" s="1667">
        <f t="shared" si="56"/>
        <v>216.00735790399997</v>
      </c>
      <c r="AO177" s="1667">
        <f t="shared" si="56"/>
        <v>208.31795865398993</v>
      </c>
      <c r="AP177" s="1667">
        <f t="shared" si="56"/>
        <v>196.62005890799998</v>
      </c>
      <c r="AQ177" s="1667"/>
      <c r="AR177" s="1669"/>
      <c r="AS177" s="1669"/>
      <c r="AT177" s="1669"/>
      <c r="AU177" s="1669"/>
      <c r="AV177" s="1669"/>
      <c r="AW177" s="1669"/>
      <c r="AX177" s="1669"/>
      <c r="AY177" s="1669"/>
      <c r="AZ177" s="1669"/>
      <c r="BA177" s="1669"/>
      <c r="BB177" s="1731">
        <f>BB119</f>
        <v>497.11599999999999</v>
      </c>
      <c r="BC177" s="1731">
        <f>BC119</f>
        <v>454.053</v>
      </c>
      <c r="BD177" s="1731">
        <f>BD119</f>
        <v>641.88400000000001</v>
      </c>
      <c r="BE177" s="1731">
        <f>BE119</f>
        <v>766.78200000000004</v>
      </c>
      <c r="BF177" s="1606">
        <f>BF119</f>
        <v>719.64</v>
      </c>
      <c r="BG177" s="1669">
        <f>SUM(AI177,AJ177,AK177,AL177)</f>
        <v>755.994326</v>
      </c>
      <c r="BH177" s="1669">
        <f>SUM(AM177,AN177,AO177,AP177)</f>
        <v>817.18436441198992</v>
      </c>
      <c r="BI177" s="1669">
        <f>BI18</f>
        <v>894.19049101611722</v>
      </c>
      <c r="BJ177" s="1669">
        <f>BJ18</f>
        <v>956.73287436211638</v>
      </c>
      <c r="BK177" s="1669">
        <f>BK18</f>
        <v>1023.294019815175</v>
      </c>
      <c r="BL177" s="1607"/>
    </row>
    <row r="178" spans="1:64" s="1754" customFormat="1" x14ac:dyDescent="0.35">
      <c r="A178" s="1745" t="str">
        <f>CONCATENATE("Consensus Estimates - ",IFERROR(LEFT(A177,FIND("(",A177)-1),A177))</f>
        <v>Consensus Estimates - Net Revenue</v>
      </c>
      <c r="B178" s="1746"/>
      <c r="C178" s="1747"/>
      <c r="D178" s="1748"/>
      <c r="E178" s="1747"/>
      <c r="F178" s="1747"/>
      <c r="G178" s="1747"/>
      <c r="H178" s="1748"/>
      <c r="I178" s="1747"/>
      <c r="J178" s="1747"/>
      <c r="K178" s="1747"/>
      <c r="L178" s="1748"/>
      <c r="M178" s="1747"/>
      <c r="N178" s="1747"/>
      <c r="O178" s="1747"/>
      <c r="P178" s="1748"/>
      <c r="Q178" s="1747"/>
      <c r="R178" s="1747"/>
      <c r="S178" s="1747"/>
      <c r="T178" s="1748"/>
      <c r="U178" s="1747"/>
      <c r="V178" s="1747"/>
      <c r="W178" s="1747"/>
      <c r="X178" s="1748"/>
      <c r="Y178" s="1747"/>
      <c r="Z178" s="1747"/>
      <c r="AA178" s="1747"/>
      <c r="AB178" s="1748"/>
      <c r="AC178" s="1747"/>
      <c r="AD178" s="1747"/>
      <c r="AE178" s="1747"/>
      <c r="AF178" s="1748"/>
      <c r="AG178" s="1747"/>
      <c r="AH178" s="1747"/>
      <c r="AI178" s="1747"/>
      <c r="AJ178" s="1749"/>
      <c r="AK178" s="1750" t="str">
        <f t="shared" ref="AK178:AP178" ca="1" si="57">IFERROR(VLOOKUP($A178,tb_ConsensusEstimate,MATCH(AK$5,OFFSET(tb_ConsensusEstimate,0,0,1,COLUMNS(tb_ConsensusEstimate)),0),FALSE),"-")</f>
        <v>N/A</v>
      </c>
      <c r="AL178" s="1750" t="str">
        <f t="shared" ca="1" si="57"/>
        <v>N/A</v>
      </c>
      <c r="AM178" s="1750" t="str">
        <f t="shared" ca="1" si="57"/>
        <v>N/A</v>
      </c>
      <c r="AN178" s="1750" t="str">
        <f t="shared" ca="1" si="57"/>
        <v>N/A</v>
      </c>
      <c r="AO178" s="1750" t="str">
        <f t="shared" ca="1" si="57"/>
        <v>N/A</v>
      </c>
      <c r="AP178" s="1750" t="str">
        <f t="shared" ca="1" si="57"/>
        <v>N/A</v>
      </c>
      <c r="AQ178" s="1750"/>
      <c r="AR178" s="1751"/>
      <c r="AS178" s="1751"/>
      <c r="AT178" s="1751"/>
      <c r="AU178" s="1751"/>
      <c r="AV178" s="1751"/>
      <c r="AW178" s="1751"/>
      <c r="AX178" s="1751"/>
      <c r="AY178" s="1751"/>
      <c r="AZ178" s="1751"/>
      <c r="BA178" s="1751"/>
      <c r="BB178" s="1751"/>
      <c r="BC178" s="1751"/>
      <c r="BD178" s="1751"/>
      <c r="BE178" s="1751"/>
      <c r="BF178" s="1752"/>
      <c r="BG178" s="1753" t="str">
        <f ca="1">IFERROR(VLOOKUP($A178,tb_ConsensusEstimate,MATCH(BG$5,OFFSET(tb_ConsensusEstimate,0,0,1,COLUMNS(tb_ConsensusEstimate)),0),FALSE),"-")</f>
        <v>N/A</v>
      </c>
      <c r="BH178" s="1753" t="str">
        <f ca="1">IFERROR(VLOOKUP($A178,tb_ConsensusEstimate,MATCH(BH$5,OFFSET(tb_ConsensusEstimate,0,0,1,COLUMNS(tb_ConsensusEstimate)),0),FALSE),"-")</f>
        <v>N/A</v>
      </c>
      <c r="BI178" s="1753" t="str">
        <f ca="1">IFERROR(VLOOKUP($A178,tb_ConsensusEstimate,MATCH(BI$5,OFFSET(tb_ConsensusEstimate,0,0,1,COLUMNS(tb_ConsensusEstimate)),0),FALSE),"-")</f>
        <v>N/A</v>
      </c>
      <c r="BJ178" s="1753" t="str">
        <f ca="1">IFERROR(VLOOKUP($A178,tb_ConsensusEstimate,MATCH(BJ$5,OFFSET(tb_ConsensusEstimate,0,0,1,COLUMNS(tb_ConsensusEstimate)),0),FALSE),"-")</f>
        <v>N/A</v>
      </c>
      <c r="BK178" s="1753" t="str">
        <f ca="1">IFERROR(VLOOKUP($A178,tb_ConsensusEstimate,MATCH(BK$5,OFFSET(tb_ConsensusEstimate,0,0,1,COLUMNS(tb_ConsensusEstimate)),0),FALSE),"-")</f>
        <v>N/A</v>
      </c>
      <c r="BL178" s="1747"/>
    </row>
    <row r="179" spans="1:64" s="1608" customFormat="1" x14ac:dyDescent="0.35">
      <c r="A179" s="1665"/>
      <c r="B179" s="1712"/>
      <c r="C179" s="1667"/>
      <c r="D179" s="1667"/>
      <c r="E179" s="1667"/>
      <c r="F179" s="1667"/>
      <c r="G179" s="1667"/>
      <c r="H179" s="1667"/>
      <c r="I179" s="1667"/>
      <c r="J179" s="1667"/>
      <c r="K179" s="1667"/>
      <c r="L179" s="1667"/>
      <c r="M179" s="1667"/>
      <c r="N179" s="1667"/>
      <c r="O179" s="1667"/>
      <c r="P179" s="1667"/>
      <c r="Q179" s="1667"/>
      <c r="R179" s="1667"/>
      <c r="S179" s="1667"/>
      <c r="T179" s="1667"/>
      <c r="U179" s="1667"/>
      <c r="V179" s="1667"/>
      <c r="W179" s="1667"/>
      <c r="X179" s="1667"/>
      <c r="Y179" s="1667"/>
      <c r="Z179" s="1667"/>
      <c r="AA179" s="1667"/>
      <c r="AB179" s="1667"/>
      <c r="AC179" s="1667"/>
      <c r="AD179" s="1667"/>
      <c r="AE179" s="1667"/>
      <c r="AF179" s="1667"/>
      <c r="AG179" s="1667"/>
      <c r="AH179" s="1667"/>
      <c r="AI179" s="1667"/>
      <c r="AJ179" s="1668"/>
      <c r="AK179" s="1667"/>
      <c r="AL179" s="1667"/>
      <c r="AM179" s="1667"/>
      <c r="AN179" s="1667"/>
      <c r="AO179" s="1667"/>
      <c r="AP179" s="1667"/>
      <c r="AQ179" s="1667"/>
      <c r="AR179" s="1669"/>
      <c r="AS179" s="1669"/>
      <c r="AT179" s="1669"/>
      <c r="AU179" s="1669"/>
      <c r="AV179" s="1669"/>
      <c r="AW179" s="1669"/>
      <c r="AX179" s="1669"/>
      <c r="AY179" s="1669"/>
      <c r="AZ179" s="1669"/>
      <c r="BA179" s="1669"/>
      <c r="BB179" s="1669"/>
      <c r="BC179" s="1669"/>
      <c r="BD179" s="1669"/>
      <c r="BE179" s="1669"/>
      <c r="BF179" s="1612"/>
      <c r="BG179" s="1669"/>
      <c r="BH179" s="1669"/>
      <c r="BI179" s="1669"/>
      <c r="BJ179" s="1669"/>
      <c r="BK179" s="1669"/>
      <c r="BL179" s="1607"/>
    </row>
    <row r="180" spans="1:64" s="1518" customFormat="1" x14ac:dyDescent="0.35">
      <c r="A180" s="1591" t="s">
        <v>356</v>
      </c>
      <c r="B180" s="1716"/>
      <c r="C180" s="1515"/>
      <c r="D180" s="1515"/>
      <c r="E180" s="1515"/>
      <c r="F180" s="1515"/>
      <c r="G180" s="1515"/>
      <c r="H180" s="1515"/>
      <c r="I180" s="1515"/>
      <c r="J180" s="1515"/>
      <c r="K180" s="1515"/>
      <c r="L180" s="1515"/>
      <c r="M180" s="1515"/>
      <c r="N180" s="1515"/>
      <c r="O180" s="1515"/>
      <c r="P180" s="1515"/>
      <c r="Q180" s="1517">
        <f t="shared" ref="Q180:AJ180" si="58">Q120</f>
        <v>0</v>
      </c>
      <c r="R180" s="1517">
        <f t="shared" si="58"/>
        <v>0</v>
      </c>
      <c r="S180" s="1517">
        <f t="shared" si="58"/>
        <v>0</v>
      </c>
      <c r="T180" s="1517">
        <f t="shared" si="58"/>
        <v>0</v>
      </c>
      <c r="U180" s="1517">
        <f t="shared" si="58"/>
        <v>55.112000000000002</v>
      </c>
      <c r="V180" s="1517">
        <f t="shared" si="58"/>
        <v>0</v>
      </c>
      <c r="W180" s="1517">
        <f t="shared" si="58"/>
        <v>67.578999999999994</v>
      </c>
      <c r="X180" s="1517">
        <f t="shared" si="58"/>
        <v>75.58099999999996</v>
      </c>
      <c r="Y180" s="1517">
        <f t="shared" si="58"/>
        <v>82.638000000000005</v>
      </c>
      <c r="Z180" s="1517">
        <f t="shared" si="58"/>
        <v>87.356999999999999</v>
      </c>
      <c r="AA180" s="1517">
        <f t="shared" si="58"/>
        <v>100.956</v>
      </c>
      <c r="AB180" s="1517">
        <f t="shared" si="58"/>
        <v>107.57599999999999</v>
      </c>
      <c r="AC180" s="1517">
        <f t="shared" si="58"/>
        <v>106.422</v>
      </c>
      <c r="AD180" s="1517">
        <f t="shared" si="58"/>
        <v>92.728999999999999</v>
      </c>
      <c r="AE180" s="1517">
        <f t="shared" si="58"/>
        <v>94.754000000000005</v>
      </c>
      <c r="AF180" s="1517">
        <f t="shared" si="58"/>
        <v>102.056</v>
      </c>
      <c r="AG180" s="1517">
        <f t="shared" si="58"/>
        <v>95.882000000000005</v>
      </c>
      <c r="AH180" s="1517">
        <f t="shared" si="58"/>
        <v>91.961000000000013</v>
      </c>
      <c r="AI180" s="1517">
        <f t="shared" si="58"/>
        <v>104.041</v>
      </c>
      <c r="AJ180" s="1732">
        <f t="shared" si="58"/>
        <v>110.85899999999999</v>
      </c>
      <c r="AK180" s="1515">
        <f t="shared" ref="AK180:AP180" si="59">AK177*AK108</f>
        <v>91.000749849999977</v>
      </c>
      <c r="AL180" s="1515">
        <f t="shared" si="59"/>
        <v>85.163305499999979</v>
      </c>
      <c r="AM180" s="1515">
        <f t="shared" si="59"/>
        <v>94.194714694079991</v>
      </c>
      <c r="AN180" s="1515">
        <f t="shared" si="59"/>
        <v>100.11941038850399</v>
      </c>
      <c r="AO180" s="1515">
        <f t="shared" si="59"/>
        <v>94.576353228911429</v>
      </c>
      <c r="AP180" s="1515">
        <f t="shared" si="59"/>
        <v>97.621859247821988</v>
      </c>
      <c r="AQ180" s="1515"/>
      <c r="AR180" s="1595"/>
      <c r="AS180" s="1595"/>
      <c r="AT180" s="1595"/>
      <c r="AU180" s="1595"/>
      <c r="AV180" s="1595"/>
      <c r="AW180" s="1595"/>
      <c r="AX180" s="1595"/>
      <c r="AY180" s="1595"/>
      <c r="AZ180" s="1595"/>
      <c r="BA180" s="1595"/>
      <c r="BB180" s="1733">
        <f>BB120</f>
        <v>221.34700000000001</v>
      </c>
      <c r="BC180" s="1733">
        <f>BC120</f>
        <v>217.31</v>
      </c>
      <c r="BD180" s="1733">
        <f>BD120</f>
        <v>313.15499999999997</v>
      </c>
      <c r="BE180" s="1733">
        <f>BE120</f>
        <v>407.68299999999999</v>
      </c>
      <c r="BF180" s="1734">
        <f>BF120</f>
        <v>384.65300000000002</v>
      </c>
      <c r="BG180" s="1595">
        <f>SUM(AI180,AJ180,AK180,AL180)</f>
        <v>391.06405534999993</v>
      </c>
      <c r="BH180" s="1595">
        <f>SUM(AM180,AN180,AO180,AP180)</f>
        <v>386.51233755931742</v>
      </c>
      <c r="BI180" s="1595">
        <f>BI177*BI108</f>
        <v>412.66891160393811</v>
      </c>
      <c r="BJ180" s="1595">
        <f>BJ177*BJ108</f>
        <v>420.96246471933119</v>
      </c>
      <c r="BK180" s="1595">
        <f>BK177*BK108</f>
        <v>450.24936871867703</v>
      </c>
      <c r="BL180" s="1517"/>
    </row>
    <row r="181" spans="1:64" s="1608" customFormat="1" x14ac:dyDescent="0.35">
      <c r="A181" s="1599" t="s">
        <v>620</v>
      </c>
      <c r="B181" s="1717"/>
      <c r="C181" s="1601"/>
      <c r="D181" s="1601"/>
      <c r="E181" s="1601"/>
      <c r="F181" s="1601"/>
      <c r="G181" s="1601"/>
      <c r="H181" s="1601"/>
      <c r="I181" s="1601"/>
      <c r="J181" s="1601"/>
      <c r="K181" s="1601"/>
      <c r="L181" s="1601"/>
      <c r="M181" s="1601"/>
      <c r="N181" s="1601"/>
      <c r="O181" s="1601"/>
      <c r="P181" s="1601"/>
      <c r="Q181" s="1602">
        <f t="shared" ref="Q181:AP181" si="60">Q177-Q180</f>
        <v>132.76499999999999</v>
      </c>
      <c r="R181" s="1602">
        <f t="shared" si="60"/>
        <v>121.429</v>
      </c>
      <c r="S181" s="1602">
        <f t="shared" si="60"/>
        <v>119.376</v>
      </c>
      <c r="T181" s="1602">
        <f t="shared" si="60"/>
        <v>88.570999999999998</v>
      </c>
      <c r="U181" s="1602">
        <f t="shared" si="60"/>
        <v>62.49</v>
      </c>
      <c r="V181" s="1602">
        <f t="shared" si="60"/>
        <v>128.50299999999999</v>
      </c>
      <c r="W181" s="1602">
        <f t="shared" si="60"/>
        <v>71.791000000000011</v>
      </c>
      <c r="X181" s="1602">
        <f t="shared" si="60"/>
        <v>83.747000000000043</v>
      </c>
      <c r="Y181" s="1602">
        <f t="shared" si="60"/>
        <v>86.918999999999983</v>
      </c>
      <c r="Z181" s="1602">
        <f t="shared" si="60"/>
        <v>86.271999999999991</v>
      </c>
      <c r="AA181" s="1602">
        <f t="shared" si="60"/>
        <v>91.016000000000005</v>
      </c>
      <c r="AB181" s="1602">
        <f t="shared" si="60"/>
        <v>98.015000000000015</v>
      </c>
      <c r="AC181" s="1602">
        <f t="shared" si="60"/>
        <v>92.87700000000001</v>
      </c>
      <c r="AD181" s="1602">
        <f t="shared" si="60"/>
        <v>77.190999999999988</v>
      </c>
      <c r="AE181" s="1602">
        <f t="shared" si="60"/>
        <v>84.52</v>
      </c>
      <c r="AF181" s="1602">
        <f t="shared" si="60"/>
        <v>88.327999999999989</v>
      </c>
      <c r="AG181" s="1602">
        <f t="shared" si="60"/>
        <v>84.683999999999997</v>
      </c>
      <c r="AH181" s="1602">
        <f t="shared" si="60"/>
        <v>77.454999999999927</v>
      </c>
      <c r="AI181" s="1602">
        <f t="shared" si="60"/>
        <v>81.957999999999998</v>
      </c>
      <c r="AJ181" s="1603">
        <f t="shared" si="60"/>
        <v>89.668999999999997</v>
      </c>
      <c r="AK181" s="1601">
        <f t="shared" si="60"/>
        <v>100.57977614999999</v>
      </c>
      <c r="AL181" s="1601">
        <f t="shared" si="60"/>
        <v>92.723494499999987</v>
      </c>
      <c r="AM181" s="1601">
        <f t="shared" si="60"/>
        <v>102.04427425191999</v>
      </c>
      <c r="AN181" s="1601">
        <f t="shared" si="60"/>
        <v>115.88794751549598</v>
      </c>
      <c r="AO181" s="1601">
        <f t="shared" si="60"/>
        <v>113.7416054250785</v>
      </c>
      <c r="AP181" s="1601">
        <f t="shared" si="60"/>
        <v>98.998199660177988</v>
      </c>
      <c r="AQ181" s="1601"/>
      <c r="AR181" s="1604"/>
      <c r="AS181" s="1604"/>
      <c r="AT181" s="1604"/>
      <c r="AU181" s="1604"/>
      <c r="AV181" s="1604"/>
      <c r="AW181" s="1604"/>
      <c r="AX181" s="1604"/>
      <c r="AY181" s="1604"/>
      <c r="AZ181" s="1604"/>
      <c r="BA181" s="1604"/>
      <c r="BB181" s="1605">
        <f t="shared" ref="BB181:BK181" si="61">BB177-BB180</f>
        <v>275.76900000000001</v>
      </c>
      <c r="BC181" s="1605">
        <f t="shared" si="61"/>
        <v>236.74299999999999</v>
      </c>
      <c r="BD181" s="1605">
        <f t="shared" si="61"/>
        <v>328.72900000000004</v>
      </c>
      <c r="BE181" s="1605">
        <f t="shared" si="61"/>
        <v>359.09900000000005</v>
      </c>
      <c r="BF181" s="1718">
        <f t="shared" si="61"/>
        <v>334.98699999999997</v>
      </c>
      <c r="BG181" s="1604">
        <f t="shared" si="61"/>
        <v>364.93027065000007</v>
      </c>
      <c r="BH181" s="1604">
        <f t="shared" si="61"/>
        <v>430.6720268526725</v>
      </c>
      <c r="BI181" s="1604">
        <f t="shared" si="61"/>
        <v>481.52157941217911</v>
      </c>
      <c r="BJ181" s="1604">
        <f t="shared" si="61"/>
        <v>535.77040964278513</v>
      </c>
      <c r="BK181" s="1604">
        <f t="shared" si="61"/>
        <v>573.044651096498</v>
      </c>
      <c r="BL181" s="1607"/>
    </row>
    <row r="182" spans="1:64" s="1608" customFormat="1" x14ac:dyDescent="0.35">
      <c r="A182" s="1665"/>
      <c r="B182" s="1712"/>
      <c r="C182" s="1667"/>
      <c r="D182" s="1667"/>
      <c r="E182" s="1667"/>
      <c r="F182" s="1667"/>
      <c r="G182" s="1667"/>
      <c r="H182" s="1667"/>
      <c r="I182" s="1667"/>
      <c r="J182" s="1667"/>
      <c r="K182" s="1667"/>
      <c r="L182" s="1667"/>
      <c r="M182" s="1667"/>
      <c r="N182" s="1667"/>
      <c r="O182" s="1667"/>
      <c r="P182" s="1667"/>
      <c r="Q182" s="1667"/>
      <c r="R182" s="1667"/>
      <c r="S182" s="1667"/>
      <c r="T182" s="1667"/>
      <c r="U182" s="1667"/>
      <c r="V182" s="1667"/>
      <c r="W182" s="1667"/>
      <c r="X182" s="1667"/>
      <c r="Y182" s="1667"/>
      <c r="Z182" s="1667"/>
      <c r="AA182" s="1667"/>
      <c r="AB182" s="1667"/>
      <c r="AC182" s="1667"/>
      <c r="AD182" s="1667"/>
      <c r="AE182" s="1667"/>
      <c r="AF182" s="1667"/>
      <c r="AG182" s="1667"/>
      <c r="AH182" s="1667"/>
      <c r="AI182" s="1667"/>
      <c r="AJ182" s="1668"/>
      <c r="AK182" s="1667"/>
      <c r="AL182" s="1667"/>
      <c r="AM182" s="1667"/>
      <c r="AN182" s="1667"/>
      <c r="AO182" s="1667"/>
      <c r="AP182" s="1667"/>
      <c r="AQ182" s="1667"/>
      <c r="AR182" s="1669"/>
      <c r="AS182" s="1669"/>
      <c r="AT182" s="1669"/>
      <c r="AU182" s="1669"/>
      <c r="AV182" s="1669"/>
      <c r="AW182" s="1669"/>
      <c r="AX182" s="1669"/>
      <c r="AY182" s="1669"/>
      <c r="AZ182" s="1669"/>
      <c r="BA182" s="1669"/>
      <c r="BB182" s="1669"/>
      <c r="BC182" s="1669"/>
      <c r="BD182" s="1669"/>
      <c r="BE182" s="1669"/>
      <c r="BF182" s="1612"/>
      <c r="BG182" s="1669"/>
      <c r="BH182" s="1669"/>
      <c r="BI182" s="1669"/>
      <c r="BJ182" s="1669"/>
      <c r="BK182" s="1669"/>
      <c r="BL182" s="1607"/>
    </row>
    <row r="183" spans="1:64" s="1518" customFormat="1" x14ac:dyDescent="0.35">
      <c r="A183" s="1591" t="s">
        <v>230</v>
      </c>
      <c r="B183" s="1716"/>
      <c r="C183" s="1515"/>
      <c r="D183" s="1515"/>
      <c r="E183" s="1515"/>
      <c r="F183" s="1515"/>
      <c r="G183" s="1515"/>
      <c r="H183" s="1515"/>
      <c r="I183" s="1515"/>
      <c r="J183" s="1515"/>
      <c r="K183" s="1515"/>
      <c r="L183" s="1515"/>
      <c r="M183" s="1515"/>
      <c r="N183" s="1515"/>
      <c r="O183" s="1515"/>
      <c r="P183" s="1515"/>
      <c r="Q183" s="1517">
        <f t="shared" ref="Q183:AJ183" si="62">Q122</f>
        <v>0</v>
      </c>
      <c r="R183" s="1517">
        <f t="shared" si="62"/>
        <v>0</v>
      </c>
      <c r="S183" s="1517">
        <f t="shared" si="62"/>
        <v>0</v>
      </c>
      <c r="T183" s="1517">
        <f t="shared" si="62"/>
        <v>0</v>
      </c>
      <c r="U183" s="1517">
        <f t="shared" si="62"/>
        <v>10.842000000000001</v>
      </c>
      <c r="V183" s="1517">
        <f t="shared" si="62"/>
        <v>0</v>
      </c>
      <c r="W183" s="1517">
        <f t="shared" si="62"/>
        <v>10.353</v>
      </c>
      <c r="X183" s="1517">
        <f t="shared" si="62"/>
        <v>9.9979999999999993</v>
      </c>
      <c r="Y183" s="1517">
        <f t="shared" si="62"/>
        <v>12.084</v>
      </c>
      <c r="Z183" s="1517">
        <f t="shared" si="62"/>
        <v>11.888</v>
      </c>
      <c r="AA183" s="1517">
        <f t="shared" si="62"/>
        <v>12.552</v>
      </c>
      <c r="AB183" s="1517">
        <f t="shared" si="62"/>
        <v>12.539</v>
      </c>
      <c r="AC183" s="1517">
        <f t="shared" si="62"/>
        <v>13.715</v>
      </c>
      <c r="AD183" s="1517">
        <f t="shared" si="62"/>
        <v>11.680999999999999</v>
      </c>
      <c r="AE183" s="1517">
        <f t="shared" si="62"/>
        <v>11.952</v>
      </c>
      <c r="AF183" s="1517">
        <f t="shared" si="62"/>
        <v>11.428000000000001</v>
      </c>
      <c r="AG183" s="1517">
        <f t="shared" si="62"/>
        <v>11.329000000000001</v>
      </c>
      <c r="AH183" s="1517">
        <f t="shared" si="62"/>
        <v>9.705999999999996</v>
      </c>
      <c r="AI183" s="1517">
        <f t="shared" si="62"/>
        <v>13.214</v>
      </c>
      <c r="AJ183" s="1732">
        <f t="shared" si="62"/>
        <v>12.755000000000001</v>
      </c>
      <c r="AK183" s="1515">
        <f t="shared" ref="AK183:AP184" si="63">AK$177*AK112</f>
        <v>10.920089981999999</v>
      </c>
      <c r="AL183" s="1515">
        <f t="shared" si="63"/>
        <v>8.8943399999999979</v>
      </c>
      <c r="AM183" s="1515">
        <f t="shared" si="63"/>
        <v>13.73672922622</v>
      </c>
      <c r="AN183" s="1515">
        <f t="shared" si="63"/>
        <v>15.12051505328</v>
      </c>
      <c r="AO183" s="1515">
        <f t="shared" si="63"/>
        <v>14.998893023087273</v>
      </c>
      <c r="AP183" s="1515">
        <f t="shared" si="63"/>
        <v>8.2580424741359995</v>
      </c>
      <c r="AQ183" s="1515"/>
      <c r="AR183" s="1595"/>
      <c r="AS183" s="1595"/>
      <c r="AT183" s="1595"/>
      <c r="AU183" s="1595"/>
      <c r="AV183" s="1595"/>
      <c r="AW183" s="1595"/>
      <c r="AX183" s="1595"/>
      <c r="AY183" s="1595"/>
      <c r="AZ183" s="1595"/>
      <c r="BA183" s="1595"/>
      <c r="BB183" s="1733">
        <f>BB122</f>
        <v>44.923000000000002</v>
      </c>
      <c r="BC183" s="1733">
        <f>BC122</f>
        <v>44.295999999999999</v>
      </c>
      <c r="BD183" s="1733">
        <f>BD122</f>
        <v>44.323</v>
      </c>
      <c r="BE183" s="1733">
        <f>BE122</f>
        <v>50.487000000000002</v>
      </c>
      <c r="BF183" s="1734">
        <f>BF122</f>
        <v>44.414999999999999</v>
      </c>
      <c r="BG183" s="1595">
        <f>SUM(AI183,AJ183,AK183,AL183)</f>
        <v>45.783429982000001</v>
      </c>
      <c r="BH183" s="1595">
        <f>SUM(AM183,AN183,AO183,AP183)</f>
        <v>52.114179776723269</v>
      </c>
      <c r="BI183" s="1595">
        <f t="shared" ref="BI183:BK184" si="64">BI$177*BI112</f>
        <v>44.709524550805867</v>
      </c>
      <c r="BJ183" s="1595">
        <f t="shared" si="64"/>
        <v>47.836643718105819</v>
      </c>
      <c r="BK183" s="1595">
        <f t="shared" si="64"/>
        <v>51.164700990758753</v>
      </c>
      <c r="BL183" s="1517"/>
    </row>
    <row r="184" spans="1:64" s="1518" customFormat="1" x14ac:dyDescent="0.35">
      <c r="A184" s="1591" t="s">
        <v>1003</v>
      </c>
      <c r="B184" s="1716"/>
      <c r="C184" s="1515"/>
      <c r="D184" s="1515"/>
      <c r="E184" s="1515"/>
      <c r="F184" s="1515"/>
      <c r="G184" s="1515"/>
      <c r="H184" s="1515"/>
      <c r="I184" s="1515"/>
      <c r="J184" s="1515"/>
      <c r="K184" s="1515"/>
      <c r="L184" s="1515"/>
      <c r="M184" s="1515"/>
      <c r="N184" s="1515"/>
      <c r="O184" s="1515"/>
      <c r="P184" s="1515"/>
      <c r="Q184" s="1517">
        <f t="shared" ref="Q184:AJ184" si="65">Q123-Q191</f>
        <v>-0.249</v>
      </c>
      <c r="R184" s="1517">
        <f t="shared" si="65"/>
        <v>-0.504</v>
      </c>
      <c r="S184" s="1517">
        <f t="shared" si="65"/>
        <v>-0.54500000000000004</v>
      </c>
      <c r="T184" s="1517">
        <f t="shared" si="65"/>
        <v>-0.64100000000000001</v>
      </c>
      <c r="U184" s="1517">
        <f t="shared" si="65"/>
        <v>24.820999999999998</v>
      </c>
      <c r="V184" s="1517">
        <f t="shared" si="65"/>
        <v>-1.708</v>
      </c>
      <c r="W184" s="1517">
        <f t="shared" si="65"/>
        <v>28.708000000000002</v>
      </c>
      <c r="X184" s="1517">
        <f t="shared" si="65"/>
        <v>37.84899999999999</v>
      </c>
      <c r="Y184" s="1517">
        <f t="shared" si="65"/>
        <v>59.401000000000003</v>
      </c>
      <c r="Z184" s="1517">
        <f t="shared" si="65"/>
        <v>40.161999999999999</v>
      </c>
      <c r="AA184" s="1517">
        <f t="shared" si="65"/>
        <v>37.225000000000001</v>
      </c>
      <c r="AB184" s="1517">
        <f t="shared" si="65"/>
        <v>35.863</v>
      </c>
      <c r="AC184" s="1517">
        <f t="shared" si="65"/>
        <v>36.118000000000002</v>
      </c>
      <c r="AD184" s="1517">
        <f t="shared" si="65"/>
        <v>42.448</v>
      </c>
      <c r="AE184" s="1517">
        <f t="shared" si="65"/>
        <v>39.408000000000001</v>
      </c>
      <c r="AF184" s="1517">
        <f t="shared" si="65"/>
        <v>35.551999999999992</v>
      </c>
      <c r="AG184" s="1517">
        <f t="shared" si="65"/>
        <v>32.598999999999997</v>
      </c>
      <c r="AH184" s="1517">
        <f t="shared" si="65"/>
        <v>31.545999999999999</v>
      </c>
      <c r="AI184" s="1517">
        <f t="shared" si="65"/>
        <v>50.548000000000002</v>
      </c>
      <c r="AJ184" s="1732">
        <f t="shared" si="65"/>
        <v>38.676000000000002</v>
      </c>
      <c r="AK184" s="1515">
        <f t="shared" si="63"/>
        <v>38.316105199999996</v>
      </c>
      <c r="AL184" s="1515">
        <f t="shared" si="63"/>
        <v>37.356227999999994</v>
      </c>
      <c r="AM184" s="1515">
        <f t="shared" si="63"/>
        <v>45.134967457579997</v>
      </c>
      <c r="AN184" s="1515">
        <f t="shared" si="63"/>
        <v>52.921802686479992</v>
      </c>
      <c r="AO184" s="1515">
        <f t="shared" si="63"/>
        <v>49.996310076957585</v>
      </c>
      <c r="AP184" s="1515">
        <f t="shared" si="63"/>
        <v>43.256412959759992</v>
      </c>
      <c r="AQ184" s="1515"/>
      <c r="AR184" s="1595"/>
      <c r="AS184" s="1595"/>
      <c r="AT184" s="1595"/>
      <c r="AU184" s="1595"/>
      <c r="AV184" s="1595"/>
      <c r="AW184" s="1595"/>
      <c r="AX184" s="1595"/>
      <c r="AY184" s="1595"/>
      <c r="AZ184" s="1595"/>
      <c r="BA184" s="1595"/>
      <c r="BB184" s="1733">
        <f>BB123-BB191</f>
        <v>145.69500000000002</v>
      </c>
      <c r="BC184" s="1733">
        <f>BC123-BC191</f>
        <v>119.09</v>
      </c>
      <c r="BD184" s="1733">
        <f>BD123-BD191</f>
        <v>166.12</v>
      </c>
      <c r="BE184" s="1733">
        <f>BE123-BE191</f>
        <v>151.654</v>
      </c>
      <c r="BF184" s="1734">
        <f>BF123-BF191</f>
        <v>139.10499999999999</v>
      </c>
      <c r="BG184" s="1595">
        <f>SUM(AI184,AJ184,AK184,AL184)</f>
        <v>164.89633319999999</v>
      </c>
      <c r="BH184" s="1595">
        <f>SUM(AM184,AN184,AO184,AP184)</f>
        <v>191.30949318077757</v>
      </c>
      <c r="BI184" s="1595">
        <f t="shared" si="64"/>
        <v>223.54762275402931</v>
      </c>
      <c r="BJ184" s="1595">
        <f t="shared" si="64"/>
        <v>210.4812323596656</v>
      </c>
      <c r="BK184" s="1595">
        <f t="shared" si="64"/>
        <v>204.65880396303501</v>
      </c>
      <c r="BL184" s="1517"/>
    </row>
    <row r="185" spans="1:64" s="1608" customFormat="1" x14ac:dyDescent="0.35">
      <c r="A185" s="1599" t="s">
        <v>145</v>
      </c>
      <c r="B185" s="1717"/>
      <c r="C185" s="1601"/>
      <c r="D185" s="1601"/>
      <c r="E185" s="1601"/>
      <c r="F185" s="1601"/>
      <c r="G185" s="1601"/>
      <c r="H185" s="1601"/>
      <c r="I185" s="1601"/>
      <c r="J185" s="1601"/>
      <c r="K185" s="1601"/>
      <c r="L185" s="1601"/>
      <c r="M185" s="1601"/>
      <c r="N185" s="1601"/>
      <c r="O185" s="1601"/>
      <c r="P185" s="1601"/>
      <c r="Q185" s="1602">
        <f t="shared" ref="Q185:AP185" si="66">Q181-SUM(Q183:Q184)</f>
        <v>133.01399999999998</v>
      </c>
      <c r="R185" s="1602">
        <f t="shared" si="66"/>
        <v>121.93300000000001</v>
      </c>
      <c r="S185" s="1602">
        <f t="shared" si="66"/>
        <v>119.92100000000001</v>
      </c>
      <c r="T185" s="1602">
        <f t="shared" si="66"/>
        <v>89.212000000000003</v>
      </c>
      <c r="U185" s="1602">
        <f t="shared" si="66"/>
        <v>26.827000000000005</v>
      </c>
      <c r="V185" s="1602">
        <f t="shared" si="66"/>
        <v>130.21099999999998</v>
      </c>
      <c r="W185" s="1602">
        <f t="shared" si="66"/>
        <v>32.730000000000011</v>
      </c>
      <c r="X185" s="1602">
        <f t="shared" si="66"/>
        <v>35.900000000000055</v>
      </c>
      <c r="Y185" s="1602">
        <f t="shared" si="66"/>
        <v>15.433999999999983</v>
      </c>
      <c r="Z185" s="1602">
        <f t="shared" si="66"/>
        <v>34.221999999999994</v>
      </c>
      <c r="AA185" s="1602">
        <f t="shared" si="66"/>
        <v>41.239000000000004</v>
      </c>
      <c r="AB185" s="1602">
        <f t="shared" si="66"/>
        <v>49.613000000000014</v>
      </c>
      <c r="AC185" s="1602">
        <f t="shared" si="66"/>
        <v>43.044000000000011</v>
      </c>
      <c r="AD185" s="1602">
        <f t="shared" si="66"/>
        <v>23.061999999999991</v>
      </c>
      <c r="AE185" s="1602">
        <f t="shared" si="66"/>
        <v>33.159999999999997</v>
      </c>
      <c r="AF185" s="1602">
        <f t="shared" si="66"/>
        <v>41.347999999999999</v>
      </c>
      <c r="AG185" s="1602">
        <f t="shared" si="66"/>
        <v>40.756</v>
      </c>
      <c r="AH185" s="1602">
        <f t="shared" si="66"/>
        <v>36.202999999999932</v>
      </c>
      <c r="AI185" s="1602">
        <f t="shared" si="66"/>
        <v>18.195999999999998</v>
      </c>
      <c r="AJ185" s="1603">
        <f t="shared" si="66"/>
        <v>38.237999999999992</v>
      </c>
      <c r="AK185" s="1601">
        <f t="shared" si="66"/>
        <v>51.343580967999991</v>
      </c>
      <c r="AL185" s="1601">
        <f t="shared" si="66"/>
        <v>46.472926499999993</v>
      </c>
      <c r="AM185" s="1601">
        <f t="shared" si="66"/>
        <v>43.172577568119991</v>
      </c>
      <c r="AN185" s="1601">
        <f t="shared" si="66"/>
        <v>47.845629775735986</v>
      </c>
      <c r="AO185" s="1601">
        <f t="shared" si="66"/>
        <v>48.746402325033642</v>
      </c>
      <c r="AP185" s="1601">
        <f t="shared" si="66"/>
        <v>47.483744226281999</v>
      </c>
      <c r="AQ185" s="1601"/>
      <c r="AR185" s="1604"/>
      <c r="AS185" s="1604"/>
      <c r="AT185" s="1604"/>
      <c r="AU185" s="1604"/>
      <c r="AV185" s="1604"/>
      <c r="AW185" s="1604"/>
      <c r="AX185" s="1604"/>
      <c r="AY185" s="1604"/>
      <c r="AZ185" s="1604"/>
      <c r="BA185" s="1604"/>
      <c r="BB185" s="1605">
        <f t="shared" ref="BB185:BK185" si="67">BB181-SUM(BB183:BB184)</f>
        <v>85.150999999999982</v>
      </c>
      <c r="BC185" s="1605">
        <f t="shared" si="67"/>
        <v>73.356999999999999</v>
      </c>
      <c r="BD185" s="1605">
        <f t="shared" si="67"/>
        <v>118.28600000000003</v>
      </c>
      <c r="BE185" s="1605">
        <f t="shared" si="67"/>
        <v>156.95800000000006</v>
      </c>
      <c r="BF185" s="1718">
        <f t="shared" si="67"/>
        <v>151.46699999999998</v>
      </c>
      <c r="BG185" s="1604">
        <f t="shared" si="67"/>
        <v>154.25050746800008</v>
      </c>
      <c r="BH185" s="1604">
        <f t="shared" si="67"/>
        <v>187.24835389517168</v>
      </c>
      <c r="BI185" s="1604">
        <f t="shared" si="67"/>
        <v>213.26443210734396</v>
      </c>
      <c r="BJ185" s="1604">
        <f t="shared" si="67"/>
        <v>277.45253356501371</v>
      </c>
      <c r="BK185" s="1604">
        <f t="shared" si="67"/>
        <v>317.22114614270424</v>
      </c>
      <c r="BL185" s="1607"/>
    </row>
    <row r="186" spans="1:64" s="1608" customFormat="1" x14ac:dyDescent="0.35">
      <c r="A186" s="1711" t="str">
        <f>CONCATENATE("Adjusted ",A185,IF(AND(ROUND(SUM(AR185:BL185)-SUM(AR186:BL186),6)=0)," (No Adjustments)",""))</f>
        <v>Adjusted EBITDA</v>
      </c>
      <c r="B186" s="1712"/>
      <c r="C186" s="1667"/>
      <c r="D186" s="1667"/>
      <c r="E186" s="1667"/>
      <c r="F186" s="1667"/>
      <c r="G186" s="1667"/>
      <c r="H186" s="1667"/>
      <c r="I186" s="1667"/>
      <c r="J186" s="1667"/>
      <c r="K186" s="1667"/>
      <c r="L186" s="1667"/>
      <c r="M186" s="1667"/>
      <c r="N186" s="1667"/>
      <c r="O186" s="1667"/>
      <c r="P186" s="1667"/>
      <c r="Q186" s="1607">
        <f t="shared" ref="Q186:AJ186" si="68">Q150</f>
        <v>35.883999999999993</v>
      </c>
      <c r="R186" s="1607">
        <f t="shared" si="68"/>
        <v>23.737999999999996</v>
      </c>
      <c r="S186" s="1607">
        <f t="shared" si="68"/>
        <v>27.857000000000003</v>
      </c>
      <c r="T186" s="1607">
        <f t="shared" si="68"/>
        <v>14.718999999999994</v>
      </c>
      <c r="U186" s="1607">
        <f t="shared" si="68"/>
        <v>30.655999999999999</v>
      </c>
      <c r="V186" s="1607">
        <f t="shared" si="68"/>
        <v>28.013999999999996</v>
      </c>
      <c r="W186" s="1607">
        <f t="shared" si="68"/>
        <v>36.804000000000009</v>
      </c>
      <c r="X186" s="1607">
        <f t="shared" si="68"/>
        <v>47.034000000000063</v>
      </c>
      <c r="Y186" s="1607">
        <f t="shared" si="68"/>
        <v>51.298999999999978</v>
      </c>
      <c r="Z186" s="1607">
        <f t="shared" si="68"/>
        <v>44.049000000000007</v>
      </c>
      <c r="AA186" s="1607">
        <f t="shared" si="68"/>
        <v>47.635999999999989</v>
      </c>
      <c r="AB186" s="1607">
        <f t="shared" si="68"/>
        <v>56.471999999999994</v>
      </c>
      <c r="AC186" s="1607">
        <f t="shared" si="68"/>
        <v>53.098000000000006</v>
      </c>
      <c r="AD186" s="1607">
        <f t="shared" si="68"/>
        <v>41.296999999999997</v>
      </c>
      <c r="AE186" s="1607">
        <f t="shared" si="68"/>
        <v>45.554999999999993</v>
      </c>
      <c r="AF186" s="1607">
        <f t="shared" si="68"/>
        <v>49.996999999999993</v>
      </c>
      <c r="AG186" s="1607">
        <f t="shared" si="68"/>
        <v>47.555999999999997</v>
      </c>
      <c r="AH186" s="1607">
        <f t="shared" si="68"/>
        <v>41.915999999999933</v>
      </c>
      <c r="AI186" s="1607">
        <f t="shared" si="68"/>
        <v>38.509999999999991</v>
      </c>
      <c r="AJ186" s="1730">
        <f t="shared" si="68"/>
        <v>46.283999999999999</v>
      </c>
      <c r="AK186" s="1667">
        <f t="shared" ref="AK186:AP186" si="69">AK185</f>
        <v>51.343580967999991</v>
      </c>
      <c r="AL186" s="1667">
        <f t="shared" si="69"/>
        <v>46.472926499999993</v>
      </c>
      <c r="AM186" s="1667">
        <f t="shared" si="69"/>
        <v>43.172577568119991</v>
      </c>
      <c r="AN186" s="1667">
        <f t="shared" si="69"/>
        <v>47.845629775735986</v>
      </c>
      <c r="AO186" s="1667">
        <f t="shared" si="69"/>
        <v>48.746402325033642</v>
      </c>
      <c r="AP186" s="1667">
        <f t="shared" si="69"/>
        <v>47.483744226281999</v>
      </c>
      <c r="AQ186" s="1667"/>
      <c r="AR186" s="1669"/>
      <c r="AS186" s="1669"/>
      <c r="AT186" s="1669"/>
      <c r="AU186" s="1669"/>
      <c r="AV186" s="1669"/>
      <c r="AW186" s="1669"/>
      <c r="AX186" s="1669"/>
      <c r="AY186" s="1669"/>
      <c r="AZ186" s="1669"/>
      <c r="BA186" s="1669"/>
      <c r="BB186" s="1731">
        <f>BB150</f>
        <v>118.98399999999999</v>
      </c>
      <c r="BC186" s="1731">
        <f>BC150</f>
        <v>101.24499999999999</v>
      </c>
      <c r="BD186" s="1731">
        <f>BD150</f>
        <v>179.18400000000003</v>
      </c>
      <c r="BE186" s="1731">
        <f>BE150</f>
        <v>198.50300000000007</v>
      </c>
      <c r="BF186" s="1606">
        <f>BF150</f>
        <v>185.02399999999994</v>
      </c>
      <c r="BG186" s="1669">
        <f>SUM(AI186,AJ186,AK186,AL186)</f>
        <v>182.61050746799998</v>
      </c>
      <c r="BH186" s="1669">
        <f>SUM(AM186,AN186,AO186,AP186)</f>
        <v>187.24835389517162</v>
      </c>
      <c r="BI186" s="1669">
        <f>BI185</f>
        <v>213.26443210734396</v>
      </c>
      <c r="BJ186" s="1669">
        <f>BJ185</f>
        <v>277.45253356501371</v>
      </c>
      <c r="BK186" s="1669">
        <f>BK185</f>
        <v>317.22114614270424</v>
      </c>
      <c r="BL186" s="1607"/>
    </row>
    <row r="187" spans="1:64" s="1754" customFormat="1" x14ac:dyDescent="0.35">
      <c r="A187" s="1745" t="str">
        <f>CONCATENATE("Consensus Estimates - ",IFERROR(LEFT(A186,FIND("(",A186)-1),A186))</f>
        <v>Consensus Estimates - Adjusted EBITDA</v>
      </c>
      <c r="B187" s="1746"/>
      <c r="C187" s="1747"/>
      <c r="D187" s="1748"/>
      <c r="E187" s="1747"/>
      <c r="F187" s="1747"/>
      <c r="G187" s="1747"/>
      <c r="H187" s="1748"/>
      <c r="I187" s="1747"/>
      <c r="J187" s="1747"/>
      <c r="K187" s="1747"/>
      <c r="L187" s="1748"/>
      <c r="M187" s="1747"/>
      <c r="N187" s="1747"/>
      <c r="O187" s="1747"/>
      <c r="P187" s="1748"/>
      <c r="Q187" s="1747"/>
      <c r="R187" s="1747"/>
      <c r="S187" s="1747"/>
      <c r="T187" s="1748"/>
      <c r="U187" s="1747"/>
      <c r="V187" s="1747"/>
      <c r="W187" s="1747"/>
      <c r="X187" s="1748"/>
      <c r="Y187" s="1747"/>
      <c r="Z187" s="1747"/>
      <c r="AA187" s="1747"/>
      <c r="AB187" s="1748"/>
      <c r="AC187" s="1747"/>
      <c r="AD187" s="1747"/>
      <c r="AE187" s="1747"/>
      <c r="AF187" s="1748"/>
      <c r="AG187" s="1747"/>
      <c r="AH187" s="1747"/>
      <c r="AI187" s="1747"/>
      <c r="AJ187" s="1749"/>
      <c r="AK187" s="1750" t="str">
        <f t="shared" ref="AK187:AP187" ca="1" si="70">IFERROR(VLOOKUP($A187,tb_ConsensusEstimate,MATCH(AK$5,OFFSET(tb_ConsensusEstimate,0,0,1,COLUMNS(tb_ConsensusEstimate)),0),FALSE),"-")</f>
        <v>N/A</v>
      </c>
      <c r="AL187" s="1750" t="str">
        <f t="shared" ca="1" si="70"/>
        <v>N/A</v>
      </c>
      <c r="AM187" s="1750" t="str">
        <f t="shared" ca="1" si="70"/>
        <v>N/A</v>
      </c>
      <c r="AN187" s="1750" t="str">
        <f t="shared" ca="1" si="70"/>
        <v>N/A</v>
      </c>
      <c r="AO187" s="1750" t="str">
        <f t="shared" ca="1" si="70"/>
        <v>N/A</v>
      </c>
      <c r="AP187" s="1750" t="str">
        <f t="shared" ca="1" si="70"/>
        <v>N/A</v>
      </c>
      <c r="AQ187" s="1750"/>
      <c r="AR187" s="1751"/>
      <c r="AS187" s="1751"/>
      <c r="AT187" s="1751"/>
      <c r="AU187" s="1751"/>
      <c r="AV187" s="1751"/>
      <c r="AW187" s="1751"/>
      <c r="AX187" s="1751"/>
      <c r="AY187" s="1751"/>
      <c r="AZ187" s="1751"/>
      <c r="BA187" s="1751"/>
      <c r="BB187" s="1751"/>
      <c r="BC187" s="1751"/>
      <c r="BD187" s="1751"/>
      <c r="BE187" s="1751"/>
      <c r="BF187" s="1752"/>
      <c r="BG187" s="1753" t="str">
        <f ca="1">IFERROR(VLOOKUP($A187,tb_ConsensusEstimate,MATCH(BG$5,OFFSET(tb_ConsensusEstimate,0,0,1,COLUMNS(tb_ConsensusEstimate)),0),FALSE),"-")</f>
        <v>N/A</v>
      </c>
      <c r="BH187" s="1753" t="str">
        <f ca="1">IFERROR(VLOOKUP($A187,tb_ConsensusEstimate,MATCH(BH$5,OFFSET(tb_ConsensusEstimate,0,0,1,COLUMNS(tb_ConsensusEstimate)),0),FALSE),"-")</f>
        <v>N/A</v>
      </c>
      <c r="BI187" s="1753" t="str">
        <f ca="1">IFERROR(VLOOKUP($A187,tb_ConsensusEstimate,MATCH(BI$5,OFFSET(tb_ConsensusEstimate,0,0,1,COLUMNS(tb_ConsensusEstimate)),0),FALSE),"-")</f>
        <v>N/A</v>
      </c>
      <c r="BJ187" s="1753" t="str">
        <f ca="1">IFERROR(VLOOKUP($A187,tb_ConsensusEstimate,MATCH(BJ$5,OFFSET(tb_ConsensusEstimate,0,0,1,COLUMNS(tb_ConsensusEstimate)),0),FALSE),"-")</f>
        <v>N/A</v>
      </c>
      <c r="BK187" s="1753" t="str">
        <f ca="1">IFERROR(VLOOKUP($A187,tb_ConsensusEstimate,MATCH(BK$5,OFFSET(tb_ConsensusEstimate,0,0,1,COLUMNS(tb_ConsensusEstimate)),0),FALSE),"-")</f>
        <v>N/A</v>
      </c>
      <c r="BL187" s="1747"/>
    </row>
    <row r="188" spans="1:64" s="1518" customFormat="1" x14ac:dyDescent="0.35">
      <c r="A188" s="1755"/>
      <c r="B188" s="1716"/>
      <c r="C188" s="1515"/>
      <c r="D188" s="1748"/>
      <c r="E188" s="1515"/>
      <c r="F188" s="1515"/>
      <c r="G188" s="1515"/>
      <c r="H188" s="1748"/>
      <c r="I188" s="1515"/>
      <c r="J188" s="1515"/>
      <c r="K188" s="1515"/>
      <c r="L188" s="1748"/>
      <c r="M188" s="1515"/>
      <c r="N188" s="1515"/>
      <c r="O188" s="1515"/>
      <c r="P188" s="1748"/>
      <c r="Q188" s="1515"/>
      <c r="R188" s="1515"/>
      <c r="S188" s="1515"/>
      <c r="T188" s="1748"/>
      <c r="U188" s="1515"/>
      <c r="V188" s="1515"/>
      <c r="W188" s="1515"/>
      <c r="X188" s="1748"/>
      <c r="Y188" s="1515"/>
      <c r="Z188" s="1515"/>
      <c r="AA188" s="1515"/>
      <c r="AB188" s="1748"/>
      <c r="AC188" s="1515"/>
      <c r="AD188" s="1515"/>
      <c r="AE188" s="1515"/>
      <c r="AF188" s="1748"/>
      <c r="AG188" s="1515"/>
      <c r="AH188" s="1515"/>
      <c r="AI188" s="1515"/>
      <c r="AJ188" s="1749"/>
      <c r="AK188" s="1747"/>
      <c r="AL188" s="1747"/>
      <c r="AM188" s="1747"/>
      <c r="AN188" s="1747"/>
      <c r="AO188" s="1747"/>
      <c r="AP188" s="1747"/>
      <c r="AQ188" s="1747"/>
      <c r="AR188" s="1595"/>
      <c r="AS188" s="1595"/>
      <c r="AT188" s="1595"/>
      <c r="AU188" s="1595"/>
      <c r="AV188" s="1595"/>
      <c r="AW188" s="1595"/>
      <c r="AX188" s="1595"/>
      <c r="AY188" s="1595"/>
      <c r="AZ188" s="1595"/>
      <c r="BA188" s="1595"/>
      <c r="BB188" s="1595"/>
      <c r="BC188" s="1595"/>
      <c r="BD188" s="1595"/>
      <c r="BE188" s="1595"/>
      <c r="BF188" s="1610"/>
      <c r="BG188" s="1756"/>
      <c r="BH188" s="1756"/>
      <c r="BI188" s="1756"/>
      <c r="BJ188" s="1756"/>
      <c r="BK188" s="1756"/>
      <c r="BL188" s="1517"/>
    </row>
    <row r="189" spans="1:64" s="1518" customFormat="1" x14ac:dyDescent="0.35">
      <c r="A189" s="1678" t="s">
        <v>260</v>
      </c>
      <c r="B189" s="1716"/>
      <c r="C189" s="1515"/>
      <c r="D189" s="1515"/>
      <c r="E189" s="1515"/>
      <c r="F189" s="1515"/>
      <c r="G189" s="1515"/>
      <c r="H189" s="1515"/>
      <c r="I189" s="1515"/>
      <c r="J189" s="1515"/>
      <c r="K189" s="1515"/>
      <c r="L189" s="1515"/>
      <c r="M189" s="1515"/>
      <c r="N189" s="1515"/>
      <c r="O189" s="1515"/>
      <c r="P189" s="1515"/>
      <c r="Q189" s="1515">
        <f t="shared" ref="Q189:AJ190" si="71">Q172</f>
        <v>2.15</v>
      </c>
      <c r="R189" s="1515">
        <f t="shared" si="71"/>
        <v>2.15</v>
      </c>
      <c r="S189" s="1515">
        <f t="shared" si="71"/>
        <v>1.8</v>
      </c>
      <c r="T189" s="1515">
        <f t="shared" si="71"/>
        <v>1.8</v>
      </c>
      <c r="U189" s="1515">
        <f t="shared" si="71"/>
        <v>1.7</v>
      </c>
      <c r="V189" s="1515">
        <f t="shared" si="71"/>
        <v>1.7999999999999998</v>
      </c>
      <c r="W189" s="1515">
        <f t="shared" si="71"/>
        <v>1.3</v>
      </c>
      <c r="X189" s="1515">
        <f t="shared" si="71"/>
        <v>1.1000000000000001</v>
      </c>
      <c r="Y189" s="1515">
        <f t="shared" si="71"/>
        <v>1.1000000000000001</v>
      </c>
      <c r="Z189" s="1515">
        <f t="shared" si="71"/>
        <v>0.99999999999999956</v>
      </c>
      <c r="AA189" s="1515">
        <f t="shared" si="71"/>
        <v>1.1000000000000001</v>
      </c>
      <c r="AB189" s="1515">
        <f t="shared" si="71"/>
        <v>1.1000000000000001</v>
      </c>
      <c r="AC189" s="1515">
        <f t="shared" si="71"/>
        <v>1.1000000000000001</v>
      </c>
      <c r="AD189" s="1515">
        <f t="shared" si="71"/>
        <v>3.7999999999999994</v>
      </c>
      <c r="AE189" s="1515">
        <f t="shared" si="71"/>
        <v>1</v>
      </c>
      <c r="AF189" s="1515">
        <f t="shared" si="71"/>
        <v>0.9</v>
      </c>
      <c r="AG189" s="1515">
        <f t="shared" si="71"/>
        <v>0.8</v>
      </c>
      <c r="AH189" s="1515">
        <f t="shared" si="71"/>
        <v>0.89999999999999991</v>
      </c>
      <c r="AI189" s="1515">
        <f t="shared" si="71"/>
        <v>0.9</v>
      </c>
      <c r="AJ189" s="1516">
        <f t="shared" si="71"/>
        <v>0.9</v>
      </c>
      <c r="AK189" s="1515">
        <f t="shared" ref="AK189:AP189" si="72">-AK559</f>
        <v>1.0553958469945355</v>
      </c>
      <c r="AL189" s="1515">
        <f t="shared" si="72"/>
        <v>1.0467625707306878</v>
      </c>
      <c r="AM189" s="1515">
        <f t="shared" si="72"/>
        <v>1.01966345285187</v>
      </c>
      <c r="AN189" s="1515">
        <f t="shared" si="72"/>
        <v>1.0279535618138094</v>
      </c>
      <c r="AO189" s="1515">
        <f t="shared" si="72"/>
        <v>1.0348813406477337</v>
      </c>
      <c r="AP189" s="1515">
        <f t="shared" si="72"/>
        <v>1.0294302949750032</v>
      </c>
      <c r="AQ189" s="1515"/>
      <c r="AR189" s="1595"/>
      <c r="AS189" s="1595"/>
      <c r="AT189" s="1595"/>
      <c r="AU189" s="1595"/>
      <c r="AV189" s="1595"/>
      <c r="AW189" s="1595"/>
      <c r="AX189" s="1595"/>
      <c r="AY189" s="1595"/>
      <c r="AZ189" s="1595"/>
      <c r="BA189" s="1595"/>
      <c r="BB189" s="1595">
        <f t="shared" ref="BB189:BF190" si="73">BB172</f>
        <v>8.6</v>
      </c>
      <c r="BC189" s="1595">
        <f t="shared" si="73"/>
        <v>7.1</v>
      </c>
      <c r="BD189" s="1595">
        <f t="shared" si="73"/>
        <v>4.5</v>
      </c>
      <c r="BE189" s="1595">
        <f t="shared" si="73"/>
        <v>7.1</v>
      </c>
      <c r="BF189" s="1610">
        <f t="shared" si="73"/>
        <v>3.6</v>
      </c>
      <c r="BG189" s="1595">
        <f>SUM(AI189,AJ189,AK189,AL189)</f>
        <v>3.9021584177252233</v>
      </c>
      <c r="BH189" s="1595">
        <f>SUM(AM189,AN189,AO189,AP189)</f>
        <v>4.1119286502884158</v>
      </c>
      <c r="BI189" s="1595">
        <f>-BI559</f>
        <v>4.0659060178315434</v>
      </c>
      <c r="BJ189" s="1595">
        <f>-BJ559</f>
        <v>4.0250442867759855</v>
      </c>
      <c r="BK189" s="1595">
        <f>-BK559</f>
        <v>4.0095168289748733</v>
      </c>
      <c r="BL189" s="1517"/>
    </row>
    <row r="190" spans="1:64" s="1518" customFormat="1" x14ac:dyDescent="0.35">
      <c r="A190" s="1678" t="s">
        <v>1004</v>
      </c>
      <c r="B190" s="1716"/>
      <c r="C190" s="1515"/>
      <c r="D190" s="1515"/>
      <c r="E190" s="1515"/>
      <c r="F190" s="1515"/>
      <c r="G190" s="1515"/>
      <c r="H190" s="1515"/>
      <c r="I190" s="1515"/>
      <c r="J190" s="1515"/>
      <c r="K190" s="1515"/>
      <c r="L190" s="1515"/>
      <c r="M190" s="1515"/>
      <c r="N190" s="1515"/>
      <c r="O190" s="1515"/>
      <c r="P190" s="1515"/>
      <c r="Q190" s="1515">
        <f t="shared" si="71"/>
        <v>-2.15</v>
      </c>
      <c r="R190" s="1515">
        <f t="shared" si="71"/>
        <v>-2.15</v>
      </c>
      <c r="S190" s="1515">
        <f t="shared" si="71"/>
        <v>-1.8</v>
      </c>
      <c r="T190" s="1515">
        <f t="shared" si="71"/>
        <v>-1.8</v>
      </c>
      <c r="U190" s="1515">
        <f t="shared" si="71"/>
        <v>21.163</v>
      </c>
      <c r="V190" s="1515">
        <f t="shared" si="71"/>
        <v>-1.7999999999999998</v>
      </c>
      <c r="W190" s="1515">
        <f t="shared" si="71"/>
        <v>19.248999999999999</v>
      </c>
      <c r="X190" s="1515">
        <f t="shared" si="71"/>
        <v>19.197999999999997</v>
      </c>
      <c r="Y190" s="1515">
        <f t="shared" si="71"/>
        <v>19.245999999999999</v>
      </c>
      <c r="Z190" s="1515">
        <f t="shared" si="71"/>
        <v>19.870999999999999</v>
      </c>
      <c r="AA190" s="1515">
        <f t="shared" si="71"/>
        <v>19.055999999999997</v>
      </c>
      <c r="AB190" s="1515">
        <f t="shared" si="71"/>
        <v>18.771999999999998</v>
      </c>
      <c r="AC190" s="1515">
        <f t="shared" si="71"/>
        <v>15.47</v>
      </c>
      <c r="AD190" s="1515">
        <f t="shared" si="71"/>
        <v>12.742000000000003</v>
      </c>
      <c r="AE190" s="1515">
        <f t="shared" si="71"/>
        <v>14.122</v>
      </c>
      <c r="AF190" s="1515">
        <f t="shared" si="71"/>
        <v>15.22</v>
      </c>
      <c r="AG190" s="1515">
        <f t="shared" si="71"/>
        <v>15.074999999999999</v>
      </c>
      <c r="AH190" s="1515">
        <f t="shared" si="71"/>
        <v>14.835999999999997</v>
      </c>
      <c r="AI190" s="1515">
        <f t="shared" si="71"/>
        <v>14.87</v>
      </c>
      <c r="AJ190" s="1516">
        <f t="shared" si="71"/>
        <v>14.92</v>
      </c>
      <c r="AK190" s="1515">
        <f t="shared" ref="AK190:AP190" si="74">-AK565</f>
        <v>12.822135519125684</v>
      </c>
      <c r="AL190" s="1515">
        <f t="shared" si="74"/>
        <v>12.378618323628654</v>
      </c>
      <c r="AM190" s="1515">
        <f t="shared" si="74"/>
        <v>11.729502550220335</v>
      </c>
      <c r="AN190" s="1515">
        <f t="shared" si="74"/>
        <v>11.474414064788663</v>
      </c>
      <c r="AO190" s="1515">
        <f t="shared" si="74"/>
        <v>11.223714146786723</v>
      </c>
      <c r="AP190" s="1515">
        <f t="shared" si="74"/>
        <v>10.859559789798023</v>
      </c>
      <c r="AQ190" s="1515"/>
      <c r="AR190" s="1595"/>
      <c r="AS190" s="1595"/>
      <c r="AT190" s="1595"/>
      <c r="AU190" s="1595"/>
      <c r="AV190" s="1595"/>
      <c r="AW190" s="1595"/>
      <c r="AX190" s="1595"/>
      <c r="AY190" s="1595"/>
      <c r="AZ190" s="1595"/>
      <c r="BA190" s="1595"/>
      <c r="BB190" s="1595">
        <f t="shared" si="73"/>
        <v>85.202000000000012</v>
      </c>
      <c r="BC190" s="1595">
        <f t="shared" si="73"/>
        <v>84.099000000000004</v>
      </c>
      <c r="BD190" s="1595">
        <f t="shared" si="73"/>
        <v>77.563999999999993</v>
      </c>
      <c r="BE190" s="1595">
        <f t="shared" si="73"/>
        <v>66.040000000000006</v>
      </c>
      <c r="BF190" s="1610">
        <f t="shared" si="73"/>
        <v>59.253</v>
      </c>
      <c r="BG190" s="1595">
        <f>SUM(AI190,AJ190,AK190,AL190)</f>
        <v>54.990753842754344</v>
      </c>
      <c r="BH190" s="1595">
        <f>SUM(AM190,AN190,AO190,AP190)</f>
        <v>45.287190551593753</v>
      </c>
      <c r="BI190" s="1595">
        <f>-BI565</f>
        <v>41.71221112113038</v>
      </c>
      <c r="BJ190" s="1595">
        <f>-BJ565</f>
        <v>36.569768896904307</v>
      </c>
      <c r="BK190" s="1595">
        <f>-BK565</f>
        <v>32.45581511752345</v>
      </c>
      <c r="BL190" s="1517"/>
    </row>
    <row r="191" spans="1:64" s="1518" customFormat="1" x14ac:dyDescent="0.35">
      <c r="A191" s="1591" t="s">
        <v>37</v>
      </c>
      <c r="B191" s="1716"/>
      <c r="C191" s="1515"/>
      <c r="D191" s="1515"/>
      <c r="E191" s="1515"/>
      <c r="F191" s="1515"/>
      <c r="G191" s="1515"/>
      <c r="H191" s="1515"/>
      <c r="I191" s="1515"/>
      <c r="J191" s="1515"/>
      <c r="K191" s="1515"/>
      <c r="L191" s="1515"/>
      <c r="M191" s="1515"/>
      <c r="N191" s="1515"/>
      <c r="O191" s="1515"/>
      <c r="P191" s="1515"/>
      <c r="Q191" s="1517">
        <f t="shared" ref="Q191:AJ191" si="75">Q142</f>
        <v>0.249</v>
      </c>
      <c r="R191" s="1517">
        <f t="shared" si="75"/>
        <v>0.504</v>
      </c>
      <c r="S191" s="1517">
        <f t="shared" si="75"/>
        <v>0.54500000000000004</v>
      </c>
      <c r="T191" s="1517">
        <f t="shared" si="75"/>
        <v>0.64100000000000001</v>
      </c>
      <c r="U191" s="1517">
        <f t="shared" si="75"/>
        <v>0.56999999999999995</v>
      </c>
      <c r="V191" s="1517">
        <f t="shared" si="75"/>
        <v>1.708</v>
      </c>
      <c r="W191" s="1517">
        <f t="shared" si="75"/>
        <v>0.89800000000000002</v>
      </c>
      <c r="X191" s="1517">
        <f t="shared" si="75"/>
        <v>0.75600000000000001</v>
      </c>
      <c r="Y191" s="1517">
        <f t="shared" si="75"/>
        <v>25.582000000000001</v>
      </c>
      <c r="Z191" s="1517">
        <f t="shared" si="75"/>
        <v>5.3440000000000003</v>
      </c>
      <c r="AA191" s="1517">
        <f t="shared" si="75"/>
        <v>5.1079999999999997</v>
      </c>
      <c r="AB191" s="1517">
        <f t="shared" si="75"/>
        <v>6.0229999999999997</v>
      </c>
      <c r="AC191" s="1517">
        <f t="shared" si="75"/>
        <v>6.2930000000000001</v>
      </c>
      <c r="AD191" s="1517">
        <f t="shared" si="75"/>
        <v>6.3810000000000002</v>
      </c>
      <c r="AE191" s="1517">
        <f t="shared" si="75"/>
        <v>8.0429999999999993</v>
      </c>
      <c r="AF191" s="1517">
        <f t="shared" si="75"/>
        <v>9.3580000000000005</v>
      </c>
      <c r="AG191" s="1517">
        <f t="shared" si="75"/>
        <v>9.7829999999999995</v>
      </c>
      <c r="AH191" s="1517">
        <f t="shared" si="75"/>
        <v>7.4660000000000011</v>
      </c>
      <c r="AI191" s="1517">
        <f t="shared" si="75"/>
        <v>9.3420000000000005</v>
      </c>
      <c r="AJ191" s="1732">
        <f t="shared" si="75"/>
        <v>11.702999999999999</v>
      </c>
      <c r="AK191" s="1593">
        <v>6</v>
      </c>
      <c r="AL191" s="1593">
        <v>6</v>
      </c>
      <c r="AM191" s="1593">
        <v>6</v>
      </c>
      <c r="AN191" s="1593">
        <v>6</v>
      </c>
      <c r="AO191" s="1593">
        <v>6</v>
      </c>
      <c r="AP191" s="1593">
        <v>6</v>
      </c>
      <c r="AQ191" s="1757"/>
      <c r="AR191" s="1595"/>
      <c r="AS191" s="1595"/>
      <c r="AT191" s="1595"/>
      <c r="AU191" s="1595"/>
      <c r="AV191" s="1595"/>
      <c r="AW191" s="1595"/>
      <c r="AX191" s="1595"/>
      <c r="AY191" s="1595"/>
      <c r="AZ191" s="1595"/>
      <c r="BA191" s="1595"/>
      <c r="BB191" s="1733">
        <f>BB142</f>
        <v>1.5029999999999999</v>
      </c>
      <c r="BC191" s="1733">
        <f>BC142</f>
        <v>3.464</v>
      </c>
      <c r="BD191" s="1733">
        <f>BD142</f>
        <v>32.58</v>
      </c>
      <c r="BE191" s="1733">
        <f>BE142</f>
        <v>23.805</v>
      </c>
      <c r="BF191" s="1734">
        <f>BF142</f>
        <v>34.65</v>
      </c>
      <c r="BG191" s="1595">
        <f>SUM(AI191,AJ191,AK191,AL191)</f>
        <v>33.045000000000002</v>
      </c>
      <c r="BH191" s="1595">
        <f>SUM(AM191,AN191,AO191,AP191)</f>
        <v>24</v>
      </c>
      <c r="BI191" s="1596">
        <v>24</v>
      </c>
      <c r="BJ191" s="1596">
        <v>24</v>
      </c>
      <c r="BK191" s="1596">
        <v>24</v>
      </c>
      <c r="BL191" s="1517"/>
    </row>
    <row r="192" spans="1:64" s="1608" customFormat="1" x14ac:dyDescent="0.35">
      <c r="A192" s="1599" t="s">
        <v>140</v>
      </c>
      <c r="B192" s="1717"/>
      <c r="C192" s="1601"/>
      <c r="D192" s="1601"/>
      <c r="E192" s="1601"/>
      <c r="F192" s="1601"/>
      <c r="G192" s="1601"/>
      <c r="H192" s="1601"/>
      <c r="I192" s="1601"/>
      <c r="J192" s="1601"/>
      <c r="K192" s="1601"/>
      <c r="L192" s="1601"/>
      <c r="M192" s="1601"/>
      <c r="N192" s="1601"/>
      <c r="O192" s="1601"/>
      <c r="P192" s="1601"/>
      <c r="Q192" s="1602">
        <f t="shared" ref="Q192:AP192" si="76">Q185-SUM(Q189:Q191)</f>
        <v>132.76499999999999</v>
      </c>
      <c r="R192" s="1602">
        <f t="shared" si="76"/>
        <v>121.429</v>
      </c>
      <c r="S192" s="1602">
        <f t="shared" si="76"/>
        <v>119.376</v>
      </c>
      <c r="T192" s="1602">
        <f t="shared" si="76"/>
        <v>88.570999999999998</v>
      </c>
      <c r="U192" s="1602">
        <f t="shared" si="76"/>
        <v>3.3940000000000055</v>
      </c>
      <c r="V192" s="1602">
        <f t="shared" si="76"/>
        <v>128.50299999999999</v>
      </c>
      <c r="W192" s="1602">
        <f t="shared" si="76"/>
        <v>11.283000000000012</v>
      </c>
      <c r="X192" s="1602">
        <f t="shared" si="76"/>
        <v>14.846000000000057</v>
      </c>
      <c r="Y192" s="1602">
        <f t="shared" si="76"/>
        <v>-30.494000000000014</v>
      </c>
      <c r="Z192" s="1602">
        <f t="shared" si="76"/>
        <v>8.0069999999999943</v>
      </c>
      <c r="AA192" s="1602">
        <f t="shared" si="76"/>
        <v>15.975000000000005</v>
      </c>
      <c r="AB192" s="1602">
        <f t="shared" si="76"/>
        <v>23.718000000000014</v>
      </c>
      <c r="AC192" s="1602">
        <f t="shared" si="76"/>
        <v>20.181000000000012</v>
      </c>
      <c r="AD192" s="1602">
        <f t="shared" si="76"/>
        <v>0.13899999999998869</v>
      </c>
      <c r="AE192" s="1602">
        <f t="shared" si="76"/>
        <v>9.9949999999999974</v>
      </c>
      <c r="AF192" s="1602">
        <f t="shared" si="76"/>
        <v>15.869999999999997</v>
      </c>
      <c r="AG192" s="1602">
        <f t="shared" si="76"/>
        <v>15.097999999999999</v>
      </c>
      <c r="AH192" s="1602">
        <f t="shared" si="76"/>
        <v>13.000999999999934</v>
      </c>
      <c r="AI192" s="1602">
        <f t="shared" si="76"/>
        <v>-6.9160000000000039</v>
      </c>
      <c r="AJ192" s="1603">
        <f t="shared" si="76"/>
        <v>10.714999999999993</v>
      </c>
      <c r="AK192" s="1601">
        <f t="shared" si="76"/>
        <v>31.466049601879771</v>
      </c>
      <c r="AL192" s="1601">
        <f t="shared" si="76"/>
        <v>27.04754560564065</v>
      </c>
      <c r="AM192" s="1601">
        <f t="shared" si="76"/>
        <v>24.423411565047786</v>
      </c>
      <c r="AN192" s="1601">
        <f t="shared" si="76"/>
        <v>29.343262149133515</v>
      </c>
      <c r="AO192" s="1601">
        <f t="shared" si="76"/>
        <v>30.487806837599187</v>
      </c>
      <c r="AP192" s="1601">
        <f t="shared" si="76"/>
        <v>29.594754141508972</v>
      </c>
      <c r="AQ192" s="1601"/>
      <c r="AR192" s="1604"/>
      <c r="AS192" s="1604"/>
      <c r="AT192" s="1604"/>
      <c r="AU192" s="1604"/>
      <c r="AV192" s="1604"/>
      <c r="AW192" s="1604"/>
      <c r="AX192" s="1604"/>
      <c r="AY192" s="1604"/>
      <c r="AZ192" s="1604"/>
      <c r="BA192" s="1604"/>
      <c r="BB192" s="1605">
        <f t="shared" ref="BB192:BK192" si="77">BB185-SUM(BB189:BB191)</f>
        <v>-10.154000000000025</v>
      </c>
      <c r="BC192" s="1605">
        <f t="shared" si="77"/>
        <v>-21.305999999999997</v>
      </c>
      <c r="BD192" s="1605">
        <f t="shared" si="77"/>
        <v>3.6420000000000385</v>
      </c>
      <c r="BE192" s="1605">
        <f t="shared" si="77"/>
        <v>60.013000000000062</v>
      </c>
      <c r="BF192" s="1718">
        <f t="shared" si="77"/>
        <v>53.963999999999984</v>
      </c>
      <c r="BG192" s="1604">
        <f t="shared" si="77"/>
        <v>62.312595207520502</v>
      </c>
      <c r="BH192" s="1604">
        <f t="shared" si="77"/>
        <v>113.8492346932895</v>
      </c>
      <c r="BI192" s="1604">
        <f t="shared" si="77"/>
        <v>143.48631496838203</v>
      </c>
      <c r="BJ192" s="1604">
        <f t="shared" si="77"/>
        <v>212.85772038133342</v>
      </c>
      <c r="BK192" s="1604">
        <f t="shared" si="77"/>
        <v>256.7558141962059</v>
      </c>
      <c r="BL192" s="1607"/>
    </row>
    <row r="193" spans="1:64" s="1518" customFormat="1" x14ac:dyDescent="0.35">
      <c r="A193" s="1678"/>
      <c r="B193" s="1716"/>
      <c r="C193" s="1515"/>
      <c r="D193" s="1515"/>
      <c r="E193" s="1515"/>
      <c r="F193" s="1515"/>
      <c r="G193" s="1515"/>
      <c r="H193" s="1515"/>
      <c r="I193" s="1515"/>
      <c r="J193" s="1515"/>
      <c r="K193" s="1515"/>
      <c r="L193" s="1515"/>
      <c r="M193" s="1515"/>
      <c r="N193" s="1515"/>
      <c r="O193" s="1515"/>
      <c r="P193" s="1515"/>
      <c r="Q193" s="1515"/>
      <c r="R193" s="1515"/>
      <c r="S193" s="1515"/>
      <c r="T193" s="1515"/>
      <c r="U193" s="1515"/>
      <c r="V193" s="1515"/>
      <c r="W193" s="1515"/>
      <c r="X193" s="1515"/>
      <c r="Y193" s="1515"/>
      <c r="Z193" s="1515"/>
      <c r="AA193" s="1515"/>
      <c r="AB193" s="1515"/>
      <c r="AC193" s="1515"/>
      <c r="AD193" s="1515"/>
      <c r="AE193" s="1515"/>
      <c r="AF193" s="1515"/>
      <c r="AG193" s="1515"/>
      <c r="AH193" s="1515"/>
      <c r="AI193" s="1515"/>
      <c r="AJ193" s="1516"/>
      <c r="AK193" s="1515"/>
      <c r="AL193" s="1515"/>
      <c r="AM193" s="1515"/>
      <c r="AN193" s="1515"/>
      <c r="AO193" s="1515"/>
      <c r="AP193" s="1515"/>
      <c r="AQ193" s="1515"/>
      <c r="AR193" s="1595"/>
      <c r="AS193" s="1595"/>
      <c r="AT193" s="1595"/>
      <c r="AU193" s="1595"/>
      <c r="AV193" s="1595"/>
      <c r="AW193" s="1595"/>
      <c r="AX193" s="1595"/>
      <c r="AY193" s="1595"/>
      <c r="AZ193" s="1595"/>
      <c r="BA193" s="1595"/>
      <c r="BB193" s="1595"/>
      <c r="BC193" s="1595"/>
      <c r="BD193" s="1595"/>
      <c r="BE193" s="1595"/>
      <c r="BF193" s="1610"/>
      <c r="BG193" s="1595"/>
      <c r="BH193" s="1595"/>
      <c r="BI193" s="1595"/>
      <c r="BJ193" s="1595"/>
      <c r="BK193" s="1595"/>
      <c r="BL193" s="1517"/>
    </row>
    <row r="194" spans="1:64" s="1518" customFormat="1" x14ac:dyDescent="0.35">
      <c r="A194" s="1678" t="s">
        <v>1005</v>
      </c>
      <c r="B194" s="1716"/>
      <c r="C194" s="1515"/>
      <c r="D194" s="1515"/>
      <c r="E194" s="1515"/>
      <c r="F194" s="1515"/>
      <c r="G194" s="1515"/>
      <c r="H194" s="1515"/>
      <c r="I194" s="1515"/>
      <c r="J194" s="1515"/>
      <c r="K194" s="1515"/>
      <c r="L194" s="1515"/>
      <c r="M194" s="1515"/>
      <c r="N194" s="1515"/>
      <c r="O194" s="1515"/>
      <c r="P194" s="1515"/>
      <c r="Q194" s="1515">
        <f t="shared" ref="Q194:AJ194" si="78">Q127</f>
        <v>9.7840000000000007</v>
      </c>
      <c r="R194" s="1515">
        <f t="shared" si="78"/>
        <v>9.1989999999999998</v>
      </c>
      <c r="S194" s="1515">
        <f t="shared" si="78"/>
        <v>9.0559999999999992</v>
      </c>
      <c r="T194" s="1515">
        <f t="shared" si="78"/>
        <v>8.2370000000000001</v>
      </c>
      <c r="U194" s="1515">
        <f t="shared" si="78"/>
        <v>7.8170000000000002</v>
      </c>
      <c r="V194" s="1515">
        <f t="shared" si="78"/>
        <v>7.8369999999999997</v>
      </c>
      <c r="W194" s="1515">
        <f t="shared" si="78"/>
        <v>7.57</v>
      </c>
      <c r="X194" s="1515">
        <f t="shared" si="78"/>
        <v>7.6029999999999998</v>
      </c>
      <c r="Y194" s="1515">
        <f t="shared" si="78"/>
        <v>7.6680000000000001</v>
      </c>
      <c r="Z194" s="1515">
        <f t="shared" si="78"/>
        <v>8.016</v>
      </c>
      <c r="AA194" s="1515">
        <f t="shared" si="78"/>
        <v>6.3360000000000003</v>
      </c>
      <c r="AB194" s="1515">
        <f t="shared" si="78"/>
        <v>6.6189999999999998</v>
      </c>
      <c r="AC194" s="1515">
        <f t="shared" si="78"/>
        <v>7.7640000000000002</v>
      </c>
      <c r="AD194" s="1515">
        <f t="shared" si="78"/>
        <v>8.8279999999999994</v>
      </c>
      <c r="AE194" s="1515">
        <f t="shared" si="78"/>
        <v>8.6080000000000005</v>
      </c>
      <c r="AF194" s="1515">
        <f t="shared" si="78"/>
        <v>8.99</v>
      </c>
      <c r="AG194" s="1515">
        <f t="shared" si="78"/>
        <v>9.3049999999999997</v>
      </c>
      <c r="AH194" s="1515">
        <f t="shared" si="78"/>
        <v>9.3299999999999983</v>
      </c>
      <c r="AI194" s="1515">
        <f t="shared" si="78"/>
        <v>10.311999999999999</v>
      </c>
      <c r="AJ194" s="1516">
        <f t="shared" si="78"/>
        <v>10.143000000000001</v>
      </c>
      <c r="AK194" s="1515">
        <f t="shared" ref="AK194:AP194" si="79">AK386</f>
        <v>9.7250334426229514</v>
      </c>
      <c r="AL194" s="1515">
        <f t="shared" si="79"/>
        <v>9.7250334426229514</v>
      </c>
      <c r="AM194" s="1515">
        <f t="shared" si="79"/>
        <v>9.5396843835616441</v>
      </c>
      <c r="AN194" s="1515">
        <f t="shared" si="79"/>
        <v>9.6456808767123299</v>
      </c>
      <c r="AO194" s="1515">
        <f t="shared" si="79"/>
        <v>9.7516773698630139</v>
      </c>
      <c r="AP194" s="1515">
        <f t="shared" si="79"/>
        <v>9.7516773698630139</v>
      </c>
      <c r="AQ194" s="1515"/>
      <c r="AR194" s="1595"/>
      <c r="AS194" s="1595"/>
      <c r="AT194" s="1595"/>
      <c r="AU194" s="1595"/>
      <c r="AV194" s="1595"/>
      <c r="AW194" s="1595"/>
      <c r="AX194" s="1595"/>
      <c r="AY194" s="1595"/>
      <c r="AZ194" s="1595"/>
      <c r="BA194" s="1595"/>
      <c r="BB194" s="1595">
        <f>BB127</f>
        <v>39.316000000000003</v>
      </c>
      <c r="BC194" s="1595">
        <f>BC127</f>
        <v>32.947000000000003</v>
      </c>
      <c r="BD194" s="1595">
        <f>BD127</f>
        <v>30.856999999999999</v>
      </c>
      <c r="BE194" s="1595">
        <f>BE127</f>
        <v>29.547000000000001</v>
      </c>
      <c r="BF194" s="1610">
        <f>BF127</f>
        <v>36.232999999999997</v>
      </c>
      <c r="BG194" s="1595">
        <f>SUM(AI194,AJ194,AK194,AL194)</f>
        <v>39.905066885245901</v>
      </c>
      <c r="BH194" s="1595">
        <f>SUM(AM194,AN194,AO194,AP194)</f>
        <v>38.688720000000004</v>
      </c>
      <c r="BI194" s="1595">
        <f>BI386</f>
        <v>38.688720000000004</v>
      </c>
      <c r="BJ194" s="1595">
        <f>BJ386</f>
        <v>38.688720000000004</v>
      </c>
      <c r="BK194" s="1595">
        <f>BK386</f>
        <v>38.688720000000004</v>
      </c>
      <c r="BL194" s="1517"/>
    </row>
    <row r="195" spans="1:64" s="1518" customFormat="1" x14ac:dyDescent="0.35">
      <c r="A195" s="1678" t="s">
        <v>1006</v>
      </c>
      <c r="B195" s="1716"/>
      <c r="C195" s="1515"/>
      <c r="D195" s="1515"/>
      <c r="E195" s="1515"/>
      <c r="F195" s="1515"/>
      <c r="G195" s="1515"/>
      <c r="H195" s="1515"/>
      <c r="I195" s="1515"/>
      <c r="J195" s="1515"/>
      <c r="K195" s="1515"/>
      <c r="L195" s="1515"/>
      <c r="M195" s="1515"/>
      <c r="N195" s="1515"/>
      <c r="O195" s="1515"/>
      <c r="P195" s="1515"/>
      <c r="Q195" s="1515"/>
      <c r="R195" s="1515"/>
      <c r="S195" s="1515"/>
      <c r="T195" s="1515"/>
      <c r="U195" s="1515"/>
      <c r="V195" s="1515"/>
      <c r="W195" s="1515"/>
      <c r="X195" s="1515"/>
      <c r="Y195" s="1515"/>
      <c r="Z195" s="1515"/>
      <c r="AA195" s="1515"/>
      <c r="AB195" s="1515"/>
      <c r="AC195" s="1515"/>
      <c r="AD195" s="1515"/>
      <c r="AE195" s="1515"/>
      <c r="AF195" s="1515"/>
      <c r="AG195" s="1515"/>
      <c r="AH195" s="1515"/>
      <c r="AI195" s="1515"/>
      <c r="AJ195" s="1516"/>
      <c r="AK195" s="1515">
        <f t="shared" ref="AK195:AP195" si="80">-AK388</f>
        <v>0</v>
      </c>
      <c r="AL195" s="1515">
        <f t="shared" ca="1" si="80"/>
        <v>0</v>
      </c>
      <c r="AM195" s="1515">
        <f t="shared" ca="1" si="80"/>
        <v>0</v>
      </c>
      <c r="AN195" s="1515">
        <f t="shared" ca="1" si="80"/>
        <v>0</v>
      </c>
      <c r="AO195" s="1515">
        <f t="shared" ca="1" si="80"/>
        <v>0</v>
      </c>
      <c r="AP195" s="1515">
        <f t="shared" ca="1" si="80"/>
        <v>0</v>
      </c>
      <c r="AQ195" s="1515"/>
      <c r="AR195" s="1595"/>
      <c r="AS195" s="1595"/>
      <c r="AT195" s="1595"/>
      <c r="AU195" s="1595"/>
      <c r="AV195" s="1595"/>
      <c r="AW195" s="1595"/>
      <c r="AX195" s="1595"/>
      <c r="AY195" s="1595"/>
      <c r="AZ195" s="1595"/>
      <c r="BA195" s="1595"/>
      <c r="BB195" s="1595"/>
      <c r="BC195" s="1595"/>
      <c r="BD195" s="1595"/>
      <c r="BE195" s="1595"/>
      <c r="BF195" s="1610"/>
      <c r="BG195" s="1595">
        <f ca="1">SUM(AI195,AJ195,AK195,AL195)</f>
        <v>0</v>
      </c>
      <c r="BH195" s="1595">
        <f ca="1">SUM(AM195,AN195,AO195,AP195)</f>
        <v>0</v>
      </c>
      <c r="BI195" s="1595">
        <f ca="1">-BI388</f>
        <v>0</v>
      </c>
      <c r="BJ195" s="1595">
        <f ca="1">-BJ388</f>
        <v>0</v>
      </c>
      <c r="BK195" s="1595">
        <f ca="1">-BK388</f>
        <v>0</v>
      </c>
      <c r="BL195" s="1517"/>
    </row>
    <row r="196" spans="1:64" s="1518" customFormat="1" x14ac:dyDescent="0.35">
      <c r="A196" s="1591" t="s">
        <v>1007</v>
      </c>
      <c r="B196" s="1716"/>
      <c r="C196" s="1515"/>
      <c r="D196" s="1515"/>
      <c r="E196" s="1515"/>
      <c r="F196" s="1515"/>
      <c r="G196" s="1515"/>
      <c r="H196" s="1515"/>
      <c r="I196" s="1515"/>
      <c r="J196" s="1515"/>
      <c r="K196" s="1515"/>
      <c r="L196" s="1515"/>
      <c r="M196" s="1515"/>
      <c r="N196" s="1515"/>
      <c r="O196" s="1515"/>
      <c r="P196" s="1515"/>
      <c r="Q196" s="1515"/>
      <c r="R196" s="1515"/>
      <c r="S196" s="1515"/>
      <c r="T196" s="1515"/>
      <c r="U196" s="1515"/>
      <c r="V196" s="1515"/>
      <c r="W196" s="1515"/>
      <c r="X196" s="1515"/>
      <c r="Y196" s="1515"/>
      <c r="Z196" s="1515"/>
      <c r="AA196" s="1515"/>
      <c r="AB196" s="1515"/>
      <c r="AC196" s="1515"/>
      <c r="AD196" s="1515"/>
      <c r="AE196" s="1515"/>
      <c r="AF196" s="1515"/>
      <c r="AG196" s="1515"/>
      <c r="AH196" s="1515"/>
      <c r="AI196" s="1515"/>
      <c r="AJ196" s="1516"/>
      <c r="AK196" s="1515"/>
      <c r="AL196" s="1515"/>
      <c r="AM196" s="1515"/>
      <c r="AN196" s="1515"/>
      <c r="AO196" s="1515"/>
      <c r="AP196" s="1515"/>
      <c r="AQ196" s="1515"/>
      <c r="AR196" s="1595"/>
      <c r="AS196" s="1595"/>
      <c r="AT196" s="1595"/>
      <c r="AU196" s="1595"/>
      <c r="AV196" s="1595"/>
      <c r="AW196" s="1595"/>
      <c r="AX196" s="1595"/>
      <c r="AY196" s="1595"/>
      <c r="AZ196" s="1595"/>
      <c r="BA196" s="1595"/>
      <c r="BB196" s="1595"/>
      <c r="BC196" s="1595"/>
      <c r="BD196" s="1595"/>
      <c r="BE196" s="1595"/>
      <c r="BF196" s="1610"/>
      <c r="BG196" s="1595">
        <f>SUM(AI196,AJ196,AK196,AL196)</f>
        <v>0</v>
      </c>
      <c r="BH196" s="1595">
        <f>SUM(AM196,AN196,AO196,AP196)</f>
        <v>0</v>
      </c>
      <c r="BI196" s="1595"/>
      <c r="BJ196" s="1595"/>
      <c r="BK196" s="1595"/>
      <c r="BL196" s="1517"/>
    </row>
    <row r="197" spans="1:64" s="1518" customFormat="1" x14ac:dyDescent="0.35">
      <c r="A197" s="1678" t="s">
        <v>1008</v>
      </c>
      <c r="B197" s="1716"/>
      <c r="C197" s="1515"/>
      <c r="D197" s="1515"/>
      <c r="E197" s="1515"/>
      <c r="F197" s="1515"/>
      <c r="G197" s="1515"/>
      <c r="H197" s="1515"/>
      <c r="I197" s="1515"/>
      <c r="J197" s="1515"/>
      <c r="K197" s="1515"/>
      <c r="L197" s="1515"/>
      <c r="M197" s="1515"/>
      <c r="N197" s="1515"/>
      <c r="O197" s="1515"/>
      <c r="P197" s="1515"/>
      <c r="Q197" s="1515">
        <f t="shared" ref="Q197:AJ197" si="81">Q128+Q130+Q129</f>
        <v>0.72199999999999998</v>
      </c>
      <c r="R197" s="1515">
        <f t="shared" si="81"/>
        <v>-1.5660000000000001</v>
      </c>
      <c r="S197" s="1515">
        <f t="shared" si="81"/>
        <v>8.5140000000000011</v>
      </c>
      <c r="T197" s="1515">
        <f t="shared" si="81"/>
        <v>0.47800000000000004</v>
      </c>
      <c r="U197" s="1515">
        <f t="shared" si="81"/>
        <v>-0.38500000000000001</v>
      </c>
      <c r="V197" s="1515">
        <f t="shared" si="81"/>
        <v>-6304.8010000000086</v>
      </c>
      <c r="W197" s="1515">
        <f t="shared" si="81"/>
        <v>-0.317</v>
      </c>
      <c r="X197" s="1515">
        <f t="shared" si="81"/>
        <v>-0.22999999999999998</v>
      </c>
      <c r="Y197" s="1515">
        <f t="shared" si="81"/>
        <v>-0.28800000000000003</v>
      </c>
      <c r="Z197" s="1515">
        <f t="shared" si="81"/>
        <v>-0.66600000000000004</v>
      </c>
      <c r="AA197" s="1515">
        <f t="shared" si="81"/>
        <v>-0.68199999999999994</v>
      </c>
      <c r="AB197" s="1515">
        <f t="shared" si="81"/>
        <v>-0.47599999999999998</v>
      </c>
      <c r="AC197" s="1515">
        <f t="shared" si="81"/>
        <v>-0.56000000000000005</v>
      </c>
      <c r="AD197" s="1515">
        <f t="shared" si="81"/>
        <v>3.0609999999999999</v>
      </c>
      <c r="AE197" s="1515">
        <f t="shared" si="81"/>
        <v>-0.41199999999999998</v>
      </c>
      <c r="AF197" s="1515">
        <f t="shared" si="81"/>
        <v>-0.39700000000000002</v>
      </c>
      <c r="AG197" s="1515">
        <f t="shared" si="81"/>
        <v>-0.56100000000000005</v>
      </c>
      <c r="AH197" s="1515">
        <f t="shared" si="81"/>
        <v>-0.52099999999999991</v>
      </c>
      <c r="AI197" s="1515">
        <f t="shared" si="81"/>
        <v>-0.42299999999999999</v>
      </c>
      <c r="AJ197" s="1516">
        <f t="shared" si="81"/>
        <v>-0.32200000000000001</v>
      </c>
      <c r="AK197" s="1593">
        <v>-14</v>
      </c>
      <c r="AL197" s="1593">
        <v>-15</v>
      </c>
      <c r="AM197" s="1593">
        <v>-10</v>
      </c>
      <c r="AN197" s="1593">
        <v>-9</v>
      </c>
      <c r="AO197" s="1593">
        <v>-12</v>
      </c>
      <c r="AP197" s="1593">
        <v>-5</v>
      </c>
      <c r="AQ197" s="1757"/>
      <c r="AR197" s="1595"/>
      <c r="AS197" s="1595"/>
      <c r="AT197" s="1595"/>
      <c r="AU197" s="1595"/>
      <c r="AV197" s="1595"/>
      <c r="AW197" s="1595"/>
      <c r="AX197" s="1595"/>
      <c r="AY197" s="1595"/>
      <c r="AZ197" s="1595"/>
      <c r="BA197" s="1595"/>
      <c r="BB197" s="1595">
        <f>BB128+BB130+BB129</f>
        <v>5.7949999999999999</v>
      </c>
      <c r="BC197" s="1595">
        <f>BC128+BC130+BC129</f>
        <v>7.8050000000000006</v>
      </c>
      <c r="BD197" s="1595">
        <f>BD128+BD130+BD129</f>
        <v>-1.5010000000000001</v>
      </c>
      <c r="BE197" s="1595">
        <f>BE128+BE130+BE129</f>
        <v>1.3420000000000001</v>
      </c>
      <c r="BF197" s="1610">
        <f>BF128+BF130+BF129</f>
        <v>-1.891</v>
      </c>
      <c r="BG197" s="1595">
        <f>SUM(AI197,AJ197,AK197,AL197)</f>
        <v>-29.744999999999997</v>
      </c>
      <c r="BH197" s="1595">
        <f>SUM(AM197,AN197,AO197,AP197)</f>
        <v>-36</v>
      </c>
      <c r="BI197" s="1596">
        <v>-50</v>
      </c>
      <c r="BJ197" s="1596">
        <v>-4</v>
      </c>
      <c r="BK197" s="1596">
        <v>-4</v>
      </c>
      <c r="BL197" s="1517"/>
    </row>
    <row r="198" spans="1:64" s="1518" customFormat="1" x14ac:dyDescent="0.35">
      <c r="A198" s="1591" t="s">
        <v>1009</v>
      </c>
      <c r="B198" s="1716"/>
      <c r="C198" s="1515"/>
      <c r="D198" s="1515"/>
      <c r="E198" s="1515"/>
      <c r="F198" s="1515"/>
      <c r="G198" s="1515"/>
      <c r="H198" s="1515"/>
      <c r="I198" s="1515"/>
      <c r="J198" s="1515"/>
      <c r="K198" s="1515"/>
      <c r="L198" s="1515"/>
      <c r="M198" s="1515"/>
      <c r="N198" s="1515"/>
      <c r="O198" s="1515"/>
      <c r="P198" s="1515"/>
      <c r="Q198" s="1517">
        <f t="shared" ref="Q198:AJ198" si="82">Q125</f>
        <v>0</v>
      </c>
      <c r="R198" s="1517">
        <f t="shared" si="82"/>
        <v>0</v>
      </c>
      <c r="S198" s="1517">
        <f t="shared" si="82"/>
        <v>0</v>
      </c>
      <c r="T198" s="1517">
        <f t="shared" si="82"/>
        <v>0</v>
      </c>
      <c r="U198" s="1517">
        <f t="shared" si="82"/>
        <v>0.621</v>
      </c>
      <c r="V198" s="1517">
        <f t="shared" si="82"/>
        <v>0</v>
      </c>
      <c r="W198" s="1517">
        <f t="shared" si="82"/>
        <v>2.8759999999999999</v>
      </c>
      <c r="X198" s="1517">
        <f t="shared" si="82"/>
        <v>4.9000000000000099E-2</v>
      </c>
      <c r="Y198" s="1517">
        <f t="shared" si="82"/>
        <v>1.4999999999999999E-2</v>
      </c>
      <c r="Z198" s="1517">
        <f t="shared" si="82"/>
        <v>0.33400000000000002</v>
      </c>
      <c r="AA198" s="1517">
        <f t="shared" si="82"/>
        <v>0</v>
      </c>
      <c r="AB198" s="1517">
        <f t="shared" si="82"/>
        <v>0.61199999999999999</v>
      </c>
      <c r="AC198" s="1517">
        <f t="shared" si="82"/>
        <v>0.193</v>
      </c>
      <c r="AD198" s="1517">
        <f t="shared" si="82"/>
        <v>0.20300000000000001</v>
      </c>
      <c r="AE198" s="1517">
        <f t="shared" si="82"/>
        <v>0.106</v>
      </c>
      <c r="AF198" s="1517">
        <f t="shared" si="82"/>
        <v>7.0389999999999997</v>
      </c>
      <c r="AG198" s="1517">
        <f t="shared" si="82"/>
        <v>4.8000000000000001E-2</v>
      </c>
      <c r="AH198" s="1517">
        <f t="shared" si="82"/>
        <v>0.17800000000000082</v>
      </c>
      <c r="AI198" s="1517">
        <f t="shared" si="82"/>
        <v>0.16800000000000001</v>
      </c>
      <c r="AJ198" s="1732">
        <f t="shared" si="82"/>
        <v>3.2000000000000001E-2</v>
      </c>
      <c r="AK198" s="1515"/>
      <c r="AL198" s="1515"/>
      <c r="AM198" s="1515"/>
      <c r="AN198" s="1515"/>
      <c r="AO198" s="1515"/>
      <c r="AP198" s="1515"/>
      <c r="AQ198" s="1515"/>
      <c r="AR198" s="1595"/>
      <c r="AS198" s="1595"/>
      <c r="AT198" s="1595"/>
      <c r="AU198" s="1595"/>
      <c r="AV198" s="1595"/>
      <c r="AW198" s="1595"/>
      <c r="AX198" s="1595"/>
      <c r="AY198" s="1595"/>
      <c r="AZ198" s="1595"/>
      <c r="BA198" s="1595"/>
      <c r="BB198" s="1733">
        <f>BB125</f>
        <v>3.22</v>
      </c>
      <c r="BC198" s="1733">
        <f>BC125</f>
        <v>1.7969999999999999</v>
      </c>
      <c r="BD198" s="1733">
        <f>BD125</f>
        <v>3.274</v>
      </c>
      <c r="BE198" s="1733">
        <f>BE125</f>
        <v>1.008</v>
      </c>
      <c r="BF198" s="1734">
        <f>BF125</f>
        <v>7.3710000000000004</v>
      </c>
      <c r="BG198" s="1595">
        <f>SUM(AI198,AJ198,AK198,AL198)</f>
        <v>0.2</v>
      </c>
      <c r="BH198" s="1595">
        <f>SUM(AM198,AN198,AO198,AP198)</f>
        <v>0</v>
      </c>
      <c r="BI198" s="1595"/>
      <c r="BJ198" s="1595"/>
      <c r="BK198" s="1595"/>
      <c r="BL198" s="1517"/>
    </row>
    <row r="199" spans="1:64" s="1608" customFormat="1" x14ac:dyDescent="0.35">
      <c r="A199" s="1599" t="s">
        <v>1010</v>
      </c>
      <c r="B199" s="1717"/>
      <c r="C199" s="1601"/>
      <c r="D199" s="1601"/>
      <c r="E199" s="1601"/>
      <c r="F199" s="1601"/>
      <c r="G199" s="1601"/>
      <c r="H199" s="1601"/>
      <c r="I199" s="1601"/>
      <c r="J199" s="1601"/>
      <c r="K199" s="1601"/>
      <c r="L199" s="1601"/>
      <c r="M199" s="1601"/>
      <c r="N199" s="1601"/>
      <c r="O199" s="1601"/>
      <c r="P199" s="1601"/>
      <c r="Q199" s="1602">
        <f t="shared" ref="Q199:AP199" si="83">Q192-SUM(Q194:Q198)</f>
        <v>122.25899999999999</v>
      </c>
      <c r="R199" s="1602">
        <f t="shared" si="83"/>
        <v>113.79600000000001</v>
      </c>
      <c r="S199" s="1602">
        <f t="shared" si="83"/>
        <v>101.80600000000001</v>
      </c>
      <c r="T199" s="1602">
        <f t="shared" si="83"/>
        <v>79.855999999999995</v>
      </c>
      <c r="U199" s="1602">
        <f t="shared" si="83"/>
        <v>-4.6589999999999954</v>
      </c>
      <c r="V199" s="1602">
        <f t="shared" si="83"/>
        <v>6425.4670000000078</v>
      </c>
      <c r="W199" s="1602">
        <f t="shared" si="83"/>
        <v>1.1540000000000123</v>
      </c>
      <c r="X199" s="1602">
        <f t="shared" si="83"/>
        <v>7.4240000000000572</v>
      </c>
      <c r="Y199" s="1602">
        <f t="shared" si="83"/>
        <v>-37.88900000000001</v>
      </c>
      <c r="Z199" s="1602">
        <f t="shared" si="83"/>
        <v>0.32299999999999507</v>
      </c>
      <c r="AA199" s="1602">
        <f t="shared" si="83"/>
        <v>10.321000000000005</v>
      </c>
      <c r="AB199" s="1602">
        <f t="shared" si="83"/>
        <v>16.963000000000015</v>
      </c>
      <c r="AC199" s="1602">
        <f t="shared" si="83"/>
        <v>12.784000000000011</v>
      </c>
      <c r="AD199" s="1602">
        <f t="shared" si="83"/>
        <v>-11.95300000000001</v>
      </c>
      <c r="AE199" s="1602">
        <f t="shared" si="83"/>
        <v>1.6929999999999978</v>
      </c>
      <c r="AF199" s="1602">
        <f t="shared" si="83"/>
        <v>0.23799999999999777</v>
      </c>
      <c r="AG199" s="1602">
        <f t="shared" si="83"/>
        <v>6.3059999999999992</v>
      </c>
      <c r="AH199" s="1602">
        <f t="shared" si="83"/>
        <v>4.0139999999999354</v>
      </c>
      <c r="AI199" s="1602">
        <f t="shared" si="83"/>
        <v>-16.973000000000003</v>
      </c>
      <c r="AJ199" s="1603">
        <f t="shared" si="83"/>
        <v>0.86199999999999122</v>
      </c>
      <c r="AK199" s="1601">
        <f t="shared" si="83"/>
        <v>35.741016159256816</v>
      </c>
      <c r="AL199" s="1601">
        <f t="shared" ca="1" si="83"/>
        <v>32.322512163017699</v>
      </c>
      <c r="AM199" s="1601">
        <f t="shared" ca="1" si="83"/>
        <v>24.883727181486144</v>
      </c>
      <c r="AN199" s="1601">
        <f t="shared" ca="1" si="83"/>
        <v>28.697581272421186</v>
      </c>
      <c r="AO199" s="1601">
        <f t="shared" ca="1" si="83"/>
        <v>32.736129467736177</v>
      </c>
      <c r="AP199" s="1601">
        <f t="shared" ca="1" si="83"/>
        <v>24.843076771645958</v>
      </c>
      <c r="AQ199" s="1601"/>
      <c r="AR199" s="1604"/>
      <c r="AS199" s="1604"/>
      <c r="AT199" s="1604"/>
      <c r="AU199" s="1604"/>
      <c r="AV199" s="1604"/>
      <c r="AW199" s="1604"/>
      <c r="AX199" s="1604"/>
      <c r="AY199" s="1604"/>
      <c r="AZ199" s="1604"/>
      <c r="BA199" s="1604"/>
      <c r="BB199" s="1605">
        <f t="shared" ref="BB199:BK199" si="84">BB192-SUM(BB194:BB198)</f>
        <v>-58.485000000000028</v>
      </c>
      <c r="BC199" s="1605">
        <f t="shared" si="84"/>
        <v>-63.854999999999997</v>
      </c>
      <c r="BD199" s="1605">
        <f t="shared" si="84"/>
        <v>-28.987999999999957</v>
      </c>
      <c r="BE199" s="1605">
        <f t="shared" si="84"/>
        <v>28.116000000000064</v>
      </c>
      <c r="BF199" s="1718">
        <f t="shared" si="84"/>
        <v>12.250999999999983</v>
      </c>
      <c r="BG199" s="1604">
        <f t="shared" ca="1" si="84"/>
        <v>51.952528322274603</v>
      </c>
      <c r="BH199" s="1604">
        <f t="shared" ca="1" si="84"/>
        <v>111.1605146932895</v>
      </c>
      <c r="BI199" s="1604">
        <f t="shared" ca="1" si="84"/>
        <v>154.79759496838204</v>
      </c>
      <c r="BJ199" s="1604">
        <f t="shared" ca="1" si="84"/>
        <v>178.16900038133343</v>
      </c>
      <c r="BK199" s="1604">
        <f t="shared" ca="1" si="84"/>
        <v>222.06709419620591</v>
      </c>
      <c r="BL199" s="1607"/>
    </row>
    <row r="200" spans="1:64" s="1608" customFormat="1" x14ac:dyDescent="0.35">
      <c r="A200" s="1745"/>
      <c r="B200" s="1712"/>
      <c r="C200" s="1667"/>
      <c r="D200" s="1667"/>
      <c r="E200" s="1667"/>
      <c r="F200" s="1667"/>
      <c r="G200" s="1667"/>
      <c r="H200" s="1667"/>
      <c r="I200" s="1667"/>
      <c r="J200" s="1667"/>
      <c r="K200" s="1667"/>
      <c r="L200" s="1667"/>
      <c r="M200" s="1667"/>
      <c r="N200" s="1667"/>
      <c r="O200" s="1667"/>
      <c r="P200" s="1667"/>
      <c r="Q200" s="1667"/>
      <c r="R200" s="1667"/>
      <c r="S200" s="1667"/>
      <c r="T200" s="1667"/>
      <c r="U200" s="1667"/>
      <c r="V200" s="1667"/>
      <c r="W200" s="1667"/>
      <c r="X200" s="1667"/>
      <c r="Y200" s="1667"/>
      <c r="Z200" s="1667"/>
      <c r="AA200" s="1667"/>
      <c r="AB200" s="1667"/>
      <c r="AC200" s="1667"/>
      <c r="AD200" s="1667"/>
      <c r="AE200" s="1667"/>
      <c r="AF200" s="1667"/>
      <c r="AG200" s="1667"/>
      <c r="AH200" s="1667"/>
      <c r="AI200" s="1667"/>
      <c r="AJ200" s="1668"/>
      <c r="AK200" s="1667"/>
      <c r="AL200" s="1667"/>
      <c r="AM200" s="1667"/>
      <c r="AN200" s="1667"/>
      <c r="AO200" s="1667"/>
      <c r="AP200" s="1667"/>
      <c r="AQ200" s="1667"/>
      <c r="AR200" s="1669"/>
      <c r="AS200" s="1669"/>
      <c r="AT200" s="1669"/>
      <c r="AU200" s="1669"/>
      <c r="AV200" s="1669"/>
      <c r="AW200" s="1669"/>
      <c r="AX200" s="1669"/>
      <c r="AY200" s="1669"/>
      <c r="AZ200" s="1669"/>
      <c r="BA200" s="1669"/>
      <c r="BB200" s="1669"/>
      <c r="BC200" s="1669"/>
      <c r="BD200" s="1669"/>
      <c r="BE200" s="1669"/>
      <c r="BF200" s="1612"/>
      <c r="BG200" s="1669"/>
      <c r="BH200" s="1669"/>
      <c r="BI200" s="1669"/>
      <c r="BJ200" s="1669"/>
      <c r="BK200" s="1669"/>
      <c r="BL200" s="1607"/>
    </row>
    <row r="201" spans="1:64" s="1518" customFormat="1" x14ac:dyDescent="0.35">
      <c r="A201" s="1591" t="s">
        <v>1011</v>
      </c>
      <c r="B201" s="1716"/>
      <c r="C201" s="1515"/>
      <c r="D201" s="1515"/>
      <c r="E201" s="1515"/>
      <c r="F201" s="1515"/>
      <c r="G201" s="1515"/>
      <c r="H201" s="1515"/>
      <c r="I201" s="1515"/>
      <c r="J201" s="1515"/>
      <c r="K201" s="1515"/>
      <c r="L201" s="1515"/>
      <c r="M201" s="1515"/>
      <c r="N201" s="1515"/>
      <c r="O201" s="1515"/>
      <c r="P201" s="1515"/>
      <c r="Q201" s="1517">
        <f t="shared" ref="Q201:AJ202" si="85">Q168</f>
        <v>1.8262499999999999</v>
      </c>
      <c r="R201" s="1517">
        <f t="shared" si="85"/>
        <v>1.8262499999999999</v>
      </c>
      <c r="S201" s="1517">
        <f t="shared" si="85"/>
        <v>1.3754999999999999</v>
      </c>
      <c r="T201" s="1517">
        <f t="shared" si="85"/>
        <v>1.3754999999999999</v>
      </c>
      <c r="U201" s="1517">
        <f t="shared" si="85"/>
        <v>1.3754999999999999</v>
      </c>
      <c r="V201" s="1517">
        <f t="shared" si="85"/>
        <v>1.3754999999999999</v>
      </c>
      <c r="W201" s="1517">
        <f t="shared" si="85"/>
        <v>2.8387500000000001</v>
      </c>
      <c r="X201" s="1517">
        <f t="shared" si="85"/>
        <v>2.8387500000000001</v>
      </c>
      <c r="Y201" s="1517">
        <f t="shared" si="85"/>
        <v>2.8387500000000001</v>
      </c>
      <c r="Z201" s="1517">
        <f t="shared" si="85"/>
        <v>2.8387500000000001</v>
      </c>
      <c r="AA201" s="1517">
        <f t="shared" si="85"/>
        <v>4.9227499999999997</v>
      </c>
      <c r="AB201" s="1517">
        <f t="shared" si="85"/>
        <v>6.2297500000000001</v>
      </c>
      <c r="AC201" s="1517">
        <f t="shared" si="85"/>
        <v>4.3187499999999996</v>
      </c>
      <c r="AD201" s="1517">
        <f t="shared" si="85"/>
        <v>-3.4152500000000003</v>
      </c>
      <c r="AE201" s="1517">
        <f t="shared" si="85"/>
        <v>4.5709999999999997</v>
      </c>
      <c r="AF201" s="1517">
        <f t="shared" si="85"/>
        <v>3.3839999999999999</v>
      </c>
      <c r="AG201" s="1517">
        <f t="shared" si="85"/>
        <v>7.4209999999999994</v>
      </c>
      <c r="AH201" s="1517">
        <f t="shared" si="85"/>
        <v>10.867000000000001</v>
      </c>
      <c r="AI201" s="1517">
        <f t="shared" si="85"/>
        <v>-5.5180000000000007</v>
      </c>
      <c r="AJ201" s="1732">
        <f t="shared" si="85"/>
        <v>6.8940000000000001</v>
      </c>
      <c r="AK201" s="1515">
        <f t="shared" ref="AK201:AP202" si="86">AK214*AK$199</f>
        <v>7.1482032318513635</v>
      </c>
      <c r="AL201" s="1515">
        <f t="shared" ca="1" si="86"/>
        <v>6.4645024326035401</v>
      </c>
      <c r="AM201" s="1515">
        <f t="shared" ca="1" si="86"/>
        <v>6.9674436108161206</v>
      </c>
      <c r="AN201" s="1515">
        <f t="shared" ca="1" si="86"/>
        <v>5.7395162544842373</v>
      </c>
      <c r="AO201" s="1515">
        <f t="shared" ca="1" si="86"/>
        <v>6.5472258935472354</v>
      </c>
      <c r="AP201" s="1515">
        <f t="shared" ca="1" si="86"/>
        <v>4.9686153543291915</v>
      </c>
      <c r="AQ201" s="1515"/>
      <c r="AR201" s="1595"/>
      <c r="AS201" s="1595"/>
      <c r="AT201" s="1595"/>
      <c r="AU201" s="1595"/>
      <c r="AV201" s="1595"/>
      <c r="AW201" s="1595"/>
      <c r="AX201" s="1595"/>
      <c r="AY201" s="1595"/>
      <c r="AZ201" s="1595"/>
      <c r="BA201" s="1595"/>
      <c r="BB201" s="1733">
        <f t="shared" ref="BB201:BF202" si="87">BB168</f>
        <v>7.3049999999999997</v>
      </c>
      <c r="BC201" s="1733">
        <f t="shared" si="87"/>
        <v>5.5019999999999998</v>
      </c>
      <c r="BD201" s="1733">
        <f t="shared" si="87"/>
        <v>11.355</v>
      </c>
      <c r="BE201" s="1733">
        <f t="shared" si="87"/>
        <v>12.057</v>
      </c>
      <c r="BF201" s="1734">
        <f t="shared" si="87"/>
        <v>26.242999999999999</v>
      </c>
      <c r="BG201" s="1595">
        <f ca="1">SUM(AI201,AJ201,AK201,AL201)</f>
        <v>14.988705664454903</v>
      </c>
      <c r="BH201" s="1595">
        <f ca="1">SUM(AM201,AN201,AO201,AP201)</f>
        <v>24.222801113176786</v>
      </c>
      <c r="BI201" s="1595">
        <f t="shared" ref="BI201:BK202" ca="1" si="88">BI214*BI$199</f>
        <v>15.479759496838206</v>
      </c>
      <c r="BJ201" s="1595">
        <f t="shared" ca="1" si="88"/>
        <v>35.633800076266688</v>
      </c>
      <c r="BK201" s="1595">
        <f t="shared" ca="1" si="88"/>
        <v>44.413418839241189</v>
      </c>
      <c r="BL201" s="1517"/>
    </row>
    <row r="202" spans="1:64" s="1518" customFormat="1" x14ac:dyDescent="0.35">
      <c r="A202" s="1591" t="s">
        <v>1012</v>
      </c>
      <c r="B202" s="1716"/>
      <c r="C202" s="1515"/>
      <c r="D202" s="1515"/>
      <c r="E202" s="1515"/>
      <c r="F202" s="1515"/>
      <c r="G202" s="1515"/>
      <c r="H202" s="1515"/>
      <c r="I202" s="1515"/>
      <c r="J202" s="1515"/>
      <c r="K202" s="1515"/>
      <c r="L202" s="1515"/>
      <c r="M202" s="1515"/>
      <c r="N202" s="1515"/>
      <c r="O202" s="1515"/>
      <c r="P202" s="1515"/>
      <c r="Q202" s="1515">
        <f t="shared" si="85"/>
        <v>-2.80525</v>
      </c>
      <c r="R202" s="1515">
        <f t="shared" si="85"/>
        <v>-12.37025</v>
      </c>
      <c r="S202" s="1515">
        <f t="shared" si="85"/>
        <v>-4.9314999999999998</v>
      </c>
      <c r="T202" s="1515">
        <f t="shared" si="85"/>
        <v>-2.8294999999999999</v>
      </c>
      <c r="U202" s="1515">
        <f t="shared" si="85"/>
        <v>4.3515000000000006</v>
      </c>
      <c r="V202" s="1515">
        <f t="shared" si="85"/>
        <v>-13.6555</v>
      </c>
      <c r="W202" s="1515">
        <f t="shared" si="85"/>
        <v>-2.3127500000000003</v>
      </c>
      <c r="X202" s="1515">
        <f t="shared" si="85"/>
        <v>1.1872499999999997</v>
      </c>
      <c r="Y202" s="1515">
        <f t="shared" si="85"/>
        <v>-15.47175</v>
      </c>
      <c r="Z202" s="1515">
        <f t="shared" si="85"/>
        <v>-5.2197499999999994</v>
      </c>
      <c r="AA202" s="1515">
        <f t="shared" si="85"/>
        <v>-0.83774999999999999</v>
      </c>
      <c r="AB202" s="1515">
        <f t="shared" si="85"/>
        <v>-0.83774999999999999</v>
      </c>
      <c r="AC202" s="1515">
        <f t="shared" si="85"/>
        <v>-0.83774999999999999</v>
      </c>
      <c r="AD202" s="1515">
        <f t="shared" si="85"/>
        <v>-0.83774999999999999</v>
      </c>
      <c r="AE202" s="1515">
        <f t="shared" si="85"/>
        <v>-3.4689999999999999</v>
      </c>
      <c r="AF202" s="1515">
        <f t="shared" si="85"/>
        <v>-3.4689999999999999</v>
      </c>
      <c r="AG202" s="1515">
        <f t="shared" si="85"/>
        <v>-3.4689999999999999</v>
      </c>
      <c r="AH202" s="1515">
        <f t="shared" si="85"/>
        <v>-3.4689999999999999</v>
      </c>
      <c r="AI202" s="1515">
        <f t="shared" si="85"/>
        <v>-3.5</v>
      </c>
      <c r="AJ202" s="1516">
        <f t="shared" si="85"/>
        <v>0.2</v>
      </c>
      <c r="AK202" s="1515">
        <f t="shared" si="86"/>
        <v>0</v>
      </c>
      <c r="AL202" s="1515">
        <f t="shared" ca="1" si="86"/>
        <v>0</v>
      </c>
      <c r="AM202" s="1515">
        <f t="shared" ca="1" si="86"/>
        <v>0</v>
      </c>
      <c r="AN202" s="1515">
        <f t="shared" ca="1" si="86"/>
        <v>0</v>
      </c>
      <c r="AO202" s="1515">
        <f t="shared" ca="1" si="86"/>
        <v>0</v>
      </c>
      <c r="AP202" s="1515">
        <f t="shared" ca="1" si="86"/>
        <v>0</v>
      </c>
      <c r="AQ202" s="1515"/>
      <c r="AR202" s="1595"/>
      <c r="AS202" s="1595"/>
      <c r="AT202" s="1595"/>
      <c r="AU202" s="1595"/>
      <c r="AV202" s="1595"/>
      <c r="AW202" s="1595"/>
      <c r="AX202" s="1595"/>
      <c r="AY202" s="1595"/>
      <c r="AZ202" s="1595"/>
      <c r="BA202" s="1595"/>
      <c r="BB202" s="1595">
        <f t="shared" si="87"/>
        <v>-19.108000000000001</v>
      </c>
      <c r="BC202" s="1595">
        <f t="shared" si="87"/>
        <v>-17.064</v>
      </c>
      <c r="BD202" s="1595">
        <f t="shared" si="87"/>
        <v>-21.816000000000003</v>
      </c>
      <c r="BE202" s="1595">
        <f t="shared" si="87"/>
        <v>-3.351</v>
      </c>
      <c r="BF202" s="1610">
        <f t="shared" si="87"/>
        <v>-13.875999999999999</v>
      </c>
      <c r="BG202" s="1595">
        <f ca="1">SUM(AI202,AJ202,AK202,AL202)</f>
        <v>-3.3</v>
      </c>
      <c r="BH202" s="1595">
        <f ca="1">SUM(AM202,AN202,AO202,AP202)</f>
        <v>0</v>
      </c>
      <c r="BI202" s="1595">
        <f t="shared" ca="1" si="88"/>
        <v>0</v>
      </c>
      <c r="BJ202" s="1595">
        <f t="shared" ca="1" si="88"/>
        <v>0</v>
      </c>
      <c r="BK202" s="1595">
        <f t="shared" ca="1" si="88"/>
        <v>0</v>
      </c>
      <c r="BL202" s="1517"/>
    </row>
    <row r="203" spans="1:64" s="1608" customFormat="1" x14ac:dyDescent="0.35">
      <c r="A203" s="1599" t="s">
        <v>1013</v>
      </c>
      <c r="B203" s="1717"/>
      <c r="C203" s="1601"/>
      <c r="D203" s="1601"/>
      <c r="E203" s="1601"/>
      <c r="F203" s="1601"/>
      <c r="G203" s="1601"/>
      <c r="H203" s="1601"/>
      <c r="I203" s="1601"/>
      <c r="J203" s="1601"/>
      <c r="K203" s="1601"/>
      <c r="L203" s="1601"/>
      <c r="M203" s="1601"/>
      <c r="N203" s="1601"/>
      <c r="O203" s="1601"/>
      <c r="P203" s="1601"/>
      <c r="Q203" s="1602">
        <f t="shared" ref="Q203:AP203" si="89">Q199-SUM(Q201:Q202)</f>
        <v>123.23799999999999</v>
      </c>
      <c r="R203" s="1602">
        <f t="shared" si="89"/>
        <v>124.34</v>
      </c>
      <c r="S203" s="1602">
        <f t="shared" si="89"/>
        <v>105.36200000000001</v>
      </c>
      <c r="T203" s="1602">
        <f t="shared" si="89"/>
        <v>81.309999999999988</v>
      </c>
      <c r="U203" s="1602">
        <f t="shared" si="89"/>
        <v>-10.385999999999996</v>
      </c>
      <c r="V203" s="1602">
        <f t="shared" si="89"/>
        <v>6437.7470000000076</v>
      </c>
      <c r="W203" s="1602">
        <f t="shared" si="89"/>
        <v>0.62800000000001255</v>
      </c>
      <c r="X203" s="1602">
        <f t="shared" si="89"/>
        <v>3.3980000000000574</v>
      </c>
      <c r="Y203" s="1602">
        <f t="shared" si="89"/>
        <v>-25.256000000000011</v>
      </c>
      <c r="Z203" s="1602">
        <f t="shared" si="89"/>
        <v>2.7039999999999944</v>
      </c>
      <c r="AA203" s="1602">
        <f t="shared" si="89"/>
        <v>6.2360000000000051</v>
      </c>
      <c r="AB203" s="1602">
        <f t="shared" si="89"/>
        <v>11.571000000000016</v>
      </c>
      <c r="AC203" s="1602">
        <f t="shared" si="89"/>
        <v>9.3030000000000115</v>
      </c>
      <c r="AD203" s="1602">
        <f t="shared" si="89"/>
        <v>-7.7000000000000099</v>
      </c>
      <c r="AE203" s="1602">
        <f t="shared" si="89"/>
        <v>0.59099999999999797</v>
      </c>
      <c r="AF203" s="1602">
        <f t="shared" si="89"/>
        <v>0.32299999999999773</v>
      </c>
      <c r="AG203" s="1602">
        <f t="shared" si="89"/>
        <v>2.3539999999999996</v>
      </c>
      <c r="AH203" s="1602">
        <f t="shared" si="89"/>
        <v>-3.3840000000000661</v>
      </c>
      <c r="AI203" s="1602">
        <f t="shared" si="89"/>
        <v>-7.9550000000000018</v>
      </c>
      <c r="AJ203" s="1603">
        <f t="shared" si="89"/>
        <v>-6.2320000000000091</v>
      </c>
      <c r="AK203" s="1601">
        <f t="shared" si="89"/>
        <v>28.592812927405454</v>
      </c>
      <c r="AL203" s="1601">
        <f t="shared" ca="1" si="89"/>
        <v>25.85800973041416</v>
      </c>
      <c r="AM203" s="1601">
        <f t="shared" ca="1" si="89"/>
        <v>17.916283570670025</v>
      </c>
      <c r="AN203" s="1601">
        <f t="shared" ca="1" si="89"/>
        <v>22.958065017936949</v>
      </c>
      <c r="AO203" s="1601">
        <f t="shared" ca="1" si="89"/>
        <v>26.188903574188942</v>
      </c>
      <c r="AP203" s="1601">
        <f t="shared" ca="1" si="89"/>
        <v>19.874461417316766</v>
      </c>
      <c r="AQ203" s="1601"/>
      <c r="AR203" s="1604"/>
      <c r="AS203" s="1604"/>
      <c r="AT203" s="1604"/>
      <c r="AU203" s="1604"/>
      <c r="AV203" s="1604"/>
      <c r="AW203" s="1604"/>
      <c r="AX203" s="1604"/>
      <c r="AY203" s="1604"/>
      <c r="AZ203" s="1604"/>
      <c r="BA203" s="1604"/>
      <c r="BB203" s="1605">
        <f t="shared" ref="BB203:BK203" si="90">BB199-SUM(BB201:BB202)</f>
        <v>-46.682000000000031</v>
      </c>
      <c r="BC203" s="1605">
        <f t="shared" si="90"/>
        <v>-52.292999999999992</v>
      </c>
      <c r="BD203" s="1605">
        <f t="shared" si="90"/>
        <v>-18.526999999999955</v>
      </c>
      <c r="BE203" s="1605">
        <f t="shared" si="90"/>
        <v>19.410000000000064</v>
      </c>
      <c r="BF203" s="1718">
        <f t="shared" si="90"/>
        <v>-0.11600000000001565</v>
      </c>
      <c r="BG203" s="1604">
        <f t="shared" ca="1" si="90"/>
        <v>40.263822657819702</v>
      </c>
      <c r="BH203" s="1604">
        <f t="shared" ca="1" si="90"/>
        <v>86.937713580112714</v>
      </c>
      <c r="BI203" s="1604">
        <f t="shared" ca="1" si="90"/>
        <v>139.31783547154384</v>
      </c>
      <c r="BJ203" s="1604">
        <f t="shared" ca="1" si="90"/>
        <v>142.53520030506675</v>
      </c>
      <c r="BK203" s="1604">
        <f t="shared" ca="1" si="90"/>
        <v>177.65367535696473</v>
      </c>
      <c r="BL203" s="1607"/>
    </row>
    <row r="204" spans="1:64" s="1518" customFormat="1" x14ac:dyDescent="0.35">
      <c r="A204" s="1591" t="s">
        <v>1014</v>
      </c>
      <c r="B204" s="1716"/>
      <c r="C204" s="1515"/>
      <c r="D204" s="1515"/>
      <c r="E204" s="1515"/>
      <c r="F204" s="1515"/>
      <c r="G204" s="1515"/>
      <c r="H204" s="1515"/>
      <c r="I204" s="1515"/>
      <c r="J204" s="1515"/>
      <c r="K204" s="1515"/>
      <c r="L204" s="1515"/>
      <c r="M204" s="1515"/>
      <c r="N204" s="1515"/>
      <c r="O204" s="1515"/>
      <c r="P204" s="1515"/>
      <c r="Q204" s="1515"/>
      <c r="R204" s="1515"/>
      <c r="S204" s="1515"/>
      <c r="T204" s="1515"/>
      <c r="U204" s="1515"/>
      <c r="V204" s="1515"/>
      <c r="W204" s="1515"/>
      <c r="X204" s="1515"/>
      <c r="Y204" s="1515"/>
      <c r="Z204" s="1515"/>
      <c r="AA204" s="1515"/>
      <c r="AB204" s="1515"/>
      <c r="AC204" s="1515"/>
      <c r="AD204" s="1515"/>
      <c r="AE204" s="1515"/>
      <c r="AF204" s="1515"/>
      <c r="AG204" s="1515"/>
      <c r="AH204" s="1515"/>
      <c r="AI204" s="1515"/>
      <c r="AJ204" s="1516"/>
      <c r="AK204" s="1515"/>
      <c r="AL204" s="1515"/>
      <c r="AM204" s="1515"/>
      <c r="AN204" s="1515"/>
      <c r="AO204" s="1515"/>
      <c r="AP204" s="1515"/>
      <c r="AQ204" s="1515"/>
      <c r="AR204" s="1595"/>
      <c r="AS204" s="1595"/>
      <c r="AT204" s="1595"/>
      <c r="AU204" s="1595"/>
      <c r="AV204" s="1595"/>
      <c r="AW204" s="1595"/>
      <c r="AX204" s="1595"/>
      <c r="AY204" s="1595"/>
      <c r="AZ204" s="1595"/>
      <c r="BA204" s="1595"/>
      <c r="BB204" s="1595"/>
      <c r="BC204" s="1595"/>
      <c r="BD204" s="1595"/>
      <c r="BE204" s="1595"/>
      <c r="BF204" s="1610"/>
      <c r="BG204" s="1595">
        <f>SUM(AI204,AJ204,AK204,AL204)</f>
        <v>0</v>
      </c>
      <c r="BH204" s="1595">
        <f>SUM(AM204,AN204,AO204,AP204)</f>
        <v>0</v>
      </c>
      <c r="BI204" s="1595"/>
      <c r="BJ204" s="1595"/>
      <c r="BK204" s="1595"/>
      <c r="BL204" s="1517"/>
    </row>
    <row r="205" spans="1:64" s="1518" customFormat="1" x14ac:dyDescent="0.35">
      <c r="A205" s="1591" t="s">
        <v>1015</v>
      </c>
      <c r="B205" s="1716"/>
      <c r="C205" s="1515"/>
      <c r="D205" s="1515"/>
      <c r="E205" s="1515"/>
      <c r="F205" s="1515"/>
      <c r="G205" s="1515"/>
      <c r="H205" s="1515"/>
      <c r="I205" s="1515"/>
      <c r="J205" s="1515"/>
      <c r="K205" s="1515"/>
      <c r="L205" s="1515"/>
      <c r="M205" s="1515"/>
      <c r="N205" s="1515"/>
      <c r="O205" s="1515"/>
      <c r="P205" s="1515"/>
      <c r="Q205" s="1515"/>
      <c r="R205" s="1515"/>
      <c r="S205" s="1515"/>
      <c r="T205" s="1515"/>
      <c r="U205" s="1515"/>
      <c r="V205" s="1515"/>
      <c r="W205" s="1515"/>
      <c r="X205" s="1515"/>
      <c r="Y205" s="1515"/>
      <c r="Z205" s="1515"/>
      <c r="AA205" s="1515"/>
      <c r="AB205" s="1515"/>
      <c r="AC205" s="1515"/>
      <c r="AD205" s="1515"/>
      <c r="AE205" s="1515"/>
      <c r="AF205" s="1515"/>
      <c r="AG205" s="1515"/>
      <c r="AH205" s="1515"/>
      <c r="AI205" s="1515"/>
      <c r="AJ205" s="1516"/>
      <c r="AK205" s="1515"/>
      <c r="AL205" s="1515"/>
      <c r="AM205" s="1515"/>
      <c r="AN205" s="1515"/>
      <c r="AO205" s="1515"/>
      <c r="AP205" s="1515"/>
      <c r="AQ205" s="1515"/>
      <c r="AR205" s="1595"/>
      <c r="AS205" s="1595"/>
      <c r="AT205" s="1595"/>
      <c r="AU205" s="1595"/>
      <c r="AV205" s="1595"/>
      <c r="AW205" s="1595"/>
      <c r="AX205" s="1595"/>
      <c r="AY205" s="1595"/>
      <c r="AZ205" s="1595"/>
      <c r="BA205" s="1595"/>
      <c r="BB205" s="1595"/>
      <c r="BC205" s="1595"/>
      <c r="BD205" s="1595"/>
      <c r="BE205" s="1595"/>
      <c r="BF205" s="1610"/>
      <c r="BG205" s="1595">
        <f>SUM(AI205,AJ205,AK205,AL205)</f>
        <v>0</v>
      </c>
      <c r="BH205" s="1595">
        <f>SUM(AM205,AN205,AO205,AP205)</f>
        <v>0</v>
      </c>
      <c r="BI205" s="1595"/>
      <c r="BJ205" s="1595"/>
      <c r="BK205" s="1595"/>
      <c r="BL205" s="1517"/>
    </row>
    <row r="206" spans="1:64" s="1518" customFormat="1" x14ac:dyDescent="0.35">
      <c r="A206" s="1591" t="s">
        <v>1016</v>
      </c>
      <c r="B206" s="1716"/>
      <c r="C206" s="1515"/>
      <c r="D206" s="1515"/>
      <c r="E206" s="1515"/>
      <c r="F206" s="1515"/>
      <c r="G206" s="1515"/>
      <c r="H206" s="1515"/>
      <c r="I206" s="1515"/>
      <c r="J206" s="1515"/>
      <c r="K206" s="1515"/>
      <c r="L206" s="1515"/>
      <c r="M206" s="1515"/>
      <c r="N206" s="1515"/>
      <c r="O206" s="1515"/>
      <c r="P206" s="1515"/>
      <c r="Q206" s="1515"/>
      <c r="R206" s="1515"/>
      <c r="S206" s="1515"/>
      <c r="T206" s="1515"/>
      <c r="U206" s="1515"/>
      <c r="V206" s="1515"/>
      <c r="W206" s="1515"/>
      <c r="X206" s="1515"/>
      <c r="Y206" s="1515"/>
      <c r="Z206" s="1515"/>
      <c r="AA206" s="1515"/>
      <c r="AB206" s="1515"/>
      <c r="AC206" s="1515"/>
      <c r="AD206" s="1515"/>
      <c r="AE206" s="1515"/>
      <c r="AF206" s="1515"/>
      <c r="AG206" s="1515"/>
      <c r="AH206" s="1515"/>
      <c r="AI206" s="1515"/>
      <c r="AJ206" s="1516"/>
      <c r="AK206" s="1515"/>
      <c r="AL206" s="1515"/>
      <c r="AM206" s="1515"/>
      <c r="AN206" s="1515"/>
      <c r="AO206" s="1515"/>
      <c r="AP206" s="1515"/>
      <c r="AQ206" s="1515"/>
      <c r="AR206" s="1595"/>
      <c r="AS206" s="1595"/>
      <c r="AT206" s="1595"/>
      <c r="AU206" s="1595"/>
      <c r="AV206" s="1595"/>
      <c r="AW206" s="1595"/>
      <c r="AX206" s="1595"/>
      <c r="AY206" s="1595"/>
      <c r="AZ206" s="1595"/>
      <c r="BA206" s="1595"/>
      <c r="BB206" s="1595"/>
      <c r="BC206" s="1595"/>
      <c r="BD206" s="1595"/>
      <c r="BE206" s="1595"/>
      <c r="BF206" s="1610"/>
      <c r="BG206" s="1595">
        <f>SUM(AI206,AJ206,AK206,AL206)</f>
        <v>0</v>
      </c>
      <c r="BH206" s="1595">
        <f>SUM(AM206,AN206,AO206,AP206)</f>
        <v>0</v>
      </c>
      <c r="BI206" s="1595"/>
      <c r="BJ206" s="1595"/>
      <c r="BK206" s="1595"/>
      <c r="BL206" s="1517"/>
    </row>
    <row r="207" spans="1:64" s="1608" customFormat="1" x14ac:dyDescent="0.35">
      <c r="A207" s="1719" t="s">
        <v>1017</v>
      </c>
      <c r="B207" s="1720"/>
      <c r="C207" s="1721"/>
      <c r="D207" s="1721"/>
      <c r="E207" s="1721"/>
      <c r="F207" s="1721"/>
      <c r="G207" s="1721"/>
      <c r="H207" s="1721"/>
      <c r="I207" s="1721"/>
      <c r="J207" s="1721"/>
      <c r="K207" s="1721"/>
      <c r="L207" s="1721"/>
      <c r="M207" s="1721"/>
      <c r="N207" s="1721"/>
      <c r="O207" s="1721"/>
      <c r="P207" s="1721"/>
      <c r="Q207" s="1722">
        <f t="shared" ref="Q207:AP207" si="91">Q203-SUM(Q204:Q206)</f>
        <v>123.23799999999999</v>
      </c>
      <c r="R207" s="1722">
        <f t="shared" si="91"/>
        <v>124.34</v>
      </c>
      <c r="S207" s="1722">
        <f t="shared" si="91"/>
        <v>105.36200000000001</v>
      </c>
      <c r="T207" s="1722">
        <f t="shared" si="91"/>
        <v>81.309999999999988</v>
      </c>
      <c r="U207" s="1722">
        <f t="shared" si="91"/>
        <v>-10.385999999999996</v>
      </c>
      <c r="V207" s="1722">
        <f t="shared" si="91"/>
        <v>6437.7470000000076</v>
      </c>
      <c r="W207" s="1722">
        <f t="shared" si="91"/>
        <v>0.62800000000001255</v>
      </c>
      <c r="X207" s="1722">
        <f t="shared" si="91"/>
        <v>3.3980000000000574</v>
      </c>
      <c r="Y207" s="1722">
        <f t="shared" si="91"/>
        <v>-25.256000000000011</v>
      </c>
      <c r="Z207" s="1722">
        <f t="shared" si="91"/>
        <v>2.7039999999999944</v>
      </c>
      <c r="AA207" s="1722">
        <f t="shared" si="91"/>
        <v>6.2360000000000051</v>
      </c>
      <c r="AB207" s="1722">
        <f t="shared" si="91"/>
        <v>11.571000000000016</v>
      </c>
      <c r="AC207" s="1722">
        <f t="shared" si="91"/>
        <v>9.3030000000000115</v>
      </c>
      <c r="AD207" s="1722">
        <f t="shared" si="91"/>
        <v>-7.7000000000000099</v>
      </c>
      <c r="AE207" s="1722">
        <f t="shared" si="91"/>
        <v>0.59099999999999797</v>
      </c>
      <c r="AF207" s="1722">
        <f t="shared" si="91"/>
        <v>0.32299999999999773</v>
      </c>
      <c r="AG207" s="1722">
        <f t="shared" si="91"/>
        <v>2.3539999999999996</v>
      </c>
      <c r="AH207" s="1722">
        <f t="shared" si="91"/>
        <v>-3.3840000000000661</v>
      </c>
      <c r="AI207" s="1722">
        <f t="shared" si="91"/>
        <v>-7.9550000000000018</v>
      </c>
      <c r="AJ207" s="1723">
        <f t="shared" si="91"/>
        <v>-6.2320000000000091</v>
      </c>
      <c r="AK207" s="1721">
        <f t="shared" si="91"/>
        <v>28.592812927405454</v>
      </c>
      <c r="AL207" s="1721">
        <f t="shared" ca="1" si="91"/>
        <v>25.85800973041416</v>
      </c>
      <c r="AM207" s="1721">
        <f t="shared" ca="1" si="91"/>
        <v>17.916283570670025</v>
      </c>
      <c r="AN207" s="1721">
        <f t="shared" ca="1" si="91"/>
        <v>22.958065017936949</v>
      </c>
      <c r="AO207" s="1721">
        <f t="shared" ca="1" si="91"/>
        <v>26.188903574188942</v>
      </c>
      <c r="AP207" s="1721">
        <f t="shared" ca="1" si="91"/>
        <v>19.874461417316766</v>
      </c>
      <c r="AQ207" s="1721"/>
      <c r="AR207" s="1724"/>
      <c r="AS207" s="1724"/>
      <c r="AT207" s="1724"/>
      <c r="AU207" s="1724"/>
      <c r="AV207" s="1724"/>
      <c r="AW207" s="1724"/>
      <c r="AX207" s="1724"/>
      <c r="AY207" s="1724"/>
      <c r="AZ207" s="1724"/>
      <c r="BA207" s="1724"/>
      <c r="BB207" s="1725">
        <f t="shared" ref="BB207:BK207" si="92">BB203-SUM(BB204:BB206)</f>
        <v>-46.682000000000031</v>
      </c>
      <c r="BC207" s="1725">
        <f t="shared" si="92"/>
        <v>-52.292999999999992</v>
      </c>
      <c r="BD207" s="1725">
        <f t="shared" si="92"/>
        <v>-18.526999999999955</v>
      </c>
      <c r="BE207" s="1725">
        <f t="shared" si="92"/>
        <v>19.410000000000064</v>
      </c>
      <c r="BF207" s="1726">
        <f t="shared" si="92"/>
        <v>-0.11600000000001565</v>
      </c>
      <c r="BG207" s="1724">
        <f t="shared" ca="1" si="92"/>
        <v>40.263822657819702</v>
      </c>
      <c r="BH207" s="1724">
        <f t="shared" ca="1" si="92"/>
        <v>86.937713580112714</v>
      </c>
      <c r="BI207" s="1724">
        <f t="shared" ca="1" si="92"/>
        <v>139.31783547154384</v>
      </c>
      <c r="BJ207" s="1724">
        <f t="shared" ca="1" si="92"/>
        <v>142.53520030506675</v>
      </c>
      <c r="BK207" s="1724">
        <f t="shared" ca="1" si="92"/>
        <v>177.65367535696473</v>
      </c>
      <c r="BL207" s="1607"/>
    </row>
    <row r="208" spans="1:64" s="1518" customFormat="1" x14ac:dyDescent="0.35">
      <c r="A208" s="1591" t="s">
        <v>1018</v>
      </c>
      <c r="B208" s="1716"/>
      <c r="C208" s="1515"/>
      <c r="D208" s="1515"/>
      <c r="E208" s="1515"/>
      <c r="F208" s="1515"/>
      <c r="G208" s="1515"/>
      <c r="H208" s="1515"/>
      <c r="I208" s="1515"/>
      <c r="J208" s="1515"/>
      <c r="K208" s="1515"/>
      <c r="L208" s="1515"/>
      <c r="M208" s="1515"/>
      <c r="N208" s="1515"/>
      <c r="O208" s="1515"/>
      <c r="P208" s="1515"/>
      <c r="Q208" s="1515"/>
      <c r="R208" s="1515"/>
      <c r="S208" s="1515"/>
      <c r="T208" s="1515"/>
      <c r="U208" s="1515"/>
      <c r="V208" s="1515"/>
      <c r="W208" s="1515"/>
      <c r="X208" s="1515"/>
      <c r="Y208" s="1515"/>
      <c r="Z208" s="1515"/>
      <c r="AA208" s="1515"/>
      <c r="AB208" s="1515"/>
      <c r="AC208" s="1515"/>
      <c r="AD208" s="1515"/>
      <c r="AE208" s="1515"/>
      <c r="AF208" s="1515"/>
      <c r="AG208" s="1515"/>
      <c r="AH208" s="1515"/>
      <c r="AI208" s="1515"/>
      <c r="AJ208" s="1516"/>
      <c r="AK208" s="1515"/>
      <c r="AL208" s="1515"/>
      <c r="AM208" s="1515"/>
      <c r="AN208" s="1515"/>
      <c r="AO208" s="1515"/>
      <c r="AP208" s="1515"/>
      <c r="AQ208" s="1515"/>
      <c r="AR208" s="1595"/>
      <c r="AS208" s="1595"/>
      <c r="AT208" s="1595"/>
      <c r="AU208" s="1595"/>
      <c r="AV208" s="1595"/>
      <c r="AW208" s="1595"/>
      <c r="AX208" s="1595"/>
      <c r="AY208" s="1595"/>
      <c r="AZ208" s="1595"/>
      <c r="BA208" s="1595"/>
      <c r="BB208" s="1595"/>
      <c r="BC208" s="1595"/>
      <c r="BD208" s="1595"/>
      <c r="BE208" s="1595"/>
      <c r="BF208" s="1610"/>
      <c r="BG208" s="1595">
        <f>SUM(AI208,AJ208,AK208,AL208)</f>
        <v>0</v>
      </c>
      <c r="BH208" s="1595">
        <f>SUM(AM208,AN208,AO208,AP208)</f>
        <v>0</v>
      </c>
      <c r="BI208" s="1595"/>
      <c r="BJ208" s="1595"/>
      <c r="BK208" s="1595"/>
      <c r="BL208" s="1517"/>
    </row>
    <row r="209" spans="1:64" s="1608" customFormat="1" x14ac:dyDescent="0.35">
      <c r="A209" s="1719" t="s">
        <v>1019</v>
      </c>
      <c r="B209" s="1720"/>
      <c r="C209" s="1721"/>
      <c r="D209" s="1721"/>
      <c r="E209" s="1721"/>
      <c r="F209" s="1721"/>
      <c r="G209" s="1721"/>
      <c r="H209" s="1721"/>
      <c r="I209" s="1721"/>
      <c r="J209" s="1721"/>
      <c r="K209" s="1721"/>
      <c r="L209" s="1721"/>
      <c r="M209" s="1721"/>
      <c r="N209" s="1721"/>
      <c r="O209" s="1721"/>
      <c r="P209" s="1721"/>
      <c r="Q209" s="1722">
        <f t="shared" ref="Q209:AP209" si="93">Q207-Q208</f>
        <v>123.23799999999999</v>
      </c>
      <c r="R209" s="1722">
        <f t="shared" si="93"/>
        <v>124.34</v>
      </c>
      <c r="S209" s="1722">
        <f t="shared" si="93"/>
        <v>105.36200000000001</v>
      </c>
      <c r="T209" s="1722">
        <f t="shared" si="93"/>
        <v>81.309999999999988</v>
      </c>
      <c r="U209" s="1722">
        <f t="shared" si="93"/>
        <v>-10.385999999999996</v>
      </c>
      <c r="V209" s="1722">
        <f t="shared" si="93"/>
        <v>6437.7470000000076</v>
      </c>
      <c r="W209" s="1722">
        <f t="shared" si="93"/>
        <v>0.62800000000001255</v>
      </c>
      <c r="X209" s="1722">
        <f t="shared" si="93"/>
        <v>3.3980000000000574</v>
      </c>
      <c r="Y209" s="1722">
        <f t="shared" si="93"/>
        <v>-25.256000000000011</v>
      </c>
      <c r="Z209" s="1722">
        <f t="shared" si="93"/>
        <v>2.7039999999999944</v>
      </c>
      <c r="AA209" s="1722">
        <f t="shared" si="93"/>
        <v>6.2360000000000051</v>
      </c>
      <c r="AB209" s="1722">
        <f t="shared" si="93"/>
        <v>11.571000000000016</v>
      </c>
      <c r="AC209" s="1722">
        <f t="shared" si="93"/>
        <v>9.3030000000000115</v>
      </c>
      <c r="AD209" s="1722">
        <f t="shared" si="93"/>
        <v>-7.7000000000000099</v>
      </c>
      <c r="AE209" s="1722">
        <f t="shared" si="93"/>
        <v>0.59099999999999797</v>
      </c>
      <c r="AF209" s="1722">
        <f t="shared" si="93"/>
        <v>0.32299999999999773</v>
      </c>
      <c r="AG209" s="1722">
        <f t="shared" si="93"/>
        <v>2.3539999999999996</v>
      </c>
      <c r="AH209" s="1722">
        <f t="shared" si="93"/>
        <v>-3.3840000000000661</v>
      </c>
      <c r="AI209" s="1722">
        <f t="shared" si="93"/>
        <v>-7.9550000000000018</v>
      </c>
      <c r="AJ209" s="1723">
        <f t="shared" si="93"/>
        <v>-6.2320000000000091</v>
      </c>
      <c r="AK209" s="1721">
        <f t="shared" si="93"/>
        <v>28.592812927405454</v>
      </c>
      <c r="AL209" s="1721">
        <f t="shared" ca="1" si="93"/>
        <v>25.85800973041416</v>
      </c>
      <c r="AM209" s="1721">
        <f t="shared" ca="1" si="93"/>
        <v>17.916283570670025</v>
      </c>
      <c r="AN209" s="1721">
        <f t="shared" ca="1" si="93"/>
        <v>22.958065017936949</v>
      </c>
      <c r="AO209" s="1721">
        <f t="shared" ca="1" si="93"/>
        <v>26.188903574188942</v>
      </c>
      <c r="AP209" s="1721">
        <f t="shared" ca="1" si="93"/>
        <v>19.874461417316766</v>
      </c>
      <c r="AQ209" s="1721"/>
      <c r="AR209" s="1724"/>
      <c r="AS209" s="1724"/>
      <c r="AT209" s="1724"/>
      <c r="AU209" s="1724"/>
      <c r="AV209" s="1724"/>
      <c r="AW209" s="1724"/>
      <c r="AX209" s="1724"/>
      <c r="AY209" s="1724"/>
      <c r="AZ209" s="1724"/>
      <c r="BA209" s="1724"/>
      <c r="BB209" s="1725">
        <f t="shared" ref="BB209:BK209" si="94">BB207-BB208</f>
        <v>-46.682000000000031</v>
      </c>
      <c r="BC209" s="1725">
        <f t="shared" si="94"/>
        <v>-52.292999999999992</v>
      </c>
      <c r="BD209" s="1725">
        <f t="shared" si="94"/>
        <v>-18.526999999999955</v>
      </c>
      <c r="BE209" s="1725">
        <f t="shared" si="94"/>
        <v>19.410000000000064</v>
      </c>
      <c r="BF209" s="1726">
        <f t="shared" si="94"/>
        <v>-0.11600000000001565</v>
      </c>
      <c r="BG209" s="1724">
        <f t="shared" ca="1" si="94"/>
        <v>40.263822657819702</v>
      </c>
      <c r="BH209" s="1724">
        <f t="shared" ca="1" si="94"/>
        <v>86.937713580112714</v>
      </c>
      <c r="BI209" s="1724">
        <f t="shared" ca="1" si="94"/>
        <v>139.31783547154384</v>
      </c>
      <c r="BJ209" s="1724">
        <f t="shared" ca="1" si="94"/>
        <v>142.53520030506675</v>
      </c>
      <c r="BK209" s="1724">
        <f t="shared" ca="1" si="94"/>
        <v>177.65367535696473</v>
      </c>
      <c r="BL209" s="1607"/>
    </row>
    <row r="210" spans="1:64" s="1518" customFormat="1" x14ac:dyDescent="0.35">
      <c r="A210" s="1678" t="s">
        <v>1020</v>
      </c>
      <c r="B210" s="1716"/>
      <c r="C210" s="1515"/>
      <c r="D210" s="1515"/>
      <c r="E210" s="1515"/>
      <c r="F210" s="1515"/>
      <c r="G210" s="1515"/>
      <c r="H210" s="1515"/>
      <c r="I210" s="1515"/>
      <c r="J210" s="1515"/>
      <c r="K210" s="1515"/>
      <c r="L210" s="1515"/>
      <c r="M210" s="1515"/>
      <c r="N210" s="1515"/>
      <c r="O210" s="1515"/>
      <c r="P210" s="1515"/>
      <c r="Q210" s="1515">
        <f t="shared" ref="Q210:AJ210" si="95">-Q153-SUM(Q155:Q163)+Q165</f>
        <v>-17.964999999999996</v>
      </c>
      <c r="R210" s="1515">
        <f t="shared" si="95"/>
        <v>-22.916</v>
      </c>
      <c r="S210" s="1515">
        <f t="shared" si="95"/>
        <v>-24.007000000000005</v>
      </c>
      <c r="T210" s="1515">
        <f t="shared" si="95"/>
        <v>-24.148999999999997</v>
      </c>
      <c r="U210" s="1515">
        <f t="shared" si="95"/>
        <v>-21.555</v>
      </c>
      <c r="V210" s="1515">
        <f t="shared" si="95"/>
        <v>-10.290999999999999</v>
      </c>
      <c r="W210" s="1515">
        <f t="shared" si="95"/>
        <v>-14.821999999999999</v>
      </c>
      <c r="X210" s="1515">
        <f t="shared" si="95"/>
        <v>-19.223999999999997</v>
      </c>
      <c r="Y210" s="1515">
        <f t="shared" si="95"/>
        <v>-56.831000000000003</v>
      </c>
      <c r="Z210" s="1515">
        <f t="shared" si="95"/>
        <v>-19.879999999999995</v>
      </c>
      <c r="AA210" s="1515">
        <f t="shared" si="95"/>
        <v>-18.164999999999999</v>
      </c>
      <c r="AB210" s="1515">
        <f t="shared" si="95"/>
        <v>-20.927999999999997</v>
      </c>
      <c r="AC210" s="1515">
        <f t="shared" si="95"/>
        <v>-19.868000000000002</v>
      </c>
      <c r="AD210" s="1515">
        <f t="shared" si="95"/>
        <v>-28.17400000000001</v>
      </c>
      <c r="AE210" s="1515">
        <f t="shared" si="95"/>
        <v>-22.695</v>
      </c>
      <c r="AF210" s="1515">
        <f t="shared" si="95"/>
        <v>-25.881</v>
      </c>
      <c r="AG210" s="1515">
        <f t="shared" si="95"/>
        <v>-22.380000000000003</v>
      </c>
      <c r="AH210" s="1515">
        <f t="shared" si="95"/>
        <v>-23.070000000000004</v>
      </c>
      <c r="AI210" s="1515">
        <f t="shared" si="95"/>
        <v>-25.365999999999996</v>
      </c>
      <c r="AJ210" s="1516">
        <f t="shared" si="95"/>
        <v>-28.023999999999994</v>
      </c>
      <c r="AK210" s="1593">
        <v>0</v>
      </c>
      <c r="AL210" s="1593">
        <v>1.5</v>
      </c>
      <c r="AM210" s="1593">
        <v>-8</v>
      </c>
      <c r="AN210" s="1593">
        <v>-7.5</v>
      </c>
      <c r="AO210" s="1593">
        <v>-4</v>
      </c>
      <c r="AP210" s="1593">
        <v>-5</v>
      </c>
      <c r="AQ210" s="1757"/>
      <c r="AR210" s="1595"/>
      <c r="AS210" s="1595"/>
      <c r="AT210" s="1595"/>
      <c r="AU210" s="1595"/>
      <c r="AV210" s="1595"/>
      <c r="AW210" s="1595"/>
      <c r="AX210" s="1595"/>
      <c r="AY210" s="1595"/>
      <c r="AZ210" s="1595"/>
      <c r="BA210" s="1595"/>
      <c r="BB210" s="1595">
        <f>-BB153-SUM(BB155:BB163)+BB165</f>
        <v>-84.713999999999999</v>
      </c>
      <c r="BC210" s="1595">
        <f>-BC153-SUM(BC155:BC163)+BC165</f>
        <v>-80.001999999999981</v>
      </c>
      <c r="BD210" s="1595">
        <f>-BD153-SUM(BD155:BD163)+BD165</f>
        <v>-110.75899999999996</v>
      </c>
      <c r="BE210" s="1595">
        <f>-BE153-SUM(BE155:BE163)+BE165</f>
        <v>-87.134999999999991</v>
      </c>
      <c r="BF210" s="1610">
        <f>-BF153-SUM(BF155:BF163)+BF165</f>
        <v>-94.02600000000001</v>
      </c>
      <c r="BG210" s="1595">
        <f>SUM(AI210,AJ210,AK210,AL210)</f>
        <v>-51.889999999999986</v>
      </c>
      <c r="BH210" s="1595">
        <f>SUM(AM210,AN210,AO210,AP210)</f>
        <v>-24.5</v>
      </c>
      <c r="BI210" s="1596">
        <v>7</v>
      </c>
      <c r="BJ210" s="1596">
        <v>0</v>
      </c>
      <c r="BK210" s="1596">
        <v>0</v>
      </c>
      <c r="BL210" s="1517"/>
    </row>
    <row r="211" spans="1:64" s="1518" customFormat="1" x14ac:dyDescent="0.35">
      <c r="A211" s="1591" t="s">
        <v>1021</v>
      </c>
      <c r="B211" s="1716"/>
      <c r="C211" s="1515"/>
      <c r="D211" s="1515"/>
      <c r="E211" s="1515"/>
      <c r="F211" s="1515"/>
      <c r="G211" s="1515"/>
      <c r="H211" s="1515"/>
      <c r="I211" s="1515"/>
      <c r="J211" s="1515"/>
      <c r="K211" s="1515"/>
      <c r="L211" s="1515"/>
      <c r="M211" s="1515"/>
      <c r="N211" s="1515"/>
      <c r="O211" s="1515"/>
      <c r="P211" s="1515"/>
      <c r="Q211" s="1515"/>
      <c r="R211" s="1515"/>
      <c r="S211" s="1515"/>
      <c r="T211" s="1515"/>
      <c r="U211" s="1515"/>
      <c r="V211" s="1515"/>
      <c r="W211" s="1515"/>
      <c r="X211" s="1515"/>
      <c r="Y211" s="1515"/>
      <c r="Z211" s="1515"/>
      <c r="AA211" s="1515"/>
      <c r="AB211" s="1515"/>
      <c r="AC211" s="1515"/>
      <c r="AD211" s="1515"/>
      <c r="AE211" s="1515"/>
      <c r="AF211" s="1515"/>
      <c r="AG211" s="1515"/>
      <c r="AH211" s="1515"/>
      <c r="AI211" s="1515"/>
      <c r="AJ211" s="1516"/>
      <c r="AK211" s="1515"/>
      <c r="AL211" s="1515"/>
      <c r="AM211" s="1515"/>
      <c r="AN211" s="1515"/>
      <c r="AO211" s="1515"/>
      <c r="AP211" s="1515"/>
      <c r="AQ211" s="1515"/>
      <c r="AR211" s="1595"/>
      <c r="AS211" s="1595"/>
      <c r="AT211" s="1595"/>
      <c r="AU211" s="1595"/>
      <c r="AV211" s="1595"/>
      <c r="AW211" s="1595"/>
      <c r="AX211" s="1595"/>
      <c r="AY211" s="1595"/>
      <c r="AZ211" s="1595"/>
      <c r="BA211" s="1595"/>
      <c r="BB211" s="1595"/>
      <c r="BC211" s="1595"/>
      <c r="BD211" s="1595"/>
      <c r="BE211" s="1595"/>
      <c r="BF211" s="1610"/>
      <c r="BG211" s="1595">
        <f>SUM(AI211,AJ211,AK211,AL211)</f>
        <v>0</v>
      </c>
      <c r="BH211" s="1595">
        <f>SUM(AM211,AN211,AO211,AP211)</f>
        <v>0</v>
      </c>
      <c r="BI211" s="1595"/>
      <c r="BJ211" s="1595"/>
      <c r="BK211" s="1595"/>
      <c r="BL211" s="1517"/>
    </row>
    <row r="212" spans="1:64" s="1608" customFormat="1" x14ac:dyDescent="0.35">
      <c r="A212" s="1719" t="s">
        <v>815</v>
      </c>
      <c r="B212" s="1720"/>
      <c r="C212" s="1721"/>
      <c r="D212" s="1721"/>
      <c r="E212" s="1721"/>
      <c r="F212" s="1721"/>
      <c r="G212" s="1721"/>
      <c r="H212" s="1721"/>
      <c r="I212" s="1721"/>
      <c r="J212" s="1721"/>
      <c r="K212" s="1721"/>
      <c r="L212" s="1721"/>
      <c r="M212" s="1721"/>
      <c r="N212" s="1721"/>
      <c r="O212" s="1721"/>
      <c r="P212" s="1721"/>
      <c r="Q212" s="1722">
        <f t="shared" ref="Q212:AP212" si="96">Q209-SUM(Q210:Q211)</f>
        <v>141.20299999999997</v>
      </c>
      <c r="R212" s="1722">
        <f t="shared" si="96"/>
        <v>147.256</v>
      </c>
      <c r="S212" s="1722">
        <f t="shared" si="96"/>
        <v>129.36900000000003</v>
      </c>
      <c r="T212" s="1722">
        <f t="shared" si="96"/>
        <v>105.45899999999999</v>
      </c>
      <c r="U212" s="1722">
        <f t="shared" si="96"/>
        <v>11.169000000000004</v>
      </c>
      <c r="V212" s="1722">
        <f t="shared" si="96"/>
        <v>6448.0380000000077</v>
      </c>
      <c r="W212" s="1722">
        <f t="shared" si="96"/>
        <v>15.450000000000012</v>
      </c>
      <c r="X212" s="1722">
        <f t="shared" si="96"/>
        <v>22.622000000000053</v>
      </c>
      <c r="Y212" s="1722">
        <f t="shared" si="96"/>
        <v>31.574999999999992</v>
      </c>
      <c r="Z212" s="1722">
        <f t="shared" si="96"/>
        <v>22.583999999999989</v>
      </c>
      <c r="AA212" s="1722">
        <f t="shared" si="96"/>
        <v>24.401000000000003</v>
      </c>
      <c r="AB212" s="1722">
        <f t="shared" si="96"/>
        <v>32.499000000000009</v>
      </c>
      <c r="AC212" s="1722">
        <f t="shared" si="96"/>
        <v>29.171000000000014</v>
      </c>
      <c r="AD212" s="1722">
        <f t="shared" si="96"/>
        <v>20.474</v>
      </c>
      <c r="AE212" s="1722">
        <f t="shared" si="96"/>
        <v>23.285999999999998</v>
      </c>
      <c r="AF212" s="1722">
        <f t="shared" si="96"/>
        <v>26.203999999999997</v>
      </c>
      <c r="AG212" s="1722">
        <f t="shared" si="96"/>
        <v>24.734000000000002</v>
      </c>
      <c r="AH212" s="1722">
        <f t="shared" si="96"/>
        <v>19.685999999999936</v>
      </c>
      <c r="AI212" s="1722">
        <f t="shared" si="96"/>
        <v>17.410999999999994</v>
      </c>
      <c r="AJ212" s="1723">
        <f t="shared" si="96"/>
        <v>21.791999999999984</v>
      </c>
      <c r="AK212" s="1721">
        <f t="shared" si="96"/>
        <v>28.592812927405454</v>
      </c>
      <c r="AL212" s="1721">
        <f t="shared" ca="1" si="96"/>
        <v>24.35800973041416</v>
      </c>
      <c r="AM212" s="1721">
        <f t="shared" ca="1" si="96"/>
        <v>25.916283570670025</v>
      </c>
      <c r="AN212" s="1721">
        <f t="shared" ca="1" si="96"/>
        <v>30.458065017936949</v>
      </c>
      <c r="AO212" s="1721">
        <f t="shared" ca="1" si="96"/>
        <v>30.188903574188942</v>
      </c>
      <c r="AP212" s="1721">
        <f t="shared" ca="1" si="96"/>
        <v>24.874461417316766</v>
      </c>
      <c r="AQ212" s="1721"/>
      <c r="AR212" s="1724"/>
      <c r="AS212" s="1724"/>
      <c r="AT212" s="1724"/>
      <c r="AU212" s="1724"/>
      <c r="AV212" s="1724"/>
      <c r="AW212" s="1724"/>
      <c r="AX212" s="1724"/>
      <c r="AY212" s="1724"/>
      <c r="AZ212" s="1724"/>
      <c r="BA212" s="1724"/>
      <c r="BB212" s="1725">
        <f t="shared" ref="BB212:BK212" si="97">BB209-SUM(BB210:BB211)</f>
        <v>38.031999999999968</v>
      </c>
      <c r="BC212" s="1725">
        <f t="shared" si="97"/>
        <v>27.708999999999989</v>
      </c>
      <c r="BD212" s="1725">
        <f t="shared" si="97"/>
        <v>92.231999999999999</v>
      </c>
      <c r="BE212" s="1725">
        <f t="shared" si="97"/>
        <v>106.54500000000006</v>
      </c>
      <c r="BF212" s="1726">
        <f t="shared" si="97"/>
        <v>93.91</v>
      </c>
      <c r="BG212" s="1724">
        <f t="shared" ca="1" si="97"/>
        <v>92.153822657819688</v>
      </c>
      <c r="BH212" s="1724">
        <f t="shared" ca="1" si="97"/>
        <v>111.43771358011271</v>
      </c>
      <c r="BI212" s="1724">
        <f t="shared" ca="1" si="97"/>
        <v>132.31783547154384</v>
      </c>
      <c r="BJ212" s="1724">
        <f t="shared" ca="1" si="97"/>
        <v>142.53520030506675</v>
      </c>
      <c r="BK212" s="1724">
        <f t="shared" ca="1" si="97"/>
        <v>177.65367535696473</v>
      </c>
      <c r="BL212" s="1607"/>
    </row>
    <row r="213" spans="1:64" s="1608" customFormat="1" x14ac:dyDescent="0.35">
      <c r="A213" s="1745"/>
      <c r="B213" s="1712"/>
      <c r="C213" s="1667"/>
      <c r="D213" s="1667"/>
      <c r="E213" s="1667"/>
      <c r="F213" s="1667"/>
      <c r="G213" s="1667"/>
      <c r="H213" s="1667"/>
      <c r="I213" s="1667"/>
      <c r="J213" s="1667"/>
      <c r="K213" s="1667"/>
      <c r="L213" s="1667"/>
      <c r="M213" s="1667"/>
      <c r="N213" s="1667"/>
      <c r="O213" s="1667"/>
      <c r="P213" s="1667"/>
      <c r="Q213" s="1667"/>
      <c r="R213" s="1667"/>
      <c r="S213" s="1667"/>
      <c r="T213" s="1667"/>
      <c r="U213" s="1667"/>
      <c r="V213" s="1667"/>
      <c r="W213" s="1667"/>
      <c r="X213" s="1667"/>
      <c r="Y213" s="1667"/>
      <c r="Z213" s="1667"/>
      <c r="AA213" s="1667"/>
      <c r="AB213" s="1667"/>
      <c r="AC213" s="1667"/>
      <c r="AD213" s="1667"/>
      <c r="AE213" s="1667"/>
      <c r="AF213" s="1667"/>
      <c r="AG213" s="1667"/>
      <c r="AH213" s="1667"/>
      <c r="AI213" s="1667"/>
      <c r="AJ213" s="1668"/>
      <c r="AK213" s="1667"/>
      <c r="AL213" s="1667"/>
      <c r="AM213" s="1667"/>
      <c r="AN213" s="1667"/>
      <c r="AO213" s="1667"/>
      <c r="AP213" s="1667"/>
      <c r="AQ213" s="1667"/>
      <c r="AR213" s="1669"/>
      <c r="AS213" s="1669"/>
      <c r="AT213" s="1669"/>
      <c r="AU213" s="1669"/>
      <c r="AV213" s="1669"/>
      <c r="AW213" s="1669"/>
      <c r="AX213" s="1669"/>
      <c r="AY213" s="1669"/>
      <c r="AZ213" s="1669"/>
      <c r="BA213" s="1669"/>
      <c r="BB213" s="1669"/>
      <c r="BC213" s="1669"/>
      <c r="BD213" s="1669"/>
      <c r="BE213" s="1669"/>
      <c r="BF213" s="1612"/>
      <c r="BG213" s="1669"/>
      <c r="BH213" s="1669"/>
      <c r="BI213" s="1669"/>
      <c r="BJ213" s="1669"/>
      <c r="BK213" s="1669"/>
      <c r="BL213" s="1607"/>
    </row>
    <row r="214" spans="1:64" s="1577" customFormat="1" x14ac:dyDescent="0.35">
      <c r="A214" s="1758" t="s">
        <v>1022</v>
      </c>
      <c r="B214" s="1759"/>
      <c r="C214" s="1758"/>
      <c r="D214" s="1758"/>
      <c r="E214" s="1758"/>
      <c r="F214" s="1758"/>
      <c r="G214" s="1758"/>
      <c r="H214" s="1758"/>
      <c r="I214" s="1758"/>
      <c r="J214" s="1758"/>
      <c r="K214" s="1758"/>
      <c r="L214" s="1758"/>
      <c r="M214" s="1758"/>
      <c r="N214" s="1758"/>
      <c r="O214" s="1758"/>
      <c r="P214" s="1758"/>
      <c r="Q214" s="1758">
        <f t="shared" ref="Q214:AJ214" si="98">Q201/Q199</f>
        <v>1.4937550609771061E-2</v>
      </c>
      <c r="R214" s="1758">
        <f t="shared" si="98"/>
        <v>1.6048455130233046E-2</v>
      </c>
      <c r="S214" s="1758">
        <f t="shared" si="98"/>
        <v>1.3510991493625129E-2</v>
      </c>
      <c r="T214" s="1758">
        <f t="shared" si="98"/>
        <v>1.7224754558204769E-2</v>
      </c>
      <c r="U214" s="1758">
        <f t="shared" si="98"/>
        <v>-0.29523502897617543</v>
      </c>
      <c r="V214" s="1758">
        <f t="shared" si="98"/>
        <v>2.1407004346921373E-4</v>
      </c>
      <c r="W214" s="1758">
        <f t="shared" si="98"/>
        <v>2.4599220103985875</v>
      </c>
      <c r="X214" s="1758">
        <f t="shared" si="98"/>
        <v>0.38237473060344535</v>
      </c>
      <c r="Y214" s="1758">
        <f t="shared" si="98"/>
        <v>-7.4922800812900828E-2</v>
      </c>
      <c r="Z214" s="1758">
        <f t="shared" si="98"/>
        <v>8.7886996904026109</v>
      </c>
      <c r="AA214" s="1758">
        <f t="shared" si="98"/>
        <v>0.4769644414300937</v>
      </c>
      <c r="AB214" s="1758">
        <f t="shared" si="98"/>
        <v>0.36725520249955756</v>
      </c>
      <c r="AC214" s="1758">
        <f t="shared" si="98"/>
        <v>0.33782462453066298</v>
      </c>
      <c r="AD214" s="1758">
        <f t="shared" si="98"/>
        <v>0.2857232493934575</v>
      </c>
      <c r="AE214" s="1758">
        <f t="shared" si="98"/>
        <v>2.699940933254581</v>
      </c>
      <c r="AF214" s="1758">
        <f t="shared" si="98"/>
        <v>14.218487394958116</v>
      </c>
      <c r="AG214" s="1758">
        <f t="shared" si="98"/>
        <v>1.176815731049794</v>
      </c>
      <c r="AH214" s="1758">
        <f t="shared" si="98"/>
        <v>2.7072745391131479</v>
      </c>
      <c r="AI214" s="1758">
        <f t="shared" si="98"/>
        <v>0.32510457785895247</v>
      </c>
      <c r="AJ214" s="1760">
        <f t="shared" si="98"/>
        <v>7.9976798143852328</v>
      </c>
      <c r="AK214" s="1761">
        <v>0.2</v>
      </c>
      <c r="AL214" s="1761">
        <v>0.2</v>
      </c>
      <c r="AM214" s="1761">
        <v>0.28000000000000003</v>
      </c>
      <c r="AN214" s="1761">
        <v>0.2</v>
      </c>
      <c r="AO214" s="1761">
        <v>0.2</v>
      </c>
      <c r="AP214" s="1761">
        <v>0.2</v>
      </c>
      <c r="AQ214" s="1762"/>
      <c r="AR214" s="1763"/>
      <c r="AS214" s="1763"/>
      <c r="AT214" s="1763"/>
      <c r="AU214" s="1763"/>
      <c r="AV214" s="1763"/>
      <c r="AW214" s="1763"/>
      <c r="AX214" s="1763"/>
      <c r="AY214" s="1763"/>
      <c r="AZ214" s="1763"/>
      <c r="BA214" s="1763"/>
      <c r="BB214" s="1763">
        <f t="shared" ref="BB214:BH214" si="99">BB201/BB199</f>
        <v>-0.12490382149269037</v>
      </c>
      <c r="BC214" s="1763">
        <f t="shared" si="99"/>
        <v>-8.6163965233732681E-2</v>
      </c>
      <c r="BD214" s="1763">
        <f t="shared" si="99"/>
        <v>-0.39171381261211596</v>
      </c>
      <c r="BE214" s="1763">
        <f t="shared" si="99"/>
        <v>0.42883055911224832</v>
      </c>
      <c r="BF214" s="1764">
        <f t="shared" si="99"/>
        <v>2.1421108480940361</v>
      </c>
      <c r="BG214" s="1763">
        <f t="shared" ca="1" si="99"/>
        <v>0.28850772327144875</v>
      </c>
      <c r="BH214" s="1763">
        <f t="shared" ca="1" si="99"/>
        <v>0.21790832095381671</v>
      </c>
      <c r="BI214" s="1765">
        <v>0.1</v>
      </c>
      <c r="BJ214" s="1765">
        <v>0.2</v>
      </c>
      <c r="BK214" s="1765">
        <v>0.2</v>
      </c>
      <c r="BL214" s="1576"/>
    </row>
    <row r="215" spans="1:64" s="1577" customFormat="1" x14ac:dyDescent="0.35">
      <c r="A215" s="1758" t="s">
        <v>1023</v>
      </c>
      <c r="B215" s="1759"/>
      <c r="C215" s="1758"/>
      <c r="D215" s="1758"/>
      <c r="E215" s="1758"/>
      <c r="F215" s="1758"/>
      <c r="G215" s="1758"/>
      <c r="H215" s="1758"/>
      <c r="I215" s="1758"/>
      <c r="J215" s="1758"/>
      <c r="K215" s="1758"/>
      <c r="L215" s="1758"/>
      <c r="M215" s="1758"/>
      <c r="N215" s="1758"/>
      <c r="O215" s="1758"/>
      <c r="P215" s="1758"/>
      <c r="Q215" s="1758">
        <f t="shared" ref="Q215:AJ215" si="100">Q202/Q199</f>
        <v>-2.2945141053010414E-2</v>
      </c>
      <c r="R215" s="1758">
        <f t="shared" si="100"/>
        <v>-0.1087054905269078</v>
      </c>
      <c r="S215" s="1758">
        <f t="shared" si="100"/>
        <v>-4.8440170520401539E-2</v>
      </c>
      <c r="T215" s="1758">
        <f t="shared" si="100"/>
        <v>-3.5432528551392506E-2</v>
      </c>
      <c r="U215" s="1758">
        <f t="shared" si="100"/>
        <v>-0.93399871216999464</v>
      </c>
      <c r="V215" s="1758">
        <f t="shared" si="100"/>
        <v>-2.1252151789122849E-3</v>
      </c>
      <c r="W215" s="1758">
        <f t="shared" si="100"/>
        <v>-2.0041161178509319</v>
      </c>
      <c r="X215" s="1758">
        <f t="shared" si="100"/>
        <v>0.1599205280172401</v>
      </c>
      <c r="Y215" s="1758">
        <f t="shared" si="100"/>
        <v>0.40834411042782853</v>
      </c>
      <c r="Z215" s="1758">
        <f t="shared" si="100"/>
        <v>-16.160216718266501</v>
      </c>
      <c r="AA215" s="1758">
        <f t="shared" si="100"/>
        <v>-8.1169460323612011E-2</v>
      </c>
      <c r="AB215" s="1758">
        <f t="shared" si="100"/>
        <v>-4.938690090196305E-2</v>
      </c>
      <c r="AC215" s="1758">
        <f t="shared" si="100"/>
        <v>-6.5531132665832229E-2</v>
      </c>
      <c r="AD215" s="1758">
        <f t="shared" si="100"/>
        <v>7.0087007445829436E-2</v>
      </c>
      <c r="AE215" s="1758">
        <f t="shared" si="100"/>
        <v>-2.0490253987005342</v>
      </c>
      <c r="AF215" s="1758">
        <f t="shared" si="100"/>
        <v>-14.575630252100977</v>
      </c>
      <c r="AG215" s="1758">
        <f t="shared" si="100"/>
        <v>-0.55011100539169056</v>
      </c>
      <c r="AH215" s="1758">
        <f t="shared" si="100"/>
        <v>-0.86422521175885791</v>
      </c>
      <c r="AI215" s="1758">
        <f t="shared" si="100"/>
        <v>0.20620986272314851</v>
      </c>
      <c r="AJ215" s="1760">
        <f t="shared" si="100"/>
        <v>0.23201856148492117</v>
      </c>
      <c r="AK215" s="1761">
        <v>0</v>
      </c>
      <c r="AL215" s="1761">
        <v>0</v>
      </c>
      <c r="AM215" s="1761">
        <v>0</v>
      </c>
      <c r="AN215" s="1761">
        <v>0</v>
      </c>
      <c r="AO215" s="1761">
        <v>0</v>
      </c>
      <c r="AP215" s="1761">
        <v>0</v>
      </c>
      <c r="AQ215" s="1762"/>
      <c r="AR215" s="1763"/>
      <c r="AS215" s="1763"/>
      <c r="AT215" s="1763"/>
      <c r="AU215" s="1763"/>
      <c r="AV215" s="1763"/>
      <c r="AW215" s="1763"/>
      <c r="AX215" s="1763"/>
      <c r="AY215" s="1763"/>
      <c r="AZ215" s="1763"/>
      <c r="BA215" s="1763"/>
      <c r="BB215" s="1763">
        <f t="shared" ref="BB215:BH215" si="101">BB202/BB199</f>
        <v>0.32671625203043503</v>
      </c>
      <c r="BC215" s="1763">
        <f t="shared" si="101"/>
        <v>0.26723044397463003</v>
      </c>
      <c r="BD215" s="1763">
        <f t="shared" si="101"/>
        <v>0.75258727749413667</v>
      </c>
      <c r="BE215" s="1763">
        <f t="shared" si="101"/>
        <v>-0.11918480580452384</v>
      </c>
      <c r="BF215" s="1764">
        <f t="shared" si="101"/>
        <v>-1.13264223328708</v>
      </c>
      <c r="BG215" s="1763">
        <f t="shared" ca="1" si="101"/>
        <v>-6.3519526509456276E-2</v>
      </c>
      <c r="BH215" s="1763">
        <f t="shared" ca="1" si="101"/>
        <v>0</v>
      </c>
      <c r="BI215" s="1765">
        <v>0</v>
      </c>
      <c r="BJ215" s="1765">
        <v>0</v>
      </c>
      <c r="BK215" s="1765">
        <v>0</v>
      </c>
      <c r="BL215" s="1576"/>
    </row>
    <row r="216" spans="1:64" s="1518" customFormat="1" x14ac:dyDescent="0.35">
      <c r="A216" s="1515"/>
      <c r="B216" s="1716"/>
      <c r="C216" s="1515"/>
      <c r="D216" s="1515"/>
      <c r="E216" s="1515"/>
      <c r="F216" s="1515"/>
      <c r="G216" s="1515"/>
      <c r="H216" s="1515"/>
      <c r="I216" s="1515"/>
      <c r="J216" s="1515"/>
      <c r="K216" s="1515"/>
      <c r="L216" s="1515"/>
      <c r="M216" s="1515"/>
      <c r="N216" s="1515"/>
      <c r="O216" s="1515"/>
      <c r="P216" s="1515"/>
      <c r="Q216" s="1515"/>
      <c r="R216" s="1515"/>
      <c r="S216" s="1515"/>
      <c r="T216" s="1515"/>
      <c r="U216" s="1515"/>
      <c r="V216" s="1515"/>
      <c r="W216" s="1515"/>
      <c r="X216" s="1515"/>
      <c r="Y216" s="1515"/>
      <c r="Z216" s="1515"/>
      <c r="AA216" s="1515"/>
      <c r="AB216" s="1515"/>
      <c r="AC216" s="1515"/>
      <c r="AD216" s="1515"/>
      <c r="AE216" s="1515"/>
      <c r="AF216" s="1515"/>
      <c r="AG216" s="1515"/>
      <c r="AH216" s="1515"/>
      <c r="AI216" s="1515"/>
      <c r="AJ216" s="1516"/>
      <c r="AK216" s="1515"/>
      <c r="AL216" s="1515"/>
      <c r="AM216" s="1515"/>
      <c r="AN216" s="1515"/>
      <c r="AO216" s="1515"/>
      <c r="AP216" s="1515"/>
      <c r="AQ216" s="1515"/>
      <c r="AR216" s="1595"/>
      <c r="AS216" s="1595"/>
      <c r="AT216" s="1595"/>
      <c r="AU216" s="1595"/>
      <c r="AV216" s="1595"/>
      <c r="AW216" s="1595"/>
      <c r="AX216" s="1595"/>
      <c r="AY216" s="1595"/>
      <c r="AZ216" s="1595"/>
      <c r="BA216" s="1595"/>
      <c r="BB216" s="1595"/>
      <c r="BC216" s="1595"/>
      <c r="BD216" s="1595"/>
      <c r="BE216" s="1595"/>
      <c r="BF216" s="1610"/>
      <c r="BG216" s="1595"/>
      <c r="BH216" s="1595"/>
      <c r="BI216" s="1595"/>
      <c r="BJ216" s="1595"/>
      <c r="BK216" s="1595"/>
      <c r="BL216" s="1517"/>
    </row>
    <row r="217" spans="1:64" s="1773" customFormat="1" x14ac:dyDescent="0.35">
      <c r="A217" s="1766" t="s">
        <v>1024</v>
      </c>
      <c r="B217" s="1767"/>
      <c r="C217" s="1768"/>
      <c r="D217" s="1768"/>
      <c r="E217" s="1768"/>
      <c r="F217" s="1768"/>
      <c r="G217" s="1768"/>
      <c r="H217" s="1768"/>
      <c r="I217" s="1768"/>
      <c r="J217" s="1768"/>
      <c r="K217" s="1768"/>
      <c r="L217" s="1768"/>
      <c r="M217" s="1768"/>
      <c r="N217" s="1768"/>
      <c r="O217" s="1768"/>
      <c r="P217" s="1768"/>
      <c r="Q217" s="1768"/>
      <c r="R217" s="1768"/>
      <c r="S217" s="1768"/>
      <c r="T217" s="1768"/>
      <c r="U217" s="1768"/>
      <c r="V217" s="1768"/>
      <c r="W217" s="1768"/>
      <c r="X217" s="1768"/>
      <c r="Y217" s="1768">
        <f t="shared" ref="Y217:AP217" si="102">Y207/Y222</f>
        <v>-0.2824075967732988</v>
      </c>
      <c r="Z217" s="1768">
        <f t="shared" si="102"/>
        <v>2.8777215154605049E-2</v>
      </c>
      <c r="AA217" s="1768">
        <f t="shared" si="102"/>
        <v>6.6363145025213413E-2</v>
      </c>
      <c r="AB217" s="1768">
        <f t="shared" si="102"/>
        <v>0.12306305442054399</v>
      </c>
      <c r="AC217" s="1768">
        <f t="shared" si="102"/>
        <v>9.8826479377581322E-2</v>
      </c>
      <c r="AD217" s="1768">
        <f t="shared" si="102"/>
        <v>-8.1845131091080839E-2</v>
      </c>
      <c r="AE217" s="1768">
        <f t="shared" si="102"/>
        <v>6.3632199598468763E-3</v>
      </c>
      <c r="AF217" s="1768">
        <f t="shared" si="102"/>
        <v>3.4834599980861219E-3</v>
      </c>
      <c r="AG217" s="1768">
        <f t="shared" si="102"/>
        <v>2.5876091183168217E-2</v>
      </c>
      <c r="AH217" s="1768">
        <f t="shared" si="102"/>
        <v>-3.7676932109041605E-2</v>
      </c>
      <c r="AI217" s="1768">
        <f t="shared" si="102"/>
        <v>-8.812051882791537E-2</v>
      </c>
      <c r="AJ217" s="1769">
        <f t="shared" si="102"/>
        <v>-6.7170945280911915E-2</v>
      </c>
      <c r="AK217" s="1768">
        <f t="shared" ca="1" si="102"/>
        <v>0.30784526598167256</v>
      </c>
      <c r="AL217" s="1768">
        <f t="shared" ca="1" si="102"/>
        <v>0.27837309873746141</v>
      </c>
      <c r="AM217" s="1768">
        <f t="shared" ca="1" si="102"/>
        <v>0.19285756081576799</v>
      </c>
      <c r="AN217" s="1768">
        <f t="shared" ca="1" si="102"/>
        <v>0.24710446692675675</v>
      </c>
      <c r="AO217" s="1768">
        <f t="shared" ca="1" si="102"/>
        <v>0.28185075603028481</v>
      </c>
      <c r="AP217" s="1768">
        <f t="shared" ca="1" si="102"/>
        <v>0.21387194974053134</v>
      </c>
      <c r="AQ217" s="1768"/>
      <c r="AR217" s="1770"/>
      <c r="AS217" s="1770"/>
      <c r="AT217" s="1770"/>
      <c r="AU217" s="1770"/>
      <c r="AV217" s="1770"/>
      <c r="AW217" s="1770"/>
      <c r="AX217" s="1770"/>
      <c r="AY217" s="1770"/>
      <c r="AZ217" s="1770"/>
      <c r="BA217" s="1770"/>
      <c r="BB217" s="1770"/>
      <c r="BC217" s="1770"/>
      <c r="BD217" s="1770">
        <f t="shared" ref="BD217:BK217" si="103">BD207/BD222</f>
        <v>-0.20535725389722617</v>
      </c>
      <c r="BE217" s="1770">
        <f t="shared" si="103"/>
        <v>0.20637424219798312</v>
      </c>
      <c r="BF217" s="1771">
        <f t="shared" si="103"/>
        <v>-1.2665509963494359E-3</v>
      </c>
      <c r="BG217" s="1770">
        <f t="shared" ca="1" si="103"/>
        <v>0.43665663567630963</v>
      </c>
      <c r="BH217" s="1770">
        <f t="shared" ca="1" si="103"/>
        <v>0.93568872495250655</v>
      </c>
      <c r="BI217" s="1770">
        <f t="shared" ca="1" si="103"/>
        <v>1.4988446265087298</v>
      </c>
      <c r="BJ217" s="1770">
        <f t="shared" ca="1" si="103"/>
        <v>1.5328453622868634</v>
      </c>
      <c r="BK217" s="1770">
        <f t="shared" ca="1" si="103"/>
        <v>1.9097509182971573</v>
      </c>
      <c r="BL217" s="1772"/>
    </row>
    <row r="218" spans="1:64" s="1773" customFormat="1" x14ac:dyDescent="0.35">
      <c r="A218" s="1766" t="s">
        <v>1025</v>
      </c>
      <c r="B218" s="1767"/>
      <c r="C218" s="1768"/>
      <c r="D218" s="1768"/>
      <c r="E218" s="1768"/>
      <c r="F218" s="1768"/>
      <c r="G218" s="1768"/>
      <c r="H218" s="1768"/>
      <c r="I218" s="1768"/>
      <c r="J218" s="1768"/>
      <c r="K218" s="1768"/>
      <c r="L218" s="1768"/>
      <c r="M218" s="1768"/>
      <c r="N218" s="1768"/>
      <c r="O218" s="1768"/>
      <c r="P218" s="1768"/>
      <c r="Q218" s="1768"/>
      <c r="R218" s="1768"/>
      <c r="S218" s="1768"/>
      <c r="T218" s="1768"/>
      <c r="U218" s="1768"/>
      <c r="V218" s="1768"/>
      <c r="W218" s="1768"/>
      <c r="X218" s="1768"/>
      <c r="Y218" s="1768">
        <f t="shared" ref="Y218:AP218" si="104">IF(Y209/Y223&gt;Y217,Y217,Y209/Y223)</f>
        <v>-0.2824075967732988</v>
      </c>
      <c r="Z218" s="1768">
        <f t="shared" si="104"/>
        <v>2.7123896109338859E-2</v>
      </c>
      <c r="AA218" s="1768">
        <f t="shared" si="104"/>
        <v>6.2871487211923413E-2</v>
      </c>
      <c r="AB218" s="1768">
        <f t="shared" si="104"/>
        <v>0.11647340982314268</v>
      </c>
      <c r="AC218" s="1768">
        <f t="shared" si="104"/>
        <v>9.385733267751252E-2</v>
      </c>
      <c r="AD218" s="1768">
        <f t="shared" si="104"/>
        <v>-8.1845131091080839E-2</v>
      </c>
      <c r="AE218" s="1768">
        <f t="shared" si="104"/>
        <v>6.1981948633178258E-3</v>
      </c>
      <c r="AF218" s="1768">
        <f t="shared" si="104"/>
        <v>3.4180376683835699E-3</v>
      </c>
      <c r="AG218" s="1768">
        <f t="shared" si="104"/>
        <v>2.5135691356603478E-2</v>
      </c>
      <c r="AH218" s="1768">
        <f t="shared" si="104"/>
        <v>-3.7676932109041605E-2</v>
      </c>
      <c r="AI218" s="1768">
        <f t="shared" si="104"/>
        <v>-8.812051882791537E-2</v>
      </c>
      <c r="AJ218" s="1769">
        <f t="shared" si="104"/>
        <v>-6.7170945280911915E-2</v>
      </c>
      <c r="AK218" s="1768">
        <f t="shared" ca="1" si="104"/>
        <v>0.29920536547394455</v>
      </c>
      <c r="AL218" s="1768">
        <f t="shared" ca="1" si="104"/>
        <v>0.27055408594429303</v>
      </c>
      <c r="AM218" s="1768">
        <f t="shared" ca="1" si="104"/>
        <v>0.18744052970853473</v>
      </c>
      <c r="AN218" s="1768">
        <f t="shared" ca="1" si="104"/>
        <v>0.24016373523640192</v>
      </c>
      <c r="AO218" s="1768">
        <f t="shared" ca="1" si="104"/>
        <v>0.27393406193462644</v>
      </c>
      <c r="AP218" s="1768">
        <f t="shared" ca="1" si="104"/>
        <v>0.20786466125358513</v>
      </c>
      <c r="AQ218" s="1768"/>
      <c r="AR218" s="1770"/>
      <c r="AS218" s="1770"/>
      <c r="AT218" s="1770"/>
      <c r="AU218" s="1770"/>
      <c r="AV218" s="1770"/>
      <c r="AW218" s="1770"/>
      <c r="AX218" s="1770"/>
      <c r="AY218" s="1770"/>
      <c r="AZ218" s="1770"/>
      <c r="BA218" s="1770"/>
      <c r="BB218" s="1770"/>
      <c r="BC218" s="1770"/>
      <c r="BD218" s="1770">
        <f t="shared" ref="BD218:BK218" si="105">IF(BD209/BD223&gt;BD217,BD217,BD209/BD223)</f>
        <v>-0.20535725389722617</v>
      </c>
      <c r="BE218" s="1770">
        <f t="shared" si="105"/>
        <v>0.19632633276045083</v>
      </c>
      <c r="BF218" s="1771">
        <f t="shared" si="105"/>
        <v>-1.2665509963494359E-3</v>
      </c>
      <c r="BG218" s="1770">
        <f t="shared" ca="1" si="105"/>
        <v>0.42342167484224402</v>
      </c>
      <c r="BH218" s="1770">
        <f t="shared" ca="1" si="105"/>
        <v>0.90940686745977828</v>
      </c>
      <c r="BI218" s="1770">
        <f t="shared" ca="1" si="105"/>
        <v>1.4567447060681549</v>
      </c>
      <c r="BJ218" s="1770">
        <f t="shared" ca="1" si="105"/>
        <v>1.4897904207281123</v>
      </c>
      <c r="BK218" s="1770">
        <f t="shared" ca="1" si="105"/>
        <v>1.8561093597929228</v>
      </c>
      <c r="BL218" s="1772"/>
    </row>
    <row r="219" spans="1:64" s="1773" customFormat="1" x14ac:dyDescent="0.35">
      <c r="A219" s="1766" t="s">
        <v>1026</v>
      </c>
      <c r="B219" s="1767"/>
      <c r="C219" s="1768"/>
      <c r="D219" s="1768"/>
      <c r="E219" s="1768"/>
      <c r="F219" s="1768"/>
      <c r="G219" s="1768"/>
      <c r="H219" s="1768"/>
      <c r="I219" s="1768"/>
      <c r="J219" s="1768"/>
      <c r="K219" s="1768"/>
      <c r="L219" s="1768"/>
      <c r="M219" s="1768"/>
      <c r="N219" s="1768"/>
      <c r="O219" s="1768"/>
      <c r="P219" s="1768"/>
      <c r="Q219" s="1768"/>
      <c r="R219" s="1768"/>
      <c r="S219" s="1768"/>
      <c r="T219" s="1768"/>
      <c r="U219" s="1768"/>
      <c r="V219" s="1768"/>
      <c r="W219" s="1768"/>
      <c r="X219" s="1768"/>
      <c r="Y219" s="1768">
        <f t="shared" ref="Y219:AP219" si="106">IF(Y212/Y224&lt;0,Y212/Y222,Y212/Y224)</f>
        <v>0.35306540497770439</v>
      </c>
      <c r="Z219" s="1768">
        <f t="shared" si="106"/>
        <v>0.22654070626231868</v>
      </c>
      <c r="AA219" s="1768">
        <f t="shared" si="106"/>
        <v>0.24601141107410876</v>
      </c>
      <c r="AB219" s="1768">
        <f t="shared" si="106"/>
        <v>0.32713415831322357</v>
      </c>
      <c r="AC219" s="1768">
        <f t="shared" si="106"/>
        <v>0.29430422998341565</v>
      </c>
      <c r="AD219" s="1768">
        <f t="shared" si="106"/>
        <v>0.20931919438098706</v>
      </c>
      <c r="AE219" s="1768">
        <f t="shared" si="106"/>
        <v>0.24421517019834074</v>
      </c>
      <c r="AF219" s="1768">
        <f t="shared" si="106"/>
        <v>0.27729491969759656</v>
      </c>
      <c r="AG219" s="1768">
        <f t="shared" si="106"/>
        <v>0.26410628292873006</v>
      </c>
      <c r="AH219" s="1768">
        <f t="shared" si="106"/>
        <v>0.21324174936355891</v>
      </c>
      <c r="AI219" s="1768">
        <f t="shared" si="106"/>
        <v>0.18641448572996089</v>
      </c>
      <c r="AJ219" s="1769">
        <f t="shared" si="106"/>
        <v>0.22851986898571675</v>
      </c>
      <c r="AK219" s="1768">
        <f t="shared" ca="1" si="106"/>
        <v>0.29920536547394455</v>
      </c>
      <c r="AL219" s="1768">
        <f t="shared" ca="1" si="106"/>
        <v>0.25485948558071203</v>
      </c>
      <c r="AM219" s="1768">
        <f t="shared" ca="1" si="106"/>
        <v>0.27113669536440127</v>
      </c>
      <c r="AN219" s="1768">
        <f t="shared" ca="1" si="106"/>
        <v>0.31862104480781961</v>
      </c>
      <c r="AO219" s="1768">
        <f t="shared" ca="1" si="106"/>
        <v>0.31577377640126925</v>
      </c>
      <c r="AP219" s="1768">
        <f t="shared" ca="1" si="106"/>
        <v>0.26015907489552442</v>
      </c>
      <c r="AQ219" s="1768"/>
      <c r="AR219" s="1770"/>
      <c r="AS219" s="1770"/>
      <c r="AT219" s="1770"/>
      <c r="AU219" s="1770"/>
      <c r="AV219" s="1770"/>
      <c r="AW219" s="1770"/>
      <c r="AX219" s="1770"/>
      <c r="AY219" s="1770"/>
      <c r="AZ219" s="1770"/>
      <c r="BA219" s="1770"/>
      <c r="BB219" s="1770"/>
      <c r="BC219" s="1770"/>
      <c r="BD219" s="1770">
        <f t="shared" ref="BD219:BK219" si="107">IF(BD212/BD224&lt;0,BD212/BD222,BD212/BD224)</f>
        <v>0.97002026134132924</v>
      </c>
      <c r="BE219" s="1770">
        <f t="shared" si="107"/>
        <v>1.0776707431201533</v>
      </c>
      <c r="BF219" s="1771">
        <f t="shared" si="107"/>
        <v>0.99963261292724337</v>
      </c>
      <c r="BG219" s="1770">
        <f t="shared" ca="1" si="107"/>
        <v>0.96910634304393406</v>
      </c>
      <c r="BH219" s="1770">
        <f t="shared" ca="1" si="107"/>
        <v>1.165687684325674</v>
      </c>
      <c r="BI219" s="1770">
        <f t="shared" ca="1" si="107"/>
        <v>1.3835508259883864</v>
      </c>
      <c r="BJ219" s="1770">
        <f t="shared" ca="1" si="107"/>
        <v>1.4897904207281123</v>
      </c>
      <c r="BK219" s="1770">
        <f t="shared" ca="1" si="107"/>
        <v>1.8561093597929228</v>
      </c>
      <c r="BL219" s="1772"/>
    </row>
    <row r="220" spans="1:64" s="1782" customFormat="1" x14ac:dyDescent="0.35">
      <c r="A220" s="1755" t="str">
        <f>CONCATENATE("Consensus Estimates - ",IFERROR(LEFT(A219,FIND("(",A219)-1),A219))</f>
        <v>Consensus Estimates - Adjusted Earnings Per Share - WAD</v>
      </c>
      <c r="B220" s="1774"/>
      <c r="C220" s="1775"/>
      <c r="D220" s="1776"/>
      <c r="E220" s="1775"/>
      <c r="F220" s="1775"/>
      <c r="G220" s="1775"/>
      <c r="H220" s="1776"/>
      <c r="I220" s="1775"/>
      <c r="J220" s="1775"/>
      <c r="K220" s="1775"/>
      <c r="L220" s="1776"/>
      <c r="M220" s="1775"/>
      <c r="N220" s="1775"/>
      <c r="O220" s="1775"/>
      <c r="P220" s="1776"/>
      <c r="Q220" s="1775"/>
      <c r="R220" s="1775"/>
      <c r="S220" s="1775"/>
      <c r="T220" s="1776"/>
      <c r="U220" s="1775"/>
      <c r="V220" s="1775"/>
      <c r="W220" s="1775"/>
      <c r="X220" s="1776"/>
      <c r="Y220" s="1775"/>
      <c r="Z220" s="1775"/>
      <c r="AA220" s="1775"/>
      <c r="AB220" s="1776"/>
      <c r="AC220" s="1775"/>
      <c r="AD220" s="1775"/>
      <c r="AE220" s="1775"/>
      <c r="AF220" s="1776"/>
      <c r="AG220" s="1775"/>
      <c r="AH220" s="1775"/>
      <c r="AI220" s="1775"/>
      <c r="AJ220" s="1777"/>
      <c r="AK220" s="1778" t="str">
        <f t="shared" ref="AK220:AP220" ca="1" si="108">IFERROR(VLOOKUP($A220,tb_ConsensusEstimate,MATCH(AK$5,OFFSET(tb_ConsensusEstimate,0,0,1,COLUMNS(tb_ConsensusEstimate)),0),FALSE),"-")</f>
        <v>N/A</v>
      </c>
      <c r="AL220" s="1778" t="str">
        <f t="shared" ca="1" si="108"/>
        <v>N/A</v>
      </c>
      <c r="AM220" s="1778" t="str">
        <f t="shared" ca="1" si="108"/>
        <v>N/A</v>
      </c>
      <c r="AN220" s="1778" t="str">
        <f t="shared" ca="1" si="108"/>
        <v>N/A</v>
      </c>
      <c r="AO220" s="1778" t="str">
        <f t="shared" ca="1" si="108"/>
        <v>N/A</v>
      </c>
      <c r="AP220" s="1778" t="str">
        <f t="shared" ca="1" si="108"/>
        <v>N/A</v>
      </c>
      <c r="AQ220" s="1778"/>
      <c r="AR220" s="1779"/>
      <c r="AS220" s="1779"/>
      <c r="AT220" s="1779"/>
      <c r="AU220" s="1779"/>
      <c r="AV220" s="1779"/>
      <c r="AW220" s="1779"/>
      <c r="AX220" s="1779"/>
      <c r="AY220" s="1779"/>
      <c r="AZ220" s="1779"/>
      <c r="BA220" s="1779"/>
      <c r="BB220" s="1779"/>
      <c r="BC220" s="1779"/>
      <c r="BD220" s="1779"/>
      <c r="BE220" s="1779"/>
      <c r="BF220" s="1780"/>
      <c r="BG220" s="1781" t="str">
        <f ca="1">IFERROR(VLOOKUP($A220,tb_ConsensusEstimate,MATCH(BG$5,OFFSET(tb_ConsensusEstimate,0,0,1,COLUMNS(tb_ConsensusEstimate)),0),FALSE),"-")</f>
        <v>N/A</v>
      </c>
      <c r="BH220" s="1781" t="str">
        <f ca="1">IFERROR(VLOOKUP($A220,tb_ConsensusEstimate,MATCH(BH$5,OFFSET(tb_ConsensusEstimate,0,0,1,COLUMNS(tb_ConsensusEstimate)),0),FALSE),"-")</f>
        <v>N/A</v>
      </c>
      <c r="BI220" s="1781" t="str">
        <f ca="1">IFERROR(VLOOKUP($A220,tb_ConsensusEstimate,MATCH(BI$5,OFFSET(tb_ConsensusEstimate,0,0,1,COLUMNS(tb_ConsensusEstimate)),0),FALSE),"-")</f>
        <v>N/A</v>
      </c>
      <c r="BJ220" s="1781" t="str">
        <f ca="1">IFERROR(VLOOKUP($A220,tb_ConsensusEstimate,MATCH(BJ$5,OFFSET(tb_ConsensusEstimate,0,0,1,COLUMNS(tb_ConsensusEstimate)),0),FALSE),"-")</f>
        <v>N/A</v>
      </c>
      <c r="BK220" s="1781" t="str">
        <f ca="1">IFERROR(VLOOKUP($A220,tb_ConsensusEstimate,MATCH(BK$5,OFFSET(tb_ConsensusEstimate,0,0,1,COLUMNS(tb_ConsensusEstimate)),0),FALSE),"-")</f>
        <v>N/A</v>
      </c>
      <c r="BL220" s="1775"/>
    </row>
    <row r="221" spans="1:64" s="1518" customFormat="1" x14ac:dyDescent="0.35">
      <c r="A221" s="1515"/>
      <c r="B221" s="1716"/>
      <c r="C221" s="1515"/>
      <c r="D221" s="1515"/>
      <c r="E221" s="1515"/>
      <c r="F221" s="1515"/>
      <c r="G221" s="1515"/>
      <c r="H221" s="1515"/>
      <c r="I221" s="1515"/>
      <c r="J221" s="1515"/>
      <c r="K221" s="1515"/>
      <c r="L221" s="1515"/>
      <c r="M221" s="1515"/>
      <c r="N221" s="1515"/>
      <c r="O221" s="1515"/>
      <c r="P221" s="1515"/>
      <c r="Q221" s="1515"/>
      <c r="R221" s="1515"/>
      <c r="S221" s="1515"/>
      <c r="T221" s="1515"/>
      <c r="U221" s="1515"/>
      <c r="V221" s="1515"/>
      <c r="W221" s="1515"/>
      <c r="X221" s="1515"/>
      <c r="Y221" s="1515"/>
      <c r="Z221" s="1515"/>
      <c r="AA221" s="1515"/>
      <c r="AB221" s="1515"/>
      <c r="AC221" s="1515"/>
      <c r="AD221" s="1515"/>
      <c r="AE221" s="1515"/>
      <c r="AF221" s="1515"/>
      <c r="AG221" s="1515"/>
      <c r="AH221" s="1515"/>
      <c r="AI221" s="1515"/>
      <c r="AJ221" s="1516"/>
      <c r="AK221" s="1515"/>
      <c r="AL221" s="1515"/>
      <c r="AM221" s="1515"/>
      <c r="AN221" s="1515"/>
      <c r="AO221" s="1515"/>
      <c r="AP221" s="1515"/>
      <c r="AQ221" s="1515"/>
      <c r="AR221" s="1595"/>
      <c r="AS221" s="1595"/>
      <c r="AT221" s="1595"/>
      <c r="AU221" s="1595"/>
      <c r="AV221" s="1595"/>
      <c r="AW221" s="1595"/>
      <c r="AX221" s="1595"/>
      <c r="AY221" s="1595"/>
      <c r="AZ221" s="1595"/>
      <c r="BA221" s="1595"/>
      <c r="BB221" s="1595"/>
      <c r="BC221" s="1595"/>
      <c r="BD221" s="1595"/>
      <c r="BE221" s="1595"/>
      <c r="BF221" s="1610"/>
      <c r="BG221" s="1595"/>
      <c r="BH221" s="1595"/>
      <c r="BI221" s="1595"/>
      <c r="BJ221" s="1595"/>
      <c r="BK221" s="1595"/>
      <c r="BL221" s="1517"/>
    </row>
    <row r="222" spans="1:64" s="1518" customFormat="1" x14ac:dyDescent="0.35">
      <c r="A222" s="1515" t="s">
        <v>1027</v>
      </c>
      <c r="B222" s="1716"/>
      <c r="C222" s="1515"/>
      <c r="D222" s="1515"/>
      <c r="E222" s="1515"/>
      <c r="F222" s="1515"/>
      <c r="G222" s="1515"/>
      <c r="H222" s="1515"/>
      <c r="I222" s="1515"/>
      <c r="J222" s="1515"/>
      <c r="K222" s="1515"/>
      <c r="L222" s="1515"/>
      <c r="M222" s="1515"/>
      <c r="N222" s="1515"/>
      <c r="O222" s="1515"/>
      <c r="P222" s="1515"/>
      <c r="Q222" s="1515"/>
      <c r="R222" s="1515"/>
      <c r="S222" s="1515"/>
      <c r="T222" s="1515"/>
      <c r="U222" s="1515"/>
      <c r="V222" s="1515"/>
      <c r="W222" s="1515"/>
      <c r="X222" s="1515"/>
      <c r="Y222" s="1593">
        <v>89.431021999999999</v>
      </c>
      <c r="Z222" s="1593">
        <v>93.963227000000003</v>
      </c>
      <c r="AA222" s="1593">
        <v>93.967819000000006</v>
      </c>
      <c r="AB222" s="1593">
        <v>94.024969999999996</v>
      </c>
      <c r="AC222" s="1593">
        <v>94.134690000000006</v>
      </c>
      <c r="AD222" s="1593">
        <v>94.080123</v>
      </c>
      <c r="AE222" s="1593">
        <v>92.877505999999997</v>
      </c>
      <c r="AF222" s="1593">
        <v>92.723900999999998</v>
      </c>
      <c r="AG222" s="1593">
        <v>90.972009</v>
      </c>
      <c r="AH222" s="1593">
        <v>89.816230000000004</v>
      </c>
      <c r="AI222" s="1593">
        <v>90.274094000000005</v>
      </c>
      <c r="AJ222" s="1594">
        <v>92.778209000000004</v>
      </c>
      <c r="AK222" s="1515">
        <f ca="1">AVERAGE(AJ232,AK232)</f>
        <v>92.880469791300001</v>
      </c>
      <c r="AL222" s="1515">
        <f ca="1">AVERAGE(AK232,AL232)</f>
        <v>92.889757838279138</v>
      </c>
      <c r="AM222" s="1515">
        <f ca="1">AVERAGE(BG232,AM232)</f>
        <v>92.899046814062956</v>
      </c>
      <c r="AN222" s="1515">
        <f ca="1">AVERAGE(AM232,AN232)</f>
        <v>92.90833671874438</v>
      </c>
      <c r="AO222" s="1515">
        <f ca="1">AVERAGE(AN232,AO232)</f>
        <v>92.917627552416249</v>
      </c>
      <c r="AP222" s="1515">
        <f ca="1">AVERAGE(AO232,AP232)</f>
        <v>92.926919315171489</v>
      </c>
      <c r="AQ222" s="1515"/>
      <c r="AR222" s="1595"/>
      <c r="AS222" s="1595"/>
      <c r="AT222" s="1595"/>
      <c r="AU222" s="1595"/>
      <c r="AV222" s="1595"/>
      <c r="AW222" s="1595"/>
      <c r="AX222" s="1595"/>
      <c r="AY222" s="1595"/>
      <c r="AZ222" s="1595"/>
      <c r="BA222" s="1595"/>
      <c r="BB222" s="1595"/>
      <c r="BC222" s="1595"/>
      <c r="BD222" s="1596">
        <v>90.218385999999995</v>
      </c>
      <c r="BE222" s="1596">
        <v>94.052435000000003</v>
      </c>
      <c r="BF222" s="1597">
        <v>91.587311</v>
      </c>
      <c r="BG222" s="1595">
        <f ca="1">SUM(AI222*AI3,AJ222*AJ3,AK222*AK3,AL222*AL3)/BG3</f>
        <v>92.209345669183833</v>
      </c>
      <c r="BH222" s="1595">
        <f ca="1">SUM(AM222*AM3,AN222*AN3,AO222*AO3,AP222*AP3)/BH3</f>
        <v>92.913071689012256</v>
      </c>
      <c r="BI222" s="1595">
        <f ca="1">AVERAGE(BH232,BI232)</f>
        <v>92.950151741917324</v>
      </c>
      <c r="BJ222" s="1595">
        <f ca="1">AVERAGE(BI232,BJ232)</f>
        <v>92.987331802614079</v>
      </c>
      <c r="BK222" s="1595">
        <f ca="1">AVERAGE(BJ232,BK232)</f>
        <v>93.02452673533513</v>
      </c>
      <c r="BL222" s="1515"/>
    </row>
    <row r="223" spans="1:64" s="1518" customFormat="1" x14ac:dyDescent="0.35">
      <c r="A223" s="1515" t="s">
        <v>1028</v>
      </c>
      <c r="B223" s="1716"/>
      <c r="C223" s="1515"/>
      <c r="D223" s="1515"/>
      <c r="E223" s="1515"/>
      <c r="F223" s="1515"/>
      <c r="G223" s="1515"/>
      <c r="H223" s="1515"/>
      <c r="I223" s="1515"/>
      <c r="J223" s="1515"/>
      <c r="K223" s="1515"/>
      <c r="L223" s="1515"/>
      <c r="M223" s="1515"/>
      <c r="N223" s="1515"/>
      <c r="O223" s="1515"/>
      <c r="P223" s="1515"/>
      <c r="Q223" s="1515"/>
      <c r="R223" s="1515"/>
      <c r="S223" s="1515"/>
      <c r="T223" s="1515"/>
      <c r="U223" s="1515"/>
      <c r="V223" s="1515"/>
      <c r="W223" s="1515"/>
      <c r="X223" s="1515"/>
      <c r="Y223" s="1593">
        <v>89.431021999999999</v>
      </c>
      <c r="Z223" s="1593">
        <v>99.690692999999996</v>
      </c>
      <c r="AA223" s="1593">
        <v>99.186456000000007</v>
      </c>
      <c r="AB223" s="1593">
        <v>99.344562999999994</v>
      </c>
      <c r="AC223" s="1593">
        <v>99.118521000000001</v>
      </c>
      <c r="AD223" s="1593">
        <v>94.080123</v>
      </c>
      <c r="AE223" s="1593">
        <v>95.350341999999998</v>
      </c>
      <c r="AF223" s="1593">
        <v>94.498666</v>
      </c>
      <c r="AG223" s="1593">
        <v>93.651691</v>
      </c>
      <c r="AH223" s="1593">
        <v>89.816230000000004</v>
      </c>
      <c r="AI223" s="1593">
        <v>90.274094000000005</v>
      </c>
      <c r="AJ223" s="1594">
        <v>92.778209000000004</v>
      </c>
      <c r="AK223" s="1515">
        <f ca="1">IF(AK209&lt;0,AK222,AVERAGE(AJ243,AK243))</f>
        <v>95.562500632681264</v>
      </c>
      <c r="AL223" s="1515">
        <f ca="1">IF(AL209&lt;0,AL222,AVERAGE(AK243,AL243))</f>
        <v>95.574271740025807</v>
      </c>
      <c r="AM223" s="1515">
        <f ca="1">IF(AM209&lt;0,AM222,AVERAGE(BG243,AM243))</f>
        <v>95.583829167199809</v>
      </c>
      <c r="AN223" s="1515">
        <f ca="1">IF(AN209&lt;0,AN222,AVERAGE(AM243,AN243))</f>
        <v>95.593387550116546</v>
      </c>
      <c r="AO223" s="1515">
        <f ca="1">IF(AO209&lt;0,AO222,AVERAGE(AN243,AO243))</f>
        <v>95.602946888871543</v>
      </c>
      <c r="AP223" s="1515">
        <f ca="1">IF(AP209&lt;0,AP222,AVERAGE(AO243,AP243))</f>
        <v>95.612507183560439</v>
      </c>
      <c r="AQ223" s="1515"/>
      <c r="AR223" s="1595"/>
      <c r="AS223" s="1595"/>
      <c r="AT223" s="1595"/>
      <c r="AU223" s="1595"/>
      <c r="AV223" s="1595"/>
      <c r="AW223" s="1595"/>
      <c r="AX223" s="1595"/>
      <c r="AY223" s="1595"/>
      <c r="AZ223" s="1595"/>
      <c r="BA223" s="1595"/>
      <c r="BB223" s="1595"/>
      <c r="BC223" s="1595"/>
      <c r="BD223" s="1596">
        <v>90.218385999999995</v>
      </c>
      <c r="BE223" s="1596">
        <v>98.866004000000004</v>
      </c>
      <c r="BF223" s="1597">
        <v>91.587311</v>
      </c>
      <c r="BG223" s="1595">
        <f ca="1">IF(BG209&lt;0,BG222,SUM(AVERAGE(BF243,AI243)*AI3,AVERAGE(AI243,AJ243)*AJ3,AVERAGE(AJ243,AK243)*AK3,AVERAGE(AK243,AL243)*AL3)/BG3)</f>
        <v>95.09154833139084</v>
      </c>
      <c r="BH223" s="1595">
        <f ca="1">IF(BH209&lt;0,BH222,SUM(AVERAGE(BG243,AM243)*AM3,AVERAGE(AM243,AN243)*AN3,AVERAGE(AN243,AO243)*AO3,AVERAGE(AO243,AP243)*AP3)/BH3)</f>
        <v>95.598259361020098</v>
      </c>
      <c r="BI223" s="1595">
        <f ca="1">IF(BI209&lt;0,BI222,AVERAGE(BH243,BI243))</f>
        <v>95.636411027414269</v>
      </c>
      <c r="BJ223" s="1595">
        <f ca="1">IF(BJ209&lt;0,BJ222,AVERAGE(BI243,BJ243))</f>
        <v>95.674665591825232</v>
      </c>
      <c r="BK223" s="1595">
        <f ca="1">IF(BK209&lt;0,BK222,AVERAGE(BJ243,BK243))</f>
        <v>95.712935458061963</v>
      </c>
      <c r="BL223" s="1515"/>
    </row>
    <row r="224" spans="1:64" s="1518" customFormat="1" x14ac:dyDescent="0.35">
      <c r="A224" s="1515" t="s">
        <v>1029</v>
      </c>
      <c r="B224" s="1716"/>
      <c r="C224" s="1515"/>
      <c r="D224" s="1515"/>
      <c r="E224" s="1515"/>
      <c r="F224" s="1515"/>
      <c r="G224" s="1515"/>
      <c r="H224" s="1515"/>
      <c r="I224" s="1515"/>
      <c r="J224" s="1515"/>
      <c r="K224" s="1515"/>
      <c r="L224" s="1515"/>
      <c r="M224" s="1515"/>
      <c r="N224" s="1515"/>
      <c r="O224" s="1515"/>
      <c r="P224" s="1515"/>
      <c r="Q224" s="1515"/>
      <c r="R224" s="1515"/>
      <c r="S224" s="1515"/>
      <c r="T224" s="1515"/>
      <c r="U224" s="1515"/>
      <c r="V224" s="1515"/>
      <c r="W224" s="1515"/>
      <c r="X224" s="1515"/>
      <c r="Y224" s="1515">
        <f>Y223</f>
        <v>89.431021999999999</v>
      </c>
      <c r="Z224" s="1515">
        <f>Z223</f>
        <v>99.690692999999996</v>
      </c>
      <c r="AA224" s="1593">
        <v>99.186456000000007</v>
      </c>
      <c r="AB224" s="1593">
        <v>99.344562999999994</v>
      </c>
      <c r="AC224" s="1515">
        <f>AC223</f>
        <v>99.118521000000001</v>
      </c>
      <c r="AD224" s="1593">
        <v>97.812338999999994</v>
      </c>
      <c r="AE224" s="1593">
        <v>95.350341999999998</v>
      </c>
      <c r="AF224" s="1593">
        <v>94.498666</v>
      </c>
      <c r="AG224" s="1515">
        <f>AG223</f>
        <v>93.651691</v>
      </c>
      <c r="AH224" s="1593">
        <v>92.317757</v>
      </c>
      <c r="AI224" s="1593">
        <v>93.399394000000001</v>
      </c>
      <c r="AJ224" s="1594">
        <v>95.361510999999993</v>
      </c>
      <c r="AK224" s="1515">
        <f ca="1">IF(AK212&lt;0,AK222,AVERAGE(AJ243,AK243))</f>
        <v>95.562500632681264</v>
      </c>
      <c r="AL224" s="1515">
        <f ca="1">IF(AL212&lt;0,AL222,AVERAGE(AK243,AL243))</f>
        <v>95.574271740025807</v>
      </c>
      <c r="AM224" s="1515">
        <f ca="1">IF(AM212&lt;0,AM222,AVERAGE(BG243,AM243))</f>
        <v>95.583829167199809</v>
      </c>
      <c r="AN224" s="1515">
        <f ca="1">IF(AN212&lt;0,AN222,AVERAGE(AM243,AN243))</f>
        <v>95.593387550116546</v>
      </c>
      <c r="AO224" s="1515">
        <f ca="1">IF(AO212&lt;0,AO222,AVERAGE(AN243,AO243))</f>
        <v>95.602946888871543</v>
      </c>
      <c r="AP224" s="1515">
        <f ca="1">IF(AP212&lt;0,AP222,AVERAGE(AO243,AP243))</f>
        <v>95.612507183560439</v>
      </c>
      <c r="AQ224" s="1515"/>
      <c r="AR224" s="1595"/>
      <c r="AS224" s="1595"/>
      <c r="AT224" s="1595"/>
      <c r="AU224" s="1595"/>
      <c r="AV224" s="1595"/>
      <c r="AW224" s="1595"/>
      <c r="AX224" s="1595"/>
      <c r="AY224" s="1595"/>
      <c r="AZ224" s="1595"/>
      <c r="BA224" s="1595"/>
      <c r="BB224" s="1595"/>
      <c r="BC224" s="1595"/>
      <c r="BD224" s="1596">
        <v>95.082549999999998</v>
      </c>
      <c r="BE224" s="1596">
        <v>98.866004000000004</v>
      </c>
      <c r="BF224" s="1597">
        <v>93.944513999999998</v>
      </c>
      <c r="BG224" s="1595">
        <f ca="1">IF(BG212&lt;0,BG222,SUM(AVERAGE(BF243,AI243)*AI3,AVERAGE(AI243,AJ243)*AJ3,AVERAGE(AJ243,AK243)*AK3,AVERAGE(AK243,AL243)*AL3)/BG3)</f>
        <v>95.09154833139084</v>
      </c>
      <c r="BH224" s="1595">
        <f ca="1">IF(BH212&lt;0,BH222,SUM(AVERAGE(BG243,AM243)*AM3,AVERAGE(AM243,AN243)*AN3,AVERAGE(AN243,AO243)*AO3,AVERAGE(AO243,AP243)*AP3)/BH3)</f>
        <v>95.598259361020098</v>
      </c>
      <c r="BI224" s="1595">
        <f ca="1">IF(BI212&lt;0,BI222,AVERAGE(BH243,BI243))</f>
        <v>95.636411027414269</v>
      </c>
      <c r="BJ224" s="1595">
        <f ca="1">IF(BJ212&lt;0,BJ222,AVERAGE(BI243,BJ243))</f>
        <v>95.674665591825232</v>
      </c>
      <c r="BK224" s="1595">
        <f ca="1">IF(BK212&lt;0,BK222,AVERAGE(BJ243,BK243))</f>
        <v>95.712935458061963</v>
      </c>
      <c r="BL224" s="1515"/>
    </row>
    <row r="225" spans="1:64" s="1518" customFormat="1" x14ac:dyDescent="0.35">
      <c r="A225" s="1716"/>
      <c r="B225" s="1716"/>
      <c r="C225" s="1515"/>
      <c r="D225" s="1515"/>
      <c r="E225" s="1515"/>
      <c r="F225" s="1515"/>
      <c r="G225" s="1515"/>
      <c r="H225" s="1515"/>
      <c r="I225" s="1515"/>
      <c r="J225" s="1515"/>
      <c r="K225" s="1515"/>
      <c r="L225" s="1515"/>
      <c r="M225" s="1515"/>
      <c r="N225" s="1515"/>
      <c r="O225" s="1515"/>
      <c r="P225" s="1515"/>
      <c r="Q225" s="1515"/>
      <c r="R225" s="1515"/>
      <c r="S225" s="1515"/>
      <c r="T225" s="1515"/>
      <c r="U225" s="1515"/>
      <c r="V225" s="1515"/>
      <c r="W225" s="1515"/>
      <c r="X225" s="1515"/>
      <c r="Y225" s="1515"/>
      <c r="Z225" s="1515"/>
      <c r="AA225" s="1515"/>
      <c r="AB225" s="1515"/>
      <c r="AC225" s="1515"/>
      <c r="AD225" s="1515"/>
      <c r="AE225" s="1515"/>
      <c r="AF225" s="1515"/>
      <c r="AG225" s="1515"/>
      <c r="AH225" s="1515"/>
      <c r="AI225" s="1515"/>
      <c r="AJ225" s="1516"/>
      <c r="AK225" s="1515"/>
      <c r="AL225" s="1515"/>
      <c r="AM225" s="1515"/>
      <c r="AN225" s="1515"/>
      <c r="AO225" s="1515"/>
      <c r="AP225" s="1515"/>
      <c r="AQ225" s="1515"/>
      <c r="AR225" s="1595"/>
      <c r="AS225" s="1595"/>
      <c r="AT225" s="1595"/>
      <c r="AU225" s="1595"/>
      <c r="AV225" s="1595"/>
      <c r="AW225" s="1595"/>
      <c r="AX225" s="1595"/>
      <c r="AY225" s="1595"/>
      <c r="AZ225" s="1595"/>
      <c r="BA225" s="1595"/>
      <c r="BB225" s="1595"/>
      <c r="BC225" s="1595"/>
      <c r="BD225" s="1595"/>
      <c r="BE225" s="1595"/>
      <c r="BF225" s="1610"/>
      <c r="BG225" s="1595"/>
      <c r="BH225" s="1595"/>
      <c r="BI225" s="1595"/>
      <c r="BJ225" s="1595"/>
      <c r="BK225" s="1595"/>
      <c r="BL225" s="1517"/>
    </row>
    <row r="226" spans="1:64" s="1518" customFormat="1" x14ac:dyDescent="0.35">
      <c r="A226" s="1588" t="s">
        <v>1030</v>
      </c>
      <c r="B226" s="1556"/>
      <c r="C226" s="1556"/>
      <c r="D226" s="1556"/>
      <c r="E226" s="1556"/>
      <c r="F226" s="1556"/>
      <c r="G226" s="1556"/>
      <c r="H226" s="1556"/>
      <c r="I226" s="1556"/>
      <c r="J226" s="1556"/>
      <c r="K226" s="1556"/>
      <c r="L226" s="1556"/>
      <c r="M226" s="1556"/>
      <c r="N226" s="1556"/>
      <c r="O226" s="1556"/>
      <c r="P226" s="1556"/>
      <c r="Q226" s="1556"/>
      <c r="R226" s="1556"/>
      <c r="S226" s="1556"/>
      <c r="T226" s="1589"/>
      <c r="U226" s="1556"/>
      <c r="V226" s="1556"/>
      <c r="W226" s="1556"/>
      <c r="X226" s="1589"/>
      <c r="Y226" s="1556"/>
      <c r="Z226" s="1556"/>
      <c r="AA226" s="1556"/>
      <c r="AB226" s="1589"/>
      <c r="AC226" s="1556"/>
      <c r="AD226" s="1556"/>
      <c r="AE226" s="1556"/>
      <c r="AF226" s="1589"/>
      <c r="AG226" s="1556"/>
      <c r="AH226" s="1556"/>
      <c r="AI226" s="1556"/>
      <c r="AJ226" s="1590"/>
      <c r="AK226" s="1556"/>
      <c r="AL226" s="1556"/>
      <c r="AM226" s="1556"/>
      <c r="AN226" s="1556"/>
      <c r="AO226" s="1556"/>
      <c r="AP226" s="1556"/>
      <c r="AQ226" s="1556"/>
      <c r="AR226" s="1556"/>
      <c r="AS226" s="1556"/>
      <c r="AT226" s="1556"/>
      <c r="AU226" s="1556"/>
      <c r="AV226" s="1556"/>
      <c r="AW226" s="1556"/>
      <c r="AX226" s="1556"/>
      <c r="AY226" s="1556"/>
      <c r="AZ226" s="1556"/>
      <c r="BA226" s="1556"/>
      <c r="BB226" s="1556"/>
      <c r="BC226" s="1556"/>
      <c r="BD226" s="1556"/>
      <c r="BE226" s="1556"/>
      <c r="BF226" s="1558"/>
      <c r="BG226" s="1556"/>
      <c r="BH226" s="1556"/>
      <c r="BI226" s="1556"/>
      <c r="BJ226" s="1556"/>
      <c r="BK226" s="1556"/>
      <c r="BL226" s="1517"/>
    </row>
    <row r="227" spans="1:64" s="1518" customFormat="1" ht="15" hidden="1" customHeight="1" outlineLevel="2" x14ac:dyDescent="0.35">
      <c r="A227" s="1783" t="s">
        <v>1031</v>
      </c>
      <c r="B227" s="1515"/>
      <c r="C227" s="1784"/>
      <c r="D227" s="1784"/>
      <c r="E227" s="1784"/>
      <c r="F227" s="1784"/>
      <c r="G227" s="1784"/>
      <c r="H227" s="1784"/>
      <c r="I227" s="1784"/>
      <c r="J227" s="1784"/>
      <c r="K227" s="1784"/>
      <c r="L227" s="1784"/>
      <c r="M227" s="1784"/>
      <c r="N227" s="1784"/>
      <c r="O227" s="1784"/>
      <c r="P227" s="1784"/>
      <c r="Q227" s="1784"/>
      <c r="R227" s="1784"/>
      <c r="S227" s="1784"/>
      <c r="T227" s="1784"/>
      <c r="U227" s="1784"/>
      <c r="V227" s="1784"/>
      <c r="W227" s="1784"/>
      <c r="X227" s="1784"/>
      <c r="Y227" s="1784">
        <f t="shared" ref="Y227:AJ227" si="109">WORKDAY(Y4+1,-1)</f>
        <v>44469</v>
      </c>
      <c r="Z227" s="1784">
        <f t="shared" si="109"/>
        <v>44561</v>
      </c>
      <c r="AA227" s="1784">
        <f t="shared" si="109"/>
        <v>44651</v>
      </c>
      <c r="AB227" s="1784">
        <f t="shared" si="109"/>
        <v>44742</v>
      </c>
      <c r="AC227" s="1784">
        <f t="shared" si="109"/>
        <v>44834</v>
      </c>
      <c r="AD227" s="1784">
        <f t="shared" si="109"/>
        <v>44925</v>
      </c>
      <c r="AE227" s="1784">
        <f t="shared" si="109"/>
        <v>45016</v>
      </c>
      <c r="AF227" s="1784">
        <f t="shared" si="109"/>
        <v>45107</v>
      </c>
      <c r="AG227" s="1784">
        <f t="shared" si="109"/>
        <v>45198</v>
      </c>
      <c r="AH227" s="1784">
        <f t="shared" si="109"/>
        <v>45289</v>
      </c>
      <c r="AI227" s="1784">
        <f t="shared" si="109"/>
        <v>45380</v>
      </c>
      <c r="AJ227" s="1785">
        <f t="shared" si="109"/>
        <v>45471</v>
      </c>
      <c r="AK227" s="1784"/>
      <c r="AL227" s="1784"/>
      <c r="AM227" s="1784"/>
      <c r="AN227" s="1784"/>
      <c r="AO227" s="1784"/>
      <c r="AP227" s="1784"/>
      <c r="AQ227" s="1784"/>
      <c r="AR227" s="1786"/>
      <c r="AS227" s="1786"/>
      <c r="AT227" s="1786"/>
      <c r="AU227" s="1786"/>
      <c r="AV227" s="1786"/>
      <c r="AW227" s="1786"/>
      <c r="AX227" s="1786"/>
      <c r="AY227" s="1786"/>
      <c r="AZ227" s="1786"/>
      <c r="BA227" s="1786"/>
      <c r="BB227" s="1786"/>
      <c r="BC227" s="1786"/>
      <c r="BD227" s="1786">
        <f>WORKDAY(BD4+1,-1)</f>
        <v>44561</v>
      </c>
      <c r="BE227" s="1786">
        <f>WORKDAY(BE4+1,-1)</f>
        <v>44925</v>
      </c>
      <c r="BF227" s="1787">
        <f>WORKDAY(BF4+1,-1)</f>
        <v>45289</v>
      </c>
      <c r="BG227" s="1786"/>
      <c r="BH227" s="1786"/>
      <c r="BI227" s="1786"/>
      <c r="BJ227" s="1786"/>
      <c r="BK227" s="1786"/>
      <c r="BL227" s="1515"/>
    </row>
    <row r="228" spans="1:64" s="1518" customFormat="1" ht="15" customHeight="1" outlineLevel="1" collapsed="1" x14ac:dyDescent="0.35">
      <c r="A228" s="1788" t="s">
        <v>1032</v>
      </c>
      <c r="B228" s="1667"/>
      <c r="C228" s="1788"/>
      <c r="D228" s="1788"/>
      <c r="E228" s="1788"/>
      <c r="F228" s="1788"/>
      <c r="G228" s="1788"/>
      <c r="H228" s="1788"/>
      <c r="I228" s="1788"/>
      <c r="J228" s="1788"/>
      <c r="K228" s="1788"/>
      <c r="L228" s="1788"/>
      <c r="M228" s="1788"/>
      <c r="N228" s="1788"/>
      <c r="O228" s="1788"/>
      <c r="P228" s="1788"/>
      <c r="Q228" s="1788"/>
      <c r="R228" s="1788"/>
      <c r="S228" s="1788"/>
      <c r="T228" s="1788"/>
      <c r="U228" s="1788"/>
      <c r="V228" s="1788"/>
      <c r="W228" s="1788"/>
      <c r="X228" s="1788"/>
      <c r="Y228" s="1788">
        <f t="shared" ref="Y228:AP228" si="110">Y411</f>
        <v>25.42</v>
      </c>
      <c r="Z228" s="1788">
        <f t="shared" si="110"/>
        <v>20.49</v>
      </c>
      <c r="AA228" s="1788">
        <f t="shared" si="110"/>
        <v>26.42</v>
      </c>
      <c r="AB228" s="1788">
        <f t="shared" si="110"/>
        <v>16.21</v>
      </c>
      <c r="AC228" s="1788">
        <f t="shared" si="110"/>
        <v>18.309999999999999</v>
      </c>
      <c r="AD228" s="1788">
        <f t="shared" si="110"/>
        <v>15.47</v>
      </c>
      <c r="AE228" s="1788">
        <f t="shared" si="110"/>
        <v>11.01</v>
      </c>
      <c r="AF228" s="1788">
        <f t="shared" si="110"/>
        <v>12.43</v>
      </c>
      <c r="AG228" s="1788">
        <f t="shared" si="110"/>
        <v>12.62</v>
      </c>
      <c r="AH228" s="1788">
        <f t="shared" si="110"/>
        <v>13.92</v>
      </c>
      <c r="AI228" s="1788">
        <f t="shared" si="110"/>
        <v>16.079999999999998</v>
      </c>
      <c r="AJ228" s="1789">
        <f t="shared" si="110"/>
        <v>14.8</v>
      </c>
      <c r="AK228" s="1788">
        <f t="shared" ca="1" si="110"/>
        <v>15.35</v>
      </c>
      <c r="AL228" s="1788">
        <f t="shared" ca="1" si="110"/>
        <v>15.35</v>
      </c>
      <c r="AM228" s="1788">
        <f t="shared" ca="1" si="110"/>
        <v>15.35</v>
      </c>
      <c r="AN228" s="1788">
        <f t="shared" ca="1" si="110"/>
        <v>15.35</v>
      </c>
      <c r="AO228" s="1788">
        <f t="shared" ca="1" si="110"/>
        <v>15.35</v>
      </c>
      <c r="AP228" s="1788">
        <f t="shared" ca="1" si="110"/>
        <v>15.35</v>
      </c>
      <c r="AQ228" s="1788"/>
      <c r="AR228" s="1790"/>
      <c r="AS228" s="1790"/>
      <c r="AT228" s="1790"/>
      <c r="AU228" s="1790"/>
      <c r="AV228" s="1790"/>
      <c r="AW228" s="1790"/>
      <c r="AX228" s="1790"/>
      <c r="AY228" s="1790"/>
      <c r="AZ228" s="1790"/>
      <c r="BA228" s="1790"/>
      <c r="BB228" s="1790"/>
      <c r="BC228" s="1790"/>
      <c r="BD228" s="1790">
        <f t="shared" ref="BD228:BK228" si="111">BD411</f>
        <v>20.49</v>
      </c>
      <c r="BE228" s="1790">
        <f t="shared" si="111"/>
        <v>15.47</v>
      </c>
      <c r="BF228" s="1791">
        <f t="shared" si="111"/>
        <v>13.92</v>
      </c>
      <c r="BG228" s="1790">
        <f t="shared" ca="1" si="111"/>
        <v>15.35</v>
      </c>
      <c r="BH228" s="1790">
        <f t="shared" ca="1" si="111"/>
        <v>15.35</v>
      </c>
      <c r="BI228" s="1790">
        <f t="shared" ca="1" si="111"/>
        <v>15.35</v>
      </c>
      <c r="BJ228" s="1790">
        <f t="shared" ca="1" si="111"/>
        <v>15.35</v>
      </c>
      <c r="BK228" s="1790">
        <f t="shared" ca="1" si="111"/>
        <v>15.35</v>
      </c>
      <c r="BL228" s="1515"/>
    </row>
    <row r="229" spans="1:64" s="1518" customFormat="1" ht="8.25" customHeight="1" outlineLevel="1" x14ac:dyDescent="0.35">
      <c r="A229" s="1788"/>
      <c r="B229" s="1667"/>
      <c r="C229" s="1788"/>
      <c r="D229" s="1788"/>
      <c r="E229" s="1788"/>
      <c r="F229" s="1788"/>
      <c r="G229" s="1788"/>
      <c r="H229" s="1788"/>
      <c r="I229" s="1788"/>
      <c r="J229" s="1788"/>
      <c r="K229" s="1788"/>
      <c r="L229" s="1788"/>
      <c r="M229" s="1788"/>
      <c r="N229" s="1788"/>
      <c r="O229" s="1788"/>
      <c r="P229" s="1788"/>
      <c r="Q229" s="1788"/>
      <c r="R229" s="1788"/>
      <c r="S229" s="1788"/>
      <c r="T229" s="1788"/>
      <c r="U229" s="1788"/>
      <c r="V229" s="1788"/>
      <c r="W229" s="1788"/>
      <c r="X229" s="1788"/>
      <c r="Y229" s="1788"/>
      <c r="Z229" s="1788"/>
      <c r="AA229" s="1788"/>
      <c r="AB229" s="1788"/>
      <c r="AC229" s="1788"/>
      <c r="AD229" s="1788"/>
      <c r="AE229" s="1788"/>
      <c r="AF229" s="1788"/>
      <c r="AG229" s="1788"/>
      <c r="AH229" s="1788"/>
      <c r="AI229" s="1788"/>
      <c r="AJ229" s="1789"/>
      <c r="AK229" s="1788"/>
      <c r="AL229" s="1788"/>
      <c r="AM229" s="1788"/>
      <c r="AN229" s="1788"/>
      <c r="AO229" s="1788"/>
      <c r="AP229" s="1788"/>
      <c r="AQ229" s="1788"/>
      <c r="AR229" s="1790"/>
      <c r="AS229" s="1790"/>
      <c r="AT229" s="1790"/>
      <c r="AU229" s="1790"/>
      <c r="AV229" s="1790"/>
      <c r="AW229" s="1790"/>
      <c r="AX229" s="1790"/>
      <c r="AY229" s="1790"/>
      <c r="AZ229" s="1790"/>
      <c r="BA229" s="1790"/>
      <c r="BB229" s="1790"/>
      <c r="BC229" s="1790"/>
      <c r="BD229" s="1790"/>
      <c r="BE229" s="1790"/>
      <c r="BF229" s="1791"/>
      <c r="BG229" s="1790"/>
      <c r="BH229" s="1790"/>
      <c r="BI229" s="1790"/>
      <c r="BJ229" s="1790"/>
      <c r="BK229" s="1790"/>
      <c r="BL229" s="1515"/>
    </row>
    <row r="230" spans="1:64" s="1518" customFormat="1" ht="15" customHeight="1" outlineLevel="1" x14ac:dyDescent="0.35">
      <c r="A230" s="1792" t="s">
        <v>1033</v>
      </c>
      <c r="B230" s="1716"/>
      <c r="C230" s="1515"/>
      <c r="D230" s="1515"/>
      <c r="E230" s="1515"/>
      <c r="F230" s="1515"/>
      <c r="G230" s="1515"/>
      <c r="H230" s="1515"/>
      <c r="I230" s="1515"/>
      <c r="J230" s="1515"/>
      <c r="K230" s="1515"/>
      <c r="L230" s="1515"/>
      <c r="M230" s="1515"/>
      <c r="N230" s="1515"/>
      <c r="O230" s="1515"/>
      <c r="P230" s="1515"/>
      <c r="Q230" s="1515"/>
      <c r="R230" s="1515"/>
      <c r="S230" s="1515"/>
      <c r="T230" s="1515"/>
      <c r="U230" s="1515"/>
      <c r="V230" s="1515"/>
      <c r="W230" s="1515"/>
      <c r="X230" s="1515"/>
      <c r="Y230" s="1593">
        <v>95.787779999999998</v>
      </c>
      <c r="Z230" s="1515">
        <f>BD230</f>
        <v>95.746975000000006</v>
      </c>
      <c r="AA230" s="1593">
        <v>96.289668000000006</v>
      </c>
      <c r="AB230" s="1593">
        <v>96.410267000000005</v>
      </c>
      <c r="AC230" s="1593">
        <v>96.655885999999995</v>
      </c>
      <c r="AD230" s="1515">
        <f>BE230</f>
        <v>96.717883</v>
      </c>
      <c r="AE230" s="1593">
        <v>98.085706000000002</v>
      </c>
      <c r="AF230" s="1593">
        <v>96.758662000000001</v>
      </c>
      <c r="AG230" s="1593">
        <v>95.045288999999997</v>
      </c>
      <c r="AH230" s="1517">
        <f>BF230</f>
        <v>93.194402999999994</v>
      </c>
      <c r="AI230" s="1593">
        <v>97.811676000000006</v>
      </c>
      <c r="AJ230" s="1594">
        <v>97.901747999999998</v>
      </c>
      <c r="AK230" s="1515">
        <f t="shared" ref="AK230:AP230" ca="1" si="112">AK232+AK231</f>
        <v>97.911035582599993</v>
      </c>
      <c r="AL230" s="1515">
        <f t="shared" ca="1" si="112"/>
        <v>97.920324093958257</v>
      </c>
      <c r="AM230" s="1515">
        <f t="shared" ca="1" si="112"/>
        <v>97.929613534167657</v>
      </c>
      <c r="AN230" s="1515">
        <f t="shared" ca="1" si="112"/>
        <v>97.938903903321076</v>
      </c>
      <c r="AO230" s="1515">
        <f t="shared" ca="1" si="112"/>
        <v>97.94819520151141</v>
      </c>
      <c r="AP230" s="1515">
        <f t="shared" ca="1" si="112"/>
        <v>97.957487428831556</v>
      </c>
      <c r="AQ230" s="1515"/>
      <c r="AR230" s="1595"/>
      <c r="AS230" s="1595"/>
      <c r="AT230" s="1595"/>
      <c r="AU230" s="1595"/>
      <c r="AV230" s="1595"/>
      <c r="AW230" s="1595"/>
      <c r="AX230" s="1595"/>
      <c r="AY230" s="1595"/>
      <c r="AZ230" s="1595"/>
      <c r="BA230" s="1595"/>
      <c r="BB230" s="1595"/>
      <c r="BC230" s="1595"/>
      <c r="BD230" s="1596">
        <v>95.746975000000006</v>
      </c>
      <c r="BE230" s="1596">
        <v>96.717883</v>
      </c>
      <c r="BF230" s="1597">
        <v>93.194402999999994</v>
      </c>
      <c r="BG230" s="1595">
        <f ca="1">BG232+BG231</f>
        <v>97.920324093958257</v>
      </c>
      <c r="BH230" s="1595">
        <f ca="1">BH232+BH231</f>
        <v>97.957487428831556</v>
      </c>
      <c r="BI230" s="1595">
        <f ca="1">BI232+BI231</f>
        <v>97.994660055003081</v>
      </c>
      <c r="BJ230" s="1595">
        <f ca="1">BJ232+BJ231</f>
        <v>98.031847550225081</v>
      </c>
      <c r="BK230" s="1595">
        <f ca="1">BK232+BK231</f>
        <v>98.069049920445167</v>
      </c>
      <c r="BL230" s="1515"/>
    </row>
    <row r="231" spans="1:64" s="1518" customFormat="1" ht="15" customHeight="1" outlineLevel="1" x14ac:dyDescent="0.35">
      <c r="A231" s="1679" t="str">
        <f>A338</f>
        <v>EoP Unvested Restricted Stock, mm shares</v>
      </c>
      <c r="B231" s="1738"/>
      <c r="C231" s="1681"/>
      <c r="D231" s="1681"/>
      <c r="E231" s="1681"/>
      <c r="F231" s="1681"/>
      <c r="G231" s="1681"/>
      <c r="H231" s="1681"/>
      <c r="I231" s="1681"/>
      <c r="J231" s="1681"/>
      <c r="K231" s="1681"/>
      <c r="L231" s="1681"/>
      <c r="M231" s="1681"/>
      <c r="N231" s="1681"/>
      <c r="O231" s="1681"/>
      <c r="P231" s="1681"/>
      <c r="Q231" s="1681"/>
      <c r="R231" s="1681"/>
      <c r="S231" s="1681"/>
      <c r="T231" s="1681"/>
      <c r="U231" s="1681"/>
      <c r="V231" s="1681"/>
      <c r="W231" s="1681"/>
      <c r="X231" s="1681"/>
      <c r="Y231" s="1741">
        <f t="shared" ref="Y231:AJ231" si="113">Y338</f>
        <v>1.824597</v>
      </c>
      <c r="Z231" s="1681">
        <f t="shared" si="113"/>
        <v>1.7797160000000001</v>
      </c>
      <c r="AA231" s="1681">
        <f t="shared" si="113"/>
        <v>2.312811</v>
      </c>
      <c r="AB231" s="1681">
        <f t="shared" si="113"/>
        <v>2.3551989999999998</v>
      </c>
      <c r="AC231" s="1681">
        <f t="shared" si="113"/>
        <v>2.32613</v>
      </c>
      <c r="AD231" s="1681">
        <f t="shared" si="113"/>
        <v>3.4219200000000001</v>
      </c>
      <c r="AE231" s="1681">
        <f t="shared" si="113"/>
        <v>5.2226359999999996</v>
      </c>
      <c r="AF231" s="1681">
        <f t="shared" si="113"/>
        <v>5.2212529999999999</v>
      </c>
      <c r="AG231" s="1681">
        <f t="shared" si="113"/>
        <v>4.5007590000000004</v>
      </c>
      <c r="AH231" s="1741">
        <f t="shared" si="113"/>
        <v>3.7962030000000002</v>
      </c>
      <c r="AI231" s="1681">
        <f t="shared" si="113"/>
        <v>5.0891120000000001</v>
      </c>
      <c r="AJ231" s="1682">
        <f t="shared" si="113"/>
        <v>5.0259219999999996</v>
      </c>
      <c r="AK231" s="1681">
        <f>AJ231</f>
        <v>5.0259219999999996</v>
      </c>
      <c r="AL231" s="1681">
        <f>AK231</f>
        <v>5.0259219999999996</v>
      </c>
      <c r="AM231" s="1681">
        <f>BG231</f>
        <v>5.0259219999999996</v>
      </c>
      <c r="AN231" s="1681">
        <f>AM231</f>
        <v>5.0259219999999996</v>
      </c>
      <c r="AO231" s="1681">
        <f>AN231</f>
        <v>5.0259219999999996</v>
      </c>
      <c r="AP231" s="1681">
        <f>AO231</f>
        <v>5.0259219999999996</v>
      </c>
      <c r="AQ231" s="1681"/>
      <c r="AR231" s="1683"/>
      <c r="AS231" s="1683"/>
      <c r="AT231" s="1683"/>
      <c r="AU231" s="1683"/>
      <c r="AV231" s="1683"/>
      <c r="AW231" s="1683"/>
      <c r="AX231" s="1683"/>
      <c r="AY231" s="1683"/>
      <c r="AZ231" s="1683"/>
      <c r="BA231" s="1683"/>
      <c r="BB231" s="1683"/>
      <c r="BC231" s="1683"/>
      <c r="BD231" s="1683">
        <f>BD338</f>
        <v>1.7797160000000001</v>
      </c>
      <c r="BE231" s="1683">
        <f>BE338</f>
        <v>3.4219200000000001</v>
      </c>
      <c r="BF231" s="1744">
        <f>BF338</f>
        <v>3.7962030000000002</v>
      </c>
      <c r="BG231" s="1683">
        <f>AL231</f>
        <v>5.0259219999999996</v>
      </c>
      <c r="BH231" s="1683">
        <f>AP231</f>
        <v>5.0259219999999996</v>
      </c>
      <c r="BI231" s="1683">
        <f>BH231</f>
        <v>5.0259219999999996</v>
      </c>
      <c r="BJ231" s="1683">
        <f>BI231</f>
        <v>5.0259219999999996</v>
      </c>
      <c r="BK231" s="1683">
        <f>BJ231</f>
        <v>5.0259219999999996</v>
      </c>
      <c r="BL231" s="1517"/>
    </row>
    <row r="232" spans="1:64" s="1518" customFormat="1" ht="15" customHeight="1" outlineLevel="1" x14ac:dyDescent="0.35">
      <c r="A232" s="1609" t="s">
        <v>1034</v>
      </c>
      <c r="B232" s="1716"/>
      <c r="C232" s="1515"/>
      <c r="D232" s="1515"/>
      <c r="E232" s="1515"/>
      <c r="F232" s="1515"/>
      <c r="G232" s="1515"/>
      <c r="H232" s="1515"/>
      <c r="I232" s="1515"/>
      <c r="J232" s="1515"/>
      <c r="K232" s="1515"/>
      <c r="L232" s="1515"/>
      <c r="M232" s="1515"/>
      <c r="N232" s="1515"/>
      <c r="O232" s="1515"/>
      <c r="P232" s="1515"/>
      <c r="Q232" s="1515"/>
      <c r="R232" s="1515"/>
      <c r="S232" s="1515"/>
      <c r="T232" s="1515"/>
      <c r="U232" s="1515"/>
      <c r="V232" s="1515"/>
      <c r="W232" s="1515"/>
      <c r="X232" s="1515"/>
      <c r="Y232" s="1515">
        <f t="shared" ref="Y232:AJ232" si="114">Y230-Y231</f>
        <v>93.963183000000001</v>
      </c>
      <c r="Z232" s="1515">
        <f t="shared" si="114"/>
        <v>93.967259000000013</v>
      </c>
      <c r="AA232" s="1515">
        <f t="shared" si="114"/>
        <v>93.97685700000001</v>
      </c>
      <c r="AB232" s="1515">
        <f t="shared" si="114"/>
        <v>94.055068000000006</v>
      </c>
      <c r="AC232" s="1515">
        <f t="shared" si="114"/>
        <v>94.329755999999989</v>
      </c>
      <c r="AD232" s="1515">
        <f t="shared" si="114"/>
        <v>93.295963</v>
      </c>
      <c r="AE232" s="1515">
        <f t="shared" si="114"/>
        <v>92.863070000000008</v>
      </c>
      <c r="AF232" s="1515">
        <f t="shared" si="114"/>
        <v>91.537408999999997</v>
      </c>
      <c r="AG232" s="1515">
        <f t="shared" si="114"/>
        <v>90.544529999999995</v>
      </c>
      <c r="AH232" s="1517">
        <f t="shared" si="114"/>
        <v>89.398199999999989</v>
      </c>
      <c r="AI232" s="1515">
        <f t="shared" si="114"/>
        <v>92.722564000000006</v>
      </c>
      <c r="AJ232" s="1516">
        <f t="shared" si="114"/>
        <v>92.875826000000004</v>
      </c>
      <c r="AK232" s="1515">
        <f ca="1">AJ232*(1+AK233)+AK366/(AK367/AK412)</f>
        <v>92.885113582599999</v>
      </c>
      <c r="AL232" s="1515">
        <f ca="1">AK232*(1+AL233)+AL366/(AL367/AL412)</f>
        <v>92.894402093958263</v>
      </c>
      <c r="AM232" s="1515">
        <f ca="1">BG232*(1+AM233)+AM366/(AM367/AM412)</f>
        <v>92.903691534167663</v>
      </c>
      <c r="AN232" s="1515">
        <f ca="1">AM232*(1+AN233)+AN366/(AN367/AN412)</f>
        <v>92.912981903321082</v>
      </c>
      <c r="AO232" s="1515">
        <f ca="1">AN232*(1+AO233)+AO366/(AO367/AO412)</f>
        <v>92.922273201511416</v>
      </c>
      <c r="AP232" s="1515">
        <f ca="1">AO232*(1+AP233)+AP366/(AP367/AP412)</f>
        <v>92.931565428831561</v>
      </c>
      <c r="AQ232" s="1515"/>
      <c r="AR232" s="1595"/>
      <c r="AS232" s="1595"/>
      <c r="AT232" s="1595"/>
      <c r="AU232" s="1595"/>
      <c r="AV232" s="1595"/>
      <c r="AW232" s="1595"/>
      <c r="AX232" s="1595"/>
      <c r="AY232" s="1595"/>
      <c r="AZ232" s="1595"/>
      <c r="BA232" s="1595"/>
      <c r="BB232" s="1595"/>
      <c r="BC232" s="1595"/>
      <c r="BD232" s="1595">
        <f>BD230-BD231</f>
        <v>93.967259000000013</v>
      </c>
      <c r="BE232" s="1595">
        <f>BE230-BE231</f>
        <v>93.295963</v>
      </c>
      <c r="BF232" s="1734">
        <f>BF230-BF231</f>
        <v>89.398199999999989</v>
      </c>
      <c r="BG232" s="1595">
        <f ca="1">AL232</f>
        <v>92.894402093958263</v>
      </c>
      <c r="BH232" s="1595">
        <f ca="1">AP232</f>
        <v>92.931565428831561</v>
      </c>
      <c r="BI232" s="1595">
        <f ca="1">BH232*(1+BI234)+BI366/(BI367/BI412)</f>
        <v>92.968738055003087</v>
      </c>
      <c r="BJ232" s="1595">
        <f ca="1">BI232*(1+BJ234)+BJ366/(BJ367/BJ412)</f>
        <v>93.005925550225086</v>
      </c>
      <c r="BK232" s="1595">
        <f ca="1">BJ232*(1+BK234)+BK366/(BK367/BK412)</f>
        <v>93.043127920445173</v>
      </c>
      <c r="BL232" s="1517"/>
    </row>
    <row r="233" spans="1:64" s="1518" customFormat="1" ht="15" customHeight="1" outlineLevel="1" x14ac:dyDescent="0.35">
      <c r="A233" s="1793" t="s">
        <v>1035</v>
      </c>
      <c r="B233" s="1746"/>
      <c r="C233" s="1638"/>
      <c r="D233" s="1638"/>
      <c r="E233" s="1638"/>
      <c r="F233" s="1638"/>
      <c r="G233" s="1638"/>
      <c r="H233" s="1638"/>
      <c r="I233" s="1638"/>
      <c r="J233" s="1638"/>
      <c r="K233" s="1638"/>
      <c r="L233" s="1638"/>
      <c r="M233" s="1638"/>
      <c r="N233" s="1638"/>
      <c r="O233" s="1638"/>
      <c r="P233" s="1638"/>
      <c r="Q233" s="1638"/>
      <c r="R233" s="1638"/>
      <c r="S233" s="1638"/>
      <c r="T233" s="1638"/>
      <c r="U233" s="1638"/>
      <c r="V233" s="1638"/>
      <c r="W233" s="1638"/>
      <c r="X233" s="1638"/>
      <c r="Y233" s="1638"/>
      <c r="Z233" s="1638"/>
      <c r="AA233" s="1638"/>
      <c r="AB233" s="1638"/>
      <c r="AC233" s="1638"/>
      <c r="AD233" s="1638"/>
      <c r="AE233" s="1638"/>
      <c r="AF233" s="1638"/>
      <c r="AG233" s="1638"/>
      <c r="AH233" s="1638"/>
      <c r="AI233" s="1638"/>
      <c r="AJ233" s="1639"/>
      <c r="AK233" s="1652">
        <v>1E-4</v>
      </c>
      <c r="AL233" s="1652">
        <v>1E-4</v>
      </c>
      <c r="AM233" s="1652">
        <v>1E-4</v>
      </c>
      <c r="AN233" s="1652">
        <v>1E-4</v>
      </c>
      <c r="AO233" s="1652">
        <v>1E-4</v>
      </c>
      <c r="AP233" s="1652">
        <v>1E-4</v>
      </c>
      <c r="AQ233" s="1653"/>
      <c r="AR233" s="1640"/>
      <c r="AS233" s="1640"/>
      <c r="AT233" s="1640"/>
      <c r="AU233" s="1640"/>
      <c r="AV233" s="1640"/>
      <c r="AW233" s="1640"/>
      <c r="AX233" s="1640"/>
      <c r="AY233" s="1640"/>
      <c r="AZ233" s="1640"/>
      <c r="BA233" s="1640"/>
      <c r="BB233" s="1640"/>
      <c r="BC233" s="1640"/>
      <c r="BD233" s="1640"/>
      <c r="BE233" s="1640"/>
      <c r="BF233" s="1641"/>
      <c r="BG233" s="1640"/>
      <c r="BH233" s="1640"/>
      <c r="BI233" s="1640"/>
      <c r="BJ233" s="1640"/>
      <c r="BK233" s="1640"/>
      <c r="BL233" s="1515"/>
    </row>
    <row r="234" spans="1:64" s="1518" customFormat="1" ht="15" customHeight="1" outlineLevel="1" x14ac:dyDescent="0.35">
      <c r="A234" s="1793" t="s">
        <v>1036</v>
      </c>
      <c r="B234" s="1746"/>
      <c r="C234" s="1638"/>
      <c r="D234" s="1638"/>
      <c r="E234" s="1638"/>
      <c r="F234" s="1638"/>
      <c r="G234" s="1638"/>
      <c r="H234" s="1638"/>
      <c r="I234" s="1638"/>
      <c r="J234" s="1638"/>
      <c r="K234" s="1638"/>
      <c r="L234" s="1638"/>
      <c r="M234" s="1638"/>
      <c r="N234" s="1638"/>
      <c r="O234" s="1638"/>
      <c r="P234" s="1638"/>
      <c r="Q234" s="1638"/>
      <c r="R234" s="1638"/>
      <c r="S234" s="1638"/>
      <c r="T234" s="1638"/>
      <c r="U234" s="1638"/>
      <c r="V234" s="1638"/>
      <c r="W234" s="1638"/>
      <c r="X234" s="1638"/>
      <c r="Y234" s="1638"/>
      <c r="Z234" s="1638"/>
      <c r="AA234" s="1638"/>
      <c r="AB234" s="1638"/>
      <c r="AC234" s="1638"/>
      <c r="AD234" s="1638"/>
      <c r="AE234" s="1638"/>
      <c r="AF234" s="1638"/>
      <c r="AG234" s="1638"/>
      <c r="AH234" s="1638"/>
      <c r="AI234" s="1638"/>
      <c r="AJ234" s="1639"/>
      <c r="AK234" s="1638"/>
      <c r="AL234" s="1638"/>
      <c r="AM234" s="1638"/>
      <c r="AN234" s="1638"/>
      <c r="AO234" s="1638"/>
      <c r="AP234" s="1638"/>
      <c r="AQ234" s="1638"/>
      <c r="AR234" s="1640"/>
      <c r="AS234" s="1640"/>
      <c r="AT234" s="1640"/>
      <c r="AU234" s="1640"/>
      <c r="AV234" s="1640"/>
      <c r="AW234" s="1640"/>
      <c r="AX234" s="1640"/>
      <c r="AY234" s="1640"/>
      <c r="AZ234" s="1640"/>
      <c r="BA234" s="1640"/>
      <c r="BB234" s="1640"/>
      <c r="BC234" s="1640"/>
      <c r="BD234" s="1640"/>
      <c r="BE234" s="1640"/>
      <c r="BF234" s="1641"/>
      <c r="BG234" s="1640"/>
      <c r="BH234" s="1640"/>
      <c r="BI234" s="1654">
        <v>4.0000000000000002E-4</v>
      </c>
      <c r="BJ234" s="1654">
        <v>4.0000000000000002E-4</v>
      </c>
      <c r="BK234" s="1654">
        <v>4.0000000000000002E-4</v>
      </c>
      <c r="BL234" s="1515"/>
    </row>
    <row r="235" spans="1:64" s="1518" customFormat="1" ht="15" hidden="1" customHeight="1" outlineLevel="2" x14ac:dyDescent="0.35">
      <c r="A235" s="1793" t="s">
        <v>1037</v>
      </c>
      <c r="B235" s="1746"/>
      <c r="C235" s="1638"/>
      <c r="D235" s="1638"/>
      <c r="E235" s="1638"/>
      <c r="F235" s="1638"/>
      <c r="G235" s="1638"/>
      <c r="H235" s="1638"/>
      <c r="I235" s="1638"/>
      <c r="J235" s="1638"/>
      <c r="K235" s="1638"/>
      <c r="L235" s="1638"/>
      <c r="M235" s="1638"/>
      <c r="N235" s="1638"/>
      <c r="O235" s="1638"/>
      <c r="P235" s="1638"/>
      <c r="Q235" s="1638"/>
      <c r="R235" s="1638"/>
      <c r="S235" s="1638"/>
      <c r="T235" s="1638"/>
      <c r="U235" s="1638"/>
      <c r="V235" s="1638"/>
      <c r="W235" s="1638"/>
      <c r="X235" s="1638"/>
      <c r="Y235" s="1638"/>
      <c r="Z235" s="1638"/>
      <c r="AA235" s="1638"/>
      <c r="AB235" s="1638"/>
      <c r="AC235" s="1638"/>
      <c r="AD235" s="1638"/>
      <c r="AE235" s="1638"/>
      <c r="AF235" s="1638"/>
      <c r="AG235" s="1638"/>
      <c r="AH235" s="1638"/>
      <c r="AI235" s="1638"/>
      <c r="AJ235" s="1639"/>
      <c r="AK235" s="1638">
        <f t="shared" ref="AK235:AP235" ca="1" si="115">AK366/(AK367/AK412)/AJ230</f>
        <v>0</v>
      </c>
      <c r="AL235" s="1638">
        <f t="shared" ca="1" si="115"/>
        <v>0</v>
      </c>
      <c r="AM235" s="1638">
        <f t="shared" ca="1" si="115"/>
        <v>0</v>
      </c>
      <c r="AN235" s="1638">
        <f t="shared" ca="1" si="115"/>
        <v>0</v>
      </c>
      <c r="AO235" s="1638">
        <f t="shared" ca="1" si="115"/>
        <v>0</v>
      </c>
      <c r="AP235" s="1638">
        <f t="shared" ca="1" si="115"/>
        <v>0</v>
      </c>
      <c r="AQ235" s="1638"/>
      <c r="AR235" s="1640"/>
      <c r="AS235" s="1640"/>
      <c r="AT235" s="1640"/>
      <c r="AU235" s="1640"/>
      <c r="AV235" s="1640"/>
      <c r="AW235" s="1640"/>
      <c r="AX235" s="1640"/>
      <c r="AY235" s="1640"/>
      <c r="AZ235" s="1640"/>
      <c r="BA235" s="1640"/>
      <c r="BB235" s="1640"/>
      <c r="BC235" s="1640"/>
      <c r="BD235" s="1640"/>
      <c r="BE235" s="1640"/>
      <c r="BF235" s="1641"/>
      <c r="BG235" s="1640"/>
      <c r="BH235" s="1640"/>
      <c r="BI235" s="1640"/>
      <c r="BJ235" s="1640"/>
      <c r="BK235" s="1640"/>
      <c r="BL235" s="1515"/>
    </row>
    <row r="236" spans="1:64" s="1518" customFormat="1" ht="15" hidden="1" customHeight="1" outlineLevel="2" x14ac:dyDescent="0.35">
      <c r="A236" s="1794" t="s">
        <v>1038</v>
      </c>
      <c r="B236" s="1795"/>
      <c r="C236" s="1796"/>
      <c r="D236" s="1796"/>
      <c r="E236" s="1796"/>
      <c r="F236" s="1796"/>
      <c r="G236" s="1796"/>
      <c r="H236" s="1796"/>
      <c r="I236" s="1796"/>
      <c r="J236" s="1796"/>
      <c r="K236" s="1796"/>
      <c r="L236" s="1796"/>
      <c r="M236" s="1796"/>
      <c r="N236" s="1796"/>
      <c r="O236" s="1796"/>
      <c r="P236" s="1796"/>
      <c r="Q236" s="1796"/>
      <c r="R236" s="1796"/>
      <c r="S236" s="1796"/>
      <c r="T236" s="1796"/>
      <c r="U236" s="1796"/>
      <c r="V236" s="1796"/>
      <c r="W236" s="1796"/>
      <c r="X236" s="1796"/>
      <c r="Y236" s="1796"/>
      <c r="Z236" s="1796"/>
      <c r="AA236" s="1796"/>
      <c r="AB236" s="1796"/>
      <c r="AC236" s="1796"/>
      <c r="AD236" s="1796"/>
      <c r="AE236" s="1796"/>
      <c r="AF236" s="1796"/>
      <c r="AG236" s="1796"/>
      <c r="AH236" s="1796"/>
      <c r="AI236" s="1796"/>
      <c r="AJ236" s="1797"/>
      <c r="AK236" s="1796"/>
      <c r="AL236" s="1796"/>
      <c r="AM236" s="1796"/>
      <c r="AN236" s="1796"/>
      <c r="AO236" s="1796"/>
      <c r="AP236" s="1796"/>
      <c r="AQ236" s="1796"/>
      <c r="AR236" s="1798"/>
      <c r="AS236" s="1798"/>
      <c r="AT236" s="1798"/>
      <c r="AU236" s="1798"/>
      <c r="AV236" s="1798"/>
      <c r="AW236" s="1798"/>
      <c r="AX236" s="1798"/>
      <c r="AY236" s="1798"/>
      <c r="AZ236" s="1798"/>
      <c r="BA236" s="1798"/>
      <c r="BB236" s="1798"/>
      <c r="BC236" s="1798"/>
      <c r="BD236" s="1798"/>
      <c r="BE236" s="1798"/>
      <c r="BF236" s="1799"/>
      <c r="BG236" s="1798"/>
      <c r="BH236" s="1798"/>
      <c r="BI236" s="1798">
        <f ca="1">BI366/(BI367/BI412)/BH230</f>
        <v>0</v>
      </c>
      <c r="BJ236" s="1798">
        <f ca="1">BJ366/(BJ367/BJ412)/BI230</f>
        <v>0</v>
      </c>
      <c r="BK236" s="1798">
        <f ca="1">BK366/(BK367/BK412)/BJ230</f>
        <v>0</v>
      </c>
      <c r="BL236" s="1515"/>
    </row>
    <row r="237" spans="1:64" s="1518" customFormat="1" ht="15" customHeight="1" outlineLevel="1" collapsed="1" x14ac:dyDescent="0.35">
      <c r="A237" s="1800" t="s">
        <v>1039</v>
      </c>
      <c r="B237" s="1746"/>
      <c r="C237" s="1638"/>
      <c r="D237" s="1638"/>
      <c r="E237" s="1638"/>
      <c r="F237" s="1638"/>
      <c r="G237" s="1638"/>
      <c r="H237" s="1638"/>
      <c r="I237" s="1638"/>
      <c r="J237" s="1638"/>
      <c r="K237" s="1638"/>
      <c r="L237" s="1638"/>
      <c r="M237" s="1638"/>
      <c r="N237" s="1638"/>
      <c r="O237" s="1638"/>
      <c r="P237" s="1638"/>
      <c r="Q237" s="1638"/>
      <c r="R237" s="1638"/>
      <c r="S237" s="1638"/>
      <c r="T237" s="1638"/>
      <c r="U237" s="1638"/>
      <c r="V237" s="1638"/>
      <c r="W237" s="1638"/>
      <c r="X237" s="1638"/>
      <c r="Y237" s="1638"/>
      <c r="Z237" s="1638">
        <f t="shared" ref="Z237:AP237" si="116">Z232/Y232-1</f>
        <v>4.3378692269335772E-5</v>
      </c>
      <c r="AA237" s="1638">
        <f t="shared" si="116"/>
        <v>1.0214195989255437E-4</v>
      </c>
      <c r="AB237" s="1638">
        <f t="shared" si="116"/>
        <v>8.3223681336774824E-4</v>
      </c>
      <c r="AC237" s="1638">
        <f t="shared" si="116"/>
        <v>2.9205018489804058E-3</v>
      </c>
      <c r="AD237" s="1638">
        <f t="shared" si="116"/>
        <v>-1.0959351999171862E-2</v>
      </c>
      <c r="AE237" s="1638">
        <f t="shared" si="116"/>
        <v>-4.639997123991213E-3</v>
      </c>
      <c r="AF237" s="1638">
        <f t="shared" si="116"/>
        <v>-1.4275438018579556E-2</v>
      </c>
      <c r="AG237" s="1638">
        <f t="shared" si="116"/>
        <v>-1.0846702029768007E-2</v>
      </c>
      <c r="AH237" s="1638">
        <f t="shared" si="116"/>
        <v>-1.266040035770255E-2</v>
      </c>
      <c r="AI237" s="1638">
        <f t="shared" si="116"/>
        <v>3.7186028354038614E-2</v>
      </c>
      <c r="AJ237" s="1639">
        <f t="shared" si="116"/>
        <v>1.6529094255848253E-3</v>
      </c>
      <c r="AK237" s="1638">
        <f t="shared" ca="1" si="116"/>
        <v>9.9999999999988987E-5</v>
      </c>
      <c r="AL237" s="1638">
        <f t="shared" ca="1" si="116"/>
        <v>9.9999999999988987E-5</v>
      </c>
      <c r="AM237" s="1638">
        <f t="shared" ca="1" si="116"/>
        <v>9.9999999999988987E-5</v>
      </c>
      <c r="AN237" s="1638">
        <f t="shared" ca="1" si="116"/>
        <v>9.9999999999988987E-5</v>
      </c>
      <c r="AO237" s="1638">
        <f t="shared" ca="1" si="116"/>
        <v>9.9999999999988987E-5</v>
      </c>
      <c r="AP237" s="1638">
        <f t="shared" ca="1" si="116"/>
        <v>9.9999999999988987E-5</v>
      </c>
      <c r="AQ237" s="1638"/>
      <c r="AR237" s="1640"/>
      <c r="AS237" s="1640"/>
      <c r="AT237" s="1640"/>
      <c r="AU237" s="1640"/>
      <c r="AV237" s="1640"/>
      <c r="AW237" s="1640"/>
      <c r="AX237" s="1640"/>
      <c r="AY237" s="1640"/>
      <c r="AZ237" s="1640"/>
      <c r="BA237" s="1640"/>
      <c r="BB237" s="1640"/>
      <c r="BC237" s="1640"/>
      <c r="BD237" s="1640"/>
      <c r="BE237" s="1640"/>
      <c r="BF237" s="1641"/>
      <c r="BG237" s="1640"/>
      <c r="BH237" s="1640"/>
      <c r="BI237" s="1640"/>
      <c r="BJ237" s="1640"/>
      <c r="BK237" s="1640"/>
      <c r="BL237" s="1515"/>
    </row>
    <row r="238" spans="1:64" s="1518" customFormat="1" ht="15" customHeight="1" outlineLevel="1" x14ac:dyDescent="0.35">
      <c r="A238" s="1800" t="s">
        <v>1040</v>
      </c>
      <c r="B238" s="1746"/>
      <c r="C238" s="1638"/>
      <c r="D238" s="1638"/>
      <c r="E238" s="1638"/>
      <c r="F238" s="1638"/>
      <c r="G238" s="1638"/>
      <c r="H238" s="1638"/>
      <c r="I238" s="1638"/>
      <c r="J238" s="1638"/>
      <c r="K238" s="1638"/>
      <c r="L238" s="1638"/>
      <c r="M238" s="1638"/>
      <c r="N238" s="1638"/>
      <c r="O238" s="1638"/>
      <c r="P238" s="1638"/>
      <c r="Q238" s="1638"/>
      <c r="R238" s="1638"/>
      <c r="S238" s="1638"/>
      <c r="T238" s="1638"/>
      <c r="U238" s="1638"/>
      <c r="V238" s="1638"/>
      <c r="W238" s="1638"/>
      <c r="X238" s="1638"/>
      <c r="Y238" s="1638"/>
      <c r="Z238" s="1638"/>
      <c r="AA238" s="1638"/>
      <c r="AB238" s="1638"/>
      <c r="AC238" s="1638">
        <f t="shared" ref="AC238:AP238" si="117">AC232/Y232-1</f>
        <v>3.9012407657581516E-3</v>
      </c>
      <c r="AD238" s="1638">
        <f t="shared" si="117"/>
        <v>-7.1439351019062514E-3</v>
      </c>
      <c r="AE238" s="1638">
        <f t="shared" si="117"/>
        <v>-1.1851715789984341E-2</v>
      </c>
      <c r="AF238" s="1638">
        <f t="shared" si="117"/>
        <v>-2.6767924935209297E-2</v>
      </c>
      <c r="AG238" s="1638">
        <f t="shared" si="117"/>
        <v>-4.0127592400429735E-2</v>
      </c>
      <c r="AH238" s="1638">
        <f t="shared" si="117"/>
        <v>-4.1778474380504638E-2</v>
      </c>
      <c r="AI238" s="1638">
        <f t="shared" si="117"/>
        <v>-1.5130449596378881E-3</v>
      </c>
      <c r="AJ238" s="1639">
        <f t="shared" si="117"/>
        <v>1.4621530307898478E-2</v>
      </c>
      <c r="AK238" s="1638">
        <f t="shared" ca="1" si="117"/>
        <v>2.58500826344783E-2</v>
      </c>
      <c r="AL238" s="1638">
        <f t="shared" ca="1" si="117"/>
        <v>3.9108193385977374E-2</v>
      </c>
      <c r="AM238" s="1638">
        <f t="shared" ca="1" si="117"/>
        <v>1.9534353490016088E-3</v>
      </c>
      <c r="AN238" s="1638">
        <f t="shared" ca="1" si="117"/>
        <v>4.0006000400016895E-4</v>
      </c>
      <c r="AO238" s="1638">
        <f t="shared" ca="1" si="117"/>
        <v>4.0006000400016895E-4</v>
      </c>
      <c r="AP238" s="1638">
        <f t="shared" ca="1" si="117"/>
        <v>4.0006000400016895E-4</v>
      </c>
      <c r="AQ238" s="1638"/>
      <c r="AR238" s="1640"/>
      <c r="AS238" s="1640"/>
      <c r="AT238" s="1640"/>
      <c r="AU238" s="1640"/>
      <c r="AV238" s="1640"/>
      <c r="AW238" s="1640"/>
      <c r="AX238" s="1640"/>
      <c r="AY238" s="1640"/>
      <c r="AZ238" s="1640"/>
      <c r="BA238" s="1640"/>
      <c r="BB238" s="1640"/>
      <c r="BC238" s="1640"/>
      <c r="BD238" s="1640"/>
      <c r="BE238" s="1640">
        <f t="shared" ref="BE238:BK238" si="118">BE232/BD232-1</f>
        <v>-7.1439351019062514E-3</v>
      </c>
      <c r="BF238" s="1641">
        <f t="shared" si="118"/>
        <v>-4.1778474380504638E-2</v>
      </c>
      <c r="BG238" s="1640">
        <f t="shared" ca="1" si="118"/>
        <v>3.9108193385977374E-2</v>
      </c>
      <c r="BH238" s="1640">
        <f t="shared" ca="1" si="118"/>
        <v>4.0006000400016895E-4</v>
      </c>
      <c r="BI238" s="1640">
        <f t="shared" ca="1" si="118"/>
        <v>3.9999999999995595E-4</v>
      </c>
      <c r="BJ238" s="1640">
        <f t="shared" ca="1" si="118"/>
        <v>3.9999999999995595E-4</v>
      </c>
      <c r="BK238" s="1640">
        <f t="shared" ca="1" si="118"/>
        <v>3.9999999999995595E-4</v>
      </c>
      <c r="BL238" s="1515"/>
    </row>
    <row r="239" spans="1:64" s="1518" customFormat="1" ht="15" customHeight="1" outlineLevel="1" x14ac:dyDescent="0.35">
      <c r="A239" s="1609"/>
      <c r="B239" s="1716"/>
      <c r="C239" s="1515"/>
      <c r="D239" s="1515"/>
      <c r="E239" s="1515"/>
      <c r="F239" s="1515"/>
      <c r="G239" s="1515"/>
      <c r="H239" s="1515"/>
      <c r="I239" s="1515"/>
      <c r="J239" s="1515"/>
      <c r="K239" s="1515"/>
      <c r="L239" s="1515"/>
      <c r="M239" s="1515"/>
      <c r="N239" s="1515"/>
      <c r="O239" s="1515"/>
      <c r="P239" s="1515"/>
      <c r="Q239" s="1515"/>
      <c r="R239" s="1515"/>
      <c r="S239" s="1515"/>
      <c r="T239" s="1515"/>
      <c r="U239" s="1515"/>
      <c r="V239" s="1515"/>
      <c r="W239" s="1515"/>
      <c r="X239" s="1515"/>
      <c r="Y239" s="1515"/>
      <c r="Z239" s="1515"/>
      <c r="AA239" s="1515"/>
      <c r="AB239" s="1515"/>
      <c r="AC239" s="1515"/>
      <c r="AD239" s="1515"/>
      <c r="AE239" s="1515"/>
      <c r="AF239" s="1515"/>
      <c r="AG239" s="1515"/>
      <c r="AH239" s="1515"/>
      <c r="AI239" s="1515"/>
      <c r="AJ239" s="1516"/>
      <c r="AK239" s="1515"/>
      <c r="AL239" s="1515"/>
      <c r="AM239" s="1515"/>
      <c r="AN239" s="1515"/>
      <c r="AO239" s="1515"/>
      <c r="AP239" s="1515"/>
      <c r="AQ239" s="1515"/>
      <c r="AR239" s="1595"/>
      <c r="AS239" s="1595"/>
      <c r="AT239" s="1595"/>
      <c r="AU239" s="1595"/>
      <c r="AV239" s="1595"/>
      <c r="AW239" s="1595"/>
      <c r="AX239" s="1595"/>
      <c r="AY239" s="1595"/>
      <c r="AZ239" s="1595"/>
      <c r="BA239" s="1595"/>
      <c r="BB239" s="1595"/>
      <c r="BC239" s="1595"/>
      <c r="BD239" s="1595"/>
      <c r="BE239" s="1595"/>
      <c r="BF239" s="1610"/>
      <c r="BG239" s="1595"/>
      <c r="BH239" s="1595"/>
      <c r="BI239" s="1595"/>
      <c r="BJ239" s="1595"/>
      <c r="BK239" s="1595"/>
      <c r="BL239" s="1517"/>
    </row>
    <row r="240" spans="1:64" s="1803" customFormat="1" ht="15" customHeight="1" outlineLevel="1" x14ac:dyDescent="0.35">
      <c r="A240" s="1792" t="s">
        <v>1041</v>
      </c>
      <c r="B240" s="1801"/>
      <c r="C240" s="1515"/>
      <c r="D240" s="1515"/>
      <c r="E240" s="1515"/>
      <c r="F240" s="1515"/>
      <c r="G240" s="1515"/>
      <c r="H240" s="1515"/>
      <c r="I240" s="1515"/>
      <c r="J240" s="1515"/>
      <c r="K240" s="1515"/>
      <c r="L240" s="1515"/>
      <c r="M240" s="1515"/>
      <c r="N240" s="1515"/>
      <c r="O240" s="1515"/>
      <c r="P240" s="1515"/>
      <c r="Q240" s="1515"/>
      <c r="R240" s="1515"/>
      <c r="S240" s="1515"/>
      <c r="T240" s="1515"/>
      <c r="U240" s="1515"/>
      <c r="V240" s="1515"/>
      <c r="W240" s="1515"/>
      <c r="X240" s="1515"/>
      <c r="Y240" s="1515">
        <f>IF(Y209&gt;0,(Y223-Y222),X240)</f>
        <v>0</v>
      </c>
      <c r="Z240" s="1515">
        <f>IF(Z209&gt;0,(Z223-Z222),Y240)</f>
        <v>5.7274659999999926</v>
      </c>
      <c r="AA240" s="1515">
        <f>IF(AA209&gt;0,(AA223-AA222),BD240)</f>
        <v>5.2186370000000011</v>
      </c>
      <c r="AB240" s="1515">
        <f>IF(AB209&gt;0,(AB223-AB222),AA240)</f>
        <v>5.3195929999999976</v>
      </c>
      <c r="AC240" s="1515">
        <f>IF(AC209&gt;0,(AC223-AC222),AB240)</f>
        <v>4.983830999999995</v>
      </c>
      <c r="AD240" s="1515">
        <f>IF(AD209&gt;0,(AD223-AD222),AC240)</f>
        <v>4.983830999999995</v>
      </c>
      <c r="AE240" s="1515">
        <f>IF(AE209&gt;0,(AE223-AE222),BE240)</f>
        <v>2.4728360000000009</v>
      </c>
      <c r="AF240" s="1515">
        <f>IF(AF209&gt;0,(AF223-AF222),AE240)</f>
        <v>1.7747650000000021</v>
      </c>
      <c r="AG240" s="1515">
        <f>IF(AG209&gt;0,(AG223-AG222),AF240)</f>
        <v>2.6796819999999997</v>
      </c>
      <c r="AH240" s="1515">
        <f>IF(AH209&gt;0,(AH223-AH222),AG240)</f>
        <v>2.6796819999999997</v>
      </c>
      <c r="AI240" s="1515">
        <f>IF(AI209&gt;0,(AI223-AI222),BF240)</f>
        <v>2.6796819999999997</v>
      </c>
      <c r="AJ240" s="1516">
        <f>IF(AJ209&gt;0,(AJ223-AJ222),AI240)</f>
        <v>2.6796819999999997</v>
      </c>
      <c r="AK240" s="1515">
        <f t="shared" ref="AK240:AP240" ca="1" si="119">AK232*AK241-AK232</f>
        <v>2.6843796827625397</v>
      </c>
      <c r="AL240" s="1515">
        <f t="shared" ca="1" si="119"/>
        <v>2.684648120730813</v>
      </c>
      <c r="AM240" s="1515">
        <f t="shared" ca="1" si="119"/>
        <v>2.6849165855428936</v>
      </c>
      <c r="AN240" s="1515">
        <f t="shared" ca="1" si="119"/>
        <v>2.6851850772014387</v>
      </c>
      <c r="AO240" s="1515">
        <f t="shared" ca="1" si="119"/>
        <v>2.6854535957091628</v>
      </c>
      <c r="AP240" s="1515">
        <f t="shared" ca="1" si="119"/>
        <v>2.6857221410687373</v>
      </c>
      <c r="AQ240" s="1515"/>
      <c r="AR240" s="1595"/>
      <c r="AS240" s="1595"/>
      <c r="AT240" s="1595"/>
      <c r="AU240" s="1595"/>
      <c r="AV240" s="1595"/>
      <c r="AW240" s="1595"/>
      <c r="AX240" s="1595"/>
      <c r="AY240" s="1595"/>
      <c r="AZ240" s="1595"/>
      <c r="BA240" s="1595"/>
      <c r="BB240" s="1595"/>
      <c r="BC240" s="1595"/>
      <c r="BD240" s="1595">
        <f>Z240</f>
        <v>5.7274659999999926</v>
      </c>
      <c r="BE240" s="1595">
        <f>AD240</f>
        <v>4.983830999999995</v>
      </c>
      <c r="BF240" s="1610">
        <f>AH240</f>
        <v>2.6796819999999997</v>
      </c>
      <c r="BG240" s="1595">
        <f ca="1">AL240</f>
        <v>2.684648120730813</v>
      </c>
      <c r="BH240" s="1595">
        <f ca="1">AP240</f>
        <v>2.6857221410687373</v>
      </c>
      <c r="BI240" s="1595">
        <f ca="1">BI232*BI241-BI232</f>
        <v>2.6867964299251526</v>
      </c>
      <c r="BJ240" s="1595">
        <f ca="1">BJ232*BJ241-BJ232</f>
        <v>2.6878711484971234</v>
      </c>
      <c r="BK240" s="1595">
        <f ca="1">BK232*BK241-BK232</f>
        <v>2.6889462969565301</v>
      </c>
      <c r="BL240" s="1802"/>
    </row>
    <row r="241" spans="1:64" s="1803" customFormat="1" ht="15" customHeight="1" outlineLevel="1" x14ac:dyDescent="0.35">
      <c r="A241" s="1793" t="s">
        <v>1042</v>
      </c>
      <c r="B241" s="1804"/>
      <c r="C241" s="1805"/>
      <c r="D241" s="1805"/>
      <c r="E241" s="1805"/>
      <c r="F241" s="1805"/>
      <c r="G241" s="1805"/>
      <c r="H241" s="1805"/>
      <c r="I241" s="1805"/>
      <c r="J241" s="1805"/>
      <c r="K241" s="1805"/>
      <c r="L241" s="1805"/>
      <c r="M241" s="1805"/>
      <c r="N241" s="1805"/>
      <c r="O241" s="1805"/>
      <c r="P241" s="1805"/>
      <c r="Q241" s="1805"/>
      <c r="R241" s="1805"/>
      <c r="S241" s="1805"/>
      <c r="T241" s="1805"/>
      <c r="U241" s="1805"/>
      <c r="V241" s="1805"/>
      <c r="W241" s="1805"/>
      <c r="X241" s="1805"/>
      <c r="Y241" s="1805">
        <f t="shared" ref="Y241:AJ241" si="120">(Y240+Y232)/Y232</f>
        <v>1</v>
      </c>
      <c r="Z241" s="1805">
        <f t="shared" si="120"/>
        <v>1.0609517193642946</v>
      </c>
      <c r="AA241" s="1805">
        <f t="shared" si="120"/>
        <v>1.0555310867653298</v>
      </c>
      <c r="AB241" s="1805">
        <f t="shared" si="120"/>
        <v>1.056558281367677</v>
      </c>
      <c r="AC241" s="1805">
        <f t="shared" si="120"/>
        <v>1.0528341343319068</v>
      </c>
      <c r="AD241" s="1805">
        <f t="shared" si="120"/>
        <v>1.053419578294079</v>
      </c>
      <c r="AE241" s="1805">
        <f t="shared" si="120"/>
        <v>1.0266288417990057</v>
      </c>
      <c r="AF241" s="1805">
        <f t="shared" si="120"/>
        <v>1.0193884120097829</v>
      </c>
      <c r="AG241" s="1805">
        <f t="shared" si="120"/>
        <v>1.0295951837178901</v>
      </c>
      <c r="AH241" s="1805">
        <f t="shared" si="120"/>
        <v>1.0299746751053154</v>
      </c>
      <c r="AI241" s="1805">
        <f t="shared" si="120"/>
        <v>1.0288999989258278</v>
      </c>
      <c r="AJ241" s="1806">
        <f t="shared" si="120"/>
        <v>1.0288523086728725</v>
      </c>
      <c r="AK241" s="1807">
        <v>1.0288999989258278</v>
      </c>
      <c r="AL241" s="1807">
        <v>1.0288999989258278</v>
      </c>
      <c r="AM241" s="1807">
        <v>1.0288999989258278</v>
      </c>
      <c r="AN241" s="1807">
        <v>1.0288999989258278</v>
      </c>
      <c r="AO241" s="1807">
        <v>1.0288999989258278</v>
      </c>
      <c r="AP241" s="1807">
        <v>1.0288999989258278</v>
      </c>
      <c r="AQ241" s="1808"/>
      <c r="AR241" s="1809"/>
      <c r="AS241" s="1809"/>
      <c r="AT241" s="1809"/>
      <c r="AU241" s="1809"/>
      <c r="AV241" s="1809"/>
      <c r="AW241" s="1809"/>
      <c r="AX241" s="1809"/>
      <c r="AY241" s="1809"/>
      <c r="AZ241" s="1809"/>
      <c r="BA241" s="1809"/>
      <c r="BB241" s="1809"/>
      <c r="BC241" s="1809"/>
      <c r="BD241" s="1809">
        <f>(BD240+BD232)/BD232</f>
        <v>1.0609517193642946</v>
      </c>
      <c r="BE241" s="1809">
        <f>(BE240+BE232)/BE232</f>
        <v>1.053419578294079</v>
      </c>
      <c r="BF241" s="1810">
        <f>(BF240+BF232)/BF232</f>
        <v>1.0299746751053154</v>
      </c>
      <c r="BG241" s="1809">
        <f ca="1">(BG240+BG232)/BG232</f>
        <v>1.0288999989258278</v>
      </c>
      <c r="BH241" s="1809">
        <f ca="1">(BH240+BH232)/BH232</f>
        <v>1.0288999989258278</v>
      </c>
      <c r="BI241" s="1811">
        <v>1.0288999989258278</v>
      </c>
      <c r="BJ241" s="1811">
        <v>1.0288999989258278</v>
      </c>
      <c r="BK241" s="1811">
        <v>1.0288999989258278</v>
      </c>
      <c r="BL241" s="1802"/>
    </row>
    <row r="242" spans="1:64" s="1803" customFormat="1" ht="15" customHeight="1" outlineLevel="1" x14ac:dyDescent="0.35">
      <c r="A242" s="1609"/>
      <c r="B242" s="1801"/>
      <c r="C242" s="1802"/>
      <c r="D242" s="1802"/>
      <c r="E242" s="1802"/>
      <c r="F242" s="1802"/>
      <c r="G242" s="1802"/>
      <c r="H242" s="1802"/>
      <c r="I242" s="1802"/>
      <c r="J242" s="1802"/>
      <c r="K242" s="1802"/>
      <c r="L242" s="1802"/>
      <c r="M242" s="1802"/>
      <c r="N242" s="1802"/>
      <c r="O242" s="1802"/>
      <c r="P242" s="1802"/>
      <c r="Q242" s="1802"/>
      <c r="R242" s="1802"/>
      <c r="S242" s="1802"/>
      <c r="T242" s="1802"/>
      <c r="U242" s="1802"/>
      <c r="V242" s="1802"/>
      <c r="W242" s="1802"/>
      <c r="X242" s="1802"/>
      <c r="Y242" s="1802"/>
      <c r="Z242" s="1802"/>
      <c r="AA242" s="1802"/>
      <c r="AB242" s="1802"/>
      <c r="AC242" s="1802"/>
      <c r="AD242" s="1802"/>
      <c r="AE242" s="1802"/>
      <c r="AF242" s="1802"/>
      <c r="AG242" s="1802"/>
      <c r="AH242" s="1802"/>
      <c r="AI242" s="1802"/>
      <c r="AJ242" s="1812"/>
      <c r="AK242" s="1802"/>
      <c r="AL242" s="1802"/>
      <c r="AM242" s="1802"/>
      <c r="AN242" s="1802"/>
      <c r="AO242" s="1802"/>
      <c r="AP242" s="1802"/>
      <c r="AQ242" s="1802"/>
      <c r="AR242" s="1813"/>
      <c r="AS242" s="1813"/>
      <c r="AT242" s="1813"/>
      <c r="AU242" s="1813"/>
      <c r="AV242" s="1813"/>
      <c r="AW242" s="1813"/>
      <c r="AX242" s="1813"/>
      <c r="AY242" s="1813"/>
      <c r="AZ242" s="1813"/>
      <c r="BA242" s="1813"/>
      <c r="BB242" s="1813"/>
      <c r="BC242" s="1813"/>
      <c r="BD242" s="1813"/>
      <c r="BE242" s="1813"/>
      <c r="BF242" s="1814"/>
      <c r="BG242" s="1813"/>
      <c r="BH242" s="1813"/>
      <c r="BI242" s="1813"/>
      <c r="BJ242" s="1813"/>
      <c r="BK242" s="1813"/>
      <c r="BL242" s="1815"/>
    </row>
    <row r="243" spans="1:64" s="1803" customFormat="1" ht="15" customHeight="1" outlineLevel="1" x14ac:dyDescent="0.35">
      <c r="A243" s="1792" t="s">
        <v>1043</v>
      </c>
      <c r="B243" s="1801"/>
      <c r="C243" s="1515"/>
      <c r="D243" s="1515"/>
      <c r="E243" s="1515"/>
      <c r="F243" s="1515"/>
      <c r="G243" s="1515"/>
      <c r="H243" s="1515"/>
      <c r="I243" s="1515"/>
      <c r="J243" s="1515"/>
      <c r="K243" s="1515"/>
      <c r="L243" s="1515"/>
      <c r="M243" s="1515"/>
      <c r="N243" s="1515"/>
      <c r="O243" s="1515"/>
      <c r="P243" s="1515"/>
      <c r="Q243" s="1515"/>
      <c r="R243" s="1515"/>
      <c r="S243" s="1515"/>
      <c r="T243" s="1515"/>
      <c r="U243" s="1515"/>
      <c r="V243" s="1515"/>
      <c r="W243" s="1515"/>
      <c r="X243" s="1515"/>
      <c r="Y243" s="1515">
        <f t="shared" ref="Y243:AP243" si="121">Y232+Y240</f>
        <v>93.963183000000001</v>
      </c>
      <c r="Z243" s="1515">
        <f t="shared" si="121"/>
        <v>99.694725000000005</v>
      </c>
      <c r="AA243" s="1515">
        <f t="shared" si="121"/>
        <v>99.195494000000011</v>
      </c>
      <c r="AB243" s="1515">
        <f t="shared" si="121"/>
        <v>99.374661000000003</v>
      </c>
      <c r="AC243" s="1515">
        <f t="shared" si="121"/>
        <v>99.313586999999984</v>
      </c>
      <c r="AD243" s="1515">
        <f t="shared" si="121"/>
        <v>98.279793999999995</v>
      </c>
      <c r="AE243" s="1515">
        <f t="shared" si="121"/>
        <v>95.335906000000008</v>
      </c>
      <c r="AF243" s="1515">
        <f t="shared" si="121"/>
        <v>93.312173999999999</v>
      </c>
      <c r="AG243" s="1515">
        <f t="shared" si="121"/>
        <v>93.224211999999994</v>
      </c>
      <c r="AH243" s="1515">
        <f t="shared" si="121"/>
        <v>92.077881999999988</v>
      </c>
      <c r="AI243" s="1515">
        <f t="shared" si="121"/>
        <v>95.402246000000005</v>
      </c>
      <c r="AJ243" s="1516">
        <f t="shared" si="121"/>
        <v>95.555508000000003</v>
      </c>
      <c r="AK243" s="1515">
        <f t="shared" ca="1" si="121"/>
        <v>95.569493265362539</v>
      </c>
      <c r="AL243" s="1515">
        <f t="shared" ca="1" si="121"/>
        <v>95.579050214689076</v>
      </c>
      <c r="AM243" s="1515">
        <f t="shared" ca="1" si="121"/>
        <v>95.588608119710557</v>
      </c>
      <c r="AN243" s="1515">
        <f t="shared" ca="1" si="121"/>
        <v>95.598166980522521</v>
      </c>
      <c r="AO243" s="1515">
        <f t="shared" ca="1" si="121"/>
        <v>95.607726797220579</v>
      </c>
      <c r="AP243" s="1515">
        <f t="shared" ca="1" si="121"/>
        <v>95.617287569900299</v>
      </c>
      <c r="AQ243" s="1515"/>
      <c r="AR243" s="1595"/>
      <c r="AS243" s="1595"/>
      <c r="AT243" s="1595"/>
      <c r="AU243" s="1595"/>
      <c r="AV243" s="1595"/>
      <c r="AW243" s="1595"/>
      <c r="AX243" s="1595"/>
      <c r="AY243" s="1595"/>
      <c r="AZ243" s="1595"/>
      <c r="BA243" s="1595"/>
      <c r="BB243" s="1595"/>
      <c r="BC243" s="1595"/>
      <c r="BD243" s="1595">
        <f t="shared" ref="BD243:BK243" si="122">BD232+BD240</f>
        <v>99.694725000000005</v>
      </c>
      <c r="BE243" s="1595">
        <f t="shared" si="122"/>
        <v>98.279793999999995</v>
      </c>
      <c r="BF243" s="1610">
        <f t="shared" si="122"/>
        <v>92.077881999999988</v>
      </c>
      <c r="BG243" s="1595">
        <f t="shared" ca="1" si="122"/>
        <v>95.579050214689076</v>
      </c>
      <c r="BH243" s="1595">
        <f t="shared" ca="1" si="122"/>
        <v>95.617287569900299</v>
      </c>
      <c r="BI243" s="1595">
        <f t="shared" ca="1" si="122"/>
        <v>95.655534484928239</v>
      </c>
      <c r="BJ243" s="1595">
        <f t="shared" ca="1" si="122"/>
        <v>95.69379669872221</v>
      </c>
      <c r="BK243" s="1595">
        <f t="shared" ca="1" si="122"/>
        <v>95.732074217401703</v>
      </c>
      <c r="BL243" s="1802"/>
    </row>
    <row r="244" spans="1:64" s="1803" customFormat="1" ht="15" customHeight="1" outlineLevel="1" x14ac:dyDescent="0.35">
      <c r="A244" s="1792"/>
      <c r="B244" s="1801"/>
      <c r="C244" s="1515"/>
      <c r="D244" s="1515"/>
      <c r="E244" s="1515"/>
      <c r="F244" s="1515"/>
      <c r="G244" s="1515"/>
      <c r="H244" s="1515"/>
      <c r="I244" s="1515"/>
      <c r="J244" s="1515"/>
      <c r="K244" s="1515"/>
      <c r="L244" s="1515"/>
      <c r="M244" s="1515"/>
      <c r="N244" s="1515"/>
      <c r="O244" s="1515"/>
      <c r="P244" s="1515"/>
      <c r="Q244" s="1515"/>
      <c r="R244" s="1515"/>
      <c r="S244" s="1515"/>
      <c r="T244" s="1515"/>
      <c r="U244" s="1515"/>
      <c r="V244" s="1515"/>
      <c r="W244" s="1515"/>
      <c r="X244" s="1515"/>
      <c r="Y244" s="1515"/>
      <c r="Z244" s="1515"/>
      <c r="AA244" s="1515"/>
      <c r="AB244" s="1515"/>
      <c r="AC244" s="1515"/>
      <c r="AD244" s="1515"/>
      <c r="AE244" s="1515"/>
      <c r="AF244" s="1515"/>
      <c r="AG244" s="1515"/>
      <c r="AH244" s="1515"/>
      <c r="AI244" s="1515"/>
      <c r="AJ244" s="1516"/>
      <c r="AK244" s="1515"/>
      <c r="AL244" s="1515"/>
      <c r="AM244" s="1515"/>
      <c r="AN244" s="1515"/>
      <c r="AO244" s="1515"/>
      <c r="AP244" s="1515"/>
      <c r="AQ244" s="1515"/>
      <c r="AR244" s="1595"/>
      <c r="AS244" s="1595"/>
      <c r="AT244" s="1595"/>
      <c r="AU244" s="1595"/>
      <c r="AV244" s="1595"/>
      <c r="AW244" s="1595"/>
      <c r="AX244" s="1595"/>
      <c r="AY244" s="1595"/>
      <c r="AZ244" s="1595"/>
      <c r="BA244" s="1595"/>
      <c r="BB244" s="1595"/>
      <c r="BC244" s="1595"/>
      <c r="BD244" s="1595"/>
      <c r="BE244" s="1595"/>
      <c r="BF244" s="1610"/>
      <c r="BG244" s="1595"/>
      <c r="BH244" s="1595"/>
      <c r="BI244" s="1595"/>
      <c r="BJ244" s="1595"/>
      <c r="BK244" s="1595"/>
      <c r="BL244" s="1802"/>
    </row>
    <row r="245" spans="1:64" s="1518" customFormat="1" ht="15" hidden="1" customHeight="1" outlineLevel="3" x14ac:dyDescent="0.35">
      <c r="A245" s="1678" t="s">
        <v>1044</v>
      </c>
      <c r="B245" s="1716"/>
      <c r="C245" s="1515"/>
      <c r="D245" s="1515"/>
      <c r="E245" s="1515"/>
      <c r="F245" s="1515"/>
      <c r="G245" s="1515"/>
      <c r="H245" s="1515"/>
      <c r="I245" s="1515"/>
      <c r="J245" s="1515"/>
      <c r="K245" s="1515"/>
      <c r="L245" s="1515"/>
      <c r="M245" s="1515"/>
      <c r="N245" s="1515"/>
      <c r="O245" s="1515"/>
      <c r="P245" s="1515"/>
      <c r="Q245" s="1515"/>
      <c r="R245" s="1515"/>
      <c r="S245" s="1515"/>
      <c r="T245" s="1515"/>
      <c r="U245" s="1515"/>
      <c r="V245" s="1515"/>
      <c r="W245" s="1515"/>
      <c r="X245" s="1515"/>
      <c r="Y245" s="1593">
        <v>6.2892479999999997</v>
      </c>
      <c r="Z245" s="1515">
        <f>Y245</f>
        <v>6.2892479999999997</v>
      </c>
      <c r="AA245" s="1515">
        <f>BD249</f>
        <v>6.4509780000000001</v>
      </c>
      <c r="AB245" s="1515">
        <f>AA245</f>
        <v>6.4509780000000001</v>
      </c>
      <c r="AC245" s="1515">
        <f>AB245</f>
        <v>6.4509780000000001</v>
      </c>
      <c r="AD245" s="1515">
        <f>AC245</f>
        <v>6.4509780000000001</v>
      </c>
      <c r="AE245" s="1515">
        <f>BE249</f>
        <v>6.2082740000000003</v>
      </c>
      <c r="AF245" s="1515">
        <f>AE245</f>
        <v>6.2082740000000003</v>
      </c>
      <c r="AG245" s="1515">
        <f>AF245</f>
        <v>6.2082740000000003</v>
      </c>
      <c r="AH245" s="1515">
        <f>AG245</f>
        <v>6.2082740000000003</v>
      </c>
      <c r="AI245" s="1515">
        <f>BF249</f>
        <v>5.6357420000000005</v>
      </c>
      <c r="AJ245" s="1516">
        <f>AI245</f>
        <v>5.6357420000000005</v>
      </c>
      <c r="AK245" s="1515"/>
      <c r="AL245" s="1515"/>
      <c r="AM245" s="1515"/>
      <c r="AN245" s="1515"/>
      <c r="AO245" s="1515"/>
      <c r="AP245" s="1515"/>
      <c r="AQ245" s="1515"/>
      <c r="AR245" s="1595"/>
      <c r="AS245" s="1595"/>
      <c r="AT245" s="1595"/>
      <c r="AU245" s="1595"/>
      <c r="AV245" s="1595"/>
      <c r="AW245" s="1595"/>
      <c r="AX245" s="1595"/>
      <c r="AY245" s="1595"/>
      <c r="AZ245" s="1595"/>
      <c r="BA245" s="1595"/>
      <c r="BB245" s="1595"/>
      <c r="BC245" s="1595"/>
      <c r="BD245" s="1596">
        <v>6.2895000000000003</v>
      </c>
      <c r="BE245" s="1595">
        <f>AD245</f>
        <v>6.4509780000000001</v>
      </c>
      <c r="BF245" s="1610">
        <f>AH245</f>
        <v>6.2082740000000003</v>
      </c>
      <c r="BG245" s="1595"/>
      <c r="BH245" s="1595"/>
      <c r="BI245" s="1595"/>
      <c r="BJ245" s="1595"/>
      <c r="BK245" s="1595"/>
      <c r="BL245" s="1515"/>
    </row>
    <row r="246" spans="1:64" s="1518" customFormat="1" ht="15" hidden="1" customHeight="1" outlineLevel="3" x14ac:dyDescent="0.35">
      <c r="A246" s="1816" t="s">
        <v>1045</v>
      </c>
      <c r="B246" s="1716"/>
      <c r="C246" s="1515"/>
      <c r="D246" s="1515"/>
      <c r="E246" s="1515"/>
      <c r="F246" s="1515"/>
      <c r="G246" s="1515"/>
      <c r="H246" s="1515"/>
      <c r="I246" s="1515"/>
      <c r="J246" s="1515"/>
      <c r="K246" s="1515"/>
      <c r="L246" s="1515"/>
      <c r="M246" s="1515"/>
      <c r="N246" s="1515"/>
      <c r="O246" s="1515"/>
      <c r="P246" s="1515"/>
      <c r="Q246" s="1515"/>
      <c r="R246" s="1515"/>
      <c r="S246" s="1515"/>
      <c r="T246" s="1515"/>
      <c r="U246" s="1515"/>
      <c r="V246" s="1515"/>
      <c r="W246" s="1515"/>
      <c r="X246" s="1515"/>
      <c r="Y246" s="1593">
        <v>0.316272</v>
      </c>
      <c r="Z246" s="1515">
        <f>BD246</f>
        <v>0.316272</v>
      </c>
      <c r="AA246" s="1515"/>
      <c r="AB246" s="1515"/>
      <c r="AC246" s="1515"/>
      <c r="AD246" s="1515">
        <f>BE246</f>
        <v>0</v>
      </c>
      <c r="AE246" s="1515"/>
      <c r="AF246" s="1515"/>
      <c r="AG246" s="1515"/>
      <c r="AH246" s="1515">
        <f>BF246</f>
        <v>0</v>
      </c>
      <c r="AI246" s="1515"/>
      <c r="AJ246" s="1516"/>
      <c r="AK246" s="1515"/>
      <c r="AL246" s="1515"/>
      <c r="AM246" s="1515"/>
      <c r="AN246" s="1515"/>
      <c r="AO246" s="1515"/>
      <c r="AP246" s="1515"/>
      <c r="AQ246" s="1515"/>
      <c r="AR246" s="1595"/>
      <c r="AS246" s="1595"/>
      <c r="AT246" s="1595"/>
      <c r="AU246" s="1595"/>
      <c r="AV246" s="1595"/>
      <c r="AW246" s="1595"/>
      <c r="AX246" s="1595"/>
      <c r="AY246" s="1595"/>
      <c r="AZ246" s="1595"/>
      <c r="BA246" s="1595"/>
      <c r="BB246" s="1595"/>
      <c r="BC246" s="1595"/>
      <c r="BD246" s="1596">
        <v>0.316272</v>
      </c>
      <c r="BE246" s="1596">
        <v>0</v>
      </c>
      <c r="BF246" s="1610"/>
      <c r="BG246" s="1595"/>
      <c r="BH246" s="1595"/>
      <c r="BI246" s="1595"/>
      <c r="BJ246" s="1595"/>
      <c r="BK246" s="1595"/>
      <c r="BL246" s="1515"/>
    </row>
    <row r="247" spans="1:64" s="1518" customFormat="1" ht="15" hidden="1" customHeight="1" outlineLevel="3" x14ac:dyDescent="0.35">
      <c r="A247" s="1816" t="s">
        <v>1046</v>
      </c>
      <c r="B247" s="1716"/>
      <c r="C247" s="1515"/>
      <c r="D247" s="1515"/>
      <c r="E247" s="1515"/>
      <c r="F247" s="1515"/>
      <c r="G247" s="1515"/>
      <c r="H247" s="1515"/>
      <c r="I247" s="1515"/>
      <c r="J247" s="1515"/>
      <c r="K247" s="1515"/>
      <c r="L247" s="1515"/>
      <c r="M247" s="1515"/>
      <c r="N247" s="1515"/>
      <c r="O247" s="1515"/>
      <c r="P247" s="1515"/>
      <c r="Q247" s="1515"/>
      <c r="R247" s="1515"/>
      <c r="S247" s="1515"/>
      <c r="T247" s="1515"/>
      <c r="U247" s="1515"/>
      <c r="V247" s="1515"/>
      <c r="W247" s="1515"/>
      <c r="X247" s="1515"/>
      <c r="Y247" s="1593">
        <v>-5.9899999999999997E-3</v>
      </c>
      <c r="Z247" s="1515">
        <f>BD247</f>
        <v>-5.9899999999999997E-3</v>
      </c>
      <c r="AA247" s="1593">
        <v>-8.4860000000000005E-3</v>
      </c>
      <c r="AB247" s="1593">
        <v>-6.991E-2</v>
      </c>
      <c r="AC247" s="1593">
        <v>-0.22925999999999999</v>
      </c>
      <c r="AD247" s="1515">
        <f>BE247</f>
        <v>-0.242704</v>
      </c>
      <c r="AE247" s="1515"/>
      <c r="AF247" s="1593">
        <v>-6.3336000000000003E-2</v>
      </c>
      <c r="AG247" s="1593">
        <v>-0.213783</v>
      </c>
      <c r="AH247" s="1515">
        <f>BF247</f>
        <v>-0.57253200000000004</v>
      </c>
      <c r="AI247" s="1593">
        <v>-1.5559769999999999</v>
      </c>
      <c r="AJ247" s="1594">
        <v>-1.600166</v>
      </c>
      <c r="AK247" s="1515"/>
      <c r="AL247" s="1515"/>
      <c r="AM247" s="1515"/>
      <c r="AN247" s="1515"/>
      <c r="AO247" s="1515"/>
      <c r="AP247" s="1515"/>
      <c r="AQ247" s="1515"/>
      <c r="AR247" s="1595"/>
      <c r="AS247" s="1595"/>
      <c r="AT247" s="1595"/>
      <c r="AU247" s="1595"/>
      <c r="AV247" s="1595"/>
      <c r="AW247" s="1595"/>
      <c r="AX247" s="1595"/>
      <c r="AY247" s="1595"/>
      <c r="AZ247" s="1595"/>
      <c r="BA247" s="1595"/>
      <c r="BB247" s="1595"/>
      <c r="BC247" s="1595"/>
      <c r="BD247" s="1596">
        <v>-5.9899999999999997E-3</v>
      </c>
      <c r="BE247" s="1596">
        <v>-0.242704</v>
      </c>
      <c r="BF247" s="1597">
        <v>-0.57253200000000004</v>
      </c>
      <c r="BG247" s="1595"/>
      <c r="BH247" s="1595"/>
      <c r="BI247" s="1595"/>
      <c r="BJ247" s="1595"/>
      <c r="BK247" s="1595"/>
      <c r="BL247" s="1515"/>
    </row>
    <row r="248" spans="1:64" s="1518" customFormat="1" ht="15" hidden="1" customHeight="1" outlineLevel="3" x14ac:dyDescent="0.35">
      <c r="A248" s="1816" t="s">
        <v>1047</v>
      </c>
      <c r="B248" s="1716"/>
      <c r="C248" s="1515"/>
      <c r="D248" s="1515"/>
      <c r="E248" s="1515"/>
      <c r="F248" s="1515"/>
      <c r="G248" s="1515"/>
      <c r="H248" s="1515"/>
      <c r="I248" s="1515"/>
      <c r="J248" s="1515"/>
      <c r="K248" s="1515"/>
      <c r="L248" s="1515"/>
      <c r="M248" s="1515"/>
      <c r="N248" s="1515"/>
      <c r="O248" s="1515"/>
      <c r="P248" s="1515"/>
      <c r="Q248" s="1515"/>
      <c r="R248" s="1515"/>
      <c r="S248" s="1515"/>
      <c r="T248" s="1515"/>
      <c r="U248" s="1515"/>
      <c r="V248" s="1515"/>
      <c r="W248" s="1515"/>
      <c r="X248" s="1515"/>
      <c r="Y248" s="1593">
        <v>-0.14855199999999999</v>
      </c>
      <c r="Z248" s="1515">
        <f>BD248</f>
        <v>-0.14880399999999999</v>
      </c>
      <c r="AA248" s="1515"/>
      <c r="AB248" s="1515"/>
      <c r="AC248" s="1515"/>
      <c r="AD248" s="1515">
        <f>BE248</f>
        <v>0</v>
      </c>
      <c r="AE248" s="1515"/>
      <c r="AF248" s="1515"/>
      <c r="AG248" s="1515"/>
      <c r="AH248" s="1515">
        <f>BF248</f>
        <v>0</v>
      </c>
      <c r="AI248" s="1593">
        <v>-1.797E-2</v>
      </c>
      <c r="AJ248" s="1594">
        <v>-7.7869999999999995E-2</v>
      </c>
      <c r="AK248" s="1515"/>
      <c r="AL248" s="1515"/>
      <c r="AM248" s="1515"/>
      <c r="AN248" s="1515"/>
      <c r="AO248" s="1515"/>
      <c r="AP248" s="1515"/>
      <c r="AQ248" s="1515"/>
      <c r="AR248" s="1595"/>
      <c r="AS248" s="1595"/>
      <c r="AT248" s="1595"/>
      <c r="AU248" s="1595"/>
      <c r="AV248" s="1595"/>
      <c r="AW248" s="1595"/>
      <c r="AX248" s="1595"/>
      <c r="AY248" s="1595"/>
      <c r="AZ248" s="1595"/>
      <c r="BA248" s="1595"/>
      <c r="BB248" s="1595"/>
      <c r="BC248" s="1595"/>
      <c r="BD248" s="1596">
        <v>-0.14880399999999999</v>
      </c>
      <c r="BE248" s="1596">
        <v>0</v>
      </c>
      <c r="BF248" s="1610"/>
      <c r="BG248" s="1595"/>
      <c r="BH248" s="1595"/>
      <c r="BI248" s="1595"/>
      <c r="BJ248" s="1595"/>
      <c r="BK248" s="1595"/>
      <c r="BL248" s="1515"/>
    </row>
    <row r="249" spans="1:64" s="1518" customFormat="1" ht="15" hidden="1" customHeight="1" outlineLevel="3" x14ac:dyDescent="0.35">
      <c r="A249" s="1817" t="s">
        <v>1048</v>
      </c>
      <c r="B249" s="1818"/>
      <c r="C249" s="1819"/>
      <c r="D249" s="1819"/>
      <c r="E249" s="1819"/>
      <c r="F249" s="1819"/>
      <c r="G249" s="1819"/>
      <c r="H249" s="1819"/>
      <c r="I249" s="1819"/>
      <c r="J249" s="1819"/>
      <c r="K249" s="1819"/>
      <c r="L249" s="1819"/>
      <c r="M249" s="1819"/>
      <c r="N249" s="1819"/>
      <c r="O249" s="1819"/>
      <c r="P249" s="1819"/>
      <c r="Q249" s="1819"/>
      <c r="R249" s="1819"/>
      <c r="S249" s="1819"/>
      <c r="T249" s="1819"/>
      <c r="U249" s="1819"/>
      <c r="V249" s="1819"/>
      <c r="W249" s="1819"/>
      <c r="X249" s="1819"/>
      <c r="Y249" s="1819">
        <f t="shared" ref="Y249:AJ249" si="123">Y245+Y246+Y247+Y248</f>
        <v>6.4509780000000001</v>
      </c>
      <c r="Z249" s="1819">
        <f t="shared" si="123"/>
        <v>6.4507259999999995</v>
      </c>
      <c r="AA249" s="1819">
        <f t="shared" si="123"/>
        <v>6.4424919999999997</v>
      </c>
      <c r="AB249" s="1819">
        <f t="shared" si="123"/>
        <v>6.381068</v>
      </c>
      <c r="AC249" s="1819">
        <f t="shared" si="123"/>
        <v>6.2217180000000001</v>
      </c>
      <c r="AD249" s="1819">
        <f t="shared" si="123"/>
        <v>6.2082740000000003</v>
      </c>
      <c r="AE249" s="1819">
        <f t="shared" si="123"/>
        <v>6.2082740000000003</v>
      </c>
      <c r="AF249" s="1819">
        <f t="shared" si="123"/>
        <v>6.1449380000000007</v>
      </c>
      <c r="AG249" s="1819">
        <f t="shared" si="123"/>
        <v>5.994491</v>
      </c>
      <c r="AH249" s="1819">
        <f t="shared" si="123"/>
        <v>5.6357420000000005</v>
      </c>
      <c r="AI249" s="1819">
        <f t="shared" si="123"/>
        <v>4.061795</v>
      </c>
      <c r="AJ249" s="1820">
        <f t="shared" si="123"/>
        <v>3.9577060000000008</v>
      </c>
      <c r="AK249" s="1819"/>
      <c r="AL249" s="1819"/>
      <c r="AM249" s="1819"/>
      <c r="AN249" s="1819"/>
      <c r="AO249" s="1819"/>
      <c r="AP249" s="1819"/>
      <c r="AQ249" s="1819"/>
      <c r="AR249" s="1821"/>
      <c r="AS249" s="1821"/>
      <c r="AT249" s="1821"/>
      <c r="AU249" s="1821"/>
      <c r="AV249" s="1821"/>
      <c r="AW249" s="1821"/>
      <c r="AX249" s="1821"/>
      <c r="AY249" s="1821"/>
      <c r="AZ249" s="1821"/>
      <c r="BA249" s="1821"/>
      <c r="BB249" s="1821"/>
      <c r="BC249" s="1821"/>
      <c r="BD249" s="1821">
        <f>BD245+BD246+BD247+BD248</f>
        <v>6.4509780000000001</v>
      </c>
      <c r="BE249" s="1821">
        <f>BE245+BE246+BE247+BE248</f>
        <v>6.2082740000000003</v>
      </c>
      <c r="BF249" s="1822">
        <f>BF245+BF246+BF247+BF248</f>
        <v>5.6357420000000005</v>
      </c>
      <c r="BG249" s="1821"/>
      <c r="BH249" s="1821"/>
      <c r="BI249" s="1821"/>
      <c r="BJ249" s="1821"/>
      <c r="BK249" s="1821"/>
      <c r="BL249" s="1515"/>
    </row>
    <row r="250" spans="1:64" s="1803" customFormat="1" ht="15" hidden="1" customHeight="1" outlineLevel="3" x14ac:dyDescent="0.35">
      <c r="A250" s="1609"/>
      <c r="B250" s="1716"/>
      <c r="C250" s="1515"/>
      <c r="D250" s="1515"/>
      <c r="E250" s="1515"/>
      <c r="F250" s="1515"/>
      <c r="G250" s="1515"/>
      <c r="H250" s="1515"/>
      <c r="I250" s="1515"/>
      <c r="J250" s="1515"/>
      <c r="K250" s="1515"/>
      <c r="L250" s="1515"/>
      <c r="M250" s="1515"/>
      <c r="N250" s="1515"/>
      <c r="O250" s="1515"/>
      <c r="P250" s="1515"/>
      <c r="Q250" s="1515"/>
      <c r="R250" s="1515"/>
      <c r="S250" s="1515"/>
      <c r="T250" s="1515"/>
      <c r="U250" s="1515"/>
      <c r="V250" s="1515"/>
      <c r="W250" s="1515"/>
      <c r="X250" s="1515"/>
      <c r="Y250" s="1515"/>
      <c r="Z250" s="1515"/>
      <c r="AA250" s="1515"/>
      <c r="AB250" s="1515"/>
      <c r="AC250" s="1515"/>
      <c r="AD250" s="1515"/>
      <c r="AE250" s="1515"/>
      <c r="AF250" s="1515"/>
      <c r="AG250" s="1515"/>
      <c r="AH250" s="1515"/>
      <c r="AI250" s="1515"/>
      <c r="AJ250" s="1516"/>
      <c r="AK250" s="1515"/>
      <c r="AL250" s="1515"/>
      <c r="AM250" s="1515"/>
      <c r="AN250" s="1515"/>
      <c r="AO250" s="1515"/>
      <c r="AP250" s="1515"/>
      <c r="AQ250" s="1515"/>
      <c r="AR250" s="1595"/>
      <c r="AS250" s="1595"/>
      <c r="AT250" s="1595"/>
      <c r="AU250" s="1595"/>
      <c r="AV250" s="1595"/>
      <c r="AW250" s="1595"/>
      <c r="AX250" s="1595"/>
      <c r="AY250" s="1595"/>
      <c r="AZ250" s="1595"/>
      <c r="BA250" s="1595"/>
      <c r="BB250" s="1595"/>
      <c r="BC250" s="1595"/>
      <c r="BD250" s="1595"/>
      <c r="BE250" s="1595"/>
      <c r="BF250" s="1610"/>
      <c r="BG250" s="1595"/>
      <c r="BH250" s="1595"/>
      <c r="BI250" s="1595"/>
      <c r="BJ250" s="1595"/>
      <c r="BK250" s="1595"/>
      <c r="BL250" s="1517"/>
    </row>
    <row r="251" spans="1:64" s="1803" customFormat="1" ht="15" hidden="1" customHeight="1" outlineLevel="3" x14ac:dyDescent="0.35">
      <c r="A251" s="1678" t="s">
        <v>1049</v>
      </c>
      <c r="B251" s="1716"/>
      <c r="C251" s="1515"/>
      <c r="D251" s="1515"/>
      <c r="E251" s="1515"/>
      <c r="F251" s="1515"/>
      <c r="G251" s="1515"/>
      <c r="H251" s="1515"/>
      <c r="I251" s="1515"/>
      <c r="J251" s="1515"/>
      <c r="K251" s="1515"/>
      <c r="L251" s="1515"/>
      <c r="M251" s="1515"/>
      <c r="N251" s="1515"/>
      <c r="O251" s="1515"/>
      <c r="P251" s="1515"/>
      <c r="Q251" s="1515"/>
      <c r="R251" s="1515"/>
      <c r="S251" s="1515"/>
      <c r="T251" s="1515"/>
      <c r="U251" s="1515"/>
      <c r="V251" s="1515"/>
      <c r="W251" s="1515"/>
      <c r="X251" s="1515"/>
      <c r="Y251" s="1515"/>
      <c r="Z251" s="1515">
        <f>Y255</f>
        <v>6.4509780000000001</v>
      </c>
      <c r="AA251" s="1515">
        <f>BD255</f>
        <v>6.4509780000000001</v>
      </c>
      <c r="AB251" s="1515">
        <f>AA255</f>
        <v>6.4424919999999997</v>
      </c>
      <c r="AC251" s="1515">
        <f>AB255</f>
        <v>6.381068</v>
      </c>
      <c r="AD251" s="1515">
        <f>AC255</f>
        <v>6.2217180000000001</v>
      </c>
      <c r="AE251" s="1515">
        <f>BE255</f>
        <v>6.2082740000000003</v>
      </c>
      <c r="AF251" s="1515">
        <f>AE255</f>
        <v>6.2082740000000003</v>
      </c>
      <c r="AG251" s="1515">
        <f>AF255</f>
        <v>6.1449380000000007</v>
      </c>
      <c r="AH251" s="1515">
        <f>AG255</f>
        <v>5.9944910000000009</v>
      </c>
      <c r="AI251" s="1515">
        <f>BF255</f>
        <v>5.6357420000000005</v>
      </c>
      <c r="AJ251" s="1516">
        <f>AI255</f>
        <v>4.061795</v>
      </c>
      <c r="AK251" s="1515"/>
      <c r="AL251" s="1515"/>
      <c r="AM251" s="1515"/>
      <c r="AN251" s="1515"/>
      <c r="AO251" s="1515"/>
      <c r="AP251" s="1515"/>
      <c r="AQ251" s="1515"/>
      <c r="AR251" s="1595"/>
      <c r="AS251" s="1595"/>
      <c r="AT251" s="1595"/>
      <c r="AU251" s="1595"/>
      <c r="AV251" s="1595"/>
      <c r="AW251" s="1595"/>
      <c r="AX251" s="1595"/>
      <c r="AY251" s="1595"/>
      <c r="AZ251" s="1595"/>
      <c r="BA251" s="1595"/>
      <c r="BB251" s="1595"/>
      <c r="BC251" s="1595"/>
      <c r="BD251" s="1595">
        <f>BD245</f>
        <v>6.2895000000000003</v>
      </c>
      <c r="BE251" s="1595">
        <f>BD255</f>
        <v>6.4509780000000001</v>
      </c>
      <c r="BF251" s="1610">
        <f>BE255</f>
        <v>6.2082740000000003</v>
      </c>
      <c r="BG251" s="1595"/>
      <c r="BH251" s="1595"/>
      <c r="BI251" s="1595"/>
      <c r="BJ251" s="1595"/>
      <c r="BK251" s="1595"/>
      <c r="BL251" s="1515"/>
    </row>
    <row r="252" spans="1:64" s="1803" customFormat="1" ht="15" hidden="1" customHeight="1" outlineLevel="3" x14ac:dyDescent="0.35">
      <c r="A252" s="1816" t="s">
        <v>1050</v>
      </c>
      <c r="B252" s="1716"/>
      <c r="C252" s="1515"/>
      <c r="D252" s="1515"/>
      <c r="E252" s="1515"/>
      <c r="F252" s="1515"/>
      <c r="G252" s="1515"/>
      <c r="H252" s="1515"/>
      <c r="I252" s="1515"/>
      <c r="J252" s="1515"/>
      <c r="K252" s="1515"/>
      <c r="L252" s="1515"/>
      <c r="M252" s="1515"/>
      <c r="N252" s="1515"/>
      <c r="O252" s="1515"/>
      <c r="P252" s="1515"/>
      <c r="Q252" s="1515"/>
      <c r="R252" s="1515"/>
      <c r="S252" s="1515"/>
      <c r="T252" s="1515"/>
      <c r="U252" s="1515"/>
      <c r="V252" s="1515"/>
      <c r="W252" s="1515"/>
      <c r="X252" s="1515"/>
      <c r="Y252" s="1515"/>
      <c r="Z252" s="1515">
        <f>Z246-Y246</f>
        <v>0</v>
      </c>
      <c r="AA252" s="1515">
        <f>AA246</f>
        <v>0</v>
      </c>
      <c r="AB252" s="1515">
        <f t="shared" ref="AB252:AD254" si="124">AB246-AA246</f>
        <v>0</v>
      </c>
      <c r="AC252" s="1515">
        <f t="shared" si="124"/>
        <v>0</v>
      </c>
      <c r="AD252" s="1515">
        <f t="shared" si="124"/>
        <v>0</v>
      </c>
      <c r="AE252" s="1515">
        <f>AE246</f>
        <v>0</v>
      </c>
      <c r="AF252" s="1515">
        <f t="shared" ref="AF252:AH254" si="125">AF246-AE246</f>
        <v>0</v>
      </c>
      <c r="AG252" s="1515">
        <f t="shared" si="125"/>
        <v>0</v>
      </c>
      <c r="AH252" s="1515">
        <f t="shared" si="125"/>
        <v>0</v>
      </c>
      <c r="AI252" s="1515">
        <f>AI246</f>
        <v>0</v>
      </c>
      <c r="AJ252" s="1516">
        <f>AJ246-AI246</f>
        <v>0</v>
      </c>
      <c r="AK252" s="1515"/>
      <c r="AL252" s="1515"/>
      <c r="AM252" s="1515"/>
      <c r="AN252" s="1515"/>
      <c r="AO252" s="1515"/>
      <c r="AP252" s="1515"/>
      <c r="AQ252" s="1515"/>
      <c r="AR252" s="1595"/>
      <c r="AS252" s="1595"/>
      <c r="AT252" s="1595"/>
      <c r="AU252" s="1595"/>
      <c r="AV252" s="1595"/>
      <c r="AW252" s="1595"/>
      <c r="AX252" s="1595"/>
      <c r="AY252" s="1595"/>
      <c r="AZ252" s="1595"/>
      <c r="BA252" s="1595"/>
      <c r="BB252" s="1595"/>
      <c r="BC252" s="1595"/>
      <c r="BD252" s="1595">
        <f>BD246</f>
        <v>0.316272</v>
      </c>
      <c r="BE252" s="1595">
        <f t="shared" ref="BE252:BF254" si="126">BE246</f>
        <v>0</v>
      </c>
      <c r="BF252" s="1610">
        <f t="shared" si="126"/>
        <v>0</v>
      </c>
      <c r="BG252" s="1595"/>
      <c r="BH252" s="1595"/>
      <c r="BI252" s="1595"/>
      <c r="BJ252" s="1595"/>
      <c r="BK252" s="1595"/>
      <c r="BL252" s="1515"/>
    </row>
    <row r="253" spans="1:64" s="1803" customFormat="1" ht="15" hidden="1" customHeight="1" outlineLevel="3" x14ac:dyDescent="0.35">
      <c r="A253" s="1816" t="s">
        <v>1051</v>
      </c>
      <c r="B253" s="1716"/>
      <c r="C253" s="1515"/>
      <c r="D253" s="1515"/>
      <c r="E253" s="1515"/>
      <c r="F253" s="1515"/>
      <c r="G253" s="1515"/>
      <c r="H253" s="1515"/>
      <c r="I253" s="1515"/>
      <c r="J253" s="1515"/>
      <c r="K253" s="1515"/>
      <c r="L253" s="1515"/>
      <c r="M253" s="1515"/>
      <c r="N253" s="1515"/>
      <c r="O253" s="1515"/>
      <c r="P253" s="1515"/>
      <c r="Q253" s="1515"/>
      <c r="R253" s="1515"/>
      <c r="S253" s="1515"/>
      <c r="T253" s="1515"/>
      <c r="U253" s="1515"/>
      <c r="V253" s="1515"/>
      <c r="W253" s="1515"/>
      <c r="X253" s="1515"/>
      <c r="Y253" s="1515"/>
      <c r="Z253" s="1515">
        <f>Z247-Y247</f>
        <v>0</v>
      </c>
      <c r="AA253" s="1515">
        <f>AA247</f>
        <v>-8.4860000000000005E-3</v>
      </c>
      <c r="AB253" s="1515">
        <f t="shared" si="124"/>
        <v>-6.1423999999999999E-2</v>
      </c>
      <c r="AC253" s="1515">
        <f t="shared" si="124"/>
        <v>-0.15934999999999999</v>
      </c>
      <c r="AD253" s="1515">
        <f t="shared" si="124"/>
        <v>-1.3444000000000011E-2</v>
      </c>
      <c r="AE253" s="1515">
        <f>AE247</f>
        <v>0</v>
      </c>
      <c r="AF253" s="1515">
        <f t="shared" si="125"/>
        <v>-6.3336000000000003E-2</v>
      </c>
      <c r="AG253" s="1515">
        <f t="shared" si="125"/>
        <v>-0.150447</v>
      </c>
      <c r="AH253" s="1515">
        <f t="shared" si="125"/>
        <v>-0.35874900000000004</v>
      </c>
      <c r="AI253" s="1515">
        <f>AI247</f>
        <v>-1.5559769999999999</v>
      </c>
      <c r="AJ253" s="1516">
        <f>AJ247-AI247</f>
        <v>-4.4189000000000034E-2</v>
      </c>
      <c r="AK253" s="1515"/>
      <c r="AL253" s="1515"/>
      <c r="AM253" s="1515"/>
      <c r="AN253" s="1515"/>
      <c r="AO253" s="1515"/>
      <c r="AP253" s="1515"/>
      <c r="AQ253" s="1515"/>
      <c r="AR253" s="1595"/>
      <c r="AS253" s="1595"/>
      <c r="AT253" s="1595"/>
      <c r="AU253" s="1595"/>
      <c r="AV253" s="1595"/>
      <c r="AW253" s="1595"/>
      <c r="AX253" s="1595"/>
      <c r="AY253" s="1595"/>
      <c r="AZ253" s="1595"/>
      <c r="BA253" s="1595"/>
      <c r="BB253" s="1595"/>
      <c r="BC253" s="1595"/>
      <c r="BD253" s="1595">
        <f>BD247</f>
        <v>-5.9899999999999997E-3</v>
      </c>
      <c r="BE253" s="1595">
        <f t="shared" si="126"/>
        <v>-0.242704</v>
      </c>
      <c r="BF253" s="1610">
        <f t="shared" si="126"/>
        <v>-0.57253200000000004</v>
      </c>
      <c r="BG253" s="1595"/>
      <c r="BH253" s="1595"/>
      <c r="BI253" s="1595"/>
      <c r="BJ253" s="1595"/>
      <c r="BK253" s="1595"/>
      <c r="BL253" s="1515"/>
    </row>
    <row r="254" spans="1:64" s="1803" customFormat="1" ht="15" hidden="1" customHeight="1" outlineLevel="3" x14ac:dyDescent="0.35">
      <c r="A254" s="1823" t="s">
        <v>1052</v>
      </c>
      <c r="B254" s="1738"/>
      <c r="C254" s="1681"/>
      <c r="D254" s="1681"/>
      <c r="E254" s="1681"/>
      <c r="F254" s="1681"/>
      <c r="G254" s="1681"/>
      <c r="H254" s="1681"/>
      <c r="I254" s="1681"/>
      <c r="J254" s="1681"/>
      <c r="K254" s="1681"/>
      <c r="L254" s="1681"/>
      <c r="M254" s="1681"/>
      <c r="N254" s="1681"/>
      <c r="O254" s="1681"/>
      <c r="P254" s="1681"/>
      <c r="Q254" s="1681"/>
      <c r="R254" s="1681"/>
      <c r="S254" s="1681"/>
      <c r="T254" s="1681"/>
      <c r="U254" s="1681"/>
      <c r="V254" s="1681"/>
      <c r="W254" s="1681"/>
      <c r="X254" s="1681"/>
      <c r="Y254" s="1681"/>
      <c r="Z254" s="1681">
        <f>Z248-Y248</f>
        <v>-2.5200000000000222E-4</v>
      </c>
      <c r="AA254" s="1681">
        <f>AA248</f>
        <v>0</v>
      </c>
      <c r="AB254" s="1681">
        <f t="shared" si="124"/>
        <v>0</v>
      </c>
      <c r="AC254" s="1681">
        <f t="shared" si="124"/>
        <v>0</v>
      </c>
      <c r="AD254" s="1681">
        <f t="shared" si="124"/>
        <v>0</v>
      </c>
      <c r="AE254" s="1681">
        <f>AE248</f>
        <v>0</v>
      </c>
      <c r="AF254" s="1681">
        <f t="shared" si="125"/>
        <v>0</v>
      </c>
      <c r="AG254" s="1681">
        <f t="shared" si="125"/>
        <v>0</v>
      </c>
      <c r="AH254" s="1681">
        <f t="shared" si="125"/>
        <v>0</v>
      </c>
      <c r="AI254" s="1681">
        <f>AI248</f>
        <v>-1.797E-2</v>
      </c>
      <c r="AJ254" s="1682">
        <f>AJ248-AI248</f>
        <v>-5.9899999999999995E-2</v>
      </c>
      <c r="AK254" s="1681"/>
      <c r="AL254" s="1681"/>
      <c r="AM254" s="1681"/>
      <c r="AN254" s="1681"/>
      <c r="AO254" s="1681"/>
      <c r="AP254" s="1681"/>
      <c r="AQ254" s="1681"/>
      <c r="AR254" s="1683"/>
      <c r="AS254" s="1683"/>
      <c r="AT254" s="1683"/>
      <c r="AU254" s="1683"/>
      <c r="AV254" s="1683"/>
      <c r="AW254" s="1683"/>
      <c r="AX254" s="1683"/>
      <c r="AY254" s="1683"/>
      <c r="AZ254" s="1683"/>
      <c r="BA254" s="1683"/>
      <c r="BB254" s="1683"/>
      <c r="BC254" s="1683"/>
      <c r="BD254" s="1683">
        <f>BD248</f>
        <v>-0.14880399999999999</v>
      </c>
      <c r="BE254" s="1683">
        <f t="shared" si="126"/>
        <v>0</v>
      </c>
      <c r="BF254" s="1684">
        <f t="shared" si="126"/>
        <v>0</v>
      </c>
      <c r="BG254" s="1683"/>
      <c r="BH254" s="1683"/>
      <c r="BI254" s="1683"/>
      <c r="BJ254" s="1683"/>
      <c r="BK254" s="1683"/>
      <c r="BL254" s="1515"/>
    </row>
    <row r="255" spans="1:64" s="1518" customFormat="1" ht="15" hidden="1" customHeight="1" outlineLevel="2" collapsed="1" x14ac:dyDescent="0.35">
      <c r="A255" s="1678" t="s">
        <v>1053</v>
      </c>
      <c r="B255" s="1716"/>
      <c r="C255" s="1515"/>
      <c r="D255" s="1515"/>
      <c r="E255" s="1515"/>
      <c r="F255" s="1515"/>
      <c r="G255" s="1515"/>
      <c r="H255" s="1515"/>
      <c r="I255" s="1515"/>
      <c r="J255" s="1515"/>
      <c r="K255" s="1515"/>
      <c r="L255" s="1515"/>
      <c r="M255" s="1515"/>
      <c r="N255" s="1515"/>
      <c r="O255" s="1515"/>
      <c r="P255" s="1515"/>
      <c r="Q255" s="1515"/>
      <c r="R255" s="1515"/>
      <c r="S255" s="1515"/>
      <c r="T255" s="1515"/>
      <c r="U255" s="1515"/>
      <c r="V255" s="1515"/>
      <c r="W255" s="1515"/>
      <c r="X255" s="1515"/>
      <c r="Y255" s="1515">
        <f>Y249</f>
        <v>6.4509780000000001</v>
      </c>
      <c r="Z255" s="1515">
        <f t="shared" ref="Z255:AJ255" si="127">Z251+Z252+Z253+Z254</f>
        <v>6.4507260000000004</v>
      </c>
      <c r="AA255" s="1515">
        <f t="shared" si="127"/>
        <v>6.4424919999999997</v>
      </c>
      <c r="AB255" s="1515">
        <f t="shared" si="127"/>
        <v>6.381068</v>
      </c>
      <c r="AC255" s="1515">
        <f t="shared" si="127"/>
        <v>6.2217180000000001</v>
      </c>
      <c r="AD255" s="1515">
        <f t="shared" si="127"/>
        <v>6.2082740000000003</v>
      </c>
      <c r="AE255" s="1515">
        <f t="shared" si="127"/>
        <v>6.2082740000000003</v>
      </c>
      <c r="AF255" s="1515">
        <f t="shared" si="127"/>
        <v>6.1449380000000007</v>
      </c>
      <c r="AG255" s="1515">
        <f t="shared" si="127"/>
        <v>5.9944910000000009</v>
      </c>
      <c r="AH255" s="1515">
        <f t="shared" si="127"/>
        <v>5.6357420000000005</v>
      </c>
      <c r="AI255" s="1515">
        <f t="shared" si="127"/>
        <v>4.061795</v>
      </c>
      <c r="AJ255" s="1516">
        <f t="shared" si="127"/>
        <v>3.9577059999999999</v>
      </c>
      <c r="AK255" s="1515"/>
      <c r="AL255" s="1515"/>
      <c r="AM255" s="1515"/>
      <c r="AN255" s="1515"/>
      <c r="AO255" s="1515"/>
      <c r="AP255" s="1515"/>
      <c r="AQ255" s="1515"/>
      <c r="AR255" s="1595"/>
      <c r="AS255" s="1595"/>
      <c r="AT255" s="1595"/>
      <c r="AU255" s="1595"/>
      <c r="AV255" s="1595"/>
      <c r="AW255" s="1595"/>
      <c r="AX255" s="1595"/>
      <c r="AY255" s="1595"/>
      <c r="AZ255" s="1595"/>
      <c r="BA255" s="1595"/>
      <c r="BB255" s="1595"/>
      <c r="BC255" s="1595"/>
      <c r="BD255" s="1595">
        <f>BD251+BD252+BD253+BD254</f>
        <v>6.4509780000000001</v>
      </c>
      <c r="BE255" s="1595">
        <f>BE251+BE252+BE253+BE254</f>
        <v>6.2082740000000003</v>
      </c>
      <c r="BF255" s="1610">
        <f>BF251+BF252+BF253+BF254</f>
        <v>5.6357420000000005</v>
      </c>
      <c r="BG255" s="1595"/>
      <c r="BH255" s="1595"/>
      <c r="BI255" s="1595"/>
      <c r="BJ255" s="1595"/>
      <c r="BK255" s="1595"/>
      <c r="BL255" s="1515"/>
    </row>
    <row r="256" spans="1:64" s="1803" customFormat="1" ht="15" hidden="1" customHeight="1" outlineLevel="3" x14ac:dyDescent="0.35">
      <c r="A256" s="1609"/>
      <c r="B256" s="1716"/>
      <c r="C256" s="1515"/>
      <c r="D256" s="1515"/>
      <c r="E256" s="1515"/>
      <c r="F256" s="1515"/>
      <c r="G256" s="1515"/>
      <c r="H256" s="1515"/>
      <c r="I256" s="1515"/>
      <c r="J256" s="1515"/>
      <c r="K256" s="1515"/>
      <c r="L256" s="1515"/>
      <c r="M256" s="1515"/>
      <c r="N256" s="1515"/>
      <c r="O256" s="1515"/>
      <c r="P256" s="1515"/>
      <c r="Q256" s="1515"/>
      <c r="R256" s="1515"/>
      <c r="S256" s="1515"/>
      <c r="T256" s="1515"/>
      <c r="U256" s="1515"/>
      <c r="V256" s="1515"/>
      <c r="W256" s="1515"/>
      <c r="X256" s="1515"/>
      <c r="Y256" s="1515"/>
      <c r="Z256" s="1515"/>
      <c r="AA256" s="1515"/>
      <c r="AB256" s="1515"/>
      <c r="AC256" s="1515"/>
      <c r="AD256" s="1515"/>
      <c r="AE256" s="1515"/>
      <c r="AF256" s="1515"/>
      <c r="AG256" s="1515"/>
      <c r="AH256" s="1515"/>
      <c r="AI256" s="1515"/>
      <c r="AJ256" s="1516"/>
      <c r="AK256" s="1515"/>
      <c r="AL256" s="1515"/>
      <c r="AM256" s="1515"/>
      <c r="AN256" s="1515"/>
      <c r="AO256" s="1515"/>
      <c r="AP256" s="1515"/>
      <c r="AQ256" s="1515"/>
      <c r="AR256" s="1595"/>
      <c r="AS256" s="1595"/>
      <c r="AT256" s="1595"/>
      <c r="AU256" s="1595"/>
      <c r="AV256" s="1595"/>
      <c r="AW256" s="1595"/>
      <c r="AX256" s="1595"/>
      <c r="AY256" s="1595"/>
      <c r="AZ256" s="1595"/>
      <c r="BA256" s="1595"/>
      <c r="BB256" s="1595"/>
      <c r="BC256" s="1595"/>
      <c r="BD256" s="1595"/>
      <c r="BE256" s="1595"/>
      <c r="BF256" s="1610"/>
      <c r="BG256" s="1595"/>
      <c r="BH256" s="1595"/>
      <c r="BI256" s="1595"/>
      <c r="BJ256" s="1595"/>
      <c r="BK256" s="1595"/>
      <c r="BL256" s="1517"/>
    </row>
    <row r="257" spans="1:64" s="1803" customFormat="1" ht="15" hidden="1" customHeight="1" outlineLevel="3" x14ac:dyDescent="0.35">
      <c r="A257" s="1824" t="s">
        <v>1054</v>
      </c>
      <c r="B257" s="1825"/>
      <c r="C257" s="1826"/>
      <c r="D257" s="1826"/>
      <c r="E257" s="1826"/>
      <c r="F257" s="1826"/>
      <c r="G257" s="1826"/>
      <c r="H257" s="1826"/>
      <c r="I257" s="1826"/>
      <c r="J257" s="1826"/>
      <c r="K257" s="1826"/>
      <c r="L257" s="1826"/>
      <c r="M257" s="1826"/>
      <c r="N257" s="1826"/>
      <c r="O257" s="1826"/>
      <c r="P257" s="1826"/>
      <c r="Q257" s="1826"/>
      <c r="R257" s="1826"/>
      <c r="S257" s="1826"/>
      <c r="T257" s="1826"/>
      <c r="U257" s="1826"/>
      <c r="V257" s="1826"/>
      <c r="W257" s="1826"/>
      <c r="X257" s="1826"/>
      <c r="Y257" s="1827">
        <v>9.6</v>
      </c>
      <c r="Z257" s="1826">
        <f>BD257</f>
        <v>9.6</v>
      </c>
      <c r="AA257" s="1826">
        <f>BD261</f>
        <v>9.58</v>
      </c>
      <c r="AB257" s="1826">
        <f>BD261</f>
        <v>9.58</v>
      </c>
      <c r="AC257" s="1826">
        <f>BD261</f>
        <v>9.58</v>
      </c>
      <c r="AD257" s="1826">
        <f>BD261</f>
        <v>9.58</v>
      </c>
      <c r="AE257" s="1826">
        <f>BE261</f>
        <v>9.59</v>
      </c>
      <c r="AF257" s="1826">
        <f>BE261</f>
        <v>9.59</v>
      </c>
      <c r="AG257" s="1826">
        <f>BE261</f>
        <v>9.59</v>
      </c>
      <c r="AH257" s="1826">
        <f>BE261</f>
        <v>9.59</v>
      </c>
      <c r="AI257" s="1826">
        <f>BF261</f>
        <v>9.6</v>
      </c>
      <c r="AJ257" s="1828">
        <f>BF261</f>
        <v>9.6</v>
      </c>
      <c r="AK257" s="1826"/>
      <c r="AL257" s="1826"/>
      <c r="AM257" s="1826"/>
      <c r="AN257" s="1826"/>
      <c r="AO257" s="1826"/>
      <c r="AP257" s="1826"/>
      <c r="AQ257" s="1826"/>
      <c r="AR257" s="1829"/>
      <c r="AS257" s="1829"/>
      <c r="AT257" s="1829"/>
      <c r="AU257" s="1829"/>
      <c r="AV257" s="1829"/>
      <c r="AW257" s="1829"/>
      <c r="AX257" s="1829"/>
      <c r="AY257" s="1829"/>
      <c r="AZ257" s="1829"/>
      <c r="BA257" s="1829"/>
      <c r="BB257" s="1829"/>
      <c r="BC257" s="1829"/>
      <c r="BD257" s="1830">
        <v>9.6</v>
      </c>
      <c r="BE257" s="1829">
        <f>BD261</f>
        <v>9.58</v>
      </c>
      <c r="BF257" s="1831">
        <f>BE261</f>
        <v>9.59</v>
      </c>
      <c r="BG257" s="1829"/>
      <c r="BH257" s="1829"/>
      <c r="BI257" s="1829"/>
      <c r="BJ257" s="1829"/>
      <c r="BK257" s="1829"/>
      <c r="BL257" s="1832"/>
    </row>
    <row r="258" spans="1:64" s="1803" customFormat="1" ht="15" hidden="1" customHeight="1" outlineLevel="3" x14ac:dyDescent="0.35">
      <c r="A258" s="1833" t="s">
        <v>1055</v>
      </c>
      <c r="B258" s="1825"/>
      <c r="C258" s="1826"/>
      <c r="D258" s="1826"/>
      <c r="E258" s="1826"/>
      <c r="F258" s="1826"/>
      <c r="G258" s="1826"/>
      <c r="H258" s="1826"/>
      <c r="I258" s="1826"/>
      <c r="J258" s="1826"/>
      <c r="K258" s="1826"/>
      <c r="L258" s="1826"/>
      <c r="M258" s="1826"/>
      <c r="N258" s="1826"/>
      <c r="O258" s="1826"/>
      <c r="P258" s="1826"/>
      <c r="Q258" s="1826"/>
      <c r="R258" s="1826"/>
      <c r="S258" s="1826"/>
      <c r="T258" s="1826"/>
      <c r="U258" s="1826"/>
      <c r="V258" s="1826"/>
      <c r="W258" s="1826"/>
      <c r="X258" s="1826"/>
      <c r="Y258" s="1827">
        <v>9.68</v>
      </c>
      <c r="Z258" s="1826">
        <f>BD258</f>
        <v>9.68</v>
      </c>
      <c r="AA258" s="1826"/>
      <c r="AB258" s="1826"/>
      <c r="AC258" s="1826"/>
      <c r="AD258" s="1826"/>
      <c r="AE258" s="1826"/>
      <c r="AF258" s="1826"/>
      <c r="AG258" s="1826"/>
      <c r="AH258" s="1826"/>
      <c r="AI258" s="1826"/>
      <c r="AJ258" s="1828"/>
      <c r="AK258" s="1826"/>
      <c r="AL258" s="1826"/>
      <c r="AM258" s="1826"/>
      <c r="AN258" s="1826"/>
      <c r="AO258" s="1826"/>
      <c r="AP258" s="1826"/>
      <c r="AQ258" s="1826"/>
      <c r="AR258" s="1829"/>
      <c r="AS258" s="1829"/>
      <c r="AT258" s="1829"/>
      <c r="AU258" s="1829"/>
      <c r="AV258" s="1829"/>
      <c r="AW258" s="1829"/>
      <c r="AX258" s="1829"/>
      <c r="AY258" s="1829"/>
      <c r="AZ258" s="1829"/>
      <c r="BA258" s="1829"/>
      <c r="BB258" s="1829"/>
      <c r="BC258" s="1829"/>
      <c r="BD258" s="1830">
        <v>9.68</v>
      </c>
      <c r="BE258" s="1829"/>
      <c r="BF258" s="1831"/>
      <c r="BG258" s="1829"/>
      <c r="BH258" s="1829"/>
      <c r="BI258" s="1829"/>
      <c r="BJ258" s="1829"/>
      <c r="BK258" s="1829"/>
      <c r="BL258" s="1832"/>
    </row>
    <row r="259" spans="1:64" s="1803" customFormat="1" ht="15" hidden="1" customHeight="1" outlineLevel="3" x14ac:dyDescent="0.35">
      <c r="A259" s="1833" t="s">
        <v>1056</v>
      </c>
      <c r="B259" s="1825"/>
      <c r="C259" s="1826"/>
      <c r="D259" s="1826"/>
      <c r="E259" s="1826"/>
      <c r="F259" s="1826"/>
      <c r="G259" s="1826"/>
      <c r="H259" s="1826"/>
      <c r="I259" s="1826"/>
      <c r="J259" s="1826"/>
      <c r="K259" s="1826"/>
      <c r="L259" s="1826"/>
      <c r="M259" s="1826"/>
      <c r="N259" s="1826"/>
      <c r="O259" s="1826"/>
      <c r="P259" s="1826"/>
      <c r="Q259" s="1826"/>
      <c r="R259" s="1826"/>
      <c r="S259" s="1826"/>
      <c r="T259" s="1826"/>
      <c r="U259" s="1826"/>
      <c r="V259" s="1826"/>
      <c r="W259" s="1826"/>
      <c r="X259" s="1826"/>
      <c r="Y259" s="1827">
        <v>9.39</v>
      </c>
      <c r="Z259" s="1826">
        <f>BD259</f>
        <v>9.39</v>
      </c>
      <c r="AA259" s="1827">
        <v>9.39</v>
      </c>
      <c r="AB259" s="1827">
        <v>9.57</v>
      </c>
      <c r="AC259" s="1827">
        <v>9.3699999999999992</v>
      </c>
      <c r="AD259" s="1826">
        <f>BE259</f>
        <v>9.35</v>
      </c>
      <c r="AE259" s="1826"/>
      <c r="AF259" s="1827">
        <v>9.66</v>
      </c>
      <c r="AG259" s="1827">
        <v>9.44</v>
      </c>
      <c r="AH259" s="1826">
        <f>BF259</f>
        <v>9.48</v>
      </c>
      <c r="AI259" s="1827">
        <v>9.6300000000000008</v>
      </c>
      <c r="AJ259" s="1834">
        <v>9.6300000000000008</v>
      </c>
      <c r="AK259" s="1826"/>
      <c r="AL259" s="1826"/>
      <c r="AM259" s="1826"/>
      <c r="AN259" s="1826"/>
      <c r="AO259" s="1826"/>
      <c r="AP259" s="1826"/>
      <c r="AQ259" s="1826"/>
      <c r="AR259" s="1829"/>
      <c r="AS259" s="1829"/>
      <c r="AT259" s="1829"/>
      <c r="AU259" s="1829"/>
      <c r="AV259" s="1829"/>
      <c r="AW259" s="1829"/>
      <c r="AX259" s="1829"/>
      <c r="AY259" s="1829"/>
      <c r="AZ259" s="1829"/>
      <c r="BA259" s="1829"/>
      <c r="BB259" s="1829"/>
      <c r="BC259" s="1829"/>
      <c r="BD259" s="1830">
        <v>9.39</v>
      </c>
      <c r="BE259" s="1830">
        <v>9.35</v>
      </c>
      <c r="BF259" s="1835">
        <v>9.48</v>
      </c>
      <c r="BG259" s="1829"/>
      <c r="BH259" s="1829"/>
      <c r="BI259" s="1829"/>
      <c r="BJ259" s="1829"/>
      <c r="BK259" s="1829"/>
      <c r="BL259" s="1832"/>
    </row>
    <row r="260" spans="1:64" s="1803" customFormat="1" ht="15" hidden="1" customHeight="1" outlineLevel="3" x14ac:dyDescent="0.35">
      <c r="A260" s="1836" t="s">
        <v>1057</v>
      </c>
      <c r="B260" s="1837"/>
      <c r="C260" s="1838"/>
      <c r="D260" s="1838"/>
      <c r="E260" s="1838"/>
      <c r="F260" s="1838"/>
      <c r="G260" s="1838"/>
      <c r="H260" s="1838"/>
      <c r="I260" s="1838"/>
      <c r="J260" s="1838"/>
      <c r="K260" s="1838"/>
      <c r="L260" s="1838"/>
      <c r="M260" s="1838"/>
      <c r="N260" s="1838"/>
      <c r="O260" s="1838"/>
      <c r="P260" s="1838"/>
      <c r="Q260" s="1838"/>
      <c r="R260" s="1838"/>
      <c r="S260" s="1838"/>
      <c r="T260" s="1838"/>
      <c r="U260" s="1838"/>
      <c r="V260" s="1838"/>
      <c r="W260" s="1838"/>
      <c r="X260" s="1838"/>
      <c r="Y260" s="1839">
        <v>9.6300000000000008</v>
      </c>
      <c r="Z260" s="1838">
        <f>BD260</f>
        <v>9.6300000000000008</v>
      </c>
      <c r="AA260" s="1838"/>
      <c r="AB260" s="1838"/>
      <c r="AC260" s="1838"/>
      <c r="AD260" s="1838"/>
      <c r="AE260" s="1838"/>
      <c r="AF260" s="1838"/>
      <c r="AG260" s="1838"/>
      <c r="AH260" s="1838"/>
      <c r="AI260" s="1839">
        <v>9.68</v>
      </c>
      <c r="AJ260" s="1840">
        <v>9.68</v>
      </c>
      <c r="AK260" s="1838"/>
      <c r="AL260" s="1838"/>
      <c r="AM260" s="1838"/>
      <c r="AN260" s="1838"/>
      <c r="AO260" s="1838"/>
      <c r="AP260" s="1838"/>
      <c r="AQ260" s="1838"/>
      <c r="AR260" s="1841"/>
      <c r="AS260" s="1841"/>
      <c r="AT260" s="1841"/>
      <c r="AU260" s="1841"/>
      <c r="AV260" s="1841"/>
      <c r="AW260" s="1841"/>
      <c r="AX260" s="1841"/>
      <c r="AY260" s="1841"/>
      <c r="AZ260" s="1841"/>
      <c r="BA260" s="1841"/>
      <c r="BB260" s="1841"/>
      <c r="BC260" s="1841"/>
      <c r="BD260" s="1842">
        <v>9.6300000000000008</v>
      </c>
      <c r="BE260" s="1841"/>
      <c r="BF260" s="1831"/>
      <c r="BG260" s="1841"/>
      <c r="BH260" s="1841"/>
      <c r="BI260" s="1841"/>
      <c r="BJ260" s="1841"/>
      <c r="BK260" s="1841"/>
      <c r="BL260" s="1832"/>
    </row>
    <row r="261" spans="1:64" s="1803" customFormat="1" ht="15" hidden="1" customHeight="1" outlineLevel="3" x14ac:dyDescent="0.35">
      <c r="A261" s="1824" t="s">
        <v>1058</v>
      </c>
      <c r="B261" s="1825"/>
      <c r="C261" s="1826"/>
      <c r="D261" s="1826"/>
      <c r="E261" s="1826"/>
      <c r="F261" s="1826"/>
      <c r="G261" s="1826"/>
      <c r="H261" s="1826"/>
      <c r="I261" s="1826"/>
      <c r="J261" s="1826"/>
      <c r="K261" s="1826"/>
      <c r="L261" s="1826"/>
      <c r="M261" s="1826"/>
      <c r="N261" s="1826"/>
      <c r="O261" s="1826"/>
      <c r="P261" s="1826"/>
      <c r="Q261" s="1826"/>
      <c r="R261" s="1826"/>
      <c r="S261" s="1826"/>
      <c r="T261" s="1826"/>
      <c r="U261" s="1826"/>
      <c r="V261" s="1826"/>
      <c r="W261" s="1826"/>
      <c r="X261" s="1826"/>
      <c r="Y261" s="1827">
        <v>9.58</v>
      </c>
      <c r="Z261" s="1826">
        <f>BD261</f>
        <v>9.58</v>
      </c>
      <c r="AA261" s="1827">
        <v>9.58</v>
      </c>
      <c r="AB261" s="1827">
        <v>9.58</v>
      </c>
      <c r="AC261" s="1827">
        <v>9.59</v>
      </c>
      <c r="AD261" s="1826">
        <f>BE261</f>
        <v>9.59</v>
      </c>
      <c r="AE261" s="1827">
        <v>9.59</v>
      </c>
      <c r="AF261" s="1827">
        <v>9.59</v>
      </c>
      <c r="AG261" s="1827">
        <v>9.59</v>
      </c>
      <c r="AH261" s="1826">
        <f>BF261</f>
        <v>9.6</v>
      </c>
      <c r="AI261" s="1827">
        <v>9.59</v>
      </c>
      <c r="AJ261" s="1834">
        <v>9.59</v>
      </c>
      <c r="AK261" s="1826"/>
      <c r="AL261" s="1826"/>
      <c r="AM261" s="1826"/>
      <c r="AN261" s="1826"/>
      <c r="AO261" s="1826"/>
      <c r="AP261" s="1826"/>
      <c r="AQ261" s="1826"/>
      <c r="AR261" s="1829"/>
      <c r="AS261" s="1829"/>
      <c r="AT261" s="1829"/>
      <c r="AU261" s="1829"/>
      <c r="AV261" s="1829"/>
      <c r="AW261" s="1829"/>
      <c r="AX261" s="1829"/>
      <c r="AY261" s="1829"/>
      <c r="AZ261" s="1829"/>
      <c r="BA261" s="1829"/>
      <c r="BB261" s="1829"/>
      <c r="BC261" s="1829"/>
      <c r="BD261" s="1830">
        <v>9.58</v>
      </c>
      <c r="BE261" s="1830">
        <v>9.59</v>
      </c>
      <c r="BF261" s="1843">
        <v>9.6</v>
      </c>
      <c r="BG261" s="1829"/>
      <c r="BH261" s="1829"/>
      <c r="BI261" s="1829"/>
      <c r="BJ261" s="1829"/>
      <c r="BK261" s="1829"/>
      <c r="BL261" s="1832"/>
    </row>
    <row r="262" spans="1:64" s="1803" customFormat="1" ht="15" hidden="1" customHeight="1" outlineLevel="3" x14ac:dyDescent="0.35">
      <c r="A262" s="1844"/>
      <c r="B262" s="1825"/>
      <c r="C262" s="1832"/>
      <c r="D262" s="1832"/>
      <c r="E262" s="1832"/>
      <c r="F262" s="1832"/>
      <c r="G262" s="1832"/>
      <c r="H262" s="1832"/>
      <c r="I262" s="1832"/>
      <c r="J262" s="1832"/>
      <c r="K262" s="1832"/>
      <c r="L262" s="1832"/>
      <c r="M262" s="1832"/>
      <c r="N262" s="1832"/>
      <c r="O262" s="1832"/>
      <c r="P262" s="1832"/>
      <c r="Q262" s="1832"/>
      <c r="R262" s="1832"/>
      <c r="S262" s="1832"/>
      <c r="T262" s="1832"/>
      <c r="U262" s="1832"/>
      <c r="V262" s="1832"/>
      <c r="W262" s="1832"/>
      <c r="X262" s="1832"/>
      <c r="Y262" s="1832"/>
      <c r="Z262" s="1832"/>
      <c r="AA262" s="1832"/>
      <c r="AB262" s="1832"/>
      <c r="AC262" s="1832"/>
      <c r="AD262" s="1832"/>
      <c r="AE262" s="1832"/>
      <c r="AF262" s="1832"/>
      <c r="AG262" s="1832"/>
      <c r="AH262" s="1832"/>
      <c r="AI262" s="1832"/>
      <c r="AJ262" s="1845"/>
      <c r="AK262" s="1832"/>
      <c r="AL262" s="1832"/>
      <c r="AM262" s="1832"/>
      <c r="AN262" s="1832"/>
      <c r="AO262" s="1832"/>
      <c r="AP262" s="1832"/>
      <c r="AQ262" s="1832"/>
      <c r="AR262" s="1846"/>
      <c r="AS262" s="1846"/>
      <c r="AT262" s="1846"/>
      <c r="AU262" s="1846"/>
      <c r="AV262" s="1846"/>
      <c r="AW262" s="1846"/>
      <c r="AX262" s="1846"/>
      <c r="AY262" s="1846"/>
      <c r="AZ262" s="1846"/>
      <c r="BA262" s="1846"/>
      <c r="BB262" s="1846"/>
      <c r="BC262" s="1846"/>
      <c r="BD262" s="1846"/>
      <c r="BE262" s="1846"/>
      <c r="BF262" s="1847"/>
      <c r="BG262" s="1846"/>
      <c r="BH262" s="1846"/>
      <c r="BI262" s="1846"/>
      <c r="BJ262" s="1846"/>
      <c r="BK262" s="1846"/>
      <c r="BL262" s="1848"/>
    </row>
    <row r="263" spans="1:64" s="1803" customFormat="1" ht="15" hidden="1" customHeight="1" outlineLevel="3" x14ac:dyDescent="0.35">
      <c r="A263" s="1849" t="s">
        <v>1059</v>
      </c>
      <c r="B263" s="1825"/>
      <c r="C263" s="1850"/>
      <c r="D263" s="1850"/>
      <c r="E263" s="1850"/>
      <c r="F263" s="1850"/>
      <c r="G263" s="1850"/>
      <c r="H263" s="1850"/>
      <c r="I263" s="1850"/>
      <c r="J263" s="1850"/>
      <c r="K263" s="1850"/>
      <c r="L263" s="1850"/>
      <c r="M263" s="1850"/>
      <c r="N263" s="1850"/>
      <c r="O263" s="1850"/>
      <c r="P263" s="1850"/>
      <c r="Q263" s="1850"/>
      <c r="R263" s="1850"/>
      <c r="S263" s="1850"/>
      <c r="T263" s="1850"/>
      <c r="U263" s="1850"/>
      <c r="V263" s="1850"/>
      <c r="W263" s="1850"/>
      <c r="X263" s="1850"/>
      <c r="Y263" s="1850"/>
      <c r="Z263" s="1850">
        <f>Y267</f>
        <v>9.58</v>
      </c>
      <c r="AA263" s="1850">
        <f>BD267</f>
        <v>9.58</v>
      </c>
      <c r="AB263" s="1850">
        <f>AA267</f>
        <v>9.58</v>
      </c>
      <c r="AC263" s="1850">
        <f>AB267</f>
        <v>9.58</v>
      </c>
      <c r="AD263" s="1850">
        <f>AC267</f>
        <v>9.59</v>
      </c>
      <c r="AE263" s="1850">
        <f>BE267</f>
        <v>9.59</v>
      </c>
      <c r="AF263" s="1850">
        <f>AE267</f>
        <v>9.59</v>
      </c>
      <c r="AG263" s="1850">
        <f>AF267</f>
        <v>9.59</v>
      </c>
      <c r="AH263" s="1850">
        <f>AG267</f>
        <v>9.59</v>
      </c>
      <c r="AI263" s="1850">
        <f>BF267</f>
        <v>9.6</v>
      </c>
      <c r="AJ263" s="1851">
        <f>AI267</f>
        <v>9.59</v>
      </c>
      <c r="AK263" s="1850"/>
      <c r="AL263" s="1850"/>
      <c r="AM263" s="1850"/>
      <c r="AN263" s="1850"/>
      <c r="AO263" s="1850"/>
      <c r="AP263" s="1850"/>
      <c r="AQ263" s="1850"/>
      <c r="AR263" s="1852"/>
      <c r="AS263" s="1852"/>
      <c r="AT263" s="1852"/>
      <c r="AU263" s="1852"/>
      <c r="AV263" s="1852"/>
      <c r="AW263" s="1852"/>
      <c r="AX263" s="1852"/>
      <c r="AY263" s="1852"/>
      <c r="AZ263" s="1852"/>
      <c r="BA263" s="1852"/>
      <c r="BB263" s="1852"/>
      <c r="BC263" s="1852"/>
      <c r="BD263" s="1852">
        <f t="shared" ref="BD263:BF267" si="128">BD257</f>
        <v>9.6</v>
      </c>
      <c r="BE263" s="1852">
        <f t="shared" si="128"/>
        <v>9.58</v>
      </c>
      <c r="BF263" s="1853">
        <f t="shared" si="128"/>
        <v>9.59</v>
      </c>
      <c r="BG263" s="1852"/>
      <c r="BH263" s="1852"/>
      <c r="BI263" s="1852"/>
      <c r="BJ263" s="1852"/>
      <c r="BK263" s="1852"/>
      <c r="BL263" s="1832"/>
    </row>
    <row r="264" spans="1:64" s="1803" customFormat="1" ht="15" hidden="1" customHeight="1" outlineLevel="3" x14ac:dyDescent="0.35">
      <c r="A264" s="1854" t="s">
        <v>1060</v>
      </c>
      <c r="B264" s="1825"/>
      <c r="C264" s="1850"/>
      <c r="D264" s="1850"/>
      <c r="E264" s="1850"/>
      <c r="F264" s="1850"/>
      <c r="G264" s="1850"/>
      <c r="H264" s="1850"/>
      <c r="I264" s="1850"/>
      <c r="J264" s="1850"/>
      <c r="K264" s="1850"/>
      <c r="L264" s="1850"/>
      <c r="M264" s="1850"/>
      <c r="N264" s="1850"/>
      <c r="O264" s="1850"/>
      <c r="P264" s="1850"/>
      <c r="Q264" s="1850"/>
      <c r="R264" s="1850"/>
      <c r="S264" s="1850"/>
      <c r="T264" s="1850"/>
      <c r="U264" s="1850"/>
      <c r="V264" s="1850"/>
      <c r="W264" s="1850"/>
      <c r="X264" s="1850"/>
      <c r="Y264" s="1850"/>
      <c r="Z264" s="1850">
        <f>IFERROR((Z246*Z258-Y246*Y258)/Z252,0)</f>
        <v>0</v>
      </c>
      <c r="AA264" s="1850">
        <f>AA258</f>
        <v>0</v>
      </c>
      <c r="AB264" s="1850">
        <f t="shared" ref="AB264:AD266" si="129">IFERROR((AB246*AB258-AA246*AA258)/AB252,0)</f>
        <v>0</v>
      </c>
      <c r="AC264" s="1850">
        <f t="shared" si="129"/>
        <v>0</v>
      </c>
      <c r="AD264" s="1850">
        <f t="shared" si="129"/>
        <v>0</v>
      </c>
      <c r="AE264" s="1850">
        <f>AE258</f>
        <v>0</v>
      </c>
      <c r="AF264" s="1850">
        <f t="shared" ref="AF264:AH266" si="130">IFERROR((AF246*AF258-AE246*AE258)/AF252,0)</f>
        <v>0</v>
      </c>
      <c r="AG264" s="1850">
        <f t="shared" si="130"/>
        <v>0</v>
      </c>
      <c r="AH264" s="1850">
        <f t="shared" si="130"/>
        <v>0</v>
      </c>
      <c r="AI264" s="1850">
        <f>AI258</f>
        <v>0</v>
      </c>
      <c r="AJ264" s="1851">
        <f>IFERROR((AJ246*AJ258-AI246*AI258)/AJ252,0)</f>
        <v>0</v>
      </c>
      <c r="AK264" s="1850"/>
      <c r="AL264" s="1850"/>
      <c r="AM264" s="1850"/>
      <c r="AN264" s="1850"/>
      <c r="AO264" s="1850"/>
      <c r="AP264" s="1850"/>
      <c r="AQ264" s="1850"/>
      <c r="AR264" s="1852"/>
      <c r="AS264" s="1852"/>
      <c r="AT264" s="1852"/>
      <c r="AU264" s="1852"/>
      <c r="AV264" s="1852"/>
      <c r="AW264" s="1852"/>
      <c r="AX264" s="1852"/>
      <c r="AY264" s="1852"/>
      <c r="AZ264" s="1852"/>
      <c r="BA264" s="1852"/>
      <c r="BB264" s="1852"/>
      <c r="BC264" s="1852"/>
      <c r="BD264" s="1852">
        <f t="shared" si="128"/>
        <v>9.68</v>
      </c>
      <c r="BE264" s="1852">
        <f t="shared" si="128"/>
        <v>0</v>
      </c>
      <c r="BF264" s="1853">
        <f t="shared" si="128"/>
        <v>0</v>
      </c>
      <c r="BG264" s="1852"/>
      <c r="BH264" s="1852"/>
      <c r="BI264" s="1852"/>
      <c r="BJ264" s="1852"/>
      <c r="BK264" s="1852"/>
      <c r="BL264" s="1832"/>
    </row>
    <row r="265" spans="1:64" s="1803" customFormat="1" ht="15" hidden="1" customHeight="1" outlineLevel="3" x14ac:dyDescent="0.35">
      <c r="A265" s="1854" t="s">
        <v>1061</v>
      </c>
      <c r="B265" s="1825"/>
      <c r="C265" s="1850"/>
      <c r="D265" s="1850"/>
      <c r="E265" s="1850"/>
      <c r="F265" s="1850"/>
      <c r="G265" s="1850"/>
      <c r="H265" s="1850"/>
      <c r="I265" s="1850"/>
      <c r="J265" s="1850"/>
      <c r="K265" s="1850"/>
      <c r="L265" s="1850"/>
      <c r="M265" s="1850"/>
      <c r="N265" s="1850"/>
      <c r="O265" s="1850"/>
      <c r="P265" s="1850"/>
      <c r="Q265" s="1850"/>
      <c r="R265" s="1850"/>
      <c r="S265" s="1850"/>
      <c r="T265" s="1850"/>
      <c r="U265" s="1850"/>
      <c r="V265" s="1850"/>
      <c r="W265" s="1850"/>
      <c r="X265" s="1850"/>
      <c r="Y265" s="1850"/>
      <c r="Z265" s="1850">
        <f>IFERROR((Z247*Z259-Y247*Y259)/Z253,0)</f>
        <v>0</v>
      </c>
      <c r="AA265" s="1850">
        <f>AA259</f>
        <v>9.39</v>
      </c>
      <c r="AB265" s="1850">
        <f t="shared" si="129"/>
        <v>9.5948678041156548</v>
      </c>
      <c r="AC265" s="1850">
        <f t="shared" si="129"/>
        <v>9.2822560401631637</v>
      </c>
      <c r="AD265" s="1850">
        <f t="shared" si="129"/>
        <v>9.0089407914311064</v>
      </c>
      <c r="AE265" s="1850">
        <f>AE259</f>
        <v>0</v>
      </c>
      <c r="AF265" s="1850">
        <f t="shared" si="130"/>
        <v>9.66</v>
      </c>
      <c r="AG265" s="1850">
        <f t="shared" si="130"/>
        <v>9.3473831980697515</v>
      </c>
      <c r="AH265" s="1850">
        <f t="shared" si="130"/>
        <v>9.5038364984989521</v>
      </c>
      <c r="AI265" s="1850">
        <f>AI259</f>
        <v>9.6300000000000008</v>
      </c>
      <c r="AJ265" s="1851">
        <f>IFERROR((AJ247*AJ259-AI247*AI259)/AJ253,0)</f>
        <v>9.629999999999999</v>
      </c>
      <c r="AK265" s="1850"/>
      <c r="AL265" s="1850"/>
      <c r="AM265" s="1850"/>
      <c r="AN265" s="1850"/>
      <c r="AO265" s="1850"/>
      <c r="AP265" s="1850"/>
      <c r="AQ265" s="1850"/>
      <c r="AR265" s="1852"/>
      <c r="AS265" s="1852"/>
      <c r="AT265" s="1852"/>
      <c r="AU265" s="1852"/>
      <c r="AV265" s="1852"/>
      <c r="AW265" s="1852"/>
      <c r="AX265" s="1852"/>
      <c r="AY265" s="1852"/>
      <c r="AZ265" s="1852"/>
      <c r="BA265" s="1852"/>
      <c r="BB265" s="1852"/>
      <c r="BC265" s="1852"/>
      <c r="BD265" s="1852">
        <f t="shared" si="128"/>
        <v>9.39</v>
      </c>
      <c r="BE265" s="1852">
        <f t="shared" si="128"/>
        <v>9.35</v>
      </c>
      <c r="BF265" s="1853">
        <f t="shared" si="128"/>
        <v>9.48</v>
      </c>
      <c r="BG265" s="1852"/>
      <c r="BH265" s="1852"/>
      <c r="BI265" s="1852"/>
      <c r="BJ265" s="1852"/>
      <c r="BK265" s="1852"/>
      <c r="BL265" s="1832"/>
    </row>
    <row r="266" spans="1:64" s="1803" customFormat="1" ht="15" hidden="1" customHeight="1" outlineLevel="3" x14ac:dyDescent="0.35">
      <c r="A266" s="1855" t="s">
        <v>1062</v>
      </c>
      <c r="B266" s="1837"/>
      <c r="C266" s="1856"/>
      <c r="D266" s="1856"/>
      <c r="E266" s="1856"/>
      <c r="F266" s="1856"/>
      <c r="G266" s="1856"/>
      <c r="H266" s="1856"/>
      <c r="I266" s="1856"/>
      <c r="J266" s="1856"/>
      <c r="K266" s="1856"/>
      <c r="L266" s="1856"/>
      <c r="M266" s="1856"/>
      <c r="N266" s="1856"/>
      <c r="O266" s="1856"/>
      <c r="P266" s="1856"/>
      <c r="Q266" s="1856"/>
      <c r="R266" s="1856"/>
      <c r="S266" s="1856"/>
      <c r="T266" s="1856"/>
      <c r="U266" s="1856"/>
      <c r="V266" s="1856"/>
      <c r="W266" s="1856"/>
      <c r="X266" s="1856"/>
      <c r="Y266" s="1856"/>
      <c r="Z266" s="1856">
        <f>IFERROR((Z248*Z260-Y248*Y260)/Z254,0)</f>
        <v>9.6300000000002459</v>
      </c>
      <c r="AA266" s="1856">
        <f>AA260</f>
        <v>0</v>
      </c>
      <c r="AB266" s="1856">
        <f t="shared" si="129"/>
        <v>0</v>
      </c>
      <c r="AC266" s="1856">
        <f t="shared" si="129"/>
        <v>0</v>
      </c>
      <c r="AD266" s="1856">
        <f t="shared" si="129"/>
        <v>0</v>
      </c>
      <c r="AE266" s="1856">
        <f>AE260</f>
        <v>0</v>
      </c>
      <c r="AF266" s="1856">
        <f t="shared" si="130"/>
        <v>0</v>
      </c>
      <c r="AG266" s="1856">
        <f t="shared" si="130"/>
        <v>0</v>
      </c>
      <c r="AH266" s="1856">
        <f t="shared" si="130"/>
        <v>0</v>
      </c>
      <c r="AI266" s="1856">
        <f>AI260</f>
        <v>9.68</v>
      </c>
      <c r="AJ266" s="1857">
        <f>IFERROR((AJ248*AJ260-AI248*AI260)/AJ254,0)</f>
        <v>9.68</v>
      </c>
      <c r="AK266" s="1856"/>
      <c r="AL266" s="1856"/>
      <c r="AM266" s="1856"/>
      <c r="AN266" s="1856"/>
      <c r="AO266" s="1856"/>
      <c r="AP266" s="1856"/>
      <c r="AQ266" s="1856"/>
      <c r="AR266" s="1858"/>
      <c r="AS266" s="1858"/>
      <c r="AT266" s="1858"/>
      <c r="AU266" s="1858"/>
      <c r="AV266" s="1858"/>
      <c r="AW266" s="1858"/>
      <c r="AX266" s="1858"/>
      <c r="AY266" s="1858"/>
      <c r="AZ266" s="1858"/>
      <c r="BA266" s="1858"/>
      <c r="BB266" s="1858"/>
      <c r="BC266" s="1858"/>
      <c r="BD266" s="1858">
        <f t="shared" si="128"/>
        <v>9.6300000000000008</v>
      </c>
      <c r="BE266" s="1858">
        <f t="shared" si="128"/>
        <v>0</v>
      </c>
      <c r="BF266" s="1859">
        <f t="shared" si="128"/>
        <v>0</v>
      </c>
      <c r="BG266" s="1858"/>
      <c r="BH266" s="1858"/>
      <c r="BI266" s="1858"/>
      <c r="BJ266" s="1858"/>
      <c r="BK266" s="1858"/>
      <c r="BL266" s="1832"/>
    </row>
    <row r="267" spans="1:64" s="1803" customFormat="1" ht="15" hidden="1" customHeight="1" outlineLevel="2" collapsed="1" x14ac:dyDescent="0.35">
      <c r="A267" s="1849" t="s">
        <v>1063</v>
      </c>
      <c r="B267" s="1825"/>
      <c r="C267" s="1850"/>
      <c r="D267" s="1850"/>
      <c r="E267" s="1850"/>
      <c r="F267" s="1850"/>
      <c r="G267" s="1850"/>
      <c r="H267" s="1850"/>
      <c r="I267" s="1850"/>
      <c r="J267" s="1850"/>
      <c r="K267" s="1850"/>
      <c r="L267" s="1850"/>
      <c r="M267" s="1850"/>
      <c r="N267" s="1850"/>
      <c r="O267" s="1850"/>
      <c r="P267" s="1850"/>
      <c r="Q267" s="1850"/>
      <c r="R267" s="1850"/>
      <c r="S267" s="1850"/>
      <c r="T267" s="1850"/>
      <c r="U267" s="1850"/>
      <c r="V267" s="1850"/>
      <c r="W267" s="1850"/>
      <c r="X267" s="1850"/>
      <c r="Y267" s="1850">
        <f>Y261</f>
        <v>9.58</v>
      </c>
      <c r="Z267" s="1850">
        <f>Z261</f>
        <v>9.58</v>
      </c>
      <c r="AA267" s="1850">
        <f>AA261</f>
        <v>9.58</v>
      </c>
      <c r="AB267" s="1850">
        <f>AB261</f>
        <v>9.58</v>
      </c>
      <c r="AC267" s="1850">
        <f>AC261</f>
        <v>9.59</v>
      </c>
      <c r="AD267" s="1850">
        <f>AD261</f>
        <v>9.59</v>
      </c>
      <c r="AE267" s="1850">
        <f>AE261</f>
        <v>9.59</v>
      </c>
      <c r="AF267" s="1850">
        <f>AF261</f>
        <v>9.59</v>
      </c>
      <c r="AG267" s="1850">
        <f>AG261</f>
        <v>9.59</v>
      </c>
      <c r="AH267" s="1850">
        <f>AH261</f>
        <v>9.6</v>
      </c>
      <c r="AI267" s="1850">
        <f>AI261</f>
        <v>9.59</v>
      </c>
      <c r="AJ267" s="1851">
        <f>AJ261</f>
        <v>9.59</v>
      </c>
      <c r="AK267" s="1850"/>
      <c r="AL267" s="1850"/>
      <c r="AM267" s="1850"/>
      <c r="AN267" s="1850"/>
      <c r="AO267" s="1850"/>
      <c r="AP267" s="1850"/>
      <c r="AQ267" s="1850"/>
      <c r="AR267" s="1852"/>
      <c r="AS267" s="1852"/>
      <c r="AT267" s="1852"/>
      <c r="AU267" s="1852"/>
      <c r="AV267" s="1852"/>
      <c r="AW267" s="1852"/>
      <c r="AX267" s="1852"/>
      <c r="AY267" s="1852"/>
      <c r="AZ267" s="1852"/>
      <c r="BA267" s="1852"/>
      <c r="BB267" s="1852"/>
      <c r="BC267" s="1852"/>
      <c r="BD267" s="1852">
        <f t="shared" si="128"/>
        <v>9.58</v>
      </c>
      <c r="BE267" s="1852">
        <f t="shared" si="128"/>
        <v>9.59</v>
      </c>
      <c r="BF267" s="1853">
        <f t="shared" si="128"/>
        <v>9.6</v>
      </c>
      <c r="BG267" s="1852"/>
      <c r="BH267" s="1852"/>
      <c r="BI267" s="1852"/>
      <c r="BJ267" s="1852"/>
      <c r="BK267" s="1852"/>
      <c r="BL267" s="1832"/>
    </row>
    <row r="268" spans="1:64" s="1803" customFormat="1" ht="15" hidden="1" customHeight="1" outlineLevel="2" x14ac:dyDescent="0.35">
      <c r="A268" s="1609"/>
      <c r="B268" s="1716"/>
      <c r="C268" s="1515"/>
      <c r="D268" s="1515"/>
      <c r="E268" s="1515"/>
      <c r="F268" s="1515"/>
      <c r="G268" s="1515"/>
      <c r="H268" s="1515"/>
      <c r="I268" s="1515"/>
      <c r="J268" s="1515"/>
      <c r="K268" s="1515"/>
      <c r="L268" s="1515"/>
      <c r="M268" s="1515"/>
      <c r="N268" s="1515"/>
      <c r="O268" s="1515"/>
      <c r="P268" s="1515"/>
      <c r="Q268" s="1515"/>
      <c r="R268" s="1515"/>
      <c r="S268" s="1515"/>
      <c r="T268" s="1515"/>
      <c r="U268" s="1515"/>
      <c r="V268" s="1515"/>
      <c r="W268" s="1515"/>
      <c r="X268" s="1515"/>
      <c r="Y268" s="1515"/>
      <c r="Z268" s="1515"/>
      <c r="AA268" s="1515"/>
      <c r="AB268" s="1515"/>
      <c r="AC268" s="1515"/>
      <c r="AD268" s="1515"/>
      <c r="AE268" s="1515"/>
      <c r="AF268" s="1515"/>
      <c r="AG268" s="1515"/>
      <c r="AH268" s="1515"/>
      <c r="AI268" s="1515"/>
      <c r="AJ268" s="1516"/>
      <c r="AK268" s="1515"/>
      <c r="AL268" s="1515"/>
      <c r="AM268" s="1515"/>
      <c r="AN268" s="1515"/>
      <c r="AO268" s="1515"/>
      <c r="AP268" s="1515"/>
      <c r="AQ268" s="1515"/>
      <c r="AR268" s="1595"/>
      <c r="AS268" s="1595"/>
      <c r="AT268" s="1595"/>
      <c r="AU268" s="1595"/>
      <c r="AV268" s="1595"/>
      <c r="AW268" s="1595"/>
      <c r="AX268" s="1595"/>
      <c r="AY268" s="1595"/>
      <c r="AZ268" s="1595"/>
      <c r="BA268" s="1595"/>
      <c r="BB268" s="1595"/>
      <c r="BC268" s="1595"/>
      <c r="BD268" s="1595"/>
      <c r="BE268" s="1595"/>
      <c r="BF268" s="1610"/>
      <c r="BG268" s="1595"/>
      <c r="BH268" s="1595"/>
      <c r="BI268" s="1595"/>
      <c r="BJ268" s="1595"/>
      <c r="BK268" s="1595"/>
      <c r="BL268" s="1517"/>
    </row>
    <row r="269" spans="1:64" s="1803" customFormat="1" ht="15" hidden="1" customHeight="1" outlineLevel="2" x14ac:dyDescent="0.35">
      <c r="A269" s="1860" t="s">
        <v>1064</v>
      </c>
      <c r="B269" s="1712"/>
      <c r="C269" s="1667"/>
      <c r="D269" s="1667"/>
      <c r="E269" s="1667"/>
      <c r="F269" s="1667"/>
      <c r="G269" s="1667"/>
      <c r="H269" s="1667"/>
      <c r="I269" s="1667"/>
      <c r="J269" s="1667"/>
      <c r="K269" s="1667"/>
      <c r="L269" s="1667"/>
      <c r="M269" s="1667"/>
      <c r="N269" s="1667"/>
      <c r="O269" s="1667"/>
      <c r="P269" s="1667"/>
      <c r="Q269" s="1667"/>
      <c r="R269" s="1667"/>
      <c r="S269" s="1667"/>
      <c r="T269" s="1667"/>
      <c r="U269" s="1667"/>
      <c r="V269" s="1667"/>
      <c r="W269" s="1667"/>
      <c r="X269" s="1667"/>
      <c r="Y269" s="1677">
        <v>6.4509780000000001</v>
      </c>
      <c r="Z269" s="1667">
        <f>BD269</f>
        <v>6.4509780000000001</v>
      </c>
      <c r="AA269" s="1677">
        <v>6.4424919999999997</v>
      </c>
      <c r="AB269" s="1677">
        <v>6.381068</v>
      </c>
      <c r="AC269" s="1677">
        <v>6.2217180000000001</v>
      </c>
      <c r="AD269" s="1667">
        <f>BE269</f>
        <v>6.2082740000000003</v>
      </c>
      <c r="AE269" s="1677">
        <v>6.2082740000000003</v>
      </c>
      <c r="AF269" s="1677">
        <v>6.1449380000000007</v>
      </c>
      <c r="AG269" s="1677">
        <v>5.994491</v>
      </c>
      <c r="AH269" s="1667">
        <f>BF269</f>
        <v>5.6357419999999996</v>
      </c>
      <c r="AI269" s="1677">
        <v>4.061795</v>
      </c>
      <c r="AJ269" s="1713">
        <v>3.9577059999999999</v>
      </c>
      <c r="AK269" s="1667"/>
      <c r="AL269" s="1667"/>
      <c r="AM269" s="1667"/>
      <c r="AN269" s="1667"/>
      <c r="AO269" s="1667"/>
      <c r="AP269" s="1667"/>
      <c r="AQ269" s="1667"/>
      <c r="AR269" s="1669"/>
      <c r="AS269" s="1669"/>
      <c r="AT269" s="1669"/>
      <c r="AU269" s="1669"/>
      <c r="AV269" s="1669"/>
      <c r="AW269" s="1669"/>
      <c r="AX269" s="1669"/>
      <c r="AY269" s="1669"/>
      <c r="AZ269" s="1669"/>
      <c r="BA269" s="1669"/>
      <c r="BB269" s="1669"/>
      <c r="BC269" s="1669"/>
      <c r="BD269" s="1714">
        <v>6.4509780000000001</v>
      </c>
      <c r="BE269" s="1714">
        <v>6.2082740000000003</v>
      </c>
      <c r="BF269" s="1715">
        <v>5.6357419999999996</v>
      </c>
      <c r="BG269" s="1669"/>
      <c r="BH269" s="1669"/>
      <c r="BI269" s="1669"/>
      <c r="BJ269" s="1669"/>
      <c r="BK269" s="1669"/>
      <c r="BL269" s="1515"/>
    </row>
    <row r="270" spans="1:64" s="1803" customFormat="1" ht="15" hidden="1" customHeight="1" outlineLevel="2" x14ac:dyDescent="0.35">
      <c r="A270" s="1860" t="s">
        <v>1065</v>
      </c>
      <c r="B270" s="1712"/>
      <c r="C270" s="1861"/>
      <c r="D270" s="1861"/>
      <c r="E270" s="1861"/>
      <c r="F270" s="1861"/>
      <c r="G270" s="1861"/>
      <c r="H270" s="1861"/>
      <c r="I270" s="1861"/>
      <c r="J270" s="1861"/>
      <c r="K270" s="1861"/>
      <c r="L270" s="1861"/>
      <c r="M270" s="1861"/>
      <c r="N270" s="1861"/>
      <c r="O270" s="1861"/>
      <c r="P270" s="1861"/>
      <c r="Q270" s="1861"/>
      <c r="R270" s="1861"/>
      <c r="S270" s="1861"/>
      <c r="T270" s="1861"/>
      <c r="U270" s="1861"/>
      <c r="V270" s="1861"/>
      <c r="W270" s="1861"/>
      <c r="X270" s="1861"/>
      <c r="Y270" s="1862">
        <v>9.58</v>
      </c>
      <c r="Z270" s="1861">
        <f>BD270</f>
        <v>9.58</v>
      </c>
      <c r="AA270" s="1862">
        <v>9.58</v>
      </c>
      <c r="AB270" s="1862">
        <v>9.58</v>
      </c>
      <c r="AC270" s="1862">
        <v>9.59</v>
      </c>
      <c r="AD270" s="1861">
        <f>BE270</f>
        <v>9.59</v>
      </c>
      <c r="AE270" s="1862">
        <v>9.59</v>
      </c>
      <c r="AF270" s="1862">
        <v>9.59</v>
      </c>
      <c r="AG270" s="1862">
        <v>9.59</v>
      </c>
      <c r="AH270" s="1861">
        <f>BF270</f>
        <v>9.6</v>
      </c>
      <c r="AI270" s="1862">
        <v>9.59</v>
      </c>
      <c r="AJ270" s="1863">
        <v>9.59</v>
      </c>
      <c r="AK270" s="1861"/>
      <c r="AL270" s="1861"/>
      <c r="AM270" s="1861"/>
      <c r="AN270" s="1861"/>
      <c r="AO270" s="1861"/>
      <c r="AP270" s="1861"/>
      <c r="AQ270" s="1861"/>
      <c r="AR270" s="1864"/>
      <c r="AS270" s="1864"/>
      <c r="AT270" s="1864"/>
      <c r="AU270" s="1864"/>
      <c r="AV270" s="1864"/>
      <c r="AW270" s="1864"/>
      <c r="AX270" s="1864"/>
      <c r="AY270" s="1864"/>
      <c r="AZ270" s="1864"/>
      <c r="BA270" s="1864"/>
      <c r="BB270" s="1864"/>
      <c r="BC270" s="1864"/>
      <c r="BD270" s="1865">
        <v>9.58</v>
      </c>
      <c r="BE270" s="1865">
        <v>9.59</v>
      </c>
      <c r="BF270" s="1866">
        <v>9.6</v>
      </c>
      <c r="BG270" s="1864"/>
      <c r="BH270" s="1864"/>
      <c r="BI270" s="1864"/>
      <c r="BJ270" s="1864"/>
      <c r="BK270" s="1864"/>
      <c r="BL270" s="1515"/>
    </row>
    <row r="271" spans="1:64" s="1803" customFormat="1" ht="15" hidden="1" customHeight="1" outlineLevel="2" x14ac:dyDescent="0.35">
      <c r="A271" s="1609"/>
      <c r="B271" s="1716"/>
      <c r="C271" s="1515"/>
      <c r="D271" s="1515"/>
      <c r="E271" s="1515"/>
      <c r="F271" s="1515"/>
      <c r="G271" s="1515"/>
      <c r="H271" s="1515"/>
      <c r="I271" s="1515"/>
      <c r="J271" s="1515"/>
      <c r="K271" s="1515"/>
      <c r="L271" s="1515"/>
      <c r="M271" s="1515"/>
      <c r="N271" s="1515"/>
      <c r="O271" s="1515"/>
      <c r="P271" s="1515"/>
      <c r="Q271" s="1515"/>
      <c r="R271" s="1515"/>
      <c r="S271" s="1515"/>
      <c r="T271" s="1515"/>
      <c r="U271" s="1515"/>
      <c r="V271" s="1515"/>
      <c r="W271" s="1515"/>
      <c r="X271" s="1515"/>
      <c r="Y271" s="1515"/>
      <c r="Z271" s="1515"/>
      <c r="AA271" s="1515"/>
      <c r="AB271" s="1515"/>
      <c r="AC271" s="1515"/>
      <c r="AD271" s="1515"/>
      <c r="AE271" s="1515"/>
      <c r="AF271" s="1515"/>
      <c r="AG271" s="1515"/>
      <c r="AH271" s="1515"/>
      <c r="AI271" s="1515"/>
      <c r="AJ271" s="1516"/>
      <c r="AK271" s="1515"/>
      <c r="AL271" s="1515"/>
      <c r="AM271" s="1515"/>
      <c r="AN271" s="1515"/>
      <c r="AO271" s="1515"/>
      <c r="AP271" s="1515"/>
      <c r="AQ271" s="1515"/>
      <c r="AR271" s="1595"/>
      <c r="AS271" s="1595"/>
      <c r="AT271" s="1595"/>
      <c r="AU271" s="1595"/>
      <c r="AV271" s="1595"/>
      <c r="AW271" s="1595"/>
      <c r="AX271" s="1595"/>
      <c r="AY271" s="1595"/>
      <c r="AZ271" s="1595"/>
      <c r="BA271" s="1595"/>
      <c r="BB271" s="1595"/>
      <c r="BC271" s="1595"/>
      <c r="BD271" s="1595"/>
      <c r="BE271" s="1595"/>
      <c r="BF271" s="1610"/>
      <c r="BG271" s="1595"/>
      <c r="BH271" s="1595"/>
      <c r="BI271" s="1595"/>
      <c r="BJ271" s="1595"/>
      <c r="BK271" s="1595"/>
      <c r="BL271" s="1517"/>
    </row>
    <row r="272" spans="1:64" s="1518" customFormat="1" ht="15" hidden="1" customHeight="1" outlineLevel="3" x14ac:dyDescent="0.35">
      <c r="A272" s="1678" t="s">
        <v>1066</v>
      </c>
      <c r="B272" s="1716"/>
      <c r="C272" s="1515"/>
      <c r="D272" s="1515"/>
      <c r="E272" s="1515"/>
      <c r="F272" s="1515"/>
      <c r="G272" s="1515"/>
      <c r="H272" s="1515"/>
      <c r="I272" s="1515"/>
      <c r="J272" s="1515"/>
      <c r="K272" s="1515"/>
      <c r="L272" s="1515"/>
      <c r="M272" s="1515"/>
      <c r="N272" s="1515"/>
      <c r="O272" s="1515"/>
      <c r="P272" s="1515"/>
      <c r="Q272" s="1515"/>
      <c r="R272" s="1515"/>
      <c r="S272" s="1515"/>
      <c r="T272" s="1515"/>
      <c r="U272" s="1515"/>
      <c r="V272" s="1515"/>
      <c r="W272" s="1515"/>
      <c r="X272" s="1515"/>
      <c r="Y272" s="1593">
        <v>3.12079</v>
      </c>
      <c r="Z272" s="1515">
        <f>Y272</f>
        <v>3.12079</v>
      </c>
      <c r="AA272" s="1515">
        <f>BD276</f>
        <v>3.0968299999999997</v>
      </c>
      <c r="AB272" s="1515">
        <f>AA272</f>
        <v>3.0968299999999997</v>
      </c>
      <c r="AC272" s="1515">
        <f>AB272</f>
        <v>3.0968299999999997</v>
      </c>
      <c r="AD272" s="1515">
        <f>AC272</f>
        <v>3.0968299999999997</v>
      </c>
      <c r="AE272" s="1515">
        <f>BE276</f>
        <v>3.0818549999999996</v>
      </c>
      <c r="AF272" s="1515">
        <f>AE272</f>
        <v>3.0818549999999996</v>
      </c>
      <c r="AG272" s="1515">
        <f>AF272</f>
        <v>3.0818549999999996</v>
      </c>
      <c r="AH272" s="1515">
        <f>AG272</f>
        <v>3.0818549999999996</v>
      </c>
      <c r="AI272" s="1515">
        <f>BF276</f>
        <v>3.0369299999999995</v>
      </c>
      <c r="AJ272" s="1516">
        <f>AI272</f>
        <v>3.0369299999999995</v>
      </c>
      <c r="AK272" s="1515"/>
      <c r="AL272" s="1515"/>
      <c r="AM272" s="1515"/>
      <c r="AN272" s="1515"/>
      <c r="AO272" s="1515"/>
      <c r="AP272" s="1515"/>
      <c r="AQ272" s="1515"/>
      <c r="AR272" s="1595"/>
      <c r="AS272" s="1595"/>
      <c r="AT272" s="1595"/>
      <c r="AU272" s="1595"/>
      <c r="AV272" s="1595"/>
      <c r="AW272" s="1595"/>
      <c r="AX272" s="1595"/>
      <c r="AY272" s="1595"/>
      <c r="AZ272" s="1595"/>
      <c r="BA272" s="1595"/>
      <c r="BB272" s="1595"/>
      <c r="BC272" s="1595"/>
      <c r="BD272" s="1595">
        <f>Z272</f>
        <v>3.12079</v>
      </c>
      <c r="BE272" s="1595">
        <f>AD272</f>
        <v>3.0968299999999997</v>
      </c>
      <c r="BF272" s="1610">
        <f>AH272</f>
        <v>3.0818549999999996</v>
      </c>
      <c r="BG272" s="1595"/>
      <c r="BH272" s="1595"/>
      <c r="BI272" s="1595"/>
      <c r="BJ272" s="1595"/>
      <c r="BK272" s="1595"/>
      <c r="BL272" s="1517"/>
    </row>
    <row r="273" spans="1:64" s="1518" customFormat="1" ht="15" hidden="1" customHeight="1" outlineLevel="3" x14ac:dyDescent="0.35">
      <c r="A273" s="1816" t="s">
        <v>1067</v>
      </c>
      <c r="B273" s="1716"/>
      <c r="C273" s="1515"/>
      <c r="D273" s="1515"/>
      <c r="E273" s="1515"/>
      <c r="F273" s="1515"/>
      <c r="G273" s="1515"/>
      <c r="H273" s="1515"/>
      <c r="I273" s="1515"/>
      <c r="J273" s="1515"/>
      <c r="K273" s="1515"/>
      <c r="L273" s="1515"/>
      <c r="M273" s="1515"/>
      <c r="N273" s="1515"/>
      <c r="O273" s="1515"/>
      <c r="P273" s="1515"/>
      <c r="Q273" s="1515"/>
      <c r="R273" s="1515"/>
      <c r="S273" s="1515"/>
      <c r="T273" s="1515"/>
      <c r="U273" s="1515"/>
      <c r="V273" s="1515"/>
      <c r="W273" s="1515"/>
      <c r="X273" s="1515"/>
      <c r="Y273" s="1593">
        <v>0</v>
      </c>
      <c r="Z273" s="1515"/>
      <c r="AA273" s="1515"/>
      <c r="AB273" s="1515"/>
      <c r="AC273" s="1515"/>
      <c r="AD273" s="1515"/>
      <c r="AE273" s="1515"/>
      <c r="AF273" s="1515"/>
      <c r="AG273" s="1515"/>
      <c r="AH273" s="1515"/>
      <c r="AI273" s="1515"/>
      <c r="AJ273" s="1516"/>
      <c r="AK273" s="1515"/>
      <c r="AL273" s="1515"/>
      <c r="AM273" s="1515"/>
      <c r="AN273" s="1515"/>
      <c r="AO273" s="1515"/>
      <c r="AP273" s="1515"/>
      <c r="AQ273" s="1515"/>
      <c r="AR273" s="1595"/>
      <c r="AS273" s="1595"/>
      <c r="AT273" s="1595"/>
      <c r="AU273" s="1595"/>
      <c r="AV273" s="1595"/>
      <c r="AW273" s="1595"/>
      <c r="AX273" s="1595"/>
      <c r="AY273" s="1595"/>
      <c r="AZ273" s="1595"/>
      <c r="BA273" s="1595"/>
      <c r="BB273" s="1595"/>
      <c r="BC273" s="1595"/>
      <c r="BD273" s="1596">
        <v>0</v>
      </c>
      <c r="BE273" s="1595"/>
      <c r="BF273" s="1610"/>
      <c r="BG273" s="1595"/>
      <c r="BH273" s="1595"/>
      <c r="BI273" s="1595"/>
      <c r="BJ273" s="1595"/>
      <c r="BK273" s="1595"/>
      <c r="BL273" s="1517"/>
    </row>
    <row r="274" spans="1:64" s="1518" customFormat="1" ht="15" hidden="1" customHeight="1" outlineLevel="3" x14ac:dyDescent="0.35">
      <c r="A274" s="1816" t="s">
        <v>1068</v>
      </c>
      <c r="B274" s="1716"/>
      <c r="C274" s="1515"/>
      <c r="D274" s="1515"/>
      <c r="E274" s="1515"/>
      <c r="F274" s="1515"/>
      <c r="G274" s="1515"/>
      <c r="H274" s="1515"/>
      <c r="I274" s="1515"/>
      <c r="J274" s="1515"/>
      <c r="K274" s="1515"/>
      <c r="L274" s="1515"/>
      <c r="M274" s="1515"/>
      <c r="N274" s="1515"/>
      <c r="O274" s="1515"/>
      <c r="P274" s="1515"/>
      <c r="Q274" s="1515"/>
      <c r="R274" s="1515"/>
      <c r="S274" s="1515"/>
      <c r="T274" s="1515"/>
      <c r="U274" s="1515"/>
      <c r="V274" s="1515"/>
      <c r="W274" s="1515"/>
      <c r="X274" s="1515"/>
      <c r="Y274" s="1593">
        <v>0</v>
      </c>
      <c r="Z274" s="1515"/>
      <c r="AA274" s="1593">
        <v>0</v>
      </c>
      <c r="AB274" s="1593">
        <v>-1.4975E-2</v>
      </c>
      <c r="AC274" s="1593">
        <v>-1.4975E-2</v>
      </c>
      <c r="AD274" s="1515">
        <f>BE274</f>
        <v>-1.4975E-2</v>
      </c>
      <c r="AE274" s="1515"/>
      <c r="AF274" s="1515"/>
      <c r="AG274" s="1593">
        <v>-1.4975E-2</v>
      </c>
      <c r="AH274" s="1515">
        <f>BF274</f>
        <v>-4.4925E-2</v>
      </c>
      <c r="AI274" s="1593">
        <v>-1.841326</v>
      </c>
      <c r="AJ274" s="1594">
        <v>-1.841326</v>
      </c>
      <c r="AK274" s="1515"/>
      <c r="AL274" s="1515"/>
      <c r="AM274" s="1515"/>
      <c r="AN274" s="1515"/>
      <c r="AO274" s="1515"/>
      <c r="AP274" s="1515"/>
      <c r="AQ274" s="1515"/>
      <c r="AR274" s="1595"/>
      <c r="AS274" s="1595"/>
      <c r="AT274" s="1595"/>
      <c r="AU274" s="1595"/>
      <c r="AV274" s="1595"/>
      <c r="AW274" s="1595"/>
      <c r="AX274" s="1595"/>
      <c r="AY274" s="1595"/>
      <c r="AZ274" s="1595"/>
      <c r="BA274" s="1595"/>
      <c r="BB274" s="1595"/>
      <c r="BC274" s="1595"/>
      <c r="BD274" s="1596">
        <v>0</v>
      </c>
      <c r="BE274" s="1596">
        <v>-1.4975E-2</v>
      </c>
      <c r="BF274" s="1597">
        <v>-4.4925E-2</v>
      </c>
      <c r="BG274" s="1595"/>
      <c r="BH274" s="1595"/>
      <c r="BI274" s="1595"/>
      <c r="BJ274" s="1595"/>
      <c r="BK274" s="1595"/>
      <c r="BL274" s="1517"/>
    </row>
    <row r="275" spans="1:64" s="1518" customFormat="1" ht="15" hidden="1" customHeight="1" outlineLevel="3" x14ac:dyDescent="0.35">
      <c r="A275" s="1823" t="s">
        <v>1069</v>
      </c>
      <c r="B275" s="1738"/>
      <c r="C275" s="1681"/>
      <c r="D275" s="1681"/>
      <c r="E275" s="1681"/>
      <c r="F275" s="1681"/>
      <c r="G275" s="1681"/>
      <c r="H275" s="1681"/>
      <c r="I275" s="1681"/>
      <c r="J275" s="1681"/>
      <c r="K275" s="1681"/>
      <c r="L275" s="1681"/>
      <c r="M275" s="1681"/>
      <c r="N275" s="1681"/>
      <c r="O275" s="1681"/>
      <c r="P275" s="1681"/>
      <c r="Q275" s="1681"/>
      <c r="R275" s="1681"/>
      <c r="S275" s="1681"/>
      <c r="T275" s="1681"/>
      <c r="U275" s="1681"/>
      <c r="V275" s="1681"/>
      <c r="W275" s="1681"/>
      <c r="X275" s="1681"/>
      <c r="Y275" s="1736">
        <v>-2.3959999999999999E-2</v>
      </c>
      <c r="Z275" s="1681">
        <f>BD275</f>
        <v>-2.3959999999999999E-2</v>
      </c>
      <c r="AA275" s="1681"/>
      <c r="AB275" s="1681"/>
      <c r="AC275" s="1681"/>
      <c r="AD275" s="1681"/>
      <c r="AE275" s="1681"/>
      <c r="AF275" s="1681"/>
      <c r="AG275" s="1681"/>
      <c r="AH275" s="1681"/>
      <c r="AI275" s="1681"/>
      <c r="AJ275" s="1682"/>
      <c r="AK275" s="1681"/>
      <c r="AL275" s="1681"/>
      <c r="AM275" s="1681"/>
      <c r="AN275" s="1681"/>
      <c r="AO275" s="1681"/>
      <c r="AP275" s="1681"/>
      <c r="AQ275" s="1681"/>
      <c r="AR275" s="1683"/>
      <c r="AS275" s="1683"/>
      <c r="AT275" s="1683"/>
      <c r="AU275" s="1683"/>
      <c r="AV275" s="1683"/>
      <c r="AW275" s="1683"/>
      <c r="AX275" s="1683"/>
      <c r="AY275" s="1683"/>
      <c r="AZ275" s="1683"/>
      <c r="BA275" s="1683"/>
      <c r="BB275" s="1683"/>
      <c r="BC275" s="1683"/>
      <c r="BD275" s="1740">
        <v>-2.3959999999999999E-2</v>
      </c>
      <c r="BE275" s="1683"/>
      <c r="BF275" s="1684"/>
      <c r="BG275" s="1683"/>
      <c r="BH275" s="1683"/>
      <c r="BI275" s="1683"/>
      <c r="BJ275" s="1683"/>
      <c r="BK275" s="1683"/>
      <c r="BL275" s="1517"/>
    </row>
    <row r="276" spans="1:64" s="1518" customFormat="1" ht="15" hidden="1" customHeight="1" outlineLevel="3" x14ac:dyDescent="0.35">
      <c r="A276" s="1678" t="s">
        <v>1070</v>
      </c>
      <c r="B276" s="1716"/>
      <c r="C276" s="1515"/>
      <c r="D276" s="1515"/>
      <c r="E276" s="1515"/>
      <c r="F276" s="1515"/>
      <c r="G276" s="1515"/>
      <c r="H276" s="1515"/>
      <c r="I276" s="1515"/>
      <c r="J276" s="1515"/>
      <c r="K276" s="1515"/>
      <c r="L276" s="1515"/>
      <c r="M276" s="1515"/>
      <c r="N276" s="1515"/>
      <c r="O276" s="1515"/>
      <c r="P276" s="1515"/>
      <c r="Q276" s="1515"/>
      <c r="R276" s="1515"/>
      <c r="S276" s="1515"/>
      <c r="T276" s="1515"/>
      <c r="U276" s="1515"/>
      <c r="V276" s="1515"/>
      <c r="W276" s="1515"/>
      <c r="X276" s="1515"/>
      <c r="Y276" s="1515">
        <f t="shared" ref="Y276:AJ276" si="131">Y272+Y273+Y274+Y275</f>
        <v>3.0968299999999997</v>
      </c>
      <c r="Z276" s="1515">
        <f t="shared" si="131"/>
        <v>3.0968299999999997</v>
      </c>
      <c r="AA276" s="1515">
        <f t="shared" si="131"/>
        <v>3.0968299999999997</v>
      </c>
      <c r="AB276" s="1515">
        <f t="shared" si="131"/>
        <v>3.0818549999999996</v>
      </c>
      <c r="AC276" s="1515">
        <f t="shared" si="131"/>
        <v>3.0818549999999996</v>
      </c>
      <c r="AD276" s="1515">
        <f t="shared" si="131"/>
        <v>3.0818549999999996</v>
      </c>
      <c r="AE276" s="1515">
        <f t="shared" si="131"/>
        <v>3.0818549999999996</v>
      </c>
      <c r="AF276" s="1515">
        <f t="shared" si="131"/>
        <v>3.0818549999999996</v>
      </c>
      <c r="AG276" s="1515">
        <f t="shared" si="131"/>
        <v>3.0668799999999994</v>
      </c>
      <c r="AH276" s="1515">
        <f t="shared" si="131"/>
        <v>3.0369299999999995</v>
      </c>
      <c r="AI276" s="1515">
        <f t="shared" si="131"/>
        <v>1.1956039999999994</v>
      </c>
      <c r="AJ276" s="1516">
        <f t="shared" si="131"/>
        <v>1.1956039999999994</v>
      </c>
      <c r="AK276" s="1515"/>
      <c r="AL276" s="1515"/>
      <c r="AM276" s="1515"/>
      <c r="AN276" s="1515"/>
      <c r="AO276" s="1515"/>
      <c r="AP276" s="1515"/>
      <c r="AQ276" s="1515"/>
      <c r="AR276" s="1595"/>
      <c r="AS276" s="1595"/>
      <c r="AT276" s="1595"/>
      <c r="AU276" s="1595"/>
      <c r="AV276" s="1595"/>
      <c r="AW276" s="1595"/>
      <c r="AX276" s="1595"/>
      <c r="AY276" s="1595"/>
      <c r="AZ276" s="1595"/>
      <c r="BA276" s="1595"/>
      <c r="BB276" s="1595"/>
      <c r="BC276" s="1595"/>
      <c r="BD276" s="1595">
        <f>BD272+BD273+BD274+BD275</f>
        <v>3.0968299999999997</v>
      </c>
      <c r="BE276" s="1595">
        <f>BE272+BE273+BE274+BE275</f>
        <v>3.0818549999999996</v>
      </c>
      <c r="BF276" s="1610">
        <f>BF272+BF273+BF274+BF275</f>
        <v>3.0369299999999995</v>
      </c>
      <c r="BG276" s="1595"/>
      <c r="BH276" s="1595"/>
      <c r="BI276" s="1595"/>
      <c r="BJ276" s="1595"/>
      <c r="BK276" s="1595"/>
      <c r="BL276" s="1517"/>
    </row>
    <row r="277" spans="1:64" s="1803" customFormat="1" ht="15" hidden="1" customHeight="1" outlineLevel="3" x14ac:dyDescent="0.35">
      <c r="A277" s="1609"/>
      <c r="B277" s="1716"/>
      <c r="C277" s="1515"/>
      <c r="D277" s="1515"/>
      <c r="E277" s="1515"/>
      <c r="F277" s="1515"/>
      <c r="G277" s="1515"/>
      <c r="H277" s="1515"/>
      <c r="I277" s="1515"/>
      <c r="J277" s="1515"/>
      <c r="K277" s="1515"/>
      <c r="L277" s="1515"/>
      <c r="M277" s="1515"/>
      <c r="N277" s="1515"/>
      <c r="O277" s="1515"/>
      <c r="P277" s="1515"/>
      <c r="Q277" s="1515"/>
      <c r="R277" s="1515"/>
      <c r="S277" s="1515"/>
      <c r="T277" s="1515"/>
      <c r="U277" s="1515"/>
      <c r="V277" s="1515"/>
      <c r="W277" s="1515"/>
      <c r="X277" s="1515"/>
      <c r="Y277" s="1515"/>
      <c r="Z277" s="1515"/>
      <c r="AA277" s="1515"/>
      <c r="AB277" s="1515"/>
      <c r="AC277" s="1515"/>
      <c r="AD277" s="1515"/>
      <c r="AE277" s="1515"/>
      <c r="AF277" s="1515"/>
      <c r="AG277" s="1515"/>
      <c r="AH277" s="1515"/>
      <c r="AI277" s="1515"/>
      <c r="AJ277" s="1516"/>
      <c r="AK277" s="1515"/>
      <c r="AL277" s="1515"/>
      <c r="AM277" s="1515"/>
      <c r="AN277" s="1515"/>
      <c r="AO277" s="1515"/>
      <c r="AP277" s="1515"/>
      <c r="AQ277" s="1515"/>
      <c r="AR277" s="1595"/>
      <c r="AS277" s="1595"/>
      <c r="AT277" s="1595"/>
      <c r="AU277" s="1595"/>
      <c r="AV277" s="1595"/>
      <c r="AW277" s="1595"/>
      <c r="AX277" s="1595"/>
      <c r="AY277" s="1595"/>
      <c r="AZ277" s="1595"/>
      <c r="BA277" s="1595"/>
      <c r="BB277" s="1595"/>
      <c r="BC277" s="1595"/>
      <c r="BD277" s="1595"/>
      <c r="BE277" s="1595"/>
      <c r="BF277" s="1610"/>
      <c r="BG277" s="1595"/>
      <c r="BH277" s="1595"/>
      <c r="BI277" s="1595"/>
      <c r="BJ277" s="1595"/>
      <c r="BK277" s="1595"/>
      <c r="BL277" s="1517"/>
    </row>
    <row r="278" spans="1:64" s="1803" customFormat="1" ht="15" hidden="1" customHeight="1" outlineLevel="3" x14ac:dyDescent="0.35">
      <c r="A278" s="1678" t="s">
        <v>1071</v>
      </c>
      <c r="B278" s="1716"/>
      <c r="C278" s="1515"/>
      <c r="D278" s="1515"/>
      <c r="E278" s="1515"/>
      <c r="F278" s="1515"/>
      <c r="G278" s="1515"/>
      <c r="H278" s="1515"/>
      <c r="I278" s="1515"/>
      <c r="J278" s="1515"/>
      <c r="K278" s="1515"/>
      <c r="L278" s="1515"/>
      <c r="M278" s="1515"/>
      <c r="N278" s="1515"/>
      <c r="O278" s="1515"/>
      <c r="P278" s="1515"/>
      <c r="Q278" s="1515"/>
      <c r="R278" s="1515"/>
      <c r="S278" s="1515"/>
      <c r="T278" s="1515"/>
      <c r="U278" s="1515"/>
      <c r="V278" s="1515"/>
      <c r="W278" s="1515"/>
      <c r="X278" s="1515"/>
      <c r="Y278" s="1515"/>
      <c r="Z278" s="1515">
        <f>Y282</f>
        <v>3.0968299999999997</v>
      </c>
      <c r="AA278" s="1515">
        <f>BD282</f>
        <v>3.0968299999999997</v>
      </c>
      <c r="AB278" s="1515">
        <f>AA282</f>
        <v>3.0968299999999997</v>
      </c>
      <c r="AC278" s="1515">
        <f>AB282</f>
        <v>3.0818549999999996</v>
      </c>
      <c r="AD278" s="1515">
        <f>AC282</f>
        <v>3.0818549999999996</v>
      </c>
      <c r="AE278" s="1515">
        <f>BE282</f>
        <v>3.0818549999999996</v>
      </c>
      <c r="AF278" s="1515">
        <f>AE282</f>
        <v>3.0818549999999996</v>
      </c>
      <c r="AG278" s="1515">
        <f>AF282</f>
        <v>3.0818549999999996</v>
      </c>
      <c r="AH278" s="1515">
        <f>AG282</f>
        <v>3.0668799999999994</v>
      </c>
      <c r="AI278" s="1515">
        <f>BF282</f>
        <v>3.0369299999999995</v>
      </c>
      <c r="AJ278" s="1516">
        <f>AI282</f>
        <v>1.1956039999999994</v>
      </c>
      <c r="AK278" s="1515"/>
      <c r="AL278" s="1515"/>
      <c r="AM278" s="1515"/>
      <c r="AN278" s="1515"/>
      <c r="AO278" s="1515"/>
      <c r="AP278" s="1515"/>
      <c r="AQ278" s="1515"/>
      <c r="AR278" s="1595"/>
      <c r="AS278" s="1595"/>
      <c r="AT278" s="1595"/>
      <c r="AU278" s="1595"/>
      <c r="AV278" s="1595"/>
      <c r="AW278" s="1595"/>
      <c r="AX278" s="1595"/>
      <c r="AY278" s="1595"/>
      <c r="AZ278" s="1595"/>
      <c r="BA278" s="1595"/>
      <c r="BB278" s="1595"/>
      <c r="BC278" s="1595"/>
      <c r="BD278" s="1595">
        <f>BD272</f>
        <v>3.12079</v>
      </c>
      <c r="BE278" s="1595">
        <f>BD282</f>
        <v>3.0968299999999997</v>
      </c>
      <c r="BF278" s="1610">
        <f>BE282</f>
        <v>3.0818549999999996</v>
      </c>
      <c r="BG278" s="1595"/>
      <c r="BH278" s="1595"/>
      <c r="BI278" s="1595"/>
      <c r="BJ278" s="1595"/>
      <c r="BK278" s="1595"/>
      <c r="BL278" s="1517"/>
    </row>
    <row r="279" spans="1:64" s="1803" customFormat="1" ht="15" hidden="1" customHeight="1" outlineLevel="3" x14ac:dyDescent="0.35">
      <c r="A279" s="1816" t="s">
        <v>1072</v>
      </c>
      <c r="B279" s="1716"/>
      <c r="C279" s="1515"/>
      <c r="D279" s="1515"/>
      <c r="E279" s="1515"/>
      <c r="F279" s="1515"/>
      <c r="G279" s="1515"/>
      <c r="H279" s="1515"/>
      <c r="I279" s="1515"/>
      <c r="J279" s="1515"/>
      <c r="K279" s="1515"/>
      <c r="L279" s="1515"/>
      <c r="M279" s="1515"/>
      <c r="N279" s="1515"/>
      <c r="O279" s="1515"/>
      <c r="P279" s="1515"/>
      <c r="Q279" s="1515"/>
      <c r="R279" s="1515"/>
      <c r="S279" s="1515"/>
      <c r="T279" s="1515"/>
      <c r="U279" s="1515"/>
      <c r="V279" s="1515"/>
      <c r="W279" s="1515"/>
      <c r="X279" s="1515"/>
      <c r="Y279" s="1515"/>
      <c r="Z279" s="1515">
        <f>Z273-Y273</f>
        <v>0</v>
      </c>
      <c r="AA279" s="1515">
        <f>AA273</f>
        <v>0</v>
      </c>
      <c r="AB279" s="1515">
        <f t="shared" ref="AB279:AD281" si="132">AB273-AA273</f>
        <v>0</v>
      </c>
      <c r="AC279" s="1515">
        <f t="shared" si="132"/>
        <v>0</v>
      </c>
      <c r="AD279" s="1515">
        <f t="shared" si="132"/>
        <v>0</v>
      </c>
      <c r="AE279" s="1515">
        <f>AE273</f>
        <v>0</v>
      </c>
      <c r="AF279" s="1515">
        <f t="shared" ref="AF279:AH281" si="133">AF273-AE273</f>
        <v>0</v>
      </c>
      <c r="AG279" s="1515">
        <f t="shared" si="133"/>
        <v>0</v>
      </c>
      <c r="AH279" s="1515">
        <f t="shared" si="133"/>
        <v>0</v>
      </c>
      <c r="AI279" s="1515">
        <f>AI273</f>
        <v>0</v>
      </c>
      <c r="AJ279" s="1516">
        <f>AJ273-AI273</f>
        <v>0</v>
      </c>
      <c r="AK279" s="1515"/>
      <c r="AL279" s="1515"/>
      <c r="AM279" s="1515"/>
      <c r="AN279" s="1515"/>
      <c r="AO279" s="1515"/>
      <c r="AP279" s="1515"/>
      <c r="AQ279" s="1515"/>
      <c r="AR279" s="1595"/>
      <c r="AS279" s="1595"/>
      <c r="AT279" s="1595"/>
      <c r="AU279" s="1595"/>
      <c r="AV279" s="1595"/>
      <c r="AW279" s="1595"/>
      <c r="AX279" s="1595"/>
      <c r="AY279" s="1595"/>
      <c r="AZ279" s="1595"/>
      <c r="BA279" s="1595"/>
      <c r="BB279" s="1595"/>
      <c r="BC279" s="1595"/>
      <c r="BD279" s="1595">
        <f>BD273</f>
        <v>0</v>
      </c>
      <c r="BE279" s="1595">
        <f t="shared" ref="BE279:BF281" si="134">BE273</f>
        <v>0</v>
      </c>
      <c r="BF279" s="1610">
        <f t="shared" si="134"/>
        <v>0</v>
      </c>
      <c r="BG279" s="1595"/>
      <c r="BH279" s="1595"/>
      <c r="BI279" s="1595"/>
      <c r="BJ279" s="1595"/>
      <c r="BK279" s="1595"/>
      <c r="BL279" s="1517"/>
    </row>
    <row r="280" spans="1:64" s="1803" customFormat="1" ht="15" hidden="1" customHeight="1" outlineLevel="3" x14ac:dyDescent="0.35">
      <c r="A280" s="1816" t="s">
        <v>1073</v>
      </c>
      <c r="B280" s="1716"/>
      <c r="C280" s="1515"/>
      <c r="D280" s="1515"/>
      <c r="E280" s="1515"/>
      <c r="F280" s="1515"/>
      <c r="G280" s="1515"/>
      <c r="H280" s="1515"/>
      <c r="I280" s="1515"/>
      <c r="J280" s="1515"/>
      <c r="K280" s="1515"/>
      <c r="L280" s="1515"/>
      <c r="M280" s="1515"/>
      <c r="N280" s="1515"/>
      <c r="O280" s="1515"/>
      <c r="P280" s="1515"/>
      <c r="Q280" s="1515"/>
      <c r="R280" s="1515"/>
      <c r="S280" s="1515"/>
      <c r="T280" s="1515"/>
      <c r="U280" s="1515"/>
      <c r="V280" s="1515"/>
      <c r="W280" s="1515"/>
      <c r="X280" s="1515"/>
      <c r="Y280" s="1515"/>
      <c r="Z280" s="1515">
        <f>Z274-Y274</f>
        <v>0</v>
      </c>
      <c r="AA280" s="1515">
        <f>AA274</f>
        <v>0</v>
      </c>
      <c r="AB280" s="1515">
        <f t="shared" si="132"/>
        <v>-1.4975E-2</v>
      </c>
      <c r="AC280" s="1515">
        <f t="shared" si="132"/>
        <v>0</v>
      </c>
      <c r="AD280" s="1515">
        <f t="shared" si="132"/>
        <v>0</v>
      </c>
      <c r="AE280" s="1515">
        <f>AE274</f>
        <v>0</v>
      </c>
      <c r="AF280" s="1515">
        <f t="shared" si="133"/>
        <v>0</v>
      </c>
      <c r="AG280" s="1515">
        <f t="shared" si="133"/>
        <v>-1.4975E-2</v>
      </c>
      <c r="AH280" s="1515">
        <f t="shared" si="133"/>
        <v>-2.9949999999999997E-2</v>
      </c>
      <c r="AI280" s="1515">
        <f>AI274</f>
        <v>-1.841326</v>
      </c>
      <c r="AJ280" s="1516">
        <f>AJ274-AI274</f>
        <v>0</v>
      </c>
      <c r="AK280" s="1515"/>
      <c r="AL280" s="1515"/>
      <c r="AM280" s="1515"/>
      <c r="AN280" s="1515"/>
      <c r="AO280" s="1515"/>
      <c r="AP280" s="1515"/>
      <c r="AQ280" s="1515"/>
      <c r="AR280" s="1595"/>
      <c r="AS280" s="1595"/>
      <c r="AT280" s="1595"/>
      <c r="AU280" s="1595"/>
      <c r="AV280" s="1595"/>
      <c r="AW280" s="1595"/>
      <c r="AX280" s="1595"/>
      <c r="AY280" s="1595"/>
      <c r="AZ280" s="1595"/>
      <c r="BA280" s="1595"/>
      <c r="BB280" s="1595"/>
      <c r="BC280" s="1595"/>
      <c r="BD280" s="1595">
        <f>BD274</f>
        <v>0</v>
      </c>
      <c r="BE280" s="1595">
        <f t="shared" si="134"/>
        <v>-1.4975E-2</v>
      </c>
      <c r="BF280" s="1610">
        <f t="shared" si="134"/>
        <v>-4.4925E-2</v>
      </c>
      <c r="BG280" s="1595"/>
      <c r="BH280" s="1595"/>
      <c r="BI280" s="1595"/>
      <c r="BJ280" s="1595"/>
      <c r="BK280" s="1595"/>
      <c r="BL280" s="1517"/>
    </row>
    <row r="281" spans="1:64" s="1803" customFormat="1" ht="15" hidden="1" customHeight="1" outlineLevel="3" x14ac:dyDescent="0.35">
      <c r="A281" s="1823" t="s">
        <v>1074</v>
      </c>
      <c r="B281" s="1738"/>
      <c r="C281" s="1681"/>
      <c r="D281" s="1681"/>
      <c r="E281" s="1681"/>
      <c r="F281" s="1681"/>
      <c r="G281" s="1681"/>
      <c r="H281" s="1681"/>
      <c r="I281" s="1681"/>
      <c r="J281" s="1681"/>
      <c r="K281" s="1681"/>
      <c r="L281" s="1681"/>
      <c r="M281" s="1681"/>
      <c r="N281" s="1681"/>
      <c r="O281" s="1681"/>
      <c r="P281" s="1681"/>
      <c r="Q281" s="1681"/>
      <c r="R281" s="1681"/>
      <c r="S281" s="1681"/>
      <c r="T281" s="1681"/>
      <c r="U281" s="1681"/>
      <c r="V281" s="1681"/>
      <c r="W281" s="1681"/>
      <c r="X281" s="1681"/>
      <c r="Y281" s="1681"/>
      <c r="Z281" s="1681">
        <f>Z275-Y275</f>
        <v>0</v>
      </c>
      <c r="AA281" s="1681">
        <f>AA275</f>
        <v>0</v>
      </c>
      <c r="AB281" s="1681">
        <f t="shared" si="132"/>
        <v>0</v>
      </c>
      <c r="AC281" s="1681">
        <f t="shared" si="132"/>
        <v>0</v>
      </c>
      <c r="AD281" s="1681">
        <f t="shared" si="132"/>
        <v>0</v>
      </c>
      <c r="AE281" s="1681">
        <f>AE275</f>
        <v>0</v>
      </c>
      <c r="AF281" s="1681">
        <f t="shared" si="133"/>
        <v>0</v>
      </c>
      <c r="AG281" s="1681">
        <f t="shared" si="133"/>
        <v>0</v>
      </c>
      <c r="AH281" s="1681">
        <f t="shared" si="133"/>
        <v>0</v>
      </c>
      <c r="AI281" s="1681">
        <f>AI275</f>
        <v>0</v>
      </c>
      <c r="AJ281" s="1682">
        <f>AJ275-AI275</f>
        <v>0</v>
      </c>
      <c r="AK281" s="1681"/>
      <c r="AL281" s="1681"/>
      <c r="AM281" s="1681"/>
      <c r="AN281" s="1681"/>
      <c r="AO281" s="1681"/>
      <c r="AP281" s="1681"/>
      <c r="AQ281" s="1681"/>
      <c r="AR281" s="1683"/>
      <c r="AS281" s="1683"/>
      <c r="AT281" s="1683"/>
      <c r="AU281" s="1683"/>
      <c r="AV281" s="1683"/>
      <c r="AW281" s="1683"/>
      <c r="AX281" s="1683"/>
      <c r="AY281" s="1683"/>
      <c r="AZ281" s="1683"/>
      <c r="BA281" s="1683"/>
      <c r="BB281" s="1683"/>
      <c r="BC281" s="1683"/>
      <c r="BD281" s="1683">
        <f>BD275</f>
        <v>-2.3959999999999999E-2</v>
      </c>
      <c r="BE281" s="1683">
        <f t="shared" si="134"/>
        <v>0</v>
      </c>
      <c r="BF281" s="1684">
        <f t="shared" si="134"/>
        <v>0</v>
      </c>
      <c r="BG281" s="1683"/>
      <c r="BH281" s="1683"/>
      <c r="BI281" s="1683"/>
      <c r="BJ281" s="1683"/>
      <c r="BK281" s="1683"/>
      <c r="BL281" s="1517"/>
    </row>
    <row r="282" spans="1:64" s="1518" customFormat="1" ht="15" hidden="1" customHeight="1" outlineLevel="2" collapsed="1" x14ac:dyDescent="0.35">
      <c r="A282" s="1678" t="s">
        <v>1075</v>
      </c>
      <c r="B282" s="1716"/>
      <c r="C282" s="1515"/>
      <c r="D282" s="1515"/>
      <c r="E282" s="1515"/>
      <c r="F282" s="1515"/>
      <c r="G282" s="1515"/>
      <c r="H282" s="1515"/>
      <c r="I282" s="1515"/>
      <c r="J282" s="1515"/>
      <c r="K282" s="1515"/>
      <c r="L282" s="1515"/>
      <c r="M282" s="1515"/>
      <c r="N282" s="1515"/>
      <c r="O282" s="1515"/>
      <c r="P282" s="1515"/>
      <c r="Q282" s="1515"/>
      <c r="R282" s="1515"/>
      <c r="S282" s="1515"/>
      <c r="T282" s="1515"/>
      <c r="U282" s="1515"/>
      <c r="V282" s="1515"/>
      <c r="W282" s="1515"/>
      <c r="X282" s="1515"/>
      <c r="Y282" s="1515">
        <f>Y276</f>
        <v>3.0968299999999997</v>
      </c>
      <c r="Z282" s="1515">
        <f t="shared" ref="Z282:AJ282" si="135">Z278+Z279+Z280+Z281</f>
        <v>3.0968299999999997</v>
      </c>
      <c r="AA282" s="1515">
        <f t="shared" si="135"/>
        <v>3.0968299999999997</v>
      </c>
      <c r="AB282" s="1515">
        <f t="shared" si="135"/>
        <v>3.0818549999999996</v>
      </c>
      <c r="AC282" s="1515">
        <f t="shared" si="135"/>
        <v>3.0818549999999996</v>
      </c>
      <c r="AD282" s="1515">
        <f t="shared" si="135"/>
        <v>3.0818549999999996</v>
      </c>
      <c r="AE282" s="1515">
        <f t="shared" si="135"/>
        <v>3.0818549999999996</v>
      </c>
      <c r="AF282" s="1515">
        <f t="shared" si="135"/>
        <v>3.0818549999999996</v>
      </c>
      <c r="AG282" s="1515">
        <f t="shared" si="135"/>
        <v>3.0668799999999994</v>
      </c>
      <c r="AH282" s="1515">
        <f t="shared" si="135"/>
        <v>3.0369299999999995</v>
      </c>
      <c r="AI282" s="1515">
        <f t="shared" si="135"/>
        <v>1.1956039999999994</v>
      </c>
      <c r="AJ282" s="1516">
        <f t="shared" si="135"/>
        <v>1.1956039999999994</v>
      </c>
      <c r="AK282" s="1515"/>
      <c r="AL282" s="1515"/>
      <c r="AM282" s="1515"/>
      <c r="AN282" s="1515"/>
      <c r="AO282" s="1515"/>
      <c r="AP282" s="1515"/>
      <c r="AQ282" s="1515"/>
      <c r="AR282" s="1595"/>
      <c r="AS282" s="1595"/>
      <c r="AT282" s="1595"/>
      <c r="AU282" s="1595"/>
      <c r="AV282" s="1595"/>
      <c r="AW282" s="1595"/>
      <c r="AX282" s="1595"/>
      <c r="AY282" s="1595"/>
      <c r="AZ282" s="1595"/>
      <c r="BA282" s="1595"/>
      <c r="BB282" s="1595"/>
      <c r="BC282" s="1595"/>
      <c r="BD282" s="1595">
        <f>BD278+BD279+BD280+BD281</f>
        <v>3.0968299999999997</v>
      </c>
      <c r="BE282" s="1595">
        <f>BE278+BE279+BE280+BE281</f>
        <v>3.0818549999999996</v>
      </c>
      <c r="BF282" s="1610">
        <f>BF278+BF279+BF280+BF281</f>
        <v>3.0369299999999995</v>
      </c>
      <c r="BG282" s="1595"/>
      <c r="BH282" s="1595"/>
      <c r="BI282" s="1595"/>
      <c r="BJ282" s="1595"/>
      <c r="BK282" s="1595"/>
      <c r="BL282" s="1517"/>
    </row>
    <row r="283" spans="1:64" s="1803" customFormat="1" ht="15" hidden="1" customHeight="1" outlineLevel="3" x14ac:dyDescent="0.35">
      <c r="A283" s="1609"/>
      <c r="B283" s="1716"/>
      <c r="C283" s="1515"/>
      <c r="D283" s="1515"/>
      <c r="E283" s="1515"/>
      <c r="F283" s="1515"/>
      <c r="G283" s="1515"/>
      <c r="H283" s="1515"/>
      <c r="I283" s="1515"/>
      <c r="J283" s="1515"/>
      <c r="K283" s="1515"/>
      <c r="L283" s="1515"/>
      <c r="M283" s="1515"/>
      <c r="N283" s="1515"/>
      <c r="O283" s="1515"/>
      <c r="P283" s="1515"/>
      <c r="Q283" s="1515"/>
      <c r="R283" s="1515"/>
      <c r="S283" s="1515"/>
      <c r="T283" s="1515"/>
      <c r="U283" s="1515"/>
      <c r="V283" s="1515"/>
      <c r="W283" s="1515"/>
      <c r="X283" s="1515"/>
      <c r="Y283" s="1515"/>
      <c r="Z283" s="1515"/>
      <c r="AA283" s="1515"/>
      <c r="AB283" s="1515"/>
      <c r="AC283" s="1515"/>
      <c r="AD283" s="1515"/>
      <c r="AE283" s="1515"/>
      <c r="AF283" s="1515"/>
      <c r="AG283" s="1515"/>
      <c r="AH283" s="1515"/>
      <c r="AI283" s="1515"/>
      <c r="AJ283" s="1516"/>
      <c r="AK283" s="1515"/>
      <c r="AL283" s="1515"/>
      <c r="AM283" s="1515"/>
      <c r="AN283" s="1515"/>
      <c r="AO283" s="1515"/>
      <c r="AP283" s="1515"/>
      <c r="AQ283" s="1515"/>
      <c r="AR283" s="1595"/>
      <c r="AS283" s="1595"/>
      <c r="AT283" s="1595"/>
      <c r="AU283" s="1595"/>
      <c r="AV283" s="1595"/>
      <c r="AW283" s="1595"/>
      <c r="AX283" s="1595"/>
      <c r="AY283" s="1595"/>
      <c r="AZ283" s="1595"/>
      <c r="BA283" s="1595"/>
      <c r="BB283" s="1595"/>
      <c r="BC283" s="1595"/>
      <c r="BD283" s="1595"/>
      <c r="BE283" s="1595"/>
      <c r="BF283" s="1610"/>
      <c r="BG283" s="1595"/>
      <c r="BH283" s="1595"/>
      <c r="BI283" s="1595"/>
      <c r="BJ283" s="1595"/>
      <c r="BK283" s="1595"/>
      <c r="BL283" s="1517"/>
    </row>
    <row r="284" spans="1:64" s="1870" customFormat="1" ht="15" hidden="1" customHeight="1" outlineLevel="3" x14ac:dyDescent="0.35">
      <c r="A284" s="1849" t="s">
        <v>1076</v>
      </c>
      <c r="B284" s="1867"/>
      <c r="C284" s="1850"/>
      <c r="D284" s="1850"/>
      <c r="E284" s="1850"/>
      <c r="F284" s="1850"/>
      <c r="G284" s="1850"/>
      <c r="H284" s="1850"/>
      <c r="I284" s="1850"/>
      <c r="J284" s="1850"/>
      <c r="K284" s="1850"/>
      <c r="L284" s="1850"/>
      <c r="M284" s="1850"/>
      <c r="N284" s="1850"/>
      <c r="O284" s="1850"/>
      <c r="P284" s="1850"/>
      <c r="Q284" s="1850"/>
      <c r="R284" s="1850"/>
      <c r="S284" s="1850"/>
      <c r="T284" s="1850"/>
      <c r="U284" s="1850"/>
      <c r="V284" s="1850"/>
      <c r="W284" s="1850"/>
      <c r="X284" s="1850"/>
      <c r="Y284" s="1868">
        <v>10.050000000000001</v>
      </c>
      <c r="Z284" s="1850">
        <f>BD284</f>
        <v>10.050000000000001</v>
      </c>
      <c r="AA284" s="1850">
        <f>BD288</f>
        <v>10.050000000000001</v>
      </c>
      <c r="AB284" s="1850">
        <f>BD288</f>
        <v>10.050000000000001</v>
      </c>
      <c r="AC284" s="1850">
        <f>BD288</f>
        <v>10.050000000000001</v>
      </c>
      <c r="AD284" s="1850">
        <f>BD288</f>
        <v>10.050000000000001</v>
      </c>
      <c r="AE284" s="1850">
        <f>BE288</f>
        <v>10.050000000000001</v>
      </c>
      <c r="AF284" s="1850">
        <f>BE288</f>
        <v>10.050000000000001</v>
      </c>
      <c r="AG284" s="1850">
        <f>BE288</f>
        <v>10.050000000000001</v>
      </c>
      <c r="AH284" s="1850">
        <f>BE288</f>
        <v>10.050000000000001</v>
      </c>
      <c r="AI284" s="1850">
        <f>BF288</f>
        <v>10.050000000000001</v>
      </c>
      <c r="AJ284" s="1851">
        <f>BF288</f>
        <v>10.050000000000001</v>
      </c>
      <c r="AK284" s="1850"/>
      <c r="AL284" s="1850"/>
      <c r="AM284" s="1850"/>
      <c r="AN284" s="1850"/>
      <c r="AO284" s="1850"/>
      <c r="AP284" s="1850"/>
      <c r="AQ284" s="1850"/>
      <c r="AR284" s="1852"/>
      <c r="AS284" s="1852"/>
      <c r="AT284" s="1852"/>
      <c r="AU284" s="1852"/>
      <c r="AV284" s="1852"/>
      <c r="AW284" s="1852"/>
      <c r="AX284" s="1852"/>
      <c r="AY284" s="1852"/>
      <c r="AZ284" s="1852"/>
      <c r="BA284" s="1852"/>
      <c r="BB284" s="1852"/>
      <c r="BC284" s="1852"/>
      <c r="BD284" s="1852">
        <f>Y284</f>
        <v>10.050000000000001</v>
      </c>
      <c r="BE284" s="1852">
        <f>BD288</f>
        <v>10.050000000000001</v>
      </c>
      <c r="BF284" s="1853">
        <f>BE288</f>
        <v>10.050000000000001</v>
      </c>
      <c r="BG284" s="1852"/>
      <c r="BH284" s="1852"/>
      <c r="BI284" s="1852"/>
      <c r="BJ284" s="1852"/>
      <c r="BK284" s="1852"/>
      <c r="BL284" s="1869"/>
    </row>
    <row r="285" spans="1:64" s="1870" customFormat="1" ht="15" hidden="1" customHeight="1" outlineLevel="3" x14ac:dyDescent="0.35">
      <c r="A285" s="1854" t="s">
        <v>1077</v>
      </c>
      <c r="B285" s="1867"/>
      <c r="C285" s="1850"/>
      <c r="D285" s="1850"/>
      <c r="E285" s="1850"/>
      <c r="F285" s="1850"/>
      <c r="G285" s="1850"/>
      <c r="H285" s="1850"/>
      <c r="I285" s="1850"/>
      <c r="J285" s="1850"/>
      <c r="K285" s="1850"/>
      <c r="L285" s="1850"/>
      <c r="M285" s="1850"/>
      <c r="N285" s="1850"/>
      <c r="O285" s="1850"/>
      <c r="P285" s="1850"/>
      <c r="Q285" s="1850"/>
      <c r="R285" s="1850"/>
      <c r="S285" s="1850"/>
      <c r="T285" s="1850"/>
      <c r="U285" s="1850"/>
      <c r="V285" s="1850"/>
      <c r="W285" s="1850"/>
      <c r="X285" s="1850"/>
      <c r="Y285" s="1850"/>
      <c r="Z285" s="1850"/>
      <c r="AA285" s="1850"/>
      <c r="AB285" s="1850"/>
      <c r="AC285" s="1850"/>
      <c r="AD285" s="1850"/>
      <c r="AE285" s="1850"/>
      <c r="AF285" s="1850"/>
      <c r="AG285" s="1850"/>
      <c r="AH285" s="1850"/>
      <c r="AI285" s="1850"/>
      <c r="AJ285" s="1851"/>
      <c r="AK285" s="1850"/>
      <c r="AL285" s="1850"/>
      <c r="AM285" s="1850"/>
      <c r="AN285" s="1850"/>
      <c r="AO285" s="1850"/>
      <c r="AP285" s="1850"/>
      <c r="AQ285" s="1850"/>
      <c r="AR285" s="1852"/>
      <c r="AS285" s="1852"/>
      <c r="AT285" s="1852"/>
      <c r="AU285" s="1852"/>
      <c r="AV285" s="1852"/>
      <c r="AW285" s="1852"/>
      <c r="AX285" s="1852"/>
      <c r="AY285" s="1852"/>
      <c r="AZ285" s="1852"/>
      <c r="BA285" s="1852"/>
      <c r="BB285" s="1852"/>
      <c r="BC285" s="1852"/>
      <c r="BD285" s="1852"/>
      <c r="BE285" s="1852"/>
      <c r="BF285" s="1853"/>
      <c r="BG285" s="1852"/>
      <c r="BH285" s="1852"/>
      <c r="BI285" s="1852"/>
      <c r="BJ285" s="1852"/>
      <c r="BK285" s="1852"/>
      <c r="BL285" s="1869"/>
    </row>
    <row r="286" spans="1:64" s="1870" customFormat="1" ht="15" hidden="1" customHeight="1" outlineLevel="3" x14ac:dyDescent="0.35">
      <c r="A286" s="1854" t="s">
        <v>1078</v>
      </c>
      <c r="B286" s="1867"/>
      <c r="C286" s="1850"/>
      <c r="D286" s="1850"/>
      <c r="E286" s="1850"/>
      <c r="F286" s="1850"/>
      <c r="G286" s="1850"/>
      <c r="H286" s="1850"/>
      <c r="I286" s="1850"/>
      <c r="J286" s="1850"/>
      <c r="K286" s="1850"/>
      <c r="L286" s="1850"/>
      <c r="M286" s="1850"/>
      <c r="N286" s="1850"/>
      <c r="O286" s="1850"/>
      <c r="P286" s="1850"/>
      <c r="Q286" s="1850"/>
      <c r="R286" s="1850"/>
      <c r="S286" s="1850"/>
      <c r="T286" s="1850"/>
      <c r="U286" s="1850"/>
      <c r="V286" s="1850"/>
      <c r="W286" s="1850"/>
      <c r="X286" s="1850"/>
      <c r="Y286" s="1850"/>
      <c r="Z286" s="1850"/>
      <c r="AA286" s="1850"/>
      <c r="AB286" s="1868">
        <v>9.68</v>
      </c>
      <c r="AC286" s="1868">
        <v>9.68</v>
      </c>
      <c r="AD286" s="1850">
        <f>BE286</f>
        <v>9.68</v>
      </c>
      <c r="AE286" s="1850"/>
      <c r="AF286" s="1850"/>
      <c r="AG286" s="1868">
        <v>9.68</v>
      </c>
      <c r="AH286" s="1850">
        <f>BF286</f>
        <v>9.68</v>
      </c>
      <c r="AI286" s="1868">
        <v>10.3</v>
      </c>
      <c r="AJ286" s="1871">
        <v>10.3</v>
      </c>
      <c r="AK286" s="1850"/>
      <c r="AL286" s="1850"/>
      <c r="AM286" s="1850"/>
      <c r="AN286" s="1850"/>
      <c r="AO286" s="1850"/>
      <c r="AP286" s="1850"/>
      <c r="AQ286" s="1850"/>
      <c r="AR286" s="1852"/>
      <c r="AS286" s="1852"/>
      <c r="AT286" s="1852"/>
      <c r="AU286" s="1852"/>
      <c r="AV286" s="1852"/>
      <c r="AW286" s="1852"/>
      <c r="AX286" s="1852"/>
      <c r="AY286" s="1852"/>
      <c r="AZ286" s="1852"/>
      <c r="BA286" s="1852"/>
      <c r="BB286" s="1852"/>
      <c r="BC286" s="1852"/>
      <c r="BD286" s="1852"/>
      <c r="BE286" s="1872">
        <v>9.68</v>
      </c>
      <c r="BF286" s="1873">
        <v>9.68</v>
      </c>
      <c r="BG286" s="1852"/>
      <c r="BH286" s="1852"/>
      <c r="BI286" s="1852"/>
      <c r="BJ286" s="1852"/>
      <c r="BK286" s="1852"/>
      <c r="BL286" s="1869"/>
    </row>
    <row r="287" spans="1:64" s="1870" customFormat="1" ht="15" hidden="1" customHeight="1" outlineLevel="3" x14ac:dyDescent="0.35">
      <c r="A287" s="1874" t="s">
        <v>1079</v>
      </c>
      <c r="B287" s="1875"/>
      <c r="C287" s="1856"/>
      <c r="D287" s="1856"/>
      <c r="E287" s="1856"/>
      <c r="F287" s="1856"/>
      <c r="G287" s="1856"/>
      <c r="H287" s="1856"/>
      <c r="I287" s="1856"/>
      <c r="J287" s="1856"/>
      <c r="K287" s="1856"/>
      <c r="L287" s="1856"/>
      <c r="M287" s="1856"/>
      <c r="N287" s="1856"/>
      <c r="O287" s="1856"/>
      <c r="P287" s="1856"/>
      <c r="Q287" s="1856"/>
      <c r="R287" s="1856"/>
      <c r="S287" s="1856"/>
      <c r="T287" s="1856"/>
      <c r="U287" s="1856"/>
      <c r="V287" s="1856"/>
      <c r="W287" s="1856"/>
      <c r="X287" s="1856"/>
      <c r="Y287" s="1876">
        <v>9.68</v>
      </c>
      <c r="Z287" s="1856">
        <f>BD287</f>
        <v>9.68</v>
      </c>
      <c r="AA287" s="1856"/>
      <c r="AB287" s="1856"/>
      <c r="AC287" s="1856"/>
      <c r="AD287" s="1856"/>
      <c r="AE287" s="1856"/>
      <c r="AF287" s="1856"/>
      <c r="AG287" s="1856"/>
      <c r="AH287" s="1856"/>
      <c r="AI287" s="1856"/>
      <c r="AJ287" s="1857"/>
      <c r="AK287" s="1856"/>
      <c r="AL287" s="1856"/>
      <c r="AM287" s="1856"/>
      <c r="AN287" s="1856"/>
      <c r="AO287" s="1856"/>
      <c r="AP287" s="1856"/>
      <c r="AQ287" s="1856"/>
      <c r="AR287" s="1858"/>
      <c r="AS287" s="1858"/>
      <c r="AT287" s="1858"/>
      <c r="AU287" s="1858"/>
      <c r="AV287" s="1858"/>
      <c r="AW287" s="1858"/>
      <c r="AX287" s="1858"/>
      <c r="AY287" s="1858"/>
      <c r="AZ287" s="1858"/>
      <c r="BA287" s="1858"/>
      <c r="BB287" s="1858"/>
      <c r="BC287" s="1858"/>
      <c r="BD287" s="1877">
        <v>9.68</v>
      </c>
      <c r="BE287" s="1858"/>
      <c r="BF287" s="1859"/>
      <c r="BG287" s="1858"/>
      <c r="BH287" s="1858"/>
      <c r="BI287" s="1858"/>
      <c r="BJ287" s="1858"/>
      <c r="BK287" s="1858"/>
      <c r="BL287" s="1869"/>
    </row>
    <row r="288" spans="1:64" s="1870" customFormat="1" ht="15" hidden="1" customHeight="1" outlineLevel="3" x14ac:dyDescent="0.35">
      <c r="A288" s="1849" t="s">
        <v>1058</v>
      </c>
      <c r="B288" s="1867"/>
      <c r="C288" s="1850"/>
      <c r="D288" s="1850"/>
      <c r="E288" s="1850"/>
      <c r="F288" s="1850"/>
      <c r="G288" s="1850"/>
      <c r="H288" s="1850"/>
      <c r="I288" s="1850"/>
      <c r="J288" s="1850"/>
      <c r="K288" s="1850"/>
      <c r="L288" s="1850"/>
      <c r="M288" s="1850"/>
      <c r="N288" s="1850"/>
      <c r="O288" s="1850"/>
      <c r="P288" s="1850"/>
      <c r="Q288" s="1850"/>
      <c r="R288" s="1850"/>
      <c r="S288" s="1850"/>
      <c r="T288" s="1850"/>
      <c r="U288" s="1850"/>
      <c r="V288" s="1850"/>
      <c r="W288" s="1850"/>
      <c r="X288" s="1850"/>
      <c r="Y288" s="1868">
        <v>10.050000000000001</v>
      </c>
      <c r="Z288" s="1850">
        <f>BD288</f>
        <v>10.050000000000001</v>
      </c>
      <c r="AA288" s="1868">
        <v>10.050000000000001</v>
      </c>
      <c r="AB288" s="1868">
        <v>10.050000000000001</v>
      </c>
      <c r="AC288" s="1868">
        <v>10.050000000000001</v>
      </c>
      <c r="AD288" s="1850">
        <f>BE288</f>
        <v>10.050000000000001</v>
      </c>
      <c r="AE288" s="1868">
        <v>10.050000000000001</v>
      </c>
      <c r="AF288" s="1868">
        <v>10.050000000000001</v>
      </c>
      <c r="AG288" s="1868">
        <v>10.050000000000001</v>
      </c>
      <c r="AH288" s="1850">
        <f>BF288</f>
        <v>10.050000000000001</v>
      </c>
      <c r="AI288" s="1868">
        <v>9.68</v>
      </c>
      <c r="AJ288" s="1871">
        <v>9.68</v>
      </c>
      <c r="AK288" s="1850"/>
      <c r="AL288" s="1850"/>
      <c r="AM288" s="1850"/>
      <c r="AN288" s="1850"/>
      <c r="AO288" s="1850"/>
      <c r="AP288" s="1850"/>
      <c r="AQ288" s="1850"/>
      <c r="AR288" s="1852"/>
      <c r="AS288" s="1852"/>
      <c r="AT288" s="1852"/>
      <c r="AU288" s="1852"/>
      <c r="AV288" s="1852"/>
      <c r="AW288" s="1852"/>
      <c r="AX288" s="1852"/>
      <c r="AY288" s="1852"/>
      <c r="AZ288" s="1852"/>
      <c r="BA288" s="1852"/>
      <c r="BB288" s="1852"/>
      <c r="BC288" s="1852"/>
      <c r="BD288" s="1872">
        <v>10.050000000000001</v>
      </c>
      <c r="BE288" s="1872">
        <v>10.050000000000001</v>
      </c>
      <c r="BF288" s="1873">
        <v>10.050000000000001</v>
      </c>
      <c r="BG288" s="1852"/>
      <c r="BH288" s="1852"/>
      <c r="BI288" s="1852"/>
      <c r="BJ288" s="1852"/>
      <c r="BK288" s="1852"/>
      <c r="BL288" s="1869"/>
    </row>
    <row r="289" spans="1:64" s="1803" customFormat="1" ht="15" hidden="1" customHeight="1" outlineLevel="3" x14ac:dyDescent="0.35">
      <c r="A289" s="1844"/>
      <c r="B289" s="1716"/>
      <c r="C289" s="1515"/>
      <c r="D289" s="1515"/>
      <c r="E289" s="1515"/>
      <c r="F289" s="1515"/>
      <c r="G289" s="1515"/>
      <c r="H289" s="1515"/>
      <c r="I289" s="1515"/>
      <c r="J289" s="1515"/>
      <c r="K289" s="1515"/>
      <c r="L289" s="1515"/>
      <c r="M289" s="1515"/>
      <c r="N289" s="1515"/>
      <c r="O289" s="1515"/>
      <c r="P289" s="1515"/>
      <c r="Q289" s="1515"/>
      <c r="R289" s="1515"/>
      <c r="S289" s="1515"/>
      <c r="T289" s="1515"/>
      <c r="U289" s="1515"/>
      <c r="V289" s="1515"/>
      <c r="W289" s="1515"/>
      <c r="X289" s="1515"/>
      <c r="Y289" s="1515"/>
      <c r="Z289" s="1515"/>
      <c r="AA289" s="1515"/>
      <c r="AB289" s="1515"/>
      <c r="AC289" s="1515"/>
      <c r="AD289" s="1515"/>
      <c r="AE289" s="1515"/>
      <c r="AF289" s="1515"/>
      <c r="AG289" s="1515"/>
      <c r="AH289" s="1515"/>
      <c r="AI289" s="1515"/>
      <c r="AJ289" s="1516"/>
      <c r="AK289" s="1515"/>
      <c r="AL289" s="1515"/>
      <c r="AM289" s="1515"/>
      <c r="AN289" s="1515"/>
      <c r="AO289" s="1515"/>
      <c r="AP289" s="1515"/>
      <c r="AQ289" s="1515"/>
      <c r="AR289" s="1595"/>
      <c r="AS289" s="1595"/>
      <c r="AT289" s="1595"/>
      <c r="AU289" s="1595"/>
      <c r="AV289" s="1595"/>
      <c r="AW289" s="1595"/>
      <c r="AX289" s="1595"/>
      <c r="AY289" s="1595"/>
      <c r="AZ289" s="1595"/>
      <c r="BA289" s="1595"/>
      <c r="BB289" s="1595"/>
      <c r="BC289" s="1595"/>
      <c r="BD289" s="1595"/>
      <c r="BE289" s="1595"/>
      <c r="BF289" s="1610"/>
      <c r="BG289" s="1595"/>
      <c r="BH289" s="1595"/>
      <c r="BI289" s="1595"/>
      <c r="BJ289" s="1595"/>
      <c r="BK289" s="1595"/>
      <c r="BL289" s="1517"/>
    </row>
    <row r="290" spans="1:64" s="1870" customFormat="1" ht="15" hidden="1" customHeight="1" outlineLevel="3" x14ac:dyDescent="0.35">
      <c r="A290" s="1849" t="s">
        <v>1080</v>
      </c>
      <c r="B290" s="1867"/>
      <c r="C290" s="1850"/>
      <c r="D290" s="1850"/>
      <c r="E290" s="1850"/>
      <c r="F290" s="1850"/>
      <c r="G290" s="1850"/>
      <c r="H290" s="1850"/>
      <c r="I290" s="1850"/>
      <c r="J290" s="1850"/>
      <c r="K290" s="1850"/>
      <c r="L290" s="1850"/>
      <c r="M290" s="1850"/>
      <c r="N290" s="1850"/>
      <c r="O290" s="1850"/>
      <c r="P290" s="1850"/>
      <c r="Q290" s="1850"/>
      <c r="R290" s="1850"/>
      <c r="S290" s="1850"/>
      <c r="T290" s="1850"/>
      <c r="U290" s="1850"/>
      <c r="V290" s="1850"/>
      <c r="W290" s="1850"/>
      <c r="X290" s="1850"/>
      <c r="Y290" s="1850"/>
      <c r="Z290" s="1850">
        <f>Y294</f>
        <v>10.050000000000001</v>
      </c>
      <c r="AA290" s="1850">
        <f>BD294</f>
        <v>10.050000000000001</v>
      </c>
      <c r="AB290" s="1850">
        <f>AA294</f>
        <v>10.050000000000001</v>
      </c>
      <c r="AC290" s="1850">
        <f>AB294</f>
        <v>10.050000000000001</v>
      </c>
      <c r="AD290" s="1850">
        <f>AC294</f>
        <v>10.050000000000001</v>
      </c>
      <c r="AE290" s="1850">
        <f>BE294</f>
        <v>10.050000000000001</v>
      </c>
      <c r="AF290" s="1850">
        <f>AE294</f>
        <v>10.050000000000001</v>
      </c>
      <c r="AG290" s="1850">
        <f>AF294</f>
        <v>10.050000000000001</v>
      </c>
      <c r="AH290" s="1850">
        <f>AG294</f>
        <v>10.050000000000001</v>
      </c>
      <c r="AI290" s="1850">
        <f>BF294</f>
        <v>10.050000000000001</v>
      </c>
      <c r="AJ290" s="1851">
        <f>AI294</f>
        <v>9.68</v>
      </c>
      <c r="AK290" s="1850"/>
      <c r="AL290" s="1850"/>
      <c r="AM290" s="1850"/>
      <c r="AN290" s="1850"/>
      <c r="AO290" s="1850"/>
      <c r="AP290" s="1850"/>
      <c r="AQ290" s="1850"/>
      <c r="AR290" s="1852"/>
      <c r="AS290" s="1852"/>
      <c r="AT290" s="1852"/>
      <c r="AU290" s="1852"/>
      <c r="AV290" s="1852"/>
      <c r="AW290" s="1852"/>
      <c r="AX290" s="1852"/>
      <c r="AY290" s="1852"/>
      <c r="AZ290" s="1852"/>
      <c r="BA290" s="1852"/>
      <c r="BB290" s="1852"/>
      <c r="BC290" s="1852"/>
      <c r="BD290" s="1852">
        <f t="shared" ref="BD290:BF294" si="136">BD284</f>
        <v>10.050000000000001</v>
      </c>
      <c r="BE290" s="1852">
        <f t="shared" si="136"/>
        <v>10.050000000000001</v>
      </c>
      <c r="BF290" s="1853">
        <f t="shared" si="136"/>
        <v>10.050000000000001</v>
      </c>
      <c r="BG290" s="1852"/>
      <c r="BH290" s="1852"/>
      <c r="BI290" s="1852"/>
      <c r="BJ290" s="1852"/>
      <c r="BK290" s="1852"/>
      <c r="BL290" s="1869"/>
    </row>
    <row r="291" spans="1:64" s="1870" customFormat="1" ht="15" hidden="1" customHeight="1" outlineLevel="3" x14ac:dyDescent="0.35">
      <c r="A291" s="1854" t="s">
        <v>1081</v>
      </c>
      <c r="B291" s="1867"/>
      <c r="C291" s="1850"/>
      <c r="D291" s="1850"/>
      <c r="E291" s="1850"/>
      <c r="F291" s="1850"/>
      <c r="G291" s="1850"/>
      <c r="H291" s="1850"/>
      <c r="I291" s="1850"/>
      <c r="J291" s="1850"/>
      <c r="K291" s="1850"/>
      <c r="L291" s="1850"/>
      <c r="M291" s="1850"/>
      <c r="N291" s="1850"/>
      <c r="O291" s="1850"/>
      <c r="P291" s="1850"/>
      <c r="Q291" s="1850"/>
      <c r="R291" s="1850"/>
      <c r="S291" s="1850"/>
      <c r="T291" s="1850"/>
      <c r="U291" s="1850"/>
      <c r="V291" s="1850"/>
      <c r="W291" s="1850"/>
      <c r="X291" s="1850"/>
      <c r="Y291" s="1850"/>
      <c r="Z291" s="1850">
        <f>IFERROR((Z273*Z285-Y273*Y285)/Z279,0)</f>
        <v>0</v>
      </c>
      <c r="AA291" s="1850">
        <f>AA285</f>
        <v>0</v>
      </c>
      <c r="AB291" s="1850">
        <f t="shared" ref="AB291:AD293" si="137">IFERROR((AB273*AB285-AA273*AA285)/AB279,0)</f>
        <v>0</v>
      </c>
      <c r="AC291" s="1850">
        <f t="shared" si="137"/>
        <v>0</v>
      </c>
      <c r="AD291" s="1850">
        <f t="shared" si="137"/>
        <v>0</v>
      </c>
      <c r="AE291" s="1850">
        <f>AE285</f>
        <v>0</v>
      </c>
      <c r="AF291" s="1850">
        <f t="shared" ref="AF291:AH293" si="138">IFERROR((AF273*AF285-AE273*AE285)/AF279,0)</f>
        <v>0</v>
      </c>
      <c r="AG291" s="1850">
        <f t="shared" si="138"/>
        <v>0</v>
      </c>
      <c r="AH291" s="1850">
        <f t="shared" si="138"/>
        <v>0</v>
      </c>
      <c r="AI291" s="1850">
        <f>AI285</f>
        <v>0</v>
      </c>
      <c r="AJ291" s="1851">
        <f>IFERROR((AJ273*AJ285-AI273*AI285)/AJ279,0)</f>
        <v>0</v>
      </c>
      <c r="AK291" s="1850"/>
      <c r="AL291" s="1850"/>
      <c r="AM291" s="1850"/>
      <c r="AN291" s="1850"/>
      <c r="AO291" s="1850"/>
      <c r="AP291" s="1850"/>
      <c r="AQ291" s="1850"/>
      <c r="AR291" s="1852"/>
      <c r="AS291" s="1852"/>
      <c r="AT291" s="1852"/>
      <c r="AU291" s="1852"/>
      <c r="AV291" s="1852"/>
      <c r="AW291" s="1852"/>
      <c r="AX291" s="1852"/>
      <c r="AY291" s="1852"/>
      <c r="AZ291" s="1852"/>
      <c r="BA291" s="1852"/>
      <c r="BB291" s="1852"/>
      <c r="BC291" s="1852"/>
      <c r="BD291" s="1852">
        <f t="shared" si="136"/>
        <v>0</v>
      </c>
      <c r="BE291" s="1852">
        <f t="shared" si="136"/>
        <v>0</v>
      </c>
      <c r="BF291" s="1853">
        <f t="shared" si="136"/>
        <v>0</v>
      </c>
      <c r="BG291" s="1852"/>
      <c r="BH291" s="1852"/>
      <c r="BI291" s="1852"/>
      <c r="BJ291" s="1852"/>
      <c r="BK291" s="1852"/>
      <c r="BL291" s="1869"/>
    </row>
    <row r="292" spans="1:64" s="1870" customFormat="1" ht="15" hidden="1" customHeight="1" outlineLevel="3" x14ac:dyDescent="0.35">
      <c r="A292" s="1854" t="s">
        <v>1082</v>
      </c>
      <c r="B292" s="1867"/>
      <c r="C292" s="1850"/>
      <c r="D292" s="1850"/>
      <c r="E292" s="1850"/>
      <c r="F292" s="1850"/>
      <c r="G292" s="1850"/>
      <c r="H292" s="1850"/>
      <c r="I292" s="1850"/>
      <c r="J292" s="1850"/>
      <c r="K292" s="1850"/>
      <c r="L292" s="1850"/>
      <c r="M292" s="1850"/>
      <c r="N292" s="1850"/>
      <c r="O292" s="1850"/>
      <c r="P292" s="1850"/>
      <c r="Q292" s="1850"/>
      <c r="R292" s="1850"/>
      <c r="S292" s="1850"/>
      <c r="T292" s="1850"/>
      <c r="U292" s="1850"/>
      <c r="V292" s="1850"/>
      <c r="W292" s="1850"/>
      <c r="X292" s="1850"/>
      <c r="Y292" s="1850"/>
      <c r="Z292" s="1850">
        <f>IFERROR((Z274*Z286-Y274*Y286)/Z280,0)</f>
        <v>0</v>
      </c>
      <c r="AA292" s="1850">
        <f>AA286</f>
        <v>0</v>
      </c>
      <c r="AB292" s="1850">
        <f t="shared" si="137"/>
        <v>9.68</v>
      </c>
      <c r="AC292" s="1850">
        <f t="shared" si="137"/>
        <v>0</v>
      </c>
      <c r="AD292" s="1850">
        <f t="shared" si="137"/>
        <v>0</v>
      </c>
      <c r="AE292" s="1850">
        <f>AE286</f>
        <v>0</v>
      </c>
      <c r="AF292" s="1850">
        <f t="shared" si="138"/>
        <v>0</v>
      </c>
      <c r="AG292" s="1850">
        <f t="shared" si="138"/>
        <v>9.68</v>
      </c>
      <c r="AH292" s="1850">
        <f t="shared" si="138"/>
        <v>9.68</v>
      </c>
      <c r="AI292" s="1850">
        <f>AI286</f>
        <v>10.3</v>
      </c>
      <c r="AJ292" s="1851">
        <f>IFERROR((AJ274*AJ286-AI274*AI286)/AJ280,0)</f>
        <v>0</v>
      </c>
      <c r="AK292" s="1850"/>
      <c r="AL292" s="1850"/>
      <c r="AM292" s="1850"/>
      <c r="AN292" s="1850"/>
      <c r="AO292" s="1850"/>
      <c r="AP292" s="1850"/>
      <c r="AQ292" s="1850"/>
      <c r="AR292" s="1852"/>
      <c r="AS292" s="1852"/>
      <c r="AT292" s="1852"/>
      <c r="AU292" s="1852"/>
      <c r="AV292" s="1852"/>
      <c r="AW292" s="1852"/>
      <c r="AX292" s="1852"/>
      <c r="AY292" s="1852"/>
      <c r="AZ292" s="1852"/>
      <c r="BA292" s="1852"/>
      <c r="BB292" s="1852"/>
      <c r="BC292" s="1852"/>
      <c r="BD292" s="1852">
        <f t="shared" si="136"/>
        <v>0</v>
      </c>
      <c r="BE292" s="1852">
        <f t="shared" si="136"/>
        <v>9.68</v>
      </c>
      <c r="BF292" s="1853">
        <f t="shared" si="136"/>
        <v>9.68</v>
      </c>
      <c r="BG292" s="1852"/>
      <c r="BH292" s="1852"/>
      <c r="BI292" s="1852"/>
      <c r="BJ292" s="1852"/>
      <c r="BK292" s="1852"/>
      <c r="BL292" s="1869"/>
    </row>
    <row r="293" spans="1:64" s="1870" customFormat="1" ht="15" hidden="1" customHeight="1" outlineLevel="3" x14ac:dyDescent="0.35">
      <c r="A293" s="1874" t="s">
        <v>1083</v>
      </c>
      <c r="B293" s="1875"/>
      <c r="C293" s="1856"/>
      <c r="D293" s="1856"/>
      <c r="E293" s="1856"/>
      <c r="F293" s="1856"/>
      <c r="G293" s="1856"/>
      <c r="H293" s="1856"/>
      <c r="I293" s="1856"/>
      <c r="J293" s="1856"/>
      <c r="K293" s="1856"/>
      <c r="L293" s="1856"/>
      <c r="M293" s="1856"/>
      <c r="N293" s="1856"/>
      <c r="O293" s="1856"/>
      <c r="P293" s="1856"/>
      <c r="Q293" s="1856"/>
      <c r="R293" s="1856"/>
      <c r="S293" s="1856"/>
      <c r="T293" s="1856"/>
      <c r="U293" s="1856"/>
      <c r="V293" s="1856"/>
      <c r="W293" s="1856"/>
      <c r="X293" s="1856"/>
      <c r="Y293" s="1856"/>
      <c r="Z293" s="1856">
        <f>IFERROR((Z275*Z287-Y275*Y287)/Z281,0)</f>
        <v>0</v>
      </c>
      <c r="AA293" s="1856">
        <f>AA287</f>
        <v>0</v>
      </c>
      <c r="AB293" s="1856">
        <f t="shared" si="137"/>
        <v>0</v>
      </c>
      <c r="AC293" s="1856">
        <f t="shared" si="137"/>
        <v>0</v>
      </c>
      <c r="AD293" s="1856">
        <f t="shared" si="137"/>
        <v>0</v>
      </c>
      <c r="AE293" s="1856">
        <f>AE287</f>
        <v>0</v>
      </c>
      <c r="AF293" s="1856">
        <f t="shared" si="138"/>
        <v>0</v>
      </c>
      <c r="AG293" s="1856">
        <f t="shared" si="138"/>
        <v>0</v>
      </c>
      <c r="AH293" s="1856">
        <f t="shared" si="138"/>
        <v>0</v>
      </c>
      <c r="AI293" s="1856">
        <f>AI287</f>
        <v>0</v>
      </c>
      <c r="AJ293" s="1857">
        <f>IFERROR((AJ275*AJ287-AI275*AI287)/AJ281,0)</f>
        <v>0</v>
      </c>
      <c r="AK293" s="1856"/>
      <c r="AL293" s="1856"/>
      <c r="AM293" s="1856"/>
      <c r="AN293" s="1856"/>
      <c r="AO293" s="1856"/>
      <c r="AP293" s="1856"/>
      <c r="AQ293" s="1856"/>
      <c r="AR293" s="1858"/>
      <c r="AS293" s="1858"/>
      <c r="AT293" s="1858"/>
      <c r="AU293" s="1858"/>
      <c r="AV293" s="1858"/>
      <c r="AW293" s="1858"/>
      <c r="AX293" s="1858"/>
      <c r="AY293" s="1858"/>
      <c r="AZ293" s="1858"/>
      <c r="BA293" s="1858"/>
      <c r="BB293" s="1858"/>
      <c r="BC293" s="1858"/>
      <c r="BD293" s="1858">
        <f t="shared" si="136"/>
        <v>9.68</v>
      </c>
      <c r="BE293" s="1858">
        <f t="shared" si="136"/>
        <v>0</v>
      </c>
      <c r="BF293" s="1859">
        <f t="shared" si="136"/>
        <v>0</v>
      </c>
      <c r="BG293" s="1858"/>
      <c r="BH293" s="1858"/>
      <c r="BI293" s="1858"/>
      <c r="BJ293" s="1858"/>
      <c r="BK293" s="1858"/>
      <c r="BL293" s="1869"/>
    </row>
    <row r="294" spans="1:64" s="1870" customFormat="1" ht="15" hidden="1" customHeight="1" outlineLevel="2" collapsed="1" x14ac:dyDescent="0.35">
      <c r="A294" s="1849" t="s">
        <v>1084</v>
      </c>
      <c r="B294" s="1867"/>
      <c r="C294" s="1850"/>
      <c r="D294" s="1850"/>
      <c r="E294" s="1850"/>
      <c r="F294" s="1850"/>
      <c r="G294" s="1850"/>
      <c r="H294" s="1850"/>
      <c r="I294" s="1850"/>
      <c r="J294" s="1850"/>
      <c r="K294" s="1850"/>
      <c r="L294" s="1850"/>
      <c r="M294" s="1850"/>
      <c r="N294" s="1850"/>
      <c r="O294" s="1850"/>
      <c r="P294" s="1850"/>
      <c r="Q294" s="1850"/>
      <c r="R294" s="1850"/>
      <c r="S294" s="1850"/>
      <c r="T294" s="1850"/>
      <c r="U294" s="1850"/>
      <c r="V294" s="1850"/>
      <c r="W294" s="1850"/>
      <c r="X294" s="1850"/>
      <c r="Y294" s="1850">
        <f>Y288</f>
        <v>10.050000000000001</v>
      </c>
      <c r="Z294" s="1850">
        <f>Z288</f>
        <v>10.050000000000001</v>
      </c>
      <c r="AA294" s="1850">
        <f>AA288</f>
        <v>10.050000000000001</v>
      </c>
      <c r="AB294" s="1850">
        <f>AB288</f>
        <v>10.050000000000001</v>
      </c>
      <c r="AC294" s="1850">
        <f>AC288</f>
        <v>10.050000000000001</v>
      </c>
      <c r="AD294" s="1850">
        <f>AD288</f>
        <v>10.050000000000001</v>
      </c>
      <c r="AE294" s="1850">
        <f>AE288</f>
        <v>10.050000000000001</v>
      </c>
      <c r="AF294" s="1850">
        <f>AF288</f>
        <v>10.050000000000001</v>
      </c>
      <c r="AG294" s="1850">
        <f>AG288</f>
        <v>10.050000000000001</v>
      </c>
      <c r="AH294" s="1850">
        <f>AH288</f>
        <v>10.050000000000001</v>
      </c>
      <c r="AI294" s="1850">
        <f>AI288</f>
        <v>9.68</v>
      </c>
      <c r="AJ294" s="1851">
        <f>AJ288</f>
        <v>9.68</v>
      </c>
      <c r="AK294" s="1850"/>
      <c r="AL294" s="1850"/>
      <c r="AM294" s="1850"/>
      <c r="AN294" s="1850"/>
      <c r="AO294" s="1850"/>
      <c r="AP294" s="1850"/>
      <c r="AQ294" s="1850"/>
      <c r="AR294" s="1852"/>
      <c r="AS294" s="1852"/>
      <c r="AT294" s="1852"/>
      <c r="AU294" s="1852"/>
      <c r="AV294" s="1852"/>
      <c r="AW294" s="1852"/>
      <c r="AX294" s="1852"/>
      <c r="AY294" s="1852"/>
      <c r="AZ294" s="1852"/>
      <c r="BA294" s="1852"/>
      <c r="BB294" s="1852"/>
      <c r="BC294" s="1852"/>
      <c r="BD294" s="1852">
        <f t="shared" si="136"/>
        <v>10.050000000000001</v>
      </c>
      <c r="BE294" s="1852">
        <f t="shared" si="136"/>
        <v>10.050000000000001</v>
      </c>
      <c r="BF294" s="1853">
        <f t="shared" si="136"/>
        <v>10.050000000000001</v>
      </c>
      <c r="BG294" s="1852"/>
      <c r="BH294" s="1852"/>
      <c r="BI294" s="1852"/>
      <c r="BJ294" s="1852"/>
      <c r="BK294" s="1852"/>
      <c r="BL294" s="1869"/>
    </row>
    <row r="295" spans="1:64" s="1803" customFormat="1" ht="15" hidden="1" customHeight="1" outlineLevel="2" x14ac:dyDescent="0.35">
      <c r="A295" s="1609"/>
      <c r="B295" s="1716"/>
      <c r="C295" s="1515"/>
      <c r="D295" s="1515"/>
      <c r="E295" s="1515"/>
      <c r="F295" s="1515"/>
      <c r="G295" s="1515"/>
      <c r="H295" s="1515"/>
      <c r="I295" s="1515"/>
      <c r="J295" s="1515"/>
      <c r="K295" s="1515"/>
      <c r="L295" s="1515"/>
      <c r="M295" s="1515"/>
      <c r="N295" s="1515"/>
      <c r="O295" s="1515"/>
      <c r="P295" s="1515"/>
      <c r="Q295" s="1515"/>
      <c r="R295" s="1515"/>
      <c r="S295" s="1515"/>
      <c r="T295" s="1515"/>
      <c r="U295" s="1515"/>
      <c r="V295" s="1515"/>
      <c r="W295" s="1515"/>
      <c r="X295" s="1515"/>
      <c r="Y295" s="1515"/>
      <c r="Z295" s="1515"/>
      <c r="AA295" s="1515"/>
      <c r="AB295" s="1515"/>
      <c r="AC295" s="1515"/>
      <c r="AD295" s="1515"/>
      <c r="AE295" s="1515"/>
      <c r="AF295" s="1515"/>
      <c r="AG295" s="1515"/>
      <c r="AH295" s="1515"/>
      <c r="AI295" s="1515"/>
      <c r="AJ295" s="1516"/>
      <c r="AK295" s="1515"/>
      <c r="AL295" s="1515"/>
      <c r="AM295" s="1515"/>
      <c r="AN295" s="1515"/>
      <c r="AO295" s="1515"/>
      <c r="AP295" s="1515"/>
      <c r="AQ295" s="1515"/>
      <c r="AR295" s="1595"/>
      <c r="AS295" s="1595"/>
      <c r="AT295" s="1595"/>
      <c r="AU295" s="1595"/>
      <c r="AV295" s="1595"/>
      <c r="AW295" s="1595"/>
      <c r="AX295" s="1595"/>
      <c r="AY295" s="1595"/>
      <c r="AZ295" s="1595"/>
      <c r="BA295" s="1595"/>
      <c r="BB295" s="1595"/>
      <c r="BC295" s="1595"/>
      <c r="BD295" s="1595"/>
      <c r="BE295" s="1595"/>
      <c r="BF295" s="1610"/>
      <c r="BG295" s="1595"/>
      <c r="BH295" s="1595"/>
      <c r="BI295" s="1595"/>
      <c r="BJ295" s="1595"/>
      <c r="BK295" s="1595"/>
      <c r="BL295" s="1517"/>
    </row>
    <row r="296" spans="1:64" s="1608" customFormat="1" ht="15" hidden="1" customHeight="1" outlineLevel="2" x14ac:dyDescent="0.35">
      <c r="A296" s="1665" t="s">
        <v>1085</v>
      </c>
      <c r="B296" s="1712"/>
      <c r="C296" s="1667"/>
      <c r="D296" s="1667"/>
      <c r="E296" s="1667"/>
      <c r="F296" s="1667"/>
      <c r="G296" s="1667"/>
      <c r="H296" s="1667"/>
      <c r="I296" s="1667"/>
      <c r="J296" s="1667"/>
      <c r="K296" s="1667"/>
      <c r="L296" s="1667"/>
      <c r="M296" s="1667"/>
      <c r="N296" s="1667"/>
      <c r="O296" s="1667"/>
      <c r="P296" s="1667"/>
      <c r="Q296" s="1667"/>
      <c r="R296" s="1667"/>
      <c r="S296" s="1667"/>
      <c r="T296" s="1667"/>
      <c r="U296" s="1667"/>
      <c r="V296" s="1667"/>
      <c r="W296" s="1667"/>
      <c r="X296" s="1667"/>
      <c r="Y296" s="1677">
        <v>3.0968300000000002</v>
      </c>
      <c r="Z296" s="1667">
        <f>BD296</f>
        <v>3.0968300000000002</v>
      </c>
      <c r="AA296" s="1677">
        <v>3.0968300000000002</v>
      </c>
      <c r="AB296" s="1677">
        <v>3.081855</v>
      </c>
      <c r="AC296" s="1677">
        <v>3.081855</v>
      </c>
      <c r="AD296" s="1667">
        <f>BE296</f>
        <v>3.081855</v>
      </c>
      <c r="AE296" s="1677">
        <v>3.0818549999999996</v>
      </c>
      <c r="AF296" s="1677">
        <v>3.0818549999999996</v>
      </c>
      <c r="AG296" s="1677">
        <v>3.0668799999999998</v>
      </c>
      <c r="AH296" s="1667">
        <f>BF296</f>
        <v>3.0369299999999999</v>
      </c>
      <c r="AI296" s="1677">
        <v>1.1956039999999999</v>
      </c>
      <c r="AJ296" s="1713">
        <v>1.1956039999999999</v>
      </c>
      <c r="AK296" s="1667"/>
      <c r="AL296" s="1667"/>
      <c r="AM296" s="1667"/>
      <c r="AN296" s="1667"/>
      <c r="AO296" s="1667"/>
      <c r="AP296" s="1667"/>
      <c r="AQ296" s="1667"/>
      <c r="AR296" s="1669"/>
      <c r="AS296" s="1669"/>
      <c r="AT296" s="1669"/>
      <c r="AU296" s="1669"/>
      <c r="AV296" s="1669"/>
      <c r="AW296" s="1669"/>
      <c r="AX296" s="1669"/>
      <c r="AY296" s="1669"/>
      <c r="AZ296" s="1669"/>
      <c r="BA296" s="1669"/>
      <c r="BB296" s="1669"/>
      <c r="BC296" s="1669"/>
      <c r="BD296" s="1714">
        <v>3.0968300000000002</v>
      </c>
      <c r="BE296" s="1714">
        <v>3.081855</v>
      </c>
      <c r="BF296" s="1715">
        <v>3.0369299999999999</v>
      </c>
      <c r="BG296" s="1669"/>
      <c r="BH296" s="1669"/>
      <c r="BI296" s="1669"/>
      <c r="BJ296" s="1669"/>
      <c r="BK296" s="1669"/>
      <c r="BL296" s="1607"/>
    </row>
    <row r="297" spans="1:64" s="1885" customFormat="1" ht="15" hidden="1" customHeight="1" outlineLevel="2" x14ac:dyDescent="0.35">
      <c r="A297" s="1878" t="s">
        <v>1086</v>
      </c>
      <c r="B297" s="1879"/>
      <c r="C297" s="1788"/>
      <c r="D297" s="1788"/>
      <c r="E297" s="1788"/>
      <c r="F297" s="1788"/>
      <c r="G297" s="1788"/>
      <c r="H297" s="1788"/>
      <c r="I297" s="1788"/>
      <c r="J297" s="1788"/>
      <c r="K297" s="1788"/>
      <c r="L297" s="1788"/>
      <c r="M297" s="1788"/>
      <c r="N297" s="1788"/>
      <c r="O297" s="1788"/>
      <c r="P297" s="1788"/>
      <c r="Q297" s="1788"/>
      <c r="R297" s="1788"/>
      <c r="S297" s="1788"/>
      <c r="T297" s="1788"/>
      <c r="U297" s="1788"/>
      <c r="V297" s="1788"/>
      <c r="W297" s="1788"/>
      <c r="X297" s="1788"/>
      <c r="Y297" s="1880">
        <v>10.050000000000001</v>
      </c>
      <c r="Z297" s="1788">
        <f>BD297</f>
        <v>10.050000000000001</v>
      </c>
      <c r="AA297" s="1880">
        <v>10.050000000000001</v>
      </c>
      <c r="AB297" s="1880">
        <v>10.050000000000001</v>
      </c>
      <c r="AC297" s="1880">
        <v>10.050000000000001</v>
      </c>
      <c r="AD297" s="1788">
        <f>BE297</f>
        <v>10.050000000000001</v>
      </c>
      <c r="AE297" s="1880">
        <v>10.050000000000001</v>
      </c>
      <c r="AF297" s="1880">
        <v>10.050000000000001</v>
      </c>
      <c r="AG297" s="1880">
        <v>10.050000000000001</v>
      </c>
      <c r="AH297" s="1788">
        <f>BF297</f>
        <v>10.050000000000001</v>
      </c>
      <c r="AI297" s="1880">
        <v>9.68</v>
      </c>
      <c r="AJ297" s="1881">
        <v>9.68</v>
      </c>
      <c r="AK297" s="1788"/>
      <c r="AL297" s="1788"/>
      <c r="AM297" s="1788"/>
      <c r="AN297" s="1788"/>
      <c r="AO297" s="1788"/>
      <c r="AP297" s="1788"/>
      <c r="AQ297" s="1788"/>
      <c r="AR297" s="1790"/>
      <c r="AS297" s="1790"/>
      <c r="AT297" s="1790"/>
      <c r="AU297" s="1790"/>
      <c r="AV297" s="1790"/>
      <c r="AW297" s="1790"/>
      <c r="AX297" s="1790"/>
      <c r="AY297" s="1790"/>
      <c r="AZ297" s="1790"/>
      <c r="BA297" s="1790"/>
      <c r="BB297" s="1790"/>
      <c r="BC297" s="1790"/>
      <c r="BD297" s="1882">
        <v>10.050000000000001</v>
      </c>
      <c r="BE297" s="1882">
        <v>10.050000000000001</v>
      </c>
      <c r="BF297" s="1883">
        <v>10.050000000000001</v>
      </c>
      <c r="BG297" s="1790"/>
      <c r="BH297" s="1790"/>
      <c r="BI297" s="1790"/>
      <c r="BJ297" s="1790"/>
      <c r="BK297" s="1790"/>
      <c r="BL297" s="1884"/>
    </row>
    <row r="298" spans="1:64" s="1803" customFormat="1" ht="15" hidden="1" customHeight="1" outlineLevel="2" x14ac:dyDescent="0.35">
      <c r="A298" s="1609"/>
      <c r="B298" s="1716"/>
      <c r="C298" s="1515"/>
      <c r="D298" s="1515"/>
      <c r="E298" s="1515"/>
      <c r="F298" s="1515"/>
      <c r="G298" s="1515"/>
      <c r="H298" s="1515"/>
      <c r="I298" s="1515"/>
      <c r="J298" s="1515"/>
      <c r="K298" s="1515"/>
      <c r="L298" s="1515"/>
      <c r="M298" s="1515"/>
      <c r="N298" s="1515"/>
      <c r="O298" s="1515"/>
      <c r="P298" s="1515"/>
      <c r="Q298" s="1515"/>
      <c r="R298" s="1515"/>
      <c r="S298" s="1515"/>
      <c r="T298" s="1515"/>
      <c r="U298" s="1515"/>
      <c r="V298" s="1515"/>
      <c r="W298" s="1515"/>
      <c r="X298" s="1515"/>
      <c r="Y298" s="1515"/>
      <c r="Z298" s="1515"/>
      <c r="AA298" s="1515"/>
      <c r="AB298" s="1515"/>
      <c r="AC298" s="1515"/>
      <c r="AD298" s="1515"/>
      <c r="AE298" s="1515"/>
      <c r="AF298" s="1515"/>
      <c r="AG298" s="1515"/>
      <c r="AH298" s="1515"/>
      <c r="AI298" s="1515"/>
      <c r="AJ298" s="1516"/>
      <c r="AK298" s="1515"/>
      <c r="AL298" s="1515"/>
      <c r="AM298" s="1515"/>
      <c r="AN298" s="1515"/>
      <c r="AO298" s="1515"/>
      <c r="AP298" s="1515"/>
      <c r="AQ298" s="1515"/>
      <c r="AR298" s="1595"/>
      <c r="AS298" s="1595"/>
      <c r="AT298" s="1595"/>
      <c r="AU298" s="1595"/>
      <c r="AV298" s="1595"/>
      <c r="AW298" s="1595"/>
      <c r="AX298" s="1595"/>
      <c r="AY298" s="1595"/>
      <c r="AZ298" s="1595"/>
      <c r="BA298" s="1595"/>
      <c r="BB298" s="1595"/>
      <c r="BC298" s="1595"/>
      <c r="BD298" s="1595"/>
      <c r="BE298" s="1595"/>
      <c r="BF298" s="1610"/>
      <c r="BG298" s="1595"/>
      <c r="BH298" s="1595"/>
      <c r="BI298" s="1595"/>
      <c r="BJ298" s="1595"/>
      <c r="BK298" s="1595"/>
      <c r="BL298" s="1517"/>
    </row>
    <row r="299" spans="1:64" s="1518" customFormat="1" ht="15" hidden="1" customHeight="1" outlineLevel="3" x14ac:dyDescent="0.35">
      <c r="A299" s="1678" t="s">
        <v>1087</v>
      </c>
      <c r="B299" s="1716"/>
      <c r="C299" s="1515"/>
      <c r="D299" s="1515"/>
      <c r="E299" s="1515"/>
      <c r="F299" s="1515"/>
      <c r="G299" s="1515"/>
      <c r="H299" s="1515"/>
      <c r="I299" s="1515"/>
      <c r="J299" s="1515"/>
      <c r="K299" s="1515"/>
      <c r="L299" s="1515"/>
      <c r="M299" s="1515"/>
      <c r="N299" s="1515"/>
      <c r="O299" s="1515"/>
      <c r="P299" s="1515"/>
      <c r="Q299" s="1515"/>
      <c r="R299" s="1515"/>
      <c r="S299" s="1515"/>
      <c r="T299" s="1515"/>
      <c r="U299" s="1515"/>
      <c r="V299" s="1515"/>
      <c r="W299" s="1515"/>
      <c r="X299" s="1515"/>
      <c r="Y299" s="1515"/>
      <c r="Z299" s="1515"/>
      <c r="AA299" s="1515">
        <f>BD303</f>
        <v>3.9184540000000001</v>
      </c>
      <c r="AB299" s="1515">
        <f>AA299</f>
        <v>3.9184540000000001</v>
      </c>
      <c r="AC299" s="1515">
        <f>AB299</f>
        <v>3.9184540000000001</v>
      </c>
      <c r="AD299" s="1515">
        <f>AC299</f>
        <v>3.9184540000000001</v>
      </c>
      <c r="AE299" s="1515">
        <f>BE303</f>
        <v>4.3875010000000003</v>
      </c>
      <c r="AF299" s="1515">
        <f>AE299</f>
        <v>4.3875010000000003</v>
      </c>
      <c r="AG299" s="1515">
        <f>AF299</f>
        <v>4.3875010000000003</v>
      </c>
      <c r="AH299" s="1515">
        <f>AG299</f>
        <v>4.3875010000000003</v>
      </c>
      <c r="AI299" s="1515">
        <f>BF303</f>
        <v>4.558199000000001</v>
      </c>
      <c r="AJ299" s="1516">
        <f>AI299</f>
        <v>4.558199000000001</v>
      </c>
      <c r="AK299" s="1515"/>
      <c r="AL299" s="1515"/>
      <c r="AM299" s="1515"/>
      <c r="AN299" s="1515"/>
      <c r="AO299" s="1515"/>
      <c r="AP299" s="1515"/>
      <c r="AQ299" s="1515"/>
      <c r="AR299" s="1595"/>
      <c r="AS299" s="1595"/>
      <c r="AT299" s="1595"/>
      <c r="AU299" s="1595"/>
      <c r="AV299" s="1595"/>
      <c r="AW299" s="1595"/>
      <c r="AX299" s="1595"/>
      <c r="AY299" s="1595"/>
      <c r="AZ299" s="1595"/>
      <c r="BA299" s="1595"/>
      <c r="BB299" s="1595"/>
      <c r="BC299" s="1595"/>
      <c r="BD299" s="1596">
        <v>0</v>
      </c>
      <c r="BE299" s="1595">
        <f>AD299</f>
        <v>3.9184540000000001</v>
      </c>
      <c r="BF299" s="1610">
        <f>AH299</f>
        <v>4.3875010000000003</v>
      </c>
      <c r="BG299" s="1595"/>
      <c r="BH299" s="1595"/>
      <c r="BI299" s="1595"/>
      <c r="BJ299" s="1595"/>
      <c r="BK299" s="1595"/>
      <c r="BL299" s="1517"/>
    </row>
    <row r="300" spans="1:64" s="1518" customFormat="1" ht="15" hidden="1" customHeight="1" outlineLevel="3" x14ac:dyDescent="0.35">
      <c r="A300" s="1816" t="s">
        <v>1088</v>
      </c>
      <c r="B300" s="1716"/>
      <c r="C300" s="1515"/>
      <c r="D300" s="1515"/>
      <c r="E300" s="1515"/>
      <c r="F300" s="1515"/>
      <c r="G300" s="1515"/>
      <c r="H300" s="1515"/>
      <c r="I300" s="1515"/>
      <c r="J300" s="1515"/>
      <c r="K300" s="1515"/>
      <c r="L300" s="1515"/>
      <c r="M300" s="1515"/>
      <c r="N300" s="1515"/>
      <c r="O300" s="1515"/>
      <c r="P300" s="1515"/>
      <c r="Q300" s="1515"/>
      <c r="R300" s="1515"/>
      <c r="S300" s="1515"/>
      <c r="T300" s="1515"/>
      <c r="U300" s="1515"/>
      <c r="V300" s="1515"/>
      <c r="W300" s="1515"/>
      <c r="X300" s="1515"/>
      <c r="Y300" s="1515"/>
      <c r="Z300" s="1515"/>
      <c r="AA300" s="1593">
        <v>0.622919</v>
      </c>
      <c r="AB300" s="1593">
        <v>0.622919</v>
      </c>
      <c r="AC300" s="1593">
        <v>0.622919</v>
      </c>
      <c r="AD300" s="1515">
        <f>BE300</f>
        <v>0.622919</v>
      </c>
      <c r="AE300" s="1593">
        <v>0.86987400000000004</v>
      </c>
      <c r="AF300" s="1593">
        <v>0.90943099999999999</v>
      </c>
      <c r="AG300" s="1593">
        <v>0.90943099999999999</v>
      </c>
      <c r="AH300" s="1515">
        <f>BF300</f>
        <v>0.947021</v>
      </c>
      <c r="AI300" s="1515"/>
      <c r="AJ300" s="1516"/>
      <c r="AK300" s="1515"/>
      <c r="AL300" s="1515"/>
      <c r="AM300" s="1515"/>
      <c r="AN300" s="1515"/>
      <c r="AO300" s="1515"/>
      <c r="AP300" s="1515"/>
      <c r="AQ300" s="1515"/>
      <c r="AR300" s="1595"/>
      <c r="AS300" s="1595"/>
      <c r="AT300" s="1595"/>
      <c r="AU300" s="1595"/>
      <c r="AV300" s="1595"/>
      <c r="AW300" s="1595"/>
      <c r="AX300" s="1595"/>
      <c r="AY300" s="1595"/>
      <c r="AZ300" s="1595"/>
      <c r="BA300" s="1595"/>
      <c r="BB300" s="1595"/>
      <c r="BC300" s="1595"/>
      <c r="BD300" s="1596">
        <v>3.9990540000000001</v>
      </c>
      <c r="BE300" s="1596">
        <v>0.622919</v>
      </c>
      <c r="BF300" s="1597">
        <v>0.947021</v>
      </c>
      <c r="BG300" s="1595"/>
      <c r="BH300" s="1595"/>
      <c r="BI300" s="1595"/>
      <c r="BJ300" s="1595"/>
      <c r="BK300" s="1595"/>
      <c r="BL300" s="1517"/>
    </row>
    <row r="301" spans="1:64" s="1518" customFormat="1" ht="15" hidden="1" customHeight="1" outlineLevel="3" x14ac:dyDescent="0.35">
      <c r="A301" s="1816" t="s">
        <v>1089</v>
      </c>
      <c r="B301" s="1716"/>
      <c r="C301" s="1515"/>
      <c r="D301" s="1515"/>
      <c r="E301" s="1515"/>
      <c r="F301" s="1515"/>
      <c r="G301" s="1515"/>
      <c r="H301" s="1515"/>
      <c r="I301" s="1515"/>
      <c r="J301" s="1515"/>
      <c r="K301" s="1515"/>
      <c r="L301" s="1515"/>
      <c r="M301" s="1515"/>
      <c r="N301" s="1515"/>
      <c r="O301" s="1515"/>
      <c r="P301" s="1515"/>
      <c r="Q301" s="1515"/>
      <c r="R301" s="1515"/>
      <c r="S301" s="1515"/>
      <c r="T301" s="1515"/>
      <c r="U301" s="1515"/>
      <c r="V301" s="1515"/>
      <c r="W301" s="1515"/>
      <c r="X301" s="1515"/>
      <c r="Y301" s="1515"/>
      <c r="Z301" s="1515"/>
      <c r="AA301" s="1515"/>
      <c r="AB301" s="1515"/>
      <c r="AC301" s="1515"/>
      <c r="AD301" s="1515"/>
      <c r="AE301" s="1515"/>
      <c r="AF301" s="1515"/>
      <c r="AG301" s="1515"/>
      <c r="AH301" s="1515"/>
      <c r="AI301" s="1515"/>
      <c r="AJ301" s="1516"/>
      <c r="AK301" s="1515"/>
      <c r="AL301" s="1515"/>
      <c r="AM301" s="1515"/>
      <c r="AN301" s="1515"/>
      <c r="AO301" s="1515"/>
      <c r="AP301" s="1515"/>
      <c r="AQ301" s="1515"/>
      <c r="AR301" s="1595"/>
      <c r="AS301" s="1595"/>
      <c r="AT301" s="1595"/>
      <c r="AU301" s="1595"/>
      <c r="AV301" s="1595"/>
      <c r="AW301" s="1595"/>
      <c r="AX301" s="1595"/>
      <c r="AY301" s="1595"/>
      <c r="AZ301" s="1595"/>
      <c r="BA301" s="1595"/>
      <c r="BB301" s="1595"/>
      <c r="BC301" s="1595"/>
      <c r="BD301" s="1596">
        <v>0</v>
      </c>
      <c r="BE301" s="1595"/>
      <c r="BF301" s="1610"/>
      <c r="BG301" s="1595"/>
      <c r="BH301" s="1595"/>
      <c r="BI301" s="1595"/>
      <c r="BJ301" s="1595"/>
      <c r="BK301" s="1595"/>
      <c r="BL301" s="1517"/>
    </row>
    <row r="302" spans="1:64" s="1518" customFormat="1" ht="15" hidden="1" customHeight="1" outlineLevel="3" x14ac:dyDescent="0.35">
      <c r="A302" s="1823" t="s">
        <v>1090</v>
      </c>
      <c r="B302" s="1738"/>
      <c r="C302" s="1681"/>
      <c r="D302" s="1681"/>
      <c r="E302" s="1681"/>
      <c r="F302" s="1681"/>
      <c r="G302" s="1681"/>
      <c r="H302" s="1681"/>
      <c r="I302" s="1681"/>
      <c r="J302" s="1681"/>
      <c r="K302" s="1681"/>
      <c r="L302" s="1681"/>
      <c r="M302" s="1681"/>
      <c r="N302" s="1681"/>
      <c r="O302" s="1681"/>
      <c r="P302" s="1681"/>
      <c r="Q302" s="1681"/>
      <c r="R302" s="1681"/>
      <c r="S302" s="1681"/>
      <c r="T302" s="1681"/>
      <c r="U302" s="1681"/>
      <c r="V302" s="1681"/>
      <c r="W302" s="1681"/>
      <c r="X302" s="1681"/>
      <c r="Y302" s="1681"/>
      <c r="Z302" s="1681"/>
      <c r="AA302" s="1736">
        <v>-3.6635000000000001E-2</v>
      </c>
      <c r="AB302" s="1736">
        <v>-3.6635000000000001E-2</v>
      </c>
      <c r="AC302" s="1736">
        <v>-9.5254000000000005E-2</v>
      </c>
      <c r="AD302" s="1681">
        <f>BE302</f>
        <v>-0.15387200000000001</v>
      </c>
      <c r="AE302" s="1681"/>
      <c r="AF302" s="1681"/>
      <c r="AG302" s="1681"/>
      <c r="AH302" s="1681">
        <f>BF302</f>
        <v>-0.77632299999999999</v>
      </c>
      <c r="AI302" s="1736">
        <v>-1.1724E-2</v>
      </c>
      <c r="AJ302" s="1739">
        <v>-2.9309999999999999E-2</v>
      </c>
      <c r="AK302" s="1681"/>
      <c r="AL302" s="1681"/>
      <c r="AM302" s="1681"/>
      <c r="AN302" s="1681"/>
      <c r="AO302" s="1681"/>
      <c r="AP302" s="1681"/>
      <c r="AQ302" s="1681"/>
      <c r="AR302" s="1683"/>
      <c r="AS302" s="1683"/>
      <c r="AT302" s="1683"/>
      <c r="AU302" s="1683"/>
      <c r="AV302" s="1683"/>
      <c r="AW302" s="1683"/>
      <c r="AX302" s="1683"/>
      <c r="AY302" s="1683"/>
      <c r="AZ302" s="1683"/>
      <c r="BA302" s="1683"/>
      <c r="BB302" s="1683"/>
      <c r="BC302" s="1683"/>
      <c r="BD302" s="1740">
        <v>-8.0600000000000005E-2</v>
      </c>
      <c r="BE302" s="1740">
        <v>-0.15387200000000001</v>
      </c>
      <c r="BF302" s="1598">
        <v>-0.77632299999999999</v>
      </c>
      <c r="BG302" s="1683"/>
      <c r="BH302" s="1683"/>
      <c r="BI302" s="1683"/>
      <c r="BJ302" s="1683"/>
      <c r="BK302" s="1683"/>
      <c r="BL302" s="1517"/>
    </row>
    <row r="303" spans="1:64" s="1518" customFormat="1" ht="15" hidden="1" customHeight="1" outlineLevel="3" x14ac:dyDescent="0.35">
      <c r="A303" s="1678" t="s">
        <v>1091</v>
      </c>
      <c r="B303" s="1716"/>
      <c r="C303" s="1515"/>
      <c r="D303" s="1515"/>
      <c r="E303" s="1515"/>
      <c r="F303" s="1515"/>
      <c r="G303" s="1515"/>
      <c r="H303" s="1515"/>
      <c r="I303" s="1515"/>
      <c r="J303" s="1515"/>
      <c r="K303" s="1515"/>
      <c r="L303" s="1515"/>
      <c r="M303" s="1515"/>
      <c r="N303" s="1515"/>
      <c r="O303" s="1515"/>
      <c r="P303" s="1515"/>
      <c r="Q303" s="1515"/>
      <c r="R303" s="1515"/>
      <c r="S303" s="1515"/>
      <c r="T303" s="1515"/>
      <c r="U303" s="1515"/>
      <c r="V303" s="1515"/>
      <c r="W303" s="1515"/>
      <c r="X303" s="1515"/>
      <c r="Y303" s="1515"/>
      <c r="Z303" s="1515">
        <f>BD303</f>
        <v>3.9184540000000001</v>
      </c>
      <c r="AA303" s="1515">
        <f t="shared" ref="AA303:AJ303" si="139">AA299+AA300+AA301+AA302</f>
        <v>4.5047379999999997</v>
      </c>
      <c r="AB303" s="1515">
        <f t="shared" si="139"/>
        <v>4.5047379999999997</v>
      </c>
      <c r="AC303" s="1515">
        <f t="shared" si="139"/>
        <v>4.4461190000000004</v>
      </c>
      <c r="AD303" s="1515">
        <f t="shared" si="139"/>
        <v>4.3875010000000003</v>
      </c>
      <c r="AE303" s="1515">
        <f t="shared" si="139"/>
        <v>5.2573750000000006</v>
      </c>
      <c r="AF303" s="1515">
        <f t="shared" si="139"/>
        <v>5.296932</v>
      </c>
      <c r="AG303" s="1515">
        <f t="shared" si="139"/>
        <v>5.296932</v>
      </c>
      <c r="AH303" s="1515">
        <f t="shared" si="139"/>
        <v>4.558199000000001</v>
      </c>
      <c r="AI303" s="1515">
        <f t="shared" si="139"/>
        <v>4.5464750000000009</v>
      </c>
      <c r="AJ303" s="1516">
        <f t="shared" si="139"/>
        <v>4.5288890000000013</v>
      </c>
      <c r="AK303" s="1515"/>
      <c r="AL303" s="1515"/>
      <c r="AM303" s="1515"/>
      <c r="AN303" s="1515"/>
      <c r="AO303" s="1515"/>
      <c r="AP303" s="1515"/>
      <c r="AQ303" s="1515"/>
      <c r="AR303" s="1595"/>
      <c r="AS303" s="1595"/>
      <c r="AT303" s="1595"/>
      <c r="AU303" s="1595"/>
      <c r="AV303" s="1595"/>
      <c r="AW303" s="1595"/>
      <c r="AX303" s="1595"/>
      <c r="AY303" s="1595"/>
      <c r="AZ303" s="1595"/>
      <c r="BA303" s="1595"/>
      <c r="BB303" s="1595"/>
      <c r="BC303" s="1595"/>
      <c r="BD303" s="1595">
        <f>BD299+BD300+BD301+BD302</f>
        <v>3.9184540000000001</v>
      </c>
      <c r="BE303" s="1595">
        <f>BE299+BE300+BE301+BE302</f>
        <v>4.3875010000000003</v>
      </c>
      <c r="BF303" s="1610">
        <f>BF299+BF300+BF301+BF302</f>
        <v>4.558199000000001</v>
      </c>
      <c r="BG303" s="1595"/>
      <c r="BH303" s="1595"/>
      <c r="BI303" s="1595"/>
      <c r="BJ303" s="1595"/>
      <c r="BK303" s="1595"/>
      <c r="BL303" s="1517"/>
    </row>
    <row r="304" spans="1:64" s="1803" customFormat="1" ht="15" hidden="1" customHeight="1" outlineLevel="3" x14ac:dyDescent="0.35">
      <c r="A304" s="1609"/>
      <c r="B304" s="1716"/>
      <c r="C304" s="1515"/>
      <c r="D304" s="1515"/>
      <c r="E304" s="1515"/>
      <c r="F304" s="1515"/>
      <c r="G304" s="1515"/>
      <c r="H304" s="1515"/>
      <c r="I304" s="1515"/>
      <c r="J304" s="1515"/>
      <c r="K304" s="1515"/>
      <c r="L304" s="1515"/>
      <c r="M304" s="1515"/>
      <c r="N304" s="1515"/>
      <c r="O304" s="1515"/>
      <c r="P304" s="1515"/>
      <c r="Q304" s="1515"/>
      <c r="R304" s="1515"/>
      <c r="S304" s="1515"/>
      <c r="T304" s="1515"/>
      <c r="U304" s="1515"/>
      <c r="V304" s="1515"/>
      <c r="W304" s="1515"/>
      <c r="X304" s="1515"/>
      <c r="Y304" s="1515"/>
      <c r="Z304" s="1515"/>
      <c r="AA304" s="1515"/>
      <c r="AB304" s="1515"/>
      <c r="AC304" s="1515"/>
      <c r="AD304" s="1515"/>
      <c r="AE304" s="1515"/>
      <c r="AF304" s="1515"/>
      <c r="AG304" s="1515"/>
      <c r="AH304" s="1515"/>
      <c r="AI304" s="1515"/>
      <c r="AJ304" s="1516"/>
      <c r="AK304" s="1515"/>
      <c r="AL304" s="1515"/>
      <c r="AM304" s="1515"/>
      <c r="AN304" s="1515"/>
      <c r="AO304" s="1515"/>
      <c r="AP304" s="1515"/>
      <c r="AQ304" s="1515"/>
      <c r="AR304" s="1595"/>
      <c r="AS304" s="1595"/>
      <c r="AT304" s="1595"/>
      <c r="AU304" s="1595"/>
      <c r="AV304" s="1595"/>
      <c r="AW304" s="1595"/>
      <c r="AX304" s="1595"/>
      <c r="AY304" s="1595"/>
      <c r="AZ304" s="1595"/>
      <c r="BA304" s="1595"/>
      <c r="BB304" s="1595"/>
      <c r="BC304" s="1595"/>
      <c r="BD304" s="1595"/>
      <c r="BE304" s="1595"/>
      <c r="BF304" s="1610"/>
      <c r="BG304" s="1595"/>
      <c r="BH304" s="1595"/>
      <c r="BI304" s="1595"/>
      <c r="BJ304" s="1595"/>
      <c r="BK304" s="1595"/>
      <c r="BL304" s="1517"/>
    </row>
    <row r="305" spans="1:64" s="1803" customFormat="1" ht="15" hidden="1" customHeight="1" outlineLevel="3" x14ac:dyDescent="0.35">
      <c r="A305" s="1678" t="s">
        <v>1092</v>
      </c>
      <c r="B305" s="1716"/>
      <c r="C305" s="1515"/>
      <c r="D305" s="1515"/>
      <c r="E305" s="1515"/>
      <c r="F305" s="1515"/>
      <c r="G305" s="1515"/>
      <c r="H305" s="1515"/>
      <c r="I305" s="1515"/>
      <c r="J305" s="1515"/>
      <c r="K305" s="1515"/>
      <c r="L305" s="1515"/>
      <c r="M305" s="1515"/>
      <c r="N305" s="1515"/>
      <c r="O305" s="1515"/>
      <c r="P305" s="1515"/>
      <c r="Q305" s="1515"/>
      <c r="R305" s="1515"/>
      <c r="S305" s="1515"/>
      <c r="T305" s="1515"/>
      <c r="U305" s="1515"/>
      <c r="V305" s="1515"/>
      <c r="W305" s="1515"/>
      <c r="X305" s="1515"/>
      <c r="Y305" s="1515"/>
      <c r="Z305" s="1515"/>
      <c r="AA305" s="1515">
        <f>BD309</f>
        <v>3.9184540000000001</v>
      </c>
      <c r="AB305" s="1515">
        <f>AA309</f>
        <v>4.5047379999999997</v>
      </c>
      <c r="AC305" s="1515">
        <f>AB309</f>
        <v>4.5047379999999997</v>
      </c>
      <c r="AD305" s="1515">
        <f>AC309</f>
        <v>4.4461189999999995</v>
      </c>
      <c r="AE305" s="1515">
        <f>BE309</f>
        <v>4.3875010000000003</v>
      </c>
      <c r="AF305" s="1515">
        <f>AE309</f>
        <v>5.2573750000000006</v>
      </c>
      <c r="AG305" s="1515">
        <f>AF309</f>
        <v>5.2969320000000009</v>
      </c>
      <c r="AH305" s="1515">
        <f>AG309</f>
        <v>5.2969320000000009</v>
      </c>
      <c r="AI305" s="1515">
        <f>BF309</f>
        <v>4.558199000000001</v>
      </c>
      <c r="AJ305" s="1516">
        <f>AI309</f>
        <v>4.5464750000000009</v>
      </c>
      <c r="AK305" s="1515"/>
      <c r="AL305" s="1515"/>
      <c r="AM305" s="1515"/>
      <c r="AN305" s="1515"/>
      <c r="AO305" s="1515"/>
      <c r="AP305" s="1515"/>
      <c r="AQ305" s="1515"/>
      <c r="AR305" s="1595"/>
      <c r="AS305" s="1595"/>
      <c r="AT305" s="1595"/>
      <c r="AU305" s="1595"/>
      <c r="AV305" s="1595"/>
      <c r="AW305" s="1595"/>
      <c r="AX305" s="1595"/>
      <c r="AY305" s="1595"/>
      <c r="AZ305" s="1595"/>
      <c r="BA305" s="1595"/>
      <c r="BB305" s="1595"/>
      <c r="BC305" s="1595"/>
      <c r="BD305" s="1595">
        <f>BD299</f>
        <v>0</v>
      </c>
      <c r="BE305" s="1595">
        <f>BD309</f>
        <v>3.9184540000000001</v>
      </c>
      <c r="BF305" s="1610">
        <f>BE309</f>
        <v>4.3875010000000003</v>
      </c>
      <c r="BG305" s="1595"/>
      <c r="BH305" s="1595"/>
      <c r="BI305" s="1595"/>
      <c r="BJ305" s="1595"/>
      <c r="BK305" s="1595"/>
      <c r="BL305" s="1517"/>
    </row>
    <row r="306" spans="1:64" s="1803" customFormat="1" ht="15" hidden="1" customHeight="1" outlineLevel="3" x14ac:dyDescent="0.35">
      <c r="A306" s="1816" t="s">
        <v>1093</v>
      </c>
      <c r="B306" s="1716"/>
      <c r="C306" s="1515"/>
      <c r="D306" s="1515"/>
      <c r="E306" s="1515"/>
      <c r="F306" s="1515"/>
      <c r="G306" s="1515"/>
      <c r="H306" s="1515"/>
      <c r="I306" s="1515"/>
      <c r="J306" s="1515"/>
      <c r="K306" s="1515"/>
      <c r="L306" s="1515"/>
      <c r="M306" s="1515"/>
      <c r="N306" s="1515"/>
      <c r="O306" s="1515"/>
      <c r="P306" s="1515"/>
      <c r="Q306" s="1515"/>
      <c r="R306" s="1515"/>
      <c r="S306" s="1515"/>
      <c r="T306" s="1515"/>
      <c r="U306" s="1515"/>
      <c r="V306" s="1515"/>
      <c r="W306" s="1515"/>
      <c r="X306" s="1515"/>
      <c r="Y306" s="1515"/>
      <c r="Z306" s="1515"/>
      <c r="AA306" s="1515">
        <f>AA300</f>
        <v>0.622919</v>
      </c>
      <c r="AB306" s="1515">
        <f t="shared" ref="AB306:AD308" si="140">AB300-AA300</f>
        <v>0</v>
      </c>
      <c r="AC306" s="1515">
        <f t="shared" si="140"/>
        <v>0</v>
      </c>
      <c r="AD306" s="1515">
        <f t="shared" si="140"/>
        <v>0</v>
      </c>
      <c r="AE306" s="1515">
        <f>AE300</f>
        <v>0.86987400000000004</v>
      </c>
      <c r="AF306" s="1515">
        <f t="shared" ref="AF306:AH308" si="141">AF300-AE300</f>
        <v>3.9556999999999953E-2</v>
      </c>
      <c r="AG306" s="1515">
        <f t="shared" si="141"/>
        <v>0</v>
      </c>
      <c r="AH306" s="1515">
        <f t="shared" si="141"/>
        <v>3.7590000000000012E-2</v>
      </c>
      <c r="AI306" s="1515">
        <f>AI300</f>
        <v>0</v>
      </c>
      <c r="AJ306" s="1516">
        <f>AJ300-AI300</f>
        <v>0</v>
      </c>
      <c r="AK306" s="1515"/>
      <c r="AL306" s="1515"/>
      <c r="AM306" s="1515"/>
      <c r="AN306" s="1515"/>
      <c r="AO306" s="1515"/>
      <c r="AP306" s="1515"/>
      <c r="AQ306" s="1515"/>
      <c r="AR306" s="1595"/>
      <c r="AS306" s="1595"/>
      <c r="AT306" s="1595"/>
      <c r="AU306" s="1595"/>
      <c r="AV306" s="1595"/>
      <c r="AW306" s="1595"/>
      <c r="AX306" s="1595"/>
      <c r="AY306" s="1595"/>
      <c r="AZ306" s="1595"/>
      <c r="BA306" s="1595"/>
      <c r="BB306" s="1595"/>
      <c r="BC306" s="1595"/>
      <c r="BD306" s="1595">
        <f>BD300</f>
        <v>3.9990540000000001</v>
      </c>
      <c r="BE306" s="1595">
        <f t="shared" ref="BE306:BF308" si="142">BE300</f>
        <v>0.622919</v>
      </c>
      <c r="BF306" s="1610">
        <f t="shared" si="142"/>
        <v>0.947021</v>
      </c>
      <c r="BG306" s="1595"/>
      <c r="BH306" s="1595"/>
      <c r="BI306" s="1595"/>
      <c r="BJ306" s="1595"/>
      <c r="BK306" s="1595"/>
      <c r="BL306" s="1517"/>
    </row>
    <row r="307" spans="1:64" s="1803" customFormat="1" ht="15" hidden="1" customHeight="1" outlineLevel="3" x14ac:dyDescent="0.35">
      <c r="A307" s="1816" t="s">
        <v>1094</v>
      </c>
      <c r="B307" s="1716"/>
      <c r="C307" s="1515"/>
      <c r="D307" s="1515"/>
      <c r="E307" s="1515"/>
      <c r="F307" s="1515"/>
      <c r="G307" s="1515"/>
      <c r="H307" s="1515"/>
      <c r="I307" s="1515"/>
      <c r="J307" s="1515"/>
      <c r="K307" s="1515"/>
      <c r="L307" s="1515"/>
      <c r="M307" s="1515"/>
      <c r="N307" s="1515"/>
      <c r="O307" s="1515"/>
      <c r="P307" s="1515"/>
      <c r="Q307" s="1515"/>
      <c r="R307" s="1515"/>
      <c r="S307" s="1515"/>
      <c r="T307" s="1515"/>
      <c r="U307" s="1515"/>
      <c r="V307" s="1515"/>
      <c r="W307" s="1515"/>
      <c r="X307" s="1515"/>
      <c r="Y307" s="1515"/>
      <c r="Z307" s="1515"/>
      <c r="AA307" s="1515">
        <f>AA301</f>
        <v>0</v>
      </c>
      <c r="AB307" s="1515">
        <f t="shared" si="140"/>
        <v>0</v>
      </c>
      <c r="AC307" s="1515">
        <f t="shared" si="140"/>
        <v>0</v>
      </c>
      <c r="AD307" s="1515">
        <f t="shared" si="140"/>
        <v>0</v>
      </c>
      <c r="AE307" s="1515">
        <f>AE301</f>
        <v>0</v>
      </c>
      <c r="AF307" s="1515">
        <f t="shared" si="141"/>
        <v>0</v>
      </c>
      <c r="AG307" s="1515">
        <f t="shared" si="141"/>
        <v>0</v>
      </c>
      <c r="AH307" s="1515">
        <f t="shared" si="141"/>
        <v>0</v>
      </c>
      <c r="AI307" s="1515">
        <f>AI301</f>
        <v>0</v>
      </c>
      <c r="AJ307" s="1516">
        <f>AJ301-AI301</f>
        <v>0</v>
      </c>
      <c r="AK307" s="1515"/>
      <c r="AL307" s="1515"/>
      <c r="AM307" s="1515"/>
      <c r="AN307" s="1515"/>
      <c r="AO307" s="1515"/>
      <c r="AP307" s="1515"/>
      <c r="AQ307" s="1515"/>
      <c r="AR307" s="1595"/>
      <c r="AS307" s="1595"/>
      <c r="AT307" s="1595"/>
      <c r="AU307" s="1595"/>
      <c r="AV307" s="1595"/>
      <c r="AW307" s="1595"/>
      <c r="AX307" s="1595"/>
      <c r="AY307" s="1595"/>
      <c r="AZ307" s="1595"/>
      <c r="BA307" s="1595"/>
      <c r="BB307" s="1595"/>
      <c r="BC307" s="1595"/>
      <c r="BD307" s="1595">
        <f>BD301</f>
        <v>0</v>
      </c>
      <c r="BE307" s="1595">
        <f t="shared" si="142"/>
        <v>0</v>
      </c>
      <c r="BF307" s="1610">
        <f t="shared" si="142"/>
        <v>0</v>
      </c>
      <c r="BG307" s="1595"/>
      <c r="BH307" s="1595"/>
      <c r="BI307" s="1595"/>
      <c r="BJ307" s="1595"/>
      <c r="BK307" s="1595"/>
      <c r="BL307" s="1517"/>
    </row>
    <row r="308" spans="1:64" s="1803" customFormat="1" ht="15" hidden="1" customHeight="1" outlineLevel="3" x14ac:dyDescent="0.35">
      <c r="A308" s="1823" t="s">
        <v>1095</v>
      </c>
      <c r="B308" s="1738"/>
      <c r="C308" s="1681"/>
      <c r="D308" s="1681"/>
      <c r="E308" s="1681"/>
      <c r="F308" s="1681"/>
      <c r="G308" s="1681"/>
      <c r="H308" s="1681"/>
      <c r="I308" s="1681"/>
      <c r="J308" s="1681"/>
      <c r="K308" s="1681"/>
      <c r="L308" s="1681"/>
      <c r="M308" s="1681"/>
      <c r="N308" s="1681"/>
      <c r="O308" s="1681"/>
      <c r="P308" s="1681"/>
      <c r="Q308" s="1681"/>
      <c r="R308" s="1681"/>
      <c r="S308" s="1681"/>
      <c r="T308" s="1681"/>
      <c r="U308" s="1681"/>
      <c r="V308" s="1681"/>
      <c r="W308" s="1681"/>
      <c r="X308" s="1681"/>
      <c r="Y308" s="1681"/>
      <c r="Z308" s="1681"/>
      <c r="AA308" s="1681">
        <f>AA302</f>
        <v>-3.6635000000000001E-2</v>
      </c>
      <c r="AB308" s="1681">
        <f t="shared" si="140"/>
        <v>0</v>
      </c>
      <c r="AC308" s="1681">
        <f t="shared" si="140"/>
        <v>-5.8619000000000004E-2</v>
      </c>
      <c r="AD308" s="1681">
        <f t="shared" si="140"/>
        <v>-5.8618000000000003E-2</v>
      </c>
      <c r="AE308" s="1681">
        <f>AE302</f>
        <v>0</v>
      </c>
      <c r="AF308" s="1681">
        <f t="shared" si="141"/>
        <v>0</v>
      </c>
      <c r="AG308" s="1681">
        <f t="shared" si="141"/>
        <v>0</v>
      </c>
      <c r="AH308" s="1681">
        <f t="shared" si="141"/>
        <v>-0.77632299999999999</v>
      </c>
      <c r="AI308" s="1681">
        <f>AI302</f>
        <v>-1.1724E-2</v>
      </c>
      <c r="AJ308" s="1682">
        <f>AJ302-AI302</f>
        <v>-1.7585999999999997E-2</v>
      </c>
      <c r="AK308" s="1681"/>
      <c r="AL308" s="1681"/>
      <c r="AM308" s="1681"/>
      <c r="AN308" s="1681"/>
      <c r="AO308" s="1681"/>
      <c r="AP308" s="1681"/>
      <c r="AQ308" s="1681"/>
      <c r="AR308" s="1683"/>
      <c r="AS308" s="1683"/>
      <c r="AT308" s="1683"/>
      <c r="AU308" s="1683"/>
      <c r="AV308" s="1683"/>
      <c r="AW308" s="1683"/>
      <c r="AX308" s="1683"/>
      <c r="AY308" s="1683"/>
      <c r="AZ308" s="1683"/>
      <c r="BA308" s="1683"/>
      <c r="BB308" s="1683"/>
      <c r="BC308" s="1683"/>
      <c r="BD308" s="1683">
        <f>BD302</f>
        <v>-8.0600000000000005E-2</v>
      </c>
      <c r="BE308" s="1683">
        <f t="shared" si="142"/>
        <v>-0.15387200000000001</v>
      </c>
      <c r="BF308" s="1684">
        <f t="shared" si="142"/>
        <v>-0.77632299999999999</v>
      </c>
      <c r="BG308" s="1683"/>
      <c r="BH308" s="1683"/>
      <c r="BI308" s="1683"/>
      <c r="BJ308" s="1683"/>
      <c r="BK308" s="1683"/>
      <c r="BL308" s="1517"/>
    </row>
    <row r="309" spans="1:64" s="1518" customFormat="1" ht="15" hidden="1" customHeight="1" outlineLevel="2" collapsed="1" x14ac:dyDescent="0.35">
      <c r="A309" s="1678" t="s">
        <v>1096</v>
      </c>
      <c r="B309" s="1716"/>
      <c r="C309" s="1515"/>
      <c r="D309" s="1515"/>
      <c r="E309" s="1515"/>
      <c r="F309" s="1515"/>
      <c r="G309" s="1515"/>
      <c r="H309" s="1515"/>
      <c r="I309" s="1515"/>
      <c r="J309" s="1515"/>
      <c r="K309" s="1515"/>
      <c r="L309" s="1515"/>
      <c r="M309" s="1515"/>
      <c r="N309" s="1515"/>
      <c r="O309" s="1515"/>
      <c r="P309" s="1515"/>
      <c r="Q309" s="1515"/>
      <c r="R309" s="1515"/>
      <c r="S309" s="1515"/>
      <c r="T309" s="1515"/>
      <c r="U309" s="1515"/>
      <c r="V309" s="1515"/>
      <c r="W309" s="1515"/>
      <c r="X309" s="1515"/>
      <c r="Y309" s="1515"/>
      <c r="Z309" s="1515">
        <f>BD309</f>
        <v>3.9184540000000001</v>
      </c>
      <c r="AA309" s="1515">
        <f t="shared" ref="AA309:AJ309" si="143">AA305+AA306+AA307+AA308</f>
        <v>4.5047379999999997</v>
      </c>
      <c r="AB309" s="1515">
        <f t="shared" si="143"/>
        <v>4.5047379999999997</v>
      </c>
      <c r="AC309" s="1515">
        <f t="shared" si="143"/>
        <v>4.4461189999999995</v>
      </c>
      <c r="AD309" s="1515">
        <f t="shared" si="143"/>
        <v>4.3875009999999994</v>
      </c>
      <c r="AE309" s="1515">
        <f t="shared" si="143"/>
        <v>5.2573750000000006</v>
      </c>
      <c r="AF309" s="1515">
        <f t="shared" si="143"/>
        <v>5.2969320000000009</v>
      </c>
      <c r="AG309" s="1515">
        <f t="shared" si="143"/>
        <v>5.2969320000000009</v>
      </c>
      <c r="AH309" s="1515">
        <f t="shared" si="143"/>
        <v>4.558199000000001</v>
      </c>
      <c r="AI309" s="1515">
        <f t="shared" si="143"/>
        <v>4.5464750000000009</v>
      </c>
      <c r="AJ309" s="1516">
        <f t="shared" si="143"/>
        <v>4.5288890000000013</v>
      </c>
      <c r="AK309" s="1515"/>
      <c r="AL309" s="1515"/>
      <c r="AM309" s="1515"/>
      <c r="AN309" s="1515"/>
      <c r="AO309" s="1515"/>
      <c r="AP309" s="1515"/>
      <c r="AQ309" s="1515"/>
      <c r="AR309" s="1595"/>
      <c r="AS309" s="1595"/>
      <c r="AT309" s="1595"/>
      <c r="AU309" s="1595"/>
      <c r="AV309" s="1595"/>
      <c r="AW309" s="1595"/>
      <c r="AX309" s="1595"/>
      <c r="AY309" s="1595"/>
      <c r="AZ309" s="1595"/>
      <c r="BA309" s="1595"/>
      <c r="BB309" s="1595"/>
      <c r="BC309" s="1595"/>
      <c r="BD309" s="1595">
        <f>BD305+BD306+BD307+BD308</f>
        <v>3.9184540000000001</v>
      </c>
      <c r="BE309" s="1595">
        <f>BE305+BE306+BE307+BE308</f>
        <v>4.3875010000000003</v>
      </c>
      <c r="BF309" s="1610">
        <f>BF305+BF306+BF307+BF308</f>
        <v>4.558199000000001</v>
      </c>
      <c r="BG309" s="1595"/>
      <c r="BH309" s="1595"/>
      <c r="BI309" s="1595"/>
      <c r="BJ309" s="1595"/>
      <c r="BK309" s="1595"/>
      <c r="BL309" s="1517"/>
    </row>
    <row r="310" spans="1:64" s="1803" customFormat="1" ht="15" hidden="1" customHeight="1" outlineLevel="3" x14ac:dyDescent="0.35">
      <c r="A310" s="1609"/>
      <c r="B310" s="1716"/>
      <c r="C310" s="1515"/>
      <c r="D310" s="1515"/>
      <c r="E310" s="1515"/>
      <c r="F310" s="1515"/>
      <c r="G310" s="1515"/>
      <c r="H310" s="1515"/>
      <c r="I310" s="1515"/>
      <c r="J310" s="1515"/>
      <c r="K310" s="1515"/>
      <c r="L310" s="1515"/>
      <c r="M310" s="1515"/>
      <c r="N310" s="1515"/>
      <c r="O310" s="1515"/>
      <c r="P310" s="1515"/>
      <c r="Q310" s="1515"/>
      <c r="R310" s="1515"/>
      <c r="S310" s="1515"/>
      <c r="T310" s="1515"/>
      <c r="U310" s="1515"/>
      <c r="V310" s="1515"/>
      <c r="W310" s="1515"/>
      <c r="X310" s="1515"/>
      <c r="Y310" s="1515"/>
      <c r="Z310" s="1515"/>
      <c r="AA310" s="1515"/>
      <c r="AB310" s="1515"/>
      <c r="AC310" s="1515"/>
      <c r="AD310" s="1515"/>
      <c r="AE310" s="1515"/>
      <c r="AF310" s="1515"/>
      <c r="AG310" s="1515"/>
      <c r="AH310" s="1515"/>
      <c r="AI310" s="1515"/>
      <c r="AJ310" s="1516"/>
      <c r="AK310" s="1515"/>
      <c r="AL310" s="1515"/>
      <c r="AM310" s="1515"/>
      <c r="AN310" s="1515"/>
      <c r="AO310" s="1515"/>
      <c r="AP310" s="1515"/>
      <c r="AQ310" s="1515"/>
      <c r="AR310" s="1595"/>
      <c r="AS310" s="1595"/>
      <c r="AT310" s="1595"/>
      <c r="AU310" s="1595"/>
      <c r="AV310" s="1595"/>
      <c r="AW310" s="1595"/>
      <c r="AX310" s="1595"/>
      <c r="AY310" s="1595"/>
      <c r="AZ310" s="1595"/>
      <c r="BA310" s="1595"/>
      <c r="BB310" s="1595"/>
      <c r="BC310" s="1595"/>
      <c r="BD310" s="1595"/>
      <c r="BE310" s="1595"/>
      <c r="BF310" s="1610"/>
      <c r="BG310" s="1595"/>
      <c r="BH310" s="1595"/>
      <c r="BI310" s="1595"/>
      <c r="BJ310" s="1595"/>
      <c r="BK310" s="1595"/>
      <c r="BL310" s="1517"/>
    </row>
    <row r="311" spans="1:64" s="1870" customFormat="1" ht="15" hidden="1" customHeight="1" outlineLevel="3" x14ac:dyDescent="0.35">
      <c r="A311" s="1849" t="s">
        <v>1097</v>
      </c>
      <c r="B311" s="1867"/>
      <c r="C311" s="1850"/>
      <c r="D311" s="1850"/>
      <c r="E311" s="1850"/>
      <c r="F311" s="1850"/>
      <c r="G311" s="1850"/>
      <c r="H311" s="1850"/>
      <c r="I311" s="1850"/>
      <c r="J311" s="1850"/>
      <c r="K311" s="1850"/>
      <c r="L311" s="1850"/>
      <c r="M311" s="1850"/>
      <c r="N311" s="1850"/>
      <c r="O311" s="1850"/>
      <c r="P311" s="1850"/>
      <c r="Q311" s="1850"/>
      <c r="R311" s="1850"/>
      <c r="S311" s="1850"/>
      <c r="T311" s="1850"/>
      <c r="U311" s="1850"/>
      <c r="V311" s="1850"/>
      <c r="W311" s="1850"/>
      <c r="X311" s="1850"/>
      <c r="Y311" s="1850"/>
      <c r="Z311" s="1850"/>
      <c r="AA311" s="1850">
        <f>BD315</f>
        <v>23</v>
      </c>
      <c r="AB311" s="1850">
        <f>BD315</f>
        <v>23</v>
      </c>
      <c r="AC311" s="1850">
        <f>BD315</f>
        <v>23</v>
      </c>
      <c r="AD311" s="1850">
        <f>BD315</f>
        <v>23</v>
      </c>
      <c r="AE311" s="1850">
        <f>BE315</f>
        <v>22.91</v>
      </c>
      <c r="AF311" s="1850">
        <f>BE315</f>
        <v>22.91</v>
      </c>
      <c r="AG311" s="1850">
        <f>BE315</f>
        <v>22.91</v>
      </c>
      <c r="AH311" s="1850">
        <f>BE315</f>
        <v>22.91</v>
      </c>
      <c r="AI311" s="1850">
        <f>BF315</f>
        <v>21.14</v>
      </c>
      <c r="AJ311" s="1851">
        <f>BF315</f>
        <v>21.14</v>
      </c>
      <c r="AK311" s="1850"/>
      <c r="AL311" s="1850"/>
      <c r="AM311" s="1850"/>
      <c r="AN311" s="1850"/>
      <c r="AO311" s="1850"/>
      <c r="AP311" s="1850"/>
      <c r="AQ311" s="1850"/>
      <c r="AR311" s="1852"/>
      <c r="AS311" s="1852"/>
      <c r="AT311" s="1852"/>
      <c r="AU311" s="1852"/>
      <c r="AV311" s="1852"/>
      <c r="AW311" s="1852"/>
      <c r="AX311" s="1852"/>
      <c r="AY311" s="1852"/>
      <c r="AZ311" s="1852"/>
      <c r="BA311" s="1852"/>
      <c r="BB311" s="1852"/>
      <c r="BC311" s="1852"/>
      <c r="BD311" s="1852"/>
      <c r="BE311" s="1852">
        <f>BD315</f>
        <v>23</v>
      </c>
      <c r="BF311" s="1853">
        <f>BE315</f>
        <v>22.91</v>
      </c>
      <c r="BG311" s="1852"/>
      <c r="BH311" s="1852"/>
      <c r="BI311" s="1852"/>
      <c r="BJ311" s="1852"/>
      <c r="BK311" s="1852"/>
      <c r="BL311" s="1869"/>
    </row>
    <row r="312" spans="1:64" s="1870" customFormat="1" ht="15" hidden="1" customHeight="1" outlineLevel="3" x14ac:dyDescent="0.35">
      <c r="A312" s="1854" t="s">
        <v>1098</v>
      </c>
      <c r="B312" s="1867"/>
      <c r="C312" s="1850"/>
      <c r="D312" s="1850"/>
      <c r="E312" s="1850"/>
      <c r="F312" s="1850"/>
      <c r="G312" s="1850"/>
      <c r="H312" s="1850"/>
      <c r="I312" s="1850"/>
      <c r="J312" s="1850"/>
      <c r="K312" s="1850"/>
      <c r="L312" s="1850"/>
      <c r="M312" s="1850"/>
      <c r="N312" s="1850"/>
      <c r="O312" s="1850"/>
      <c r="P312" s="1850"/>
      <c r="Q312" s="1850"/>
      <c r="R312" s="1850"/>
      <c r="S312" s="1850"/>
      <c r="T312" s="1850"/>
      <c r="U312" s="1850"/>
      <c r="V312" s="1850"/>
      <c r="W312" s="1850"/>
      <c r="X312" s="1850"/>
      <c r="Y312" s="1850"/>
      <c r="Z312" s="1850"/>
      <c r="AA312" s="1868">
        <v>22.35</v>
      </c>
      <c r="AB312" s="1868">
        <v>22.35</v>
      </c>
      <c r="AC312" s="1868">
        <v>22.35</v>
      </c>
      <c r="AD312" s="1850">
        <f>BE312</f>
        <v>22.35</v>
      </c>
      <c r="AE312" s="1868">
        <v>12.79</v>
      </c>
      <c r="AF312" s="1868">
        <v>12.77</v>
      </c>
      <c r="AG312" s="1868">
        <v>12.77</v>
      </c>
      <c r="AH312" s="1850">
        <f>BF312</f>
        <v>12.79</v>
      </c>
      <c r="AI312" s="1850"/>
      <c r="AJ312" s="1851"/>
      <c r="AK312" s="1850"/>
      <c r="AL312" s="1850"/>
      <c r="AM312" s="1850"/>
      <c r="AN312" s="1850"/>
      <c r="AO312" s="1850"/>
      <c r="AP312" s="1850"/>
      <c r="AQ312" s="1850"/>
      <c r="AR312" s="1852"/>
      <c r="AS312" s="1852"/>
      <c r="AT312" s="1852"/>
      <c r="AU312" s="1852"/>
      <c r="AV312" s="1852"/>
      <c r="AW312" s="1852"/>
      <c r="AX312" s="1852"/>
      <c r="AY312" s="1852"/>
      <c r="AZ312" s="1852"/>
      <c r="BA312" s="1852"/>
      <c r="BB312" s="1852"/>
      <c r="BC312" s="1852"/>
      <c r="BD312" s="1872">
        <v>23</v>
      </c>
      <c r="BE312" s="1872">
        <v>22.35</v>
      </c>
      <c r="BF312" s="1873">
        <v>12.79</v>
      </c>
      <c r="BG312" s="1852"/>
      <c r="BH312" s="1852"/>
      <c r="BI312" s="1852"/>
      <c r="BJ312" s="1852"/>
      <c r="BK312" s="1852"/>
      <c r="BL312" s="1869"/>
    </row>
    <row r="313" spans="1:64" s="1870" customFormat="1" ht="15" hidden="1" customHeight="1" outlineLevel="3" x14ac:dyDescent="0.35">
      <c r="A313" s="1854" t="s">
        <v>1099</v>
      </c>
      <c r="B313" s="1867"/>
      <c r="C313" s="1850"/>
      <c r="D313" s="1850"/>
      <c r="E313" s="1850"/>
      <c r="F313" s="1850"/>
      <c r="G313" s="1850"/>
      <c r="H313" s="1850"/>
      <c r="I313" s="1850"/>
      <c r="J313" s="1850"/>
      <c r="K313" s="1850"/>
      <c r="L313" s="1850"/>
      <c r="M313" s="1850"/>
      <c r="N313" s="1850"/>
      <c r="O313" s="1850"/>
      <c r="P313" s="1850"/>
      <c r="Q313" s="1850"/>
      <c r="R313" s="1850"/>
      <c r="S313" s="1850"/>
      <c r="T313" s="1850"/>
      <c r="U313" s="1850"/>
      <c r="V313" s="1850"/>
      <c r="W313" s="1850"/>
      <c r="X313" s="1850"/>
      <c r="Y313" s="1850"/>
      <c r="Z313" s="1850"/>
      <c r="AA313" s="1850"/>
      <c r="AB313" s="1850"/>
      <c r="AC313" s="1850"/>
      <c r="AD313" s="1850"/>
      <c r="AE313" s="1850"/>
      <c r="AF313" s="1850"/>
      <c r="AG313" s="1850"/>
      <c r="AH313" s="1850"/>
      <c r="AI313" s="1850"/>
      <c r="AJ313" s="1851"/>
      <c r="AK313" s="1850"/>
      <c r="AL313" s="1850"/>
      <c r="AM313" s="1850"/>
      <c r="AN313" s="1850"/>
      <c r="AO313" s="1850"/>
      <c r="AP313" s="1850"/>
      <c r="AQ313" s="1850"/>
      <c r="AR313" s="1852"/>
      <c r="AS313" s="1852"/>
      <c r="AT313" s="1852"/>
      <c r="AU313" s="1852"/>
      <c r="AV313" s="1852"/>
      <c r="AW313" s="1852"/>
      <c r="AX313" s="1852"/>
      <c r="AY313" s="1852"/>
      <c r="AZ313" s="1852"/>
      <c r="BA313" s="1852"/>
      <c r="BB313" s="1852"/>
      <c r="BC313" s="1852"/>
      <c r="BD313" s="1852"/>
      <c r="BE313" s="1852"/>
      <c r="BF313" s="1853"/>
      <c r="BG313" s="1852"/>
      <c r="BH313" s="1852"/>
      <c r="BI313" s="1852"/>
      <c r="BJ313" s="1852"/>
      <c r="BK313" s="1852"/>
      <c r="BL313" s="1869"/>
    </row>
    <row r="314" spans="1:64" s="1870" customFormat="1" ht="15" hidden="1" customHeight="1" outlineLevel="3" x14ac:dyDescent="0.35">
      <c r="A314" s="1874" t="s">
        <v>1100</v>
      </c>
      <c r="B314" s="1875"/>
      <c r="C314" s="1856"/>
      <c r="D314" s="1856"/>
      <c r="E314" s="1856"/>
      <c r="F314" s="1856"/>
      <c r="G314" s="1856"/>
      <c r="H314" s="1856"/>
      <c r="I314" s="1856"/>
      <c r="J314" s="1856"/>
      <c r="K314" s="1856"/>
      <c r="L314" s="1856"/>
      <c r="M314" s="1856"/>
      <c r="N314" s="1856"/>
      <c r="O314" s="1856"/>
      <c r="P314" s="1856"/>
      <c r="Q314" s="1856"/>
      <c r="R314" s="1856"/>
      <c r="S314" s="1856"/>
      <c r="T314" s="1856"/>
      <c r="U314" s="1856"/>
      <c r="V314" s="1856"/>
      <c r="W314" s="1856"/>
      <c r="X314" s="1856"/>
      <c r="Y314" s="1856"/>
      <c r="Z314" s="1856"/>
      <c r="AA314" s="1876">
        <v>23</v>
      </c>
      <c r="AB314" s="1876">
        <v>23</v>
      </c>
      <c r="AC314" s="1876">
        <v>23</v>
      </c>
      <c r="AD314" s="1856">
        <f>BE314</f>
        <v>23</v>
      </c>
      <c r="AE314" s="1856"/>
      <c r="AF314" s="1856"/>
      <c r="AG314" s="1856"/>
      <c r="AH314" s="1856">
        <f>BF314</f>
        <v>20.95</v>
      </c>
      <c r="AI314" s="1876">
        <v>23</v>
      </c>
      <c r="AJ314" s="1886">
        <v>23</v>
      </c>
      <c r="AK314" s="1856"/>
      <c r="AL314" s="1856"/>
      <c r="AM314" s="1856"/>
      <c r="AN314" s="1856"/>
      <c r="AO314" s="1856"/>
      <c r="AP314" s="1856"/>
      <c r="AQ314" s="1856"/>
      <c r="AR314" s="1858"/>
      <c r="AS314" s="1858"/>
      <c r="AT314" s="1858"/>
      <c r="AU314" s="1858"/>
      <c r="AV314" s="1858"/>
      <c r="AW314" s="1858"/>
      <c r="AX314" s="1858"/>
      <c r="AY314" s="1858"/>
      <c r="AZ314" s="1858"/>
      <c r="BA314" s="1858"/>
      <c r="BB314" s="1858"/>
      <c r="BC314" s="1858"/>
      <c r="BD314" s="1877">
        <v>23</v>
      </c>
      <c r="BE314" s="1877">
        <v>23</v>
      </c>
      <c r="BF314" s="1873">
        <v>20.95</v>
      </c>
      <c r="BG314" s="1858"/>
      <c r="BH314" s="1858"/>
      <c r="BI314" s="1858"/>
      <c r="BJ314" s="1858"/>
      <c r="BK314" s="1858"/>
      <c r="BL314" s="1869"/>
    </row>
    <row r="315" spans="1:64" s="1870" customFormat="1" ht="15" hidden="1" customHeight="1" outlineLevel="3" x14ac:dyDescent="0.35">
      <c r="A315" s="1849" t="s">
        <v>1058</v>
      </c>
      <c r="B315" s="1867"/>
      <c r="C315" s="1850"/>
      <c r="D315" s="1850"/>
      <c r="E315" s="1850"/>
      <c r="F315" s="1850"/>
      <c r="G315" s="1850"/>
      <c r="H315" s="1850"/>
      <c r="I315" s="1850"/>
      <c r="J315" s="1850"/>
      <c r="K315" s="1850"/>
      <c r="L315" s="1850"/>
      <c r="M315" s="1850"/>
      <c r="N315" s="1850"/>
      <c r="O315" s="1850"/>
      <c r="P315" s="1850"/>
      <c r="Q315" s="1850"/>
      <c r="R315" s="1850"/>
      <c r="S315" s="1850"/>
      <c r="T315" s="1850"/>
      <c r="U315" s="1850"/>
      <c r="V315" s="1850"/>
      <c r="W315" s="1850"/>
      <c r="X315" s="1850"/>
      <c r="Y315" s="1850"/>
      <c r="Z315" s="1850">
        <f>BD315</f>
        <v>23</v>
      </c>
      <c r="AA315" s="1868">
        <v>22.91</v>
      </c>
      <c r="AB315" s="1868">
        <v>22.91</v>
      </c>
      <c r="AC315" s="1868">
        <v>22.91</v>
      </c>
      <c r="AD315" s="1850">
        <f>BE315</f>
        <v>22.91</v>
      </c>
      <c r="AE315" s="1868">
        <v>21.23</v>
      </c>
      <c r="AF315" s="1868">
        <v>21.17</v>
      </c>
      <c r="AG315" s="1868">
        <v>21.17</v>
      </c>
      <c r="AH315" s="1850">
        <f>BF315</f>
        <v>21.14</v>
      </c>
      <c r="AI315" s="1868">
        <v>21.09</v>
      </c>
      <c r="AJ315" s="1871">
        <v>21.12</v>
      </c>
      <c r="AK315" s="1850"/>
      <c r="AL315" s="1850"/>
      <c r="AM315" s="1850"/>
      <c r="AN315" s="1850"/>
      <c r="AO315" s="1850"/>
      <c r="AP315" s="1850"/>
      <c r="AQ315" s="1850"/>
      <c r="AR315" s="1852"/>
      <c r="AS315" s="1852"/>
      <c r="AT315" s="1852"/>
      <c r="AU315" s="1852"/>
      <c r="AV315" s="1852"/>
      <c r="AW315" s="1852"/>
      <c r="AX315" s="1852"/>
      <c r="AY315" s="1852"/>
      <c r="AZ315" s="1852"/>
      <c r="BA315" s="1852"/>
      <c r="BB315" s="1852"/>
      <c r="BC315" s="1852"/>
      <c r="BD315" s="1872">
        <v>23</v>
      </c>
      <c r="BE315" s="1872">
        <v>22.91</v>
      </c>
      <c r="BF315" s="1887">
        <v>21.14</v>
      </c>
      <c r="BG315" s="1852"/>
      <c r="BH315" s="1852"/>
      <c r="BI315" s="1852"/>
      <c r="BJ315" s="1852"/>
      <c r="BK315" s="1852"/>
      <c r="BL315" s="1869"/>
    </row>
    <row r="316" spans="1:64" s="1803" customFormat="1" ht="15" hidden="1" customHeight="1" outlineLevel="3" x14ac:dyDescent="0.35">
      <c r="A316" s="1844"/>
      <c r="B316" s="1716"/>
      <c r="C316" s="1515"/>
      <c r="D316" s="1515"/>
      <c r="E316" s="1515"/>
      <c r="F316" s="1515"/>
      <c r="G316" s="1515"/>
      <c r="H316" s="1515"/>
      <c r="I316" s="1515"/>
      <c r="J316" s="1515"/>
      <c r="K316" s="1515"/>
      <c r="L316" s="1515"/>
      <c r="M316" s="1515"/>
      <c r="N316" s="1515"/>
      <c r="O316" s="1515"/>
      <c r="P316" s="1515"/>
      <c r="Q316" s="1515"/>
      <c r="R316" s="1515"/>
      <c r="S316" s="1515"/>
      <c r="T316" s="1515"/>
      <c r="U316" s="1515"/>
      <c r="V316" s="1515"/>
      <c r="W316" s="1515"/>
      <c r="X316" s="1515"/>
      <c r="Y316" s="1515"/>
      <c r="Z316" s="1515"/>
      <c r="AA316" s="1515"/>
      <c r="AB316" s="1515"/>
      <c r="AC316" s="1515"/>
      <c r="AD316" s="1515"/>
      <c r="AE316" s="1515"/>
      <c r="AF316" s="1515"/>
      <c r="AG316" s="1515"/>
      <c r="AH316" s="1515"/>
      <c r="AI316" s="1515"/>
      <c r="AJ316" s="1516"/>
      <c r="AK316" s="1515"/>
      <c r="AL316" s="1515"/>
      <c r="AM316" s="1515"/>
      <c r="AN316" s="1515"/>
      <c r="AO316" s="1515"/>
      <c r="AP316" s="1515"/>
      <c r="AQ316" s="1515"/>
      <c r="AR316" s="1595"/>
      <c r="AS316" s="1595"/>
      <c r="AT316" s="1595"/>
      <c r="AU316" s="1595"/>
      <c r="AV316" s="1595"/>
      <c r="AW316" s="1595"/>
      <c r="AX316" s="1595"/>
      <c r="AY316" s="1595"/>
      <c r="AZ316" s="1595"/>
      <c r="BA316" s="1595"/>
      <c r="BB316" s="1595"/>
      <c r="BC316" s="1595"/>
      <c r="BD316" s="1595"/>
      <c r="BE316" s="1595"/>
      <c r="BF316" s="1610"/>
      <c r="BG316" s="1595"/>
      <c r="BH316" s="1595"/>
      <c r="BI316" s="1595"/>
      <c r="BJ316" s="1595"/>
      <c r="BK316" s="1595"/>
      <c r="BL316" s="1517"/>
    </row>
    <row r="317" spans="1:64" s="1870" customFormat="1" ht="15" hidden="1" customHeight="1" outlineLevel="3" x14ac:dyDescent="0.35">
      <c r="A317" s="1849" t="s">
        <v>1101</v>
      </c>
      <c r="B317" s="1867"/>
      <c r="C317" s="1850"/>
      <c r="D317" s="1850"/>
      <c r="E317" s="1850"/>
      <c r="F317" s="1850"/>
      <c r="G317" s="1850"/>
      <c r="H317" s="1850"/>
      <c r="I317" s="1850"/>
      <c r="J317" s="1850"/>
      <c r="K317" s="1850"/>
      <c r="L317" s="1850"/>
      <c r="M317" s="1850"/>
      <c r="N317" s="1850"/>
      <c r="O317" s="1850"/>
      <c r="P317" s="1850"/>
      <c r="Q317" s="1850"/>
      <c r="R317" s="1850"/>
      <c r="S317" s="1850"/>
      <c r="T317" s="1850"/>
      <c r="U317" s="1850"/>
      <c r="V317" s="1850"/>
      <c r="W317" s="1850"/>
      <c r="X317" s="1850"/>
      <c r="Y317" s="1850"/>
      <c r="Z317" s="1850"/>
      <c r="AA317" s="1850">
        <f>BD321</f>
        <v>23</v>
      </c>
      <c r="AB317" s="1850">
        <f>AA321</f>
        <v>22.91</v>
      </c>
      <c r="AC317" s="1850">
        <f>AB321</f>
        <v>22.91</v>
      </c>
      <c r="AD317" s="1850">
        <f>AC321</f>
        <v>22.91</v>
      </c>
      <c r="AE317" s="1850">
        <f>BE321</f>
        <v>22.91</v>
      </c>
      <c r="AF317" s="1850">
        <f>AE321</f>
        <v>21.23</v>
      </c>
      <c r="AG317" s="1850">
        <f>AF321</f>
        <v>21.17</v>
      </c>
      <c r="AH317" s="1850">
        <f>AG321</f>
        <v>21.17</v>
      </c>
      <c r="AI317" s="1850">
        <f>BF321</f>
        <v>21.14</v>
      </c>
      <c r="AJ317" s="1851">
        <f>AI321</f>
        <v>21.09</v>
      </c>
      <c r="AK317" s="1850"/>
      <c r="AL317" s="1850"/>
      <c r="AM317" s="1850"/>
      <c r="AN317" s="1850"/>
      <c r="AO317" s="1850"/>
      <c r="AP317" s="1850"/>
      <c r="AQ317" s="1850"/>
      <c r="AR317" s="1852"/>
      <c r="AS317" s="1852"/>
      <c r="AT317" s="1852"/>
      <c r="AU317" s="1852"/>
      <c r="AV317" s="1852"/>
      <c r="AW317" s="1852"/>
      <c r="AX317" s="1852"/>
      <c r="AY317" s="1852"/>
      <c r="AZ317" s="1852"/>
      <c r="BA317" s="1852"/>
      <c r="BB317" s="1852"/>
      <c r="BC317" s="1852"/>
      <c r="BD317" s="1852">
        <f t="shared" ref="BD317:BF321" si="144">BD311</f>
        <v>0</v>
      </c>
      <c r="BE317" s="1852">
        <f t="shared" si="144"/>
        <v>23</v>
      </c>
      <c r="BF317" s="1853">
        <f t="shared" si="144"/>
        <v>22.91</v>
      </c>
      <c r="BG317" s="1852"/>
      <c r="BH317" s="1852"/>
      <c r="BI317" s="1852"/>
      <c r="BJ317" s="1852"/>
      <c r="BK317" s="1852"/>
      <c r="BL317" s="1869"/>
    </row>
    <row r="318" spans="1:64" s="1870" customFormat="1" ht="15" hidden="1" customHeight="1" outlineLevel="3" x14ac:dyDescent="0.35">
      <c r="A318" s="1854" t="s">
        <v>1102</v>
      </c>
      <c r="B318" s="1867"/>
      <c r="C318" s="1850"/>
      <c r="D318" s="1850"/>
      <c r="E318" s="1850"/>
      <c r="F318" s="1850"/>
      <c r="G318" s="1850"/>
      <c r="H318" s="1850"/>
      <c r="I318" s="1850"/>
      <c r="J318" s="1850"/>
      <c r="K318" s="1850"/>
      <c r="L318" s="1850"/>
      <c r="M318" s="1850"/>
      <c r="N318" s="1850"/>
      <c r="O318" s="1850"/>
      <c r="P318" s="1850"/>
      <c r="Q318" s="1850"/>
      <c r="R318" s="1850"/>
      <c r="S318" s="1850"/>
      <c r="T318" s="1850"/>
      <c r="U318" s="1850"/>
      <c r="V318" s="1850"/>
      <c r="W318" s="1850"/>
      <c r="X318" s="1850"/>
      <c r="Y318" s="1850"/>
      <c r="Z318" s="1850"/>
      <c r="AA318" s="1850">
        <f>AA312</f>
        <v>22.35</v>
      </c>
      <c r="AB318" s="1850">
        <f t="shared" ref="AB318:AD320" si="145">IFERROR((AB300*AB312-AA300*AA312)/AB306,0)</f>
        <v>0</v>
      </c>
      <c r="AC318" s="1850">
        <f t="shared" si="145"/>
        <v>0</v>
      </c>
      <c r="AD318" s="1850">
        <f t="shared" si="145"/>
        <v>0</v>
      </c>
      <c r="AE318" s="1850">
        <f>AE312</f>
        <v>12.79</v>
      </c>
      <c r="AF318" s="1850">
        <f t="shared" ref="AF318:AH320" si="146">IFERROR((AF300*AF312-AE300*AE312)/AF306,0)</f>
        <v>12.330192127815584</v>
      </c>
      <c r="AG318" s="1850">
        <f t="shared" si="146"/>
        <v>0</v>
      </c>
      <c r="AH318" s="1850">
        <f t="shared" si="146"/>
        <v>13.273868582069696</v>
      </c>
      <c r="AI318" s="1850">
        <f>AI312</f>
        <v>0</v>
      </c>
      <c r="AJ318" s="1851">
        <f>IFERROR((AJ300*AJ312-AI300*AI312)/AJ306,0)</f>
        <v>0</v>
      </c>
      <c r="AK318" s="1850"/>
      <c r="AL318" s="1850"/>
      <c r="AM318" s="1850"/>
      <c r="AN318" s="1850"/>
      <c r="AO318" s="1850"/>
      <c r="AP318" s="1850"/>
      <c r="AQ318" s="1850"/>
      <c r="AR318" s="1852"/>
      <c r="AS318" s="1852"/>
      <c r="AT318" s="1852"/>
      <c r="AU318" s="1852"/>
      <c r="AV318" s="1852"/>
      <c r="AW318" s="1852"/>
      <c r="AX318" s="1852"/>
      <c r="AY318" s="1852"/>
      <c r="AZ318" s="1852"/>
      <c r="BA318" s="1852"/>
      <c r="BB318" s="1852"/>
      <c r="BC318" s="1852"/>
      <c r="BD318" s="1852">
        <f t="shared" si="144"/>
        <v>23</v>
      </c>
      <c r="BE318" s="1852">
        <f t="shared" si="144"/>
        <v>22.35</v>
      </c>
      <c r="BF318" s="1853">
        <f t="shared" si="144"/>
        <v>12.79</v>
      </c>
      <c r="BG318" s="1852"/>
      <c r="BH318" s="1852"/>
      <c r="BI318" s="1852"/>
      <c r="BJ318" s="1852"/>
      <c r="BK318" s="1852"/>
      <c r="BL318" s="1869"/>
    </row>
    <row r="319" spans="1:64" s="1870" customFormat="1" ht="15" hidden="1" customHeight="1" outlineLevel="3" x14ac:dyDescent="0.35">
      <c r="A319" s="1854" t="s">
        <v>1103</v>
      </c>
      <c r="B319" s="1867"/>
      <c r="C319" s="1850"/>
      <c r="D319" s="1850"/>
      <c r="E319" s="1850"/>
      <c r="F319" s="1850"/>
      <c r="G319" s="1850"/>
      <c r="H319" s="1850"/>
      <c r="I319" s="1850"/>
      <c r="J319" s="1850"/>
      <c r="K319" s="1850"/>
      <c r="L319" s="1850"/>
      <c r="M319" s="1850"/>
      <c r="N319" s="1850"/>
      <c r="O319" s="1850"/>
      <c r="P319" s="1850"/>
      <c r="Q319" s="1850"/>
      <c r="R319" s="1850"/>
      <c r="S319" s="1850"/>
      <c r="T319" s="1850"/>
      <c r="U319" s="1850"/>
      <c r="V319" s="1850"/>
      <c r="W319" s="1850"/>
      <c r="X319" s="1850"/>
      <c r="Y319" s="1850"/>
      <c r="Z319" s="1850"/>
      <c r="AA319" s="1850">
        <f>AA313</f>
        <v>0</v>
      </c>
      <c r="AB319" s="1850">
        <f t="shared" si="145"/>
        <v>0</v>
      </c>
      <c r="AC319" s="1850">
        <f t="shared" si="145"/>
        <v>0</v>
      </c>
      <c r="AD319" s="1850">
        <f t="shared" si="145"/>
        <v>0</v>
      </c>
      <c r="AE319" s="1850">
        <f>AE313</f>
        <v>0</v>
      </c>
      <c r="AF319" s="1850">
        <f t="shared" si="146"/>
        <v>0</v>
      </c>
      <c r="AG319" s="1850">
        <f t="shared" si="146"/>
        <v>0</v>
      </c>
      <c r="AH319" s="1850">
        <f t="shared" si="146"/>
        <v>0</v>
      </c>
      <c r="AI319" s="1850">
        <f>AI313</f>
        <v>0</v>
      </c>
      <c r="AJ319" s="1851">
        <f>IFERROR((AJ301*AJ313-AI301*AI313)/AJ307,0)</f>
        <v>0</v>
      </c>
      <c r="AK319" s="1850"/>
      <c r="AL319" s="1850"/>
      <c r="AM319" s="1850"/>
      <c r="AN319" s="1850"/>
      <c r="AO319" s="1850"/>
      <c r="AP319" s="1850"/>
      <c r="AQ319" s="1850"/>
      <c r="AR319" s="1852"/>
      <c r="AS319" s="1852"/>
      <c r="AT319" s="1852"/>
      <c r="AU319" s="1852"/>
      <c r="AV319" s="1852"/>
      <c r="AW319" s="1852"/>
      <c r="AX319" s="1852"/>
      <c r="AY319" s="1852"/>
      <c r="AZ319" s="1852"/>
      <c r="BA319" s="1852"/>
      <c r="BB319" s="1852"/>
      <c r="BC319" s="1852"/>
      <c r="BD319" s="1852">
        <f t="shared" si="144"/>
        <v>0</v>
      </c>
      <c r="BE319" s="1852">
        <f t="shared" si="144"/>
        <v>0</v>
      </c>
      <c r="BF319" s="1853">
        <f t="shared" si="144"/>
        <v>0</v>
      </c>
      <c r="BG319" s="1852"/>
      <c r="BH319" s="1852"/>
      <c r="BI319" s="1852"/>
      <c r="BJ319" s="1852"/>
      <c r="BK319" s="1852"/>
      <c r="BL319" s="1869"/>
    </row>
    <row r="320" spans="1:64" s="1870" customFormat="1" ht="15" hidden="1" customHeight="1" outlineLevel="3" x14ac:dyDescent="0.35">
      <c r="A320" s="1874" t="s">
        <v>1104</v>
      </c>
      <c r="B320" s="1875"/>
      <c r="C320" s="1856"/>
      <c r="D320" s="1856"/>
      <c r="E320" s="1856"/>
      <c r="F320" s="1856"/>
      <c r="G320" s="1856"/>
      <c r="H320" s="1856"/>
      <c r="I320" s="1856"/>
      <c r="J320" s="1856"/>
      <c r="K320" s="1856"/>
      <c r="L320" s="1856"/>
      <c r="M320" s="1856"/>
      <c r="N320" s="1856"/>
      <c r="O320" s="1856"/>
      <c r="P320" s="1856"/>
      <c r="Q320" s="1856"/>
      <c r="R320" s="1856"/>
      <c r="S320" s="1856"/>
      <c r="T320" s="1856"/>
      <c r="U320" s="1856"/>
      <c r="V320" s="1856"/>
      <c r="W320" s="1856"/>
      <c r="X320" s="1856"/>
      <c r="Y320" s="1856"/>
      <c r="Z320" s="1856"/>
      <c r="AA320" s="1856">
        <f>AA314</f>
        <v>23</v>
      </c>
      <c r="AB320" s="1856">
        <f t="shared" si="145"/>
        <v>0</v>
      </c>
      <c r="AC320" s="1856">
        <f t="shared" si="145"/>
        <v>22.999999999999996</v>
      </c>
      <c r="AD320" s="1856">
        <f t="shared" si="145"/>
        <v>23.000000000000007</v>
      </c>
      <c r="AE320" s="1856">
        <f>AE314</f>
        <v>0</v>
      </c>
      <c r="AF320" s="1856">
        <f t="shared" si="146"/>
        <v>0</v>
      </c>
      <c r="AG320" s="1856">
        <f t="shared" si="146"/>
        <v>0</v>
      </c>
      <c r="AH320" s="1856">
        <f t="shared" si="146"/>
        <v>20.95</v>
      </c>
      <c r="AI320" s="1856">
        <f>AI314</f>
        <v>23</v>
      </c>
      <c r="AJ320" s="1857">
        <f>IFERROR((AJ302*AJ314-AI302*AI314)/AJ308,0)</f>
        <v>23.000000000000004</v>
      </c>
      <c r="AK320" s="1856"/>
      <c r="AL320" s="1856"/>
      <c r="AM320" s="1856"/>
      <c r="AN320" s="1856"/>
      <c r="AO320" s="1856"/>
      <c r="AP320" s="1856"/>
      <c r="AQ320" s="1856"/>
      <c r="AR320" s="1858"/>
      <c r="AS320" s="1858"/>
      <c r="AT320" s="1858"/>
      <c r="AU320" s="1858"/>
      <c r="AV320" s="1858"/>
      <c r="AW320" s="1858"/>
      <c r="AX320" s="1858"/>
      <c r="AY320" s="1858"/>
      <c r="AZ320" s="1858"/>
      <c r="BA320" s="1858"/>
      <c r="BB320" s="1858"/>
      <c r="BC320" s="1858"/>
      <c r="BD320" s="1858">
        <f t="shared" si="144"/>
        <v>23</v>
      </c>
      <c r="BE320" s="1858">
        <f t="shared" si="144"/>
        <v>23</v>
      </c>
      <c r="BF320" s="1859">
        <f t="shared" si="144"/>
        <v>20.95</v>
      </c>
      <c r="BG320" s="1858"/>
      <c r="BH320" s="1858"/>
      <c r="BI320" s="1858"/>
      <c r="BJ320" s="1858"/>
      <c r="BK320" s="1858"/>
      <c r="BL320" s="1869"/>
    </row>
    <row r="321" spans="1:64" s="1870" customFormat="1" ht="15" hidden="1" customHeight="1" outlineLevel="2" collapsed="1" x14ac:dyDescent="0.35">
      <c r="A321" s="1849" t="s">
        <v>1105</v>
      </c>
      <c r="B321" s="1867"/>
      <c r="C321" s="1850"/>
      <c r="D321" s="1850"/>
      <c r="E321" s="1850"/>
      <c r="F321" s="1850"/>
      <c r="G321" s="1850"/>
      <c r="H321" s="1850"/>
      <c r="I321" s="1850"/>
      <c r="J321" s="1850"/>
      <c r="K321" s="1850"/>
      <c r="L321" s="1850"/>
      <c r="M321" s="1850"/>
      <c r="N321" s="1850"/>
      <c r="O321" s="1850"/>
      <c r="P321" s="1850"/>
      <c r="Q321" s="1850"/>
      <c r="R321" s="1850"/>
      <c r="S321" s="1850"/>
      <c r="T321" s="1850"/>
      <c r="U321" s="1850"/>
      <c r="V321" s="1850"/>
      <c r="W321" s="1850"/>
      <c r="X321" s="1850"/>
      <c r="Y321" s="1850"/>
      <c r="Z321" s="1850">
        <f>Z315</f>
        <v>23</v>
      </c>
      <c r="AA321" s="1850">
        <f>AA315</f>
        <v>22.91</v>
      </c>
      <c r="AB321" s="1850">
        <f>AB315</f>
        <v>22.91</v>
      </c>
      <c r="AC321" s="1850">
        <f>AC315</f>
        <v>22.91</v>
      </c>
      <c r="AD321" s="1850">
        <f>AD315</f>
        <v>22.91</v>
      </c>
      <c r="AE321" s="1850">
        <f>AE315</f>
        <v>21.23</v>
      </c>
      <c r="AF321" s="1850">
        <f>AF315</f>
        <v>21.17</v>
      </c>
      <c r="AG321" s="1850">
        <f>AG315</f>
        <v>21.17</v>
      </c>
      <c r="AH321" s="1850">
        <f>AH315</f>
        <v>21.14</v>
      </c>
      <c r="AI321" s="1850">
        <f>AI315</f>
        <v>21.09</v>
      </c>
      <c r="AJ321" s="1851">
        <f>AJ315</f>
        <v>21.12</v>
      </c>
      <c r="AK321" s="1850"/>
      <c r="AL321" s="1850"/>
      <c r="AM321" s="1850"/>
      <c r="AN321" s="1850"/>
      <c r="AO321" s="1850"/>
      <c r="AP321" s="1850"/>
      <c r="AQ321" s="1850"/>
      <c r="AR321" s="1852"/>
      <c r="AS321" s="1852"/>
      <c r="AT321" s="1852"/>
      <c r="AU321" s="1852"/>
      <c r="AV321" s="1852"/>
      <c r="AW321" s="1852"/>
      <c r="AX321" s="1852"/>
      <c r="AY321" s="1852"/>
      <c r="AZ321" s="1852"/>
      <c r="BA321" s="1852"/>
      <c r="BB321" s="1852"/>
      <c r="BC321" s="1852"/>
      <c r="BD321" s="1852">
        <f t="shared" si="144"/>
        <v>23</v>
      </c>
      <c r="BE321" s="1852">
        <f t="shared" si="144"/>
        <v>22.91</v>
      </c>
      <c r="BF321" s="1853">
        <f t="shared" si="144"/>
        <v>21.14</v>
      </c>
      <c r="BG321" s="1852"/>
      <c r="BH321" s="1852"/>
      <c r="BI321" s="1852"/>
      <c r="BJ321" s="1852"/>
      <c r="BK321" s="1852"/>
      <c r="BL321" s="1869"/>
    </row>
    <row r="322" spans="1:64" s="1803" customFormat="1" ht="15" hidden="1" customHeight="1" outlineLevel="2" x14ac:dyDescent="0.35">
      <c r="A322" s="1609"/>
      <c r="B322" s="1716"/>
      <c r="C322" s="1515"/>
      <c r="D322" s="1515"/>
      <c r="E322" s="1515"/>
      <c r="F322" s="1515"/>
      <c r="G322" s="1515"/>
      <c r="H322" s="1515"/>
      <c r="I322" s="1515"/>
      <c r="J322" s="1515"/>
      <c r="K322" s="1515"/>
      <c r="L322" s="1515"/>
      <c r="M322" s="1515"/>
      <c r="N322" s="1515"/>
      <c r="O322" s="1515"/>
      <c r="P322" s="1515"/>
      <c r="Q322" s="1515"/>
      <c r="R322" s="1515"/>
      <c r="S322" s="1515"/>
      <c r="T322" s="1515"/>
      <c r="U322" s="1515"/>
      <c r="V322" s="1515"/>
      <c r="W322" s="1515"/>
      <c r="X322" s="1515"/>
      <c r="Y322" s="1515"/>
      <c r="Z322" s="1515"/>
      <c r="AA322" s="1515"/>
      <c r="AB322" s="1515"/>
      <c r="AC322" s="1515"/>
      <c r="AD322" s="1515"/>
      <c r="AE322" s="1515"/>
      <c r="AF322" s="1515"/>
      <c r="AG322" s="1515"/>
      <c r="AH322" s="1515"/>
      <c r="AI322" s="1515"/>
      <c r="AJ322" s="1516"/>
      <c r="AK322" s="1515"/>
      <c r="AL322" s="1515"/>
      <c r="AM322" s="1515"/>
      <c r="AN322" s="1515"/>
      <c r="AO322" s="1515"/>
      <c r="AP322" s="1515"/>
      <c r="AQ322" s="1515"/>
      <c r="AR322" s="1595"/>
      <c r="AS322" s="1595"/>
      <c r="AT322" s="1595"/>
      <c r="AU322" s="1595"/>
      <c r="AV322" s="1595"/>
      <c r="AW322" s="1595"/>
      <c r="AX322" s="1595"/>
      <c r="AY322" s="1595"/>
      <c r="AZ322" s="1595"/>
      <c r="BA322" s="1595"/>
      <c r="BB322" s="1595"/>
      <c r="BC322" s="1595"/>
      <c r="BD322" s="1595"/>
      <c r="BE322" s="1595"/>
      <c r="BF322" s="1610"/>
      <c r="BG322" s="1595"/>
      <c r="BH322" s="1595"/>
      <c r="BI322" s="1595"/>
      <c r="BJ322" s="1595"/>
      <c r="BK322" s="1595"/>
      <c r="BL322" s="1517"/>
    </row>
    <row r="323" spans="1:64" s="1888" customFormat="1" ht="15" hidden="1" customHeight="1" outlineLevel="2" x14ac:dyDescent="0.35">
      <c r="A323" s="1860" t="s">
        <v>1106</v>
      </c>
      <c r="B323" s="1712"/>
      <c r="C323" s="1667"/>
      <c r="D323" s="1667"/>
      <c r="E323" s="1667"/>
      <c r="F323" s="1667"/>
      <c r="G323" s="1667"/>
      <c r="H323" s="1667"/>
      <c r="I323" s="1667"/>
      <c r="J323" s="1667"/>
      <c r="K323" s="1667"/>
      <c r="L323" s="1667"/>
      <c r="M323" s="1667"/>
      <c r="N323" s="1667"/>
      <c r="O323" s="1667"/>
      <c r="P323" s="1667"/>
      <c r="Q323" s="1667"/>
      <c r="R323" s="1667"/>
      <c r="S323" s="1667"/>
      <c r="T323" s="1667"/>
      <c r="U323" s="1667"/>
      <c r="V323" s="1667"/>
      <c r="W323" s="1667"/>
      <c r="X323" s="1667"/>
      <c r="Y323" s="1667"/>
      <c r="Z323" s="1667">
        <f>BD323</f>
        <v>3.6635000000000001E-2</v>
      </c>
      <c r="AA323" s="1667"/>
      <c r="AB323" s="1667"/>
      <c r="AC323" s="1667"/>
      <c r="AD323" s="1667">
        <f>BE323</f>
        <v>4.0704999999999998E-2</v>
      </c>
      <c r="AE323" s="1677">
        <v>0.102995</v>
      </c>
      <c r="AF323" s="1677">
        <v>0.102995</v>
      </c>
      <c r="AG323" s="1677">
        <v>1.779123</v>
      </c>
      <c r="AH323" s="1667">
        <f>BF323</f>
        <v>1.6989430000000001</v>
      </c>
      <c r="AI323" s="1677">
        <v>1.974043</v>
      </c>
      <c r="AJ323" s="1713">
        <v>1.9784349999999999</v>
      </c>
      <c r="AK323" s="1667"/>
      <c r="AL323" s="1667"/>
      <c r="AM323" s="1667"/>
      <c r="AN323" s="1667"/>
      <c r="AO323" s="1667"/>
      <c r="AP323" s="1667"/>
      <c r="AQ323" s="1667"/>
      <c r="AR323" s="1669"/>
      <c r="AS323" s="1669"/>
      <c r="AT323" s="1669"/>
      <c r="AU323" s="1669"/>
      <c r="AV323" s="1669"/>
      <c r="AW323" s="1669"/>
      <c r="AX323" s="1669"/>
      <c r="AY323" s="1669"/>
      <c r="AZ323" s="1669"/>
      <c r="BA323" s="1669"/>
      <c r="BB323" s="1669"/>
      <c r="BC323" s="1669"/>
      <c r="BD323" s="1714">
        <v>3.6635000000000001E-2</v>
      </c>
      <c r="BE323" s="1714">
        <v>4.0704999999999998E-2</v>
      </c>
      <c r="BF323" s="1715">
        <v>1.6989430000000001</v>
      </c>
      <c r="BG323" s="1669"/>
      <c r="BH323" s="1669"/>
      <c r="BI323" s="1669"/>
      <c r="BJ323" s="1669"/>
      <c r="BK323" s="1669"/>
      <c r="BL323" s="1607"/>
    </row>
    <row r="324" spans="1:64" s="1885" customFormat="1" ht="15" hidden="1" customHeight="1" outlineLevel="2" x14ac:dyDescent="0.35">
      <c r="A324" s="1878" t="s">
        <v>1107</v>
      </c>
      <c r="B324" s="1879"/>
      <c r="C324" s="1788"/>
      <c r="D324" s="1788"/>
      <c r="E324" s="1788"/>
      <c r="F324" s="1788"/>
      <c r="G324" s="1788"/>
      <c r="H324" s="1788"/>
      <c r="I324" s="1788"/>
      <c r="J324" s="1788"/>
      <c r="K324" s="1788"/>
      <c r="L324" s="1788"/>
      <c r="M324" s="1788"/>
      <c r="N324" s="1788"/>
      <c r="O324" s="1788"/>
      <c r="P324" s="1788"/>
      <c r="Q324" s="1788"/>
      <c r="R324" s="1788"/>
      <c r="S324" s="1788"/>
      <c r="T324" s="1788"/>
      <c r="U324" s="1788"/>
      <c r="V324" s="1788"/>
      <c r="W324" s="1788"/>
      <c r="X324" s="1788"/>
      <c r="Y324" s="1788"/>
      <c r="Z324" s="1788">
        <f>BD324</f>
        <v>23</v>
      </c>
      <c r="AA324" s="1788"/>
      <c r="AB324" s="1788"/>
      <c r="AC324" s="1788"/>
      <c r="AD324" s="1788">
        <f>BE324</f>
        <v>23</v>
      </c>
      <c r="AE324" s="1880">
        <v>22.61</v>
      </c>
      <c r="AF324" s="1880">
        <v>22.61</v>
      </c>
      <c r="AG324" s="1880">
        <v>22.98</v>
      </c>
      <c r="AH324" s="1788">
        <f>BF324</f>
        <v>22.98</v>
      </c>
      <c r="AI324" s="1880">
        <v>22.01</v>
      </c>
      <c r="AJ324" s="1881">
        <v>21.95</v>
      </c>
      <c r="AK324" s="1788"/>
      <c r="AL324" s="1788"/>
      <c r="AM324" s="1788"/>
      <c r="AN324" s="1788"/>
      <c r="AO324" s="1788"/>
      <c r="AP324" s="1788"/>
      <c r="AQ324" s="1788"/>
      <c r="AR324" s="1790"/>
      <c r="AS324" s="1790"/>
      <c r="AT324" s="1790"/>
      <c r="AU324" s="1790"/>
      <c r="AV324" s="1790"/>
      <c r="AW324" s="1790"/>
      <c r="AX324" s="1790"/>
      <c r="AY324" s="1790"/>
      <c r="AZ324" s="1790"/>
      <c r="BA324" s="1790"/>
      <c r="BB324" s="1790"/>
      <c r="BC324" s="1790"/>
      <c r="BD324" s="1882">
        <v>23</v>
      </c>
      <c r="BE324" s="1882">
        <v>23</v>
      </c>
      <c r="BF324" s="1883">
        <v>22.98</v>
      </c>
      <c r="BG324" s="1790"/>
      <c r="BH324" s="1790"/>
      <c r="BI324" s="1790"/>
      <c r="BJ324" s="1790"/>
      <c r="BK324" s="1790"/>
      <c r="BL324" s="1884"/>
    </row>
    <row r="325" spans="1:64" s="1803" customFormat="1" ht="15" hidden="1" customHeight="1" outlineLevel="2" x14ac:dyDescent="0.35">
      <c r="A325" s="1609"/>
      <c r="B325" s="1716"/>
      <c r="C325" s="1515"/>
      <c r="D325" s="1515"/>
      <c r="E325" s="1515"/>
      <c r="F325" s="1515"/>
      <c r="G325" s="1515"/>
      <c r="H325" s="1515"/>
      <c r="I325" s="1515"/>
      <c r="J325" s="1515"/>
      <c r="K325" s="1515"/>
      <c r="L325" s="1515"/>
      <c r="M325" s="1515"/>
      <c r="N325" s="1515"/>
      <c r="O325" s="1515"/>
      <c r="P325" s="1515"/>
      <c r="Q325" s="1515"/>
      <c r="R325" s="1515"/>
      <c r="S325" s="1515"/>
      <c r="T325" s="1515"/>
      <c r="U325" s="1515"/>
      <c r="V325" s="1515"/>
      <c r="W325" s="1515"/>
      <c r="X325" s="1515"/>
      <c r="Y325" s="1515"/>
      <c r="Z325" s="1515"/>
      <c r="AA325" s="1515"/>
      <c r="AB325" s="1515"/>
      <c r="AC325" s="1515"/>
      <c r="AD325" s="1515"/>
      <c r="AE325" s="1515"/>
      <c r="AF325" s="1515"/>
      <c r="AG325" s="1515"/>
      <c r="AH325" s="1515"/>
      <c r="AI325" s="1515"/>
      <c r="AJ325" s="1516"/>
      <c r="AK325" s="1515"/>
      <c r="AL325" s="1515"/>
      <c r="AM325" s="1515"/>
      <c r="AN325" s="1515"/>
      <c r="AO325" s="1515"/>
      <c r="AP325" s="1515"/>
      <c r="AQ325" s="1515"/>
      <c r="AR325" s="1595"/>
      <c r="AS325" s="1595"/>
      <c r="AT325" s="1595"/>
      <c r="AU325" s="1595"/>
      <c r="AV325" s="1595"/>
      <c r="AW325" s="1595"/>
      <c r="AX325" s="1595"/>
      <c r="AY325" s="1595"/>
      <c r="AZ325" s="1595"/>
      <c r="BA325" s="1595"/>
      <c r="BB325" s="1595"/>
      <c r="BC325" s="1595"/>
      <c r="BD325" s="1595"/>
      <c r="BE325" s="1595"/>
      <c r="BF325" s="1610"/>
      <c r="BG325" s="1595"/>
      <c r="BH325" s="1595"/>
      <c r="BI325" s="1595"/>
      <c r="BJ325" s="1595"/>
      <c r="BK325" s="1595"/>
      <c r="BL325" s="1517"/>
    </row>
    <row r="326" spans="1:64" s="1803" customFormat="1" ht="15" customHeight="1" outlineLevel="1" collapsed="1" x14ac:dyDescent="0.35">
      <c r="A326" s="1678" t="s">
        <v>1108</v>
      </c>
      <c r="B326" s="1716"/>
      <c r="C326" s="1515"/>
      <c r="D326" s="1515"/>
      <c r="E326" s="1515"/>
      <c r="F326" s="1515"/>
      <c r="G326" s="1515"/>
      <c r="H326" s="1515"/>
      <c r="I326" s="1515"/>
      <c r="J326" s="1515"/>
      <c r="K326" s="1515"/>
      <c r="L326" s="1515"/>
      <c r="M326" s="1515"/>
      <c r="N326" s="1515"/>
      <c r="O326" s="1515"/>
      <c r="P326" s="1515"/>
      <c r="Q326" s="1515"/>
      <c r="R326" s="1515"/>
      <c r="S326" s="1515"/>
      <c r="T326" s="1515"/>
      <c r="U326" s="1515"/>
      <c r="V326" s="1515"/>
      <c r="W326" s="1515"/>
      <c r="X326" s="1515"/>
      <c r="Y326" s="1515">
        <f t="shared" ref="Y326:AJ326" si="147">Y255+Y282+Y309</f>
        <v>9.5478079999999999</v>
      </c>
      <c r="Z326" s="1515">
        <f t="shared" si="147"/>
        <v>13.466010000000001</v>
      </c>
      <c r="AA326" s="1515">
        <f t="shared" si="147"/>
        <v>14.044059999999998</v>
      </c>
      <c r="AB326" s="1515">
        <f t="shared" si="147"/>
        <v>13.967661</v>
      </c>
      <c r="AC326" s="1515">
        <f t="shared" si="147"/>
        <v>13.749692</v>
      </c>
      <c r="AD326" s="1515">
        <f t="shared" si="147"/>
        <v>13.677630000000001</v>
      </c>
      <c r="AE326" s="1515">
        <f t="shared" si="147"/>
        <v>14.547504</v>
      </c>
      <c r="AF326" s="1515">
        <f t="shared" si="147"/>
        <v>14.523725000000002</v>
      </c>
      <c r="AG326" s="1515">
        <f t="shared" si="147"/>
        <v>14.358303000000003</v>
      </c>
      <c r="AH326" s="1515">
        <f t="shared" si="147"/>
        <v>13.230871</v>
      </c>
      <c r="AI326" s="1515">
        <f t="shared" si="147"/>
        <v>9.8038740000000004</v>
      </c>
      <c r="AJ326" s="1516">
        <f t="shared" si="147"/>
        <v>9.6821990000000007</v>
      </c>
      <c r="AK326" s="1515"/>
      <c r="AL326" s="1515"/>
      <c r="AM326" s="1515"/>
      <c r="AN326" s="1515"/>
      <c r="AO326" s="1515"/>
      <c r="AP326" s="1515"/>
      <c r="AQ326" s="1515"/>
      <c r="AR326" s="1595"/>
      <c r="AS326" s="1595"/>
      <c r="AT326" s="1595"/>
      <c r="AU326" s="1595"/>
      <c r="AV326" s="1595"/>
      <c r="AW326" s="1595"/>
      <c r="AX326" s="1595"/>
      <c r="AY326" s="1595"/>
      <c r="AZ326" s="1595"/>
      <c r="BA326" s="1595"/>
      <c r="BB326" s="1595"/>
      <c r="BC326" s="1595"/>
      <c r="BD326" s="1595">
        <f>BD255+BD282+BD309</f>
        <v>13.466262</v>
      </c>
      <c r="BE326" s="1595">
        <f>BE255+BE282+BE309</f>
        <v>13.677630000000001</v>
      </c>
      <c r="BF326" s="1610">
        <f>BF255+BF282+BF309</f>
        <v>13.230871</v>
      </c>
      <c r="BG326" s="1595"/>
      <c r="BH326" s="1595"/>
      <c r="BI326" s="1595"/>
      <c r="BJ326" s="1595"/>
      <c r="BK326" s="1595"/>
      <c r="BL326" s="1517"/>
    </row>
    <row r="327" spans="1:64" s="1870" customFormat="1" ht="15" customHeight="1" outlineLevel="1" x14ac:dyDescent="0.35">
      <c r="A327" s="1889" t="s">
        <v>1109</v>
      </c>
      <c r="B327" s="1875"/>
      <c r="C327" s="1856"/>
      <c r="D327" s="1856"/>
      <c r="E327" s="1856"/>
      <c r="F327" s="1856"/>
      <c r="G327" s="1856"/>
      <c r="H327" s="1856"/>
      <c r="I327" s="1856"/>
      <c r="J327" s="1856"/>
      <c r="K327" s="1856"/>
      <c r="L327" s="1856"/>
      <c r="M327" s="1856"/>
      <c r="N327" s="1856"/>
      <c r="O327" s="1856"/>
      <c r="P327" s="1856"/>
      <c r="Q327" s="1856"/>
      <c r="R327" s="1856"/>
      <c r="S327" s="1856"/>
      <c r="T327" s="1856"/>
      <c r="U327" s="1856"/>
      <c r="V327" s="1856"/>
      <c r="W327" s="1856"/>
      <c r="X327" s="1856"/>
      <c r="Y327" s="1856">
        <f t="shared" ref="Y327:AJ327" si="148">IFERROR((Y255*Y267+Y282*Y294+Y309*Y321)/Y326,0)</f>
        <v>9.7324444249402582</v>
      </c>
      <c r="Z327" s="1856">
        <f t="shared" si="148"/>
        <v>13.593153323070457</v>
      </c>
      <c r="AA327" s="1856">
        <f t="shared" si="148"/>
        <v>13.959336718869045</v>
      </c>
      <c r="AB327" s="1856">
        <f t="shared" si="148"/>
        <v>13.982786507347221</v>
      </c>
      <c r="AC327" s="1856">
        <f t="shared" si="148"/>
        <v>14.000277581490552</v>
      </c>
      <c r="AD327" s="1856">
        <f t="shared" si="148"/>
        <v>13.96642827156459</v>
      </c>
      <c r="AE327" s="1856">
        <f t="shared" si="148"/>
        <v>13.894071564441569</v>
      </c>
      <c r="AF327" s="1856">
        <f t="shared" si="148"/>
        <v>13.910938730249988</v>
      </c>
      <c r="AG327" s="1856">
        <f t="shared" si="148"/>
        <v>13.960240505441346</v>
      </c>
      <c r="AH327" s="1856">
        <f t="shared" si="148"/>
        <v>13.678963127975477</v>
      </c>
      <c r="AI327" s="1856">
        <f t="shared" si="148"/>
        <v>14.934016748889265</v>
      </c>
      <c r="AJ327" s="1857">
        <f t="shared" si="148"/>
        <v>14.994319259498798</v>
      </c>
      <c r="AK327" s="1856"/>
      <c r="AL327" s="1856"/>
      <c r="AM327" s="1856"/>
      <c r="AN327" s="1856"/>
      <c r="AO327" s="1856"/>
      <c r="AP327" s="1856"/>
      <c r="AQ327" s="1856"/>
      <c r="AR327" s="1858"/>
      <c r="AS327" s="1858"/>
      <c r="AT327" s="1858"/>
      <c r="AU327" s="1858"/>
      <c r="AV327" s="1858"/>
      <c r="AW327" s="1858"/>
      <c r="AX327" s="1858"/>
      <c r="AY327" s="1858"/>
      <c r="AZ327" s="1858"/>
      <c r="BA327" s="1858"/>
      <c r="BB327" s="1858"/>
      <c r="BC327" s="1858"/>
      <c r="BD327" s="1858">
        <f>IFERROR((BD255*BD267+BD282*BD294+BD309*BD321)/BD326,0)</f>
        <v>13.593078223192151</v>
      </c>
      <c r="BE327" s="1858">
        <f>IFERROR((BE255*BE267+BE282*BE294+BE309*BE321)/BE326,0)</f>
        <v>13.96642827156459</v>
      </c>
      <c r="BF327" s="1859">
        <f>IFERROR((BF255*BF267+BF282*BF294+BF309*BF321)/BF326,0)</f>
        <v>13.678963127975477</v>
      </c>
      <c r="BG327" s="1858"/>
      <c r="BH327" s="1858"/>
      <c r="BI327" s="1858"/>
      <c r="BJ327" s="1858"/>
      <c r="BK327" s="1858"/>
      <c r="BL327" s="1869"/>
    </row>
    <row r="328" spans="1:64" s="1803" customFormat="1" ht="15" customHeight="1" outlineLevel="1" x14ac:dyDescent="0.35">
      <c r="A328" s="1665" t="s">
        <v>1110</v>
      </c>
      <c r="B328" s="1890"/>
      <c r="C328" s="1667"/>
      <c r="D328" s="1667"/>
      <c r="E328" s="1667"/>
      <c r="F328" s="1667"/>
      <c r="G328" s="1667"/>
      <c r="H328" s="1667"/>
      <c r="I328" s="1667"/>
      <c r="J328" s="1667"/>
      <c r="K328" s="1667"/>
      <c r="L328" s="1667"/>
      <c r="M328" s="1667"/>
      <c r="N328" s="1667"/>
      <c r="O328" s="1667"/>
      <c r="P328" s="1667"/>
      <c r="Q328" s="1667"/>
      <c r="R328" s="1667"/>
      <c r="S328" s="1667"/>
      <c r="T328" s="1667"/>
      <c r="U328" s="1667"/>
      <c r="V328" s="1667"/>
      <c r="W328" s="1667"/>
      <c r="X328" s="1667"/>
      <c r="Y328" s="1667">
        <f t="shared" ref="Y328:AJ328" si="149">IF(Y228&gt;Y327,(1-Y327/Y228)*Y326,0)</f>
        <v>5.8922804335169161</v>
      </c>
      <c r="Z328" s="1667">
        <f t="shared" si="149"/>
        <v>4.5326015773548072</v>
      </c>
      <c r="AA328" s="1667">
        <f t="shared" si="149"/>
        <v>6.6237056305828919</v>
      </c>
      <c r="AB328" s="1667">
        <f t="shared" si="149"/>
        <v>1.9191217174583597</v>
      </c>
      <c r="AC328" s="1667">
        <f t="shared" si="149"/>
        <v>3.2363383866739479</v>
      </c>
      <c r="AD328" s="1667">
        <f t="shared" si="149"/>
        <v>1.3293663723335507</v>
      </c>
      <c r="AE328" s="1667">
        <f t="shared" si="149"/>
        <v>0</v>
      </c>
      <c r="AF328" s="1667">
        <f t="shared" si="149"/>
        <v>0</v>
      </c>
      <c r="AG328" s="1667">
        <f t="shared" si="149"/>
        <v>0</v>
      </c>
      <c r="AH328" s="1667">
        <f t="shared" si="149"/>
        <v>0.22910400574712483</v>
      </c>
      <c r="AI328" s="1667">
        <f t="shared" si="149"/>
        <v>0.6986987189054723</v>
      </c>
      <c r="AJ328" s="1668">
        <f t="shared" si="149"/>
        <v>0</v>
      </c>
      <c r="AK328" s="1667"/>
      <c r="AL328" s="1667"/>
      <c r="AM328" s="1667"/>
      <c r="AN328" s="1667"/>
      <c r="AO328" s="1667"/>
      <c r="AP328" s="1667"/>
      <c r="AQ328" s="1667"/>
      <c r="AR328" s="1669"/>
      <c r="AS328" s="1669"/>
      <c r="AT328" s="1669"/>
      <c r="AU328" s="1669"/>
      <c r="AV328" s="1669"/>
      <c r="AW328" s="1669"/>
      <c r="AX328" s="1669"/>
      <c r="AY328" s="1669"/>
      <c r="AZ328" s="1669"/>
      <c r="BA328" s="1669"/>
      <c r="BB328" s="1669"/>
      <c r="BC328" s="1669"/>
      <c r="BD328" s="1669">
        <f>IF(BD228&gt;BD327,(1-BD327/BD228)*BD326,0)</f>
        <v>4.5327357559785257</v>
      </c>
      <c r="BE328" s="1669">
        <f>IF(BE228&gt;BE327,(1-BE327/BE228)*BE326,0)</f>
        <v>1.3293663723335507</v>
      </c>
      <c r="BF328" s="1612">
        <f>IF(BF228&gt;BF327,(1-BF327/BF228)*BF326,0)</f>
        <v>0.22910400574712483</v>
      </c>
      <c r="BG328" s="1669"/>
      <c r="BH328" s="1669"/>
      <c r="BI328" s="1669"/>
      <c r="BJ328" s="1669"/>
      <c r="BK328" s="1669"/>
      <c r="BL328" s="1832"/>
    </row>
    <row r="329" spans="1:64" s="1803" customFormat="1" ht="15" customHeight="1" outlineLevel="1" x14ac:dyDescent="0.35">
      <c r="A329" s="1609"/>
      <c r="B329" s="1716"/>
      <c r="C329" s="1515"/>
      <c r="D329" s="1515"/>
      <c r="E329" s="1515"/>
      <c r="F329" s="1515"/>
      <c r="G329" s="1515"/>
      <c r="H329" s="1515"/>
      <c r="I329" s="1515"/>
      <c r="J329" s="1515"/>
      <c r="K329" s="1515"/>
      <c r="L329" s="1515"/>
      <c r="M329" s="1515"/>
      <c r="N329" s="1515"/>
      <c r="O329" s="1515"/>
      <c r="P329" s="1515"/>
      <c r="Q329" s="1515"/>
      <c r="R329" s="1515"/>
      <c r="S329" s="1515"/>
      <c r="T329" s="1515"/>
      <c r="U329" s="1515"/>
      <c r="V329" s="1515"/>
      <c r="W329" s="1515"/>
      <c r="X329" s="1515"/>
      <c r="Y329" s="1515"/>
      <c r="Z329" s="1515"/>
      <c r="AA329" s="1515"/>
      <c r="AB329" s="1515"/>
      <c r="AC329" s="1515"/>
      <c r="AD329" s="1515"/>
      <c r="AE329" s="1515"/>
      <c r="AF329" s="1515"/>
      <c r="AG329" s="1515"/>
      <c r="AH329" s="1515"/>
      <c r="AI329" s="1515"/>
      <c r="AJ329" s="1516"/>
      <c r="AK329" s="1515"/>
      <c r="AL329" s="1515"/>
      <c r="AM329" s="1515"/>
      <c r="AN329" s="1515"/>
      <c r="AO329" s="1515"/>
      <c r="AP329" s="1515"/>
      <c r="AQ329" s="1515"/>
      <c r="AR329" s="1595"/>
      <c r="AS329" s="1595"/>
      <c r="AT329" s="1595"/>
      <c r="AU329" s="1595"/>
      <c r="AV329" s="1595"/>
      <c r="AW329" s="1595"/>
      <c r="AX329" s="1595"/>
      <c r="AY329" s="1595"/>
      <c r="AZ329" s="1595"/>
      <c r="BA329" s="1595"/>
      <c r="BB329" s="1595"/>
      <c r="BC329" s="1595"/>
      <c r="BD329" s="1595"/>
      <c r="BE329" s="1595"/>
      <c r="BF329" s="1610"/>
      <c r="BG329" s="1595"/>
      <c r="BH329" s="1595"/>
      <c r="BI329" s="1595"/>
      <c r="BJ329" s="1595"/>
      <c r="BK329" s="1595"/>
      <c r="BL329" s="1517"/>
    </row>
    <row r="330" spans="1:64" s="1888" customFormat="1" ht="15" customHeight="1" outlineLevel="1" x14ac:dyDescent="0.35">
      <c r="A330" s="1860" t="s">
        <v>1111</v>
      </c>
      <c r="B330" s="1712"/>
      <c r="C330" s="1667"/>
      <c r="D330" s="1667"/>
      <c r="E330" s="1667"/>
      <c r="F330" s="1667"/>
      <c r="G330" s="1667"/>
      <c r="H330" s="1667"/>
      <c r="I330" s="1667"/>
      <c r="J330" s="1667"/>
      <c r="K330" s="1667"/>
      <c r="L330" s="1667"/>
      <c r="M330" s="1667"/>
      <c r="N330" s="1667"/>
      <c r="O330" s="1667"/>
      <c r="P330" s="1667"/>
      <c r="Q330" s="1667"/>
      <c r="R330" s="1667"/>
      <c r="S330" s="1667"/>
      <c r="T330" s="1667"/>
      <c r="U330" s="1667"/>
      <c r="V330" s="1667"/>
      <c r="W330" s="1667"/>
      <c r="X330" s="1667"/>
      <c r="Y330" s="1667"/>
      <c r="Z330" s="1667">
        <f>Z269+Z296+Z323</f>
        <v>9.5844430000000003</v>
      </c>
      <c r="AA330" s="1667"/>
      <c r="AB330" s="1667"/>
      <c r="AC330" s="1667"/>
      <c r="AD330" s="1667">
        <f t="shared" ref="AD330:AJ330" si="150">AD269+AD296+AD323</f>
        <v>9.3308340000000012</v>
      </c>
      <c r="AE330" s="1667">
        <f t="shared" si="150"/>
        <v>9.3931240000000003</v>
      </c>
      <c r="AF330" s="1667">
        <f t="shared" si="150"/>
        <v>9.3297880000000006</v>
      </c>
      <c r="AG330" s="1667">
        <f t="shared" si="150"/>
        <v>10.840494</v>
      </c>
      <c r="AH330" s="1667">
        <f t="shared" si="150"/>
        <v>10.371614999999998</v>
      </c>
      <c r="AI330" s="1667">
        <f t="shared" si="150"/>
        <v>7.2314419999999995</v>
      </c>
      <c r="AJ330" s="1668">
        <f t="shared" si="150"/>
        <v>7.1317449999999996</v>
      </c>
      <c r="AK330" s="1667"/>
      <c r="AL330" s="1667"/>
      <c r="AM330" s="1667"/>
      <c r="AN330" s="1667"/>
      <c r="AO330" s="1667"/>
      <c r="AP330" s="1667"/>
      <c r="AQ330" s="1667"/>
      <c r="AR330" s="1669"/>
      <c r="AS330" s="1669"/>
      <c r="AT330" s="1669"/>
      <c r="AU330" s="1669"/>
      <c r="AV330" s="1669"/>
      <c r="AW330" s="1669"/>
      <c r="AX330" s="1669"/>
      <c r="AY330" s="1669"/>
      <c r="AZ330" s="1669"/>
      <c r="BA330" s="1669"/>
      <c r="BB330" s="1669"/>
      <c r="BC330" s="1669"/>
      <c r="BD330" s="1669">
        <f>BD269+BD296+BD323</f>
        <v>9.5844430000000003</v>
      </c>
      <c r="BE330" s="1669">
        <f>BE269+BE296+BE323</f>
        <v>9.3308340000000012</v>
      </c>
      <c r="BF330" s="1612">
        <f>BF269+BF296+BF323</f>
        <v>10.371614999999998</v>
      </c>
      <c r="BG330" s="1669"/>
      <c r="BH330" s="1669"/>
      <c r="BI330" s="1669"/>
      <c r="BJ330" s="1669"/>
      <c r="BK330" s="1669"/>
      <c r="BL330" s="1607"/>
    </row>
    <row r="331" spans="1:64" s="1885" customFormat="1" ht="15" customHeight="1" outlineLevel="1" x14ac:dyDescent="0.35">
      <c r="A331" s="1878" t="s">
        <v>1112</v>
      </c>
      <c r="B331" s="1879"/>
      <c r="C331" s="1788"/>
      <c r="D331" s="1788"/>
      <c r="E331" s="1788"/>
      <c r="F331" s="1788"/>
      <c r="G331" s="1788"/>
      <c r="H331" s="1788"/>
      <c r="I331" s="1788"/>
      <c r="J331" s="1788"/>
      <c r="K331" s="1788"/>
      <c r="L331" s="1788"/>
      <c r="M331" s="1788"/>
      <c r="N331" s="1788"/>
      <c r="O331" s="1788"/>
      <c r="P331" s="1788"/>
      <c r="Q331" s="1788"/>
      <c r="R331" s="1788"/>
      <c r="S331" s="1788"/>
      <c r="T331" s="1788"/>
      <c r="U331" s="1788"/>
      <c r="V331" s="1788"/>
      <c r="W331" s="1788"/>
      <c r="X331" s="1788"/>
      <c r="Y331" s="1788"/>
      <c r="Z331" s="1788">
        <f>IFERROR((Z269*Z270+Z296*Z297+Z323*Z324)/Z330,0)</f>
        <v>9.7831575335155119</v>
      </c>
      <c r="AA331" s="1788"/>
      <c r="AB331" s="1788"/>
      <c r="AC331" s="1788"/>
      <c r="AD331" s="1788">
        <f t="shared" ref="AD331:AJ331" si="151">IFERROR((AD269*AD270+AD296*AD297+AD323*AD324)/AD330,0)</f>
        <v>9.800432138220442</v>
      </c>
      <c r="AE331" s="1788">
        <f t="shared" si="151"/>
        <v>9.883688042444664</v>
      </c>
      <c r="AF331" s="1788">
        <f t="shared" si="151"/>
        <v>9.8856817668311425</v>
      </c>
      <c r="AG331" s="1788">
        <f t="shared" si="151"/>
        <v>11.91768190914547</v>
      </c>
      <c r="AH331" s="1788">
        <f t="shared" si="151"/>
        <v>11.923502737037579</v>
      </c>
      <c r="AI331" s="1788">
        <f t="shared" si="151"/>
        <v>12.995298475739693</v>
      </c>
      <c r="AJ331" s="1789">
        <f t="shared" si="151"/>
        <v>13.033906219305374</v>
      </c>
      <c r="AK331" s="1788"/>
      <c r="AL331" s="1788"/>
      <c r="AM331" s="1788"/>
      <c r="AN331" s="1788"/>
      <c r="AO331" s="1788"/>
      <c r="AP331" s="1788"/>
      <c r="AQ331" s="1788"/>
      <c r="AR331" s="1790"/>
      <c r="AS331" s="1790"/>
      <c r="AT331" s="1790"/>
      <c r="AU331" s="1790"/>
      <c r="AV331" s="1790"/>
      <c r="AW331" s="1790"/>
      <c r="AX331" s="1790"/>
      <c r="AY331" s="1790"/>
      <c r="AZ331" s="1790"/>
      <c r="BA331" s="1790"/>
      <c r="BB331" s="1790"/>
      <c r="BC331" s="1790"/>
      <c r="BD331" s="1790">
        <f>IFERROR((BD269*BD270+BD296*BD297+BD323*BD324)/BD330,0)</f>
        <v>9.7831575335155119</v>
      </c>
      <c r="BE331" s="1790">
        <f>IFERROR((BE269*BE270+BE296*BE297+BE323*BE324)/BE330,0)</f>
        <v>9.800432138220442</v>
      </c>
      <c r="BF331" s="1791">
        <f>IFERROR((BF269*BF270+BF296*BF297+BF323*BF324)/BF330,0)</f>
        <v>11.923502737037579</v>
      </c>
      <c r="BG331" s="1790"/>
      <c r="BH331" s="1790"/>
      <c r="BI331" s="1790"/>
      <c r="BJ331" s="1790"/>
      <c r="BK331" s="1790"/>
      <c r="BL331" s="1884"/>
    </row>
    <row r="332" spans="1:64" s="1803" customFormat="1" ht="15" customHeight="1" outlineLevel="1" x14ac:dyDescent="0.35">
      <c r="A332" s="1609"/>
      <c r="B332" s="1716"/>
      <c r="C332" s="1515"/>
      <c r="D332" s="1515"/>
      <c r="E332" s="1515"/>
      <c r="F332" s="1515"/>
      <c r="G332" s="1515"/>
      <c r="H332" s="1515"/>
      <c r="I332" s="1515"/>
      <c r="J332" s="1515"/>
      <c r="K332" s="1515"/>
      <c r="L332" s="1515"/>
      <c r="M332" s="1515"/>
      <c r="N332" s="1515"/>
      <c r="O332" s="1515"/>
      <c r="P332" s="1515"/>
      <c r="Q332" s="1515"/>
      <c r="R332" s="1515"/>
      <c r="S332" s="1515"/>
      <c r="T332" s="1515"/>
      <c r="U332" s="1515"/>
      <c r="V332" s="1515"/>
      <c r="W332" s="1515"/>
      <c r="X332" s="1515"/>
      <c r="Y332" s="1515"/>
      <c r="Z332" s="1515"/>
      <c r="AA332" s="1515"/>
      <c r="AB332" s="1515"/>
      <c r="AC332" s="1515"/>
      <c r="AD332" s="1515"/>
      <c r="AE332" s="1515"/>
      <c r="AF332" s="1515"/>
      <c r="AG332" s="1515"/>
      <c r="AH332" s="1515"/>
      <c r="AI332" s="1515"/>
      <c r="AJ332" s="1516"/>
      <c r="AK332" s="1515"/>
      <c r="AL332" s="1515"/>
      <c r="AM332" s="1515"/>
      <c r="AN332" s="1515"/>
      <c r="AO332" s="1515"/>
      <c r="AP332" s="1515"/>
      <c r="AQ332" s="1515"/>
      <c r="AR332" s="1595"/>
      <c r="AS332" s="1595"/>
      <c r="AT332" s="1595"/>
      <c r="AU332" s="1595"/>
      <c r="AV332" s="1595"/>
      <c r="AW332" s="1595"/>
      <c r="AX332" s="1595"/>
      <c r="AY332" s="1595"/>
      <c r="AZ332" s="1595"/>
      <c r="BA332" s="1595"/>
      <c r="BB332" s="1595"/>
      <c r="BC332" s="1595"/>
      <c r="BD332" s="1595"/>
      <c r="BE332" s="1595"/>
      <c r="BF332" s="1610"/>
      <c r="BG332" s="1595"/>
      <c r="BH332" s="1595"/>
      <c r="BI332" s="1595"/>
      <c r="BJ332" s="1595"/>
      <c r="BK332" s="1595"/>
      <c r="BL332" s="1517"/>
    </row>
    <row r="333" spans="1:64" s="1803" customFormat="1" ht="15" customHeight="1" outlineLevel="1" x14ac:dyDescent="0.35">
      <c r="A333" s="1609" t="s">
        <v>1113</v>
      </c>
      <c r="B333" s="1716"/>
      <c r="C333" s="1515"/>
      <c r="D333" s="1515"/>
      <c r="E333" s="1515"/>
      <c r="F333" s="1515"/>
      <c r="G333" s="1515"/>
      <c r="H333" s="1515"/>
      <c r="I333" s="1515"/>
      <c r="J333" s="1515"/>
      <c r="K333" s="1515"/>
      <c r="L333" s="1515"/>
      <c r="M333" s="1515"/>
      <c r="N333" s="1515"/>
      <c r="O333" s="1515"/>
      <c r="P333" s="1515"/>
      <c r="Q333" s="1515"/>
      <c r="R333" s="1515"/>
      <c r="S333" s="1515"/>
      <c r="T333" s="1515"/>
      <c r="U333" s="1515"/>
      <c r="V333" s="1515"/>
      <c r="W333" s="1515"/>
      <c r="X333" s="1515"/>
      <c r="Y333" s="1593">
        <v>4.4211E-2</v>
      </c>
      <c r="Z333" s="1515">
        <f>BD333</f>
        <v>4.1932999999999998E-2</v>
      </c>
      <c r="AA333" s="1593">
        <v>4.8702000000000002E-2</v>
      </c>
      <c r="AB333" s="1593">
        <v>4.6455999999999997E-2</v>
      </c>
      <c r="AC333" s="1593">
        <v>4.8668999999999997E-2</v>
      </c>
      <c r="AD333" s="1515">
        <f>BE333</f>
        <v>5.1249000000000003E-2</v>
      </c>
      <c r="AE333" s="1593">
        <v>6.0033000000000003E-2</v>
      </c>
      <c r="AF333" s="1593">
        <v>7.4926000000000006E-2</v>
      </c>
      <c r="AG333" s="1593">
        <v>0.123811</v>
      </c>
      <c r="AH333" s="1515">
        <f>BF333</f>
        <v>0.120555</v>
      </c>
      <c r="AI333" s="1593">
        <v>0.10270899999999999</v>
      </c>
      <c r="AJ333" s="1594">
        <v>0.101949</v>
      </c>
      <c r="AK333" s="1515"/>
      <c r="AL333" s="1515"/>
      <c r="AM333" s="1515"/>
      <c r="AN333" s="1515"/>
      <c r="AO333" s="1515"/>
      <c r="AP333" s="1515"/>
      <c r="AQ333" s="1515"/>
      <c r="AR333" s="1595"/>
      <c r="AS333" s="1595"/>
      <c r="AT333" s="1595"/>
      <c r="AU333" s="1595"/>
      <c r="AV333" s="1595"/>
      <c r="AW333" s="1595"/>
      <c r="AX333" s="1595"/>
      <c r="AY333" s="1595"/>
      <c r="AZ333" s="1595"/>
      <c r="BA333" s="1595"/>
      <c r="BB333" s="1595"/>
      <c r="BC333" s="1595"/>
      <c r="BD333" s="1596">
        <v>4.1932999999999998E-2</v>
      </c>
      <c r="BE333" s="1596">
        <v>5.1249000000000003E-2</v>
      </c>
      <c r="BF333" s="1597">
        <v>0.120555</v>
      </c>
      <c r="BG333" s="1595"/>
      <c r="BH333" s="1595"/>
      <c r="BI333" s="1595"/>
      <c r="BJ333" s="1595"/>
      <c r="BK333" s="1595"/>
      <c r="BL333" s="1515"/>
    </row>
    <row r="334" spans="1:64" s="1803" customFormat="1" ht="15" customHeight="1" outlineLevel="1" x14ac:dyDescent="0.35">
      <c r="A334" s="1891" t="s">
        <v>1114</v>
      </c>
      <c r="B334" s="1716"/>
      <c r="C334" s="1826"/>
      <c r="D334" s="1826"/>
      <c r="E334" s="1826"/>
      <c r="F334" s="1826"/>
      <c r="G334" s="1826"/>
      <c r="H334" s="1826"/>
      <c r="I334" s="1826"/>
      <c r="J334" s="1826"/>
      <c r="K334" s="1826"/>
      <c r="L334" s="1826"/>
      <c r="M334" s="1826"/>
      <c r="N334" s="1826"/>
      <c r="O334" s="1826"/>
      <c r="P334" s="1826"/>
      <c r="Q334" s="1826"/>
      <c r="R334" s="1826"/>
      <c r="S334" s="1826"/>
      <c r="T334" s="1826"/>
      <c r="U334" s="1826"/>
      <c r="V334" s="1826"/>
      <c r="W334" s="1826"/>
      <c r="X334" s="1826"/>
      <c r="Y334" s="1827">
        <v>23</v>
      </c>
      <c r="Z334" s="1826">
        <f>BD334</f>
        <v>23</v>
      </c>
      <c r="AA334" s="1827">
        <v>22.9</v>
      </c>
      <c r="AB334" s="1827">
        <v>22.89</v>
      </c>
      <c r="AC334" s="1827">
        <v>22.74</v>
      </c>
      <c r="AD334" s="1826">
        <f>BE334</f>
        <v>21.18</v>
      </c>
      <c r="AE334" s="1827">
        <v>19.38</v>
      </c>
      <c r="AF334" s="1827">
        <v>17.88</v>
      </c>
      <c r="AG334" s="1827">
        <v>15.79</v>
      </c>
      <c r="AH334" s="1826">
        <f>BF334</f>
        <v>15.82</v>
      </c>
      <c r="AI334" s="1827">
        <v>16.329999999999998</v>
      </c>
      <c r="AJ334" s="1834">
        <v>16.36</v>
      </c>
      <c r="AK334" s="1826"/>
      <c r="AL334" s="1826"/>
      <c r="AM334" s="1826"/>
      <c r="AN334" s="1826"/>
      <c r="AO334" s="1826"/>
      <c r="AP334" s="1826"/>
      <c r="AQ334" s="1826"/>
      <c r="AR334" s="1829"/>
      <c r="AS334" s="1829"/>
      <c r="AT334" s="1829"/>
      <c r="AU334" s="1829"/>
      <c r="AV334" s="1829"/>
      <c r="AW334" s="1829"/>
      <c r="AX334" s="1829"/>
      <c r="AY334" s="1829"/>
      <c r="AZ334" s="1829"/>
      <c r="BA334" s="1829"/>
      <c r="BB334" s="1829"/>
      <c r="BC334" s="1829"/>
      <c r="BD334" s="1830">
        <v>23</v>
      </c>
      <c r="BE334" s="1830">
        <v>21.18</v>
      </c>
      <c r="BF334" s="1835">
        <v>15.82</v>
      </c>
      <c r="BG334" s="1829"/>
      <c r="BH334" s="1829"/>
      <c r="BI334" s="1829"/>
      <c r="BJ334" s="1829"/>
      <c r="BK334" s="1829"/>
      <c r="BL334" s="1515"/>
    </row>
    <row r="335" spans="1:64" s="1803" customFormat="1" ht="15" hidden="1" customHeight="1" outlineLevel="2" x14ac:dyDescent="0.35">
      <c r="A335" s="1844"/>
      <c r="B335" s="1825"/>
      <c r="C335" s="1832"/>
      <c r="D335" s="1832"/>
      <c r="E335" s="1832"/>
      <c r="F335" s="1832"/>
      <c r="G335" s="1832"/>
      <c r="H335" s="1832"/>
      <c r="I335" s="1832"/>
      <c r="J335" s="1832"/>
      <c r="K335" s="1832"/>
      <c r="L335" s="1832"/>
      <c r="M335" s="1832"/>
      <c r="N335" s="1832"/>
      <c r="O335" s="1832"/>
      <c r="P335" s="1832"/>
      <c r="Q335" s="1832"/>
      <c r="R335" s="1832"/>
      <c r="S335" s="1832"/>
      <c r="T335" s="1832"/>
      <c r="U335" s="1832"/>
      <c r="V335" s="1832"/>
      <c r="W335" s="1832"/>
      <c r="X335" s="1832"/>
      <c r="Y335" s="1832"/>
      <c r="Z335" s="1832"/>
      <c r="AA335" s="1832"/>
      <c r="AB335" s="1832"/>
      <c r="AC335" s="1832"/>
      <c r="AD335" s="1832"/>
      <c r="AE335" s="1832"/>
      <c r="AF335" s="1832"/>
      <c r="AG335" s="1832"/>
      <c r="AH335" s="1832"/>
      <c r="AI335" s="1832"/>
      <c r="AJ335" s="1845"/>
      <c r="AK335" s="1832"/>
      <c r="AL335" s="1832"/>
      <c r="AM335" s="1832"/>
      <c r="AN335" s="1832"/>
      <c r="AO335" s="1832"/>
      <c r="AP335" s="1832"/>
      <c r="AQ335" s="1832"/>
      <c r="AR335" s="1846"/>
      <c r="AS335" s="1846"/>
      <c r="AT335" s="1846"/>
      <c r="AU335" s="1846"/>
      <c r="AV335" s="1846"/>
      <c r="AW335" s="1846"/>
      <c r="AX335" s="1846"/>
      <c r="AY335" s="1846"/>
      <c r="AZ335" s="1846"/>
      <c r="BA335" s="1846"/>
      <c r="BB335" s="1846"/>
      <c r="BC335" s="1846"/>
      <c r="BD335" s="1846"/>
      <c r="BE335" s="1846"/>
      <c r="BF335" s="1847"/>
      <c r="BG335" s="1846"/>
      <c r="BH335" s="1846"/>
      <c r="BI335" s="1846"/>
      <c r="BJ335" s="1846"/>
      <c r="BK335" s="1846"/>
      <c r="BL335" s="1848"/>
    </row>
    <row r="336" spans="1:64" s="1803" customFormat="1" ht="15" hidden="1" customHeight="1" outlineLevel="2" x14ac:dyDescent="0.35">
      <c r="A336" s="1609" t="s">
        <v>1115</v>
      </c>
      <c r="B336" s="1825"/>
      <c r="C336" s="1515"/>
      <c r="D336" s="1515"/>
      <c r="E336" s="1515"/>
      <c r="F336" s="1515"/>
      <c r="G336" s="1515"/>
      <c r="H336" s="1515"/>
      <c r="I336" s="1515"/>
      <c r="J336" s="1515"/>
      <c r="K336" s="1515"/>
      <c r="L336" s="1515"/>
      <c r="M336" s="1515"/>
      <c r="N336" s="1515"/>
      <c r="O336" s="1515"/>
      <c r="P336" s="1515"/>
      <c r="Q336" s="1515"/>
      <c r="R336" s="1515"/>
      <c r="S336" s="1515"/>
      <c r="T336" s="1515"/>
      <c r="U336" s="1515"/>
      <c r="V336" s="1515"/>
      <c r="W336" s="1515"/>
      <c r="X336" s="1515"/>
      <c r="Y336" s="1515"/>
      <c r="Z336" s="1515"/>
      <c r="AA336" s="1515"/>
      <c r="AB336" s="1515"/>
      <c r="AC336" s="1515"/>
      <c r="AD336" s="1515"/>
      <c r="AE336" s="1515"/>
      <c r="AF336" s="1515"/>
      <c r="AG336" s="1515"/>
      <c r="AH336" s="1515"/>
      <c r="AI336" s="1515"/>
      <c r="AJ336" s="1516"/>
      <c r="AK336" s="1515"/>
      <c r="AL336" s="1515"/>
      <c r="AM336" s="1515"/>
      <c r="AN336" s="1515"/>
      <c r="AO336" s="1515"/>
      <c r="AP336" s="1515"/>
      <c r="AQ336" s="1515"/>
      <c r="AR336" s="1595"/>
      <c r="AS336" s="1595"/>
      <c r="AT336" s="1595"/>
      <c r="AU336" s="1595"/>
      <c r="AV336" s="1595"/>
      <c r="AW336" s="1595"/>
      <c r="AX336" s="1595"/>
      <c r="AY336" s="1595"/>
      <c r="AZ336" s="1595"/>
      <c r="BA336" s="1595"/>
      <c r="BB336" s="1595"/>
      <c r="BC336" s="1595"/>
      <c r="BD336" s="1595"/>
      <c r="BE336" s="1595"/>
      <c r="BF336" s="1610"/>
      <c r="BG336" s="1595"/>
      <c r="BH336" s="1595"/>
      <c r="BI336" s="1595"/>
      <c r="BJ336" s="1595"/>
      <c r="BK336" s="1595"/>
      <c r="BL336" s="1832"/>
    </row>
    <row r="337" spans="1:64" s="1803" customFormat="1" ht="15" customHeight="1" outlineLevel="1" collapsed="1" x14ac:dyDescent="0.35">
      <c r="A337" s="1609"/>
      <c r="B337" s="1825"/>
      <c r="C337" s="1515"/>
      <c r="D337" s="1515"/>
      <c r="E337" s="1515"/>
      <c r="F337" s="1515"/>
      <c r="G337" s="1515"/>
      <c r="H337" s="1515"/>
      <c r="I337" s="1515"/>
      <c r="J337" s="1515"/>
      <c r="K337" s="1515"/>
      <c r="L337" s="1515"/>
      <c r="M337" s="1515"/>
      <c r="N337" s="1515"/>
      <c r="O337" s="1515"/>
      <c r="P337" s="1515"/>
      <c r="Q337" s="1515"/>
      <c r="R337" s="1515"/>
      <c r="S337" s="1515"/>
      <c r="T337" s="1515"/>
      <c r="U337" s="1515"/>
      <c r="V337" s="1515"/>
      <c r="W337" s="1515"/>
      <c r="X337" s="1515"/>
      <c r="Y337" s="1515"/>
      <c r="Z337" s="1515"/>
      <c r="AA337" s="1515"/>
      <c r="AB337" s="1515"/>
      <c r="AC337" s="1515"/>
      <c r="AD337" s="1515"/>
      <c r="AE337" s="1515"/>
      <c r="AF337" s="1515"/>
      <c r="AG337" s="1515"/>
      <c r="AH337" s="1515"/>
      <c r="AI337" s="1515"/>
      <c r="AJ337" s="1516"/>
      <c r="AK337" s="1515"/>
      <c r="AL337" s="1515"/>
      <c r="AM337" s="1515"/>
      <c r="AN337" s="1515"/>
      <c r="AO337" s="1515"/>
      <c r="AP337" s="1515"/>
      <c r="AQ337" s="1515"/>
      <c r="AR337" s="1595"/>
      <c r="AS337" s="1595"/>
      <c r="AT337" s="1595"/>
      <c r="AU337" s="1595"/>
      <c r="AV337" s="1595"/>
      <c r="AW337" s="1595"/>
      <c r="AX337" s="1595"/>
      <c r="AY337" s="1595"/>
      <c r="AZ337" s="1595"/>
      <c r="BA337" s="1595"/>
      <c r="BB337" s="1595"/>
      <c r="BC337" s="1595"/>
      <c r="BD337" s="1595"/>
      <c r="BE337" s="1595"/>
      <c r="BF337" s="1610"/>
      <c r="BG337" s="1595"/>
      <c r="BH337" s="1595"/>
      <c r="BI337" s="1595"/>
      <c r="BJ337" s="1595"/>
      <c r="BK337" s="1595"/>
      <c r="BL337" s="1832"/>
    </row>
    <row r="338" spans="1:64" s="1803" customFormat="1" ht="15" customHeight="1" outlineLevel="1" x14ac:dyDescent="0.35">
      <c r="A338" s="1678" t="s">
        <v>1116</v>
      </c>
      <c r="B338" s="1716"/>
      <c r="C338" s="1515"/>
      <c r="D338" s="1515"/>
      <c r="E338" s="1515"/>
      <c r="F338" s="1515"/>
      <c r="G338" s="1515"/>
      <c r="H338" s="1515"/>
      <c r="I338" s="1515"/>
      <c r="J338" s="1515"/>
      <c r="K338" s="1515"/>
      <c r="L338" s="1515"/>
      <c r="M338" s="1515"/>
      <c r="N338" s="1515"/>
      <c r="O338" s="1515"/>
      <c r="P338" s="1515"/>
      <c r="Q338" s="1515"/>
      <c r="R338" s="1515"/>
      <c r="S338" s="1515"/>
      <c r="T338" s="1515"/>
      <c r="U338" s="1515"/>
      <c r="V338" s="1515"/>
      <c r="W338" s="1515"/>
      <c r="X338" s="1515"/>
      <c r="Y338" s="1593">
        <v>1.824597</v>
      </c>
      <c r="Z338" s="1515">
        <f>BD338</f>
        <v>1.7797160000000001</v>
      </c>
      <c r="AA338" s="1593">
        <v>2.312811</v>
      </c>
      <c r="AB338" s="1593">
        <v>2.3551989999999998</v>
      </c>
      <c r="AC338" s="1593">
        <v>2.32613</v>
      </c>
      <c r="AD338" s="1515">
        <f>BE338</f>
        <v>3.4219200000000001</v>
      </c>
      <c r="AE338" s="1593">
        <v>5.2226359999999996</v>
      </c>
      <c r="AF338" s="1593">
        <v>5.2212529999999999</v>
      </c>
      <c r="AG338" s="1593">
        <v>4.5007590000000004</v>
      </c>
      <c r="AH338" s="1515">
        <f>BF338</f>
        <v>3.7962030000000002</v>
      </c>
      <c r="AI338" s="1593">
        <v>5.0891120000000001</v>
      </c>
      <c r="AJ338" s="1594">
        <v>5.0259219999999996</v>
      </c>
      <c r="AK338" s="1515"/>
      <c r="AL338" s="1515"/>
      <c r="AM338" s="1515"/>
      <c r="AN338" s="1515"/>
      <c r="AO338" s="1515"/>
      <c r="AP338" s="1515"/>
      <c r="AQ338" s="1515"/>
      <c r="AR338" s="1595"/>
      <c r="AS338" s="1595"/>
      <c r="AT338" s="1595"/>
      <c r="AU338" s="1595"/>
      <c r="AV338" s="1595"/>
      <c r="AW338" s="1595"/>
      <c r="AX338" s="1595"/>
      <c r="AY338" s="1595"/>
      <c r="AZ338" s="1595"/>
      <c r="BA338" s="1595"/>
      <c r="BB338" s="1595"/>
      <c r="BC338" s="1595"/>
      <c r="BD338" s="1596">
        <v>1.7797160000000001</v>
      </c>
      <c r="BE338" s="1596">
        <v>3.4219200000000001</v>
      </c>
      <c r="BF338" s="1597">
        <v>3.7962030000000002</v>
      </c>
      <c r="BG338" s="1595"/>
      <c r="BH338" s="1595"/>
      <c r="BI338" s="1595"/>
      <c r="BJ338" s="1595"/>
      <c r="BK338" s="1595"/>
      <c r="BL338" s="1517"/>
    </row>
    <row r="339" spans="1:64" s="1803" customFormat="1" ht="15" customHeight="1" outlineLevel="1" x14ac:dyDescent="0.35">
      <c r="A339" s="1679" t="s">
        <v>1117</v>
      </c>
      <c r="B339" s="1837"/>
      <c r="C339" s="1892"/>
      <c r="D339" s="1892"/>
      <c r="E339" s="1892"/>
      <c r="F339" s="1892"/>
      <c r="G339" s="1892"/>
      <c r="H339" s="1892"/>
      <c r="I339" s="1892"/>
      <c r="J339" s="1892"/>
      <c r="K339" s="1892"/>
      <c r="L339" s="1892"/>
      <c r="M339" s="1892"/>
      <c r="N339" s="1892"/>
      <c r="O339" s="1892"/>
      <c r="P339" s="1892"/>
      <c r="Q339" s="1892"/>
      <c r="R339" s="1892"/>
      <c r="S339" s="1892"/>
      <c r="T339" s="1892"/>
      <c r="U339" s="1892"/>
      <c r="V339" s="1892"/>
      <c r="W339" s="1892"/>
      <c r="X339" s="1892"/>
      <c r="Y339" s="1893">
        <v>23</v>
      </c>
      <c r="Z339" s="1892">
        <f>BD339</f>
        <v>23.01</v>
      </c>
      <c r="AA339" s="1893">
        <v>22.82</v>
      </c>
      <c r="AB339" s="1893">
        <v>22.48</v>
      </c>
      <c r="AC339" s="1893">
        <v>22.42</v>
      </c>
      <c r="AD339" s="1892">
        <f>BE339</f>
        <v>20.32</v>
      </c>
      <c r="AE339" s="1893">
        <v>17.47</v>
      </c>
      <c r="AF339" s="1893">
        <v>17.28</v>
      </c>
      <c r="AG339" s="1893">
        <v>16.48</v>
      </c>
      <c r="AH339" s="1892">
        <f>BF339</f>
        <v>16.399999999999999</v>
      </c>
      <c r="AI339" s="1893">
        <v>16.39</v>
      </c>
      <c r="AJ339" s="1894">
        <v>16.41</v>
      </c>
      <c r="AK339" s="1892"/>
      <c r="AL339" s="1892"/>
      <c r="AM339" s="1892"/>
      <c r="AN339" s="1892"/>
      <c r="AO339" s="1892"/>
      <c r="AP339" s="1892"/>
      <c r="AQ339" s="1892"/>
      <c r="AR339" s="1895"/>
      <c r="AS339" s="1895"/>
      <c r="AT339" s="1895"/>
      <c r="AU339" s="1895"/>
      <c r="AV339" s="1895"/>
      <c r="AW339" s="1895"/>
      <c r="AX339" s="1895"/>
      <c r="AY339" s="1895"/>
      <c r="AZ339" s="1895"/>
      <c r="BA339" s="1895"/>
      <c r="BB339" s="1895"/>
      <c r="BC339" s="1895"/>
      <c r="BD339" s="1896">
        <v>23.01</v>
      </c>
      <c r="BE339" s="1896">
        <v>20.32</v>
      </c>
      <c r="BF339" s="1897">
        <v>16.399999999999999</v>
      </c>
      <c r="BG339" s="1895"/>
      <c r="BH339" s="1895"/>
      <c r="BI339" s="1895"/>
      <c r="BJ339" s="1895"/>
      <c r="BK339" s="1895"/>
      <c r="BL339" s="1848"/>
    </row>
    <row r="340" spans="1:64" s="1803" customFormat="1" ht="15" customHeight="1" outlineLevel="1" x14ac:dyDescent="0.35">
      <c r="A340" s="1609" t="s">
        <v>1118</v>
      </c>
      <c r="B340" s="1825"/>
      <c r="C340" s="1515"/>
      <c r="D340" s="1515"/>
      <c r="E340" s="1515"/>
      <c r="F340" s="1515"/>
      <c r="G340" s="1515"/>
      <c r="H340" s="1515"/>
      <c r="I340" s="1515"/>
      <c r="J340" s="1515"/>
      <c r="K340" s="1515"/>
      <c r="L340" s="1515"/>
      <c r="M340" s="1515"/>
      <c r="N340" s="1515"/>
      <c r="O340" s="1515"/>
      <c r="P340" s="1515"/>
      <c r="Q340" s="1515"/>
      <c r="R340" s="1515"/>
      <c r="S340" s="1515"/>
      <c r="T340" s="1515"/>
      <c r="U340" s="1515"/>
      <c r="V340" s="1515"/>
      <c r="W340" s="1515"/>
      <c r="X340" s="1515"/>
      <c r="Y340" s="1515">
        <f t="shared" ref="Y340:AJ340" si="152">SUM(Y338)</f>
        <v>1.824597</v>
      </c>
      <c r="Z340" s="1515">
        <f t="shared" si="152"/>
        <v>1.7797160000000001</v>
      </c>
      <c r="AA340" s="1515">
        <f t="shared" si="152"/>
        <v>2.312811</v>
      </c>
      <c r="AB340" s="1515">
        <f t="shared" si="152"/>
        <v>2.3551989999999998</v>
      </c>
      <c r="AC340" s="1515">
        <f t="shared" si="152"/>
        <v>2.32613</v>
      </c>
      <c r="AD340" s="1515">
        <f t="shared" si="152"/>
        <v>3.4219200000000001</v>
      </c>
      <c r="AE340" s="1515">
        <f t="shared" si="152"/>
        <v>5.2226359999999996</v>
      </c>
      <c r="AF340" s="1515">
        <f t="shared" si="152"/>
        <v>5.2212529999999999</v>
      </c>
      <c r="AG340" s="1515">
        <f t="shared" si="152"/>
        <v>4.5007590000000004</v>
      </c>
      <c r="AH340" s="1515">
        <f t="shared" si="152"/>
        <v>3.7962030000000002</v>
      </c>
      <c r="AI340" s="1515">
        <f t="shared" si="152"/>
        <v>5.0891120000000001</v>
      </c>
      <c r="AJ340" s="1516">
        <f t="shared" si="152"/>
        <v>5.0259219999999996</v>
      </c>
      <c r="AK340" s="1515"/>
      <c r="AL340" s="1515"/>
      <c r="AM340" s="1515"/>
      <c r="AN340" s="1515"/>
      <c r="AO340" s="1515"/>
      <c r="AP340" s="1515"/>
      <c r="AQ340" s="1515"/>
      <c r="AR340" s="1595"/>
      <c r="AS340" s="1595"/>
      <c r="AT340" s="1595"/>
      <c r="AU340" s="1595"/>
      <c r="AV340" s="1595"/>
      <c r="AW340" s="1595"/>
      <c r="AX340" s="1595"/>
      <c r="AY340" s="1595"/>
      <c r="AZ340" s="1595"/>
      <c r="BA340" s="1595"/>
      <c r="BB340" s="1595"/>
      <c r="BC340" s="1595"/>
      <c r="BD340" s="1595">
        <f>SUM(BD338)</f>
        <v>1.7797160000000001</v>
      </c>
      <c r="BE340" s="1595">
        <f>SUM(BE338)</f>
        <v>3.4219200000000001</v>
      </c>
      <c r="BF340" s="1610">
        <f>SUM(BF338)</f>
        <v>3.7962030000000002</v>
      </c>
      <c r="BG340" s="1595"/>
      <c r="BH340" s="1595"/>
      <c r="BI340" s="1595"/>
      <c r="BJ340" s="1595"/>
      <c r="BK340" s="1595"/>
      <c r="BL340" s="1832"/>
    </row>
    <row r="341" spans="1:64" s="1803" customFormat="1" ht="15" customHeight="1" outlineLevel="1" x14ac:dyDescent="0.35">
      <c r="A341" s="1844"/>
      <c r="B341" s="1825"/>
      <c r="C341" s="1832"/>
      <c r="D341" s="1832"/>
      <c r="E341" s="1832"/>
      <c r="F341" s="1832"/>
      <c r="G341" s="1832"/>
      <c r="H341" s="1832"/>
      <c r="I341" s="1832"/>
      <c r="J341" s="1832"/>
      <c r="K341" s="1832"/>
      <c r="L341" s="1832"/>
      <c r="M341" s="1832"/>
      <c r="N341" s="1832"/>
      <c r="O341" s="1832"/>
      <c r="P341" s="1832"/>
      <c r="Q341" s="1832"/>
      <c r="R341" s="1832"/>
      <c r="S341" s="1832"/>
      <c r="T341" s="1832"/>
      <c r="U341" s="1832"/>
      <c r="V341" s="1832"/>
      <c r="W341" s="1832"/>
      <c r="X341" s="1832"/>
      <c r="Y341" s="1832"/>
      <c r="Z341" s="1832"/>
      <c r="AA341" s="1832"/>
      <c r="AB341" s="1832"/>
      <c r="AC341" s="1832"/>
      <c r="AD341" s="1832"/>
      <c r="AE341" s="1832"/>
      <c r="AF341" s="1832"/>
      <c r="AG341" s="1832"/>
      <c r="AH341" s="1832"/>
      <c r="AI341" s="1832"/>
      <c r="AJ341" s="1845"/>
      <c r="AK341" s="1832"/>
      <c r="AL341" s="1832"/>
      <c r="AM341" s="1832"/>
      <c r="AN341" s="1832"/>
      <c r="AO341" s="1832"/>
      <c r="AP341" s="1832"/>
      <c r="AQ341" s="1832"/>
      <c r="AR341" s="1846"/>
      <c r="AS341" s="1846"/>
      <c r="AT341" s="1846"/>
      <c r="AU341" s="1846"/>
      <c r="AV341" s="1846"/>
      <c r="AW341" s="1846"/>
      <c r="AX341" s="1846"/>
      <c r="AY341" s="1846"/>
      <c r="AZ341" s="1846"/>
      <c r="BA341" s="1846"/>
      <c r="BB341" s="1846"/>
      <c r="BC341" s="1846"/>
      <c r="BD341" s="1846"/>
      <c r="BE341" s="1846"/>
      <c r="BF341" s="1847"/>
      <c r="BG341" s="1846"/>
      <c r="BH341" s="1846"/>
      <c r="BI341" s="1846"/>
      <c r="BJ341" s="1846"/>
      <c r="BK341" s="1846"/>
      <c r="BL341" s="1848"/>
    </row>
    <row r="342" spans="1:64" s="1803" customFormat="1" ht="15" customHeight="1" outlineLevel="1" x14ac:dyDescent="0.35">
      <c r="A342" s="1898" t="s">
        <v>1119</v>
      </c>
      <c r="B342" s="1899"/>
      <c r="C342" s="1900"/>
      <c r="D342" s="1900"/>
      <c r="E342" s="1900"/>
      <c r="F342" s="1900"/>
      <c r="G342" s="1900"/>
      <c r="H342" s="1900"/>
      <c r="I342" s="1900"/>
      <c r="J342" s="1900"/>
      <c r="K342" s="1900"/>
      <c r="L342" s="1900"/>
      <c r="M342" s="1900"/>
      <c r="N342" s="1900"/>
      <c r="O342" s="1900"/>
      <c r="P342" s="1900"/>
      <c r="Q342" s="1900"/>
      <c r="R342" s="1900"/>
      <c r="S342" s="1900"/>
      <c r="T342" s="1900"/>
      <c r="U342" s="1900"/>
      <c r="V342" s="1900"/>
      <c r="W342" s="1900"/>
      <c r="X342" s="1900"/>
      <c r="Y342" s="1900">
        <f t="shared" ref="Y342:AJ342" si="153">SUM(Y328,Y333,Y336,Y340)</f>
        <v>7.7610884335169157</v>
      </c>
      <c r="Z342" s="1900">
        <f t="shared" si="153"/>
        <v>6.3542505773548079</v>
      </c>
      <c r="AA342" s="1900">
        <f t="shared" si="153"/>
        <v>8.9852186305828923</v>
      </c>
      <c r="AB342" s="1900">
        <f t="shared" si="153"/>
        <v>4.3207767174583598</v>
      </c>
      <c r="AC342" s="1900">
        <f t="shared" si="153"/>
        <v>5.6111373866739473</v>
      </c>
      <c r="AD342" s="1900">
        <f t="shared" si="153"/>
        <v>4.8025353723335513</v>
      </c>
      <c r="AE342" s="1900">
        <f t="shared" si="153"/>
        <v>5.2826689999999994</v>
      </c>
      <c r="AF342" s="1900">
        <f t="shared" si="153"/>
        <v>5.2961789999999995</v>
      </c>
      <c r="AG342" s="1900">
        <f t="shared" si="153"/>
        <v>4.6245700000000003</v>
      </c>
      <c r="AH342" s="1900">
        <f t="shared" si="153"/>
        <v>4.1458620057471247</v>
      </c>
      <c r="AI342" s="1900">
        <f t="shared" si="153"/>
        <v>5.8905197189054723</v>
      </c>
      <c r="AJ342" s="1901">
        <f t="shared" si="153"/>
        <v>5.1278709999999998</v>
      </c>
      <c r="AK342" s="1900"/>
      <c r="AL342" s="1900"/>
      <c r="AM342" s="1900"/>
      <c r="AN342" s="1900"/>
      <c r="AO342" s="1900"/>
      <c r="AP342" s="1900"/>
      <c r="AQ342" s="1900"/>
      <c r="AR342" s="1902"/>
      <c r="AS342" s="1902"/>
      <c r="AT342" s="1902"/>
      <c r="AU342" s="1902"/>
      <c r="AV342" s="1902"/>
      <c r="AW342" s="1902"/>
      <c r="AX342" s="1902"/>
      <c r="AY342" s="1902"/>
      <c r="AZ342" s="1902"/>
      <c r="BA342" s="1902"/>
      <c r="BB342" s="1902"/>
      <c r="BC342" s="1902"/>
      <c r="BD342" s="1902">
        <f>SUM(BD328,BD333,BD336,BD340)</f>
        <v>6.3543847559785256</v>
      </c>
      <c r="BE342" s="1902">
        <f>SUM(BE328,BE333,BE336,BE340)</f>
        <v>4.8025353723335513</v>
      </c>
      <c r="BF342" s="1903">
        <f>SUM(BF328,BF333,BF336,BF340)</f>
        <v>4.1458620057471247</v>
      </c>
      <c r="BG342" s="1902"/>
      <c r="BH342" s="1902"/>
      <c r="BI342" s="1902"/>
      <c r="BJ342" s="1902"/>
      <c r="BK342" s="1902"/>
      <c r="BL342" s="1832"/>
    </row>
    <row r="343" spans="1:64" s="1803" customFormat="1" ht="8.25" customHeight="1" outlineLevel="1" x14ac:dyDescent="0.35">
      <c r="A343" s="1844"/>
      <c r="B343" s="1825"/>
      <c r="C343" s="1832"/>
      <c r="D343" s="1832"/>
      <c r="E343" s="1832"/>
      <c r="F343" s="1832"/>
      <c r="G343" s="1832"/>
      <c r="H343" s="1832"/>
      <c r="I343" s="1832"/>
      <c r="J343" s="1832"/>
      <c r="K343" s="1832"/>
      <c r="L343" s="1832"/>
      <c r="M343" s="1832"/>
      <c r="N343" s="1832"/>
      <c r="O343" s="1832"/>
      <c r="P343" s="1832"/>
      <c r="Q343" s="1832"/>
      <c r="R343" s="1832"/>
      <c r="S343" s="1832"/>
      <c r="T343" s="1832"/>
      <c r="U343" s="1832"/>
      <c r="V343" s="1832"/>
      <c r="W343" s="1832"/>
      <c r="X343" s="1832"/>
      <c r="Y343" s="1832"/>
      <c r="Z343" s="1832"/>
      <c r="AA343" s="1832"/>
      <c r="AB343" s="1832"/>
      <c r="AC343" s="1832"/>
      <c r="AD343" s="1832"/>
      <c r="AE343" s="1832"/>
      <c r="AF343" s="1832"/>
      <c r="AG343" s="1832"/>
      <c r="AH343" s="1832"/>
      <c r="AI343" s="1832"/>
      <c r="AJ343" s="1845"/>
      <c r="AK343" s="1832"/>
      <c r="AL343" s="1832"/>
      <c r="AM343" s="1832"/>
      <c r="AN343" s="1832"/>
      <c r="AO343" s="1832"/>
      <c r="AP343" s="1832"/>
      <c r="AQ343" s="1832"/>
      <c r="AR343" s="1846"/>
      <c r="AS343" s="1846"/>
      <c r="AT343" s="1846"/>
      <c r="AU343" s="1846"/>
      <c r="AV343" s="1846"/>
      <c r="AW343" s="1846"/>
      <c r="AX343" s="1846"/>
      <c r="AY343" s="1846"/>
      <c r="AZ343" s="1846"/>
      <c r="BA343" s="1846"/>
      <c r="BB343" s="1846"/>
      <c r="BC343" s="1846"/>
      <c r="BD343" s="1846"/>
      <c r="BE343" s="1846"/>
      <c r="BF343" s="1847"/>
      <c r="BG343" s="1846"/>
      <c r="BH343" s="1846"/>
      <c r="BI343" s="1846"/>
      <c r="BJ343" s="1846"/>
      <c r="BK343" s="1846"/>
      <c r="BL343" s="1848"/>
    </row>
    <row r="344" spans="1:64" s="1803" customFormat="1" ht="15" customHeight="1" outlineLevel="1" x14ac:dyDescent="0.35">
      <c r="A344" s="1665" t="s">
        <v>1120</v>
      </c>
      <c r="B344" s="1890"/>
      <c r="C344" s="1667"/>
      <c r="D344" s="1667"/>
      <c r="E344" s="1667"/>
      <c r="F344" s="1667"/>
      <c r="G344" s="1667"/>
      <c r="H344" s="1667"/>
      <c r="I344" s="1667"/>
      <c r="J344" s="1667"/>
      <c r="K344" s="1667"/>
      <c r="L344" s="1667"/>
      <c r="M344" s="1667"/>
      <c r="N344" s="1667"/>
      <c r="O344" s="1667"/>
      <c r="P344" s="1667"/>
      <c r="Q344" s="1667"/>
      <c r="R344" s="1667"/>
      <c r="S344" s="1667"/>
      <c r="T344" s="1667"/>
      <c r="U344" s="1667"/>
      <c r="V344" s="1667"/>
      <c r="W344" s="1667"/>
      <c r="X344" s="1667"/>
      <c r="Y344" s="1667">
        <f t="shared" ref="Y344:AJ344" si="154">Y232+Y342</f>
        <v>101.72427143351692</v>
      </c>
      <c r="Z344" s="1667">
        <f t="shared" si="154"/>
        <v>100.32150957735482</v>
      </c>
      <c r="AA344" s="1667">
        <f t="shared" si="154"/>
        <v>102.9620756305829</v>
      </c>
      <c r="AB344" s="1667">
        <f t="shared" si="154"/>
        <v>98.375844717458364</v>
      </c>
      <c r="AC344" s="1667">
        <f t="shared" si="154"/>
        <v>99.940893386673935</v>
      </c>
      <c r="AD344" s="1667">
        <f t="shared" si="154"/>
        <v>98.098498372333552</v>
      </c>
      <c r="AE344" s="1667">
        <f t="shared" si="154"/>
        <v>98.145739000000006</v>
      </c>
      <c r="AF344" s="1667">
        <f t="shared" si="154"/>
        <v>96.833587999999992</v>
      </c>
      <c r="AG344" s="1667">
        <f t="shared" si="154"/>
        <v>95.1691</v>
      </c>
      <c r="AH344" s="1667">
        <f t="shared" si="154"/>
        <v>93.544062005747108</v>
      </c>
      <c r="AI344" s="1667">
        <f t="shared" si="154"/>
        <v>98.613083718905472</v>
      </c>
      <c r="AJ344" s="1668">
        <f t="shared" si="154"/>
        <v>98.003697000000003</v>
      </c>
      <c r="AK344" s="1667"/>
      <c r="AL344" s="1667"/>
      <c r="AM344" s="1667"/>
      <c r="AN344" s="1667"/>
      <c r="AO344" s="1667"/>
      <c r="AP344" s="1667"/>
      <c r="AQ344" s="1667"/>
      <c r="AR344" s="1669"/>
      <c r="AS344" s="1669"/>
      <c r="AT344" s="1669"/>
      <c r="AU344" s="1669"/>
      <c r="AV344" s="1669"/>
      <c r="AW344" s="1669"/>
      <c r="AX344" s="1669"/>
      <c r="AY344" s="1669"/>
      <c r="AZ344" s="1669"/>
      <c r="BA344" s="1669"/>
      <c r="BB344" s="1669"/>
      <c r="BC344" s="1669"/>
      <c r="BD344" s="1669">
        <f>BD232+BD342</f>
        <v>100.32164375597854</v>
      </c>
      <c r="BE344" s="1669">
        <f>BE232+BE342</f>
        <v>98.098498372333552</v>
      </c>
      <c r="BF344" s="1612">
        <f>BF232+BF342</f>
        <v>93.544062005747108</v>
      </c>
      <c r="BG344" s="1669"/>
      <c r="BH344" s="1669"/>
      <c r="BI344" s="1669"/>
      <c r="BJ344" s="1669"/>
      <c r="BK344" s="1669"/>
      <c r="BL344" s="1832"/>
    </row>
    <row r="345" spans="1:64" s="1803" customFormat="1" ht="8.25" customHeight="1" outlineLevel="1" x14ac:dyDescent="0.35">
      <c r="A345" s="1665"/>
      <c r="B345" s="1890"/>
      <c r="C345" s="1667"/>
      <c r="D345" s="1667"/>
      <c r="E345" s="1667"/>
      <c r="F345" s="1667"/>
      <c r="G345" s="1667"/>
      <c r="H345" s="1667"/>
      <c r="I345" s="1667"/>
      <c r="J345" s="1667"/>
      <c r="K345" s="1667"/>
      <c r="L345" s="1667"/>
      <c r="M345" s="1667"/>
      <c r="N345" s="1667"/>
      <c r="O345" s="1667"/>
      <c r="P345" s="1667"/>
      <c r="Q345" s="1667"/>
      <c r="R345" s="1667"/>
      <c r="S345" s="1667"/>
      <c r="T345" s="1667"/>
      <c r="U345" s="1667"/>
      <c r="V345" s="1667"/>
      <c r="W345" s="1667"/>
      <c r="X345" s="1667"/>
      <c r="Y345" s="1667"/>
      <c r="Z345" s="1667"/>
      <c r="AA345" s="1667"/>
      <c r="AB345" s="1667"/>
      <c r="AC345" s="1667"/>
      <c r="AD345" s="1667"/>
      <c r="AE345" s="1667"/>
      <c r="AF345" s="1667"/>
      <c r="AG345" s="1667"/>
      <c r="AH345" s="1667"/>
      <c r="AI345" s="1667"/>
      <c r="AJ345" s="1668"/>
      <c r="AK345" s="1667"/>
      <c r="AL345" s="1667"/>
      <c r="AM345" s="1667"/>
      <c r="AN345" s="1667"/>
      <c r="AO345" s="1667"/>
      <c r="AP345" s="1667"/>
      <c r="AQ345" s="1667"/>
      <c r="AR345" s="1669"/>
      <c r="AS345" s="1669"/>
      <c r="AT345" s="1669"/>
      <c r="AU345" s="1669"/>
      <c r="AV345" s="1669"/>
      <c r="AW345" s="1669"/>
      <c r="AX345" s="1669"/>
      <c r="AY345" s="1669"/>
      <c r="AZ345" s="1669"/>
      <c r="BA345" s="1669"/>
      <c r="BB345" s="1669"/>
      <c r="BC345" s="1669"/>
      <c r="BD345" s="1669"/>
      <c r="BE345" s="1669"/>
      <c r="BF345" s="1612"/>
      <c r="BG345" s="1669"/>
      <c r="BH345" s="1669"/>
      <c r="BI345" s="1669"/>
      <c r="BJ345" s="1669"/>
      <c r="BK345" s="1669"/>
      <c r="BL345" s="1832"/>
    </row>
    <row r="346" spans="1:64" s="1518" customFormat="1" ht="15" customHeight="1" outlineLevel="1" x14ac:dyDescent="0.35">
      <c r="A346" s="1792" t="s">
        <v>1121</v>
      </c>
      <c r="B346" s="1716"/>
      <c r="C346" s="1515"/>
      <c r="D346" s="1515"/>
      <c r="E346" s="1515"/>
      <c r="F346" s="1515"/>
      <c r="G346" s="1515"/>
      <c r="H346" s="1515"/>
      <c r="I346" s="1515"/>
      <c r="J346" s="1515"/>
      <c r="K346" s="1515"/>
      <c r="L346" s="1515"/>
      <c r="M346" s="1515"/>
      <c r="N346" s="1515"/>
      <c r="O346" s="1515"/>
      <c r="P346" s="1515"/>
      <c r="Q346" s="1515"/>
      <c r="R346" s="1515"/>
      <c r="S346" s="1515"/>
      <c r="T346" s="1515"/>
      <c r="U346" s="1515"/>
      <c r="V346" s="1515"/>
      <c r="W346" s="1515"/>
      <c r="X346" s="1515"/>
      <c r="Y346" s="1593">
        <v>95.808842999999996</v>
      </c>
      <c r="Z346" s="1515">
        <f>BD346</f>
        <v>96.294882000000001</v>
      </c>
      <c r="AA346" s="1593">
        <v>96.260779999999997</v>
      </c>
      <c r="AB346" s="1593">
        <v>96.360389999999995</v>
      </c>
      <c r="AC346" s="1593">
        <v>97.063754000000003</v>
      </c>
      <c r="AD346" s="1515">
        <f>BE346</f>
        <v>96.297608999999994</v>
      </c>
      <c r="AE346" s="1593">
        <v>98.030304000000001</v>
      </c>
      <c r="AF346" s="1593">
        <v>96.330894000000001</v>
      </c>
      <c r="AG346" s="1593">
        <v>94.285105000000001</v>
      </c>
      <c r="AH346" s="1515">
        <f>BF346</f>
        <v>93.154066</v>
      </c>
      <c r="AI346" s="1593">
        <v>97.751383000000004</v>
      </c>
      <c r="AJ346" s="1594">
        <v>97.989463000000001</v>
      </c>
      <c r="AK346" s="1515"/>
      <c r="AL346" s="1515"/>
      <c r="AM346" s="1515"/>
      <c r="AN346" s="1515"/>
      <c r="AO346" s="1515"/>
      <c r="AP346" s="1515"/>
      <c r="AQ346" s="1515"/>
      <c r="AR346" s="1595"/>
      <c r="AS346" s="1595"/>
      <c r="AT346" s="1595"/>
      <c r="AU346" s="1595"/>
      <c r="AV346" s="1595"/>
      <c r="AW346" s="1595"/>
      <c r="AX346" s="1595"/>
      <c r="AY346" s="1595"/>
      <c r="AZ346" s="1595"/>
      <c r="BA346" s="1595"/>
      <c r="BB346" s="1595"/>
      <c r="BC346" s="1595"/>
      <c r="BD346" s="1596">
        <v>96.294882000000001</v>
      </c>
      <c r="BE346" s="1596">
        <v>96.297608999999994</v>
      </c>
      <c r="BF346" s="1597">
        <v>93.154066</v>
      </c>
      <c r="BG346" s="1595"/>
      <c r="BH346" s="1595"/>
      <c r="BI346" s="1595"/>
      <c r="BJ346" s="1595"/>
      <c r="BK346" s="1595"/>
      <c r="BL346" s="1515"/>
    </row>
    <row r="347" spans="1:64" s="1803" customFormat="1" ht="15" customHeight="1" outlineLevel="1" x14ac:dyDescent="0.35">
      <c r="A347" s="1792" t="s">
        <v>1122</v>
      </c>
      <c r="B347" s="1801"/>
      <c r="C347" s="1904"/>
      <c r="D347" s="1904"/>
      <c r="E347" s="1904"/>
      <c r="F347" s="1904"/>
      <c r="G347" s="1904"/>
      <c r="H347" s="1904"/>
      <c r="I347" s="1904"/>
      <c r="J347" s="1904"/>
      <c r="K347" s="1904"/>
      <c r="L347" s="1904"/>
      <c r="M347" s="1904"/>
      <c r="N347" s="1904"/>
      <c r="O347" s="1904"/>
      <c r="P347" s="1904"/>
      <c r="Q347" s="1904"/>
      <c r="R347" s="1904"/>
      <c r="S347" s="1904"/>
      <c r="T347" s="1904"/>
      <c r="U347" s="1904"/>
      <c r="V347" s="1904"/>
      <c r="W347" s="1904"/>
      <c r="X347" s="1904"/>
      <c r="Y347" s="1905">
        <v>44508</v>
      </c>
      <c r="Z347" s="1904">
        <f>BD347</f>
        <v>44634</v>
      </c>
      <c r="AA347" s="1905">
        <v>44690</v>
      </c>
      <c r="AB347" s="1905">
        <v>44795</v>
      </c>
      <c r="AC347" s="1905">
        <v>44872</v>
      </c>
      <c r="AD347" s="1904">
        <f>BE347</f>
        <v>44985</v>
      </c>
      <c r="AE347" s="1905">
        <v>45054</v>
      </c>
      <c r="AF347" s="1905">
        <v>45139</v>
      </c>
      <c r="AG347" s="1905">
        <v>45231</v>
      </c>
      <c r="AH347" s="1904">
        <f>BF347</f>
        <v>45350</v>
      </c>
      <c r="AI347" s="1905">
        <v>45414</v>
      </c>
      <c r="AJ347" s="1906">
        <v>45505</v>
      </c>
      <c r="AK347" s="1904"/>
      <c r="AL347" s="1904"/>
      <c r="AM347" s="1904"/>
      <c r="AN347" s="1904"/>
      <c r="AO347" s="1904"/>
      <c r="AP347" s="1904"/>
      <c r="AQ347" s="1904"/>
      <c r="AR347" s="1907"/>
      <c r="AS347" s="1907"/>
      <c r="AT347" s="1907"/>
      <c r="AU347" s="1907"/>
      <c r="AV347" s="1907"/>
      <c r="AW347" s="1907"/>
      <c r="AX347" s="1907"/>
      <c r="AY347" s="1907"/>
      <c r="AZ347" s="1907"/>
      <c r="BA347" s="1907"/>
      <c r="BB347" s="1907"/>
      <c r="BC347" s="1907"/>
      <c r="BD347" s="1908">
        <v>44634</v>
      </c>
      <c r="BE347" s="1908">
        <v>44985</v>
      </c>
      <c r="BF347" s="1909">
        <v>45350</v>
      </c>
      <c r="BG347" s="1907"/>
      <c r="BH347" s="1907"/>
      <c r="BI347" s="1907"/>
      <c r="BJ347" s="1907"/>
      <c r="BK347" s="1907"/>
      <c r="BL347" s="1802"/>
    </row>
    <row r="348" spans="1:64" s="1803" customFormat="1" ht="8.25" customHeight="1" outlineLevel="1" x14ac:dyDescent="0.35">
      <c r="A348" s="1609"/>
      <c r="B348" s="1801"/>
      <c r="C348" s="1802"/>
      <c r="D348" s="1802"/>
      <c r="E348" s="1802"/>
      <c r="F348" s="1802"/>
      <c r="G348" s="1802"/>
      <c r="H348" s="1802"/>
      <c r="I348" s="1802"/>
      <c r="J348" s="1802"/>
      <c r="K348" s="1802"/>
      <c r="L348" s="1802"/>
      <c r="M348" s="1802"/>
      <c r="N348" s="1802"/>
      <c r="O348" s="1802"/>
      <c r="P348" s="1802"/>
      <c r="Q348" s="1802"/>
      <c r="R348" s="1802"/>
      <c r="S348" s="1802"/>
      <c r="T348" s="1802"/>
      <c r="U348" s="1802"/>
      <c r="V348" s="1802"/>
      <c r="W348" s="1802"/>
      <c r="X348" s="1802"/>
      <c r="Y348" s="1802"/>
      <c r="Z348" s="1802"/>
      <c r="AA348" s="1802"/>
      <c r="AB348" s="1802"/>
      <c r="AC348" s="1802"/>
      <c r="AD348" s="1802"/>
      <c r="AE348" s="1802"/>
      <c r="AF348" s="1802"/>
      <c r="AG348" s="1802"/>
      <c r="AH348" s="1802"/>
      <c r="AI348" s="1802"/>
      <c r="AJ348" s="1812"/>
      <c r="AK348" s="1802"/>
      <c r="AL348" s="1802"/>
      <c r="AM348" s="1802"/>
      <c r="AN348" s="1802"/>
      <c r="AO348" s="1802"/>
      <c r="AP348" s="1802"/>
      <c r="AQ348" s="1802"/>
      <c r="AR348" s="1813"/>
      <c r="AS348" s="1813"/>
      <c r="AT348" s="1813"/>
      <c r="AU348" s="1813"/>
      <c r="AV348" s="1813"/>
      <c r="AW348" s="1813"/>
      <c r="AX348" s="1813"/>
      <c r="AY348" s="1813"/>
      <c r="AZ348" s="1813"/>
      <c r="BA348" s="1813"/>
      <c r="BB348" s="1813"/>
      <c r="BC348" s="1813"/>
      <c r="BD348" s="1813"/>
      <c r="BE348" s="1813"/>
      <c r="BF348" s="1814"/>
      <c r="BG348" s="1813"/>
      <c r="BH348" s="1813"/>
      <c r="BI348" s="1813"/>
      <c r="BJ348" s="1813"/>
      <c r="BK348" s="1813"/>
      <c r="BL348" s="1815"/>
    </row>
    <row r="349" spans="1:64" s="1803" customFormat="1" ht="15" customHeight="1" outlineLevel="1" x14ac:dyDescent="0.35">
      <c r="A349" s="1665" t="s">
        <v>1123</v>
      </c>
      <c r="B349" s="1910"/>
      <c r="C349" s="1667"/>
      <c r="D349" s="1667"/>
      <c r="E349" s="1667"/>
      <c r="F349" s="1667"/>
      <c r="G349" s="1667"/>
      <c r="H349" s="1667"/>
      <c r="I349" s="1667"/>
      <c r="J349" s="1667"/>
      <c r="K349" s="1667"/>
      <c r="L349" s="1667"/>
      <c r="M349" s="1667"/>
      <c r="N349" s="1667"/>
      <c r="O349" s="1667"/>
      <c r="P349" s="1667"/>
      <c r="Q349" s="1667"/>
      <c r="R349" s="1667"/>
      <c r="S349" s="1667"/>
      <c r="T349" s="1667"/>
      <c r="U349" s="1667"/>
      <c r="V349" s="1667"/>
      <c r="W349" s="1667"/>
      <c r="X349" s="1667"/>
      <c r="Y349" s="1667">
        <f t="shared" ref="Y349:AJ349" si="155">Y346+Y342-Y338</f>
        <v>101.74533443351692</v>
      </c>
      <c r="Z349" s="1667">
        <f t="shared" si="155"/>
        <v>100.86941657735481</v>
      </c>
      <c r="AA349" s="1667">
        <f t="shared" si="155"/>
        <v>102.93318763058289</v>
      </c>
      <c r="AB349" s="1667">
        <f t="shared" si="155"/>
        <v>98.325967717458354</v>
      </c>
      <c r="AC349" s="1667">
        <f t="shared" si="155"/>
        <v>100.34876138667394</v>
      </c>
      <c r="AD349" s="1667">
        <f t="shared" si="155"/>
        <v>97.678224372333545</v>
      </c>
      <c r="AE349" s="1667">
        <f t="shared" si="155"/>
        <v>98.090337000000005</v>
      </c>
      <c r="AF349" s="1667">
        <f t="shared" si="155"/>
        <v>96.405819999999991</v>
      </c>
      <c r="AG349" s="1667">
        <f t="shared" si="155"/>
        <v>94.408916000000005</v>
      </c>
      <c r="AH349" s="1667">
        <f t="shared" si="155"/>
        <v>93.503725005747114</v>
      </c>
      <c r="AI349" s="1667">
        <f t="shared" si="155"/>
        <v>98.55279071890547</v>
      </c>
      <c r="AJ349" s="1668">
        <f t="shared" si="155"/>
        <v>98.091412000000005</v>
      </c>
      <c r="AK349" s="1667"/>
      <c r="AL349" s="1667"/>
      <c r="AM349" s="1667"/>
      <c r="AN349" s="1667"/>
      <c r="AO349" s="1667"/>
      <c r="AP349" s="1667"/>
      <c r="AQ349" s="1667"/>
      <c r="AR349" s="1669"/>
      <c r="AS349" s="1669"/>
      <c r="AT349" s="1669"/>
      <c r="AU349" s="1669"/>
      <c r="AV349" s="1669"/>
      <c r="AW349" s="1669"/>
      <c r="AX349" s="1669"/>
      <c r="AY349" s="1669"/>
      <c r="AZ349" s="1669"/>
      <c r="BA349" s="1669"/>
      <c r="BB349" s="1669"/>
      <c r="BC349" s="1669"/>
      <c r="BD349" s="1669">
        <f>BD346+BD342-BD338</f>
        <v>100.86955075597854</v>
      </c>
      <c r="BE349" s="1669">
        <f>BE346+BE342-BE338</f>
        <v>97.678224372333545</v>
      </c>
      <c r="BF349" s="1612">
        <f>BF346+BF342-BF338</f>
        <v>93.503725005747114</v>
      </c>
      <c r="BG349" s="1669"/>
      <c r="BH349" s="1669"/>
      <c r="BI349" s="1669"/>
      <c r="BJ349" s="1669"/>
      <c r="BK349" s="1669"/>
      <c r="BL349" s="1802"/>
    </row>
    <row r="350" spans="1:64" s="1518" customFormat="1" ht="15" customHeight="1" x14ac:dyDescent="0.35">
      <c r="A350" s="1609"/>
      <c r="B350" s="1716"/>
      <c r="C350" s="1515"/>
      <c r="D350" s="1515"/>
      <c r="E350" s="1515"/>
      <c r="F350" s="1515"/>
      <c r="G350" s="1515"/>
      <c r="H350" s="1515"/>
      <c r="I350" s="1515"/>
      <c r="J350" s="1515"/>
      <c r="K350" s="1515"/>
      <c r="L350" s="1515"/>
      <c r="M350" s="1515"/>
      <c r="N350" s="1515"/>
      <c r="O350" s="1515"/>
      <c r="P350" s="1515"/>
      <c r="Q350" s="1515"/>
      <c r="R350" s="1515"/>
      <c r="S350" s="1515"/>
      <c r="T350" s="1515"/>
      <c r="U350" s="1515"/>
      <c r="V350" s="1515"/>
      <c r="W350" s="1515"/>
      <c r="X350" s="1515"/>
      <c r="Y350" s="1515"/>
      <c r="Z350" s="1515"/>
      <c r="AA350" s="1515"/>
      <c r="AB350" s="1515"/>
      <c r="AC350" s="1515"/>
      <c r="AD350" s="1515"/>
      <c r="AE350" s="1515"/>
      <c r="AF350" s="1515"/>
      <c r="AG350" s="1515"/>
      <c r="AH350" s="1515"/>
      <c r="AI350" s="1515"/>
      <c r="AJ350" s="1516"/>
      <c r="AK350" s="1515"/>
      <c r="AL350" s="1515"/>
      <c r="AM350" s="1515"/>
      <c r="AN350" s="1515"/>
      <c r="AO350" s="1515"/>
      <c r="AP350" s="1515"/>
      <c r="AQ350" s="1515"/>
      <c r="AR350" s="1595"/>
      <c r="AS350" s="1595"/>
      <c r="AT350" s="1595"/>
      <c r="AU350" s="1595"/>
      <c r="AV350" s="1595"/>
      <c r="AW350" s="1595"/>
      <c r="AX350" s="1595"/>
      <c r="AY350" s="1595"/>
      <c r="AZ350" s="1595"/>
      <c r="BA350" s="1595"/>
      <c r="BB350" s="1595"/>
      <c r="BC350" s="1595"/>
      <c r="BD350" s="1595"/>
      <c r="BE350" s="1595"/>
      <c r="BF350" s="1610"/>
      <c r="BG350" s="1595"/>
      <c r="BH350" s="1595"/>
      <c r="BI350" s="1595"/>
      <c r="BJ350" s="1595"/>
      <c r="BK350" s="1595"/>
      <c r="BL350" s="1517"/>
    </row>
    <row r="351" spans="1:64" s="1518" customFormat="1" x14ac:dyDescent="0.35">
      <c r="A351" s="1588" t="s">
        <v>1124</v>
      </c>
      <c r="B351" s="1556"/>
      <c r="C351" s="1556"/>
      <c r="D351" s="1556"/>
      <c r="E351" s="1556"/>
      <c r="F351" s="1556"/>
      <c r="G351" s="1556"/>
      <c r="H351" s="1556"/>
      <c r="I351" s="1556"/>
      <c r="J351" s="1556"/>
      <c r="K351" s="1556"/>
      <c r="L351" s="1556"/>
      <c r="M351" s="1556"/>
      <c r="N351" s="1556"/>
      <c r="O351" s="1556"/>
      <c r="P351" s="1556"/>
      <c r="Q351" s="1556"/>
      <c r="R351" s="1556"/>
      <c r="S351" s="1556"/>
      <c r="T351" s="1589" t="s">
        <v>892</v>
      </c>
      <c r="U351" s="1556"/>
      <c r="V351" s="1556"/>
      <c r="W351" s="1556"/>
      <c r="X351" s="1589"/>
      <c r="Y351" s="1556"/>
      <c r="Z351" s="1556"/>
      <c r="AA351" s="1556"/>
      <c r="AB351" s="1589"/>
      <c r="AC351" s="1556"/>
      <c r="AD351" s="1556"/>
      <c r="AE351" s="1556"/>
      <c r="AF351" s="1589"/>
      <c r="AG351" s="1556"/>
      <c r="AH351" s="1556"/>
      <c r="AI351" s="1556"/>
      <c r="AJ351" s="1590"/>
      <c r="AK351" s="1556"/>
      <c r="AL351" s="1556"/>
      <c r="AM351" s="1556"/>
      <c r="AN351" s="1556"/>
      <c r="AO351" s="1556"/>
      <c r="AP351" s="1556"/>
      <c r="AQ351" s="1556"/>
      <c r="AR351" s="1556"/>
      <c r="AS351" s="1556"/>
      <c r="AT351" s="1556"/>
      <c r="AU351" s="1556"/>
      <c r="AV351" s="1556"/>
      <c r="AW351" s="1556"/>
      <c r="AX351" s="1556"/>
      <c r="AY351" s="1556"/>
      <c r="AZ351" s="1556"/>
      <c r="BA351" s="1556"/>
      <c r="BB351" s="1556"/>
      <c r="BC351" s="1556"/>
      <c r="BD351" s="1556"/>
      <c r="BE351" s="1556"/>
      <c r="BF351" s="1558"/>
      <c r="BG351" s="1556"/>
      <c r="BH351" s="1556"/>
      <c r="BI351" s="1556"/>
      <c r="BJ351" s="1556"/>
      <c r="BK351" s="1556"/>
      <c r="BL351" s="1517"/>
    </row>
    <row r="352" spans="1:64" s="1518" customFormat="1" hidden="1" outlineLevel="1" x14ac:dyDescent="0.35">
      <c r="A352" s="1517" t="s">
        <v>1125</v>
      </c>
      <c r="B352" s="1716"/>
      <c r="C352" s="1515"/>
      <c r="D352" s="1515"/>
      <c r="E352" s="1515"/>
      <c r="F352" s="1515"/>
      <c r="G352" s="1515"/>
      <c r="H352" s="1515"/>
      <c r="I352" s="1515"/>
      <c r="J352" s="1515"/>
      <c r="K352" s="1515"/>
      <c r="L352" s="1515"/>
      <c r="M352" s="1515"/>
      <c r="N352" s="1515"/>
      <c r="O352" s="1515"/>
      <c r="P352" s="1515"/>
      <c r="Q352" s="1515"/>
      <c r="R352" s="1515"/>
      <c r="S352" s="1517">
        <f t="shared" ref="S352:AP352" si="156">S507</f>
        <v>0</v>
      </c>
      <c r="T352" s="1517">
        <f t="shared" si="156"/>
        <v>7.8770000000000016</v>
      </c>
      <c r="U352" s="1517">
        <f t="shared" si="156"/>
        <v>17.229000000000003</v>
      </c>
      <c r="V352" s="1517">
        <f t="shared" si="156"/>
        <v>9.7229999999999936</v>
      </c>
      <c r="W352" s="1517">
        <f t="shared" si="156"/>
        <v>20.52</v>
      </c>
      <c r="X352" s="1517">
        <f t="shared" si="156"/>
        <v>25.610999999999997</v>
      </c>
      <c r="Y352" s="1517">
        <f t="shared" si="156"/>
        <v>5.748000000000002</v>
      </c>
      <c r="Z352" s="1517">
        <f t="shared" si="156"/>
        <v>20.061999999999998</v>
      </c>
      <c r="AA352" s="1517">
        <f t="shared" si="156"/>
        <v>32.891000000000005</v>
      </c>
      <c r="AB352" s="1517">
        <f t="shared" si="156"/>
        <v>36.464000000000006</v>
      </c>
      <c r="AC352" s="1517">
        <f t="shared" si="156"/>
        <v>34.143999999999991</v>
      </c>
      <c r="AD352" s="1517">
        <f t="shared" si="156"/>
        <v>10.525000000000004</v>
      </c>
      <c r="AE352" s="1517">
        <f t="shared" si="156"/>
        <v>24.974999999999998</v>
      </c>
      <c r="AF352" s="1517">
        <f t="shared" si="156"/>
        <v>35.021000000000008</v>
      </c>
      <c r="AG352" s="1517">
        <f t="shared" si="156"/>
        <v>27.637999999999995</v>
      </c>
      <c r="AH352" s="1517">
        <f t="shared" si="156"/>
        <v>3.4560000000000017</v>
      </c>
      <c r="AI352" s="1517">
        <f t="shared" si="156"/>
        <v>7.322000000000001</v>
      </c>
      <c r="AJ352" s="1732">
        <f t="shared" si="156"/>
        <v>24.432000000000002</v>
      </c>
      <c r="AK352" s="1515">
        <f t="shared" si="156"/>
        <v>48.47034429352567</v>
      </c>
      <c r="AL352" s="1515">
        <f t="shared" ca="1" si="156"/>
        <v>45.283390624773503</v>
      </c>
      <c r="AM352" s="1515">
        <f t="shared" ca="1" si="156"/>
        <v>36.665449573742229</v>
      </c>
      <c r="AN352" s="1515">
        <f t="shared" ca="1" si="156"/>
        <v>41.460432644539424</v>
      </c>
      <c r="AO352" s="1515">
        <f t="shared" ca="1" si="156"/>
        <v>44.447499061623397</v>
      </c>
      <c r="AP352" s="1515">
        <f t="shared" ca="1" si="156"/>
        <v>37.763451502089794</v>
      </c>
      <c r="AQ352" s="1515"/>
      <c r="AR352" s="1595"/>
      <c r="AS352" s="1595"/>
      <c r="AT352" s="1595"/>
      <c r="AU352" s="1595"/>
      <c r="AV352" s="1595"/>
      <c r="AW352" s="1595"/>
      <c r="AX352" s="1595"/>
      <c r="AY352" s="1595"/>
      <c r="AZ352" s="1595"/>
      <c r="BA352" s="1595"/>
      <c r="BB352" s="1733">
        <f t="shared" ref="BB352:BK352" si="157">BB507</f>
        <v>47.918000000000006</v>
      </c>
      <c r="BC352" s="1733">
        <f t="shared" si="157"/>
        <v>34.828999999999994</v>
      </c>
      <c r="BD352" s="1733">
        <f t="shared" si="157"/>
        <v>71.941000000000003</v>
      </c>
      <c r="BE352" s="1733">
        <f t="shared" si="157"/>
        <v>114.02399999999999</v>
      </c>
      <c r="BF352" s="1734">
        <f t="shared" si="157"/>
        <v>91.09</v>
      </c>
      <c r="BG352" s="1595">
        <f t="shared" ca="1" si="157"/>
        <v>125.50773491829921</v>
      </c>
      <c r="BH352" s="1595">
        <f t="shared" ca="1" si="157"/>
        <v>160.33683278199484</v>
      </c>
      <c r="BI352" s="1595">
        <f t="shared" ca="1" si="157"/>
        <v>209.09595261050578</v>
      </c>
      <c r="BJ352" s="1595">
        <f t="shared" ca="1" si="157"/>
        <v>207.13001348874704</v>
      </c>
      <c r="BK352" s="1595">
        <f t="shared" ca="1" si="157"/>
        <v>238.11900730346304</v>
      </c>
      <c r="BL352" s="1517"/>
    </row>
    <row r="353" spans="1:64" s="1518" customFormat="1" hidden="1" outlineLevel="1" x14ac:dyDescent="0.35">
      <c r="A353" s="1911" t="s">
        <v>1126</v>
      </c>
      <c r="B353" s="1912"/>
      <c r="C353" s="1913"/>
      <c r="D353" s="1913"/>
      <c r="E353" s="1913"/>
      <c r="F353" s="1913"/>
      <c r="G353" s="1913"/>
      <c r="H353" s="1913"/>
      <c r="I353" s="1913"/>
      <c r="J353" s="1913"/>
      <c r="K353" s="1913"/>
      <c r="L353" s="1913"/>
      <c r="M353" s="1913"/>
      <c r="N353" s="1913"/>
      <c r="O353" s="1913"/>
      <c r="P353" s="1913"/>
      <c r="Q353" s="1913"/>
      <c r="R353" s="1913"/>
      <c r="S353" s="1913">
        <f t="shared" ref="S353:AP353" si="158">SUM(S508:S515)</f>
        <v>0</v>
      </c>
      <c r="T353" s="1913">
        <f t="shared" si="158"/>
        <v>12.349000000000004</v>
      </c>
      <c r="U353" s="1913">
        <f t="shared" si="158"/>
        <v>-11.602000000000004</v>
      </c>
      <c r="V353" s="1913">
        <f t="shared" si="158"/>
        <v>0.60899999999999999</v>
      </c>
      <c r="W353" s="1913">
        <f t="shared" si="158"/>
        <v>1.4630000000000005</v>
      </c>
      <c r="X353" s="1913">
        <f t="shared" si="158"/>
        <v>-2.3039999999999989</v>
      </c>
      <c r="Y353" s="1913">
        <f t="shared" si="158"/>
        <v>-12.112000000000004</v>
      </c>
      <c r="Z353" s="1913">
        <f t="shared" si="158"/>
        <v>9.6170000000000044</v>
      </c>
      <c r="AA353" s="1913">
        <f t="shared" si="158"/>
        <v>-29.445999999999998</v>
      </c>
      <c r="AB353" s="1913">
        <f t="shared" si="158"/>
        <v>-6.6299999999999972</v>
      </c>
      <c r="AC353" s="1913">
        <f t="shared" si="158"/>
        <v>6.1749999999999972</v>
      </c>
      <c r="AD353" s="1913">
        <f t="shared" si="158"/>
        <v>20.140000000000004</v>
      </c>
      <c r="AE353" s="1913">
        <f t="shared" si="158"/>
        <v>-13.693000000000001</v>
      </c>
      <c r="AF353" s="1913">
        <f t="shared" si="158"/>
        <v>-13.405000000000001</v>
      </c>
      <c r="AG353" s="1913">
        <f t="shared" si="158"/>
        <v>5.1400000000000015</v>
      </c>
      <c r="AH353" s="1913">
        <f t="shared" si="158"/>
        <v>27.728999999999999</v>
      </c>
      <c r="AI353" s="1913">
        <f t="shared" si="158"/>
        <v>-3.6479999999999988</v>
      </c>
      <c r="AJ353" s="1914">
        <f t="shared" si="158"/>
        <v>-7.9390000000000001</v>
      </c>
      <c r="AK353" s="1913">
        <f t="shared" si="158"/>
        <v>-14.392194857161893</v>
      </c>
      <c r="AL353" s="1913">
        <f t="shared" si="158"/>
        <v>11.690661954232672</v>
      </c>
      <c r="AM353" s="1913">
        <f t="shared" si="158"/>
        <v>1.1372694822383806</v>
      </c>
      <c r="AN353" s="1913">
        <f t="shared" si="158"/>
        <v>-1.4270034015986059</v>
      </c>
      <c r="AO353" s="1913">
        <f t="shared" si="158"/>
        <v>-15.701750752432611</v>
      </c>
      <c r="AP353" s="1913">
        <f t="shared" si="158"/>
        <v>11.828140443005296</v>
      </c>
      <c r="AQ353" s="1913"/>
      <c r="AR353" s="1915"/>
      <c r="AS353" s="1915"/>
      <c r="AT353" s="1915"/>
      <c r="AU353" s="1915"/>
      <c r="AV353" s="1915"/>
      <c r="AW353" s="1915"/>
      <c r="AX353" s="1915"/>
      <c r="AY353" s="1915"/>
      <c r="AZ353" s="1915"/>
      <c r="BA353" s="1915"/>
      <c r="BB353" s="1915">
        <f t="shared" ref="BB353:BK353" si="159">SUM(BB508:BB515)</f>
        <v>-11.713999999999999</v>
      </c>
      <c r="BC353" s="1915">
        <f t="shared" si="159"/>
        <v>1.3559999999999999</v>
      </c>
      <c r="BD353" s="1915">
        <f t="shared" si="159"/>
        <v>-3.3360000000000021</v>
      </c>
      <c r="BE353" s="1915">
        <f t="shared" si="159"/>
        <v>-9.7610000000000028</v>
      </c>
      <c r="BF353" s="1916">
        <f t="shared" si="159"/>
        <v>5.7709999999999999</v>
      </c>
      <c r="BG353" s="1915">
        <f t="shared" si="159"/>
        <v>-14.288532902929223</v>
      </c>
      <c r="BH353" s="1915">
        <f t="shared" si="159"/>
        <v>-4.1633442287875422</v>
      </c>
      <c r="BI353" s="1915">
        <f t="shared" si="159"/>
        <v>-5.2394641529716282</v>
      </c>
      <c r="BJ353" s="1915">
        <f t="shared" si="159"/>
        <v>-4.2553572038151106</v>
      </c>
      <c r="BK353" s="1915">
        <f t="shared" si="159"/>
        <v>-4.5287920709848617</v>
      </c>
      <c r="BL353" s="1517"/>
    </row>
    <row r="354" spans="1:64" s="1518" customFormat="1" collapsed="1" x14ac:dyDescent="0.35">
      <c r="A354" s="1900" t="s">
        <v>1127</v>
      </c>
      <c r="B354" s="1917"/>
      <c r="C354" s="1900"/>
      <c r="D354" s="1900"/>
      <c r="E354" s="1900"/>
      <c r="F354" s="1900"/>
      <c r="G354" s="1900"/>
      <c r="H354" s="1900"/>
      <c r="I354" s="1900"/>
      <c r="J354" s="1900"/>
      <c r="K354" s="1900"/>
      <c r="L354" s="1900"/>
      <c r="M354" s="1900"/>
      <c r="N354" s="1900"/>
      <c r="O354" s="1900"/>
      <c r="P354" s="1900"/>
      <c r="Q354" s="1900"/>
      <c r="R354" s="1900"/>
      <c r="S354" s="1900">
        <f t="shared" ref="S354:AP354" si="160">S352+S353</f>
        <v>0</v>
      </c>
      <c r="T354" s="1900">
        <f t="shared" si="160"/>
        <v>20.226000000000006</v>
      </c>
      <c r="U354" s="1900">
        <f t="shared" si="160"/>
        <v>5.6269999999999989</v>
      </c>
      <c r="V354" s="1900">
        <f t="shared" si="160"/>
        <v>10.331999999999994</v>
      </c>
      <c r="W354" s="1900">
        <f t="shared" si="160"/>
        <v>21.983000000000001</v>
      </c>
      <c r="X354" s="1900">
        <f t="shared" si="160"/>
        <v>23.306999999999999</v>
      </c>
      <c r="Y354" s="1900">
        <f t="shared" si="160"/>
        <v>-6.3640000000000017</v>
      </c>
      <c r="Z354" s="1900">
        <f t="shared" si="160"/>
        <v>29.679000000000002</v>
      </c>
      <c r="AA354" s="1900">
        <f t="shared" si="160"/>
        <v>3.4450000000000074</v>
      </c>
      <c r="AB354" s="1900">
        <f t="shared" si="160"/>
        <v>29.83400000000001</v>
      </c>
      <c r="AC354" s="1900">
        <f t="shared" si="160"/>
        <v>40.318999999999988</v>
      </c>
      <c r="AD354" s="1900">
        <f t="shared" si="160"/>
        <v>30.665000000000006</v>
      </c>
      <c r="AE354" s="1900">
        <f t="shared" si="160"/>
        <v>11.281999999999996</v>
      </c>
      <c r="AF354" s="1900">
        <f t="shared" si="160"/>
        <v>21.616000000000007</v>
      </c>
      <c r="AG354" s="1900">
        <f t="shared" si="160"/>
        <v>32.777999999999999</v>
      </c>
      <c r="AH354" s="1900">
        <f t="shared" si="160"/>
        <v>31.185000000000002</v>
      </c>
      <c r="AI354" s="1900">
        <f t="shared" si="160"/>
        <v>3.6740000000000022</v>
      </c>
      <c r="AJ354" s="1901">
        <f t="shared" si="160"/>
        <v>16.493000000000002</v>
      </c>
      <c r="AK354" s="1900">
        <f t="shared" si="160"/>
        <v>34.078149436363773</v>
      </c>
      <c r="AL354" s="1900">
        <f t="shared" ca="1" si="160"/>
        <v>56.974052579006177</v>
      </c>
      <c r="AM354" s="1900">
        <f t="shared" ca="1" si="160"/>
        <v>37.80271905598061</v>
      </c>
      <c r="AN354" s="1900">
        <f t="shared" ca="1" si="160"/>
        <v>40.033429242940819</v>
      </c>
      <c r="AO354" s="1900">
        <f t="shared" ca="1" si="160"/>
        <v>28.745748309190787</v>
      </c>
      <c r="AP354" s="1900">
        <f t="shared" ca="1" si="160"/>
        <v>49.591591945095089</v>
      </c>
      <c r="AQ354" s="1900"/>
      <c r="AR354" s="1902"/>
      <c r="AS354" s="1902"/>
      <c r="AT354" s="1902"/>
      <c r="AU354" s="1902"/>
      <c r="AV354" s="1902"/>
      <c r="AW354" s="1902"/>
      <c r="AX354" s="1902"/>
      <c r="AY354" s="1902"/>
      <c r="AZ354" s="1902"/>
      <c r="BA354" s="1902"/>
      <c r="BB354" s="1902">
        <f t="shared" ref="BB354:BK354" si="161">BB352+BB353</f>
        <v>36.204000000000008</v>
      </c>
      <c r="BC354" s="1902">
        <f t="shared" si="161"/>
        <v>36.184999999999995</v>
      </c>
      <c r="BD354" s="1902">
        <f t="shared" si="161"/>
        <v>68.605000000000004</v>
      </c>
      <c r="BE354" s="1902">
        <f t="shared" si="161"/>
        <v>104.26299999999998</v>
      </c>
      <c r="BF354" s="1903">
        <f t="shared" si="161"/>
        <v>96.861000000000004</v>
      </c>
      <c r="BG354" s="1902">
        <f t="shared" ca="1" si="161"/>
        <v>111.21920201536999</v>
      </c>
      <c r="BH354" s="1902">
        <f t="shared" ca="1" si="161"/>
        <v>156.17348855320731</v>
      </c>
      <c r="BI354" s="1902">
        <f t="shared" ca="1" si="161"/>
        <v>203.85648845753414</v>
      </c>
      <c r="BJ354" s="1902">
        <f t="shared" ca="1" si="161"/>
        <v>202.87465628493192</v>
      </c>
      <c r="BK354" s="1902">
        <f t="shared" ca="1" si="161"/>
        <v>233.59021523247819</v>
      </c>
      <c r="BL354" s="1517"/>
    </row>
    <row r="355" spans="1:64" s="1773" customFormat="1" hidden="1" outlineLevel="1" x14ac:dyDescent="0.35">
      <c r="A355" s="1529" t="s">
        <v>1128</v>
      </c>
      <c r="B355" s="1767"/>
      <c r="C355" s="1918"/>
      <c r="D355" s="1918"/>
      <c r="E355" s="1918"/>
      <c r="F355" s="1918"/>
      <c r="G355" s="1918"/>
      <c r="H355" s="1918"/>
      <c r="I355" s="1918"/>
      <c r="J355" s="1918"/>
      <c r="K355" s="1918"/>
      <c r="L355" s="1918"/>
      <c r="M355" s="1918"/>
      <c r="N355" s="1918"/>
      <c r="O355" s="1918"/>
      <c r="P355" s="1918"/>
      <c r="Q355" s="1918"/>
      <c r="R355" s="1918"/>
      <c r="S355" s="1918"/>
      <c r="T355" s="1918"/>
      <c r="U355" s="1918"/>
      <c r="V355" s="1918"/>
      <c r="W355" s="1918"/>
      <c r="X355" s="1918"/>
      <c r="Y355" s="1918">
        <f t="shared" ref="Y355:AP355" si="162">Y352/Y223</f>
        <v>6.4272999138934167E-2</v>
      </c>
      <c r="Z355" s="1918">
        <f t="shared" si="162"/>
        <v>0.20124245700649307</v>
      </c>
      <c r="AA355" s="1918">
        <f t="shared" si="162"/>
        <v>0.33160777515833417</v>
      </c>
      <c r="AB355" s="1918">
        <f t="shared" si="162"/>
        <v>0.36704575367652487</v>
      </c>
      <c r="AC355" s="1918">
        <f t="shared" si="162"/>
        <v>0.34447648790078284</v>
      </c>
      <c r="AD355" s="1918">
        <f t="shared" si="162"/>
        <v>0.11187272788748377</v>
      </c>
      <c r="AE355" s="1918">
        <f t="shared" si="162"/>
        <v>0.26192879308183287</v>
      </c>
      <c r="AF355" s="1918">
        <f t="shared" si="162"/>
        <v>0.37059782410050113</v>
      </c>
      <c r="AG355" s="1918">
        <f t="shared" si="162"/>
        <v>0.29511479936865204</v>
      </c>
      <c r="AH355" s="1918">
        <f t="shared" si="162"/>
        <v>3.8478568962424735E-2</v>
      </c>
      <c r="AI355" s="1918">
        <f t="shared" si="162"/>
        <v>8.1108540396982551E-2</v>
      </c>
      <c r="AJ355" s="1919">
        <f t="shared" si="162"/>
        <v>0.26333769818729741</v>
      </c>
      <c r="AK355" s="1920">
        <f t="shared" ca="1" si="162"/>
        <v>0.50721092450095828</v>
      </c>
      <c r="AL355" s="1920">
        <f t="shared" ca="1" si="162"/>
        <v>0.47380314597583428</v>
      </c>
      <c r="AM355" s="1918">
        <f t="shared" ca="1" si="162"/>
        <v>0.38359469267134372</v>
      </c>
      <c r="AN355" s="1920">
        <f t="shared" ca="1" si="162"/>
        <v>0.43371653319433889</v>
      </c>
      <c r="AO355" s="1920">
        <f t="shared" ca="1" si="162"/>
        <v>0.46491766737367396</v>
      </c>
      <c r="AP355" s="1920">
        <f t="shared" ca="1" si="162"/>
        <v>0.39496351067951935</v>
      </c>
      <c r="AQ355" s="1920"/>
      <c r="AR355" s="1921"/>
      <c r="AS355" s="1921"/>
      <c r="AT355" s="1922"/>
      <c r="AU355" s="1922"/>
      <c r="AV355" s="1922"/>
      <c r="AW355" s="1922"/>
      <c r="AX355" s="1922"/>
      <c r="AY355" s="1922"/>
      <c r="AZ355" s="1922"/>
      <c r="BA355" s="1922"/>
      <c r="BB355" s="1922"/>
      <c r="BC355" s="1922"/>
      <c r="BD355" s="1922">
        <f t="shared" ref="BD355:BK355" si="163">BD352/BD223</f>
        <v>0.79740952138070842</v>
      </c>
      <c r="BE355" s="1922">
        <f t="shared" si="163"/>
        <v>1.1533185866397511</v>
      </c>
      <c r="BF355" s="1923">
        <f t="shared" si="163"/>
        <v>0.99457008842633232</v>
      </c>
      <c r="BG355" s="1922">
        <f t="shared" ca="1" si="163"/>
        <v>1.3198621446451684</v>
      </c>
      <c r="BH355" s="1922">
        <f t="shared" ca="1" si="163"/>
        <v>1.6771940603698032</v>
      </c>
      <c r="BI355" s="1922">
        <f t="shared" ca="1" si="163"/>
        <v>2.1863634400768994</v>
      </c>
      <c r="BJ355" s="1922">
        <f t="shared" ca="1" si="163"/>
        <v>2.1649410761718402</v>
      </c>
      <c r="BK355" s="1922">
        <f t="shared" ca="1" si="163"/>
        <v>2.4878456204887622</v>
      </c>
      <c r="BL355" s="1772"/>
    </row>
    <row r="356" spans="1:64" s="1773" customFormat="1" collapsed="1" x14ac:dyDescent="0.35">
      <c r="A356" s="1529" t="s">
        <v>1129</v>
      </c>
      <c r="B356" s="1767"/>
      <c r="C356" s="1918"/>
      <c r="D356" s="1918"/>
      <c r="E356" s="1918"/>
      <c r="F356" s="1918"/>
      <c r="G356" s="1918"/>
      <c r="H356" s="1918"/>
      <c r="I356" s="1918"/>
      <c r="J356" s="1918"/>
      <c r="K356" s="1918"/>
      <c r="L356" s="1918"/>
      <c r="M356" s="1918"/>
      <c r="N356" s="1918"/>
      <c r="O356" s="1918"/>
      <c r="P356" s="1918"/>
      <c r="Q356" s="1918"/>
      <c r="R356" s="1918"/>
      <c r="S356" s="1918"/>
      <c r="T356" s="1918"/>
      <c r="U356" s="1918"/>
      <c r="V356" s="1918"/>
      <c r="W356" s="1918"/>
      <c r="X356" s="1918"/>
      <c r="Y356" s="1918">
        <f t="shared" ref="Y356:AP356" si="164">Y354/Y223</f>
        <v>-7.1160989304136557E-2</v>
      </c>
      <c r="Z356" s="1918">
        <f t="shared" si="164"/>
        <v>0.2977108404693305</v>
      </c>
      <c r="AA356" s="1918">
        <f t="shared" si="164"/>
        <v>3.473256469613157E-2</v>
      </c>
      <c r="AB356" s="1918">
        <f t="shared" si="164"/>
        <v>0.30030833192149642</v>
      </c>
      <c r="AC356" s="1918">
        <f t="shared" si="164"/>
        <v>0.406775641860112</v>
      </c>
      <c r="AD356" s="1918">
        <f t="shared" si="164"/>
        <v>0.32594557726077811</v>
      </c>
      <c r="AE356" s="1918">
        <f t="shared" si="164"/>
        <v>0.11832154728925877</v>
      </c>
      <c r="AF356" s="1918">
        <f t="shared" si="164"/>
        <v>0.22874396978259998</v>
      </c>
      <c r="AG356" s="1918">
        <f t="shared" si="164"/>
        <v>0.34999901923821108</v>
      </c>
      <c r="AH356" s="1918">
        <f t="shared" si="164"/>
        <v>0.34720896212187929</v>
      </c>
      <c r="AI356" s="1918">
        <f t="shared" si="164"/>
        <v>4.0698276074639994E-2</v>
      </c>
      <c r="AJ356" s="1919">
        <f t="shared" si="164"/>
        <v>0.17776803602664934</v>
      </c>
      <c r="AK356" s="1920">
        <f t="shared" ca="1" si="164"/>
        <v>0.35660587794109527</v>
      </c>
      <c r="AL356" s="1920">
        <f t="shared" ca="1" si="164"/>
        <v>0.59612332421410286</v>
      </c>
      <c r="AM356" s="1918">
        <f t="shared" ca="1" si="164"/>
        <v>0.39549282954394183</v>
      </c>
      <c r="AN356" s="1920">
        <f t="shared" ca="1" si="164"/>
        <v>0.41878868684251386</v>
      </c>
      <c r="AO356" s="1920">
        <f t="shared" ca="1" si="164"/>
        <v>0.3006784753466305</v>
      </c>
      <c r="AP356" s="1920">
        <f t="shared" ca="1" si="164"/>
        <v>0.51867264446781336</v>
      </c>
      <c r="AQ356" s="1920"/>
      <c r="AR356" s="1921"/>
      <c r="AS356" s="1921"/>
      <c r="AT356" s="1922"/>
      <c r="AU356" s="1922"/>
      <c r="AV356" s="1922"/>
      <c r="AW356" s="1922"/>
      <c r="AX356" s="1922"/>
      <c r="AY356" s="1922"/>
      <c r="AZ356" s="1922"/>
      <c r="BA356" s="1922"/>
      <c r="BB356" s="1922"/>
      <c r="BC356" s="1922"/>
      <c r="BD356" s="1922">
        <f t="shared" ref="BD356:BK356" si="165">BD354/BD223</f>
        <v>0.76043257967394817</v>
      </c>
      <c r="BE356" s="1922">
        <f t="shared" si="165"/>
        <v>1.0545889970429063</v>
      </c>
      <c r="BF356" s="1923">
        <f t="shared" si="165"/>
        <v>1.0575810004947084</v>
      </c>
      <c r="BG356" s="1922">
        <f t="shared" ca="1" si="165"/>
        <v>1.1696013364697231</v>
      </c>
      <c r="BH356" s="1922">
        <f t="shared" ca="1" si="165"/>
        <v>1.633643641600514</v>
      </c>
      <c r="BI356" s="1922">
        <f t="shared" ca="1" si="165"/>
        <v>2.1315781956633493</v>
      </c>
      <c r="BJ356" s="1922">
        <f t="shared" ca="1" si="165"/>
        <v>2.120463709279651</v>
      </c>
      <c r="BK356" s="1922">
        <f t="shared" ca="1" si="165"/>
        <v>2.4405292149338496</v>
      </c>
      <c r="BL356" s="1772"/>
    </row>
    <row r="357" spans="1:64" s="1782" customFormat="1" x14ac:dyDescent="0.35">
      <c r="A357" s="1755" t="s">
        <v>1130</v>
      </c>
      <c r="B357" s="1774"/>
      <c r="C357" s="1775"/>
      <c r="D357" s="1924"/>
      <c r="E357" s="1775"/>
      <c r="F357" s="1775"/>
      <c r="G357" s="1775"/>
      <c r="H357" s="1924"/>
      <c r="I357" s="1775"/>
      <c r="J357" s="1775"/>
      <c r="K357" s="1775"/>
      <c r="L357" s="1924"/>
      <c r="M357" s="1775"/>
      <c r="N357" s="1775"/>
      <c r="O357" s="1775"/>
      <c r="P357" s="1924"/>
      <c r="Q357" s="1775"/>
      <c r="R357" s="1775"/>
      <c r="S357" s="1775"/>
      <c r="T357" s="1924"/>
      <c r="U357" s="1775"/>
      <c r="V357" s="1775"/>
      <c r="W357" s="1775"/>
      <c r="X357" s="1924"/>
      <c r="Y357" s="1775"/>
      <c r="Z357" s="1775"/>
      <c r="AA357" s="1775"/>
      <c r="AB357" s="1924"/>
      <c r="AC357" s="1775"/>
      <c r="AD357" s="1775"/>
      <c r="AE357" s="1775"/>
      <c r="AF357" s="1924"/>
      <c r="AG357" s="1775"/>
      <c r="AH357" s="1775"/>
      <c r="AI357" s="1775"/>
      <c r="AJ357" s="1925"/>
      <c r="AK357" s="1778" t="str">
        <f t="shared" ref="AK357:AP357" ca="1" si="166">IFERROR(VLOOKUP($A357,tb_ConsensusEstimate,MATCH(AK$5,OFFSET(tb_ConsensusEstimate,0,0,1,COLUMNS(tb_ConsensusEstimate)),0),FALSE),"-")</f>
        <v>N/A</v>
      </c>
      <c r="AL357" s="1778" t="str">
        <f t="shared" ca="1" si="166"/>
        <v>N/A</v>
      </c>
      <c r="AM357" s="1778" t="str">
        <f t="shared" ca="1" si="166"/>
        <v>N/A</v>
      </c>
      <c r="AN357" s="1778" t="str">
        <f t="shared" ca="1" si="166"/>
        <v>N/A</v>
      </c>
      <c r="AO357" s="1778" t="str">
        <f t="shared" ca="1" si="166"/>
        <v>N/A</v>
      </c>
      <c r="AP357" s="1778" t="str">
        <f t="shared" ca="1" si="166"/>
        <v>N/A</v>
      </c>
      <c r="AQ357" s="1778"/>
      <c r="AR357" s="1779"/>
      <c r="AS357" s="1779"/>
      <c r="AT357" s="1779"/>
      <c r="AU357" s="1779"/>
      <c r="AV357" s="1779"/>
      <c r="AW357" s="1779"/>
      <c r="AX357" s="1779"/>
      <c r="AY357" s="1779"/>
      <c r="AZ357" s="1779"/>
      <c r="BA357" s="1779"/>
      <c r="BB357" s="1779"/>
      <c r="BC357" s="1779"/>
      <c r="BD357" s="1779"/>
      <c r="BE357" s="1779"/>
      <c r="BF357" s="1780"/>
      <c r="BG357" s="1781" t="str">
        <f ca="1">IFERROR(VLOOKUP($A357,tb_ConsensusEstimate,MATCH(BG$5,OFFSET(tb_ConsensusEstimate,0,0,1,COLUMNS(tb_ConsensusEstimate)),0),FALSE),"-")</f>
        <v>N/A</v>
      </c>
      <c r="BH357" s="1781" t="str">
        <f ca="1">IFERROR(VLOOKUP($A357,tb_ConsensusEstimate,MATCH(BH$5,OFFSET(tb_ConsensusEstimate,0,0,1,COLUMNS(tb_ConsensusEstimate)),0),FALSE),"-")</f>
        <v>N/A</v>
      </c>
      <c r="BI357" s="1781" t="str">
        <f ca="1">IFERROR(VLOOKUP($A357,tb_ConsensusEstimate,MATCH(BI$5,OFFSET(tb_ConsensusEstimate,0,0,1,COLUMNS(tb_ConsensusEstimate)),0),FALSE),"-")</f>
        <v>N/A</v>
      </c>
      <c r="BJ357" s="1781" t="str">
        <f ca="1">IFERROR(VLOOKUP($A357,tb_ConsensusEstimate,MATCH(BJ$5,OFFSET(tb_ConsensusEstimate,0,0,1,COLUMNS(tb_ConsensusEstimate)),0),FALSE),"-")</f>
        <v>N/A</v>
      </c>
      <c r="BK357" s="1781" t="str">
        <f ca="1">IFERROR(VLOOKUP($A357,tb_ConsensusEstimate,MATCH(BK$5,OFFSET(tb_ConsensusEstimate,0,0,1,COLUMNS(tb_ConsensusEstimate)),0),FALSE),"-")</f>
        <v>N/A</v>
      </c>
      <c r="BL357" s="1775"/>
    </row>
    <row r="358" spans="1:64" s="1608" customFormat="1" x14ac:dyDescent="0.35">
      <c r="A358" s="1926" t="s">
        <v>40</v>
      </c>
      <c r="B358" s="1712"/>
      <c r="C358" s="1667"/>
      <c r="D358" s="1667"/>
      <c r="E358" s="1667"/>
      <c r="F358" s="1667"/>
      <c r="G358" s="1667"/>
      <c r="H358" s="1667"/>
      <c r="I358" s="1667"/>
      <c r="J358" s="1667"/>
      <c r="K358" s="1667"/>
      <c r="L358" s="1667"/>
      <c r="M358" s="1667"/>
      <c r="N358" s="1667"/>
      <c r="O358" s="1667"/>
      <c r="P358" s="1667"/>
      <c r="Q358" s="1667"/>
      <c r="R358" s="1667"/>
      <c r="S358" s="1607">
        <f t="shared" ref="S358:AJ358" si="167">S519+S520</f>
        <v>0</v>
      </c>
      <c r="T358" s="1607">
        <f t="shared" si="167"/>
        <v>-9.5459999999999994</v>
      </c>
      <c r="U358" s="1607">
        <f t="shared" si="167"/>
        <v>-3.5389999999999997</v>
      </c>
      <c r="V358" s="1607">
        <f t="shared" si="167"/>
        <v>-3.4170000000000007</v>
      </c>
      <c r="W358" s="1607">
        <f t="shared" si="167"/>
        <v>-4.1849999999999996</v>
      </c>
      <c r="X358" s="1607">
        <f t="shared" si="167"/>
        <v>-5.1099999999999994</v>
      </c>
      <c r="Y358" s="1607">
        <f t="shared" si="167"/>
        <v>-5.3109999999999999</v>
      </c>
      <c r="Z358" s="1607">
        <f t="shared" si="167"/>
        <v>-4.4879999999999995</v>
      </c>
      <c r="AA358" s="1607">
        <f t="shared" si="167"/>
        <v>-5.2370000000000001</v>
      </c>
      <c r="AB358" s="1607">
        <f t="shared" si="167"/>
        <v>-5.6449999999999996</v>
      </c>
      <c r="AC358" s="1607">
        <f t="shared" si="167"/>
        <v>-4.8149999999999995</v>
      </c>
      <c r="AD358" s="1607">
        <f t="shared" si="167"/>
        <v>-4.49</v>
      </c>
      <c r="AE358" s="1607">
        <f t="shared" si="167"/>
        <v>-4.26</v>
      </c>
      <c r="AF358" s="1607">
        <f t="shared" si="167"/>
        <v>-4.9220000000000006</v>
      </c>
      <c r="AG358" s="1607">
        <f t="shared" si="167"/>
        <v>-5.5590000000000002</v>
      </c>
      <c r="AH358" s="1607">
        <f t="shared" si="167"/>
        <v>-5.6209999999999987</v>
      </c>
      <c r="AI358" s="1607">
        <f t="shared" si="167"/>
        <v>-5.62</v>
      </c>
      <c r="AJ358" s="1730">
        <f t="shared" si="167"/>
        <v>-5.7280000000000006</v>
      </c>
      <c r="AK358" s="1677">
        <v>-5</v>
      </c>
      <c r="AL358" s="1677">
        <v>-5</v>
      </c>
      <c r="AM358" s="1677">
        <v>-5</v>
      </c>
      <c r="AN358" s="1677">
        <v>-5</v>
      </c>
      <c r="AO358" s="1677">
        <v>-5</v>
      </c>
      <c r="AP358" s="1677">
        <v>-5</v>
      </c>
      <c r="AQ358" s="1927"/>
      <c r="AR358" s="1669"/>
      <c r="AS358" s="1669"/>
      <c r="AT358" s="1669"/>
      <c r="AU358" s="1669"/>
      <c r="AV358" s="1669"/>
      <c r="AW358" s="1669"/>
      <c r="AX358" s="1669"/>
      <c r="AY358" s="1669"/>
      <c r="AZ358" s="1669"/>
      <c r="BA358" s="1669"/>
      <c r="BB358" s="1731">
        <f t="shared" ref="BB358:BH358" si="168">BB519+BB520</f>
        <v>-31.882999999999999</v>
      </c>
      <c r="BC358" s="1731">
        <f t="shared" si="168"/>
        <v>-16.502000000000002</v>
      </c>
      <c r="BD358" s="1731">
        <f t="shared" si="168"/>
        <v>-19.094000000000001</v>
      </c>
      <c r="BE358" s="1731">
        <f t="shared" si="168"/>
        <v>-20.187000000000001</v>
      </c>
      <c r="BF358" s="1606">
        <f t="shared" si="168"/>
        <v>-20.361999999999998</v>
      </c>
      <c r="BG358" s="1669">
        <f t="shared" si="168"/>
        <v>-21.347999999999999</v>
      </c>
      <c r="BH358" s="1669">
        <f t="shared" si="168"/>
        <v>-20</v>
      </c>
      <c r="BI358" s="1714">
        <v>-20</v>
      </c>
      <c r="BJ358" s="1714">
        <v>-20</v>
      </c>
      <c r="BK358" s="1714">
        <v>-20</v>
      </c>
      <c r="BL358" s="1607"/>
    </row>
    <row r="359" spans="1:64" s="1754" customFormat="1" x14ac:dyDescent="0.35">
      <c r="A359" s="1745" t="str">
        <f>CONCATENATE("Consensus Estimates - ",IFERROR(LEFT(A358,FIND("(",A358)-1),A358))</f>
        <v>Consensus Estimates - Capex</v>
      </c>
      <c r="B359" s="1746"/>
      <c r="C359" s="1747"/>
      <c r="D359" s="1748"/>
      <c r="E359" s="1747"/>
      <c r="F359" s="1747"/>
      <c r="G359" s="1747"/>
      <c r="H359" s="1748"/>
      <c r="I359" s="1747"/>
      <c r="J359" s="1747"/>
      <c r="K359" s="1747"/>
      <c r="L359" s="1748"/>
      <c r="M359" s="1747"/>
      <c r="N359" s="1747"/>
      <c r="O359" s="1747"/>
      <c r="P359" s="1748"/>
      <c r="Q359" s="1747"/>
      <c r="R359" s="1747"/>
      <c r="S359" s="1747"/>
      <c r="T359" s="1748"/>
      <c r="U359" s="1747"/>
      <c r="V359" s="1747"/>
      <c r="W359" s="1747"/>
      <c r="X359" s="1748"/>
      <c r="Y359" s="1747"/>
      <c r="Z359" s="1747"/>
      <c r="AA359" s="1747"/>
      <c r="AB359" s="1748"/>
      <c r="AC359" s="1747"/>
      <c r="AD359" s="1747"/>
      <c r="AE359" s="1747"/>
      <c r="AF359" s="1748"/>
      <c r="AG359" s="1747"/>
      <c r="AH359" s="1747"/>
      <c r="AI359" s="1747"/>
      <c r="AJ359" s="1749"/>
      <c r="AK359" s="1750" t="str">
        <f t="shared" ref="AK359:AP359" ca="1" si="169">IFERROR(VLOOKUP($A359,tb_ConsensusEstimate,MATCH(AK$5,OFFSET(tb_ConsensusEstimate,0,0,1,COLUMNS(tb_ConsensusEstimate)),0),FALSE),"-")</f>
        <v>N/A</v>
      </c>
      <c r="AL359" s="1750" t="str">
        <f t="shared" ca="1" si="169"/>
        <v>N/A</v>
      </c>
      <c r="AM359" s="1750" t="str">
        <f t="shared" ca="1" si="169"/>
        <v>N/A</v>
      </c>
      <c r="AN359" s="1750" t="str">
        <f t="shared" ca="1" si="169"/>
        <v>N/A</v>
      </c>
      <c r="AO359" s="1750" t="str">
        <f t="shared" ca="1" si="169"/>
        <v>N/A</v>
      </c>
      <c r="AP359" s="1750" t="str">
        <f t="shared" ca="1" si="169"/>
        <v>N/A</v>
      </c>
      <c r="AQ359" s="1750"/>
      <c r="AR359" s="1751"/>
      <c r="AS359" s="1751"/>
      <c r="AT359" s="1751"/>
      <c r="AU359" s="1751"/>
      <c r="AV359" s="1751"/>
      <c r="AW359" s="1751"/>
      <c r="AX359" s="1751"/>
      <c r="AY359" s="1751"/>
      <c r="AZ359" s="1751"/>
      <c r="BA359" s="1751"/>
      <c r="BB359" s="1751"/>
      <c r="BC359" s="1751"/>
      <c r="BD359" s="1751"/>
      <c r="BE359" s="1751"/>
      <c r="BF359" s="1752"/>
      <c r="BG359" s="1753" t="str">
        <f ca="1">IFERROR(VLOOKUP($A359,tb_ConsensusEstimate,MATCH(BG$5,OFFSET(tb_ConsensusEstimate,0,0,1,COLUMNS(tb_ConsensusEstimate)),0),FALSE),"-")</f>
        <v>N/A</v>
      </c>
      <c r="BH359" s="1753" t="str">
        <f ca="1">IFERROR(VLOOKUP($A359,tb_ConsensusEstimate,MATCH(BH$5,OFFSET(tb_ConsensusEstimate,0,0,1,COLUMNS(tb_ConsensusEstimate)),0),FALSE),"-")</f>
        <v>N/A</v>
      </c>
      <c r="BI359" s="1753" t="str">
        <f ca="1">IFERROR(VLOOKUP($A359,tb_ConsensusEstimate,MATCH(BI$5,OFFSET(tb_ConsensusEstimate,0,0,1,COLUMNS(tb_ConsensusEstimate)),0),FALSE),"-")</f>
        <v>N/A</v>
      </c>
      <c r="BJ359" s="1753" t="str">
        <f ca="1">IFERROR(VLOOKUP($A359,tb_ConsensusEstimate,MATCH(BJ$5,OFFSET(tb_ConsensusEstimate,0,0,1,COLUMNS(tb_ConsensusEstimate)),0),FALSE),"-")</f>
        <v>N/A</v>
      </c>
      <c r="BK359" s="1753" t="str">
        <f ca="1">IFERROR(VLOOKUP($A359,tb_ConsensusEstimate,MATCH(BK$5,OFFSET(tb_ConsensusEstimate,0,0,1,COLUMNS(tb_ConsensusEstimate)),0),FALSE),"-")</f>
        <v>N/A</v>
      </c>
      <c r="BL359" s="1747"/>
    </row>
    <row r="360" spans="1:64" s="1518" customFormat="1" x14ac:dyDescent="0.35">
      <c r="A360" s="1517" t="s">
        <v>1131</v>
      </c>
      <c r="B360" s="1716"/>
      <c r="C360" s="1515"/>
      <c r="D360" s="1515"/>
      <c r="E360" s="1515"/>
      <c r="F360" s="1515"/>
      <c r="G360" s="1515"/>
      <c r="H360" s="1515"/>
      <c r="I360" s="1515"/>
      <c r="J360" s="1515"/>
      <c r="K360" s="1515"/>
      <c r="L360" s="1515"/>
      <c r="M360" s="1515"/>
      <c r="N360" s="1515"/>
      <c r="O360" s="1515"/>
      <c r="P360" s="1515"/>
      <c r="Q360" s="1515"/>
      <c r="R360" s="1515"/>
      <c r="S360" s="1517">
        <f t="shared" ref="S360:AJ360" si="170">S523</f>
        <v>0</v>
      </c>
      <c r="T360" s="1517">
        <f t="shared" si="170"/>
        <v>0</v>
      </c>
      <c r="U360" s="1517">
        <f t="shared" si="170"/>
        <v>0</v>
      </c>
      <c r="V360" s="1517">
        <f t="shared" si="170"/>
        <v>0</v>
      </c>
      <c r="W360" s="1517">
        <f t="shared" si="170"/>
        <v>0</v>
      </c>
      <c r="X360" s="1517">
        <f t="shared" si="170"/>
        <v>0</v>
      </c>
      <c r="Y360" s="1517">
        <f t="shared" si="170"/>
        <v>0</v>
      </c>
      <c r="Z360" s="1517">
        <f t="shared" si="170"/>
        <v>-66.322999999999993</v>
      </c>
      <c r="AA360" s="1517">
        <f t="shared" si="170"/>
        <v>0</v>
      </c>
      <c r="AB360" s="1517">
        <f t="shared" si="170"/>
        <v>0</v>
      </c>
      <c r="AC360" s="1517">
        <f t="shared" si="170"/>
        <v>0</v>
      </c>
      <c r="AD360" s="1517">
        <f t="shared" si="170"/>
        <v>0</v>
      </c>
      <c r="AE360" s="1517">
        <f t="shared" si="170"/>
        <v>-48.802</v>
      </c>
      <c r="AF360" s="1517">
        <f t="shared" si="170"/>
        <v>0.16100000000000136</v>
      </c>
      <c r="AG360" s="1517">
        <f t="shared" si="170"/>
        <v>-0.56900000000000261</v>
      </c>
      <c r="AH360" s="1517">
        <f t="shared" si="170"/>
        <v>0</v>
      </c>
      <c r="AI360" s="1517">
        <f t="shared" si="170"/>
        <v>-70.478999999999999</v>
      </c>
      <c r="AJ360" s="1732">
        <f t="shared" si="170"/>
        <v>4.2000000000001592E-2</v>
      </c>
      <c r="AK360" s="1593">
        <v>0</v>
      </c>
      <c r="AL360" s="1593">
        <v>0</v>
      </c>
      <c r="AM360" s="1593">
        <v>0</v>
      </c>
      <c r="AN360" s="1593">
        <v>0</v>
      </c>
      <c r="AO360" s="1593">
        <v>0</v>
      </c>
      <c r="AP360" s="1593">
        <v>0</v>
      </c>
      <c r="AQ360" s="1757"/>
      <c r="AR360" s="1595"/>
      <c r="AS360" s="1595"/>
      <c r="AT360" s="1595"/>
      <c r="AU360" s="1595"/>
      <c r="AV360" s="1595"/>
      <c r="AW360" s="1595"/>
      <c r="AX360" s="1595"/>
      <c r="AY360" s="1595"/>
      <c r="AZ360" s="1595"/>
      <c r="BA360" s="1595"/>
      <c r="BB360" s="1733">
        <f t="shared" ref="BB360:BH360" si="171">BB523</f>
        <v>0</v>
      </c>
      <c r="BC360" s="1733">
        <f t="shared" si="171"/>
        <v>0</v>
      </c>
      <c r="BD360" s="1733">
        <f t="shared" si="171"/>
        <v>-66.322999999999993</v>
      </c>
      <c r="BE360" s="1733">
        <f t="shared" si="171"/>
        <v>0</v>
      </c>
      <c r="BF360" s="1734">
        <f t="shared" si="171"/>
        <v>-49.21</v>
      </c>
      <c r="BG360" s="1595">
        <f t="shared" si="171"/>
        <v>-70.436999999999998</v>
      </c>
      <c r="BH360" s="1595">
        <f t="shared" si="171"/>
        <v>0</v>
      </c>
      <c r="BI360" s="1596">
        <v>0</v>
      </c>
      <c r="BJ360" s="1596">
        <v>0</v>
      </c>
      <c r="BK360" s="1596">
        <v>0</v>
      </c>
      <c r="BL360" s="1517"/>
    </row>
    <row r="361" spans="1:64" s="1518" customFormat="1" x14ac:dyDescent="0.35">
      <c r="A361" s="1517" t="s">
        <v>1132</v>
      </c>
      <c r="B361" s="1716"/>
      <c r="C361" s="1515"/>
      <c r="D361" s="1515"/>
      <c r="E361" s="1515"/>
      <c r="F361" s="1515"/>
      <c r="G361" s="1515"/>
      <c r="H361" s="1515"/>
      <c r="I361" s="1515"/>
      <c r="J361" s="1515"/>
      <c r="K361" s="1515"/>
      <c r="L361" s="1515"/>
      <c r="M361" s="1515"/>
      <c r="N361" s="1515"/>
      <c r="O361" s="1515"/>
      <c r="P361" s="1515"/>
      <c r="Q361" s="1515"/>
      <c r="R361" s="1515"/>
      <c r="S361" s="1517">
        <f t="shared" ref="S361:AJ361" si="172">+S522</f>
        <v>0</v>
      </c>
      <c r="T361" s="1517">
        <f t="shared" si="172"/>
        <v>0</v>
      </c>
      <c r="U361" s="1517">
        <f t="shared" si="172"/>
        <v>0.23599999999999999</v>
      </c>
      <c r="V361" s="1517">
        <f t="shared" si="172"/>
        <v>0</v>
      </c>
      <c r="W361" s="1517">
        <f t="shared" si="172"/>
        <v>0</v>
      </c>
      <c r="X361" s="1517">
        <f t="shared" si="172"/>
        <v>0</v>
      </c>
      <c r="Y361" s="1517">
        <f t="shared" si="172"/>
        <v>7.0000000000000001E-3</v>
      </c>
      <c r="Z361" s="1517">
        <f t="shared" si="172"/>
        <v>3.4000000000000002E-2</v>
      </c>
      <c r="AA361" s="1517">
        <f t="shared" si="172"/>
        <v>4.0000000000000001E-3</v>
      </c>
      <c r="AB361" s="1517">
        <f t="shared" si="172"/>
        <v>4.9999999999999992E-3</v>
      </c>
      <c r="AC361" s="1517">
        <f t="shared" si="172"/>
        <v>1.6E-2</v>
      </c>
      <c r="AD361" s="1517">
        <f t="shared" si="172"/>
        <v>2.5999999999999995E-2</v>
      </c>
      <c r="AE361" s="1517">
        <f t="shared" si="172"/>
        <v>7.0000000000000001E-3</v>
      </c>
      <c r="AF361" s="1517">
        <f t="shared" si="172"/>
        <v>0.11799999999999999</v>
      </c>
      <c r="AG361" s="1517">
        <f t="shared" si="172"/>
        <v>-4.0000000000000036E-3</v>
      </c>
      <c r="AH361" s="1517">
        <f t="shared" si="172"/>
        <v>1.0000000000000009E-3</v>
      </c>
      <c r="AI361" s="1517">
        <f t="shared" si="172"/>
        <v>0</v>
      </c>
      <c r="AJ361" s="1732">
        <f t="shared" si="172"/>
        <v>3.0000000000000001E-3</v>
      </c>
      <c r="AK361" s="1593">
        <v>0</v>
      </c>
      <c r="AL361" s="1593">
        <v>0</v>
      </c>
      <c r="AM361" s="1593">
        <v>0</v>
      </c>
      <c r="AN361" s="1593">
        <v>0</v>
      </c>
      <c r="AO361" s="1593">
        <v>0</v>
      </c>
      <c r="AP361" s="1593">
        <v>0</v>
      </c>
      <c r="AQ361" s="1757"/>
      <c r="AR361" s="1595"/>
      <c r="AS361" s="1595"/>
      <c r="AT361" s="1595"/>
      <c r="AU361" s="1595"/>
      <c r="AV361" s="1595"/>
      <c r="AW361" s="1595"/>
      <c r="AX361" s="1595"/>
      <c r="AY361" s="1595"/>
      <c r="AZ361" s="1595"/>
      <c r="BA361" s="1595"/>
      <c r="BB361" s="1733">
        <f t="shared" ref="BB361:BH361" si="173">+BB522</f>
        <v>1.4E-2</v>
      </c>
      <c r="BC361" s="1733">
        <f t="shared" si="173"/>
        <v>0.23599999999999999</v>
      </c>
      <c r="BD361" s="1733">
        <f t="shared" si="173"/>
        <v>4.1000000000000002E-2</v>
      </c>
      <c r="BE361" s="1733">
        <f t="shared" si="173"/>
        <v>5.0999999999999997E-2</v>
      </c>
      <c r="BF361" s="1734">
        <f t="shared" si="173"/>
        <v>0.122</v>
      </c>
      <c r="BG361" s="1595">
        <f t="shared" si="173"/>
        <v>3.0000000000000001E-3</v>
      </c>
      <c r="BH361" s="1595">
        <f t="shared" si="173"/>
        <v>0</v>
      </c>
      <c r="BI361" s="1596">
        <v>0</v>
      </c>
      <c r="BJ361" s="1596">
        <v>0</v>
      </c>
      <c r="BK361" s="1596">
        <v>0</v>
      </c>
      <c r="BL361" s="1517"/>
    </row>
    <row r="362" spans="1:64" s="1518" customFormat="1" x14ac:dyDescent="0.35">
      <c r="A362" s="1517" t="s">
        <v>1133</v>
      </c>
      <c r="B362" s="1716"/>
      <c r="C362" s="1515"/>
      <c r="D362" s="1515"/>
      <c r="E362" s="1515"/>
      <c r="F362" s="1515"/>
      <c r="G362" s="1515"/>
      <c r="H362" s="1515"/>
      <c r="I362" s="1515"/>
      <c r="J362" s="1515"/>
      <c r="K362" s="1515"/>
      <c r="L362" s="1515"/>
      <c r="M362" s="1515"/>
      <c r="N362" s="1515"/>
      <c r="O362" s="1515"/>
      <c r="P362" s="1515"/>
      <c r="Q362" s="1515"/>
      <c r="R362" s="1515"/>
      <c r="S362" s="1517">
        <f t="shared" ref="S362:AJ362" si="174">S543</f>
        <v>0</v>
      </c>
      <c r="T362" s="1517">
        <f t="shared" si="174"/>
        <v>0</v>
      </c>
      <c r="U362" s="1517">
        <f t="shared" si="174"/>
        <v>0</v>
      </c>
      <c r="V362" s="1517">
        <f t="shared" si="174"/>
        <v>0</v>
      </c>
      <c r="W362" s="1517">
        <f t="shared" si="174"/>
        <v>0</v>
      </c>
      <c r="X362" s="1517">
        <f t="shared" si="174"/>
        <v>0</v>
      </c>
      <c r="Y362" s="1517">
        <f t="shared" si="174"/>
        <v>0</v>
      </c>
      <c r="Z362" s="1517">
        <f t="shared" si="174"/>
        <v>0</v>
      </c>
      <c r="AA362" s="1517">
        <f t="shared" si="174"/>
        <v>0</v>
      </c>
      <c r="AB362" s="1517">
        <f t="shared" si="174"/>
        <v>0</v>
      </c>
      <c r="AC362" s="1517">
        <f t="shared" si="174"/>
        <v>0</v>
      </c>
      <c r="AD362" s="1517">
        <f t="shared" si="174"/>
        <v>0</v>
      </c>
      <c r="AE362" s="1517">
        <f t="shared" si="174"/>
        <v>0</v>
      </c>
      <c r="AF362" s="1517">
        <f t="shared" si="174"/>
        <v>0</v>
      </c>
      <c r="AG362" s="1517">
        <f t="shared" si="174"/>
        <v>0</v>
      </c>
      <c r="AH362" s="1517">
        <f t="shared" si="174"/>
        <v>0</v>
      </c>
      <c r="AI362" s="1517">
        <f t="shared" si="174"/>
        <v>0</v>
      </c>
      <c r="AJ362" s="1732">
        <f t="shared" si="174"/>
        <v>0</v>
      </c>
      <c r="AK362" s="1515">
        <f t="shared" ref="AK362:AP362" ca="1" si="175">AK363*-AK222</f>
        <v>0</v>
      </c>
      <c r="AL362" s="1515">
        <f t="shared" ca="1" si="175"/>
        <v>0</v>
      </c>
      <c r="AM362" s="1515">
        <f t="shared" ca="1" si="175"/>
        <v>0</v>
      </c>
      <c r="AN362" s="1515">
        <f t="shared" ca="1" si="175"/>
        <v>0</v>
      </c>
      <c r="AO362" s="1515">
        <f t="shared" ca="1" si="175"/>
        <v>0</v>
      </c>
      <c r="AP362" s="1515">
        <f t="shared" ca="1" si="175"/>
        <v>0</v>
      </c>
      <c r="AQ362" s="1515"/>
      <c r="AR362" s="1595"/>
      <c r="AS362" s="1595"/>
      <c r="AT362" s="1595"/>
      <c r="AU362" s="1595"/>
      <c r="AV362" s="1595"/>
      <c r="AW362" s="1595"/>
      <c r="AX362" s="1595"/>
      <c r="AY362" s="1595"/>
      <c r="AZ362" s="1595"/>
      <c r="BA362" s="1595"/>
      <c r="BB362" s="1733">
        <f t="shared" ref="BB362:BH362" si="176">BB543</f>
        <v>0</v>
      </c>
      <c r="BC362" s="1733">
        <f t="shared" si="176"/>
        <v>0</v>
      </c>
      <c r="BD362" s="1733">
        <f t="shared" si="176"/>
        <v>0</v>
      </c>
      <c r="BE362" s="1733">
        <f t="shared" si="176"/>
        <v>0</v>
      </c>
      <c r="BF362" s="1734">
        <f t="shared" si="176"/>
        <v>0</v>
      </c>
      <c r="BG362" s="1595">
        <f t="shared" ca="1" si="176"/>
        <v>0</v>
      </c>
      <c r="BH362" s="1595">
        <f t="shared" ca="1" si="176"/>
        <v>0</v>
      </c>
      <c r="BI362" s="1595">
        <f ca="1">BI363*-BI222</f>
        <v>0</v>
      </c>
      <c r="BJ362" s="1595">
        <f ca="1">BJ363*-BJ222</f>
        <v>0</v>
      </c>
      <c r="BK362" s="1595">
        <f ca="1">BK363*-BK222</f>
        <v>0</v>
      </c>
      <c r="BL362" s="1517"/>
    </row>
    <row r="363" spans="1:64" s="1939" customFormat="1" x14ac:dyDescent="0.35">
      <c r="A363" s="1928" t="s">
        <v>1134</v>
      </c>
      <c r="B363" s="1929"/>
      <c r="C363" s="1930"/>
      <c r="D363" s="1930"/>
      <c r="E363" s="1930"/>
      <c r="F363" s="1930"/>
      <c r="G363" s="1930"/>
      <c r="H363" s="1930"/>
      <c r="I363" s="1930"/>
      <c r="J363" s="1930"/>
      <c r="K363" s="1930"/>
      <c r="L363" s="1930"/>
      <c r="M363" s="1930"/>
      <c r="N363" s="1930"/>
      <c r="O363" s="1930"/>
      <c r="P363" s="1930"/>
      <c r="Q363" s="1930"/>
      <c r="R363" s="1930"/>
      <c r="S363" s="1931">
        <v>0</v>
      </c>
      <c r="T363" s="1931">
        <v>0</v>
      </c>
      <c r="U363" s="1931">
        <v>0</v>
      </c>
      <c r="V363" s="1931">
        <v>0</v>
      </c>
      <c r="W363" s="1931">
        <v>0</v>
      </c>
      <c r="X363" s="1931">
        <v>0</v>
      </c>
      <c r="Y363" s="1931">
        <v>0</v>
      </c>
      <c r="Z363" s="1931">
        <v>0</v>
      </c>
      <c r="AA363" s="1931">
        <v>0</v>
      </c>
      <c r="AB363" s="1931">
        <v>0</v>
      </c>
      <c r="AC363" s="1931">
        <v>0</v>
      </c>
      <c r="AD363" s="1931">
        <v>0</v>
      </c>
      <c r="AE363" s="1931">
        <v>0</v>
      </c>
      <c r="AF363" s="1931">
        <v>0</v>
      </c>
      <c r="AG363" s="1931">
        <v>0</v>
      </c>
      <c r="AH363" s="1931">
        <v>0</v>
      </c>
      <c r="AI363" s="1931">
        <v>0</v>
      </c>
      <c r="AJ363" s="1932">
        <v>0</v>
      </c>
      <c r="AK363" s="1931">
        <v>0</v>
      </c>
      <c r="AL363" s="1931">
        <v>0</v>
      </c>
      <c r="AM363" s="1931">
        <v>0</v>
      </c>
      <c r="AN363" s="1931">
        <v>0</v>
      </c>
      <c r="AO363" s="1931">
        <v>0</v>
      </c>
      <c r="AP363" s="1931">
        <v>0</v>
      </c>
      <c r="AQ363" s="1933"/>
      <c r="AR363" s="1934"/>
      <c r="AS363" s="1934"/>
      <c r="AT363" s="1934"/>
      <c r="AU363" s="1934"/>
      <c r="AV363" s="1934"/>
      <c r="AW363" s="1934"/>
      <c r="AX363" s="1934"/>
      <c r="AY363" s="1934"/>
      <c r="AZ363" s="1934"/>
      <c r="BA363" s="1934"/>
      <c r="BB363" s="1935">
        <f>SUM(O363,P363,Q363,R363)</f>
        <v>0</v>
      </c>
      <c r="BC363" s="1935">
        <f>SUM(S363,T363,U363,V363)</f>
        <v>0</v>
      </c>
      <c r="BD363" s="1935">
        <f>SUM(W363,X363,Y363,Z363)</f>
        <v>0</v>
      </c>
      <c r="BE363" s="1935">
        <f>SUM(AA363,AB363,AC363,AD363)</f>
        <v>0</v>
      </c>
      <c r="BF363" s="1936">
        <f>SUM(AE363,AF363,AG363,AH363)</f>
        <v>0</v>
      </c>
      <c r="BG363" s="1934">
        <f>SUM(AI363,AJ363,AK363,AL363)</f>
        <v>0</v>
      </c>
      <c r="BH363" s="1934">
        <f>SUM(AM363,AN363,AO363,AP363)</f>
        <v>0</v>
      </c>
      <c r="BI363" s="1937">
        <v>0</v>
      </c>
      <c r="BJ363" s="1937">
        <v>0</v>
      </c>
      <c r="BK363" s="1937">
        <v>0</v>
      </c>
      <c r="BL363" s="1938"/>
    </row>
    <row r="364" spans="1:64" s="1939" customFormat="1" x14ac:dyDescent="0.35">
      <c r="A364" s="1940"/>
      <c r="B364" s="1929"/>
      <c r="C364" s="1930"/>
      <c r="D364" s="1930"/>
      <c r="E364" s="1930"/>
      <c r="F364" s="1930"/>
      <c r="G364" s="1930"/>
      <c r="H364" s="1930"/>
      <c r="I364" s="1930"/>
      <c r="J364" s="1930"/>
      <c r="K364" s="1930"/>
      <c r="L364" s="1930"/>
      <c r="M364" s="1930"/>
      <c r="N364" s="1930"/>
      <c r="O364" s="1930"/>
      <c r="P364" s="1930"/>
      <c r="Q364" s="1930"/>
      <c r="R364" s="1930"/>
      <c r="S364" s="1930"/>
      <c r="T364" s="1930"/>
      <c r="U364" s="1930"/>
      <c r="V364" s="1930"/>
      <c r="W364" s="1930"/>
      <c r="X364" s="1930"/>
      <c r="Y364" s="1930"/>
      <c r="Z364" s="1930"/>
      <c r="AA364" s="1930"/>
      <c r="AB364" s="1930"/>
      <c r="AC364" s="1930"/>
      <c r="AD364" s="1930"/>
      <c r="AE364" s="1930"/>
      <c r="AF364" s="1930"/>
      <c r="AG364" s="1930"/>
      <c r="AH364" s="1930"/>
      <c r="AI364" s="1930"/>
      <c r="AJ364" s="1941"/>
      <c r="AK364" s="1930"/>
      <c r="AL364" s="1930"/>
      <c r="AM364" s="1930"/>
      <c r="AN364" s="1930"/>
      <c r="AO364" s="1930"/>
      <c r="AP364" s="1930"/>
      <c r="AQ364" s="1930"/>
      <c r="AR364" s="1934"/>
      <c r="AS364" s="1934"/>
      <c r="AT364" s="1934"/>
      <c r="AU364" s="1934"/>
      <c r="AV364" s="1934"/>
      <c r="AW364" s="1934"/>
      <c r="AX364" s="1934"/>
      <c r="AY364" s="1934"/>
      <c r="AZ364" s="1934"/>
      <c r="BA364" s="1934"/>
      <c r="BB364" s="1934"/>
      <c r="BC364" s="1934"/>
      <c r="BD364" s="1934"/>
      <c r="BE364" s="1934"/>
      <c r="BF364" s="1942"/>
      <c r="BG364" s="1934"/>
      <c r="BH364" s="1934"/>
      <c r="BI364" s="1934"/>
      <c r="BJ364" s="1934"/>
      <c r="BK364" s="1934"/>
      <c r="BL364" s="1938"/>
    </row>
    <row r="365" spans="1:64" s="1518" customFormat="1" x14ac:dyDescent="0.35">
      <c r="A365" s="1943" t="s">
        <v>1135</v>
      </c>
      <c r="B365" s="1716"/>
      <c r="C365" s="1515"/>
      <c r="D365" s="1515"/>
      <c r="E365" s="1515"/>
      <c r="F365" s="1515"/>
      <c r="G365" s="1515"/>
      <c r="H365" s="1515"/>
      <c r="I365" s="1515"/>
      <c r="J365" s="1515"/>
      <c r="K365" s="1515"/>
      <c r="L365" s="1515"/>
      <c r="M365" s="1515"/>
      <c r="N365" s="1515"/>
      <c r="O365" s="1515"/>
      <c r="P365" s="1515"/>
      <c r="Q365" s="1515"/>
      <c r="R365" s="1515"/>
      <c r="S365" s="1517">
        <f t="shared" ref="S365:AJ365" si="177">S535+S537+S538</f>
        <v>0</v>
      </c>
      <c r="T365" s="1517">
        <f t="shared" si="177"/>
        <v>-3.230000000000004</v>
      </c>
      <c r="U365" s="1517">
        <f t="shared" si="177"/>
        <v>-1.6160000000000001</v>
      </c>
      <c r="V365" s="1517">
        <f t="shared" si="177"/>
        <v>-1.6150000000000002</v>
      </c>
      <c r="W365" s="1517">
        <f t="shared" si="177"/>
        <v>-1.615</v>
      </c>
      <c r="X365" s="1517">
        <f t="shared" si="177"/>
        <v>-8.3010000000000002</v>
      </c>
      <c r="Y365" s="1517">
        <f t="shared" si="177"/>
        <v>-1.6150000000000002</v>
      </c>
      <c r="Z365" s="1517">
        <f t="shared" si="177"/>
        <v>-101.616</v>
      </c>
      <c r="AA365" s="1517">
        <f t="shared" si="177"/>
        <v>-1.615</v>
      </c>
      <c r="AB365" s="1517">
        <f t="shared" si="177"/>
        <v>-1.6159999999999999</v>
      </c>
      <c r="AC365" s="1517">
        <f t="shared" si="177"/>
        <v>-1.6150000000000002</v>
      </c>
      <c r="AD365" s="1517">
        <f t="shared" si="177"/>
        <v>-299.99999999999989</v>
      </c>
      <c r="AE365" s="1517">
        <f t="shared" si="177"/>
        <v>-1.875</v>
      </c>
      <c r="AF365" s="1517">
        <f t="shared" si="177"/>
        <v>-1.875</v>
      </c>
      <c r="AG365" s="1517">
        <f t="shared" si="177"/>
        <v>-1.875</v>
      </c>
      <c r="AH365" s="1517">
        <f t="shared" si="177"/>
        <v>-1.875</v>
      </c>
      <c r="AI365" s="1517">
        <f t="shared" si="177"/>
        <v>61.25</v>
      </c>
      <c r="AJ365" s="1732">
        <f t="shared" si="177"/>
        <v>-3.75</v>
      </c>
      <c r="AK365" s="1593">
        <v>0</v>
      </c>
      <c r="AL365" s="1593">
        <v>0</v>
      </c>
      <c r="AM365" s="1593">
        <v>0</v>
      </c>
      <c r="AN365" s="1593">
        <v>0</v>
      </c>
      <c r="AO365" s="1593">
        <v>0</v>
      </c>
      <c r="AP365" s="1593">
        <v>0</v>
      </c>
      <c r="AQ365" s="1757"/>
      <c r="AR365" s="1595"/>
      <c r="AS365" s="1595"/>
      <c r="AT365" s="1595"/>
      <c r="AU365" s="1595"/>
      <c r="AV365" s="1595"/>
      <c r="AW365" s="1595"/>
      <c r="AX365" s="1595"/>
      <c r="AY365" s="1595"/>
      <c r="AZ365" s="1595"/>
      <c r="BA365" s="1595"/>
      <c r="BB365" s="1733">
        <f t="shared" ref="BB365:BH365" si="178">BB535+BB537+BB538</f>
        <v>-6.4610000000000003</v>
      </c>
      <c r="BC365" s="1733">
        <f t="shared" si="178"/>
        <v>-6.4609999999999985</v>
      </c>
      <c r="BD365" s="1733">
        <f t="shared" si="178"/>
        <v>-113.14700000000001</v>
      </c>
      <c r="BE365" s="1733">
        <f t="shared" si="178"/>
        <v>-304.84599999999989</v>
      </c>
      <c r="BF365" s="1734">
        <f t="shared" si="178"/>
        <v>-7.5</v>
      </c>
      <c r="BG365" s="1595">
        <f t="shared" si="178"/>
        <v>57.5</v>
      </c>
      <c r="BH365" s="1595">
        <f t="shared" si="178"/>
        <v>0</v>
      </c>
      <c r="BI365" s="1596">
        <v>0</v>
      </c>
      <c r="BJ365" s="1596">
        <v>0</v>
      </c>
      <c r="BK365" s="1596">
        <v>0</v>
      </c>
      <c r="BL365" s="1517"/>
    </row>
    <row r="366" spans="1:64" s="1518" customFormat="1" x14ac:dyDescent="0.35">
      <c r="A366" s="1943" t="s">
        <v>1136</v>
      </c>
      <c r="B366" s="1716"/>
      <c r="C366" s="1515"/>
      <c r="D366" s="1515"/>
      <c r="E366" s="1515"/>
      <c r="F366" s="1515"/>
      <c r="G366" s="1515"/>
      <c r="H366" s="1515"/>
      <c r="I366" s="1515"/>
      <c r="J366" s="1515"/>
      <c r="K366" s="1515"/>
      <c r="L366" s="1515"/>
      <c r="M366" s="1515"/>
      <c r="N366" s="1515"/>
      <c r="O366" s="1515"/>
      <c r="P366" s="1515"/>
      <c r="Q366" s="1515"/>
      <c r="R366" s="1515"/>
      <c r="S366" s="1515">
        <f t="shared" ref="S366:AJ366" si="179">+S527+S528+S532+S533+S534</f>
        <v>0</v>
      </c>
      <c r="T366" s="1515">
        <f t="shared" si="179"/>
        <v>1.2</v>
      </c>
      <c r="U366" s="1515">
        <f t="shared" si="179"/>
        <v>0</v>
      </c>
      <c r="V366" s="1515">
        <f t="shared" si="179"/>
        <v>2.0499999999999998</v>
      </c>
      <c r="W366" s="1515">
        <f t="shared" si="179"/>
        <v>2.2269999999999999</v>
      </c>
      <c r="X366" s="1515">
        <f t="shared" si="179"/>
        <v>0.20000000000000018</v>
      </c>
      <c r="Y366" s="1515">
        <f t="shared" si="179"/>
        <v>112.15</v>
      </c>
      <c r="Z366" s="1515">
        <f t="shared" si="179"/>
        <v>-1.7699999999999996</v>
      </c>
      <c r="AA366" s="1515">
        <f t="shared" si="179"/>
        <v>-0.155</v>
      </c>
      <c r="AB366" s="1515">
        <f t="shared" si="179"/>
        <v>0.74399999999999999</v>
      </c>
      <c r="AC366" s="1515">
        <f t="shared" si="179"/>
        <v>1.4769999999999999</v>
      </c>
      <c r="AD366" s="1515">
        <f t="shared" si="179"/>
        <v>-13.837</v>
      </c>
      <c r="AE366" s="1515">
        <f t="shared" si="179"/>
        <v>-7.7110000000000003</v>
      </c>
      <c r="AF366" s="1515">
        <f t="shared" si="179"/>
        <v>-17.02</v>
      </c>
      <c r="AG366" s="1515">
        <f t="shared" si="179"/>
        <v>-19.314</v>
      </c>
      <c r="AH366" s="1515">
        <f t="shared" si="179"/>
        <v>-18.356000000000002</v>
      </c>
      <c r="AI366" s="1515">
        <f t="shared" si="179"/>
        <v>-6.8319999999999999</v>
      </c>
      <c r="AJ366" s="1516">
        <f t="shared" si="179"/>
        <v>0</v>
      </c>
      <c r="AK366" s="1593">
        <v>0</v>
      </c>
      <c r="AL366" s="1593">
        <v>0</v>
      </c>
      <c r="AM366" s="1593">
        <v>0</v>
      </c>
      <c r="AN366" s="1593">
        <v>0</v>
      </c>
      <c r="AO366" s="1593">
        <v>0</v>
      </c>
      <c r="AP366" s="1593">
        <v>0</v>
      </c>
      <c r="AQ366" s="1757"/>
      <c r="AR366" s="1595"/>
      <c r="AS366" s="1595"/>
      <c r="AT366" s="1595"/>
      <c r="AU366" s="1595"/>
      <c r="AV366" s="1595"/>
      <c r="AW366" s="1595"/>
      <c r="AX366" s="1595"/>
      <c r="AY366" s="1595"/>
      <c r="AZ366" s="1595"/>
      <c r="BA366" s="1595"/>
      <c r="BB366" s="1595">
        <f t="shared" ref="BB366:BH366" si="180">+BB527+BB528+BB532+BB533+BB534</f>
        <v>0.13</v>
      </c>
      <c r="BC366" s="1595">
        <f t="shared" si="180"/>
        <v>3.25</v>
      </c>
      <c r="BD366" s="1595">
        <f t="shared" si="180"/>
        <v>112.80700000000002</v>
      </c>
      <c r="BE366" s="1595">
        <f t="shared" si="180"/>
        <v>-11.771000000000001</v>
      </c>
      <c r="BF366" s="1610">
        <f t="shared" si="180"/>
        <v>-62.401000000000003</v>
      </c>
      <c r="BG366" s="1595">
        <f t="shared" si="180"/>
        <v>-6.8319999999999999</v>
      </c>
      <c r="BH366" s="1595">
        <f t="shared" si="180"/>
        <v>0</v>
      </c>
      <c r="BI366" s="1596">
        <v>0</v>
      </c>
      <c r="BJ366" s="1596">
        <v>0</v>
      </c>
      <c r="BK366" s="1596">
        <v>0</v>
      </c>
      <c r="BL366" s="1517"/>
    </row>
    <row r="367" spans="1:64" s="1950" customFormat="1" x14ac:dyDescent="0.35">
      <c r="A367" s="1944" t="str">
        <f ca="1">CONCATENATE("Estimated Share Price for Issuance/Buybacks, ",HP.TradeCurrency)</f>
        <v>Estimated Share Price for Issuance/Buybacks, USD</v>
      </c>
      <c r="B367" s="1945"/>
      <c r="C367" s="1768"/>
      <c r="D367" s="1768"/>
      <c r="E367" s="1768"/>
      <c r="F367" s="1768"/>
      <c r="G367" s="1768"/>
      <c r="H367" s="1768"/>
      <c r="I367" s="1768"/>
      <c r="J367" s="1768"/>
      <c r="K367" s="1768"/>
      <c r="L367" s="1768"/>
      <c r="M367" s="1768"/>
      <c r="N367" s="1768"/>
      <c r="O367" s="1768"/>
      <c r="P367" s="1768"/>
      <c r="Q367" s="1768"/>
      <c r="R367" s="1768"/>
      <c r="S367" s="1768"/>
      <c r="T367" s="1768"/>
      <c r="U367" s="1768"/>
      <c r="V367" s="1768"/>
      <c r="W367" s="1768"/>
      <c r="X367" s="1768"/>
      <c r="Y367" s="1768"/>
      <c r="Z367" s="1768"/>
      <c r="AA367" s="1768"/>
      <c r="AB367" s="1768"/>
      <c r="AC367" s="1768"/>
      <c r="AD367" s="1768"/>
      <c r="AE367" s="1768"/>
      <c r="AF367" s="1768"/>
      <c r="AG367" s="1768"/>
      <c r="AH367" s="1768"/>
      <c r="AI367" s="1768"/>
      <c r="AJ367" s="1769"/>
      <c r="AK367" s="1946">
        <v>15</v>
      </c>
      <c r="AL367" s="1946">
        <v>15</v>
      </c>
      <c r="AM367" s="1946">
        <v>16</v>
      </c>
      <c r="AN367" s="1946">
        <v>16</v>
      </c>
      <c r="AO367" s="1946">
        <v>16</v>
      </c>
      <c r="AP367" s="1946">
        <v>16</v>
      </c>
      <c r="AQ367" s="1947"/>
      <c r="AR367" s="1770"/>
      <c r="AS367" s="1770"/>
      <c r="AT367" s="1770"/>
      <c r="AU367" s="1770"/>
      <c r="AV367" s="1770"/>
      <c r="AW367" s="1770"/>
      <c r="AX367" s="1770"/>
      <c r="AY367" s="1770"/>
      <c r="AZ367" s="1770"/>
      <c r="BA367" s="1770"/>
      <c r="BB367" s="1770"/>
      <c r="BC367" s="1770"/>
      <c r="BD367" s="1770"/>
      <c r="BE367" s="1770"/>
      <c r="BF367" s="1771"/>
      <c r="BG367" s="1770">
        <f>AVERAGE(AI367,AJ367,AK367,AL367)</f>
        <v>15</v>
      </c>
      <c r="BH367" s="1770">
        <f>AVERAGE(AM367,AN367,AO367,AP367)</f>
        <v>16</v>
      </c>
      <c r="BI367" s="1948">
        <v>18</v>
      </c>
      <c r="BJ367" s="1948">
        <v>20</v>
      </c>
      <c r="BK367" s="1948">
        <v>22</v>
      </c>
      <c r="BL367" s="1949"/>
    </row>
    <row r="368" spans="1:64" s="1518" customFormat="1" x14ac:dyDescent="0.35">
      <c r="A368" s="1745"/>
      <c r="B368" s="1716"/>
      <c r="C368" s="1515"/>
      <c r="D368" s="1515"/>
      <c r="E368" s="1515"/>
      <c r="F368" s="1515"/>
      <c r="G368" s="1515"/>
      <c r="H368" s="1515"/>
      <c r="I368" s="1515"/>
      <c r="J368" s="1515"/>
      <c r="K368" s="1515"/>
      <c r="L368" s="1515"/>
      <c r="M368" s="1515"/>
      <c r="N368" s="1515"/>
      <c r="O368" s="1515"/>
      <c r="P368" s="1515"/>
      <c r="Q368" s="1515"/>
      <c r="R368" s="1515"/>
      <c r="S368" s="1515"/>
      <c r="T368" s="1515"/>
      <c r="U368" s="1515"/>
      <c r="V368" s="1515"/>
      <c r="W368" s="1515"/>
      <c r="X368" s="1515"/>
      <c r="Y368" s="1515"/>
      <c r="Z368" s="1515"/>
      <c r="AA368" s="1515"/>
      <c r="AB368" s="1515"/>
      <c r="AC368" s="1515"/>
      <c r="AD368" s="1515"/>
      <c r="AE368" s="1515"/>
      <c r="AF368" s="1515"/>
      <c r="AG368" s="1515"/>
      <c r="AH368" s="1515"/>
      <c r="AI368" s="1515"/>
      <c r="AJ368" s="1516"/>
      <c r="AK368" s="1515"/>
      <c r="AL368" s="1515"/>
      <c r="AM368" s="1515"/>
      <c r="AN368" s="1515"/>
      <c r="AO368" s="1515"/>
      <c r="AP368" s="1515"/>
      <c r="AQ368" s="1515"/>
      <c r="AR368" s="1595"/>
      <c r="AS368" s="1595"/>
      <c r="AT368" s="1595"/>
      <c r="AU368" s="1595"/>
      <c r="AV368" s="1595"/>
      <c r="AW368" s="1595"/>
      <c r="AX368" s="1595"/>
      <c r="AY368" s="1595"/>
      <c r="AZ368" s="1595"/>
      <c r="BA368" s="1595"/>
      <c r="BB368" s="1595"/>
      <c r="BC368" s="1595"/>
      <c r="BD368" s="1595"/>
      <c r="BE368" s="1595"/>
      <c r="BF368" s="1610"/>
      <c r="BG368" s="1595"/>
      <c r="BH368" s="1595"/>
      <c r="BI368" s="1595"/>
      <c r="BJ368" s="1595"/>
      <c r="BK368" s="1595"/>
      <c r="BL368" s="1517"/>
    </row>
    <row r="369" spans="1:64" s="1518" customFormat="1" hidden="1" outlineLevel="1" x14ac:dyDescent="0.35">
      <c r="A369" s="1515" t="s">
        <v>1137</v>
      </c>
      <c r="B369" s="1716"/>
      <c r="C369" s="1515"/>
      <c r="D369" s="1515"/>
      <c r="E369" s="1515"/>
      <c r="F369" s="1515"/>
      <c r="G369" s="1515"/>
      <c r="H369" s="1515"/>
      <c r="I369" s="1515"/>
      <c r="J369" s="1515"/>
      <c r="K369" s="1515"/>
      <c r="L369" s="1515"/>
      <c r="M369" s="1515"/>
      <c r="N369" s="1515"/>
      <c r="O369" s="1515"/>
      <c r="P369" s="1515"/>
      <c r="Q369" s="1515"/>
      <c r="R369" s="1515"/>
      <c r="S369" s="1515">
        <f t="shared" ref="S369:AP369" si="181">S352+S358</f>
        <v>0</v>
      </c>
      <c r="T369" s="1515">
        <f t="shared" si="181"/>
        <v>-1.6689999999999978</v>
      </c>
      <c r="U369" s="1515">
        <f t="shared" si="181"/>
        <v>13.690000000000003</v>
      </c>
      <c r="V369" s="1515">
        <f t="shared" si="181"/>
        <v>6.3059999999999929</v>
      </c>
      <c r="W369" s="1515">
        <f t="shared" si="181"/>
        <v>16.335000000000001</v>
      </c>
      <c r="X369" s="1515">
        <f t="shared" si="181"/>
        <v>20.500999999999998</v>
      </c>
      <c r="Y369" s="1515">
        <f t="shared" si="181"/>
        <v>0.43700000000000205</v>
      </c>
      <c r="Z369" s="1515">
        <f t="shared" si="181"/>
        <v>15.573999999999998</v>
      </c>
      <c r="AA369" s="1515">
        <f t="shared" si="181"/>
        <v>27.654000000000003</v>
      </c>
      <c r="AB369" s="1515">
        <f t="shared" si="181"/>
        <v>30.819000000000006</v>
      </c>
      <c r="AC369" s="1515">
        <f t="shared" si="181"/>
        <v>29.328999999999994</v>
      </c>
      <c r="AD369" s="1515">
        <f t="shared" si="181"/>
        <v>6.0350000000000037</v>
      </c>
      <c r="AE369" s="1515">
        <f t="shared" si="181"/>
        <v>20.714999999999996</v>
      </c>
      <c r="AF369" s="1515">
        <f t="shared" si="181"/>
        <v>30.099000000000007</v>
      </c>
      <c r="AG369" s="1515">
        <f t="shared" si="181"/>
        <v>22.078999999999994</v>
      </c>
      <c r="AH369" s="1515">
        <f t="shared" si="181"/>
        <v>-2.1649999999999969</v>
      </c>
      <c r="AI369" s="1515">
        <f t="shared" si="181"/>
        <v>1.7020000000000008</v>
      </c>
      <c r="AJ369" s="1516">
        <f t="shared" si="181"/>
        <v>18.704000000000001</v>
      </c>
      <c r="AK369" s="1515">
        <f t="shared" si="181"/>
        <v>43.47034429352567</v>
      </c>
      <c r="AL369" s="1515">
        <f t="shared" ca="1" si="181"/>
        <v>40.283390624773503</v>
      </c>
      <c r="AM369" s="1515">
        <f t="shared" ca="1" si="181"/>
        <v>31.665449573742229</v>
      </c>
      <c r="AN369" s="1515">
        <f t="shared" ca="1" si="181"/>
        <v>36.460432644539424</v>
      </c>
      <c r="AO369" s="1515">
        <f t="shared" ca="1" si="181"/>
        <v>39.447499061623397</v>
      </c>
      <c r="AP369" s="1515">
        <f t="shared" ca="1" si="181"/>
        <v>32.763451502089794</v>
      </c>
      <c r="AQ369" s="1515"/>
      <c r="AR369" s="1595"/>
      <c r="AS369" s="1595"/>
      <c r="AT369" s="1595"/>
      <c r="AU369" s="1595"/>
      <c r="AV369" s="1595"/>
      <c r="AW369" s="1595"/>
      <c r="AX369" s="1595"/>
      <c r="AY369" s="1595"/>
      <c r="AZ369" s="1595"/>
      <c r="BA369" s="1595"/>
      <c r="BB369" s="1595">
        <f t="shared" ref="BB369:BK369" si="182">BB352+BB358</f>
        <v>16.035000000000007</v>
      </c>
      <c r="BC369" s="1595">
        <f t="shared" si="182"/>
        <v>18.326999999999991</v>
      </c>
      <c r="BD369" s="1595">
        <f t="shared" si="182"/>
        <v>52.847000000000001</v>
      </c>
      <c r="BE369" s="1595">
        <f t="shared" si="182"/>
        <v>93.836999999999989</v>
      </c>
      <c r="BF369" s="1610">
        <f t="shared" si="182"/>
        <v>70.728000000000009</v>
      </c>
      <c r="BG369" s="1595">
        <f t="shared" ca="1" si="182"/>
        <v>104.15973491829921</v>
      </c>
      <c r="BH369" s="1595">
        <f t="shared" ca="1" si="182"/>
        <v>140.33683278199484</v>
      </c>
      <c r="BI369" s="1595">
        <f t="shared" ca="1" si="182"/>
        <v>189.09595261050578</v>
      </c>
      <c r="BJ369" s="1595">
        <f t="shared" ca="1" si="182"/>
        <v>187.13001348874704</v>
      </c>
      <c r="BK369" s="1595">
        <f t="shared" ca="1" si="182"/>
        <v>218.11900730346304</v>
      </c>
      <c r="BL369" s="1515"/>
    </row>
    <row r="370" spans="1:64" s="1518" customFormat="1" hidden="1" outlineLevel="1" x14ac:dyDescent="0.35">
      <c r="A370" s="1515" t="s">
        <v>1138</v>
      </c>
      <c r="B370" s="1716"/>
      <c r="C370" s="1515"/>
      <c r="D370" s="1515"/>
      <c r="E370" s="1515"/>
      <c r="F370" s="1515"/>
      <c r="G370" s="1515"/>
      <c r="H370" s="1515"/>
      <c r="I370" s="1515"/>
      <c r="J370" s="1515"/>
      <c r="K370" s="1515"/>
      <c r="L370" s="1515"/>
      <c r="M370" s="1515"/>
      <c r="N370" s="1515"/>
      <c r="O370" s="1515"/>
      <c r="P370" s="1515"/>
      <c r="Q370" s="1515"/>
      <c r="R370" s="1515"/>
      <c r="S370" s="1515">
        <f t="shared" ref="S370:AP370" si="183">S369+S362</f>
        <v>0</v>
      </c>
      <c r="T370" s="1515">
        <f t="shared" si="183"/>
        <v>-1.6689999999999978</v>
      </c>
      <c r="U370" s="1515">
        <f t="shared" si="183"/>
        <v>13.690000000000003</v>
      </c>
      <c r="V370" s="1515">
        <f t="shared" si="183"/>
        <v>6.3059999999999929</v>
      </c>
      <c r="W370" s="1515">
        <f t="shared" si="183"/>
        <v>16.335000000000001</v>
      </c>
      <c r="X370" s="1515">
        <f t="shared" si="183"/>
        <v>20.500999999999998</v>
      </c>
      <c r="Y370" s="1515">
        <f t="shared" si="183"/>
        <v>0.43700000000000205</v>
      </c>
      <c r="Z370" s="1515">
        <f t="shared" si="183"/>
        <v>15.573999999999998</v>
      </c>
      <c r="AA370" s="1515">
        <f t="shared" si="183"/>
        <v>27.654000000000003</v>
      </c>
      <c r="AB370" s="1515">
        <f t="shared" si="183"/>
        <v>30.819000000000006</v>
      </c>
      <c r="AC370" s="1515">
        <f t="shared" si="183"/>
        <v>29.328999999999994</v>
      </c>
      <c r="AD370" s="1515">
        <f t="shared" si="183"/>
        <v>6.0350000000000037</v>
      </c>
      <c r="AE370" s="1515">
        <f t="shared" si="183"/>
        <v>20.714999999999996</v>
      </c>
      <c r="AF370" s="1515">
        <f t="shared" si="183"/>
        <v>30.099000000000007</v>
      </c>
      <c r="AG370" s="1515">
        <f t="shared" si="183"/>
        <v>22.078999999999994</v>
      </c>
      <c r="AH370" s="1515">
        <f t="shared" si="183"/>
        <v>-2.1649999999999969</v>
      </c>
      <c r="AI370" s="1515">
        <f t="shared" si="183"/>
        <v>1.7020000000000008</v>
      </c>
      <c r="AJ370" s="1516">
        <f t="shared" si="183"/>
        <v>18.704000000000001</v>
      </c>
      <c r="AK370" s="1515">
        <f t="shared" ca="1" si="183"/>
        <v>43.47034429352567</v>
      </c>
      <c r="AL370" s="1515">
        <f t="shared" ca="1" si="183"/>
        <v>40.283390624773503</v>
      </c>
      <c r="AM370" s="1515">
        <f t="shared" ca="1" si="183"/>
        <v>31.665449573742229</v>
      </c>
      <c r="AN370" s="1515">
        <f t="shared" ca="1" si="183"/>
        <v>36.460432644539424</v>
      </c>
      <c r="AO370" s="1515">
        <f t="shared" ca="1" si="183"/>
        <v>39.447499061623397</v>
      </c>
      <c r="AP370" s="1515">
        <f t="shared" ca="1" si="183"/>
        <v>32.763451502089794</v>
      </c>
      <c r="AQ370" s="1515"/>
      <c r="AR370" s="1595"/>
      <c r="AS370" s="1595"/>
      <c r="AT370" s="1595"/>
      <c r="AU370" s="1595"/>
      <c r="AV370" s="1595"/>
      <c r="AW370" s="1595"/>
      <c r="AX370" s="1595"/>
      <c r="AY370" s="1595"/>
      <c r="AZ370" s="1595"/>
      <c r="BA370" s="1595"/>
      <c r="BB370" s="1595">
        <f t="shared" ref="BB370:BK370" si="184">BB369+BB362</f>
        <v>16.035000000000007</v>
      </c>
      <c r="BC370" s="1595">
        <f t="shared" si="184"/>
        <v>18.326999999999991</v>
      </c>
      <c r="BD370" s="1595">
        <f t="shared" si="184"/>
        <v>52.847000000000001</v>
      </c>
      <c r="BE370" s="1595">
        <f t="shared" si="184"/>
        <v>93.836999999999989</v>
      </c>
      <c r="BF370" s="1610">
        <f t="shared" si="184"/>
        <v>70.728000000000009</v>
      </c>
      <c r="BG370" s="1595">
        <f t="shared" ca="1" si="184"/>
        <v>104.15973491829921</v>
      </c>
      <c r="BH370" s="1595">
        <f t="shared" ca="1" si="184"/>
        <v>140.33683278199484</v>
      </c>
      <c r="BI370" s="1595">
        <f t="shared" ca="1" si="184"/>
        <v>189.09595261050578</v>
      </c>
      <c r="BJ370" s="1595">
        <f t="shared" ca="1" si="184"/>
        <v>187.13001348874704</v>
      </c>
      <c r="BK370" s="1595">
        <f t="shared" ca="1" si="184"/>
        <v>218.11900730346304</v>
      </c>
      <c r="BL370" s="1515"/>
    </row>
    <row r="371" spans="1:64" s="1518" customFormat="1" hidden="1" outlineLevel="1" x14ac:dyDescent="0.35">
      <c r="A371" s="1515" t="s">
        <v>1139</v>
      </c>
      <c r="B371" s="1716"/>
      <c r="C371" s="1515"/>
      <c r="D371" s="1515"/>
      <c r="E371" s="1515"/>
      <c r="F371" s="1515"/>
      <c r="G371" s="1515"/>
      <c r="H371" s="1515"/>
      <c r="I371" s="1515"/>
      <c r="J371" s="1515"/>
      <c r="K371" s="1515"/>
      <c r="L371" s="1515"/>
      <c r="M371" s="1515"/>
      <c r="N371" s="1515"/>
      <c r="O371" s="1515"/>
      <c r="P371" s="1515"/>
      <c r="Q371" s="1515"/>
      <c r="R371" s="1515"/>
      <c r="S371" s="1515">
        <f t="shared" ref="S371:AP371" si="185">S370+S360+S361</f>
        <v>0</v>
      </c>
      <c r="T371" s="1515">
        <f t="shared" si="185"/>
        <v>-1.6689999999999978</v>
      </c>
      <c r="U371" s="1515">
        <f t="shared" si="185"/>
        <v>13.926000000000004</v>
      </c>
      <c r="V371" s="1515">
        <f t="shared" si="185"/>
        <v>6.3059999999999929</v>
      </c>
      <c r="W371" s="1515">
        <f t="shared" si="185"/>
        <v>16.335000000000001</v>
      </c>
      <c r="X371" s="1515">
        <f t="shared" si="185"/>
        <v>20.500999999999998</v>
      </c>
      <c r="Y371" s="1515">
        <f t="shared" si="185"/>
        <v>0.44400000000000206</v>
      </c>
      <c r="Z371" s="1515">
        <f t="shared" si="185"/>
        <v>-50.714999999999996</v>
      </c>
      <c r="AA371" s="1515">
        <f t="shared" si="185"/>
        <v>27.658000000000005</v>
      </c>
      <c r="AB371" s="1515">
        <f t="shared" si="185"/>
        <v>30.824000000000005</v>
      </c>
      <c r="AC371" s="1515">
        <f t="shared" si="185"/>
        <v>29.344999999999992</v>
      </c>
      <c r="AD371" s="1515">
        <f t="shared" si="185"/>
        <v>6.0610000000000035</v>
      </c>
      <c r="AE371" s="1515">
        <f t="shared" si="185"/>
        <v>-28.080000000000002</v>
      </c>
      <c r="AF371" s="1515">
        <f t="shared" si="185"/>
        <v>30.378000000000007</v>
      </c>
      <c r="AG371" s="1515">
        <f t="shared" si="185"/>
        <v>21.50599999999999</v>
      </c>
      <c r="AH371" s="1515">
        <f t="shared" si="185"/>
        <v>-2.163999999999997</v>
      </c>
      <c r="AI371" s="1515">
        <f t="shared" si="185"/>
        <v>-68.777000000000001</v>
      </c>
      <c r="AJ371" s="1516">
        <f t="shared" si="185"/>
        <v>18.749000000000002</v>
      </c>
      <c r="AK371" s="1515">
        <f t="shared" ca="1" si="185"/>
        <v>43.47034429352567</v>
      </c>
      <c r="AL371" s="1515">
        <f t="shared" ca="1" si="185"/>
        <v>40.283390624773503</v>
      </c>
      <c r="AM371" s="1515">
        <f t="shared" ca="1" si="185"/>
        <v>31.665449573742229</v>
      </c>
      <c r="AN371" s="1515">
        <f t="shared" ca="1" si="185"/>
        <v>36.460432644539424</v>
      </c>
      <c r="AO371" s="1515">
        <f t="shared" ca="1" si="185"/>
        <v>39.447499061623397</v>
      </c>
      <c r="AP371" s="1515">
        <f t="shared" ca="1" si="185"/>
        <v>32.763451502089794</v>
      </c>
      <c r="AQ371" s="1515"/>
      <c r="AR371" s="1595"/>
      <c r="AS371" s="1595"/>
      <c r="AT371" s="1595"/>
      <c r="AU371" s="1595"/>
      <c r="AV371" s="1595"/>
      <c r="AW371" s="1595"/>
      <c r="AX371" s="1595"/>
      <c r="AY371" s="1595"/>
      <c r="AZ371" s="1595"/>
      <c r="BA371" s="1595"/>
      <c r="BB371" s="1595">
        <f t="shared" ref="BB371:BK371" si="186">BB370+BB360+BB361</f>
        <v>16.049000000000007</v>
      </c>
      <c r="BC371" s="1595">
        <f t="shared" si="186"/>
        <v>18.562999999999992</v>
      </c>
      <c r="BD371" s="1595">
        <f t="shared" si="186"/>
        <v>-13.434999999999992</v>
      </c>
      <c r="BE371" s="1595">
        <f t="shared" si="186"/>
        <v>93.887999999999991</v>
      </c>
      <c r="BF371" s="1610">
        <f t="shared" si="186"/>
        <v>21.640000000000008</v>
      </c>
      <c r="BG371" s="1595">
        <f t="shared" ca="1" si="186"/>
        <v>33.72573491829921</v>
      </c>
      <c r="BH371" s="1595">
        <f t="shared" ca="1" si="186"/>
        <v>140.33683278199484</v>
      </c>
      <c r="BI371" s="1595">
        <f t="shared" ca="1" si="186"/>
        <v>189.09595261050578</v>
      </c>
      <c r="BJ371" s="1595">
        <f t="shared" ca="1" si="186"/>
        <v>187.13001348874704</v>
      </c>
      <c r="BK371" s="1595">
        <f t="shared" ca="1" si="186"/>
        <v>218.11900730346304</v>
      </c>
      <c r="BL371" s="1515"/>
    </row>
    <row r="372" spans="1:64" s="1518" customFormat="1" hidden="1" outlineLevel="1" x14ac:dyDescent="0.35">
      <c r="A372" s="1667" t="s">
        <v>1140</v>
      </c>
      <c r="B372" s="1712"/>
      <c r="C372" s="1667"/>
      <c r="D372" s="1667"/>
      <c r="E372" s="1667"/>
      <c r="F372" s="1667"/>
      <c r="G372" s="1667"/>
      <c r="H372" s="1667"/>
      <c r="I372" s="1667"/>
      <c r="J372" s="1667"/>
      <c r="K372" s="1667"/>
      <c r="L372" s="1667"/>
      <c r="M372" s="1667"/>
      <c r="N372" s="1667"/>
      <c r="O372" s="1667"/>
      <c r="P372" s="1667"/>
      <c r="Q372" s="1667"/>
      <c r="R372" s="1667"/>
      <c r="S372" s="1667">
        <f t="shared" ref="S372:AP372" si="187">S371+S365+S366</f>
        <v>0</v>
      </c>
      <c r="T372" s="1667">
        <f t="shared" si="187"/>
        <v>-3.6990000000000016</v>
      </c>
      <c r="U372" s="1667">
        <f t="shared" si="187"/>
        <v>12.310000000000004</v>
      </c>
      <c r="V372" s="1667">
        <f t="shared" si="187"/>
        <v>6.7409999999999926</v>
      </c>
      <c r="W372" s="1667">
        <f t="shared" si="187"/>
        <v>16.946999999999999</v>
      </c>
      <c r="X372" s="1667">
        <f t="shared" si="187"/>
        <v>12.399999999999999</v>
      </c>
      <c r="Y372" s="1667">
        <f t="shared" si="187"/>
        <v>110.97900000000001</v>
      </c>
      <c r="Z372" s="1667">
        <f t="shared" si="187"/>
        <v>-154.101</v>
      </c>
      <c r="AA372" s="1667">
        <f t="shared" si="187"/>
        <v>25.888000000000005</v>
      </c>
      <c r="AB372" s="1667">
        <f t="shared" si="187"/>
        <v>29.952000000000005</v>
      </c>
      <c r="AC372" s="1667">
        <f t="shared" si="187"/>
        <v>29.20699999999999</v>
      </c>
      <c r="AD372" s="1667">
        <f t="shared" si="187"/>
        <v>-307.7759999999999</v>
      </c>
      <c r="AE372" s="1667">
        <f t="shared" si="187"/>
        <v>-37.666000000000004</v>
      </c>
      <c r="AF372" s="1667">
        <f t="shared" si="187"/>
        <v>11.483000000000008</v>
      </c>
      <c r="AG372" s="1667">
        <f t="shared" si="187"/>
        <v>0.31699999999998951</v>
      </c>
      <c r="AH372" s="1667">
        <f t="shared" si="187"/>
        <v>-22.395</v>
      </c>
      <c r="AI372" s="1667">
        <f t="shared" si="187"/>
        <v>-14.359000000000002</v>
      </c>
      <c r="AJ372" s="1668">
        <f t="shared" si="187"/>
        <v>14.999000000000002</v>
      </c>
      <c r="AK372" s="1667">
        <f t="shared" ca="1" si="187"/>
        <v>43.47034429352567</v>
      </c>
      <c r="AL372" s="1667">
        <f t="shared" ca="1" si="187"/>
        <v>40.283390624773503</v>
      </c>
      <c r="AM372" s="1667">
        <f t="shared" ca="1" si="187"/>
        <v>31.665449573742229</v>
      </c>
      <c r="AN372" s="1667">
        <f t="shared" ca="1" si="187"/>
        <v>36.460432644539424</v>
      </c>
      <c r="AO372" s="1667">
        <f t="shared" ca="1" si="187"/>
        <v>39.447499061623397</v>
      </c>
      <c r="AP372" s="1667">
        <f t="shared" ca="1" si="187"/>
        <v>32.763451502089794</v>
      </c>
      <c r="AQ372" s="1667"/>
      <c r="AR372" s="1669"/>
      <c r="AS372" s="1669"/>
      <c r="AT372" s="1669"/>
      <c r="AU372" s="1669"/>
      <c r="AV372" s="1669"/>
      <c r="AW372" s="1669"/>
      <c r="AX372" s="1669"/>
      <c r="AY372" s="1669"/>
      <c r="AZ372" s="1669"/>
      <c r="BA372" s="1669"/>
      <c r="BB372" s="1669">
        <f t="shared" ref="BB372:BK372" si="188">BB371+BB365+BB366</f>
        <v>9.7180000000000071</v>
      </c>
      <c r="BC372" s="1669">
        <f t="shared" si="188"/>
        <v>15.351999999999993</v>
      </c>
      <c r="BD372" s="1669">
        <f t="shared" si="188"/>
        <v>-13.774999999999977</v>
      </c>
      <c r="BE372" s="1669">
        <f t="shared" si="188"/>
        <v>-222.72899999999993</v>
      </c>
      <c r="BF372" s="1612">
        <f t="shared" si="188"/>
        <v>-48.260999999999996</v>
      </c>
      <c r="BG372" s="1669">
        <f t="shared" ca="1" si="188"/>
        <v>84.393734918299216</v>
      </c>
      <c r="BH372" s="1669">
        <f t="shared" ca="1" si="188"/>
        <v>140.33683278199484</v>
      </c>
      <c r="BI372" s="1669">
        <f t="shared" ca="1" si="188"/>
        <v>189.09595261050578</v>
      </c>
      <c r="BJ372" s="1669">
        <f t="shared" ca="1" si="188"/>
        <v>187.13001348874704</v>
      </c>
      <c r="BK372" s="1669">
        <f t="shared" ca="1" si="188"/>
        <v>218.11900730346304</v>
      </c>
      <c r="BL372" s="1515"/>
    </row>
    <row r="373" spans="1:64" s="1518" customFormat="1" collapsed="1" x14ac:dyDescent="0.35">
      <c r="A373" s="1515" t="s">
        <v>1141</v>
      </c>
      <c r="B373" s="1716"/>
      <c r="C373" s="1515"/>
      <c r="D373" s="1515"/>
      <c r="E373" s="1515"/>
      <c r="F373" s="1515"/>
      <c r="G373" s="1515"/>
      <c r="H373" s="1515"/>
      <c r="I373" s="1515"/>
      <c r="J373" s="1515"/>
      <c r="K373" s="1515"/>
      <c r="L373" s="1515"/>
      <c r="M373" s="1515"/>
      <c r="N373" s="1515"/>
      <c r="O373" s="1515"/>
      <c r="P373" s="1515"/>
      <c r="Q373" s="1515"/>
      <c r="R373" s="1515"/>
      <c r="S373" s="1515">
        <f t="shared" ref="S373:AP373" si="189">S354+S358</f>
        <v>0</v>
      </c>
      <c r="T373" s="1515">
        <f t="shared" si="189"/>
        <v>10.680000000000007</v>
      </c>
      <c r="U373" s="1515">
        <f t="shared" si="189"/>
        <v>2.0879999999999992</v>
      </c>
      <c r="V373" s="1515">
        <f t="shared" si="189"/>
        <v>6.9149999999999929</v>
      </c>
      <c r="W373" s="1515">
        <f t="shared" si="189"/>
        <v>17.798000000000002</v>
      </c>
      <c r="X373" s="1515">
        <f t="shared" si="189"/>
        <v>18.196999999999999</v>
      </c>
      <c r="Y373" s="1515">
        <f t="shared" si="189"/>
        <v>-11.675000000000001</v>
      </c>
      <c r="Z373" s="1515">
        <f t="shared" si="189"/>
        <v>25.191000000000003</v>
      </c>
      <c r="AA373" s="1515">
        <f t="shared" si="189"/>
        <v>-1.7919999999999927</v>
      </c>
      <c r="AB373" s="1515">
        <f t="shared" si="189"/>
        <v>24.189000000000011</v>
      </c>
      <c r="AC373" s="1515">
        <f t="shared" si="189"/>
        <v>35.503999999999991</v>
      </c>
      <c r="AD373" s="1515">
        <f t="shared" si="189"/>
        <v>26.175000000000004</v>
      </c>
      <c r="AE373" s="1515">
        <f t="shared" si="189"/>
        <v>7.0219999999999967</v>
      </c>
      <c r="AF373" s="1515">
        <f t="shared" si="189"/>
        <v>16.694000000000006</v>
      </c>
      <c r="AG373" s="1515">
        <f t="shared" si="189"/>
        <v>27.218999999999998</v>
      </c>
      <c r="AH373" s="1515">
        <f t="shared" si="189"/>
        <v>25.564000000000004</v>
      </c>
      <c r="AI373" s="1515">
        <f t="shared" si="189"/>
        <v>-1.945999999999998</v>
      </c>
      <c r="AJ373" s="1516">
        <f t="shared" si="189"/>
        <v>10.765000000000001</v>
      </c>
      <c r="AK373" s="1515">
        <f t="shared" si="189"/>
        <v>29.078149436363773</v>
      </c>
      <c r="AL373" s="1515">
        <f t="shared" ca="1" si="189"/>
        <v>51.974052579006177</v>
      </c>
      <c r="AM373" s="1515">
        <f t="shared" ca="1" si="189"/>
        <v>32.80271905598061</v>
      </c>
      <c r="AN373" s="1515">
        <f t="shared" ca="1" si="189"/>
        <v>35.033429242940819</v>
      </c>
      <c r="AO373" s="1515">
        <f t="shared" ca="1" si="189"/>
        <v>23.745748309190787</v>
      </c>
      <c r="AP373" s="1515">
        <f t="shared" ca="1" si="189"/>
        <v>44.591591945095089</v>
      </c>
      <c r="AQ373" s="1515"/>
      <c r="AR373" s="1595"/>
      <c r="AS373" s="1595"/>
      <c r="AT373" s="1595"/>
      <c r="AU373" s="1595"/>
      <c r="AV373" s="1595"/>
      <c r="AW373" s="1595"/>
      <c r="AX373" s="1595"/>
      <c r="AY373" s="1595"/>
      <c r="AZ373" s="1595"/>
      <c r="BA373" s="1595"/>
      <c r="BB373" s="1595">
        <f t="shared" ref="BB373:BK373" si="190">BB354+BB358</f>
        <v>4.3210000000000086</v>
      </c>
      <c r="BC373" s="1595">
        <f t="shared" si="190"/>
        <v>19.682999999999993</v>
      </c>
      <c r="BD373" s="1595">
        <f t="shared" si="190"/>
        <v>49.511000000000003</v>
      </c>
      <c r="BE373" s="1595">
        <f t="shared" si="190"/>
        <v>84.075999999999979</v>
      </c>
      <c r="BF373" s="1610">
        <f t="shared" si="190"/>
        <v>76.499000000000009</v>
      </c>
      <c r="BG373" s="1595">
        <f t="shared" ca="1" si="190"/>
        <v>89.871202015369988</v>
      </c>
      <c r="BH373" s="1595">
        <f t="shared" ca="1" si="190"/>
        <v>136.17348855320731</v>
      </c>
      <c r="BI373" s="1595">
        <f t="shared" ca="1" si="190"/>
        <v>183.85648845753414</v>
      </c>
      <c r="BJ373" s="1595">
        <f t="shared" ca="1" si="190"/>
        <v>182.87465628493192</v>
      </c>
      <c r="BK373" s="1595">
        <f t="shared" ca="1" si="190"/>
        <v>213.59021523247819</v>
      </c>
      <c r="BL373" s="1515"/>
    </row>
    <row r="374" spans="1:64" s="1518" customFormat="1" x14ac:dyDescent="0.35">
      <c r="A374" s="1515" t="s">
        <v>1142</v>
      </c>
      <c r="B374" s="1716"/>
      <c r="C374" s="1515"/>
      <c r="D374" s="1515"/>
      <c r="E374" s="1515"/>
      <c r="F374" s="1515"/>
      <c r="G374" s="1515"/>
      <c r="H374" s="1515"/>
      <c r="I374" s="1515"/>
      <c r="J374" s="1515"/>
      <c r="K374" s="1515"/>
      <c r="L374" s="1515"/>
      <c r="M374" s="1515"/>
      <c r="N374" s="1515"/>
      <c r="O374" s="1515"/>
      <c r="P374" s="1515"/>
      <c r="Q374" s="1515"/>
      <c r="R374" s="1515"/>
      <c r="S374" s="1515">
        <f t="shared" ref="S374:AP374" si="191">S373+S362</f>
        <v>0</v>
      </c>
      <c r="T374" s="1515">
        <f t="shared" si="191"/>
        <v>10.680000000000007</v>
      </c>
      <c r="U374" s="1515">
        <f t="shared" si="191"/>
        <v>2.0879999999999992</v>
      </c>
      <c r="V374" s="1515">
        <f t="shared" si="191"/>
        <v>6.9149999999999929</v>
      </c>
      <c r="W374" s="1515">
        <f t="shared" si="191"/>
        <v>17.798000000000002</v>
      </c>
      <c r="X374" s="1515">
        <f t="shared" si="191"/>
        <v>18.196999999999999</v>
      </c>
      <c r="Y374" s="1515">
        <f t="shared" si="191"/>
        <v>-11.675000000000001</v>
      </c>
      <c r="Z374" s="1515">
        <f t="shared" si="191"/>
        <v>25.191000000000003</v>
      </c>
      <c r="AA374" s="1515">
        <f t="shared" si="191"/>
        <v>-1.7919999999999927</v>
      </c>
      <c r="AB374" s="1515">
        <f t="shared" si="191"/>
        <v>24.189000000000011</v>
      </c>
      <c r="AC374" s="1515">
        <f t="shared" si="191"/>
        <v>35.503999999999991</v>
      </c>
      <c r="AD374" s="1515">
        <f t="shared" si="191"/>
        <v>26.175000000000004</v>
      </c>
      <c r="AE374" s="1515">
        <f t="shared" si="191"/>
        <v>7.0219999999999967</v>
      </c>
      <c r="AF374" s="1515">
        <f t="shared" si="191"/>
        <v>16.694000000000006</v>
      </c>
      <c r="AG374" s="1515">
        <f t="shared" si="191"/>
        <v>27.218999999999998</v>
      </c>
      <c r="AH374" s="1515">
        <f t="shared" si="191"/>
        <v>25.564000000000004</v>
      </c>
      <c r="AI374" s="1515">
        <f t="shared" si="191"/>
        <v>-1.945999999999998</v>
      </c>
      <c r="AJ374" s="1516">
        <f t="shared" si="191"/>
        <v>10.765000000000001</v>
      </c>
      <c r="AK374" s="1515">
        <f t="shared" ca="1" si="191"/>
        <v>29.078149436363773</v>
      </c>
      <c r="AL374" s="1515">
        <f t="shared" ca="1" si="191"/>
        <v>51.974052579006177</v>
      </c>
      <c r="AM374" s="1515">
        <f t="shared" ca="1" si="191"/>
        <v>32.80271905598061</v>
      </c>
      <c r="AN374" s="1515">
        <f t="shared" ca="1" si="191"/>
        <v>35.033429242940819</v>
      </c>
      <c r="AO374" s="1515">
        <f t="shared" ca="1" si="191"/>
        <v>23.745748309190787</v>
      </c>
      <c r="AP374" s="1515">
        <f t="shared" ca="1" si="191"/>
        <v>44.591591945095089</v>
      </c>
      <c r="AQ374" s="1515"/>
      <c r="AR374" s="1595"/>
      <c r="AS374" s="1595"/>
      <c r="AT374" s="1595"/>
      <c r="AU374" s="1595"/>
      <c r="AV374" s="1595"/>
      <c r="AW374" s="1595"/>
      <c r="AX374" s="1595"/>
      <c r="AY374" s="1595"/>
      <c r="AZ374" s="1595"/>
      <c r="BA374" s="1595"/>
      <c r="BB374" s="1595">
        <f t="shared" ref="BB374:BK374" si="192">BB373+BB362</f>
        <v>4.3210000000000086</v>
      </c>
      <c r="BC374" s="1595">
        <f t="shared" si="192"/>
        <v>19.682999999999993</v>
      </c>
      <c r="BD374" s="1595">
        <f t="shared" si="192"/>
        <v>49.511000000000003</v>
      </c>
      <c r="BE374" s="1595">
        <f t="shared" si="192"/>
        <v>84.075999999999979</v>
      </c>
      <c r="BF374" s="1610">
        <f t="shared" si="192"/>
        <v>76.499000000000009</v>
      </c>
      <c r="BG374" s="1595">
        <f t="shared" ca="1" si="192"/>
        <v>89.871202015369988</v>
      </c>
      <c r="BH374" s="1595">
        <f t="shared" ca="1" si="192"/>
        <v>136.17348855320731</v>
      </c>
      <c r="BI374" s="1595">
        <f t="shared" ca="1" si="192"/>
        <v>183.85648845753414</v>
      </c>
      <c r="BJ374" s="1595">
        <f t="shared" ca="1" si="192"/>
        <v>182.87465628493192</v>
      </c>
      <c r="BK374" s="1595">
        <f t="shared" ca="1" si="192"/>
        <v>213.59021523247819</v>
      </c>
      <c r="BL374" s="1515"/>
    </row>
    <row r="375" spans="1:64" s="1518" customFormat="1" x14ac:dyDescent="0.35">
      <c r="A375" s="1515" t="s">
        <v>1143</v>
      </c>
      <c r="B375" s="1716"/>
      <c r="C375" s="1515"/>
      <c r="D375" s="1515"/>
      <c r="E375" s="1515"/>
      <c r="F375" s="1515"/>
      <c r="G375" s="1515"/>
      <c r="H375" s="1515"/>
      <c r="I375" s="1515"/>
      <c r="J375" s="1515"/>
      <c r="K375" s="1515"/>
      <c r="L375" s="1515"/>
      <c r="M375" s="1515"/>
      <c r="N375" s="1515"/>
      <c r="O375" s="1515"/>
      <c r="P375" s="1515"/>
      <c r="Q375" s="1515"/>
      <c r="R375" s="1515"/>
      <c r="S375" s="1515">
        <f t="shared" ref="S375:AP375" si="193">S374+S360+S361</f>
        <v>0</v>
      </c>
      <c r="T375" s="1515">
        <f t="shared" si="193"/>
        <v>10.680000000000007</v>
      </c>
      <c r="U375" s="1515">
        <f t="shared" si="193"/>
        <v>2.323999999999999</v>
      </c>
      <c r="V375" s="1515">
        <f t="shared" si="193"/>
        <v>6.9149999999999929</v>
      </c>
      <c r="W375" s="1515">
        <f t="shared" si="193"/>
        <v>17.798000000000002</v>
      </c>
      <c r="X375" s="1515">
        <f t="shared" si="193"/>
        <v>18.196999999999999</v>
      </c>
      <c r="Y375" s="1515">
        <f t="shared" si="193"/>
        <v>-11.668000000000001</v>
      </c>
      <c r="Z375" s="1515">
        <f t="shared" si="193"/>
        <v>-41.097999999999992</v>
      </c>
      <c r="AA375" s="1515">
        <f t="shared" si="193"/>
        <v>-1.7879999999999927</v>
      </c>
      <c r="AB375" s="1515">
        <f t="shared" si="193"/>
        <v>24.19400000000001</v>
      </c>
      <c r="AC375" s="1515">
        <f t="shared" si="193"/>
        <v>35.519999999999989</v>
      </c>
      <c r="AD375" s="1515">
        <f t="shared" si="193"/>
        <v>26.201000000000004</v>
      </c>
      <c r="AE375" s="1515">
        <f t="shared" si="193"/>
        <v>-41.773000000000003</v>
      </c>
      <c r="AF375" s="1515">
        <f t="shared" si="193"/>
        <v>16.973000000000006</v>
      </c>
      <c r="AG375" s="1515">
        <f t="shared" si="193"/>
        <v>26.645999999999994</v>
      </c>
      <c r="AH375" s="1515">
        <f t="shared" si="193"/>
        <v>25.565000000000005</v>
      </c>
      <c r="AI375" s="1515">
        <f t="shared" si="193"/>
        <v>-72.424999999999997</v>
      </c>
      <c r="AJ375" s="1516">
        <f t="shared" si="193"/>
        <v>10.810000000000002</v>
      </c>
      <c r="AK375" s="1515">
        <f t="shared" ca="1" si="193"/>
        <v>29.078149436363773</v>
      </c>
      <c r="AL375" s="1515">
        <f t="shared" ca="1" si="193"/>
        <v>51.974052579006177</v>
      </c>
      <c r="AM375" s="1515">
        <f t="shared" ca="1" si="193"/>
        <v>32.80271905598061</v>
      </c>
      <c r="AN375" s="1515">
        <f t="shared" ca="1" si="193"/>
        <v>35.033429242940819</v>
      </c>
      <c r="AO375" s="1515">
        <f t="shared" ca="1" si="193"/>
        <v>23.745748309190787</v>
      </c>
      <c r="AP375" s="1515">
        <f t="shared" ca="1" si="193"/>
        <v>44.591591945095089</v>
      </c>
      <c r="AQ375" s="1515"/>
      <c r="AR375" s="1595"/>
      <c r="AS375" s="1595"/>
      <c r="AT375" s="1595"/>
      <c r="AU375" s="1595"/>
      <c r="AV375" s="1595"/>
      <c r="AW375" s="1595"/>
      <c r="AX375" s="1595"/>
      <c r="AY375" s="1595"/>
      <c r="AZ375" s="1595"/>
      <c r="BA375" s="1595"/>
      <c r="BB375" s="1595">
        <f t="shared" ref="BB375:BK375" si="194">BB374+BB360+BB361</f>
        <v>4.3350000000000088</v>
      </c>
      <c r="BC375" s="1595">
        <f t="shared" si="194"/>
        <v>19.918999999999993</v>
      </c>
      <c r="BD375" s="1595">
        <f t="shared" si="194"/>
        <v>-16.77099999999999</v>
      </c>
      <c r="BE375" s="1595">
        <f t="shared" si="194"/>
        <v>84.126999999999981</v>
      </c>
      <c r="BF375" s="1610">
        <f t="shared" si="194"/>
        <v>27.411000000000008</v>
      </c>
      <c r="BG375" s="1595">
        <f t="shared" ca="1" si="194"/>
        <v>19.437202015369991</v>
      </c>
      <c r="BH375" s="1595">
        <f t="shared" ca="1" si="194"/>
        <v>136.17348855320731</v>
      </c>
      <c r="BI375" s="1595">
        <f t="shared" ca="1" si="194"/>
        <v>183.85648845753414</v>
      </c>
      <c r="BJ375" s="1595">
        <f t="shared" ca="1" si="194"/>
        <v>182.87465628493192</v>
      </c>
      <c r="BK375" s="1595">
        <f t="shared" ca="1" si="194"/>
        <v>213.59021523247819</v>
      </c>
      <c r="BL375" s="1515"/>
    </row>
    <row r="376" spans="1:64" s="1518" customFormat="1" x14ac:dyDescent="0.35">
      <c r="A376" s="1667" t="s">
        <v>1144</v>
      </c>
      <c r="B376" s="1712"/>
      <c r="C376" s="1667"/>
      <c r="D376" s="1667"/>
      <c r="E376" s="1667"/>
      <c r="F376" s="1667"/>
      <c r="G376" s="1667"/>
      <c r="H376" s="1667"/>
      <c r="I376" s="1667"/>
      <c r="J376" s="1667"/>
      <c r="K376" s="1667"/>
      <c r="L376" s="1667"/>
      <c r="M376" s="1667"/>
      <c r="N376" s="1667"/>
      <c r="O376" s="1667"/>
      <c r="P376" s="1667"/>
      <c r="Q376" s="1667"/>
      <c r="R376" s="1667"/>
      <c r="S376" s="1667">
        <f t="shared" ref="S376:AP376" si="195">S375+S365+S366</f>
        <v>0</v>
      </c>
      <c r="T376" s="1667">
        <f t="shared" si="195"/>
        <v>8.6500000000000021</v>
      </c>
      <c r="U376" s="1667">
        <f t="shared" si="195"/>
        <v>0.70799999999999885</v>
      </c>
      <c r="V376" s="1667">
        <f t="shared" si="195"/>
        <v>7.3499999999999925</v>
      </c>
      <c r="W376" s="1667">
        <f t="shared" si="195"/>
        <v>18.410000000000004</v>
      </c>
      <c r="X376" s="1667">
        <f t="shared" si="195"/>
        <v>10.096</v>
      </c>
      <c r="Y376" s="1667">
        <f t="shared" si="195"/>
        <v>98.867000000000004</v>
      </c>
      <c r="Z376" s="1667">
        <f t="shared" si="195"/>
        <v>-144.48400000000001</v>
      </c>
      <c r="AA376" s="1667">
        <f t="shared" si="195"/>
        <v>-3.5579999999999923</v>
      </c>
      <c r="AB376" s="1667">
        <f t="shared" si="195"/>
        <v>23.32200000000001</v>
      </c>
      <c r="AC376" s="1667">
        <f t="shared" si="195"/>
        <v>35.381999999999984</v>
      </c>
      <c r="AD376" s="1667">
        <f t="shared" si="195"/>
        <v>-287.63599999999985</v>
      </c>
      <c r="AE376" s="1667">
        <f t="shared" si="195"/>
        <v>-51.359000000000002</v>
      </c>
      <c r="AF376" s="1667">
        <f t="shared" si="195"/>
        <v>-1.9219999999999935</v>
      </c>
      <c r="AG376" s="1667">
        <f t="shared" si="195"/>
        <v>5.4569999999999936</v>
      </c>
      <c r="AH376" s="1667">
        <f t="shared" si="195"/>
        <v>5.3340000000000032</v>
      </c>
      <c r="AI376" s="1667">
        <f t="shared" si="195"/>
        <v>-18.006999999999998</v>
      </c>
      <c r="AJ376" s="1668">
        <f t="shared" si="195"/>
        <v>7.0600000000000023</v>
      </c>
      <c r="AK376" s="1667">
        <f t="shared" ca="1" si="195"/>
        <v>29.078149436363773</v>
      </c>
      <c r="AL376" s="1667">
        <f t="shared" ca="1" si="195"/>
        <v>51.974052579006177</v>
      </c>
      <c r="AM376" s="1667">
        <f t="shared" ca="1" si="195"/>
        <v>32.80271905598061</v>
      </c>
      <c r="AN376" s="1667">
        <f t="shared" ca="1" si="195"/>
        <v>35.033429242940819</v>
      </c>
      <c r="AO376" s="1667">
        <f t="shared" ca="1" si="195"/>
        <v>23.745748309190787</v>
      </c>
      <c r="AP376" s="1667">
        <f t="shared" ca="1" si="195"/>
        <v>44.591591945095089</v>
      </c>
      <c r="AQ376" s="1667"/>
      <c r="AR376" s="1669"/>
      <c r="AS376" s="1669"/>
      <c r="AT376" s="1669"/>
      <c r="AU376" s="1669"/>
      <c r="AV376" s="1669"/>
      <c r="AW376" s="1669"/>
      <c r="AX376" s="1669"/>
      <c r="AY376" s="1669"/>
      <c r="AZ376" s="1669"/>
      <c r="BA376" s="1669"/>
      <c r="BB376" s="1669">
        <f t="shared" ref="BB376:BK376" si="196">BB375+BB365+BB366</f>
        <v>-1.9959999999999916</v>
      </c>
      <c r="BC376" s="1669">
        <f t="shared" si="196"/>
        <v>16.707999999999995</v>
      </c>
      <c r="BD376" s="1669">
        <f t="shared" si="196"/>
        <v>-17.11099999999999</v>
      </c>
      <c r="BE376" s="1669">
        <f t="shared" si="196"/>
        <v>-232.4899999999999</v>
      </c>
      <c r="BF376" s="1612">
        <f t="shared" si="196"/>
        <v>-42.489999999999995</v>
      </c>
      <c r="BG376" s="1669">
        <f t="shared" ca="1" si="196"/>
        <v>70.105202015369997</v>
      </c>
      <c r="BH376" s="1669">
        <f t="shared" ca="1" si="196"/>
        <v>136.17348855320731</v>
      </c>
      <c r="BI376" s="1669">
        <f t="shared" ca="1" si="196"/>
        <v>183.85648845753414</v>
      </c>
      <c r="BJ376" s="1669">
        <f t="shared" ca="1" si="196"/>
        <v>182.87465628493192</v>
      </c>
      <c r="BK376" s="1669">
        <f t="shared" ca="1" si="196"/>
        <v>213.59021523247819</v>
      </c>
      <c r="BL376" s="1515"/>
    </row>
    <row r="377" spans="1:64" s="1518" customFormat="1" x14ac:dyDescent="0.35">
      <c r="A377" s="1515"/>
      <c r="B377" s="1716"/>
      <c r="C377" s="1515"/>
      <c r="D377" s="1515"/>
      <c r="E377" s="1515"/>
      <c r="F377" s="1515"/>
      <c r="G377" s="1515"/>
      <c r="H377" s="1515"/>
      <c r="I377" s="1515"/>
      <c r="J377" s="1515"/>
      <c r="K377" s="1515"/>
      <c r="L377" s="1515"/>
      <c r="M377" s="1515"/>
      <c r="N377" s="1515"/>
      <c r="O377" s="1515"/>
      <c r="P377" s="1515"/>
      <c r="Q377" s="1515"/>
      <c r="R377" s="1515"/>
      <c r="S377" s="1515"/>
      <c r="T377" s="1515"/>
      <c r="U377" s="1515"/>
      <c r="V377" s="1515"/>
      <c r="W377" s="1515"/>
      <c r="X377" s="1515"/>
      <c r="Y377" s="1515"/>
      <c r="Z377" s="1515"/>
      <c r="AA377" s="1515"/>
      <c r="AB377" s="1515"/>
      <c r="AC377" s="1515"/>
      <c r="AD377" s="1515"/>
      <c r="AE377" s="1515"/>
      <c r="AF377" s="1515"/>
      <c r="AG377" s="1515"/>
      <c r="AH377" s="1515"/>
      <c r="AI377" s="1515"/>
      <c r="AJ377" s="1516"/>
      <c r="AK377" s="1515"/>
      <c r="AL377" s="1515"/>
      <c r="AM377" s="1515"/>
      <c r="AN377" s="1515"/>
      <c r="AO377" s="1515"/>
      <c r="AP377" s="1515"/>
      <c r="AQ377" s="1515"/>
      <c r="AR377" s="1595"/>
      <c r="AS377" s="1595"/>
      <c r="AT377" s="1595"/>
      <c r="AU377" s="1595"/>
      <c r="AV377" s="1595"/>
      <c r="AW377" s="1595"/>
      <c r="AX377" s="1595"/>
      <c r="AY377" s="1595"/>
      <c r="AZ377" s="1595"/>
      <c r="BA377" s="1595"/>
      <c r="BB377" s="1595"/>
      <c r="BC377" s="1595"/>
      <c r="BD377" s="1595"/>
      <c r="BE377" s="1595"/>
      <c r="BF377" s="1610"/>
      <c r="BG377" s="1595"/>
      <c r="BH377" s="1595"/>
      <c r="BI377" s="1595"/>
      <c r="BJ377" s="1595"/>
      <c r="BK377" s="1595"/>
      <c r="BL377" s="1517"/>
    </row>
    <row r="378" spans="1:64" s="1518" customFormat="1" x14ac:dyDescent="0.35">
      <c r="A378" s="1588" t="s">
        <v>1145</v>
      </c>
      <c r="B378" s="1556"/>
      <c r="C378" s="1556"/>
      <c r="D378" s="1556"/>
      <c r="E378" s="1556"/>
      <c r="F378" s="1556"/>
      <c r="G378" s="1556"/>
      <c r="H378" s="1556"/>
      <c r="I378" s="1556"/>
      <c r="J378" s="1556"/>
      <c r="K378" s="1556"/>
      <c r="L378" s="1556"/>
      <c r="M378" s="1556"/>
      <c r="N378" s="1556"/>
      <c r="O378" s="1556"/>
      <c r="P378" s="1556"/>
      <c r="Q378" s="1556"/>
      <c r="R378" s="1556"/>
      <c r="S378" s="1556"/>
      <c r="T378" s="1556"/>
      <c r="U378" s="1556"/>
      <c r="V378" s="1556"/>
      <c r="W378" s="1556"/>
      <c r="X378" s="1556"/>
      <c r="Y378" s="1556"/>
      <c r="Z378" s="1556"/>
      <c r="AA378" s="1556"/>
      <c r="AB378" s="1556"/>
      <c r="AC378" s="1556"/>
      <c r="AD378" s="1556"/>
      <c r="AE378" s="1556"/>
      <c r="AF378" s="1556"/>
      <c r="AG378" s="1556"/>
      <c r="AH378" s="1556"/>
      <c r="AI378" s="1556"/>
      <c r="AJ378" s="1558"/>
      <c r="AK378" s="1556"/>
      <c r="AL378" s="1556"/>
      <c r="AM378" s="1556"/>
      <c r="AN378" s="1556"/>
      <c r="AO378" s="1556"/>
      <c r="AP378" s="1556"/>
      <c r="AQ378" s="1556"/>
      <c r="AR378" s="1556"/>
      <c r="AS378" s="1556"/>
      <c r="AT378" s="1556"/>
      <c r="AU378" s="1556"/>
      <c r="AV378" s="1556"/>
      <c r="AW378" s="1556"/>
      <c r="AX378" s="1556"/>
      <c r="AY378" s="1556"/>
      <c r="AZ378" s="1556"/>
      <c r="BA378" s="1556"/>
      <c r="BB378" s="1556"/>
      <c r="BC378" s="1556"/>
      <c r="BD378" s="1556"/>
      <c r="BE378" s="1556"/>
      <c r="BF378" s="1558"/>
      <c r="BG378" s="1556"/>
      <c r="BH378" s="1556"/>
      <c r="BI378" s="1556"/>
      <c r="BJ378" s="1556"/>
      <c r="BK378" s="1556"/>
      <c r="BL378" s="1517"/>
    </row>
    <row r="379" spans="1:64" s="1518" customFormat="1" x14ac:dyDescent="0.35">
      <c r="A379" s="1517" t="s">
        <v>208</v>
      </c>
      <c r="B379" s="1716"/>
      <c r="C379" s="1515"/>
      <c r="D379" s="1515"/>
      <c r="E379" s="1515"/>
      <c r="F379" s="1515"/>
      <c r="G379" s="1515"/>
      <c r="H379" s="1515"/>
      <c r="I379" s="1515"/>
      <c r="J379" s="1515"/>
      <c r="K379" s="1515"/>
      <c r="L379" s="1515"/>
      <c r="M379" s="1515"/>
      <c r="N379" s="1515"/>
      <c r="O379" s="1515"/>
      <c r="P379" s="1515"/>
      <c r="Q379" s="1515"/>
      <c r="R379" s="1517">
        <f t="shared" ref="R379:AP379" si="197">R592</f>
        <v>50.298999999999999</v>
      </c>
      <c r="S379" s="1517">
        <f t="shared" si="197"/>
        <v>0</v>
      </c>
      <c r="T379" s="1517">
        <f t="shared" si="197"/>
        <v>0</v>
      </c>
      <c r="U379" s="1517">
        <f t="shared" si="197"/>
        <v>0</v>
      </c>
      <c r="V379" s="1517">
        <f t="shared" si="197"/>
        <v>66.632999999999996</v>
      </c>
      <c r="W379" s="1517">
        <f t="shared" si="197"/>
        <v>0</v>
      </c>
      <c r="X379" s="1517">
        <f t="shared" si="197"/>
        <v>94.290999999999997</v>
      </c>
      <c r="Y379" s="1517">
        <f t="shared" si="197"/>
        <v>192.39699999999999</v>
      </c>
      <c r="Z379" s="1517">
        <f t="shared" si="197"/>
        <v>47.997999999999998</v>
      </c>
      <c r="AA379" s="1517">
        <f t="shared" si="197"/>
        <v>44.347000000000001</v>
      </c>
      <c r="AB379" s="1517">
        <f t="shared" si="197"/>
        <v>65.811000000000007</v>
      </c>
      <c r="AC379" s="1517">
        <f t="shared" si="197"/>
        <v>99.19</v>
      </c>
      <c r="AD379" s="1517">
        <f t="shared" si="197"/>
        <v>103.095</v>
      </c>
      <c r="AE379" s="1517">
        <f t="shared" si="197"/>
        <v>50.963999999999999</v>
      </c>
      <c r="AF379" s="1517">
        <f t="shared" si="197"/>
        <v>48.817</v>
      </c>
      <c r="AG379" s="1517">
        <f t="shared" si="197"/>
        <v>49.877000000000002</v>
      </c>
      <c r="AH379" s="1517">
        <f t="shared" si="197"/>
        <v>54.223999999999997</v>
      </c>
      <c r="AI379" s="1517">
        <f t="shared" si="197"/>
        <v>66.978999999999999</v>
      </c>
      <c r="AJ379" s="1732">
        <f t="shared" si="197"/>
        <v>74.182000000000002</v>
      </c>
      <c r="AK379" s="1515">
        <f t="shared" ca="1" si="197"/>
        <v>103.2601494363638</v>
      </c>
      <c r="AL379" s="1515">
        <f t="shared" ca="1" si="197"/>
        <v>155.23420201536999</v>
      </c>
      <c r="AM379" s="1515">
        <f t="shared" ca="1" si="197"/>
        <v>188.03692107135063</v>
      </c>
      <c r="AN379" s="1515">
        <f t="shared" ca="1" si="197"/>
        <v>223.07035031429146</v>
      </c>
      <c r="AO379" s="1515">
        <f t="shared" ca="1" si="197"/>
        <v>246.81609862348225</v>
      </c>
      <c r="AP379" s="1515">
        <f t="shared" ca="1" si="197"/>
        <v>291.40769056857732</v>
      </c>
      <c r="AQ379" s="1515"/>
      <c r="AR379" s="1595"/>
      <c r="AS379" s="1595"/>
      <c r="AT379" s="1595"/>
      <c r="AU379" s="1595"/>
      <c r="AV379" s="1595"/>
      <c r="AW379" s="1595"/>
      <c r="AX379" s="1595"/>
      <c r="AY379" s="1595"/>
      <c r="AZ379" s="1595"/>
      <c r="BA379" s="1595"/>
      <c r="BB379" s="1733">
        <f t="shared" ref="BB379:BK379" si="198">BB592</f>
        <v>50.298999999999999</v>
      </c>
      <c r="BC379" s="1733">
        <f t="shared" si="198"/>
        <v>66.632999999999996</v>
      </c>
      <c r="BD379" s="1733">
        <f t="shared" si="198"/>
        <v>47.997999999999998</v>
      </c>
      <c r="BE379" s="1733">
        <f t="shared" si="198"/>
        <v>103.095</v>
      </c>
      <c r="BF379" s="1734">
        <f t="shared" si="198"/>
        <v>54.223999999999997</v>
      </c>
      <c r="BG379" s="1595">
        <f t="shared" ca="1" si="198"/>
        <v>155.23420201536999</v>
      </c>
      <c r="BH379" s="1595">
        <f t="shared" ca="1" si="198"/>
        <v>291.40769056857732</v>
      </c>
      <c r="BI379" s="1595">
        <f t="shared" ca="1" si="198"/>
        <v>475.26417902611149</v>
      </c>
      <c r="BJ379" s="1595">
        <f t="shared" ca="1" si="198"/>
        <v>658.13883531104341</v>
      </c>
      <c r="BK379" s="1595">
        <f t="shared" ca="1" si="198"/>
        <v>871.72905054352157</v>
      </c>
      <c r="BL379" s="1517"/>
    </row>
    <row r="380" spans="1:64" s="1518" customFormat="1" x14ac:dyDescent="0.35">
      <c r="A380" s="1591" t="s">
        <v>1146</v>
      </c>
      <c r="B380" s="1716"/>
      <c r="C380" s="1515"/>
      <c r="D380" s="1515"/>
      <c r="E380" s="1515"/>
      <c r="F380" s="1515"/>
      <c r="G380" s="1515"/>
      <c r="H380" s="1515"/>
      <c r="I380" s="1515"/>
      <c r="J380" s="1515"/>
      <c r="K380" s="1515"/>
      <c r="L380" s="1515"/>
      <c r="M380" s="1515"/>
      <c r="N380" s="1515"/>
      <c r="O380" s="1515"/>
      <c r="P380" s="1515"/>
      <c r="Q380" s="1515"/>
      <c r="R380" s="1517">
        <f t="shared" ref="R380:AJ380" si="199">R614</f>
        <v>6.4610000000000003</v>
      </c>
      <c r="S380" s="1517">
        <f t="shared" si="199"/>
        <v>0</v>
      </c>
      <c r="T380" s="1517">
        <f t="shared" si="199"/>
        <v>0</v>
      </c>
      <c r="U380" s="1517">
        <f t="shared" si="199"/>
        <v>0</v>
      </c>
      <c r="V380" s="1517">
        <f t="shared" si="199"/>
        <v>13.147</v>
      </c>
      <c r="W380" s="1517">
        <f t="shared" si="199"/>
        <v>0</v>
      </c>
      <c r="X380" s="1517">
        <f t="shared" si="199"/>
        <v>6.4610000000000003</v>
      </c>
      <c r="Y380" s="1517">
        <f t="shared" si="199"/>
        <v>6.4610000000000003</v>
      </c>
      <c r="Z380" s="1517">
        <f t="shared" si="199"/>
        <v>6.4610000000000003</v>
      </c>
      <c r="AA380" s="1517">
        <f t="shared" si="199"/>
        <v>6.4610000000000003</v>
      </c>
      <c r="AB380" s="1517">
        <f t="shared" si="199"/>
        <v>6.4610000000000003</v>
      </c>
      <c r="AC380" s="1517">
        <f t="shared" si="199"/>
        <v>6.4610000000000003</v>
      </c>
      <c r="AD380" s="1517">
        <f t="shared" si="199"/>
        <v>7.5</v>
      </c>
      <c r="AE380" s="1517">
        <f t="shared" si="199"/>
        <v>9.375</v>
      </c>
      <c r="AF380" s="1517">
        <f t="shared" si="199"/>
        <v>11.25</v>
      </c>
      <c r="AG380" s="1517">
        <f t="shared" si="199"/>
        <v>13.125</v>
      </c>
      <c r="AH380" s="1517">
        <f t="shared" si="199"/>
        <v>15</v>
      </c>
      <c r="AI380" s="1517">
        <f t="shared" si="199"/>
        <v>15</v>
      </c>
      <c r="AJ380" s="1732">
        <f t="shared" si="199"/>
        <v>15</v>
      </c>
      <c r="AK380" s="1515">
        <f t="shared" ref="AK380:AP380" si="200">AK382-AK381</f>
        <v>15</v>
      </c>
      <c r="AL380" s="1515">
        <f t="shared" si="200"/>
        <v>15</v>
      </c>
      <c r="AM380" s="1515">
        <f t="shared" si="200"/>
        <v>15</v>
      </c>
      <c r="AN380" s="1515">
        <f t="shared" si="200"/>
        <v>15</v>
      </c>
      <c r="AO380" s="1515">
        <f t="shared" si="200"/>
        <v>15</v>
      </c>
      <c r="AP380" s="1515">
        <f t="shared" si="200"/>
        <v>15</v>
      </c>
      <c r="AQ380" s="1515"/>
      <c r="AR380" s="1595"/>
      <c r="AS380" s="1595"/>
      <c r="AT380" s="1595"/>
      <c r="AU380" s="1595"/>
      <c r="AV380" s="1595"/>
      <c r="AW380" s="1595"/>
      <c r="AX380" s="1595"/>
      <c r="AY380" s="1595"/>
      <c r="AZ380" s="1595"/>
      <c r="BA380" s="1595"/>
      <c r="BB380" s="1733">
        <f t="shared" ref="BB380:BH380" si="201">BB614</f>
        <v>6.4610000000000003</v>
      </c>
      <c r="BC380" s="1733">
        <f t="shared" si="201"/>
        <v>13.147</v>
      </c>
      <c r="BD380" s="1733">
        <f t="shared" si="201"/>
        <v>6.4610000000000003</v>
      </c>
      <c r="BE380" s="1733">
        <f t="shared" si="201"/>
        <v>7.5</v>
      </c>
      <c r="BF380" s="1734">
        <f t="shared" si="201"/>
        <v>15</v>
      </c>
      <c r="BG380" s="1595">
        <f t="shared" si="201"/>
        <v>15</v>
      </c>
      <c r="BH380" s="1595">
        <f t="shared" si="201"/>
        <v>15</v>
      </c>
      <c r="BI380" s="1595">
        <f>BI382-BI381</f>
        <v>15</v>
      </c>
      <c r="BJ380" s="1595">
        <f>BJ382-BJ381</f>
        <v>15</v>
      </c>
      <c r="BK380" s="1595">
        <f>BK382-BK381</f>
        <v>15</v>
      </c>
      <c r="BL380" s="1517"/>
    </row>
    <row r="381" spans="1:64" s="1518" customFormat="1" x14ac:dyDescent="0.35">
      <c r="A381" s="1591" t="s">
        <v>1147</v>
      </c>
      <c r="B381" s="1716"/>
      <c r="C381" s="1515"/>
      <c r="D381" s="1515"/>
      <c r="E381" s="1515"/>
      <c r="F381" s="1515"/>
      <c r="G381" s="1515"/>
      <c r="H381" s="1515"/>
      <c r="I381" s="1515"/>
      <c r="J381" s="1515"/>
      <c r="K381" s="1515"/>
      <c r="L381" s="1515"/>
      <c r="M381" s="1515"/>
      <c r="N381" s="1515"/>
      <c r="O381" s="1515"/>
      <c r="P381" s="1515"/>
      <c r="Q381" s="1515"/>
      <c r="R381" s="1517">
        <f t="shared" ref="R381:AJ381" si="202">R621</f>
        <v>613.096</v>
      </c>
      <c r="S381" s="1517">
        <f t="shared" si="202"/>
        <v>0</v>
      </c>
      <c r="T381" s="1517">
        <f t="shared" si="202"/>
        <v>0</v>
      </c>
      <c r="U381" s="1517">
        <f t="shared" si="202"/>
        <v>0</v>
      </c>
      <c r="V381" s="1517">
        <f t="shared" si="202"/>
        <v>602.30600000000004</v>
      </c>
      <c r="W381" s="1517">
        <f t="shared" si="202"/>
        <v>0</v>
      </c>
      <c r="X381" s="1517">
        <f t="shared" si="202"/>
        <v>600.23099999999999</v>
      </c>
      <c r="Y381" s="1517">
        <f t="shared" si="202"/>
        <v>599.202</v>
      </c>
      <c r="Z381" s="1517">
        <f t="shared" si="202"/>
        <v>499.10700000000003</v>
      </c>
      <c r="AA381" s="1517">
        <f t="shared" si="202"/>
        <v>497.96899999999999</v>
      </c>
      <c r="AB381" s="1517">
        <f t="shared" si="202"/>
        <v>496.83499999999998</v>
      </c>
      <c r="AC381" s="1517">
        <f t="shared" si="202"/>
        <v>495.70499999999998</v>
      </c>
      <c r="AD381" s="1517">
        <f t="shared" si="202"/>
        <v>493.99</v>
      </c>
      <c r="AE381" s="1517">
        <f t="shared" si="202"/>
        <v>490.43400000000003</v>
      </c>
      <c r="AF381" s="1517">
        <f t="shared" si="202"/>
        <v>486.88200000000001</v>
      </c>
      <c r="AG381" s="1517">
        <f t="shared" si="202"/>
        <v>483.334</v>
      </c>
      <c r="AH381" s="1517">
        <f t="shared" si="202"/>
        <v>479.78800000000001</v>
      </c>
      <c r="AI381" s="1517">
        <f t="shared" si="202"/>
        <v>541.24199999999996</v>
      </c>
      <c r="AJ381" s="1732">
        <f t="shared" si="202"/>
        <v>537.69600000000003</v>
      </c>
      <c r="AK381" s="1515">
        <f>MAX(0,AJ381+AK365)</f>
        <v>537.69600000000003</v>
      </c>
      <c r="AL381" s="1515">
        <f>MAX(0,AK381+AL365)</f>
        <v>537.69600000000003</v>
      </c>
      <c r="AM381" s="1515">
        <f>MAX(0,BG381+AM365)</f>
        <v>537.69600000000003</v>
      </c>
      <c r="AN381" s="1515">
        <f>MAX(0,AM381+AN365)</f>
        <v>537.69600000000003</v>
      </c>
      <c r="AO381" s="1515">
        <f>MAX(0,AN381+AO365)</f>
        <v>537.69600000000003</v>
      </c>
      <c r="AP381" s="1515">
        <f>MAX(0,AO381+AP365)</f>
        <v>537.69600000000003</v>
      </c>
      <c r="AQ381" s="1515"/>
      <c r="AR381" s="1595"/>
      <c r="AS381" s="1595"/>
      <c r="AT381" s="1595"/>
      <c r="AU381" s="1595"/>
      <c r="AV381" s="1595"/>
      <c r="AW381" s="1595"/>
      <c r="AX381" s="1595"/>
      <c r="AY381" s="1595"/>
      <c r="AZ381" s="1595"/>
      <c r="BA381" s="1595"/>
      <c r="BB381" s="1733">
        <f t="shared" ref="BB381:BH381" si="203">BB621</f>
        <v>613.096</v>
      </c>
      <c r="BC381" s="1733">
        <f t="shared" si="203"/>
        <v>602.30600000000004</v>
      </c>
      <c r="BD381" s="1733">
        <f t="shared" si="203"/>
        <v>499.10700000000003</v>
      </c>
      <c r="BE381" s="1733">
        <f t="shared" si="203"/>
        <v>493.99</v>
      </c>
      <c r="BF381" s="1734">
        <f t="shared" si="203"/>
        <v>479.78800000000001</v>
      </c>
      <c r="BG381" s="1595">
        <f t="shared" si="203"/>
        <v>537.69600000000003</v>
      </c>
      <c r="BH381" s="1595">
        <f t="shared" si="203"/>
        <v>537.69600000000003</v>
      </c>
      <c r="BI381" s="1595">
        <f>MAX(0,BH381+BI365)</f>
        <v>537.69600000000003</v>
      </c>
      <c r="BJ381" s="1595">
        <f>MAX(0,BI381+BJ365)</f>
        <v>537.69600000000003</v>
      </c>
      <c r="BK381" s="1595">
        <f>MAX(0,BJ381+BK365)</f>
        <v>537.69600000000003</v>
      </c>
      <c r="BL381" s="1517"/>
    </row>
    <row r="382" spans="1:64" s="1518" customFormat="1" x14ac:dyDescent="0.35">
      <c r="A382" s="1951" t="s">
        <v>201</v>
      </c>
      <c r="B382" s="1952"/>
      <c r="C382" s="1953"/>
      <c r="D382" s="1953"/>
      <c r="E382" s="1953"/>
      <c r="F382" s="1953"/>
      <c r="G382" s="1953"/>
      <c r="H382" s="1953"/>
      <c r="I382" s="1953"/>
      <c r="J382" s="1953"/>
      <c r="K382" s="1953"/>
      <c r="L382" s="1953"/>
      <c r="M382" s="1953"/>
      <c r="N382" s="1953"/>
      <c r="O382" s="1953"/>
      <c r="P382" s="1953"/>
      <c r="Q382" s="1953"/>
      <c r="R382" s="1951">
        <f t="shared" ref="R382:AJ382" si="204">R614+R621</f>
        <v>619.55700000000002</v>
      </c>
      <c r="S382" s="1951">
        <f t="shared" si="204"/>
        <v>0</v>
      </c>
      <c r="T382" s="1951">
        <f t="shared" si="204"/>
        <v>0</v>
      </c>
      <c r="U382" s="1951">
        <f t="shared" si="204"/>
        <v>0</v>
      </c>
      <c r="V382" s="1951">
        <f t="shared" si="204"/>
        <v>615.45300000000009</v>
      </c>
      <c r="W382" s="1951">
        <f t="shared" si="204"/>
        <v>0</v>
      </c>
      <c r="X382" s="1951">
        <f t="shared" si="204"/>
        <v>606.69200000000001</v>
      </c>
      <c r="Y382" s="1951">
        <f t="shared" si="204"/>
        <v>605.66300000000001</v>
      </c>
      <c r="Z382" s="1951">
        <f t="shared" si="204"/>
        <v>505.56800000000004</v>
      </c>
      <c r="AA382" s="1951">
        <f t="shared" si="204"/>
        <v>504.43</v>
      </c>
      <c r="AB382" s="1951">
        <f t="shared" si="204"/>
        <v>503.29599999999999</v>
      </c>
      <c r="AC382" s="1951">
        <f t="shared" si="204"/>
        <v>502.166</v>
      </c>
      <c r="AD382" s="1951">
        <f t="shared" si="204"/>
        <v>501.49</v>
      </c>
      <c r="AE382" s="1951">
        <f t="shared" si="204"/>
        <v>499.80900000000003</v>
      </c>
      <c r="AF382" s="1951">
        <f t="shared" si="204"/>
        <v>498.13200000000001</v>
      </c>
      <c r="AG382" s="1951">
        <f t="shared" si="204"/>
        <v>496.459</v>
      </c>
      <c r="AH382" s="1951">
        <f t="shared" si="204"/>
        <v>494.78800000000001</v>
      </c>
      <c r="AI382" s="1951">
        <f t="shared" si="204"/>
        <v>556.24199999999996</v>
      </c>
      <c r="AJ382" s="1954">
        <f t="shared" si="204"/>
        <v>552.69600000000003</v>
      </c>
      <c r="AK382" s="1953">
        <f>AJ382+AK365</f>
        <v>552.69600000000003</v>
      </c>
      <c r="AL382" s="1953">
        <f>AK382+AL365</f>
        <v>552.69600000000003</v>
      </c>
      <c r="AM382" s="1953">
        <f>BG382+AM365</f>
        <v>552.69600000000003</v>
      </c>
      <c r="AN382" s="1953">
        <f>AM382+AN365</f>
        <v>552.69600000000003</v>
      </c>
      <c r="AO382" s="1953">
        <f>AN382+AO365</f>
        <v>552.69600000000003</v>
      </c>
      <c r="AP382" s="1953">
        <f>AO382+AP365</f>
        <v>552.69600000000003</v>
      </c>
      <c r="AQ382" s="1953"/>
      <c r="AR382" s="1955"/>
      <c r="AS382" s="1955"/>
      <c r="AT382" s="1955"/>
      <c r="AU382" s="1955"/>
      <c r="AV382" s="1955"/>
      <c r="AW382" s="1955"/>
      <c r="AX382" s="1955"/>
      <c r="AY382" s="1955"/>
      <c r="AZ382" s="1955"/>
      <c r="BA382" s="1955"/>
      <c r="BB382" s="1956">
        <f t="shared" ref="BB382:BH382" si="205">BB614+BB621</f>
        <v>619.55700000000002</v>
      </c>
      <c r="BC382" s="1956">
        <f t="shared" si="205"/>
        <v>615.45300000000009</v>
      </c>
      <c r="BD382" s="1956">
        <f t="shared" si="205"/>
        <v>505.56800000000004</v>
      </c>
      <c r="BE382" s="1956">
        <f t="shared" si="205"/>
        <v>501.49</v>
      </c>
      <c r="BF382" s="1957">
        <f t="shared" si="205"/>
        <v>494.78800000000001</v>
      </c>
      <c r="BG382" s="1955">
        <f t="shared" si="205"/>
        <v>552.69600000000003</v>
      </c>
      <c r="BH382" s="1955">
        <f t="shared" si="205"/>
        <v>552.69600000000003</v>
      </c>
      <c r="BI382" s="1955">
        <f>BH382+BI365</f>
        <v>552.69600000000003</v>
      </c>
      <c r="BJ382" s="1955">
        <f>BI382+BJ365</f>
        <v>552.69600000000003</v>
      </c>
      <c r="BK382" s="1955">
        <f>BJ382+BK365</f>
        <v>552.69600000000003</v>
      </c>
      <c r="BL382" s="1517"/>
    </row>
    <row r="383" spans="1:64" s="1518" customFormat="1" x14ac:dyDescent="0.35">
      <c r="A383" s="1517" t="s">
        <v>1148</v>
      </c>
      <c r="B383" s="1716"/>
      <c r="C383" s="1515"/>
      <c r="D383" s="1515"/>
      <c r="E383" s="1515"/>
      <c r="F383" s="1515"/>
      <c r="G383" s="1515"/>
      <c r="H383" s="1515"/>
      <c r="I383" s="1515"/>
      <c r="J383" s="1515"/>
      <c r="K383" s="1515"/>
      <c r="L383" s="1515"/>
      <c r="M383" s="1515"/>
      <c r="N383" s="1515"/>
      <c r="O383" s="1515"/>
      <c r="P383" s="1515"/>
      <c r="Q383" s="1515"/>
      <c r="R383" s="1515"/>
      <c r="S383" s="1515">
        <f t="shared" ref="S383:AP383" si="206">+S615+S623</f>
        <v>0</v>
      </c>
      <c r="T383" s="1515">
        <f t="shared" si="206"/>
        <v>0</v>
      </c>
      <c r="U383" s="1515">
        <f t="shared" si="206"/>
        <v>0</v>
      </c>
      <c r="V383" s="1515">
        <f t="shared" si="206"/>
        <v>0</v>
      </c>
      <c r="W383" s="1515">
        <f t="shared" si="206"/>
        <v>0</v>
      </c>
      <c r="X383" s="1515">
        <f t="shared" si="206"/>
        <v>0</v>
      </c>
      <c r="Y383" s="1515">
        <f t="shared" si="206"/>
        <v>0</v>
      </c>
      <c r="Z383" s="1515">
        <f t="shared" si="206"/>
        <v>0</v>
      </c>
      <c r="AA383" s="1515">
        <f t="shared" si="206"/>
        <v>22.770000000000003</v>
      </c>
      <c r="AB383" s="1515">
        <f t="shared" si="206"/>
        <v>21.728999999999999</v>
      </c>
      <c r="AC383" s="1515">
        <f t="shared" si="206"/>
        <v>21.687999999999999</v>
      </c>
      <c r="AD383" s="1515">
        <f t="shared" si="206"/>
        <v>20.552</v>
      </c>
      <c r="AE383" s="1515">
        <f t="shared" si="206"/>
        <v>20.139000000000003</v>
      </c>
      <c r="AF383" s="1515">
        <f t="shared" si="206"/>
        <v>14.251000000000001</v>
      </c>
      <c r="AG383" s="1515">
        <f t="shared" si="206"/>
        <v>13.067</v>
      </c>
      <c r="AH383" s="1515">
        <f t="shared" si="206"/>
        <v>11.497</v>
      </c>
      <c r="AI383" s="1515">
        <f t="shared" si="206"/>
        <v>10.484999999999999</v>
      </c>
      <c r="AJ383" s="1516">
        <f t="shared" si="206"/>
        <v>9.5440000000000005</v>
      </c>
      <c r="AK383" s="1515">
        <f t="shared" si="206"/>
        <v>9.5440000000000005</v>
      </c>
      <c r="AL383" s="1515">
        <f t="shared" si="206"/>
        <v>9.5440000000000005</v>
      </c>
      <c r="AM383" s="1515">
        <f t="shared" si="206"/>
        <v>9.5440000000000005</v>
      </c>
      <c r="AN383" s="1515">
        <f t="shared" si="206"/>
        <v>9.5440000000000005</v>
      </c>
      <c r="AO383" s="1515">
        <f t="shared" si="206"/>
        <v>9.5440000000000005</v>
      </c>
      <c r="AP383" s="1515">
        <f t="shared" si="206"/>
        <v>9.5440000000000005</v>
      </c>
      <c r="AQ383" s="1515"/>
      <c r="AR383" s="1595"/>
      <c r="AS383" s="1595"/>
      <c r="AT383" s="1595"/>
      <c r="AU383" s="1595"/>
      <c r="AV383" s="1595"/>
      <c r="AW383" s="1595"/>
      <c r="AX383" s="1595"/>
      <c r="AY383" s="1595"/>
      <c r="AZ383" s="1595"/>
      <c r="BA383" s="1595"/>
      <c r="BB383" s="1595">
        <f t="shared" ref="BB383:BK383" si="207">+BB615+BB623</f>
        <v>0</v>
      </c>
      <c r="BC383" s="1595">
        <f t="shared" si="207"/>
        <v>0</v>
      </c>
      <c r="BD383" s="1595">
        <f t="shared" si="207"/>
        <v>0</v>
      </c>
      <c r="BE383" s="1595">
        <f t="shared" si="207"/>
        <v>20.552</v>
      </c>
      <c r="BF383" s="1610">
        <f t="shared" si="207"/>
        <v>11.497</v>
      </c>
      <c r="BG383" s="1595">
        <f t="shared" si="207"/>
        <v>9.5440000000000005</v>
      </c>
      <c r="BH383" s="1595">
        <f t="shared" si="207"/>
        <v>9.5440000000000005</v>
      </c>
      <c r="BI383" s="1595">
        <f t="shared" si="207"/>
        <v>9.5440000000000005</v>
      </c>
      <c r="BJ383" s="1595">
        <f t="shared" si="207"/>
        <v>9.5440000000000005</v>
      </c>
      <c r="BK383" s="1595">
        <f t="shared" si="207"/>
        <v>9.5440000000000005</v>
      </c>
      <c r="BL383" s="1517"/>
    </row>
    <row r="384" spans="1:64" s="1518" customFormat="1" x14ac:dyDescent="0.35">
      <c r="A384" s="1517" t="s">
        <v>52</v>
      </c>
      <c r="B384" s="1716"/>
      <c r="C384" s="1515"/>
      <c r="D384" s="1515"/>
      <c r="E384" s="1515"/>
      <c r="F384" s="1515"/>
      <c r="G384" s="1515"/>
      <c r="H384" s="1515"/>
      <c r="I384" s="1515"/>
      <c r="J384" s="1515"/>
      <c r="K384" s="1515"/>
      <c r="L384" s="1515"/>
      <c r="M384" s="1515"/>
      <c r="N384" s="1515"/>
      <c r="O384" s="1515"/>
      <c r="P384" s="1515"/>
      <c r="Q384" s="1517">
        <f t="shared" ref="Q384:AP384" si="208">Q382+Q383-Q379</f>
        <v>0</v>
      </c>
      <c r="R384" s="1517">
        <f t="shared" si="208"/>
        <v>569.25800000000004</v>
      </c>
      <c r="S384" s="1517">
        <f t="shared" si="208"/>
        <v>0</v>
      </c>
      <c r="T384" s="1517">
        <f t="shared" si="208"/>
        <v>0</v>
      </c>
      <c r="U384" s="1517">
        <f t="shared" si="208"/>
        <v>0</v>
      </c>
      <c r="V384" s="1517">
        <f t="shared" si="208"/>
        <v>548.82000000000005</v>
      </c>
      <c r="W384" s="1517">
        <f t="shared" si="208"/>
        <v>0</v>
      </c>
      <c r="X384" s="1517">
        <f t="shared" si="208"/>
        <v>512.40100000000007</v>
      </c>
      <c r="Y384" s="1517">
        <f t="shared" si="208"/>
        <v>413.26600000000002</v>
      </c>
      <c r="Z384" s="1517">
        <f t="shared" si="208"/>
        <v>457.57000000000005</v>
      </c>
      <c r="AA384" s="1517">
        <f t="shared" si="208"/>
        <v>482.85300000000007</v>
      </c>
      <c r="AB384" s="1517">
        <f t="shared" si="208"/>
        <v>459.21399999999994</v>
      </c>
      <c r="AC384" s="1517">
        <f t="shared" si="208"/>
        <v>424.66400000000004</v>
      </c>
      <c r="AD384" s="1517">
        <f t="shared" si="208"/>
        <v>418.947</v>
      </c>
      <c r="AE384" s="1517">
        <f t="shared" si="208"/>
        <v>468.98399999999998</v>
      </c>
      <c r="AF384" s="1517">
        <f t="shared" si="208"/>
        <v>463.56600000000003</v>
      </c>
      <c r="AG384" s="1517">
        <f t="shared" si="208"/>
        <v>459.649</v>
      </c>
      <c r="AH384" s="1517">
        <f t="shared" si="208"/>
        <v>452.06100000000004</v>
      </c>
      <c r="AI384" s="1517">
        <f t="shared" si="208"/>
        <v>499.74799999999999</v>
      </c>
      <c r="AJ384" s="1732">
        <f t="shared" si="208"/>
        <v>488.05799999999999</v>
      </c>
      <c r="AK384" s="1515">
        <f t="shared" ca="1" si="208"/>
        <v>458.97985056363621</v>
      </c>
      <c r="AL384" s="1515">
        <f t="shared" ca="1" si="208"/>
        <v>407.00579798463002</v>
      </c>
      <c r="AM384" s="1515">
        <f t="shared" ca="1" si="208"/>
        <v>374.20307892864935</v>
      </c>
      <c r="AN384" s="1515">
        <f t="shared" ca="1" si="208"/>
        <v>339.16964968570858</v>
      </c>
      <c r="AO384" s="1515">
        <f t="shared" ca="1" si="208"/>
        <v>315.42390137651773</v>
      </c>
      <c r="AP384" s="1515">
        <f t="shared" ca="1" si="208"/>
        <v>270.83230943142269</v>
      </c>
      <c r="AQ384" s="1515"/>
      <c r="AR384" s="1595"/>
      <c r="AS384" s="1595"/>
      <c r="AT384" s="1595"/>
      <c r="AU384" s="1595"/>
      <c r="AV384" s="1595"/>
      <c r="AW384" s="1595"/>
      <c r="AX384" s="1595"/>
      <c r="AY384" s="1595"/>
      <c r="AZ384" s="1595"/>
      <c r="BA384" s="1595"/>
      <c r="BB384" s="1733">
        <f t="shared" ref="BB384:BK384" si="209">BB382+BB383-BB379</f>
        <v>569.25800000000004</v>
      </c>
      <c r="BC384" s="1733">
        <f t="shared" si="209"/>
        <v>548.82000000000005</v>
      </c>
      <c r="BD384" s="1733">
        <f t="shared" si="209"/>
        <v>457.57000000000005</v>
      </c>
      <c r="BE384" s="1733">
        <f t="shared" si="209"/>
        <v>418.947</v>
      </c>
      <c r="BF384" s="1734">
        <f t="shared" si="209"/>
        <v>452.06100000000004</v>
      </c>
      <c r="BG384" s="1595">
        <f t="shared" ca="1" si="209"/>
        <v>407.00579798463002</v>
      </c>
      <c r="BH384" s="1595">
        <f t="shared" ca="1" si="209"/>
        <v>270.83230943142269</v>
      </c>
      <c r="BI384" s="1595">
        <f t="shared" ca="1" si="209"/>
        <v>86.975820973888517</v>
      </c>
      <c r="BJ384" s="1595">
        <f t="shared" ca="1" si="209"/>
        <v>-95.898835311043399</v>
      </c>
      <c r="BK384" s="1595">
        <f t="shared" ca="1" si="209"/>
        <v>-309.48905054352156</v>
      </c>
      <c r="BL384" s="1517"/>
    </row>
    <row r="385" spans="1:64" s="1518" customFormat="1" x14ac:dyDescent="0.35">
      <c r="A385" s="1515"/>
      <c r="B385" s="1716"/>
      <c r="C385" s="1515"/>
      <c r="D385" s="1515"/>
      <c r="E385" s="1515"/>
      <c r="F385" s="1515"/>
      <c r="G385" s="1515"/>
      <c r="H385" s="1515"/>
      <c r="I385" s="1515"/>
      <c r="J385" s="1515"/>
      <c r="K385" s="1515"/>
      <c r="L385" s="1515"/>
      <c r="M385" s="1515"/>
      <c r="N385" s="1515"/>
      <c r="O385" s="1515"/>
      <c r="P385" s="1515"/>
      <c r="Q385" s="1515"/>
      <c r="R385" s="1515"/>
      <c r="S385" s="1515"/>
      <c r="T385" s="1515"/>
      <c r="U385" s="1515"/>
      <c r="V385" s="1515"/>
      <c r="W385" s="1515"/>
      <c r="X385" s="1515"/>
      <c r="Y385" s="1515"/>
      <c r="Z385" s="1515"/>
      <c r="AA385" s="1515"/>
      <c r="AB385" s="1515"/>
      <c r="AC385" s="1515"/>
      <c r="AD385" s="1515"/>
      <c r="AE385" s="1515"/>
      <c r="AF385" s="1515"/>
      <c r="AG385" s="1515"/>
      <c r="AH385" s="1515"/>
      <c r="AI385" s="1515"/>
      <c r="AJ385" s="1516"/>
      <c r="AK385" s="1515"/>
      <c r="AL385" s="1515"/>
      <c r="AM385" s="1515"/>
      <c r="AN385" s="1515"/>
      <c r="AO385" s="1515"/>
      <c r="AP385" s="1515"/>
      <c r="AQ385" s="1515"/>
      <c r="AR385" s="1595"/>
      <c r="AS385" s="1595"/>
      <c r="AT385" s="1595"/>
      <c r="AU385" s="1595"/>
      <c r="AV385" s="1595"/>
      <c r="AW385" s="1595"/>
      <c r="AX385" s="1595"/>
      <c r="AY385" s="1595"/>
      <c r="AZ385" s="1595"/>
      <c r="BA385" s="1595"/>
      <c r="BB385" s="1595"/>
      <c r="BC385" s="1595"/>
      <c r="BD385" s="1595"/>
      <c r="BE385" s="1595"/>
      <c r="BF385" s="1610"/>
      <c r="BG385" s="1595"/>
      <c r="BH385" s="1595"/>
      <c r="BI385" s="1595"/>
      <c r="BJ385" s="1595"/>
      <c r="BK385" s="1595"/>
      <c r="BL385" s="1517"/>
    </row>
    <row r="386" spans="1:64" s="1518" customFormat="1" x14ac:dyDescent="0.35">
      <c r="A386" s="1517" t="s">
        <v>1149</v>
      </c>
      <c r="B386" s="1716"/>
      <c r="C386" s="1958"/>
      <c r="D386" s="1958"/>
      <c r="E386" s="1958"/>
      <c r="F386" s="1958"/>
      <c r="G386" s="1958"/>
      <c r="H386" s="1958"/>
      <c r="I386" s="1958"/>
      <c r="J386" s="1958"/>
      <c r="K386" s="1958"/>
      <c r="L386" s="1958"/>
      <c r="M386" s="1958"/>
      <c r="N386" s="1958"/>
      <c r="O386" s="1958"/>
      <c r="P386" s="1958"/>
      <c r="Q386" s="1959">
        <f t="shared" ref="Q386:AJ386" si="210">Q194</f>
        <v>9.7840000000000007</v>
      </c>
      <c r="R386" s="1959">
        <f t="shared" si="210"/>
        <v>9.1989999999999998</v>
      </c>
      <c r="S386" s="1959">
        <f t="shared" si="210"/>
        <v>9.0559999999999992</v>
      </c>
      <c r="T386" s="1959">
        <f t="shared" si="210"/>
        <v>8.2370000000000001</v>
      </c>
      <c r="U386" s="1959">
        <f t="shared" si="210"/>
        <v>7.8170000000000002</v>
      </c>
      <c r="V386" s="1959">
        <f t="shared" si="210"/>
        <v>7.8369999999999997</v>
      </c>
      <c r="W386" s="1959">
        <f t="shared" si="210"/>
        <v>7.57</v>
      </c>
      <c r="X386" s="1959">
        <f t="shared" si="210"/>
        <v>7.6029999999999998</v>
      </c>
      <c r="Y386" s="1959">
        <f t="shared" si="210"/>
        <v>7.6680000000000001</v>
      </c>
      <c r="Z386" s="1959">
        <f t="shared" si="210"/>
        <v>8.016</v>
      </c>
      <c r="AA386" s="1959">
        <f t="shared" si="210"/>
        <v>6.3360000000000003</v>
      </c>
      <c r="AB386" s="1959">
        <f t="shared" si="210"/>
        <v>6.6189999999999998</v>
      </c>
      <c r="AC386" s="1959">
        <f t="shared" si="210"/>
        <v>7.7640000000000002</v>
      </c>
      <c r="AD386" s="1959">
        <f t="shared" si="210"/>
        <v>8.8279999999999994</v>
      </c>
      <c r="AE386" s="1959">
        <f t="shared" si="210"/>
        <v>8.6080000000000005</v>
      </c>
      <c r="AF386" s="1959">
        <f t="shared" si="210"/>
        <v>8.99</v>
      </c>
      <c r="AG386" s="1959">
        <f t="shared" si="210"/>
        <v>9.3049999999999997</v>
      </c>
      <c r="AH386" s="1959">
        <f t="shared" si="210"/>
        <v>9.3299999999999983</v>
      </c>
      <c r="AI386" s="1959">
        <f t="shared" si="210"/>
        <v>10.311999999999999</v>
      </c>
      <c r="AJ386" s="1960">
        <f t="shared" si="210"/>
        <v>10.143000000000001</v>
      </c>
      <c r="AK386" s="1958">
        <f>MAX(0,AK387*AVERAGE(AJ382,AK382)*AK3/BG3)</f>
        <v>9.7250334426229514</v>
      </c>
      <c r="AL386" s="1958">
        <f>MAX(0,AL387*AVERAGE(AK382,AL382)*AL3/BG3)</f>
        <v>9.7250334426229514</v>
      </c>
      <c r="AM386" s="1958">
        <f>MAX(0,AM387*AVERAGE(BG382,AM382)*AM3/BH3)</f>
        <v>9.5396843835616441</v>
      </c>
      <c r="AN386" s="1958">
        <f>MAX(0,AN387*AVERAGE(AM382,AN382)*AN3/BH3)</f>
        <v>9.6456808767123299</v>
      </c>
      <c r="AO386" s="1958">
        <f>MAX(0,AO387*AVERAGE(AN382,AO382)*AO3/BH3)</f>
        <v>9.7516773698630139</v>
      </c>
      <c r="AP386" s="1958">
        <f>MAX(0,AP387*AVERAGE(AO382,AP382)*AP3/BH3)</f>
        <v>9.7516773698630139</v>
      </c>
      <c r="AQ386" s="1958"/>
      <c r="AR386" s="1961"/>
      <c r="AS386" s="1961"/>
      <c r="AT386" s="1961"/>
      <c r="AU386" s="1961"/>
      <c r="AV386" s="1961"/>
      <c r="AW386" s="1961"/>
      <c r="AX386" s="1961"/>
      <c r="AY386" s="1961"/>
      <c r="AZ386" s="1961"/>
      <c r="BA386" s="1961"/>
      <c r="BB386" s="1962">
        <f>BB194</f>
        <v>39.316000000000003</v>
      </c>
      <c r="BC386" s="1962">
        <f>BC194</f>
        <v>32.947000000000003</v>
      </c>
      <c r="BD386" s="1962">
        <f>BD194</f>
        <v>30.856999999999999</v>
      </c>
      <c r="BE386" s="1962">
        <f>BE194</f>
        <v>29.547000000000001</v>
      </c>
      <c r="BF386" s="1963">
        <f>BF194</f>
        <v>36.232999999999997</v>
      </c>
      <c r="BG386" s="1961">
        <f>IF(OR(ISBLANK(AI386),ISBLANK(AJ386),ISBLANK(AK386),ISBLANK(AL386)),"n/a",SUM(AI386,AJ386,AK386,AL386))</f>
        <v>39.905066885245901</v>
      </c>
      <c r="BH386" s="1961">
        <f>IF(OR(ISBLANK(AM386),ISBLANK(AN386),ISBLANK(AO386),ISBLANK(AP386)),"n/a",SUM(AM386,AN386,AO386,AP386))</f>
        <v>38.688720000000004</v>
      </c>
      <c r="BI386" s="1961">
        <f>MAX(0,BI387*AVERAGE(BH382,BI382))</f>
        <v>38.688720000000004</v>
      </c>
      <c r="BJ386" s="1961">
        <f>MAX(0,BJ387*AVERAGE(BI382,BJ382))</f>
        <v>38.688720000000004</v>
      </c>
      <c r="BK386" s="1961">
        <f>MAX(0,BK387*AVERAGE(BJ382,BK382))</f>
        <v>38.688720000000004</v>
      </c>
      <c r="BL386" s="1517"/>
    </row>
    <row r="387" spans="1:64" s="1518" customFormat="1" x14ac:dyDescent="0.35">
      <c r="A387" s="1607" t="s">
        <v>1150</v>
      </c>
      <c r="B387" s="1712"/>
      <c r="C387" s="1580"/>
      <c r="D387" s="1580"/>
      <c r="E387" s="1580"/>
      <c r="F387" s="1580"/>
      <c r="G387" s="1580"/>
      <c r="H387" s="1580"/>
      <c r="I387" s="1580"/>
      <c r="J387" s="1580"/>
      <c r="K387" s="1580"/>
      <c r="L387" s="1580"/>
      <c r="M387" s="1580"/>
      <c r="N387" s="1580"/>
      <c r="O387" s="1580"/>
      <c r="P387" s="1580"/>
      <c r="Q387" s="1580"/>
      <c r="R387" s="1580"/>
      <c r="S387" s="1580"/>
      <c r="T387" s="1580"/>
      <c r="U387" s="1580"/>
      <c r="V387" s="1580"/>
      <c r="W387" s="1580"/>
      <c r="X387" s="1580"/>
      <c r="Y387" s="1702">
        <f>IFERROR(Y386/AVERAGE(X382,Y382)*BD3/Y3,"n/a")</f>
        <v>5.0186548530321777E-2</v>
      </c>
      <c r="Z387" s="1580">
        <f>IFERROR(Z386/AVERAGE(Y382,Z382)*BD3/Z3,"n/a")</f>
        <v>5.7238519615907354E-2</v>
      </c>
      <c r="AA387" s="1580">
        <f>IFERROR(AA386/AVERAGE(BD382,AA382)*BE3/AA3,"n/a")</f>
        <v>5.0883269075780349E-2</v>
      </c>
      <c r="AB387" s="1580">
        <f>IFERROR(AB386/AVERAGE(AA382,AB382)*BE3/AB3,"n/a")</f>
        <v>5.2690386600596315E-2</v>
      </c>
      <c r="AC387" s="1702">
        <f>IFERROR(AC386/AVERAGE(AB382,AC382)*BE3/AC3,"n/a")</f>
        <v>6.1270990026388909E-2</v>
      </c>
      <c r="AD387" s="1580">
        <f>IFERROR(AD386/AVERAGE(AC382,AD382)*BE3/AD3,"n/a")</f>
        <v>6.9793097305815149E-2</v>
      </c>
      <c r="AE387" s="1580">
        <f>IFERROR(AE386/AVERAGE(BE382,AE382)*BF3/AE3,"n/a")</f>
        <v>6.9729865349355644E-2</v>
      </c>
      <c r="AF387" s="1580">
        <f>IFERROR(AF386/AVERAGE(AE382,AF382)*BF3/AF3,"n/a")</f>
        <v>7.2266378891720467E-2</v>
      </c>
      <c r="AG387" s="1702">
        <f>IFERROR(AG386/AVERAGE(AF382,AG382)*BF3/AG3,"n/a")</f>
        <v>7.4234687599136762E-2</v>
      </c>
      <c r="AH387" s="1580">
        <f>IFERROR(AH386/AVERAGE(AG382,AH382)*BF3/AH3,"n/a")</f>
        <v>7.4685241659374929E-2</v>
      </c>
      <c r="AI387" s="1580">
        <f>IFERROR(AI386/AVERAGE(BF382,AI382)*BG3/AI3,"n/a")</f>
        <v>7.8921890645628309E-2</v>
      </c>
      <c r="AJ387" s="1581">
        <f>IFERROR(AJ386/AVERAGE(AI382,AJ382)*BG3/AJ3,"n/a")</f>
        <v>7.357475905221586E-2</v>
      </c>
      <c r="AK387" s="1698">
        <v>7.0000000000000007E-2</v>
      </c>
      <c r="AL387" s="1698">
        <v>7.0000000000000007E-2</v>
      </c>
      <c r="AM387" s="1698">
        <v>7.0000000000000007E-2</v>
      </c>
      <c r="AN387" s="1698">
        <v>7.0000000000000007E-2</v>
      </c>
      <c r="AO387" s="1698">
        <v>7.0000000000000007E-2</v>
      </c>
      <c r="AP387" s="1698">
        <v>7.0000000000000007E-2</v>
      </c>
      <c r="AQ387" s="1699"/>
      <c r="AR387" s="1582"/>
      <c r="AS387" s="1582"/>
      <c r="AT387" s="1582"/>
      <c r="AU387" s="1582"/>
      <c r="AV387" s="1582"/>
      <c r="AW387" s="1582"/>
      <c r="AX387" s="1582"/>
      <c r="AY387" s="1582"/>
      <c r="AZ387" s="1582"/>
      <c r="BA387" s="1582"/>
      <c r="BB387" s="1582"/>
      <c r="BC387" s="1582"/>
      <c r="BD387" s="1582"/>
      <c r="BE387" s="1582">
        <f>IFERROR(BE386/AVERAGE(AA382,AB382,AC382,AD382),"n/a")</f>
        <v>5.8759599121400108E-2</v>
      </c>
      <c r="BF387" s="1583">
        <f>IFERROR(BF386/AVERAGE(AE382,AF382,AG382,AH382),"n/a")</f>
        <v>7.2859880514058992E-2</v>
      </c>
      <c r="BG387" s="1582">
        <f>IFERROR(BG386/AVERAGE(AI382,AJ382,AK382,AL382),"n/a")</f>
        <v>7.2085130735248859E-2</v>
      </c>
      <c r="BH387" s="1582">
        <f>IFERROR(BH386/AVERAGE(AM382,AN382,AO382,AP382),"n/a")</f>
        <v>7.0000000000000007E-2</v>
      </c>
      <c r="BI387" s="1700">
        <v>7.0000000000000007E-2</v>
      </c>
      <c r="BJ387" s="1700">
        <v>7.0000000000000007E-2</v>
      </c>
      <c r="BK387" s="1700">
        <v>7.0000000000000007E-2</v>
      </c>
      <c r="BL387" s="1517"/>
    </row>
    <row r="388" spans="1:64" s="1518" customFormat="1" x14ac:dyDescent="0.35">
      <c r="A388" s="1515" t="s">
        <v>1151</v>
      </c>
      <c r="B388" s="1716"/>
      <c r="C388" s="1958"/>
      <c r="D388" s="1958"/>
      <c r="E388" s="1958"/>
      <c r="F388" s="1958"/>
      <c r="G388" s="1958"/>
      <c r="H388" s="1958"/>
      <c r="I388" s="1958"/>
      <c r="J388" s="1958"/>
      <c r="K388" s="1958"/>
      <c r="L388" s="1958"/>
      <c r="M388" s="1958"/>
      <c r="N388" s="1958"/>
      <c r="O388" s="1958"/>
      <c r="P388" s="1958"/>
      <c r="Q388" s="1958">
        <f t="shared" ref="Q388:AJ388" si="211">-Q195</f>
        <v>0</v>
      </c>
      <c r="R388" s="1958">
        <f t="shared" si="211"/>
        <v>0</v>
      </c>
      <c r="S388" s="1958">
        <f t="shared" si="211"/>
        <v>0</v>
      </c>
      <c r="T388" s="1958">
        <f t="shared" si="211"/>
        <v>0</v>
      </c>
      <c r="U388" s="1958">
        <f t="shared" si="211"/>
        <v>0</v>
      </c>
      <c r="V388" s="1958">
        <f t="shared" si="211"/>
        <v>0</v>
      </c>
      <c r="W388" s="1958">
        <f t="shared" si="211"/>
        <v>0</v>
      </c>
      <c r="X388" s="1958">
        <f t="shared" si="211"/>
        <v>0</v>
      </c>
      <c r="Y388" s="1958">
        <f t="shared" si="211"/>
        <v>0</v>
      </c>
      <c r="Z388" s="1958">
        <f t="shared" si="211"/>
        <v>0</v>
      </c>
      <c r="AA388" s="1958">
        <f t="shared" si="211"/>
        <v>0</v>
      </c>
      <c r="AB388" s="1958">
        <f t="shared" si="211"/>
        <v>0</v>
      </c>
      <c r="AC388" s="1958">
        <f t="shared" si="211"/>
        <v>0</v>
      </c>
      <c r="AD388" s="1958">
        <f t="shared" si="211"/>
        <v>0</v>
      </c>
      <c r="AE388" s="1958">
        <f t="shared" si="211"/>
        <v>0</v>
      </c>
      <c r="AF388" s="1958">
        <f t="shared" si="211"/>
        <v>0</v>
      </c>
      <c r="AG388" s="1958">
        <f t="shared" si="211"/>
        <v>0</v>
      </c>
      <c r="AH388" s="1958">
        <f t="shared" si="211"/>
        <v>0</v>
      </c>
      <c r="AI388" s="1958">
        <f t="shared" si="211"/>
        <v>0</v>
      </c>
      <c r="AJ388" s="1964">
        <f t="shared" si="211"/>
        <v>0</v>
      </c>
      <c r="AK388" s="1958">
        <f>MAX(0,AK389*AJ379*AK3/BG3)</f>
        <v>0</v>
      </c>
      <c r="AL388" s="1958">
        <f ca="1">MAX(0,AL389*AK379*AL3/BG3)</f>
        <v>0</v>
      </c>
      <c r="AM388" s="1958">
        <f ca="1">MAX(0,AM389*BG379*AM3/BH3)</f>
        <v>0</v>
      </c>
      <c r="AN388" s="1958">
        <f ca="1">MAX(0,AN389*AM379*AN3/BH3)</f>
        <v>0</v>
      </c>
      <c r="AO388" s="1958">
        <f ca="1">MAX(0,AO389*AN379*AO3/BH3)</f>
        <v>0</v>
      </c>
      <c r="AP388" s="1958">
        <f ca="1">MAX(0,AP389*AO379*AP3/BH3)</f>
        <v>0</v>
      </c>
      <c r="AQ388" s="1958"/>
      <c r="AR388" s="1961"/>
      <c r="AS388" s="1961"/>
      <c r="AT388" s="1961"/>
      <c r="AU388" s="1961"/>
      <c r="AV388" s="1961"/>
      <c r="AW388" s="1961"/>
      <c r="AX388" s="1961"/>
      <c r="AY388" s="1961"/>
      <c r="AZ388" s="1961"/>
      <c r="BA388" s="1961"/>
      <c r="BB388" s="1961">
        <f>-BB195</f>
        <v>0</v>
      </c>
      <c r="BC388" s="1961">
        <f>-BC195</f>
        <v>0</v>
      </c>
      <c r="BD388" s="1961">
        <f>-BD195</f>
        <v>0</v>
      </c>
      <c r="BE388" s="1961">
        <f>-BE195</f>
        <v>0</v>
      </c>
      <c r="BF388" s="1965">
        <f>-BF195</f>
        <v>0</v>
      </c>
      <c r="BG388" s="1961">
        <f ca="1">IF(OR(ISBLANK(AI388),ISBLANK(AJ388),ISBLANK(AK388),ISBLANK(AL388)),"n/a",SUM(AI388,AJ388,AK388,AL388))</f>
        <v>0</v>
      </c>
      <c r="BH388" s="1961">
        <f ca="1">IF(OR(ISBLANK(AM388),ISBLANK(AN388),ISBLANK(AO388),ISBLANK(AP388)),"n/a",SUM(AM388,AN388,AO388,AP388))</f>
        <v>0</v>
      </c>
      <c r="BI388" s="1961">
        <f ca="1">MAX(0,BI389*BH379)</f>
        <v>0</v>
      </c>
      <c r="BJ388" s="1961">
        <f ca="1">MAX(0,BJ389*BI379)</f>
        <v>0</v>
      </c>
      <c r="BK388" s="1961">
        <f ca="1">MAX(0,BK389*BJ379)</f>
        <v>0</v>
      </c>
      <c r="BL388" s="1517"/>
    </row>
    <row r="389" spans="1:64" s="1518" customFormat="1" x14ac:dyDescent="0.35">
      <c r="A389" s="1667" t="s">
        <v>1152</v>
      </c>
      <c r="B389" s="1712"/>
      <c r="C389" s="1580"/>
      <c r="D389" s="1580"/>
      <c r="E389" s="1580"/>
      <c r="F389" s="1580"/>
      <c r="G389" s="1580"/>
      <c r="H389" s="1580"/>
      <c r="I389" s="1580"/>
      <c r="J389" s="1580"/>
      <c r="K389" s="1580"/>
      <c r="L389" s="1580"/>
      <c r="M389" s="1580"/>
      <c r="N389" s="1580"/>
      <c r="O389" s="1580"/>
      <c r="P389" s="1580"/>
      <c r="Q389" s="1580"/>
      <c r="R389" s="1580"/>
      <c r="S389" s="1580"/>
      <c r="T389" s="1580"/>
      <c r="U389" s="1580"/>
      <c r="V389" s="1580"/>
      <c r="W389" s="1580"/>
      <c r="X389" s="1580"/>
      <c r="Y389" s="1580">
        <f>IFERROR(Y388/AVERAGE(X379,Y379)*BD3/Y3,"n/a")</f>
        <v>0</v>
      </c>
      <c r="Z389" s="1580">
        <f>IFERROR(Z388/AVERAGE(Y379,Z379)*BD3/Z3,"n/a")</f>
        <v>0</v>
      </c>
      <c r="AA389" s="1580">
        <f>IFERROR(AA388/AVERAGE(BD379,AA379)*BE3/AA3,"n/a")</f>
        <v>0</v>
      </c>
      <c r="AB389" s="1580">
        <f>IFERROR(AB388/AVERAGE(AA379,AB379)*BE3/AB3,"n/a")</f>
        <v>0</v>
      </c>
      <c r="AC389" s="1580">
        <f>IFERROR(AC388/AVERAGE(AB379,AC379)*BE3/AC3,"n/a")</f>
        <v>0</v>
      </c>
      <c r="AD389" s="1580">
        <f>IFERROR(AD388/AVERAGE(AC379,AD379)*BE3/AD3,"n/a")</f>
        <v>0</v>
      </c>
      <c r="AE389" s="1580">
        <f>IFERROR(AE388/AVERAGE(BE379,AE379)*BF3/AE3,"n/a")</f>
        <v>0</v>
      </c>
      <c r="AF389" s="1580">
        <f>IFERROR(AF388/AVERAGE(AE379,AF379)*BF3/AF3,"n/a")</f>
        <v>0</v>
      </c>
      <c r="AG389" s="1580">
        <f>IFERROR(AG388/AVERAGE(AF379,AG379)*BF3/AG3,"n/a")</f>
        <v>0</v>
      </c>
      <c r="AH389" s="1580">
        <f>IFERROR(AH388/AVERAGE(AG379,AH379)*BF3/AH3,"n/a")</f>
        <v>0</v>
      </c>
      <c r="AI389" s="1580">
        <f>IFERROR(AI388/AVERAGE(BF379,AI379)*BG3/AI3,"n/a")</f>
        <v>0</v>
      </c>
      <c r="AJ389" s="1581">
        <f>IFERROR(AJ388/AVERAGE(AI379,AJ379)*BG3/AJ3,"n/a")</f>
        <v>0</v>
      </c>
      <c r="AK389" s="1698">
        <v>0</v>
      </c>
      <c r="AL389" s="1698">
        <v>0</v>
      </c>
      <c r="AM389" s="1698">
        <v>0</v>
      </c>
      <c r="AN389" s="1698">
        <v>0</v>
      </c>
      <c r="AO389" s="1698">
        <v>0</v>
      </c>
      <c r="AP389" s="1698">
        <v>0</v>
      </c>
      <c r="AQ389" s="1699"/>
      <c r="AR389" s="1582"/>
      <c r="AS389" s="1582"/>
      <c r="AT389" s="1582"/>
      <c r="AU389" s="1582"/>
      <c r="AV389" s="1582"/>
      <c r="AW389" s="1582"/>
      <c r="AX389" s="1582"/>
      <c r="AY389" s="1582"/>
      <c r="AZ389" s="1582"/>
      <c r="BA389" s="1582"/>
      <c r="BB389" s="1582"/>
      <c r="BC389" s="1582"/>
      <c r="BD389" s="1582"/>
      <c r="BE389" s="1582">
        <f>IFERROR(BE388/AVERAGE(AA379,AB379,AC379,AD379),"n/a")</f>
        <v>0</v>
      </c>
      <c r="BF389" s="1583">
        <f>IFERROR(BF388/AVERAGE(AE379,AF379,AG379,AH379),"n/a")</f>
        <v>0</v>
      </c>
      <c r="BG389" s="1582">
        <f ca="1">IFERROR(BG388/AVERAGE(AI379,AJ379,AK379,AL379),"n/a")</f>
        <v>0</v>
      </c>
      <c r="BH389" s="1582">
        <f ca="1">IFERROR(BH388/AVERAGE(AM379,AN379,AO379,AP379),"n/a")</f>
        <v>0</v>
      </c>
      <c r="BI389" s="1700">
        <v>0</v>
      </c>
      <c r="BJ389" s="1700">
        <v>0</v>
      </c>
      <c r="BK389" s="1700">
        <v>0</v>
      </c>
      <c r="BL389" s="1517"/>
    </row>
    <row r="390" spans="1:64" s="1518" customFormat="1" hidden="1" outlineLevel="1" x14ac:dyDescent="0.35">
      <c r="A390" s="1515" t="s">
        <v>1153</v>
      </c>
      <c r="B390" s="1716"/>
      <c r="C390" s="1958"/>
      <c r="D390" s="1958"/>
      <c r="E390" s="1958"/>
      <c r="F390" s="1958"/>
      <c r="G390" s="1958"/>
      <c r="H390" s="1958"/>
      <c r="I390" s="1958"/>
      <c r="J390" s="1958"/>
      <c r="K390" s="1958"/>
      <c r="L390" s="1958"/>
      <c r="M390" s="1958"/>
      <c r="N390" s="1958"/>
      <c r="O390" s="1958"/>
      <c r="P390" s="1958"/>
      <c r="Q390" s="1958">
        <f t="shared" ref="Q390:AP390" si="212">IFERROR(Q386-Q388,"n/a")</f>
        <v>9.7840000000000007</v>
      </c>
      <c r="R390" s="1958">
        <f t="shared" si="212"/>
        <v>9.1989999999999998</v>
      </c>
      <c r="S390" s="1958">
        <f t="shared" si="212"/>
        <v>9.0559999999999992</v>
      </c>
      <c r="T390" s="1958">
        <f t="shared" si="212"/>
        <v>8.2370000000000001</v>
      </c>
      <c r="U390" s="1958">
        <f t="shared" si="212"/>
        <v>7.8170000000000002</v>
      </c>
      <c r="V390" s="1958">
        <f t="shared" si="212"/>
        <v>7.8369999999999997</v>
      </c>
      <c r="W390" s="1958">
        <f t="shared" si="212"/>
        <v>7.57</v>
      </c>
      <c r="X390" s="1958">
        <f t="shared" si="212"/>
        <v>7.6029999999999998</v>
      </c>
      <c r="Y390" s="1958">
        <f t="shared" si="212"/>
        <v>7.6680000000000001</v>
      </c>
      <c r="Z390" s="1958">
        <f t="shared" si="212"/>
        <v>8.016</v>
      </c>
      <c r="AA390" s="1958">
        <f t="shared" si="212"/>
        <v>6.3360000000000003</v>
      </c>
      <c r="AB390" s="1958">
        <f t="shared" si="212"/>
        <v>6.6189999999999998</v>
      </c>
      <c r="AC390" s="1958">
        <f t="shared" si="212"/>
        <v>7.7640000000000002</v>
      </c>
      <c r="AD390" s="1958">
        <f t="shared" si="212"/>
        <v>8.8279999999999994</v>
      </c>
      <c r="AE390" s="1958">
        <f t="shared" si="212"/>
        <v>8.6080000000000005</v>
      </c>
      <c r="AF390" s="1958">
        <f t="shared" si="212"/>
        <v>8.99</v>
      </c>
      <c r="AG390" s="1958">
        <f t="shared" si="212"/>
        <v>9.3049999999999997</v>
      </c>
      <c r="AH390" s="1958">
        <f t="shared" si="212"/>
        <v>9.3299999999999983</v>
      </c>
      <c r="AI390" s="1958">
        <f t="shared" si="212"/>
        <v>10.311999999999999</v>
      </c>
      <c r="AJ390" s="1964">
        <f t="shared" si="212"/>
        <v>10.143000000000001</v>
      </c>
      <c r="AK390" s="1958">
        <f t="shared" si="212"/>
        <v>9.7250334426229514</v>
      </c>
      <c r="AL390" s="1958">
        <f t="shared" ca="1" si="212"/>
        <v>9.7250334426229514</v>
      </c>
      <c r="AM390" s="1958">
        <f t="shared" ca="1" si="212"/>
        <v>9.5396843835616441</v>
      </c>
      <c r="AN390" s="1958">
        <f t="shared" ca="1" si="212"/>
        <v>9.6456808767123299</v>
      </c>
      <c r="AO390" s="1958">
        <f t="shared" ca="1" si="212"/>
        <v>9.7516773698630139</v>
      </c>
      <c r="AP390" s="1958">
        <f t="shared" ca="1" si="212"/>
        <v>9.7516773698630139</v>
      </c>
      <c r="AQ390" s="1958"/>
      <c r="AR390" s="1961"/>
      <c r="AS390" s="1961"/>
      <c r="AT390" s="1961"/>
      <c r="AU390" s="1961"/>
      <c r="AV390" s="1961"/>
      <c r="AW390" s="1961"/>
      <c r="AX390" s="1961"/>
      <c r="AY390" s="1961"/>
      <c r="AZ390" s="1961"/>
      <c r="BA390" s="1961"/>
      <c r="BB390" s="1961">
        <f>IFERROR(BB386-BB388,"n/a")</f>
        <v>39.316000000000003</v>
      </c>
      <c r="BC390" s="1961">
        <f>IFERROR(BC386-BC388,"n/a")</f>
        <v>32.947000000000003</v>
      </c>
      <c r="BD390" s="1961">
        <f>IFERROR(BD386-BD388,"n/a")</f>
        <v>30.856999999999999</v>
      </c>
      <c r="BE390" s="1961">
        <f>IFERROR(BE386-BE388,"n/a")</f>
        <v>29.547000000000001</v>
      </c>
      <c r="BF390" s="1965">
        <f>IFERROR(BF386-BF388,"n/a")</f>
        <v>36.232999999999997</v>
      </c>
      <c r="BG390" s="1961">
        <f ca="1">SUM(AI390,AJ390,AK390,AL390)</f>
        <v>39.905066885245901</v>
      </c>
      <c r="BH390" s="1961">
        <f ca="1">SUM(AM390,AN390,AO390,AP390)</f>
        <v>38.688720000000004</v>
      </c>
      <c r="BI390" s="1961">
        <f ca="1">IFERROR(BI386-BI388,"n/a")</f>
        <v>38.688720000000004</v>
      </c>
      <c r="BJ390" s="1961">
        <f ca="1">IFERROR(BJ386-BJ388,"n/a")</f>
        <v>38.688720000000004</v>
      </c>
      <c r="BK390" s="1961">
        <f ca="1">IFERROR(BK386-BK388,"n/a")</f>
        <v>38.688720000000004</v>
      </c>
      <c r="BL390" s="1517"/>
    </row>
    <row r="391" spans="1:64" s="1518" customFormat="1" hidden="1" outlineLevel="1" x14ac:dyDescent="0.35">
      <c r="A391" s="1667" t="s">
        <v>1154</v>
      </c>
      <c r="B391" s="1712"/>
      <c r="C391" s="1580"/>
      <c r="D391" s="1580"/>
      <c r="E391" s="1580"/>
      <c r="F391" s="1580"/>
      <c r="G391" s="1580"/>
      <c r="H391" s="1580"/>
      <c r="I391" s="1580"/>
      <c r="J391" s="1580"/>
      <c r="K391" s="1580"/>
      <c r="L391" s="1580"/>
      <c r="M391" s="1580"/>
      <c r="N391" s="1580"/>
      <c r="O391" s="1580"/>
      <c r="P391" s="1580"/>
      <c r="Q391" s="1580"/>
      <c r="R391" s="1580"/>
      <c r="S391" s="1580"/>
      <c r="T391" s="1580"/>
      <c r="U391" s="1580"/>
      <c r="V391" s="1580"/>
      <c r="W391" s="1580"/>
      <c r="X391" s="1580"/>
      <c r="Y391" s="1580">
        <f>IFERROR(IF(Y390/AVERAGE(X382,Y382)&lt;0,"n/a",Y390/AVERAGE(X382,Y382)*BD3/Y3),"n/a")</f>
        <v>5.0186548530321777E-2</v>
      </c>
      <c r="Z391" s="1580">
        <f>IFERROR(IF(Z390/AVERAGE(Y382,Z382)&lt;0,"n/a",Z390/AVERAGE(Y382,Z382)*BD3/Z3),"n/a")</f>
        <v>5.7238519615907354E-2</v>
      </c>
      <c r="AA391" s="1580">
        <f>IFERROR(IF(AA390/AVERAGE(BD382,AA382)&lt;0,"n/a",AA390/AVERAGE(BD382,AA382)*BE3/AA3),"n/a")</f>
        <v>5.0883269075780349E-2</v>
      </c>
      <c r="AB391" s="1580">
        <f>IFERROR(IF(AB390/AVERAGE(AA382,AB382)&lt;0,"n/a",AB390/AVERAGE(AA382,AB382)*BE3/AB3),"n/a")</f>
        <v>5.2690386600596315E-2</v>
      </c>
      <c r="AC391" s="1580">
        <f>IFERROR(IF(AC390/AVERAGE(AB382,AC382)&lt;0,"n/a",AC390/AVERAGE(AB382,AC382)*BE3/AC3),"n/a")</f>
        <v>6.1270990026388909E-2</v>
      </c>
      <c r="AD391" s="1580">
        <f>IFERROR(IF(AD390/AVERAGE(AC382,AD382)&lt;0,"n/a",AD390/AVERAGE(AC382,AD382)*BE3/AD3),"n/a")</f>
        <v>6.9793097305815149E-2</v>
      </c>
      <c r="AE391" s="1580">
        <f>IFERROR(IF(AE390/AVERAGE(BE382,AE382)&lt;0,"n/a",AE390/AVERAGE(BE382,AE382)*BF3/AE3),"n/a")</f>
        <v>6.9729865349355644E-2</v>
      </c>
      <c r="AF391" s="1580">
        <f>IFERROR(IF(AF390/AVERAGE(AE382,AF382)&lt;0,"n/a",AF390/AVERAGE(AE382,AF382)*BF3/AF3),"n/a")</f>
        <v>7.2266378891720467E-2</v>
      </c>
      <c r="AG391" s="1580">
        <f>IFERROR(IF(AG390/AVERAGE(AF382,AG382)&lt;0,"n/a",AG390/AVERAGE(AF382,AG382)*BF3/AG3),"n/a")</f>
        <v>7.4234687599136762E-2</v>
      </c>
      <c r="AH391" s="1580">
        <f>IFERROR(IF(AH390/AVERAGE(AG382,AH382)&lt;0,"n/a",AH390/AVERAGE(AG382,AH382)*BF3/AH3),"n/a")</f>
        <v>7.4685241659374929E-2</v>
      </c>
      <c r="AI391" s="1580">
        <f>IFERROR(IF(AI390/AVERAGE(BF382,AI382)&lt;0,"n/a",AI390/AVERAGE(BF382,AI382)*BG3/AI3),"n/a")</f>
        <v>7.8921890645628309E-2</v>
      </c>
      <c r="AJ391" s="1581">
        <f>IFERROR(IF(AJ390/AVERAGE(AI382,AJ382)&lt;0,"n/a",AJ390/AVERAGE(AI382,AJ382)*BG3/AJ3),"n/a")</f>
        <v>7.357475905221586E-2</v>
      </c>
      <c r="AK391" s="1580">
        <f>IFERROR(IF(AK390/AVERAGE(AJ382,AK382)&lt;0,"n/a",AK390/AVERAGE(AJ382,AK382)*BG3/AK3),"n/a")</f>
        <v>6.9999999999999993E-2</v>
      </c>
      <c r="AL391" s="1580">
        <f ca="1">IFERROR(IF(AL390/AVERAGE(AK382,AL382)&lt;0,"n/a",AL390/AVERAGE(AK382,AL382)*BG3/AL3),"n/a")</f>
        <v>6.9999999999999993E-2</v>
      </c>
      <c r="AM391" s="1580">
        <f ca="1">IFERROR(IF(AM390/AVERAGE(BG382,AM382)&lt;0,"n/a",AM390/AVERAGE(BG382,AM382)*BH3/AM3),"n/a")</f>
        <v>7.0000000000000007E-2</v>
      </c>
      <c r="AN391" s="1580">
        <f ca="1">IFERROR(IF(AN390/AVERAGE(AM382,AN382)&lt;0,"n/a",AN390/AVERAGE(AM382,AN382)*BH3/AN3),"n/a")</f>
        <v>7.0000000000000007E-2</v>
      </c>
      <c r="AO391" s="1580">
        <f ca="1">IFERROR(IF(AO390/AVERAGE(AN382,AO382)&lt;0,"n/a",AO390/AVERAGE(AN382,AO382)*BH3/AO3),"n/a")</f>
        <v>6.9999999999999993E-2</v>
      </c>
      <c r="AP391" s="1580">
        <f ca="1">IFERROR(IF(AP390/AVERAGE(AO382,AP382)&lt;0,"n/a",AP390/AVERAGE(AO382,AP382)*BH3/AP3),"n/a")</f>
        <v>6.9999999999999993E-2</v>
      </c>
      <c r="AQ391" s="1580"/>
      <c r="AR391" s="1582"/>
      <c r="AS391" s="1582"/>
      <c r="AT391" s="1582"/>
      <c r="AU391" s="1582"/>
      <c r="AV391" s="1582"/>
      <c r="AW391" s="1582"/>
      <c r="AX391" s="1582"/>
      <c r="AY391" s="1582"/>
      <c r="AZ391" s="1582"/>
      <c r="BA391" s="1582"/>
      <c r="BB391" s="1582"/>
      <c r="BC391" s="1582"/>
      <c r="BD391" s="1582"/>
      <c r="BE391" s="1582">
        <f>IFERROR(IF(BE390/AVERAGE(AA382,AB382,AC382,AD382)&lt;0,"n/a",BE390/AVERAGE(AA382,AB382,AC382,AD382)),"n/a")</f>
        <v>5.8759599121400108E-2</v>
      </c>
      <c r="BF391" s="1583">
        <f>IFERROR(IF(BF390/AVERAGE(AE382,AF382,AG382,AH382)&lt;0,"n/a",BF390/AVERAGE(AE382,AF382,AG382,AH382)),"n/a")</f>
        <v>7.2859880514058992E-2</v>
      </c>
      <c r="BG391" s="1582">
        <f ca="1">IFERROR(IF(BG390/AVERAGE(AI382,AJ382,AK382,AL382)&lt;0,"n/a",BG390/AVERAGE(AI382,AJ382,AK382,AL382)),"n/a")</f>
        <v>7.2085130735248859E-2</v>
      </c>
      <c r="BH391" s="1582">
        <f ca="1">IFERROR(IF(BH390/AVERAGE(AM382,AN382,AO382,AP382)&lt;0,"n/a",BH390/AVERAGE(AM382,AN382,AO382,AP382)),"n/a")</f>
        <v>7.0000000000000007E-2</v>
      </c>
      <c r="BI391" s="1582">
        <f ca="1">IFERROR(IF(BI390/AVERAGE(BH382,BI382)&lt;0,"n/a",BI390/AVERAGE(BH382,BI382)),"n/a")</f>
        <v>7.0000000000000007E-2</v>
      </c>
      <c r="BJ391" s="1582">
        <f ca="1">IFERROR(IF(BJ390/AVERAGE(BI382,BJ382)&lt;0,"n/a",BJ390/AVERAGE(BI382,BJ382)),"n/a")</f>
        <v>7.0000000000000007E-2</v>
      </c>
      <c r="BK391" s="1582">
        <f ca="1">IFERROR(IF(BK390/AVERAGE(BJ382,BK382)&lt;0,"n/a",BK390/AVERAGE(BJ382,BK382)),"n/a")</f>
        <v>7.0000000000000007E-2</v>
      </c>
      <c r="BL391" s="1517"/>
    </row>
    <row r="392" spans="1:64" s="1518" customFormat="1" collapsed="1" x14ac:dyDescent="0.35">
      <c r="A392" s="1667"/>
      <c r="B392" s="1712"/>
      <c r="C392" s="1580"/>
      <c r="D392" s="1580"/>
      <c r="E392" s="1580"/>
      <c r="F392" s="1580"/>
      <c r="G392" s="1580"/>
      <c r="H392" s="1580"/>
      <c r="I392" s="1580"/>
      <c r="J392" s="1580"/>
      <c r="K392" s="1580"/>
      <c r="L392" s="1580"/>
      <c r="M392" s="1580"/>
      <c r="N392" s="1580"/>
      <c r="O392" s="1580"/>
      <c r="P392" s="1580"/>
      <c r="Q392" s="1580"/>
      <c r="R392" s="1580"/>
      <c r="S392" s="1580"/>
      <c r="T392" s="1580"/>
      <c r="U392" s="1580"/>
      <c r="V392" s="1580"/>
      <c r="W392" s="1580"/>
      <c r="X392" s="1580"/>
      <c r="Y392" s="1580"/>
      <c r="Z392" s="1580"/>
      <c r="AA392" s="1580"/>
      <c r="AB392" s="1580"/>
      <c r="AC392" s="1580"/>
      <c r="AD392" s="1580"/>
      <c r="AE392" s="1580"/>
      <c r="AF392" s="1580"/>
      <c r="AG392" s="1580"/>
      <c r="AH392" s="1580"/>
      <c r="AI392" s="1580"/>
      <c r="AJ392" s="1581"/>
      <c r="AK392" s="1580"/>
      <c r="AL392" s="1580"/>
      <c r="AM392" s="1580"/>
      <c r="AN392" s="1580"/>
      <c r="AO392" s="1580"/>
      <c r="AP392" s="1580"/>
      <c r="AQ392" s="1580"/>
      <c r="AR392" s="1582"/>
      <c r="AS392" s="1582"/>
      <c r="AT392" s="1582"/>
      <c r="AU392" s="1582"/>
      <c r="AV392" s="1582"/>
      <c r="AW392" s="1582"/>
      <c r="AX392" s="1582"/>
      <c r="AY392" s="1582"/>
      <c r="AZ392" s="1582"/>
      <c r="BA392" s="1582"/>
      <c r="BB392" s="1582"/>
      <c r="BC392" s="1582"/>
      <c r="BD392" s="1582"/>
      <c r="BE392" s="1582"/>
      <c r="BF392" s="1583"/>
      <c r="BG392" s="1582"/>
      <c r="BH392" s="1582"/>
      <c r="BI392" s="1582"/>
      <c r="BJ392" s="1582"/>
      <c r="BK392" s="1582"/>
      <c r="BL392" s="1517"/>
    </row>
    <row r="393" spans="1:64" s="1518" customFormat="1" x14ac:dyDescent="0.35">
      <c r="A393" s="1667" t="s">
        <v>1155</v>
      </c>
      <c r="B393" s="1712"/>
      <c r="C393" s="1966"/>
      <c r="D393" s="1966"/>
      <c r="E393" s="1966"/>
      <c r="F393" s="1966"/>
      <c r="G393" s="1966"/>
      <c r="H393" s="1966"/>
      <c r="I393" s="1966"/>
      <c r="J393" s="1966"/>
      <c r="K393" s="1966"/>
      <c r="L393" s="1966"/>
      <c r="M393" s="1966"/>
      <c r="N393" s="1966"/>
      <c r="O393" s="1966"/>
      <c r="P393" s="1966"/>
      <c r="Q393" s="1966">
        <f t="shared" ref="Q393:AP393" si="213">IFERROR(IF(OR(Q186&lt;0,Q390&lt;0),"n/a",Q186/Q390),"n/a")</f>
        <v>3.6676206050695002</v>
      </c>
      <c r="R393" s="1966">
        <f t="shared" si="213"/>
        <v>2.5804978802043697</v>
      </c>
      <c r="S393" s="1966">
        <f t="shared" si="213"/>
        <v>3.0760821554770326</v>
      </c>
      <c r="T393" s="1966">
        <f t="shared" si="213"/>
        <v>1.786936991623163</v>
      </c>
      <c r="U393" s="1966">
        <f t="shared" si="213"/>
        <v>3.9217090955609568</v>
      </c>
      <c r="V393" s="1966">
        <f t="shared" si="213"/>
        <v>3.574582110501467</v>
      </c>
      <c r="W393" s="1966">
        <f t="shared" si="213"/>
        <v>4.8618229854689572</v>
      </c>
      <c r="X393" s="1966">
        <f t="shared" si="213"/>
        <v>6.1862422727870658</v>
      </c>
      <c r="Y393" s="1966">
        <f t="shared" si="213"/>
        <v>6.6900104329681769</v>
      </c>
      <c r="Z393" s="1966">
        <f t="shared" si="213"/>
        <v>5.4951347305389229</v>
      </c>
      <c r="AA393" s="1966">
        <f t="shared" si="213"/>
        <v>7.5183080808080787</v>
      </c>
      <c r="AB393" s="1966">
        <f t="shared" si="213"/>
        <v>8.5318023870675326</v>
      </c>
      <c r="AC393" s="1966">
        <f t="shared" si="213"/>
        <v>6.8390005151983519</v>
      </c>
      <c r="AD393" s="1966">
        <f t="shared" si="213"/>
        <v>4.6779565020389668</v>
      </c>
      <c r="AE393" s="1966">
        <f t="shared" si="213"/>
        <v>5.2921700743494409</v>
      </c>
      <c r="AF393" s="1966">
        <f t="shared" si="213"/>
        <v>5.5614015572858726</v>
      </c>
      <c r="AG393" s="1966">
        <f t="shared" si="213"/>
        <v>5.1108006448146153</v>
      </c>
      <c r="AH393" s="1966">
        <f t="shared" si="213"/>
        <v>4.492604501607711</v>
      </c>
      <c r="AI393" s="1966">
        <f t="shared" si="213"/>
        <v>3.734484096198603</v>
      </c>
      <c r="AJ393" s="1967">
        <f t="shared" si="213"/>
        <v>4.5631469979296062</v>
      </c>
      <c r="AK393" s="1966">
        <f t="shared" si="213"/>
        <v>5.2795274454246037</v>
      </c>
      <c r="AL393" s="1966">
        <f t="shared" ca="1" si="213"/>
        <v>4.7786906620102805</v>
      </c>
      <c r="AM393" s="1966">
        <f t="shared" ca="1" si="213"/>
        <v>4.5255771399012987</v>
      </c>
      <c r="AN393" s="1966">
        <f t="shared" ca="1" si="213"/>
        <v>4.9603164760768941</v>
      </c>
      <c r="AO393" s="1966">
        <f t="shared" ca="1" si="213"/>
        <v>4.9987710294519729</v>
      </c>
      <c r="AP393" s="1966">
        <f t="shared" ca="1" si="213"/>
        <v>4.8692899103725189</v>
      </c>
      <c r="AQ393" s="1966"/>
      <c r="AR393" s="1968"/>
      <c r="AS393" s="1968"/>
      <c r="AT393" s="1968"/>
      <c r="AU393" s="1968"/>
      <c r="AV393" s="1968"/>
      <c r="AW393" s="1968"/>
      <c r="AX393" s="1968"/>
      <c r="AY393" s="1968"/>
      <c r="AZ393" s="1968"/>
      <c r="BA393" s="1968"/>
      <c r="BB393" s="1968">
        <f t="shared" ref="BB393:BK393" si="214">IFERROR(IF(OR(BB186&lt;0,BB390&lt;0),"n/a",BB186/BB390),"n/a")</f>
        <v>3.0263505951775356</v>
      </c>
      <c r="BC393" s="1968">
        <f t="shared" si="214"/>
        <v>3.0729656721401031</v>
      </c>
      <c r="BD393" s="1968">
        <f t="shared" si="214"/>
        <v>5.8069157727582086</v>
      </c>
      <c r="BE393" s="1968">
        <f t="shared" si="214"/>
        <v>6.7182116627745652</v>
      </c>
      <c r="BF393" s="1969">
        <f t="shared" si="214"/>
        <v>5.1065051196423141</v>
      </c>
      <c r="BG393" s="1968">
        <f t="shared" ca="1" si="214"/>
        <v>4.5761233277249955</v>
      </c>
      <c r="BH393" s="1968">
        <f t="shared" ca="1" si="214"/>
        <v>4.8398694476108695</v>
      </c>
      <c r="BI393" s="1968">
        <f t="shared" ca="1" si="214"/>
        <v>5.512315530401211</v>
      </c>
      <c r="BJ393" s="1968">
        <f t="shared" ca="1" si="214"/>
        <v>7.1714063831787067</v>
      </c>
      <c r="BK393" s="1968">
        <f t="shared" ca="1" si="214"/>
        <v>8.1993187198414468</v>
      </c>
      <c r="BL393" s="1517"/>
    </row>
    <row r="394" spans="1:64" s="1977" customFormat="1" x14ac:dyDescent="0.35">
      <c r="A394" s="1970" t="s">
        <v>1156</v>
      </c>
      <c r="B394" s="1971"/>
      <c r="C394" s="1966"/>
      <c r="D394" s="1972"/>
      <c r="E394" s="1966"/>
      <c r="F394" s="1966"/>
      <c r="G394" s="1966"/>
      <c r="H394" s="1972"/>
      <c r="I394" s="1966"/>
      <c r="J394" s="1966"/>
      <c r="K394" s="1966"/>
      <c r="L394" s="1972"/>
      <c r="M394" s="1966"/>
      <c r="N394" s="1966"/>
      <c r="O394" s="1966"/>
      <c r="P394" s="1972"/>
      <c r="Q394" s="1966"/>
      <c r="R394" s="1966"/>
      <c r="S394" s="1966"/>
      <c r="T394" s="1972"/>
      <c r="U394" s="1966"/>
      <c r="V394" s="1966"/>
      <c r="W394" s="1966"/>
      <c r="X394" s="1972"/>
      <c r="Y394" s="1966"/>
      <c r="Z394" s="1966"/>
      <c r="AA394" s="1966"/>
      <c r="AB394" s="1972"/>
      <c r="AC394" s="1966"/>
      <c r="AD394" s="1966"/>
      <c r="AE394" s="1966"/>
      <c r="AF394" s="1972"/>
      <c r="AG394" s="1966"/>
      <c r="AH394" s="1966"/>
      <c r="AI394" s="1966"/>
      <c r="AJ394" s="1973"/>
      <c r="AK394" s="1972"/>
      <c r="AL394" s="1972"/>
      <c r="AM394" s="1972"/>
      <c r="AN394" s="1972"/>
      <c r="AO394" s="1972"/>
      <c r="AP394" s="1972"/>
      <c r="AQ394" s="1972"/>
      <c r="AR394" s="1968"/>
      <c r="AS394" s="1968"/>
      <c r="AT394" s="1968"/>
      <c r="AU394" s="1968"/>
      <c r="AV394" s="1968"/>
      <c r="AW394" s="1968"/>
      <c r="AX394" s="1968"/>
      <c r="AY394" s="1968"/>
      <c r="AZ394" s="1968"/>
      <c r="BA394" s="1968"/>
      <c r="BB394" s="1974">
        <f t="shared" ref="BB394:BK394" si="215">IF(BB384&lt;0,"n/a",BB384/BB186)</f>
        <v>4.7843239427149875</v>
      </c>
      <c r="BC394" s="1974">
        <f t="shared" si="215"/>
        <v>5.4207121339325406</v>
      </c>
      <c r="BD394" s="1974">
        <f t="shared" si="215"/>
        <v>2.5536320207161354</v>
      </c>
      <c r="BE394" s="1974">
        <f t="shared" si="215"/>
        <v>2.1105323345239109</v>
      </c>
      <c r="BF394" s="1975">
        <f t="shared" si="215"/>
        <v>2.4432560100311322</v>
      </c>
      <c r="BG394" s="1968">
        <f t="shared" ca="1" si="215"/>
        <v>2.2288191606715309</v>
      </c>
      <c r="BH394" s="1968">
        <f t="shared" ca="1" si="215"/>
        <v>1.4463801886506538</v>
      </c>
      <c r="BI394" s="1968">
        <f t="shared" ca="1" si="215"/>
        <v>0.4078308797882918</v>
      </c>
      <c r="BJ394" s="1968" t="str">
        <f t="shared" ca="1" si="215"/>
        <v>n/a</v>
      </c>
      <c r="BK394" s="1968" t="str">
        <f t="shared" ca="1" si="215"/>
        <v>n/a</v>
      </c>
      <c r="BL394" s="1976"/>
    </row>
    <row r="395" spans="1:64" s="1977" customFormat="1" x14ac:dyDescent="0.35">
      <c r="A395" s="1970" t="s">
        <v>1157</v>
      </c>
      <c r="B395" s="1971"/>
      <c r="C395" s="1966"/>
      <c r="D395" s="1972"/>
      <c r="E395" s="1966"/>
      <c r="F395" s="1966"/>
      <c r="G395" s="1966"/>
      <c r="H395" s="1972"/>
      <c r="I395" s="1966"/>
      <c r="J395" s="1966"/>
      <c r="K395" s="1966"/>
      <c r="L395" s="1972"/>
      <c r="M395" s="1966"/>
      <c r="N395" s="1966"/>
      <c r="O395" s="1966"/>
      <c r="P395" s="1972"/>
      <c r="Q395" s="1966"/>
      <c r="R395" s="1966"/>
      <c r="S395" s="1966"/>
      <c r="T395" s="1972"/>
      <c r="U395" s="1966"/>
      <c r="V395" s="1966"/>
      <c r="W395" s="1966"/>
      <c r="X395" s="1972"/>
      <c r="Y395" s="1966"/>
      <c r="Z395" s="1966"/>
      <c r="AA395" s="1966"/>
      <c r="AB395" s="1972"/>
      <c r="AC395" s="1966"/>
      <c r="AD395" s="1966"/>
      <c r="AE395" s="1966"/>
      <c r="AF395" s="1972"/>
      <c r="AG395" s="1966"/>
      <c r="AH395" s="1966"/>
      <c r="AI395" s="1966"/>
      <c r="AJ395" s="1973"/>
      <c r="AK395" s="1972"/>
      <c r="AL395" s="1972"/>
      <c r="AM395" s="1972"/>
      <c r="AN395" s="1972"/>
      <c r="AO395" s="1972"/>
      <c r="AP395" s="1972"/>
      <c r="AQ395" s="1972"/>
      <c r="AR395" s="1968"/>
      <c r="AS395" s="1968"/>
      <c r="AT395" s="1968"/>
      <c r="AU395" s="1968"/>
      <c r="AV395" s="1968"/>
      <c r="AW395" s="1968"/>
      <c r="AX395" s="1968"/>
      <c r="AY395" s="1968"/>
      <c r="AZ395" s="1968"/>
      <c r="BA395" s="1968"/>
      <c r="BB395" s="1974">
        <f t="shared" ref="BB395:BK395" si="216">IF(BB384&lt;0,"n/a",BB384/BB354)</f>
        <v>15.723621699259748</v>
      </c>
      <c r="BC395" s="1974">
        <f t="shared" si="216"/>
        <v>15.167058173276223</v>
      </c>
      <c r="BD395" s="1974">
        <f t="shared" si="216"/>
        <v>6.6696304934042709</v>
      </c>
      <c r="BE395" s="1974">
        <f t="shared" si="216"/>
        <v>4.0181751915828254</v>
      </c>
      <c r="BF395" s="1975">
        <f t="shared" si="216"/>
        <v>4.6671106017901947</v>
      </c>
      <c r="BG395" s="1968">
        <f t="shared" ca="1" si="216"/>
        <v>3.6594921615098772</v>
      </c>
      <c r="BH395" s="1968">
        <f t="shared" ca="1" si="216"/>
        <v>1.734175959955917</v>
      </c>
      <c r="BI395" s="1968">
        <f t="shared" ca="1" si="216"/>
        <v>0.42665220828625561</v>
      </c>
      <c r="BJ395" s="1968" t="str">
        <f t="shared" ca="1" si="216"/>
        <v>n/a</v>
      </c>
      <c r="BK395" s="1968" t="str">
        <f t="shared" ca="1" si="216"/>
        <v>n/a</v>
      </c>
      <c r="BL395" s="1976"/>
    </row>
    <row r="396" spans="1:64" x14ac:dyDescent="0.35">
      <c r="A396" s="1978"/>
      <c r="B396" s="1978"/>
      <c r="C396" s="1783"/>
      <c r="D396" s="1783"/>
      <c r="E396" s="1783"/>
      <c r="F396" s="1783"/>
      <c r="G396" s="1783"/>
      <c r="H396" s="1783"/>
      <c r="I396" s="1783"/>
      <c r="J396" s="1783"/>
      <c r="K396" s="1783"/>
      <c r="L396" s="1783"/>
      <c r="M396" s="1783"/>
      <c r="N396" s="1783"/>
      <c r="O396" s="1783"/>
      <c r="P396" s="1783"/>
      <c r="Q396" s="1783"/>
      <c r="R396" s="1783"/>
      <c r="S396" s="1783"/>
      <c r="T396" s="1783"/>
      <c r="U396" s="1783"/>
      <c r="V396" s="1783"/>
      <c r="W396" s="1783"/>
      <c r="X396" s="1783"/>
      <c r="Y396" s="1783"/>
      <c r="Z396" s="1783"/>
      <c r="AA396" s="1783"/>
      <c r="AB396" s="1783"/>
      <c r="AC396" s="1783"/>
      <c r="AD396" s="1783"/>
      <c r="AE396" s="1783"/>
      <c r="AF396" s="1783"/>
      <c r="AG396" s="1783"/>
      <c r="AH396" s="1783"/>
      <c r="AI396" s="1783"/>
      <c r="AJ396" s="1979"/>
      <c r="AK396" s="1783"/>
      <c r="AL396" s="1783"/>
      <c r="AM396" s="1783"/>
      <c r="AN396" s="1783"/>
      <c r="AO396" s="1783"/>
      <c r="AP396" s="1783"/>
      <c r="AQ396" s="1783"/>
      <c r="AR396" s="1980"/>
      <c r="AS396" s="1980"/>
      <c r="AT396" s="1980"/>
      <c r="AU396" s="1980"/>
      <c r="AV396" s="1980"/>
      <c r="AW396" s="1980"/>
      <c r="AX396" s="1980"/>
      <c r="AY396" s="1980"/>
      <c r="AZ396" s="1980"/>
      <c r="BA396" s="1980"/>
      <c r="BB396" s="1980"/>
      <c r="BC396" s="1980"/>
      <c r="BD396" s="1980"/>
      <c r="BE396" s="1980"/>
      <c r="BF396" s="1981"/>
      <c r="BG396" s="1980"/>
      <c r="BH396" s="1980"/>
      <c r="BI396" s="1980"/>
      <c r="BJ396" s="1980"/>
      <c r="BK396" s="1980"/>
      <c r="BL396" s="1526"/>
    </row>
    <row r="397" spans="1:64" s="1518" customFormat="1" x14ac:dyDescent="0.35">
      <c r="A397" s="1588" t="s">
        <v>169</v>
      </c>
      <c r="B397" s="1556"/>
      <c r="C397" s="1556"/>
      <c r="D397" s="1556"/>
      <c r="E397" s="1556"/>
      <c r="F397" s="1556"/>
      <c r="G397" s="1556"/>
      <c r="H397" s="1556"/>
      <c r="I397" s="1556"/>
      <c r="J397" s="1556"/>
      <c r="K397" s="1556"/>
      <c r="L397" s="1556"/>
      <c r="M397" s="1556"/>
      <c r="N397" s="1556"/>
      <c r="O397" s="1556"/>
      <c r="P397" s="1556"/>
      <c r="Q397" s="1556"/>
      <c r="R397" s="1556"/>
      <c r="S397" s="1556"/>
      <c r="T397" s="1556"/>
      <c r="U397" s="1556"/>
      <c r="V397" s="1556"/>
      <c r="W397" s="1556"/>
      <c r="X397" s="1556"/>
      <c r="Y397" s="1556"/>
      <c r="Z397" s="1556"/>
      <c r="AA397" s="1556"/>
      <c r="AB397" s="1556"/>
      <c r="AC397" s="1556"/>
      <c r="AD397" s="1556"/>
      <c r="AE397" s="1556"/>
      <c r="AF397" s="1556"/>
      <c r="AG397" s="1556"/>
      <c r="AH397" s="1556"/>
      <c r="AI397" s="1556"/>
      <c r="AJ397" s="1558"/>
      <c r="AK397" s="1556"/>
      <c r="AL397" s="1556"/>
      <c r="AM397" s="1556"/>
      <c r="AN397" s="1556"/>
      <c r="AO397" s="1556"/>
      <c r="AP397" s="1556"/>
      <c r="AQ397" s="1556"/>
      <c r="AR397" s="1556"/>
      <c r="AS397" s="1556"/>
      <c r="AT397" s="1556"/>
      <c r="AU397" s="1556"/>
      <c r="AV397" s="1556"/>
      <c r="AW397" s="1556"/>
      <c r="AX397" s="1556"/>
      <c r="AY397" s="1556"/>
      <c r="AZ397" s="1556"/>
      <c r="BA397" s="1556"/>
      <c r="BB397" s="1556"/>
      <c r="BC397" s="1556"/>
      <c r="BD397" s="1556"/>
      <c r="BE397" s="1556"/>
      <c r="BF397" s="1558"/>
      <c r="BG397" s="1556"/>
      <c r="BH397" s="1556"/>
      <c r="BI397" s="1556"/>
      <c r="BJ397" s="1556"/>
      <c r="BK397" s="1556"/>
      <c r="BL397" s="1517"/>
    </row>
    <row r="398" spans="1:64" s="1990" customFormat="1" x14ac:dyDescent="0.35">
      <c r="A398" s="1982" t="str">
        <f>"Stock Price (Reporting Cur.) - "&amp;MO.ValuationToggle&amp;", "&amp;MO.ReportCurrency</f>
        <v>Stock Price (Reporting Cur.) - EoP, USD</v>
      </c>
      <c r="B398" s="1983" t="s">
        <v>1158</v>
      </c>
      <c r="C398" s="1984"/>
      <c r="D398" s="1984"/>
      <c r="E398" s="1984"/>
      <c r="F398" s="1984"/>
      <c r="G398" s="1984"/>
      <c r="H398" s="1984"/>
      <c r="I398" s="1984"/>
      <c r="J398" s="1984"/>
      <c r="K398" s="1984"/>
      <c r="L398" s="1984"/>
      <c r="M398" s="1984"/>
      <c r="N398" s="1984"/>
      <c r="O398" s="1984"/>
      <c r="P398" s="1984"/>
      <c r="Q398" s="1984"/>
      <c r="R398" s="1984"/>
      <c r="S398" s="1984"/>
      <c r="T398" s="1984"/>
      <c r="U398" s="1984"/>
      <c r="V398" s="1984"/>
      <c r="W398" s="1984"/>
      <c r="X398" s="1984"/>
      <c r="Y398" s="1984">
        <f t="shared" ref="Y398:AP398" si="217">IF(MO.ValuationToggle="EoP",INDEX(MO_VA_StockPrice_TradingCurrency,1,COLUMN())/INDEX(MO_VA_FX_EoP,1,COLUMN()),INDEX(MO_VA_StockPrice_TradingCurrency,1,COLUMN())/INDEX(MO_VA_FX_Average,1,COLUMN()))</f>
        <v>25.42</v>
      </c>
      <c r="Z398" s="1984">
        <f t="shared" si="217"/>
        <v>20.49</v>
      </c>
      <c r="AA398" s="1984">
        <f t="shared" si="217"/>
        <v>26.42</v>
      </c>
      <c r="AB398" s="1984">
        <f t="shared" si="217"/>
        <v>16.21</v>
      </c>
      <c r="AC398" s="1984">
        <f t="shared" si="217"/>
        <v>18.309999999999999</v>
      </c>
      <c r="AD398" s="1984">
        <f t="shared" si="217"/>
        <v>15.47</v>
      </c>
      <c r="AE398" s="1984">
        <f t="shared" si="217"/>
        <v>11.01</v>
      </c>
      <c r="AF398" s="1984">
        <f t="shared" si="217"/>
        <v>12.43</v>
      </c>
      <c r="AG398" s="1984">
        <f t="shared" si="217"/>
        <v>12.62</v>
      </c>
      <c r="AH398" s="1984">
        <f t="shared" si="217"/>
        <v>13.92</v>
      </c>
      <c r="AI398" s="1984">
        <f t="shared" si="217"/>
        <v>16.079999999999998</v>
      </c>
      <c r="AJ398" s="1985">
        <f t="shared" si="217"/>
        <v>14.8</v>
      </c>
      <c r="AK398" s="1984">
        <f t="shared" ca="1" si="217"/>
        <v>15.35</v>
      </c>
      <c r="AL398" s="1984">
        <f t="shared" ca="1" si="217"/>
        <v>15.35</v>
      </c>
      <c r="AM398" s="1984">
        <f t="shared" ca="1" si="217"/>
        <v>15.35</v>
      </c>
      <c r="AN398" s="1984">
        <f t="shared" ca="1" si="217"/>
        <v>15.35</v>
      </c>
      <c r="AO398" s="1984">
        <f t="shared" ca="1" si="217"/>
        <v>15.35</v>
      </c>
      <c r="AP398" s="1984">
        <f t="shared" ca="1" si="217"/>
        <v>15.35</v>
      </c>
      <c r="AQ398" s="1984"/>
      <c r="AR398" s="1986"/>
      <c r="AS398" s="1986"/>
      <c r="AT398" s="1986"/>
      <c r="AU398" s="1986"/>
      <c r="AV398" s="1986"/>
      <c r="AW398" s="1986"/>
      <c r="AX398" s="1986"/>
      <c r="AY398" s="1986"/>
      <c r="AZ398" s="1986"/>
      <c r="BA398" s="1986"/>
      <c r="BB398" s="1986"/>
      <c r="BC398" s="1986"/>
      <c r="BD398" s="1986">
        <f t="shared" ref="BD398:BK398" si="218">IF(MO.ValuationToggle="EoP",INDEX(MO_VA_StockPrice_TradingCurrency,1,COLUMN())/INDEX(MO_VA_FX_EoP,1,COLUMN()),INDEX(MO_VA_StockPrice_TradingCurrency,1,COLUMN())/INDEX(MO_VA_FX_Average,1,COLUMN()))</f>
        <v>20.49</v>
      </c>
      <c r="BE398" s="1986">
        <f t="shared" si="218"/>
        <v>15.47</v>
      </c>
      <c r="BF398" s="1987">
        <f t="shared" si="218"/>
        <v>13.92</v>
      </c>
      <c r="BG398" s="1988">
        <f t="shared" ca="1" si="218"/>
        <v>15.35</v>
      </c>
      <c r="BH398" s="1988">
        <f t="shared" ca="1" si="218"/>
        <v>15.35</v>
      </c>
      <c r="BI398" s="1988">
        <f t="shared" ca="1" si="218"/>
        <v>15.35</v>
      </c>
      <c r="BJ398" s="1988">
        <f t="shared" ca="1" si="218"/>
        <v>15.35</v>
      </c>
      <c r="BK398" s="1988">
        <f t="shared" ca="1" si="218"/>
        <v>15.35</v>
      </c>
      <c r="BL398" s="1989"/>
    </row>
    <row r="399" spans="1:64" s="1518" customFormat="1" x14ac:dyDescent="0.35">
      <c r="A399" s="1517" t="str">
        <f>"Market Cap - "&amp;MO.ValuationToggle</f>
        <v>Market Cap - EoP</v>
      </c>
      <c r="B399" s="1716"/>
      <c r="C399" s="1515"/>
      <c r="D399" s="1515"/>
      <c r="E399" s="1515"/>
      <c r="F399" s="1515"/>
      <c r="G399" s="1515"/>
      <c r="H399" s="1515"/>
      <c r="I399" s="1515"/>
      <c r="J399" s="1515"/>
      <c r="K399" s="1515"/>
      <c r="L399" s="1515"/>
      <c r="M399" s="1515"/>
      <c r="N399" s="1515"/>
      <c r="O399" s="1515"/>
      <c r="P399" s="1515"/>
      <c r="Q399" s="1515"/>
      <c r="R399" s="1515"/>
      <c r="S399" s="1515"/>
      <c r="T399" s="1515"/>
      <c r="U399" s="1515"/>
      <c r="V399" s="1515"/>
      <c r="W399" s="1515"/>
      <c r="X399" s="1515"/>
      <c r="Y399" s="1515">
        <f t="shared" ref="Y399:AP399" si="219">INDEX(MO_VA_StockPrice,0,COLUMN())*INDEX(MO_SCA_ShareCount_EoP_Diluted,0,COLUMN())</f>
        <v>2388.5441118600002</v>
      </c>
      <c r="Z399" s="1515">
        <f t="shared" si="219"/>
        <v>2042.7449152499998</v>
      </c>
      <c r="AA399" s="1515">
        <f t="shared" si="219"/>
        <v>2620.7449514800005</v>
      </c>
      <c r="AB399" s="1515">
        <f t="shared" si="219"/>
        <v>1610.8632548100002</v>
      </c>
      <c r="AC399" s="1515">
        <f t="shared" si="219"/>
        <v>1818.4317779699995</v>
      </c>
      <c r="AD399" s="1515">
        <f t="shared" si="219"/>
        <v>1520.38841318</v>
      </c>
      <c r="AE399" s="1515">
        <f t="shared" si="219"/>
        <v>1049.6483250600002</v>
      </c>
      <c r="AF399" s="1515">
        <f t="shared" si="219"/>
        <v>1159.87032282</v>
      </c>
      <c r="AG399" s="1515">
        <f t="shared" si="219"/>
        <v>1176.4895554399998</v>
      </c>
      <c r="AH399" s="1515">
        <f t="shared" si="219"/>
        <v>1281.7241174399999</v>
      </c>
      <c r="AI399" s="1515">
        <f t="shared" si="219"/>
        <v>1534.0681156799999</v>
      </c>
      <c r="AJ399" s="1516">
        <f t="shared" si="219"/>
        <v>1414.2215184000001</v>
      </c>
      <c r="AK399" s="1515">
        <f t="shared" ca="1" si="219"/>
        <v>1466.991721623315</v>
      </c>
      <c r="AL399" s="1515">
        <f t="shared" ca="1" si="219"/>
        <v>1467.1384207954773</v>
      </c>
      <c r="AM399" s="1515">
        <f t="shared" ca="1" si="219"/>
        <v>1467.2851346375571</v>
      </c>
      <c r="AN399" s="1515">
        <f t="shared" ca="1" si="219"/>
        <v>1467.4318631510207</v>
      </c>
      <c r="AO399" s="1515">
        <f t="shared" ca="1" si="219"/>
        <v>1467.5786063373359</v>
      </c>
      <c r="AP399" s="1515">
        <f t="shared" ca="1" si="219"/>
        <v>1467.7253641979696</v>
      </c>
      <c r="AQ399" s="1515"/>
      <c r="AR399" s="1595"/>
      <c r="AS399" s="1595"/>
      <c r="AT399" s="1595"/>
      <c r="AU399" s="1595"/>
      <c r="AV399" s="1595"/>
      <c r="AW399" s="1595"/>
      <c r="AX399" s="1595"/>
      <c r="AY399" s="1595"/>
      <c r="AZ399" s="1595"/>
      <c r="BA399" s="1595"/>
      <c r="BB399" s="1595"/>
      <c r="BC399" s="1595"/>
      <c r="BD399" s="1595">
        <f t="shared" ref="BD399:BK399" si="220">INDEX(MO_VA_StockPrice,0,COLUMN())*INDEX(MO_SCA_ShareCount_EoP_Diluted,0,COLUMN())</f>
        <v>2042.7449152499998</v>
      </c>
      <c r="BE399" s="1595">
        <f t="shared" si="220"/>
        <v>1520.38841318</v>
      </c>
      <c r="BF399" s="1610">
        <f t="shared" si="220"/>
        <v>1281.7241174399999</v>
      </c>
      <c r="BG399" s="1595">
        <f t="shared" ca="1" si="220"/>
        <v>1467.1384207954773</v>
      </c>
      <c r="BH399" s="1595">
        <f t="shared" ca="1" si="220"/>
        <v>1467.7253641979696</v>
      </c>
      <c r="BI399" s="1595">
        <f t="shared" ca="1" si="220"/>
        <v>1468.3124543436484</v>
      </c>
      <c r="BJ399" s="1595">
        <f t="shared" ca="1" si="220"/>
        <v>1468.8997793253859</v>
      </c>
      <c r="BK399" s="1595">
        <f t="shared" ca="1" si="220"/>
        <v>1469.4873392371162</v>
      </c>
      <c r="BL399" s="1517"/>
    </row>
    <row r="400" spans="1:64" s="1518" customFormat="1" x14ac:dyDescent="0.35">
      <c r="A400" s="1517" t="str">
        <f>"Enterprise Value - "&amp;MO.ValuationToggle</f>
        <v>Enterprise Value - EoP</v>
      </c>
      <c r="B400" s="1716"/>
      <c r="C400" s="1515"/>
      <c r="D400" s="1515"/>
      <c r="E400" s="1515"/>
      <c r="F400" s="1515"/>
      <c r="G400" s="1515"/>
      <c r="H400" s="1515"/>
      <c r="I400" s="1515"/>
      <c r="J400" s="1515"/>
      <c r="K400" s="1515"/>
      <c r="L400" s="1515"/>
      <c r="M400" s="1515"/>
      <c r="N400" s="1515"/>
      <c r="O400" s="1515"/>
      <c r="P400" s="1515"/>
      <c r="Q400" s="1515"/>
      <c r="R400" s="1515"/>
      <c r="S400" s="1515"/>
      <c r="T400" s="1515"/>
      <c r="U400" s="1515"/>
      <c r="V400" s="1515"/>
      <c r="W400" s="1515"/>
      <c r="X400" s="1515"/>
      <c r="Y400" s="1515">
        <f t="shared" ref="Y400:AP400" si="221">Y399+Y384+Y419+Y417+Y418</f>
        <v>2801.8101118600002</v>
      </c>
      <c r="Z400" s="1515">
        <f t="shared" si="221"/>
        <v>2500.31491525</v>
      </c>
      <c r="AA400" s="1515">
        <f t="shared" si="221"/>
        <v>3103.5979514800006</v>
      </c>
      <c r="AB400" s="1515">
        <f t="shared" si="221"/>
        <v>2070.0772548100003</v>
      </c>
      <c r="AC400" s="1515">
        <f t="shared" si="221"/>
        <v>2243.0957779699997</v>
      </c>
      <c r="AD400" s="1515">
        <f t="shared" si="221"/>
        <v>1939.3354131800002</v>
      </c>
      <c r="AE400" s="1515">
        <f t="shared" si="221"/>
        <v>1518.6323250600001</v>
      </c>
      <c r="AF400" s="1515">
        <f t="shared" si="221"/>
        <v>1623.43632282</v>
      </c>
      <c r="AG400" s="1515">
        <f t="shared" si="221"/>
        <v>1636.1385554399999</v>
      </c>
      <c r="AH400" s="1515">
        <f t="shared" si="221"/>
        <v>1733.7851174399998</v>
      </c>
      <c r="AI400" s="1515">
        <f t="shared" si="221"/>
        <v>2033.8161156799999</v>
      </c>
      <c r="AJ400" s="1516">
        <f t="shared" si="221"/>
        <v>1902.2795184000001</v>
      </c>
      <c r="AK400" s="1515">
        <f t="shared" ca="1" si="221"/>
        <v>1925.9715721869511</v>
      </c>
      <c r="AL400" s="1515">
        <f t="shared" ca="1" si="221"/>
        <v>1874.1442187801072</v>
      </c>
      <c r="AM400" s="1515">
        <f t="shared" ca="1" si="221"/>
        <v>1841.4882135662065</v>
      </c>
      <c r="AN400" s="1515">
        <f t="shared" ca="1" si="221"/>
        <v>1806.6015128367294</v>
      </c>
      <c r="AO400" s="1515">
        <f t="shared" ca="1" si="221"/>
        <v>1783.0025077138537</v>
      </c>
      <c r="AP400" s="1515">
        <f t="shared" ca="1" si="221"/>
        <v>1738.5576736293924</v>
      </c>
      <c r="AQ400" s="1515"/>
      <c r="AR400" s="1595"/>
      <c r="AS400" s="1595"/>
      <c r="AT400" s="1595"/>
      <c r="AU400" s="1595"/>
      <c r="AV400" s="1595"/>
      <c r="AW400" s="1595"/>
      <c r="AX400" s="1595"/>
      <c r="AY400" s="1595"/>
      <c r="AZ400" s="1595"/>
      <c r="BA400" s="1595"/>
      <c r="BB400" s="1595"/>
      <c r="BC400" s="1595"/>
      <c r="BD400" s="1595">
        <f t="shared" ref="BD400:BK400" si="222">BD399+BD384+BD419+BD417+BD418</f>
        <v>2500.31491525</v>
      </c>
      <c r="BE400" s="1595">
        <f t="shared" si="222"/>
        <v>1939.3354131800002</v>
      </c>
      <c r="BF400" s="1610">
        <f t="shared" si="222"/>
        <v>1733.7851174399998</v>
      </c>
      <c r="BG400" s="1595">
        <f t="shared" ca="1" si="222"/>
        <v>1874.1442187801072</v>
      </c>
      <c r="BH400" s="1595">
        <f t="shared" ca="1" si="222"/>
        <v>1738.5576736293924</v>
      </c>
      <c r="BI400" s="1595">
        <f t="shared" ca="1" si="222"/>
        <v>1555.2882753175368</v>
      </c>
      <c r="BJ400" s="1595">
        <f t="shared" ca="1" si="222"/>
        <v>1373.0009440143426</v>
      </c>
      <c r="BK400" s="1595">
        <f t="shared" ca="1" si="222"/>
        <v>1159.9982886935945</v>
      </c>
      <c r="BL400" s="1517"/>
    </row>
    <row r="401" spans="1:64" s="1999" customFormat="1" x14ac:dyDescent="0.35">
      <c r="A401" s="1991"/>
      <c r="B401" s="1992"/>
      <c r="C401" s="1993"/>
      <c r="D401" s="1994"/>
      <c r="E401" s="1993"/>
      <c r="F401" s="1993"/>
      <c r="G401" s="1993"/>
      <c r="H401" s="1994"/>
      <c r="I401" s="1993"/>
      <c r="J401" s="1993"/>
      <c r="K401" s="1993"/>
      <c r="L401" s="1994"/>
      <c r="M401" s="1993"/>
      <c r="N401" s="1993"/>
      <c r="O401" s="1993"/>
      <c r="P401" s="1994"/>
      <c r="Q401" s="1993"/>
      <c r="R401" s="1993"/>
      <c r="S401" s="1993"/>
      <c r="T401" s="1994"/>
      <c r="U401" s="1993"/>
      <c r="V401" s="1993"/>
      <c r="W401" s="1993"/>
      <c r="X401" s="1994"/>
      <c r="Y401" s="1993"/>
      <c r="Z401" s="1993"/>
      <c r="AA401" s="1993"/>
      <c r="AB401" s="1994"/>
      <c r="AC401" s="1993"/>
      <c r="AD401" s="1993"/>
      <c r="AE401" s="1993"/>
      <c r="AF401" s="1994"/>
      <c r="AG401" s="1993"/>
      <c r="AH401" s="1993"/>
      <c r="AI401" s="1993"/>
      <c r="AJ401" s="1995"/>
      <c r="AK401" s="1994"/>
      <c r="AL401" s="1994"/>
      <c r="AM401" s="1994"/>
      <c r="AN401" s="1994"/>
      <c r="AO401" s="1994"/>
      <c r="AP401" s="1994"/>
      <c r="AQ401" s="1994"/>
      <c r="AR401" s="1996"/>
      <c r="AS401" s="1996"/>
      <c r="AT401" s="1996"/>
      <c r="AU401" s="1996"/>
      <c r="AV401" s="1996"/>
      <c r="AW401" s="1996"/>
      <c r="AX401" s="1996"/>
      <c r="AY401" s="1996"/>
      <c r="AZ401" s="1996"/>
      <c r="BA401" s="1996"/>
      <c r="BB401" s="1996"/>
      <c r="BC401" s="1996"/>
      <c r="BD401" s="1996"/>
      <c r="BE401" s="1996"/>
      <c r="BF401" s="1997"/>
      <c r="BG401" s="1996"/>
      <c r="BH401" s="1996"/>
      <c r="BI401" s="1996"/>
      <c r="BJ401" s="1996"/>
      <c r="BK401" s="1996"/>
      <c r="BL401" s="1998"/>
    </row>
    <row r="402" spans="1:64" s="1999" customFormat="1" x14ac:dyDescent="0.35">
      <c r="A402" s="2000" t="str">
        <f>"P/E - "&amp;MO.ValuationToggle</f>
        <v>P/E - EoP</v>
      </c>
      <c r="B402" s="1992"/>
      <c r="C402" s="1993"/>
      <c r="D402" s="1994"/>
      <c r="E402" s="1993"/>
      <c r="F402" s="1993"/>
      <c r="G402" s="1993"/>
      <c r="H402" s="1994"/>
      <c r="I402" s="1993"/>
      <c r="J402" s="1993"/>
      <c r="K402" s="1993"/>
      <c r="L402" s="1994"/>
      <c r="M402" s="1993"/>
      <c r="N402" s="1993"/>
      <c r="O402" s="1993"/>
      <c r="P402" s="1994"/>
      <c r="Q402" s="1993"/>
      <c r="R402" s="1993"/>
      <c r="S402" s="1993"/>
      <c r="T402" s="1994"/>
      <c r="U402" s="1993"/>
      <c r="V402" s="1993"/>
      <c r="W402" s="1993"/>
      <c r="X402" s="1994"/>
      <c r="Y402" s="1993"/>
      <c r="Z402" s="1993"/>
      <c r="AA402" s="1993"/>
      <c r="AB402" s="1994"/>
      <c r="AC402" s="1993"/>
      <c r="AD402" s="1993"/>
      <c r="AE402" s="1993"/>
      <c r="AF402" s="1994"/>
      <c r="AG402" s="1993"/>
      <c r="AH402" s="1993"/>
      <c r="AI402" s="1993"/>
      <c r="AJ402" s="1995"/>
      <c r="AK402" s="1994"/>
      <c r="AL402" s="1994"/>
      <c r="AM402" s="1994"/>
      <c r="AN402" s="1994"/>
      <c r="AO402" s="1994"/>
      <c r="AP402" s="1994"/>
      <c r="AQ402" s="1994"/>
      <c r="AR402" s="1996"/>
      <c r="AS402" s="1996"/>
      <c r="AT402" s="1996"/>
      <c r="AU402" s="1996"/>
      <c r="AV402" s="1996"/>
      <c r="AW402" s="1996"/>
      <c r="AX402" s="1996"/>
      <c r="AY402" s="1996"/>
      <c r="AZ402" s="1996"/>
      <c r="BA402" s="1996"/>
      <c r="BB402" s="1996"/>
      <c r="BC402" s="1996"/>
      <c r="BD402" s="1996">
        <f t="shared" ref="BD402:BK402" si="223">BD398/BD219</f>
        <v>21.12327011774655</v>
      </c>
      <c r="BE402" s="1996">
        <f t="shared" si="223"/>
        <v>14.355033853113701</v>
      </c>
      <c r="BF402" s="1997">
        <f t="shared" si="223"/>
        <v>13.92511590757108</v>
      </c>
      <c r="BG402" s="1996">
        <f t="shared" ca="1" si="223"/>
        <v>15.839334981325278</v>
      </c>
      <c r="BH402" s="1996">
        <f t="shared" ca="1" si="223"/>
        <v>13.168192652631184</v>
      </c>
      <c r="BI402" s="1996">
        <f t="shared" ca="1" si="223"/>
        <v>11.094641202670822</v>
      </c>
      <c r="BJ402" s="1996">
        <f t="shared" ca="1" si="223"/>
        <v>10.303462679333059</v>
      </c>
      <c r="BK402" s="1996">
        <f t="shared" ca="1" si="223"/>
        <v>8.2699868512664167</v>
      </c>
      <c r="BL402" s="1998"/>
    </row>
    <row r="403" spans="1:64" s="1999" customFormat="1" x14ac:dyDescent="0.35">
      <c r="A403" s="2000" t="str">
        <f>"EV/EBITDA - "&amp;MO.ValuationToggle</f>
        <v>EV/EBITDA - EoP</v>
      </c>
      <c r="B403" s="1992"/>
      <c r="C403" s="1993"/>
      <c r="D403" s="1994"/>
      <c r="E403" s="1993"/>
      <c r="F403" s="1993"/>
      <c r="G403" s="1993"/>
      <c r="H403" s="1994"/>
      <c r="I403" s="1993"/>
      <c r="J403" s="1993"/>
      <c r="K403" s="1993"/>
      <c r="L403" s="1994"/>
      <c r="M403" s="1993"/>
      <c r="N403" s="1993"/>
      <c r="O403" s="1993"/>
      <c r="P403" s="1994"/>
      <c r="Q403" s="1993"/>
      <c r="R403" s="1993"/>
      <c r="S403" s="1993"/>
      <c r="T403" s="1994"/>
      <c r="U403" s="1993"/>
      <c r="V403" s="1993"/>
      <c r="W403" s="1993"/>
      <c r="X403" s="1994"/>
      <c r="Y403" s="1993"/>
      <c r="Z403" s="1993"/>
      <c r="AA403" s="1993"/>
      <c r="AB403" s="1994"/>
      <c r="AC403" s="1993"/>
      <c r="AD403" s="1993"/>
      <c r="AE403" s="1993"/>
      <c r="AF403" s="1994"/>
      <c r="AG403" s="1993"/>
      <c r="AH403" s="1993"/>
      <c r="AI403" s="1993"/>
      <c r="AJ403" s="1995"/>
      <c r="AK403" s="1994"/>
      <c r="AL403" s="1994"/>
      <c r="AM403" s="1994"/>
      <c r="AN403" s="1994"/>
      <c r="AO403" s="1994"/>
      <c r="AP403" s="1994"/>
      <c r="AQ403" s="1994"/>
      <c r="AR403" s="1996"/>
      <c r="AS403" s="1996"/>
      <c r="AT403" s="1996"/>
      <c r="AU403" s="1996"/>
      <c r="AV403" s="1996"/>
      <c r="AW403" s="1996"/>
      <c r="AX403" s="1996"/>
      <c r="AY403" s="1996"/>
      <c r="AZ403" s="1996"/>
      <c r="BA403" s="1996"/>
      <c r="BB403" s="1996"/>
      <c r="BC403" s="1996"/>
      <c r="BD403" s="1996">
        <f t="shared" ref="BD403:BK403" si="224">BD400/BD186</f>
        <v>13.953896080286185</v>
      </c>
      <c r="BE403" s="1996">
        <f t="shared" si="224"/>
        <v>9.7698040492083216</v>
      </c>
      <c r="BF403" s="1997">
        <f t="shared" si="224"/>
        <v>9.3705958007609844</v>
      </c>
      <c r="BG403" s="1996">
        <f t="shared" ca="1" si="224"/>
        <v>10.263068893275626</v>
      </c>
      <c r="BH403" s="1996">
        <f t="shared" ca="1" si="224"/>
        <v>9.2847687975014175</v>
      </c>
      <c r="BI403" s="1996">
        <f t="shared" ca="1" si="224"/>
        <v>7.2927691690037744</v>
      </c>
      <c r="BJ403" s="1996">
        <f t="shared" ca="1" si="224"/>
        <v>4.9485976082918555</v>
      </c>
      <c r="BK403" s="1996">
        <f t="shared" ca="1" si="224"/>
        <v>3.6567495666627496</v>
      </c>
      <c r="BL403" s="1998"/>
    </row>
    <row r="404" spans="1:64" s="1999" customFormat="1" x14ac:dyDescent="0.35">
      <c r="A404" s="2000" t="str">
        <f>"P/CF - "&amp;MO.ValuationToggle</f>
        <v>P/CF - EoP</v>
      </c>
      <c r="B404" s="1992"/>
      <c r="C404" s="1993"/>
      <c r="D404" s="1994"/>
      <c r="E404" s="1993"/>
      <c r="F404" s="1993"/>
      <c r="G404" s="1993"/>
      <c r="H404" s="1994"/>
      <c r="I404" s="1993"/>
      <c r="J404" s="1993"/>
      <c r="K404" s="1993"/>
      <c r="L404" s="1994"/>
      <c r="M404" s="1993"/>
      <c r="N404" s="1993"/>
      <c r="O404" s="1993"/>
      <c r="P404" s="1994"/>
      <c r="Q404" s="1993"/>
      <c r="R404" s="1993"/>
      <c r="S404" s="1993"/>
      <c r="T404" s="1994"/>
      <c r="U404" s="1993"/>
      <c r="V404" s="1993"/>
      <c r="W404" s="1993"/>
      <c r="X404" s="1994"/>
      <c r="Y404" s="1993"/>
      <c r="Z404" s="1993"/>
      <c r="AA404" s="1993"/>
      <c r="AB404" s="1994"/>
      <c r="AC404" s="1993"/>
      <c r="AD404" s="1993"/>
      <c r="AE404" s="1993"/>
      <c r="AF404" s="1994"/>
      <c r="AG404" s="1993"/>
      <c r="AH404" s="1993"/>
      <c r="AI404" s="1993"/>
      <c r="AJ404" s="1995"/>
      <c r="AK404" s="1994"/>
      <c r="AL404" s="1994"/>
      <c r="AM404" s="1994"/>
      <c r="AN404" s="1994"/>
      <c r="AO404" s="1994"/>
      <c r="AP404" s="1994"/>
      <c r="AQ404" s="1994"/>
      <c r="AR404" s="1996"/>
      <c r="AS404" s="1996"/>
      <c r="AT404" s="1996"/>
      <c r="AU404" s="1996"/>
      <c r="AV404" s="1996"/>
      <c r="AW404" s="1996"/>
      <c r="AX404" s="1996"/>
      <c r="AY404" s="1996"/>
      <c r="AZ404" s="1996"/>
      <c r="BA404" s="1996"/>
      <c r="BB404" s="1996"/>
      <c r="BC404" s="1996"/>
      <c r="BD404" s="1996">
        <f t="shared" ref="BD404:BK404" si="225">BD398/BD356</f>
        <v>26.945189550907362</v>
      </c>
      <c r="BE404" s="1996">
        <f t="shared" si="225"/>
        <v>14.669221889644463</v>
      </c>
      <c r="BF404" s="1997">
        <f t="shared" si="225"/>
        <v>13.162112399417721</v>
      </c>
      <c r="BG404" s="1996">
        <f t="shared" ca="1" si="225"/>
        <v>13.124130010257865</v>
      </c>
      <c r="BH404" s="1996">
        <f t="shared" ca="1" si="225"/>
        <v>9.3961740548026071</v>
      </c>
      <c r="BI404" s="1996">
        <f t="shared" ca="1" si="225"/>
        <v>7.2012371074301891</v>
      </c>
      <c r="BJ404" s="1996">
        <f t="shared" ca="1" si="225"/>
        <v>7.2389826493256013</v>
      </c>
      <c r="BK404" s="1996">
        <f t="shared" ca="1" si="225"/>
        <v>6.2896194424028069</v>
      </c>
      <c r="BL404" s="1998"/>
    </row>
    <row r="405" spans="1:64" s="1560" customFormat="1" x14ac:dyDescent="0.35">
      <c r="A405" s="1660" t="str">
        <f>"FCF Yield % to "&amp;MO.ValuationToggle&amp;" Market Cap"</f>
        <v>FCF Yield % to EoP Market Cap</v>
      </c>
      <c r="B405" s="1562"/>
      <c r="C405" s="1563"/>
      <c r="D405" s="1563"/>
      <c r="E405" s="1563"/>
      <c r="F405" s="1563"/>
      <c r="G405" s="1563"/>
      <c r="H405" s="1563"/>
      <c r="I405" s="1563"/>
      <c r="J405" s="1563"/>
      <c r="K405" s="1563"/>
      <c r="L405" s="1563"/>
      <c r="M405" s="1563"/>
      <c r="N405" s="1563"/>
      <c r="O405" s="1563"/>
      <c r="P405" s="1563"/>
      <c r="Q405" s="1563"/>
      <c r="R405" s="1563"/>
      <c r="S405" s="1563"/>
      <c r="T405" s="1563"/>
      <c r="U405" s="1563"/>
      <c r="V405" s="1563"/>
      <c r="W405" s="1563"/>
      <c r="X405" s="1563"/>
      <c r="Y405" s="1563"/>
      <c r="Z405" s="1563"/>
      <c r="AA405" s="1563"/>
      <c r="AB405" s="1563"/>
      <c r="AC405" s="1563"/>
      <c r="AD405" s="1563"/>
      <c r="AE405" s="1563"/>
      <c r="AF405" s="1563"/>
      <c r="AG405" s="1563"/>
      <c r="AH405" s="1563"/>
      <c r="AI405" s="1563"/>
      <c r="AJ405" s="1564"/>
      <c r="AK405" s="1563"/>
      <c r="AL405" s="1563"/>
      <c r="AM405" s="1563"/>
      <c r="AN405" s="1563"/>
      <c r="AO405" s="1563"/>
      <c r="AP405" s="1563"/>
      <c r="AQ405" s="1563"/>
      <c r="AR405" s="1565"/>
      <c r="AS405" s="1565"/>
      <c r="AT405" s="1565"/>
      <c r="AU405" s="1565"/>
      <c r="AV405" s="1565"/>
      <c r="AW405" s="1565"/>
      <c r="AX405" s="1565"/>
      <c r="AY405" s="1565"/>
      <c r="AZ405" s="1565"/>
      <c r="BA405" s="1565"/>
      <c r="BB405" s="1565"/>
      <c r="BC405" s="1565"/>
      <c r="BD405" s="1565">
        <f t="shared" ref="BD405:BK405" si="226">BD373/BD399</f>
        <v>2.4237485370972339E-2</v>
      </c>
      <c r="BE405" s="1565">
        <f t="shared" si="226"/>
        <v>5.5299027058585033E-2</v>
      </c>
      <c r="BF405" s="1567">
        <f t="shared" si="226"/>
        <v>5.9684450779308271E-2</v>
      </c>
      <c r="BG405" s="1565">
        <f t="shared" ca="1" si="226"/>
        <v>6.1256116492840629E-2</v>
      </c>
      <c r="BH405" s="1565">
        <f t="shared" ca="1" si="226"/>
        <v>9.2778589152214153E-2</v>
      </c>
      <c r="BI405" s="1565">
        <f t="shared" ca="1" si="226"/>
        <v>0.12521618808969376</v>
      </c>
      <c r="BJ405" s="1565">
        <f t="shared" ca="1" si="226"/>
        <v>0.12449770832487961</v>
      </c>
      <c r="BK405" s="1565">
        <f t="shared" ca="1" si="226"/>
        <v>0.14535015683997896</v>
      </c>
      <c r="BL405" s="1559"/>
    </row>
    <row r="406" spans="1:64" s="1560" customFormat="1" x14ac:dyDescent="0.35">
      <c r="A406" s="1660" t="str">
        <f>"FCF Yield % to "&amp;MO.ValuationToggle&amp;" Enterprise Value"</f>
        <v>FCF Yield % to EoP Enterprise Value</v>
      </c>
      <c r="B406" s="1562"/>
      <c r="C406" s="1563"/>
      <c r="D406" s="1563"/>
      <c r="E406" s="1563"/>
      <c r="F406" s="1563"/>
      <c r="G406" s="1563"/>
      <c r="H406" s="1563"/>
      <c r="I406" s="1563"/>
      <c r="J406" s="1563"/>
      <c r="K406" s="1563"/>
      <c r="L406" s="1563"/>
      <c r="M406" s="1563"/>
      <c r="N406" s="1563"/>
      <c r="O406" s="1563"/>
      <c r="P406" s="1563"/>
      <c r="Q406" s="1563"/>
      <c r="R406" s="1563"/>
      <c r="S406" s="1563"/>
      <c r="T406" s="1563"/>
      <c r="U406" s="1563"/>
      <c r="V406" s="1563"/>
      <c r="W406" s="1563"/>
      <c r="X406" s="1563"/>
      <c r="Y406" s="1563"/>
      <c r="Z406" s="1563"/>
      <c r="AA406" s="1563"/>
      <c r="AB406" s="1563"/>
      <c r="AC406" s="1563"/>
      <c r="AD406" s="1563"/>
      <c r="AE406" s="1563"/>
      <c r="AF406" s="1563"/>
      <c r="AG406" s="1563"/>
      <c r="AH406" s="1563"/>
      <c r="AI406" s="1563"/>
      <c r="AJ406" s="1564"/>
      <c r="AK406" s="1563"/>
      <c r="AL406" s="1563"/>
      <c r="AM406" s="1563"/>
      <c r="AN406" s="1563"/>
      <c r="AO406" s="1563"/>
      <c r="AP406" s="1563"/>
      <c r="AQ406" s="1563"/>
      <c r="AR406" s="1565"/>
      <c r="AS406" s="1565"/>
      <c r="AT406" s="1565"/>
      <c r="AU406" s="1565"/>
      <c r="AV406" s="1565"/>
      <c r="AW406" s="1565"/>
      <c r="AX406" s="1565"/>
      <c r="AY406" s="1565"/>
      <c r="AZ406" s="1565"/>
      <c r="BA406" s="1565"/>
      <c r="BB406" s="1565"/>
      <c r="BC406" s="1565"/>
      <c r="BD406" s="1565">
        <f t="shared" ref="BD406:BK406" si="227">BD373/BD400</f>
        <v>1.9801905631175072E-2</v>
      </c>
      <c r="BE406" s="1565">
        <f t="shared" si="227"/>
        <v>4.3352995788457985E-2</v>
      </c>
      <c r="BF406" s="1567">
        <f t="shared" si="227"/>
        <v>4.4122538156835554E-2</v>
      </c>
      <c r="BG406" s="1565">
        <f t="shared" ca="1" si="227"/>
        <v>4.7953194377894644E-2</v>
      </c>
      <c r="BH406" s="1565">
        <f t="shared" ca="1" si="227"/>
        <v>7.8325551472177013E-2</v>
      </c>
      <c r="BI406" s="1565">
        <f t="shared" ca="1" si="227"/>
        <v>0.11821376871113937</v>
      </c>
      <c r="BJ406" s="1565">
        <f t="shared" ca="1" si="227"/>
        <v>0.13319339442713565</v>
      </c>
      <c r="BK406" s="1565">
        <f t="shared" ca="1" si="227"/>
        <v>0.18412976753011104</v>
      </c>
      <c r="BL406" s="1559"/>
    </row>
    <row r="407" spans="1:64" s="1560" customFormat="1" hidden="1" outlineLevel="1" x14ac:dyDescent="0.35">
      <c r="A407" s="2001"/>
      <c r="B407" s="1562"/>
      <c r="C407" s="1563"/>
      <c r="D407" s="1563"/>
      <c r="E407" s="1563"/>
      <c r="F407" s="1563"/>
      <c r="G407" s="1563"/>
      <c r="H407" s="1563"/>
      <c r="I407" s="1563"/>
      <c r="J407" s="1563"/>
      <c r="K407" s="1563"/>
      <c r="L407" s="1563"/>
      <c r="M407" s="1563"/>
      <c r="N407" s="1563"/>
      <c r="O407" s="1563"/>
      <c r="P407" s="1563"/>
      <c r="Q407" s="1563"/>
      <c r="R407" s="1563"/>
      <c r="S407" s="1563"/>
      <c r="T407" s="1563"/>
      <c r="U407" s="1563"/>
      <c r="V407" s="1563"/>
      <c r="W407" s="1563"/>
      <c r="X407" s="1563"/>
      <c r="Y407" s="1563"/>
      <c r="Z407" s="1563"/>
      <c r="AA407" s="1563"/>
      <c r="AB407" s="1563"/>
      <c r="AC407" s="1563"/>
      <c r="AD407" s="1563"/>
      <c r="AE407" s="1563"/>
      <c r="AF407" s="1563"/>
      <c r="AG407" s="1563"/>
      <c r="AH407" s="1563"/>
      <c r="AI407" s="1563"/>
      <c r="AJ407" s="1564"/>
      <c r="AK407" s="1563"/>
      <c r="AL407" s="1563"/>
      <c r="AM407" s="1563"/>
      <c r="AN407" s="1563"/>
      <c r="AO407" s="1563"/>
      <c r="AP407" s="1563"/>
      <c r="AQ407" s="1563"/>
      <c r="AR407" s="1565"/>
      <c r="AS407" s="1565"/>
      <c r="AT407" s="1565"/>
      <c r="AU407" s="1565"/>
      <c r="AV407" s="1565"/>
      <c r="AW407" s="1565"/>
      <c r="AX407" s="1565"/>
      <c r="AY407" s="1565"/>
      <c r="AZ407" s="1565"/>
      <c r="BA407" s="1565"/>
      <c r="BB407" s="1565"/>
      <c r="BC407" s="1565"/>
      <c r="BD407" s="1565"/>
      <c r="BE407" s="1565"/>
      <c r="BF407" s="1567"/>
      <c r="BG407" s="1565"/>
      <c r="BH407" s="1565"/>
      <c r="BI407" s="1565"/>
      <c r="BJ407" s="1565"/>
      <c r="BK407" s="1565"/>
      <c r="BL407" s="1559"/>
    </row>
    <row r="408" spans="1:64" s="2008" customFormat="1" hidden="1" outlineLevel="1" x14ac:dyDescent="0.35">
      <c r="A408" s="2002" t="str">
        <f ca="1">"Stock High, "&amp;HP.TradeCurrency</f>
        <v>Stock High, USD</v>
      </c>
      <c r="B408" s="2003"/>
      <c r="C408" s="2004"/>
      <c r="D408" s="2004"/>
      <c r="E408" s="2004"/>
      <c r="F408" s="2004"/>
      <c r="G408" s="2004"/>
      <c r="H408" s="2004"/>
      <c r="I408" s="2004"/>
      <c r="J408" s="2004"/>
      <c r="K408" s="2004"/>
      <c r="L408" s="2004"/>
      <c r="M408" s="2004"/>
      <c r="N408" s="2004"/>
      <c r="O408" s="2004"/>
      <c r="P408" s="2004"/>
      <c r="Q408" s="2004"/>
      <c r="R408" s="2004"/>
      <c r="S408" s="2004"/>
      <c r="T408" s="2004"/>
      <c r="U408" s="2004"/>
      <c r="V408" s="2004"/>
      <c r="W408" s="2004"/>
      <c r="X408" s="2004"/>
      <c r="Y408" s="2004">
        <f t="shared" ref="Y408:AP408" ca="1" si="228">IF(INDEX(MO_SNA_IsHistoricalPeriod,1,COLUMN())=FALSE,0,INDEX(MO_SPT_StockHigh,1,COLUMN()))</f>
        <v>26.9</v>
      </c>
      <c r="Z408" s="2004">
        <f t="shared" ca="1" si="228"/>
        <v>26.91</v>
      </c>
      <c r="AA408" s="2004">
        <f t="shared" ca="1" si="228"/>
        <v>26.43</v>
      </c>
      <c r="AB408" s="2004">
        <f t="shared" ca="1" si="228"/>
        <v>27.5</v>
      </c>
      <c r="AC408" s="2004">
        <f t="shared" ca="1" si="228"/>
        <v>23.05</v>
      </c>
      <c r="AD408" s="2004">
        <f t="shared" ca="1" si="228"/>
        <v>20.3</v>
      </c>
      <c r="AE408" s="2004">
        <f t="shared" ca="1" si="228"/>
        <v>15.71</v>
      </c>
      <c r="AF408" s="2004">
        <f t="shared" ca="1" si="228"/>
        <v>15.13</v>
      </c>
      <c r="AG408" s="2004">
        <f t="shared" ca="1" si="228"/>
        <v>14.32</v>
      </c>
      <c r="AH408" s="2004">
        <f t="shared" ca="1" si="228"/>
        <v>13.97</v>
      </c>
      <c r="AI408" s="2004">
        <f t="shared" ca="1" si="228"/>
        <v>16.440000000000001</v>
      </c>
      <c r="AJ408" s="2005">
        <f t="shared" ca="1" si="228"/>
        <v>16.059999999999999</v>
      </c>
      <c r="AK408" s="2004">
        <f t="shared" si="228"/>
        <v>0</v>
      </c>
      <c r="AL408" s="2004">
        <f t="shared" si="228"/>
        <v>0</v>
      </c>
      <c r="AM408" s="2004">
        <f t="shared" si="228"/>
        <v>0</v>
      </c>
      <c r="AN408" s="2004">
        <f t="shared" si="228"/>
        <v>0</v>
      </c>
      <c r="AO408" s="2004">
        <f t="shared" si="228"/>
        <v>0</v>
      </c>
      <c r="AP408" s="2004">
        <f t="shared" si="228"/>
        <v>0</v>
      </c>
      <c r="AQ408" s="2004"/>
      <c r="AR408" s="2006"/>
      <c r="AS408" s="2006"/>
      <c r="AT408" s="2006"/>
      <c r="AU408" s="2006"/>
      <c r="AV408" s="2006"/>
      <c r="AW408" s="2006"/>
      <c r="AX408" s="2006"/>
      <c r="AY408" s="2006"/>
      <c r="AZ408" s="2006"/>
      <c r="BA408" s="2006"/>
      <c r="BB408" s="2006"/>
      <c r="BC408" s="2006"/>
      <c r="BD408" s="2006">
        <f t="shared" ref="BD408:BK408" ca="1" si="229">IF(INDEX(MO_SNA_IsHistoricalPeriod,1,COLUMN())=FALSE,0,INDEX(MO_SPT_StockHigh,1,COLUMN()))</f>
        <v>26.91</v>
      </c>
      <c r="BE408" s="2006">
        <f t="shared" ca="1" si="229"/>
        <v>27.5</v>
      </c>
      <c r="BF408" s="2007">
        <f t="shared" ca="1" si="229"/>
        <v>15.71</v>
      </c>
      <c r="BG408" s="1846">
        <f t="shared" si="229"/>
        <v>0</v>
      </c>
      <c r="BH408" s="1846">
        <f t="shared" si="229"/>
        <v>0</v>
      </c>
      <c r="BI408" s="1846">
        <f t="shared" si="229"/>
        <v>0</v>
      </c>
      <c r="BJ408" s="1846">
        <f t="shared" si="229"/>
        <v>0</v>
      </c>
      <c r="BK408" s="1846">
        <f t="shared" si="229"/>
        <v>0</v>
      </c>
      <c r="BL408" s="1848"/>
    </row>
    <row r="409" spans="1:64" s="2008" customFormat="1" hidden="1" outlineLevel="1" x14ac:dyDescent="0.35">
      <c r="A409" s="2002" t="str">
        <f ca="1">"Stock Low, "&amp;HP.TradeCurrency</f>
        <v>Stock Low, USD</v>
      </c>
      <c r="B409" s="2003"/>
      <c r="C409" s="2004"/>
      <c r="D409" s="2004"/>
      <c r="E409" s="2004"/>
      <c r="F409" s="2004"/>
      <c r="G409" s="2004"/>
      <c r="H409" s="2004"/>
      <c r="I409" s="2004"/>
      <c r="J409" s="2004"/>
      <c r="K409" s="2004"/>
      <c r="L409" s="2004"/>
      <c r="M409" s="2004"/>
      <c r="N409" s="2004"/>
      <c r="O409" s="2004"/>
      <c r="P409" s="2004"/>
      <c r="Q409" s="2004"/>
      <c r="R409" s="2004"/>
      <c r="S409" s="2004"/>
      <c r="T409" s="2004"/>
      <c r="U409" s="2004"/>
      <c r="V409" s="2004"/>
      <c r="W409" s="2004"/>
      <c r="X409" s="2004"/>
      <c r="Y409" s="2004">
        <f t="shared" ref="Y409:AP409" ca="1" si="230">IF(INDEX(MO_SNA_IsHistoricalPeriod,1,COLUMN())=FALSE,0,INDEX(MO_SPT_StockLow,1,COLUMN()))</f>
        <v>25.42</v>
      </c>
      <c r="Z409" s="2004">
        <f t="shared" ca="1" si="230"/>
        <v>19.38</v>
      </c>
      <c r="AA409" s="2004">
        <f t="shared" ca="1" si="230"/>
        <v>18.149999999999999</v>
      </c>
      <c r="AB409" s="2004">
        <f t="shared" ca="1" si="230"/>
        <v>15.25</v>
      </c>
      <c r="AC409" s="2004">
        <f t="shared" ca="1" si="230"/>
        <v>16.190000000000001</v>
      </c>
      <c r="AD409" s="2004">
        <f t="shared" ca="1" si="230"/>
        <v>12.26</v>
      </c>
      <c r="AE409" s="2004">
        <f t="shared" ca="1" si="230"/>
        <v>10.87</v>
      </c>
      <c r="AF409" s="2004">
        <f t="shared" ca="1" si="230"/>
        <v>10.8</v>
      </c>
      <c r="AG409" s="2004">
        <f t="shared" ca="1" si="230"/>
        <v>11.01</v>
      </c>
      <c r="AH409" s="2004">
        <f t="shared" ca="1" si="230"/>
        <v>10.81</v>
      </c>
      <c r="AI409" s="2004">
        <f t="shared" ca="1" si="230"/>
        <v>12.42</v>
      </c>
      <c r="AJ409" s="2005">
        <f t="shared" ca="1" si="230"/>
        <v>14.5</v>
      </c>
      <c r="AK409" s="2004">
        <f t="shared" si="230"/>
        <v>0</v>
      </c>
      <c r="AL409" s="2004">
        <f t="shared" si="230"/>
        <v>0</v>
      </c>
      <c r="AM409" s="2004">
        <f t="shared" si="230"/>
        <v>0</v>
      </c>
      <c r="AN409" s="2004">
        <f t="shared" si="230"/>
        <v>0</v>
      </c>
      <c r="AO409" s="2004">
        <f t="shared" si="230"/>
        <v>0</v>
      </c>
      <c r="AP409" s="2004">
        <f t="shared" si="230"/>
        <v>0</v>
      </c>
      <c r="AQ409" s="2004"/>
      <c r="AR409" s="2006"/>
      <c r="AS409" s="2006"/>
      <c r="AT409" s="2006"/>
      <c r="AU409" s="2006"/>
      <c r="AV409" s="2006"/>
      <c r="AW409" s="2006"/>
      <c r="AX409" s="2006"/>
      <c r="AY409" s="2006"/>
      <c r="AZ409" s="2006"/>
      <c r="BA409" s="2006"/>
      <c r="BB409" s="2006"/>
      <c r="BC409" s="2006"/>
      <c r="BD409" s="2006">
        <f t="shared" ref="BD409:BK409" ca="1" si="231">IF(INDEX(MO_SNA_IsHistoricalPeriod,1,COLUMN())=FALSE,0,INDEX(MO_SPT_StockLow,1,COLUMN()))</f>
        <v>19.38</v>
      </c>
      <c r="BE409" s="2006">
        <f t="shared" ca="1" si="231"/>
        <v>12.26</v>
      </c>
      <c r="BF409" s="2007">
        <f t="shared" ca="1" si="231"/>
        <v>10.8</v>
      </c>
      <c r="BG409" s="1846">
        <f t="shared" si="231"/>
        <v>0</v>
      </c>
      <c r="BH409" s="1846">
        <f t="shared" si="231"/>
        <v>0</v>
      </c>
      <c r="BI409" s="1846">
        <f t="shared" si="231"/>
        <v>0</v>
      </c>
      <c r="BJ409" s="1846">
        <f t="shared" si="231"/>
        <v>0</v>
      </c>
      <c r="BK409" s="1846">
        <f t="shared" si="231"/>
        <v>0</v>
      </c>
      <c r="BL409" s="1848"/>
    </row>
    <row r="410" spans="1:64" s="2008" customFormat="1" hidden="1" outlineLevel="1" x14ac:dyDescent="0.35">
      <c r="A410" s="2002" t="str">
        <f ca="1">"Stock Average, "&amp;HP.TradeCurrency</f>
        <v>Stock Average, USD</v>
      </c>
      <c r="B410" s="2003"/>
      <c r="C410" s="2004"/>
      <c r="D410" s="2004"/>
      <c r="E410" s="2004"/>
      <c r="F410" s="2004"/>
      <c r="G410" s="2004"/>
      <c r="H410" s="2004"/>
      <c r="I410" s="2004"/>
      <c r="J410" s="2004"/>
      <c r="K410" s="2004"/>
      <c r="L410" s="2004"/>
      <c r="M410" s="2004"/>
      <c r="N410" s="2004"/>
      <c r="O410" s="2004"/>
      <c r="P410" s="2004"/>
      <c r="Q410" s="2004"/>
      <c r="R410" s="2004"/>
      <c r="S410" s="2004"/>
      <c r="T410" s="2004"/>
      <c r="U410" s="2004"/>
      <c r="V410" s="2004"/>
      <c r="W410" s="2004"/>
      <c r="X410" s="2004"/>
      <c r="Y410" s="2004">
        <f t="shared" ref="Y410:AP410" ca="1" si="232">IF(INDEX(MO_SNA_IsHistoricalPeriod,1,COLUMN())=FALSE,0,INDEX(MO_SPT_StockAverage,1,COLUMN()))</f>
        <v>26.2216666666667</v>
      </c>
      <c r="Z410" s="2004">
        <f t="shared" ca="1" si="232"/>
        <v>23.657656249999999</v>
      </c>
      <c r="AA410" s="2004">
        <f t="shared" ca="1" si="232"/>
        <v>21.261935483871</v>
      </c>
      <c r="AB410" s="2004">
        <f t="shared" ca="1" si="232"/>
        <v>21.2314516129032</v>
      </c>
      <c r="AC410" s="2004">
        <f t="shared" ca="1" si="232"/>
        <v>19.866875</v>
      </c>
      <c r="AD410" s="2004">
        <f t="shared" ca="1" si="232"/>
        <v>16.1490476190476</v>
      </c>
      <c r="AE410" s="2004">
        <f t="shared" ca="1" si="232"/>
        <v>13.156774193548401</v>
      </c>
      <c r="AF410" s="2004">
        <f t="shared" ca="1" si="232"/>
        <v>11.9833870967742</v>
      </c>
      <c r="AG410" s="2004">
        <f t="shared" ca="1" si="232"/>
        <v>12.950952380952399</v>
      </c>
      <c r="AH410" s="2004">
        <f t="shared" ca="1" si="232"/>
        <v>12.555873015873001</v>
      </c>
      <c r="AI410" s="2004">
        <f t="shared" ca="1" si="232"/>
        <v>14.2739344262295</v>
      </c>
      <c r="AJ410" s="2005">
        <f t="shared" ca="1" si="232"/>
        <v>15.3357142857143</v>
      </c>
      <c r="AK410" s="2004">
        <f t="shared" si="232"/>
        <v>0</v>
      </c>
      <c r="AL410" s="2004">
        <f t="shared" si="232"/>
        <v>0</v>
      </c>
      <c r="AM410" s="2004">
        <f t="shared" si="232"/>
        <v>0</v>
      </c>
      <c r="AN410" s="2004">
        <f t="shared" si="232"/>
        <v>0</v>
      </c>
      <c r="AO410" s="2004">
        <f t="shared" si="232"/>
        <v>0</v>
      </c>
      <c r="AP410" s="2004">
        <f t="shared" si="232"/>
        <v>0</v>
      </c>
      <c r="AQ410" s="2004"/>
      <c r="AR410" s="2006"/>
      <c r="AS410" s="2006"/>
      <c r="AT410" s="2006"/>
      <c r="AU410" s="2006"/>
      <c r="AV410" s="2006"/>
      <c r="AW410" s="2006"/>
      <c r="AX410" s="2006"/>
      <c r="AY410" s="2006"/>
      <c r="AZ410" s="2006"/>
      <c r="BA410" s="2006"/>
      <c r="BB410" s="2006"/>
      <c r="BC410" s="2006"/>
      <c r="BD410" s="2006">
        <f t="shared" ref="BD410:BK410" ca="1" si="233">IF(INDEX(MO_SNA_IsHistoricalPeriod,1,COLUMN())=FALSE,0,INDEX(MO_SPT_StockAverage,1,COLUMN()))</f>
        <v>23.877428571428599</v>
      </c>
      <c r="BE410" s="2006">
        <f t="shared" ca="1" si="233"/>
        <v>19.6153784860558</v>
      </c>
      <c r="BF410" s="2007">
        <f t="shared" ca="1" si="233"/>
        <v>12.66248</v>
      </c>
      <c r="BG410" s="1846">
        <f t="shared" si="233"/>
        <v>0</v>
      </c>
      <c r="BH410" s="1846">
        <f t="shared" si="233"/>
        <v>0</v>
      </c>
      <c r="BI410" s="1846">
        <f t="shared" si="233"/>
        <v>0</v>
      </c>
      <c r="BJ410" s="1846">
        <f t="shared" si="233"/>
        <v>0</v>
      </c>
      <c r="BK410" s="1846">
        <f t="shared" si="233"/>
        <v>0</v>
      </c>
      <c r="BL410" s="1848"/>
    </row>
    <row r="411" spans="1:64" s="2008" customFormat="1" hidden="1" outlineLevel="1" x14ac:dyDescent="0.35">
      <c r="A411" s="2002" t="str">
        <f ca="1">"Stock EoP, "&amp;HP.TradeCurrency</f>
        <v>Stock EoP, USD</v>
      </c>
      <c r="B411" s="2003"/>
      <c r="C411" s="2009">
        <f t="shared" ref="C411:AP411" si="234">IF(INDEX(MO_SNA_IsHistoricalPeriod,1,COLUMN())=FALSE,MO.LastPrice,INDEX(MO_SPT_StockEoP,1,COLUMN()))</f>
        <v>0</v>
      </c>
      <c r="D411" s="2009">
        <f t="shared" si="234"/>
        <v>0</v>
      </c>
      <c r="E411" s="2009">
        <f t="shared" si="234"/>
        <v>0</v>
      </c>
      <c r="F411" s="2009">
        <f t="shared" si="234"/>
        <v>0</v>
      </c>
      <c r="G411" s="2009">
        <f t="shared" si="234"/>
        <v>0</v>
      </c>
      <c r="H411" s="2009">
        <f t="shared" si="234"/>
        <v>0</v>
      </c>
      <c r="I411" s="2009">
        <f t="shared" si="234"/>
        <v>0</v>
      </c>
      <c r="J411" s="2009">
        <f t="shared" si="234"/>
        <v>0</v>
      </c>
      <c r="K411" s="2009">
        <f t="shared" si="234"/>
        <v>0</v>
      </c>
      <c r="L411" s="2009">
        <f t="shared" si="234"/>
        <v>0</v>
      </c>
      <c r="M411" s="2009">
        <f t="shared" si="234"/>
        <v>0</v>
      </c>
      <c r="N411" s="2009">
        <f t="shared" si="234"/>
        <v>0</v>
      </c>
      <c r="O411" s="2009">
        <f t="shared" si="234"/>
        <v>0</v>
      </c>
      <c r="P411" s="2009">
        <f t="shared" si="234"/>
        <v>0</v>
      </c>
      <c r="Q411" s="2009">
        <f t="shared" si="234"/>
        <v>0</v>
      </c>
      <c r="R411" s="2009">
        <f t="shared" si="234"/>
        <v>0</v>
      </c>
      <c r="S411" s="2009">
        <f t="shared" si="234"/>
        <v>0</v>
      </c>
      <c r="T411" s="2009">
        <f t="shared" si="234"/>
        <v>0</v>
      </c>
      <c r="U411" s="2009">
        <f t="shared" si="234"/>
        <v>0</v>
      </c>
      <c r="V411" s="2009">
        <f t="shared" si="234"/>
        <v>0</v>
      </c>
      <c r="W411" s="2009">
        <f t="shared" si="234"/>
        <v>0</v>
      </c>
      <c r="X411" s="2009">
        <f t="shared" si="234"/>
        <v>0</v>
      </c>
      <c r="Y411" s="2009">
        <f t="shared" si="234"/>
        <v>25.42</v>
      </c>
      <c r="Z411" s="2009">
        <f t="shared" si="234"/>
        <v>20.49</v>
      </c>
      <c r="AA411" s="2009">
        <f t="shared" si="234"/>
        <v>26.42</v>
      </c>
      <c r="AB411" s="2009">
        <f t="shared" si="234"/>
        <v>16.21</v>
      </c>
      <c r="AC411" s="2009">
        <f t="shared" si="234"/>
        <v>18.309999999999999</v>
      </c>
      <c r="AD411" s="2009">
        <f t="shared" si="234"/>
        <v>15.47</v>
      </c>
      <c r="AE411" s="2009">
        <f t="shared" si="234"/>
        <v>11.01</v>
      </c>
      <c r="AF411" s="2009">
        <f t="shared" si="234"/>
        <v>12.43</v>
      </c>
      <c r="AG411" s="2009">
        <f t="shared" si="234"/>
        <v>12.62</v>
      </c>
      <c r="AH411" s="2009">
        <f t="shared" si="234"/>
        <v>13.92</v>
      </c>
      <c r="AI411" s="2009">
        <f t="shared" si="234"/>
        <v>16.079999999999998</v>
      </c>
      <c r="AJ411" s="2010">
        <f t="shared" si="234"/>
        <v>14.8</v>
      </c>
      <c r="AK411" s="2009">
        <f t="shared" ca="1" si="234"/>
        <v>15.35</v>
      </c>
      <c r="AL411" s="2009">
        <f t="shared" ca="1" si="234"/>
        <v>15.35</v>
      </c>
      <c r="AM411" s="2009">
        <f t="shared" ca="1" si="234"/>
        <v>15.35</v>
      </c>
      <c r="AN411" s="2009">
        <f t="shared" ca="1" si="234"/>
        <v>15.35</v>
      </c>
      <c r="AO411" s="2009">
        <f t="shared" ca="1" si="234"/>
        <v>15.35</v>
      </c>
      <c r="AP411" s="2009">
        <f t="shared" ca="1" si="234"/>
        <v>15.35</v>
      </c>
      <c r="AQ411" s="2009"/>
      <c r="AR411" s="2011">
        <f t="shared" ref="AR411:BK411" si="235">IF(INDEX(MO_SNA_IsHistoricalPeriod,1,COLUMN())=FALSE,MO.LastPrice,INDEX(MO_SPT_StockEoP,1,COLUMN()))</f>
        <v>0</v>
      </c>
      <c r="AS411" s="2011">
        <f t="shared" si="235"/>
        <v>0</v>
      </c>
      <c r="AT411" s="2011">
        <f t="shared" si="235"/>
        <v>0</v>
      </c>
      <c r="AU411" s="2011">
        <f t="shared" si="235"/>
        <v>0</v>
      </c>
      <c r="AV411" s="2011">
        <f t="shared" si="235"/>
        <v>0</v>
      </c>
      <c r="AW411" s="2011">
        <f t="shared" si="235"/>
        <v>0</v>
      </c>
      <c r="AX411" s="2011">
        <f t="shared" si="235"/>
        <v>0</v>
      </c>
      <c r="AY411" s="2011">
        <f t="shared" si="235"/>
        <v>0</v>
      </c>
      <c r="AZ411" s="2011">
        <f t="shared" si="235"/>
        <v>0</v>
      </c>
      <c r="BA411" s="2011">
        <f t="shared" si="235"/>
        <v>0</v>
      </c>
      <c r="BB411" s="2011">
        <f t="shared" si="235"/>
        <v>0</v>
      </c>
      <c r="BC411" s="2011">
        <f t="shared" si="235"/>
        <v>0</v>
      </c>
      <c r="BD411" s="2011">
        <f t="shared" si="235"/>
        <v>20.49</v>
      </c>
      <c r="BE411" s="2011">
        <f t="shared" si="235"/>
        <v>15.47</v>
      </c>
      <c r="BF411" s="2012">
        <f t="shared" si="235"/>
        <v>13.92</v>
      </c>
      <c r="BG411" s="2013">
        <f t="shared" ca="1" si="235"/>
        <v>15.35</v>
      </c>
      <c r="BH411" s="2013">
        <f t="shared" ca="1" si="235"/>
        <v>15.35</v>
      </c>
      <c r="BI411" s="2013">
        <f t="shared" ca="1" si="235"/>
        <v>15.35</v>
      </c>
      <c r="BJ411" s="2013">
        <f t="shared" ca="1" si="235"/>
        <v>15.35</v>
      </c>
      <c r="BK411" s="2013">
        <f t="shared" ca="1" si="235"/>
        <v>15.35</v>
      </c>
      <c r="BL411" s="1848"/>
    </row>
    <row r="412" spans="1:64" s="2022" customFormat="1" hidden="1" outlineLevel="1" x14ac:dyDescent="0.35">
      <c r="A412" s="2014" t="str">
        <f ca="1">"Average FX Rate, "&amp;HP.TradeCurrency&amp;"/"&amp;MO.ReportCurrency</f>
        <v>Average FX Rate, USD/USD</v>
      </c>
      <c r="B412" s="2015"/>
      <c r="C412" s="2016"/>
      <c r="D412" s="2016"/>
      <c r="E412" s="2016"/>
      <c r="F412" s="2016"/>
      <c r="G412" s="2016"/>
      <c r="H412" s="2016"/>
      <c r="I412" s="2016"/>
      <c r="J412" s="2016"/>
      <c r="K412" s="2016"/>
      <c r="L412" s="2016"/>
      <c r="M412" s="2016"/>
      <c r="N412" s="2016"/>
      <c r="O412" s="2016"/>
      <c r="P412" s="2016"/>
      <c r="Q412" s="2016"/>
      <c r="R412" s="2016"/>
      <c r="S412" s="2016"/>
      <c r="T412" s="2016"/>
      <c r="U412" s="2016"/>
      <c r="V412" s="2016"/>
      <c r="W412" s="2016"/>
      <c r="X412" s="2016"/>
      <c r="Y412" s="2016">
        <f t="shared" ref="Y412:AP412" ca="1" si="236">IF(INDEX(MO_SPT_FXAverage,1,COLUMN())=0,1,INDEX(MO_SPT_FXAverage,1,COLUMN()))</f>
        <v>1</v>
      </c>
      <c r="Z412" s="2016">
        <f t="shared" ca="1" si="236"/>
        <v>1</v>
      </c>
      <c r="AA412" s="2016">
        <f t="shared" ca="1" si="236"/>
        <v>1</v>
      </c>
      <c r="AB412" s="2016">
        <f t="shared" ca="1" si="236"/>
        <v>1</v>
      </c>
      <c r="AC412" s="2016">
        <f t="shared" ca="1" si="236"/>
        <v>1</v>
      </c>
      <c r="AD412" s="2016">
        <f t="shared" ca="1" si="236"/>
        <v>1</v>
      </c>
      <c r="AE412" s="2016">
        <f t="shared" ca="1" si="236"/>
        <v>1</v>
      </c>
      <c r="AF412" s="2016">
        <f t="shared" ca="1" si="236"/>
        <v>1</v>
      </c>
      <c r="AG412" s="2016">
        <f t="shared" ca="1" si="236"/>
        <v>1</v>
      </c>
      <c r="AH412" s="2016">
        <f t="shared" ca="1" si="236"/>
        <v>1</v>
      </c>
      <c r="AI412" s="2016">
        <f t="shared" ca="1" si="236"/>
        <v>1</v>
      </c>
      <c r="AJ412" s="2017">
        <f t="shared" ca="1" si="236"/>
        <v>1</v>
      </c>
      <c r="AK412" s="2016">
        <f t="shared" ca="1" si="236"/>
        <v>1</v>
      </c>
      <c r="AL412" s="2016">
        <f t="shared" ca="1" si="236"/>
        <v>1</v>
      </c>
      <c r="AM412" s="2016">
        <f t="shared" ca="1" si="236"/>
        <v>1</v>
      </c>
      <c r="AN412" s="2016">
        <f t="shared" ca="1" si="236"/>
        <v>1</v>
      </c>
      <c r="AO412" s="2016">
        <f t="shared" ca="1" si="236"/>
        <v>1</v>
      </c>
      <c r="AP412" s="2016">
        <f t="shared" ca="1" si="236"/>
        <v>1</v>
      </c>
      <c r="AQ412" s="2016"/>
      <c r="AR412" s="2018"/>
      <c r="AS412" s="2018"/>
      <c r="AT412" s="2018"/>
      <c r="AU412" s="2018"/>
      <c r="AV412" s="2018"/>
      <c r="AW412" s="2018"/>
      <c r="AX412" s="2018"/>
      <c r="AY412" s="2018"/>
      <c r="AZ412" s="2018"/>
      <c r="BA412" s="2018"/>
      <c r="BB412" s="2018"/>
      <c r="BC412" s="2018"/>
      <c r="BD412" s="2018">
        <f t="shared" ref="BD412:BK412" ca="1" si="237">IF(INDEX(MO_SPT_FXAverage,1,COLUMN())=0,1,INDEX(MO_SPT_FXAverage,1,COLUMN()))</f>
        <v>1</v>
      </c>
      <c r="BE412" s="2018">
        <f t="shared" ca="1" si="237"/>
        <v>1</v>
      </c>
      <c r="BF412" s="2019">
        <f t="shared" ca="1" si="237"/>
        <v>1</v>
      </c>
      <c r="BG412" s="2020">
        <f t="shared" ca="1" si="237"/>
        <v>1</v>
      </c>
      <c r="BH412" s="2020">
        <f t="shared" ca="1" si="237"/>
        <v>1</v>
      </c>
      <c r="BI412" s="2020">
        <f t="shared" ca="1" si="237"/>
        <v>1</v>
      </c>
      <c r="BJ412" s="2020">
        <f t="shared" ca="1" si="237"/>
        <v>1</v>
      </c>
      <c r="BK412" s="2020">
        <f t="shared" ca="1" si="237"/>
        <v>1</v>
      </c>
      <c r="BL412" s="2021"/>
    </row>
    <row r="413" spans="1:64" s="2022" customFormat="1" hidden="1" outlineLevel="1" x14ac:dyDescent="0.35">
      <c r="A413" s="2014" t="str">
        <f ca="1">"EoP FX Rate, "&amp;HP.TradeCurrency&amp;"/"&amp;MO.ReportCurrency</f>
        <v>EoP FX Rate, USD/USD</v>
      </c>
      <c r="B413" s="2015"/>
      <c r="C413" s="2016">
        <f t="shared" ref="C413:AP413" si="238">IF(INDEX(MO_SNA_IsHistoricalPeriod,1,COLUMN())=FALSE,HP.MRFX,INDEX(MO_SPT_FXEoP,1,COLUMN()))</f>
        <v>1</v>
      </c>
      <c r="D413" s="2016">
        <f t="shared" si="238"/>
        <v>1</v>
      </c>
      <c r="E413" s="2016">
        <f t="shared" si="238"/>
        <v>1</v>
      </c>
      <c r="F413" s="2016">
        <f t="shared" si="238"/>
        <v>1</v>
      </c>
      <c r="G413" s="2016">
        <f t="shared" si="238"/>
        <v>1</v>
      </c>
      <c r="H413" s="2016">
        <f t="shared" si="238"/>
        <v>1</v>
      </c>
      <c r="I413" s="2016">
        <f t="shared" si="238"/>
        <v>1</v>
      </c>
      <c r="J413" s="2016">
        <f t="shared" si="238"/>
        <v>1</v>
      </c>
      <c r="K413" s="2016">
        <f t="shared" si="238"/>
        <v>1</v>
      </c>
      <c r="L413" s="2016">
        <f t="shared" si="238"/>
        <v>1</v>
      </c>
      <c r="M413" s="2016">
        <f t="shared" si="238"/>
        <v>1</v>
      </c>
      <c r="N413" s="2016">
        <f t="shared" si="238"/>
        <v>1</v>
      </c>
      <c r="O413" s="2016">
        <f t="shared" si="238"/>
        <v>1</v>
      </c>
      <c r="P413" s="2016">
        <f t="shared" si="238"/>
        <v>1</v>
      </c>
      <c r="Q413" s="2016">
        <f t="shared" si="238"/>
        <v>1</v>
      </c>
      <c r="R413" s="2016">
        <f t="shared" si="238"/>
        <v>1</v>
      </c>
      <c r="S413" s="2016">
        <f t="shared" si="238"/>
        <v>1</v>
      </c>
      <c r="T413" s="2016">
        <f t="shared" si="238"/>
        <v>1</v>
      </c>
      <c r="U413" s="2016">
        <f t="shared" si="238"/>
        <v>1</v>
      </c>
      <c r="V413" s="2016">
        <f t="shared" si="238"/>
        <v>1</v>
      </c>
      <c r="W413" s="2016">
        <f t="shared" si="238"/>
        <v>1</v>
      </c>
      <c r="X413" s="2016">
        <f t="shared" si="238"/>
        <v>1</v>
      </c>
      <c r="Y413" s="2016">
        <f t="shared" si="238"/>
        <v>1</v>
      </c>
      <c r="Z413" s="2016">
        <f t="shared" si="238"/>
        <v>1</v>
      </c>
      <c r="AA413" s="2016">
        <f t="shared" si="238"/>
        <v>1</v>
      </c>
      <c r="AB413" s="2016">
        <f t="shared" si="238"/>
        <v>1</v>
      </c>
      <c r="AC413" s="2016">
        <f t="shared" si="238"/>
        <v>1</v>
      </c>
      <c r="AD413" s="2016">
        <f t="shared" si="238"/>
        <v>1</v>
      </c>
      <c r="AE413" s="2016">
        <f t="shared" si="238"/>
        <v>1</v>
      </c>
      <c r="AF413" s="2016">
        <f t="shared" si="238"/>
        <v>1</v>
      </c>
      <c r="AG413" s="2016">
        <f t="shared" si="238"/>
        <v>1</v>
      </c>
      <c r="AH413" s="2016">
        <f t="shared" si="238"/>
        <v>1</v>
      </c>
      <c r="AI413" s="2016">
        <f t="shared" si="238"/>
        <v>1</v>
      </c>
      <c r="AJ413" s="2017">
        <f t="shared" si="238"/>
        <v>1</v>
      </c>
      <c r="AK413" s="2016">
        <f t="shared" ca="1" si="238"/>
        <v>1</v>
      </c>
      <c r="AL413" s="2016">
        <f t="shared" ca="1" si="238"/>
        <v>1</v>
      </c>
      <c r="AM413" s="2016">
        <f t="shared" ca="1" si="238"/>
        <v>1</v>
      </c>
      <c r="AN413" s="2016">
        <f t="shared" ca="1" si="238"/>
        <v>1</v>
      </c>
      <c r="AO413" s="2016">
        <f t="shared" ca="1" si="238"/>
        <v>1</v>
      </c>
      <c r="AP413" s="2016">
        <f t="shared" ca="1" si="238"/>
        <v>1</v>
      </c>
      <c r="AQ413" s="2016"/>
      <c r="AR413" s="2018">
        <f t="shared" ref="AR413:BK413" si="239">IF(INDEX(MO_SNA_IsHistoricalPeriod,1,COLUMN())=FALSE,HP.MRFX,INDEX(MO_SPT_FXEoP,1,COLUMN()))</f>
        <v>1</v>
      </c>
      <c r="AS413" s="2018">
        <f t="shared" si="239"/>
        <v>1</v>
      </c>
      <c r="AT413" s="2018">
        <f t="shared" si="239"/>
        <v>1</v>
      </c>
      <c r="AU413" s="2018">
        <f t="shared" si="239"/>
        <v>1</v>
      </c>
      <c r="AV413" s="2018">
        <f t="shared" si="239"/>
        <v>1</v>
      </c>
      <c r="AW413" s="2018">
        <f t="shared" si="239"/>
        <v>1</v>
      </c>
      <c r="AX413" s="2018">
        <f t="shared" si="239"/>
        <v>1</v>
      </c>
      <c r="AY413" s="2018">
        <f t="shared" si="239"/>
        <v>1</v>
      </c>
      <c r="AZ413" s="2018">
        <f t="shared" si="239"/>
        <v>1</v>
      </c>
      <c r="BA413" s="2018">
        <f t="shared" si="239"/>
        <v>1</v>
      </c>
      <c r="BB413" s="2018">
        <f t="shared" si="239"/>
        <v>1</v>
      </c>
      <c r="BC413" s="2018">
        <f t="shared" si="239"/>
        <v>1</v>
      </c>
      <c r="BD413" s="2018">
        <f t="shared" si="239"/>
        <v>1</v>
      </c>
      <c r="BE413" s="2018">
        <f t="shared" si="239"/>
        <v>1</v>
      </c>
      <c r="BF413" s="2019">
        <f t="shared" si="239"/>
        <v>1</v>
      </c>
      <c r="BG413" s="2020">
        <f t="shared" ca="1" si="239"/>
        <v>1</v>
      </c>
      <c r="BH413" s="2020">
        <f t="shared" ca="1" si="239"/>
        <v>1</v>
      </c>
      <c r="BI413" s="2020">
        <f t="shared" ca="1" si="239"/>
        <v>1</v>
      </c>
      <c r="BJ413" s="2020">
        <f t="shared" ca="1" si="239"/>
        <v>1</v>
      </c>
      <c r="BK413" s="2020">
        <f t="shared" ca="1" si="239"/>
        <v>1</v>
      </c>
      <c r="BL413" s="2021"/>
    </row>
    <row r="414" spans="1:64" s="2008" customFormat="1" hidden="1" outlineLevel="1" x14ac:dyDescent="0.35">
      <c r="A414" s="2002" t="str">
        <f ca="1">"Stock Price (Trading Cur.) - "&amp;MO.ValuationToggle&amp;", "&amp;HP.TradeCurrency</f>
        <v>Stock Price (Trading Cur.) - EoP, USD</v>
      </c>
      <c r="B414" s="2003"/>
      <c r="C414" s="2004">
        <f t="shared" ref="C414:AP414" si="240">IF(INDEX(MO_SNA_IsHistoricalPeriod,1,COLUMN())=FALSE,MO.LastPrice,CHOOSE(VLOOKUP(MO.ValuationToggle,tb_ValuationToggle,COLUMNS(tb_ValuationToggle),FALSE),C408,C409,C410,C411))</f>
        <v>0</v>
      </c>
      <c r="D414" s="2004">
        <f t="shared" si="240"/>
        <v>0</v>
      </c>
      <c r="E414" s="2004">
        <f t="shared" si="240"/>
        <v>0</v>
      </c>
      <c r="F414" s="2004">
        <f t="shared" si="240"/>
        <v>0</v>
      </c>
      <c r="G414" s="2004">
        <f t="shared" si="240"/>
        <v>0</v>
      </c>
      <c r="H414" s="2004">
        <f t="shared" si="240"/>
        <v>0</v>
      </c>
      <c r="I414" s="2004">
        <f t="shared" si="240"/>
        <v>0</v>
      </c>
      <c r="J414" s="2004">
        <f t="shared" si="240"/>
        <v>0</v>
      </c>
      <c r="K414" s="2004">
        <f t="shared" si="240"/>
        <v>0</v>
      </c>
      <c r="L414" s="2004">
        <f t="shared" si="240"/>
        <v>0</v>
      </c>
      <c r="M414" s="2004">
        <f t="shared" si="240"/>
        <v>0</v>
      </c>
      <c r="N414" s="2004">
        <f t="shared" si="240"/>
        <v>0</v>
      </c>
      <c r="O414" s="2004">
        <f t="shared" si="240"/>
        <v>0</v>
      </c>
      <c r="P414" s="2004">
        <f t="shared" si="240"/>
        <v>0</v>
      </c>
      <c r="Q414" s="2004">
        <f t="shared" si="240"/>
        <v>0</v>
      </c>
      <c r="R414" s="2004">
        <f t="shared" si="240"/>
        <v>0</v>
      </c>
      <c r="S414" s="2004">
        <f t="shared" si="240"/>
        <v>0</v>
      </c>
      <c r="T414" s="2004">
        <f t="shared" si="240"/>
        <v>0</v>
      </c>
      <c r="U414" s="2004">
        <f t="shared" si="240"/>
        <v>0</v>
      </c>
      <c r="V414" s="2004">
        <f t="shared" si="240"/>
        <v>0</v>
      </c>
      <c r="W414" s="2004">
        <f t="shared" si="240"/>
        <v>0</v>
      </c>
      <c r="X414" s="2004">
        <f t="shared" si="240"/>
        <v>0</v>
      </c>
      <c r="Y414" s="2004">
        <f t="shared" si="240"/>
        <v>25.42</v>
      </c>
      <c r="Z414" s="2004">
        <f t="shared" si="240"/>
        <v>20.49</v>
      </c>
      <c r="AA414" s="2004">
        <f t="shared" si="240"/>
        <v>26.42</v>
      </c>
      <c r="AB414" s="2004">
        <f t="shared" si="240"/>
        <v>16.21</v>
      </c>
      <c r="AC414" s="2004">
        <f t="shared" si="240"/>
        <v>18.309999999999999</v>
      </c>
      <c r="AD414" s="2004">
        <f t="shared" si="240"/>
        <v>15.47</v>
      </c>
      <c r="AE414" s="2004">
        <f t="shared" si="240"/>
        <v>11.01</v>
      </c>
      <c r="AF414" s="2004">
        <f t="shared" si="240"/>
        <v>12.43</v>
      </c>
      <c r="AG414" s="2004">
        <f t="shared" si="240"/>
        <v>12.62</v>
      </c>
      <c r="AH414" s="2004">
        <f t="shared" si="240"/>
        <v>13.92</v>
      </c>
      <c r="AI414" s="2004">
        <f t="shared" si="240"/>
        <v>16.079999999999998</v>
      </c>
      <c r="AJ414" s="2005">
        <f t="shared" si="240"/>
        <v>14.8</v>
      </c>
      <c r="AK414" s="2004">
        <f t="shared" ca="1" si="240"/>
        <v>15.35</v>
      </c>
      <c r="AL414" s="2004">
        <f t="shared" ca="1" si="240"/>
        <v>15.35</v>
      </c>
      <c r="AM414" s="2004">
        <f t="shared" ca="1" si="240"/>
        <v>15.35</v>
      </c>
      <c r="AN414" s="2004">
        <f t="shared" ca="1" si="240"/>
        <v>15.35</v>
      </c>
      <c r="AO414" s="2004">
        <f t="shared" ca="1" si="240"/>
        <v>15.35</v>
      </c>
      <c r="AP414" s="2004">
        <f t="shared" ca="1" si="240"/>
        <v>15.35</v>
      </c>
      <c r="AQ414" s="2004"/>
      <c r="AR414" s="2006">
        <f t="shared" ref="AR414:BK414" si="241">IF(INDEX(MO_SNA_IsHistoricalPeriod,1,COLUMN())=FALSE,MO.LastPrice,CHOOSE(VLOOKUP(MO.ValuationToggle,tb_ValuationToggle,COLUMNS(tb_ValuationToggle),FALSE),AR408,AR409,AR410,AR411))</f>
        <v>0</v>
      </c>
      <c r="AS414" s="2006">
        <f t="shared" si="241"/>
        <v>0</v>
      </c>
      <c r="AT414" s="2006">
        <f t="shared" si="241"/>
        <v>0</v>
      </c>
      <c r="AU414" s="2006">
        <f t="shared" si="241"/>
        <v>0</v>
      </c>
      <c r="AV414" s="2006">
        <f t="shared" si="241"/>
        <v>0</v>
      </c>
      <c r="AW414" s="2006">
        <f t="shared" si="241"/>
        <v>0</v>
      </c>
      <c r="AX414" s="2006">
        <f t="shared" si="241"/>
        <v>0</v>
      </c>
      <c r="AY414" s="2006">
        <f t="shared" si="241"/>
        <v>0</v>
      </c>
      <c r="AZ414" s="2006">
        <f t="shared" si="241"/>
        <v>0</v>
      </c>
      <c r="BA414" s="2006">
        <f t="shared" si="241"/>
        <v>0</v>
      </c>
      <c r="BB414" s="2006">
        <f t="shared" si="241"/>
        <v>0</v>
      </c>
      <c r="BC414" s="2006">
        <f t="shared" si="241"/>
        <v>0</v>
      </c>
      <c r="BD414" s="2006">
        <f t="shared" si="241"/>
        <v>20.49</v>
      </c>
      <c r="BE414" s="2006">
        <f t="shared" si="241"/>
        <v>15.47</v>
      </c>
      <c r="BF414" s="2007">
        <f t="shared" si="241"/>
        <v>13.92</v>
      </c>
      <c r="BG414" s="1846">
        <f t="shared" ca="1" si="241"/>
        <v>15.35</v>
      </c>
      <c r="BH414" s="1846">
        <f t="shared" ca="1" si="241"/>
        <v>15.35</v>
      </c>
      <c r="BI414" s="1846">
        <f t="shared" ca="1" si="241"/>
        <v>15.35</v>
      </c>
      <c r="BJ414" s="1846">
        <f t="shared" ca="1" si="241"/>
        <v>15.35</v>
      </c>
      <c r="BK414" s="1846">
        <f t="shared" ca="1" si="241"/>
        <v>15.35</v>
      </c>
      <c r="BL414" s="1848"/>
    </row>
    <row r="415" spans="1:64" s="1518" customFormat="1" hidden="1" outlineLevel="1" x14ac:dyDescent="0.35">
      <c r="A415" s="1678"/>
      <c r="B415" s="1716"/>
      <c r="C415" s="1515"/>
      <c r="D415" s="1515"/>
      <c r="E415" s="1515"/>
      <c r="F415" s="1515"/>
      <c r="G415" s="1515"/>
      <c r="H415" s="1515"/>
      <c r="I415" s="1515"/>
      <c r="J415" s="1515"/>
      <c r="K415" s="1515"/>
      <c r="L415" s="1515"/>
      <c r="M415" s="1515"/>
      <c r="N415" s="1515"/>
      <c r="O415" s="1515"/>
      <c r="P415" s="1515"/>
      <c r="Q415" s="1515"/>
      <c r="R415" s="1515"/>
      <c r="S415" s="1515"/>
      <c r="T415" s="1515"/>
      <c r="U415" s="1515"/>
      <c r="V415" s="1515"/>
      <c r="W415" s="1515"/>
      <c r="X415" s="1515"/>
      <c r="Y415" s="1515"/>
      <c r="Z415" s="1515"/>
      <c r="AA415" s="1515"/>
      <c r="AB415" s="1515"/>
      <c r="AC415" s="1515"/>
      <c r="AD415" s="1515"/>
      <c r="AE415" s="1515"/>
      <c r="AF415" s="1515"/>
      <c r="AG415" s="1515"/>
      <c r="AH415" s="1515"/>
      <c r="AI415" s="1515"/>
      <c r="AJ415" s="1516"/>
      <c r="AK415" s="1515"/>
      <c r="AL415" s="1515"/>
      <c r="AM415" s="1515"/>
      <c r="AN415" s="1515"/>
      <c r="AO415" s="1515"/>
      <c r="AP415" s="1515"/>
      <c r="AQ415" s="1515"/>
      <c r="AR415" s="1595"/>
      <c r="AS415" s="1595"/>
      <c r="AT415" s="1595"/>
      <c r="AU415" s="1595"/>
      <c r="AV415" s="1595"/>
      <c r="AW415" s="1595"/>
      <c r="AX415" s="1595"/>
      <c r="AY415" s="1595"/>
      <c r="AZ415" s="1595"/>
      <c r="BA415" s="1595"/>
      <c r="BB415" s="1595"/>
      <c r="BC415" s="1595"/>
      <c r="BD415" s="1595"/>
      <c r="BE415" s="1595"/>
      <c r="BF415" s="1610"/>
      <c r="BG415" s="1595"/>
      <c r="BH415" s="1595"/>
      <c r="BI415" s="1595"/>
      <c r="BJ415" s="1595"/>
      <c r="BK415" s="1595"/>
      <c r="BL415" s="1517"/>
    </row>
    <row r="416" spans="1:64" s="1518" customFormat="1" hidden="1" outlineLevel="1" x14ac:dyDescent="0.35">
      <c r="A416" s="2023" t="s">
        <v>1159</v>
      </c>
      <c r="B416" s="1716"/>
      <c r="C416" s="1515"/>
      <c r="D416" s="1515"/>
      <c r="E416" s="1515"/>
      <c r="F416" s="1515"/>
      <c r="G416" s="1515"/>
      <c r="H416" s="1515"/>
      <c r="I416" s="1515"/>
      <c r="J416" s="1515"/>
      <c r="K416" s="1515"/>
      <c r="L416" s="1515"/>
      <c r="M416" s="1515"/>
      <c r="N416" s="1515"/>
      <c r="O416" s="1515"/>
      <c r="P416" s="1515"/>
      <c r="Q416" s="1515"/>
      <c r="R416" s="1515"/>
      <c r="S416" s="1515"/>
      <c r="T416" s="1515"/>
      <c r="U416" s="1515"/>
      <c r="V416" s="1515"/>
      <c r="W416" s="1515"/>
      <c r="X416" s="1515"/>
      <c r="Y416" s="1515"/>
      <c r="Z416" s="1515"/>
      <c r="AA416" s="1515"/>
      <c r="AB416" s="1515"/>
      <c r="AC416" s="1515"/>
      <c r="AD416" s="1515"/>
      <c r="AE416" s="1515"/>
      <c r="AF416" s="1515"/>
      <c r="AG416" s="1515"/>
      <c r="AH416" s="1515"/>
      <c r="AI416" s="1515"/>
      <c r="AJ416" s="1516"/>
      <c r="AK416" s="1515"/>
      <c r="AL416" s="1515"/>
      <c r="AM416" s="1515"/>
      <c r="AN416" s="1515"/>
      <c r="AO416" s="1515"/>
      <c r="AP416" s="1515"/>
      <c r="AQ416" s="1515"/>
      <c r="AR416" s="1595"/>
      <c r="AS416" s="1595"/>
      <c r="AT416" s="1595"/>
      <c r="AU416" s="1595"/>
      <c r="AV416" s="1595"/>
      <c r="AW416" s="1595"/>
      <c r="AX416" s="1595"/>
      <c r="AY416" s="1595"/>
      <c r="AZ416" s="1595"/>
      <c r="BA416" s="1595"/>
      <c r="BB416" s="1595"/>
      <c r="BC416" s="1595"/>
      <c r="BD416" s="1595"/>
      <c r="BE416" s="1595"/>
      <c r="BF416" s="1610"/>
      <c r="BG416" s="1595"/>
      <c r="BH416" s="1595"/>
      <c r="BI416" s="1595"/>
      <c r="BJ416" s="1595"/>
      <c r="BK416" s="1595"/>
      <c r="BL416" s="1517"/>
    </row>
    <row r="417" spans="1:64" s="1518" customFormat="1" hidden="1" outlineLevel="1" x14ac:dyDescent="0.35">
      <c r="A417" s="2024" t="s">
        <v>1160</v>
      </c>
      <c r="B417" s="1716"/>
      <c r="C417" s="1515"/>
      <c r="D417" s="1515"/>
      <c r="E417" s="1515"/>
      <c r="F417" s="1515"/>
      <c r="G417" s="1515"/>
      <c r="H417" s="1515"/>
      <c r="I417" s="1515"/>
      <c r="J417" s="1515"/>
      <c r="K417" s="1515"/>
      <c r="L417" s="1515"/>
      <c r="M417" s="1515"/>
      <c r="N417" s="1515"/>
      <c r="O417" s="1515"/>
      <c r="P417" s="1515"/>
      <c r="Q417" s="1515"/>
      <c r="R417" s="1515"/>
      <c r="S417" s="1515"/>
      <c r="T417" s="1515"/>
      <c r="U417" s="1515"/>
      <c r="V417" s="1515"/>
      <c r="W417" s="1515"/>
      <c r="X417" s="1515"/>
      <c r="Y417" s="1515">
        <f t="shared" ref="Y417:AP417" si="242">Y635</f>
        <v>0</v>
      </c>
      <c r="Z417" s="1515">
        <f t="shared" si="242"/>
        <v>0</v>
      </c>
      <c r="AA417" s="1515">
        <f t="shared" si="242"/>
        <v>0</v>
      </c>
      <c r="AB417" s="1515">
        <f t="shared" si="242"/>
        <v>0</v>
      </c>
      <c r="AC417" s="1515">
        <f t="shared" si="242"/>
        <v>0</v>
      </c>
      <c r="AD417" s="1515">
        <f t="shared" si="242"/>
        <v>0</v>
      </c>
      <c r="AE417" s="1515">
        <f t="shared" si="242"/>
        <v>0</v>
      </c>
      <c r="AF417" s="1515">
        <f t="shared" si="242"/>
        <v>0</v>
      </c>
      <c r="AG417" s="1515">
        <f t="shared" si="242"/>
        <v>0</v>
      </c>
      <c r="AH417" s="1515">
        <f t="shared" si="242"/>
        <v>0</v>
      </c>
      <c r="AI417" s="1515">
        <f t="shared" si="242"/>
        <v>0</v>
      </c>
      <c r="AJ417" s="1516">
        <f t="shared" si="242"/>
        <v>0</v>
      </c>
      <c r="AK417" s="1515">
        <f t="shared" si="242"/>
        <v>0</v>
      </c>
      <c r="AL417" s="1515">
        <f t="shared" si="242"/>
        <v>0</v>
      </c>
      <c r="AM417" s="1515">
        <f t="shared" si="242"/>
        <v>0</v>
      </c>
      <c r="AN417" s="1515">
        <f t="shared" si="242"/>
        <v>0</v>
      </c>
      <c r="AO417" s="1515">
        <f t="shared" si="242"/>
        <v>0</v>
      </c>
      <c r="AP417" s="1515">
        <f t="shared" si="242"/>
        <v>0</v>
      </c>
      <c r="AQ417" s="1515"/>
      <c r="AR417" s="1595"/>
      <c r="AS417" s="1595"/>
      <c r="AT417" s="1595"/>
      <c r="AU417" s="1595"/>
      <c r="AV417" s="1595"/>
      <c r="AW417" s="1595"/>
      <c r="AX417" s="1595"/>
      <c r="AY417" s="1595"/>
      <c r="AZ417" s="1595"/>
      <c r="BA417" s="1595"/>
      <c r="BB417" s="1595"/>
      <c r="BC417" s="1595"/>
      <c r="BD417" s="1595">
        <f t="shared" ref="BD417:BK417" si="243">BD635</f>
        <v>0</v>
      </c>
      <c r="BE417" s="1595">
        <f t="shared" si="243"/>
        <v>0</v>
      </c>
      <c r="BF417" s="1610">
        <f t="shared" si="243"/>
        <v>0</v>
      </c>
      <c r="BG417" s="1595">
        <f t="shared" si="243"/>
        <v>0</v>
      </c>
      <c r="BH417" s="1595">
        <f t="shared" si="243"/>
        <v>0</v>
      </c>
      <c r="BI417" s="1595">
        <f t="shared" si="243"/>
        <v>0</v>
      </c>
      <c r="BJ417" s="1595">
        <f t="shared" si="243"/>
        <v>0</v>
      </c>
      <c r="BK417" s="1595">
        <f t="shared" si="243"/>
        <v>0</v>
      </c>
      <c r="BL417" s="1517"/>
    </row>
    <row r="418" spans="1:64" s="1518" customFormat="1" hidden="1" outlineLevel="1" x14ac:dyDescent="0.35">
      <c r="A418" s="2024" t="s">
        <v>1161</v>
      </c>
      <c r="B418" s="1716"/>
      <c r="C418" s="1515"/>
      <c r="D418" s="1515"/>
      <c r="E418" s="1515"/>
      <c r="F418" s="1515"/>
      <c r="G418" s="1515"/>
      <c r="H418" s="1515"/>
      <c r="I418" s="1515"/>
      <c r="J418" s="1515"/>
      <c r="K418" s="1515"/>
      <c r="L418" s="1515"/>
      <c r="M418" s="1515"/>
      <c r="N418" s="1515"/>
      <c r="O418" s="1515"/>
      <c r="P418" s="1515"/>
      <c r="Q418" s="1515"/>
      <c r="R418" s="1515"/>
      <c r="S418" s="1515"/>
      <c r="T418" s="1515"/>
      <c r="U418" s="1515"/>
      <c r="V418" s="1515"/>
      <c r="W418" s="1515"/>
      <c r="X418" s="1515"/>
      <c r="Y418" s="1515"/>
      <c r="Z418" s="1515"/>
      <c r="AA418" s="1515"/>
      <c r="AB418" s="1515"/>
      <c r="AC418" s="1515"/>
      <c r="AD418" s="1515"/>
      <c r="AE418" s="1515"/>
      <c r="AF418" s="1515"/>
      <c r="AG418" s="1515"/>
      <c r="AH418" s="1515"/>
      <c r="AI418" s="1515"/>
      <c r="AJ418" s="1516"/>
      <c r="AK418" s="1515"/>
      <c r="AL418" s="1515"/>
      <c r="AM418" s="1515"/>
      <c r="AN418" s="1515"/>
      <c r="AO418" s="1515"/>
      <c r="AP418" s="1515"/>
      <c r="AQ418" s="1515"/>
      <c r="AR418" s="1595"/>
      <c r="AS418" s="1595"/>
      <c r="AT418" s="1595"/>
      <c r="AU418" s="1595"/>
      <c r="AV418" s="1595"/>
      <c r="AW418" s="1595"/>
      <c r="AX418" s="1595"/>
      <c r="AY418" s="1595"/>
      <c r="AZ418" s="1595"/>
      <c r="BA418" s="1595"/>
      <c r="BB418" s="1595"/>
      <c r="BC418" s="1595"/>
      <c r="BD418" s="1595"/>
      <c r="BE418" s="1595"/>
      <c r="BF418" s="1610"/>
      <c r="BG418" s="1595"/>
      <c r="BH418" s="1595"/>
      <c r="BI418" s="1595"/>
      <c r="BJ418" s="1595"/>
      <c r="BK418" s="1595"/>
      <c r="BL418" s="1517"/>
    </row>
    <row r="419" spans="1:64" s="1518" customFormat="1" hidden="1" outlineLevel="1" x14ac:dyDescent="0.35">
      <c r="A419" s="2024" t="s">
        <v>1162</v>
      </c>
      <c r="B419" s="1716"/>
      <c r="C419" s="1515"/>
      <c r="D419" s="1515"/>
      <c r="E419" s="1515"/>
      <c r="F419" s="1515"/>
      <c r="G419" s="1515"/>
      <c r="H419" s="1515"/>
      <c r="I419" s="1515"/>
      <c r="J419" s="1515"/>
      <c r="K419" s="1515"/>
      <c r="L419" s="1515"/>
      <c r="M419" s="1515"/>
      <c r="N419" s="1515"/>
      <c r="O419" s="1515"/>
      <c r="P419" s="1515"/>
      <c r="Q419" s="1515"/>
      <c r="R419" s="1515"/>
      <c r="S419" s="1515"/>
      <c r="T419" s="1515"/>
      <c r="U419" s="1515"/>
      <c r="V419" s="1515"/>
      <c r="W419" s="1515"/>
      <c r="X419" s="1515"/>
      <c r="Y419" s="1515"/>
      <c r="Z419" s="1515"/>
      <c r="AA419" s="1515"/>
      <c r="AB419" s="1515"/>
      <c r="AC419" s="1515"/>
      <c r="AD419" s="1515"/>
      <c r="AE419" s="1515"/>
      <c r="AF419" s="1515"/>
      <c r="AG419" s="1515"/>
      <c r="AH419" s="1515"/>
      <c r="AI419" s="1515"/>
      <c r="AJ419" s="1516"/>
      <c r="AK419" s="1515"/>
      <c r="AL419" s="1515"/>
      <c r="AM419" s="1515"/>
      <c r="AN419" s="1515"/>
      <c r="AO419" s="1515"/>
      <c r="AP419" s="1515"/>
      <c r="AQ419" s="1515"/>
      <c r="AR419" s="1595"/>
      <c r="AS419" s="1595"/>
      <c r="AT419" s="1595"/>
      <c r="AU419" s="1595"/>
      <c r="AV419" s="1595"/>
      <c r="AW419" s="1595"/>
      <c r="AX419" s="1595"/>
      <c r="AY419" s="1595"/>
      <c r="AZ419" s="1595"/>
      <c r="BA419" s="1595"/>
      <c r="BB419" s="1595"/>
      <c r="BC419" s="1595"/>
      <c r="BD419" s="1595"/>
      <c r="BE419" s="1595"/>
      <c r="BF419" s="1610"/>
      <c r="BG419" s="1595"/>
      <c r="BH419" s="1595"/>
      <c r="BI419" s="1595"/>
      <c r="BJ419" s="1595"/>
      <c r="BK419" s="1595"/>
      <c r="BL419" s="1517"/>
    </row>
    <row r="420" spans="1:64" s="1518" customFormat="1" collapsed="1" x14ac:dyDescent="0.35">
      <c r="A420" s="1816"/>
      <c r="B420" s="1716"/>
      <c r="C420" s="1515"/>
      <c r="D420" s="1515"/>
      <c r="E420" s="1515"/>
      <c r="F420" s="1515"/>
      <c r="G420" s="1515"/>
      <c r="H420" s="1515"/>
      <c r="I420" s="1515"/>
      <c r="J420" s="1515"/>
      <c r="K420" s="1515"/>
      <c r="L420" s="1515"/>
      <c r="M420" s="1515"/>
      <c r="N420" s="1515"/>
      <c r="O420" s="1515"/>
      <c r="P420" s="1515"/>
      <c r="Q420" s="1515"/>
      <c r="R420" s="1515"/>
      <c r="S420" s="1515"/>
      <c r="T420" s="1515"/>
      <c r="U420" s="1515"/>
      <c r="V420" s="1515"/>
      <c r="W420" s="1515"/>
      <c r="X420" s="1515"/>
      <c r="Y420" s="1515"/>
      <c r="Z420" s="1515"/>
      <c r="AA420" s="1515"/>
      <c r="AB420" s="1515"/>
      <c r="AC420" s="1515"/>
      <c r="AD420" s="1515"/>
      <c r="AE420" s="1515"/>
      <c r="AF420" s="1515"/>
      <c r="AG420" s="1515"/>
      <c r="AH420" s="1515"/>
      <c r="AI420" s="1515"/>
      <c r="AJ420" s="1516"/>
      <c r="AK420" s="1515"/>
      <c r="AL420" s="1515"/>
      <c r="AM420" s="1515"/>
      <c r="AN420" s="1515"/>
      <c r="AO420" s="1515"/>
      <c r="AP420" s="1515"/>
      <c r="AQ420" s="1515"/>
      <c r="AR420" s="1595"/>
      <c r="AS420" s="1595"/>
      <c r="AT420" s="1595"/>
      <c r="AU420" s="1595"/>
      <c r="AV420" s="1595"/>
      <c r="AW420" s="1595"/>
      <c r="AX420" s="1595"/>
      <c r="AY420" s="1595"/>
      <c r="AZ420" s="1595"/>
      <c r="BA420" s="1595"/>
      <c r="BB420" s="1595"/>
      <c r="BC420" s="1595"/>
      <c r="BD420" s="1595"/>
      <c r="BE420" s="1595"/>
      <c r="BF420" s="1610"/>
      <c r="BG420" s="1595"/>
      <c r="BH420" s="1595"/>
      <c r="BI420" s="1595"/>
      <c r="BJ420" s="1595"/>
      <c r="BK420" s="1595"/>
      <c r="BL420" s="1517"/>
    </row>
    <row r="421" spans="1:64" s="1518" customFormat="1" x14ac:dyDescent="0.35">
      <c r="A421" s="1588" t="s">
        <v>1163</v>
      </c>
      <c r="B421" s="1556"/>
      <c r="C421" s="1556"/>
      <c r="D421" s="1556"/>
      <c r="E421" s="1556"/>
      <c r="F421" s="1556"/>
      <c r="G421" s="1556"/>
      <c r="H421" s="1556"/>
      <c r="I421" s="1556"/>
      <c r="J421" s="1556"/>
      <c r="K421" s="1556"/>
      <c r="L421" s="1556"/>
      <c r="M421" s="1556"/>
      <c r="N421" s="1556"/>
      <c r="O421" s="1556"/>
      <c r="P421" s="1556"/>
      <c r="Q421" s="1556"/>
      <c r="R421" s="1556"/>
      <c r="S421" s="1556"/>
      <c r="T421" s="1556"/>
      <c r="U421" s="1556"/>
      <c r="V421" s="1556"/>
      <c r="W421" s="1556"/>
      <c r="X421" s="1556"/>
      <c r="Y421" s="1556"/>
      <c r="Z421" s="1556"/>
      <c r="AA421" s="1556"/>
      <c r="AB421" s="1556"/>
      <c r="AC421" s="1556"/>
      <c r="AD421" s="1556"/>
      <c r="AE421" s="1556"/>
      <c r="AF421" s="1556"/>
      <c r="AG421" s="1556"/>
      <c r="AH421" s="1556"/>
      <c r="AI421" s="1556"/>
      <c r="AJ421" s="1558"/>
      <c r="AK421" s="1556"/>
      <c r="AL421" s="1556"/>
      <c r="AM421" s="1556"/>
      <c r="AN421" s="1556"/>
      <c r="AO421" s="1556"/>
      <c r="AP421" s="1556"/>
      <c r="AQ421" s="1556"/>
      <c r="AR421" s="1556"/>
      <c r="AS421" s="1556"/>
      <c r="AT421" s="1556"/>
      <c r="AU421" s="1556"/>
      <c r="AV421" s="1556"/>
      <c r="AW421" s="1556"/>
      <c r="AX421" s="1556"/>
      <c r="AY421" s="1556"/>
      <c r="AZ421" s="1556"/>
      <c r="BA421" s="1556"/>
      <c r="BB421" s="1556"/>
      <c r="BC421" s="1556"/>
      <c r="BD421" s="1556"/>
      <c r="BE421" s="1556"/>
      <c r="BF421" s="1558"/>
      <c r="BG421" s="1556"/>
      <c r="BH421" s="1556"/>
      <c r="BI421" s="1556"/>
      <c r="BJ421" s="1556"/>
      <c r="BK421" s="1556"/>
      <c r="BL421" s="1517"/>
    </row>
    <row r="422" spans="1:64" s="1518" customFormat="1" hidden="1" outlineLevel="1" x14ac:dyDescent="0.35">
      <c r="A422" s="1711" t="s">
        <v>150</v>
      </c>
      <c r="B422" s="1712"/>
      <c r="C422" s="1515"/>
      <c r="D422" s="1515"/>
      <c r="E422" s="1515"/>
      <c r="F422" s="1515"/>
      <c r="G422" s="1515"/>
      <c r="H422" s="1515"/>
      <c r="I422" s="1515"/>
      <c r="J422" s="1515"/>
      <c r="K422" s="1515"/>
      <c r="L422" s="1515"/>
      <c r="M422" s="1515"/>
      <c r="N422" s="1515"/>
      <c r="O422" s="1515"/>
      <c r="P422" s="1515"/>
      <c r="Q422" s="1515"/>
      <c r="R422" s="1515"/>
      <c r="S422" s="1515"/>
      <c r="T422" s="1515"/>
      <c r="U422" s="1515"/>
      <c r="V422" s="1515"/>
      <c r="W422" s="1515"/>
      <c r="X422" s="1515"/>
      <c r="Y422" s="1515"/>
      <c r="Z422" s="1515"/>
      <c r="AA422" s="1515"/>
      <c r="AB422" s="1515"/>
      <c r="AC422" s="1515"/>
      <c r="AD422" s="1515"/>
      <c r="AE422" s="1515"/>
      <c r="AF422" s="1515"/>
      <c r="AG422" s="1515"/>
      <c r="AH422" s="1515"/>
      <c r="AI422" s="1515"/>
      <c r="AJ422" s="1516"/>
      <c r="AK422" s="1515"/>
      <c r="AL422" s="1515"/>
      <c r="AM422" s="1515"/>
      <c r="AN422" s="1515"/>
      <c r="AO422" s="1515"/>
      <c r="AP422" s="1515"/>
      <c r="AQ422" s="1515"/>
      <c r="AR422" s="1595"/>
      <c r="AS422" s="1595"/>
      <c r="AT422" s="1595"/>
      <c r="AU422" s="1595"/>
      <c r="AV422" s="1595"/>
      <c r="AW422" s="1595"/>
      <c r="AX422" s="1595"/>
      <c r="AY422" s="1595"/>
      <c r="AZ422" s="1595"/>
      <c r="BA422" s="1595"/>
      <c r="BB422" s="1595"/>
      <c r="BC422" s="1595"/>
      <c r="BD422" s="1595"/>
      <c r="BE422" s="1595"/>
      <c r="BF422" s="1610"/>
      <c r="BG422" s="1595"/>
      <c r="BH422" s="1595"/>
      <c r="BI422" s="1595"/>
      <c r="BJ422" s="1595"/>
      <c r="BK422" s="1595"/>
      <c r="BL422" s="1517"/>
    </row>
    <row r="423" spans="1:64" s="1518" customFormat="1" hidden="1" outlineLevel="1" x14ac:dyDescent="0.35">
      <c r="A423" s="1591" t="s">
        <v>1164</v>
      </c>
      <c r="B423" s="1716"/>
      <c r="C423" s="1515"/>
      <c r="D423" s="1515"/>
      <c r="E423" s="1515"/>
      <c r="F423" s="1515"/>
      <c r="G423" s="1515"/>
      <c r="H423" s="1515"/>
      <c r="I423" s="1515"/>
      <c r="J423" s="1515"/>
      <c r="K423" s="1515"/>
      <c r="L423" s="1515"/>
      <c r="M423" s="1515"/>
      <c r="N423" s="1515"/>
      <c r="O423" s="1515"/>
      <c r="P423" s="1515"/>
      <c r="Q423" s="1515"/>
      <c r="R423" s="1517">
        <f>BB423</f>
        <v>-46.682000000000002</v>
      </c>
      <c r="S423" s="1515"/>
      <c r="T423" s="1593">
        <v>-40.847000000000001</v>
      </c>
      <c r="U423" s="1593">
        <v>-51.232999999999997</v>
      </c>
      <c r="V423" s="1517">
        <f>BC423</f>
        <v>-52.292999999999999</v>
      </c>
      <c r="W423" s="1593">
        <v>0.628</v>
      </c>
      <c r="X423" s="1593">
        <v>4.0250000000000004</v>
      </c>
      <c r="Y423" s="1593">
        <v>-21.231000000000002</v>
      </c>
      <c r="Z423" s="1517">
        <f>BD423</f>
        <v>-18.527000000000001</v>
      </c>
      <c r="AA423" s="1593">
        <v>6.2359999999999998</v>
      </c>
      <c r="AB423" s="1593">
        <v>17.806999999999999</v>
      </c>
      <c r="AC423" s="1593">
        <v>27.11</v>
      </c>
      <c r="AD423" s="1517">
        <f t="shared" ref="AD423:AD432" si="244">BE423</f>
        <v>19.41</v>
      </c>
      <c r="AE423" s="1593">
        <v>0.59099999999999997</v>
      </c>
      <c r="AF423" s="1593">
        <v>0.91400000000000003</v>
      </c>
      <c r="AG423" s="1593">
        <v>3.2679999999999998</v>
      </c>
      <c r="AH423" s="1517">
        <f t="shared" ref="AH423:AH432" si="245">BF423</f>
        <v>-0.11600000000000001</v>
      </c>
      <c r="AI423" s="1593">
        <v>-7.9550000000000001</v>
      </c>
      <c r="AJ423" s="1594">
        <v>-14.186999999999999</v>
      </c>
      <c r="AK423" s="1515"/>
      <c r="AL423" s="1515"/>
      <c r="AM423" s="1515"/>
      <c r="AN423" s="1515"/>
      <c r="AO423" s="1515"/>
      <c r="AP423" s="1515"/>
      <c r="AQ423" s="1515"/>
      <c r="AR423" s="1595"/>
      <c r="AS423" s="1595"/>
      <c r="AT423" s="1595"/>
      <c r="AU423" s="1595"/>
      <c r="AV423" s="1595"/>
      <c r="AW423" s="1595"/>
      <c r="AX423" s="1595"/>
      <c r="AY423" s="1595"/>
      <c r="AZ423" s="1595"/>
      <c r="BA423" s="1595"/>
      <c r="BB423" s="1596">
        <v>-46.682000000000002</v>
      </c>
      <c r="BC423" s="1596">
        <v>-52.292999999999999</v>
      </c>
      <c r="BD423" s="1596">
        <v>-18.527000000000001</v>
      </c>
      <c r="BE423" s="1596">
        <v>19.41</v>
      </c>
      <c r="BF423" s="1597">
        <v>-0.11600000000000001</v>
      </c>
      <c r="BG423" s="1595"/>
      <c r="BH423" s="1595"/>
      <c r="BI423" s="1595"/>
      <c r="BJ423" s="1595"/>
      <c r="BK423" s="1595"/>
      <c r="BL423" s="1517"/>
    </row>
    <row r="424" spans="1:64" s="1518" customFormat="1" hidden="1" outlineLevel="1" x14ac:dyDescent="0.35">
      <c r="A424" s="1591" t="s">
        <v>348</v>
      </c>
      <c r="B424" s="1716"/>
      <c r="C424" s="1515"/>
      <c r="D424" s="1515"/>
      <c r="E424" s="1515"/>
      <c r="F424" s="1515"/>
      <c r="G424" s="1515"/>
      <c r="H424" s="1515"/>
      <c r="I424" s="1515"/>
      <c r="J424" s="1515"/>
      <c r="K424" s="1515"/>
      <c r="L424" s="1515"/>
      <c r="M424" s="1515"/>
      <c r="N424" s="1515"/>
      <c r="O424" s="1515"/>
      <c r="P424" s="1515"/>
      <c r="Q424" s="1515"/>
      <c r="R424" s="1515"/>
      <c r="S424" s="1515"/>
      <c r="T424" s="1515"/>
      <c r="U424" s="1515"/>
      <c r="V424" s="1515"/>
      <c r="W424" s="1515"/>
      <c r="X424" s="1515"/>
      <c r="Y424" s="1515"/>
      <c r="Z424" s="1515"/>
      <c r="AA424" s="1515"/>
      <c r="AB424" s="1515"/>
      <c r="AC424" s="1515"/>
      <c r="AD424" s="1517">
        <f t="shared" si="244"/>
        <v>3.673</v>
      </c>
      <c r="AE424" s="1515"/>
      <c r="AF424" s="1515"/>
      <c r="AG424" s="1515"/>
      <c r="AH424" s="1517">
        <f t="shared" si="245"/>
        <v>0</v>
      </c>
      <c r="AI424" s="1515"/>
      <c r="AJ424" s="1516"/>
      <c r="AK424" s="1515"/>
      <c r="AL424" s="1515"/>
      <c r="AM424" s="1515"/>
      <c r="AN424" s="1515"/>
      <c r="AO424" s="1515"/>
      <c r="AP424" s="1515"/>
      <c r="AQ424" s="1515"/>
      <c r="AR424" s="1595"/>
      <c r="AS424" s="1595"/>
      <c r="AT424" s="1595"/>
      <c r="AU424" s="1595"/>
      <c r="AV424" s="1595"/>
      <c r="AW424" s="1595"/>
      <c r="AX424" s="1595"/>
      <c r="AY424" s="1595"/>
      <c r="AZ424" s="1595"/>
      <c r="BA424" s="1595"/>
      <c r="BB424" s="1595"/>
      <c r="BC424" s="1595"/>
      <c r="BD424" s="1595"/>
      <c r="BE424" s="1596">
        <v>3.673</v>
      </c>
      <c r="BF424" s="1610"/>
      <c r="BG424" s="1595"/>
      <c r="BH424" s="1595"/>
      <c r="BI424" s="1595"/>
      <c r="BJ424" s="1595"/>
      <c r="BK424" s="1595"/>
      <c r="BL424" s="1517"/>
    </row>
    <row r="425" spans="1:64" s="1518" customFormat="1" hidden="1" outlineLevel="1" x14ac:dyDescent="0.35">
      <c r="A425" s="1591" t="s">
        <v>343</v>
      </c>
      <c r="B425" s="1716"/>
      <c r="C425" s="1515"/>
      <c r="D425" s="1515"/>
      <c r="E425" s="1515"/>
      <c r="F425" s="1515"/>
      <c r="G425" s="1515"/>
      <c r="H425" s="1515"/>
      <c r="I425" s="1515"/>
      <c r="J425" s="1515"/>
      <c r="K425" s="1515"/>
      <c r="L425" s="1515"/>
      <c r="M425" s="1515"/>
      <c r="N425" s="1515"/>
      <c r="O425" s="1515"/>
      <c r="P425" s="1515"/>
      <c r="Q425" s="1515"/>
      <c r="R425" s="1517">
        <f t="shared" ref="R425:R432" si="246">BB425</f>
        <v>93.802000000000007</v>
      </c>
      <c r="S425" s="1515"/>
      <c r="T425" s="1593">
        <v>45.578000000000003</v>
      </c>
      <c r="U425" s="1593">
        <v>68.441000000000003</v>
      </c>
      <c r="V425" s="1517">
        <f t="shared" ref="V425:V432" si="247">BC425</f>
        <v>91.198999999999998</v>
      </c>
      <c r="W425" s="1593">
        <v>20.548999999999999</v>
      </c>
      <c r="X425" s="1593">
        <v>40.847999999999999</v>
      </c>
      <c r="Y425" s="1593">
        <v>61.192999999999998</v>
      </c>
      <c r="Z425" s="1517">
        <f t="shared" ref="Z425:Z432" si="248">BD425</f>
        <v>82.063999999999993</v>
      </c>
      <c r="AA425" s="1593">
        <v>20.155999999999999</v>
      </c>
      <c r="AB425" s="1593">
        <v>40.027999999999999</v>
      </c>
      <c r="AC425" s="1593">
        <v>56.597999999999999</v>
      </c>
      <c r="AD425" s="1517">
        <f t="shared" si="244"/>
        <v>73.14</v>
      </c>
      <c r="AE425" s="1593">
        <v>15.122</v>
      </c>
      <c r="AF425" s="1593">
        <v>31.242000000000001</v>
      </c>
      <c r="AG425" s="1593">
        <v>47.116999999999997</v>
      </c>
      <c r="AH425" s="1517">
        <f t="shared" si="245"/>
        <v>62.853000000000002</v>
      </c>
      <c r="AI425" s="1593">
        <v>15.77</v>
      </c>
      <c r="AJ425" s="1594">
        <v>31.59</v>
      </c>
      <c r="AK425" s="1515"/>
      <c r="AL425" s="1515"/>
      <c r="AM425" s="1515"/>
      <c r="AN425" s="1515"/>
      <c r="AO425" s="1515"/>
      <c r="AP425" s="1515"/>
      <c r="AQ425" s="1515"/>
      <c r="AR425" s="1595"/>
      <c r="AS425" s="1595"/>
      <c r="AT425" s="1595"/>
      <c r="AU425" s="1595"/>
      <c r="AV425" s="1595"/>
      <c r="AW425" s="1595"/>
      <c r="AX425" s="1595"/>
      <c r="AY425" s="1595"/>
      <c r="AZ425" s="1595"/>
      <c r="BA425" s="1595"/>
      <c r="BB425" s="1596">
        <v>93.802000000000007</v>
      </c>
      <c r="BC425" s="1596">
        <v>91.198999999999998</v>
      </c>
      <c r="BD425" s="1596">
        <v>82.063999999999993</v>
      </c>
      <c r="BE425" s="1596">
        <v>73.14</v>
      </c>
      <c r="BF425" s="1597">
        <v>62.853000000000002</v>
      </c>
      <c r="BG425" s="1595"/>
      <c r="BH425" s="1595"/>
      <c r="BI425" s="1595"/>
      <c r="BJ425" s="1595"/>
      <c r="BK425" s="1595"/>
      <c r="BL425" s="1517"/>
    </row>
    <row r="426" spans="1:64" s="1518" customFormat="1" hidden="1" outlineLevel="1" x14ac:dyDescent="0.35">
      <c r="A426" s="1591" t="s">
        <v>843</v>
      </c>
      <c r="B426" s="1716"/>
      <c r="C426" s="1515"/>
      <c r="D426" s="1515"/>
      <c r="E426" s="1515"/>
      <c r="F426" s="1515"/>
      <c r="G426" s="1515"/>
      <c r="H426" s="1515"/>
      <c r="I426" s="1515"/>
      <c r="J426" s="1515"/>
      <c r="K426" s="1515"/>
      <c r="L426" s="1515"/>
      <c r="M426" s="1515"/>
      <c r="N426" s="1515"/>
      <c r="O426" s="1515"/>
      <c r="P426" s="1515"/>
      <c r="Q426" s="1515"/>
      <c r="R426" s="1517">
        <f t="shared" si="246"/>
        <v>-18.132999999999999</v>
      </c>
      <c r="S426" s="1515"/>
      <c r="T426" s="1593">
        <v>-8.6859999999999999</v>
      </c>
      <c r="U426" s="1593">
        <v>-4.117</v>
      </c>
      <c r="V426" s="1517">
        <f t="shared" si="247"/>
        <v>-16.952000000000002</v>
      </c>
      <c r="W426" s="1593">
        <v>-2.4380000000000002</v>
      </c>
      <c r="X426" s="1593">
        <v>-0.69899999999999995</v>
      </c>
      <c r="Y426" s="1593">
        <v>-13.349</v>
      </c>
      <c r="Z426" s="1517">
        <f t="shared" si="248"/>
        <v>-21.995999999999999</v>
      </c>
      <c r="AA426" s="1593">
        <v>3.4119999999999999</v>
      </c>
      <c r="AB426" s="1593">
        <v>3.4089999999999998</v>
      </c>
      <c r="AC426" s="1593">
        <v>4.8849999999999998</v>
      </c>
      <c r="AD426" s="1517">
        <f t="shared" si="244"/>
        <v>-3.3439999999999999</v>
      </c>
      <c r="AE426" s="1593">
        <v>0.20899999999999999</v>
      </c>
      <c r="AF426" s="1593">
        <v>0.188</v>
      </c>
      <c r="AG426" s="1593">
        <v>-0.2</v>
      </c>
      <c r="AH426" s="1517">
        <f t="shared" si="245"/>
        <v>-13.875</v>
      </c>
      <c r="AI426" s="1593">
        <v>-14.305999999999999</v>
      </c>
      <c r="AJ426" s="1594">
        <v>-9.4879999999999995</v>
      </c>
      <c r="AK426" s="1515"/>
      <c r="AL426" s="1515"/>
      <c r="AM426" s="1515"/>
      <c r="AN426" s="1515"/>
      <c r="AO426" s="1515"/>
      <c r="AP426" s="1515"/>
      <c r="AQ426" s="1515"/>
      <c r="AR426" s="1595"/>
      <c r="AS426" s="1595"/>
      <c r="AT426" s="1595"/>
      <c r="AU426" s="1595"/>
      <c r="AV426" s="1595"/>
      <c r="AW426" s="1595"/>
      <c r="AX426" s="1595"/>
      <c r="AY426" s="1595"/>
      <c r="AZ426" s="1595"/>
      <c r="BA426" s="1595"/>
      <c r="BB426" s="1596">
        <v>-18.132999999999999</v>
      </c>
      <c r="BC426" s="1596">
        <v>-16.952000000000002</v>
      </c>
      <c r="BD426" s="1596">
        <v>-21.995999999999999</v>
      </c>
      <c r="BE426" s="1596">
        <v>-3.3439999999999999</v>
      </c>
      <c r="BF426" s="1597">
        <v>-13.875</v>
      </c>
      <c r="BG426" s="1595"/>
      <c r="BH426" s="1595"/>
      <c r="BI426" s="1595"/>
      <c r="BJ426" s="1595"/>
      <c r="BK426" s="1595"/>
      <c r="BL426" s="1517"/>
    </row>
    <row r="427" spans="1:64" s="1518" customFormat="1" hidden="1" outlineLevel="1" x14ac:dyDescent="0.35">
      <c r="A427" s="1591" t="s">
        <v>807</v>
      </c>
      <c r="B427" s="1716"/>
      <c r="C427" s="1515"/>
      <c r="D427" s="1515"/>
      <c r="E427" s="1515"/>
      <c r="F427" s="1515"/>
      <c r="G427" s="1515"/>
      <c r="H427" s="1515"/>
      <c r="I427" s="1515"/>
      <c r="J427" s="1515"/>
      <c r="K427" s="1515"/>
      <c r="L427" s="1515"/>
      <c r="M427" s="1515"/>
      <c r="N427" s="1515"/>
      <c r="O427" s="1515"/>
      <c r="P427" s="1515"/>
      <c r="Q427" s="1515"/>
      <c r="R427" s="1517">
        <f t="shared" si="246"/>
        <v>1.5029999999999999</v>
      </c>
      <c r="S427" s="1515"/>
      <c r="T427" s="1593">
        <v>1.1859999999999999</v>
      </c>
      <c r="U427" s="1593">
        <v>1.756</v>
      </c>
      <c r="V427" s="1517">
        <f t="shared" si="247"/>
        <v>3.4649999999999999</v>
      </c>
      <c r="W427" s="1593">
        <v>0.89800000000000002</v>
      </c>
      <c r="X427" s="1593">
        <v>1.653</v>
      </c>
      <c r="Y427" s="1593">
        <v>27.236000000000001</v>
      </c>
      <c r="Z427" s="1517">
        <f t="shared" si="248"/>
        <v>32.58</v>
      </c>
      <c r="AA427" s="1593">
        <v>5.1079999999999997</v>
      </c>
      <c r="AB427" s="1593">
        <v>11.131</v>
      </c>
      <c r="AC427" s="1593">
        <v>17.423999999999999</v>
      </c>
      <c r="AD427" s="1517">
        <f t="shared" si="244"/>
        <v>23.805</v>
      </c>
      <c r="AE427" s="1593">
        <v>8.0429999999999993</v>
      </c>
      <c r="AF427" s="1593">
        <v>17.401</v>
      </c>
      <c r="AG427" s="1593">
        <v>27.184000000000001</v>
      </c>
      <c r="AH427" s="1517">
        <f t="shared" si="245"/>
        <v>34.65</v>
      </c>
      <c r="AI427" s="1593">
        <v>9.3420000000000005</v>
      </c>
      <c r="AJ427" s="1594">
        <v>21.045000000000002</v>
      </c>
      <c r="AK427" s="1515"/>
      <c r="AL427" s="1515"/>
      <c r="AM427" s="1515"/>
      <c r="AN427" s="1515"/>
      <c r="AO427" s="1515"/>
      <c r="AP427" s="1515"/>
      <c r="AQ427" s="1515"/>
      <c r="AR427" s="1595"/>
      <c r="AS427" s="1595"/>
      <c r="AT427" s="1595"/>
      <c r="AU427" s="1595"/>
      <c r="AV427" s="1595"/>
      <c r="AW427" s="1595"/>
      <c r="AX427" s="1595"/>
      <c r="AY427" s="1595"/>
      <c r="AZ427" s="1595"/>
      <c r="BA427" s="1595"/>
      <c r="BB427" s="1596">
        <v>1.5029999999999999</v>
      </c>
      <c r="BC427" s="1596">
        <v>3.4649999999999999</v>
      </c>
      <c r="BD427" s="1596">
        <v>32.58</v>
      </c>
      <c r="BE427" s="1596">
        <v>23.805</v>
      </c>
      <c r="BF427" s="1597">
        <v>34.65</v>
      </c>
      <c r="BG427" s="1595"/>
      <c r="BH427" s="1595"/>
      <c r="BI427" s="1595"/>
      <c r="BJ427" s="1595"/>
      <c r="BK427" s="1595"/>
      <c r="BL427" s="1517"/>
    </row>
    <row r="428" spans="1:64" s="1518" customFormat="1" hidden="1" outlineLevel="1" x14ac:dyDescent="0.35">
      <c r="A428" s="1591" t="s">
        <v>981</v>
      </c>
      <c r="B428" s="1716"/>
      <c r="C428" s="1515"/>
      <c r="D428" s="1515"/>
      <c r="E428" s="1515"/>
      <c r="F428" s="1515"/>
      <c r="G428" s="1515"/>
      <c r="H428" s="1515"/>
      <c r="I428" s="1515"/>
      <c r="J428" s="1515"/>
      <c r="K428" s="1515"/>
      <c r="L428" s="1515"/>
      <c r="M428" s="1515"/>
      <c r="N428" s="1515"/>
      <c r="O428" s="1515"/>
      <c r="P428" s="1515"/>
      <c r="Q428" s="1515"/>
      <c r="R428" s="1517">
        <f t="shared" si="246"/>
        <v>3.22</v>
      </c>
      <c r="S428" s="1515"/>
      <c r="T428" s="1593">
        <v>5.8999999999999997E-2</v>
      </c>
      <c r="U428" s="1593">
        <v>0.68</v>
      </c>
      <c r="V428" s="1517">
        <f t="shared" si="247"/>
        <v>1.7969999999999999</v>
      </c>
      <c r="W428" s="1593">
        <v>2.8759999999999999</v>
      </c>
      <c r="X428" s="1593">
        <v>2.9249999999999998</v>
      </c>
      <c r="Y428" s="1593">
        <v>2.94</v>
      </c>
      <c r="Z428" s="1517">
        <f t="shared" si="248"/>
        <v>3.274</v>
      </c>
      <c r="AA428" s="1515"/>
      <c r="AB428" s="1593">
        <v>0.61199999999999999</v>
      </c>
      <c r="AC428" s="1593">
        <v>0.80500000000000005</v>
      </c>
      <c r="AD428" s="1517">
        <f t="shared" si="244"/>
        <v>1.008</v>
      </c>
      <c r="AE428" s="1593">
        <v>0.106</v>
      </c>
      <c r="AF428" s="1593">
        <v>7.1449999999999996</v>
      </c>
      <c r="AG428" s="1593">
        <v>7.1929999999999996</v>
      </c>
      <c r="AH428" s="1517">
        <f t="shared" si="245"/>
        <v>7.3710000000000004</v>
      </c>
      <c r="AI428" s="1593">
        <v>0.16800000000000001</v>
      </c>
      <c r="AJ428" s="1594">
        <v>0.2</v>
      </c>
      <c r="AK428" s="1515"/>
      <c r="AL428" s="1515"/>
      <c r="AM428" s="1515"/>
      <c r="AN428" s="1515"/>
      <c r="AO428" s="1515"/>
      <c r="AP428" s="1515"/>
      <c r="AQ428" s="1515"/>
      <c r="AR428" s="1595"/>
      <c r="AS428" s="1595"/>
      <c r="AT428" s="1595"/>
      <c r="AU428" s="1595"/>
      <c r="AV428" s="1595"/>
      <c r="AW428" s="1595"/>
      <c r="AX428" s="1595"/>
      <c r="AY428" s="1595"/>
      <c r="AZ428" s="1595"/>
      <c r="BA428" s="1595"/>
      <c r="BB428" s="1596">
        <v>3.22</v>
      </c>
      <c r="BC428" s="1596">
        <v>1.7969999999999999</v>
      </c>
      <c r="BD428" s="1596">
        <v>3.274</v>
      </c>
      <c r="BE428" s="1596">
        <v>1.008</v>
      </c>
      <c r="BF428" s="1597">
        <v>7.3710000000000004</v>
      </c>
      <c r="BG428" s="1595"/>
      <c r="BH428" s="1595"/>
      <c r="BI428" s="1595"/>
      <c r="BJ428" s="1595"/>
      <c r="BK428" s="1595"/>
      <c r="BL428" s="1517"/>
    </row>
    <row r="429" spans="1:64" s="1518" customFormat="1" hidden="1" outlineLevel="1" x14ac:dyDescent="0.35">
      <c r="A429" s="1591" t="s">
        <v>844</v>
      </c>
      <c r="B429" s="1716"/>
      <c r="C429" s="1515"/>
      <c r="D429" s="1515"/>
      <c r="E429" s="1515"/>
      <c r="F429" s="1515"/>
      <c r="G429" s="1515"/>
      <c r="H429" s="1515"/>
      <c r="I429" s="1515"/>
      <c r="J429" s="1515"/>
      <c r="K429" s="1515"/>
      <c r="L429" s="1515"/>
      <c r="M429" s="1515"/>
      <c r="N429" s="1515"/>
      <c r="O429" s="1515"/>
      <c r="P429" s="1515"/>
      <c r="Q429" s="1515"/>
      <c r="R429" s="1517">
        <f t="shared" si="246"/>
        <v>0.70899999999999996</v>
      </c>
      <c r="S429" s="1515"/>
      <c r="T429" s="1593">
        <v>0.82499999999999996</v>
      </c>
      <c r="U429" s="1593">
        <v>0.623</v>
      </c>
      <c r="V429" s="1517">
        <f t="shared" si="247"/>
        <v>0.432</v>
      </c>
      <c r="W429" s="1593">
        <v>7.9000000000000001E-2</v>
      </c>
      <c r="X429" s="1593">
        <v>0.496</v>
      </c>
      <c r="Y429" s="1593">
        <v>0.60399999999999998</v>
      </c>
      <c r="Z429" s="1517">
        <f t="shared" si="248"/>
        <v>1.169</v>
      </c>
      <c r="AA429" s="1593">
        <v>0.308</v>
      </c>
      <c r="AB429" s="1593">
        <v>0.65900000000000003</v>
      </c>
      <c r="AC429" s="1593">
        <v>1.016</v>
      </c>
      <c r="AD429" s="1517">
        <f t="shared" si="244"/>
        <v>0.877</v>
      </c>
      <c r="AE429" s="1593">
        <v>0.24399999999999999</v>
      </c>
      <c r="AF429" s="1593">
        <v>0.45900000000000002</v>
      </c>
      <c r="AG429" s="1593">
        <v>0.55600000000000005</v>
      </c>
      <c r="AH429" s="1517">
        <f t="shared" si="245"/>
        <v>0.93700000000000006</v>
      </c>
      <c r="AI429" s="1593">
        <v>0.24</v>
      </c>
      <c r="AJ429" s="1594">
        <v>1.212</v>
      </c>
      <c r="AK429" s="1515"/>
      <c r="AL429" s="1515"/>
      <c r="AM429" s="1515"/>
      <c r="AN429" s="1515"/>
      <c r="AO429" s="1515"/>
      <c r="AP429" s="1515"/>
      <c r="AQ429" s="1515"/>
      <c r="AR429" s="1595"/>
      <c r="AS429" s="1595"/>
      <c r="AT429" s="1595"/>
      <c r="AU429" s="1595"/>
      <c r="AV429" s="1595"/>
      <c r="AW429" s="1595"/>
      <c r="AX429" s="1595"/>
      <c r="AY429" s="1595"/>
      <c r="AZ429" s="1595"/>
      <c r="BA429" s="1595"/>
      <c r="BB429" s="1596">
        <v>0.70899999999999996</v>
      </c>
      <c r="BC429" s="1596">
        <v>0.432</v>
      </c>
      <c r="BD429" s="1596">
        <v>1.169</v>
      </c>
      <c r="BE429" s="1596">
        <v>0.877</v>
      </c>
      <c r="BF429" s="1597">
        <v>0.93700000000000006</v>
      </c>
      <c r="BG429" s="1595"/>
      <c r="BH429" s="1595"/>
      <c r="BI429" s="1595"/>
      <c r="BJ429" s="1595"/>
      <c r="BK429" s="1595"/>
      <c r="BL429" s="1517"/>
    </row>
    <row r="430" spans="1:64" s="1518" customFormat="1" hidden="1" outlineLevel="1" x14ac:dyDescent="0.35">
      <c r="A430" s="1591" t="s">
        <v>845</v>
      </c>
      <c r="B430" s="1716"/>
      <c r="C430" s="1515"/>
      <c r="D430" s="1515"/>
      <c r="E430" s="1515"/>
      <c r="F430" s="1515"/>
      <c r="G430" s="1515"/>
      <c r="H430" s="1515"/>
      <c r="I430" s="1515"/>
      <c r="J430" s="1515"/>
      <c r="K430" s="1515"/>
      <c r="L430" s="1515"/>
      <c r="M430" s="1515"/>
      <c r="N430" s="1515"/>
      <c r="O430" s="1515"/>
      <c r="P430" s="1515"/>
      <c r="Q430" s="1515"/>
      <c r="R430" s="1517">
        <f t="shared" si="246"/>
        <v>0.497</v>
      </c>
      <c r="S430" s="1515"/>
      <c r="T430" s="1593">
        <v>0.249</v>
      </c>
      <c r="U430" s="1593">
        <v>0.373</v>
      </c>
      <c r="V430" s="1517">
        <f t="shared" si="247"/>
        <v>0.497</v>
      </c>
      <c r="W430" s="1593">
        <v>0.124</v>
      </c>
      <c r="X430" s="1593">
        <v>0.249</v>
      </c>
      <c r="Y430" s="1593">
        <v>0.36199999999999999</v>
      </c>
      <c r="Z430" s="1517">
        <f t="shared" si="248"/>
        <v>0.47099999999999997</v>
      </c>
      <c r="AA430" s="1593">
        <v>0.109</v>
      </c>
      <c r="AB430" s="1593">
        <v>0.218</v>
      </c>
      <c r="AC430" s="1593">
        <v>0.32700000000000001</v>
      </c>
      <c r="AD430" s="1517">
        <f t="shared" si="244"/>
        <v>0.45300000000000001</v>
      </c>
      <c r="AE430" s="1593">
        <v>0.26900000000000002</v>
      </c>
      <c r="AF430" s="1593">
        <v>0.53900000000000003</v>
      </c>
      <c r="AG430" s="1593">
        <v>0.80800000000000005</v>
      </c>
      <c r="AH430" s="1517">
        <f t="shared" si="245"/>
        <v>1.0780000000000001</v>
      </c>
      <c r="AI430" s="1593">
        <v>0.26900000000000002</v>
      </c>
      <c r="AJ430" s="1594">
        <v>0.53900000000000003</v>
      </c>
      <c r="AK430" s="1515"/>
      <c r="AL430" s="1515"/>
      <c r="AM430" s="1515"/>
      <c r="AN430" s="1515"/>
      <c r="AO430" s="1515"/>
      <c r="AP430" s="1515"/>
      <c r="AQ430" s="1515"/>
      <c r="AR430" s="1595"/>
      <c r="AS430" s="1595"/>
      <c r="AT430" s="1595"/>
      <c r="AU430" s="1595"/>
      <c r="AV430" s="1595"/>
      <c r="AW430" s="1595"/>
      <c r="AX430" s="1595"/>
      <c r="AY430" s="1595"/>
      <c r="AZ430" s="1595"/>
      <c r="BA430" s="1595"/>
      <c r="BB430" s="1596">
        <v>0.497</v>
      </c>
      <c r="BC430" s="1596">
        <v>0.497</v>
      </c>
      <c r="BD430" s="1596">
        <v>0.47099999999999997</v>
      </c>
      <c r="BE430" s="1596">
        <v>0.45300000000000001</v>
      </c>
      <c r="BF430" s="1597">
        <v>1.0780000000000001</v>
      </c>
      <c r="BG430" s="1595"/>
      <c r="BH430" s="1595"/>
      <c r="BI430" s="1595"/>
      <c r="BJ430" s="1595"/>
      <c r="BK430" s="1595"/>
      <c r="BL430" s="1517"/>
    </row>
    <row r="431" spans="1:64" s="1518" customFormat="1" hidden="1" outlineLevel="1" x14ac:dyDescent="0.35">
      <c r="A431" s="1591" t="s">
        <v>846</v>
      </c>
      <c r="B431" s="1716"/>
      <c r="C431" s="1515"/>
      <c r="D431" s="1515"/>
      <c r="E431" s="1515"/>
      <c r="F431" s="1515"/>
      <c r="G431" s="1515"/>
      <c r="H431" s="1515"/>
      <c r="I431" s="1515"/>
      <c r="J431" s="1515"/>
      <c r="K431" s="1515"/>
      <c r="L431" s="1515"/>
      <c r="M431" s="1515"/>
      <c r="N431" s="1515"/>
      <c r="O431" s="1515"/>
      <c r="P431" s="1515"/>
      <c r="Q431" s="1515"/>
      <c r="R431" s="1517">
        <f t="shared" si="246"/>
        <v>2.375</v>
      </c>
      <c r="S431" s="1515"/>
      <c r="T431" s="1593">
        <v>1.175</v>
      </c>
      <c r="U431" s="1593">
        <v>1.7669999999999999</v>
      </c>
      <c r="V431" s="1517">
        <f t="shared" si="247"/>
        <v>2.3570000000000002</v>
      </c>
      <c r="W431" s="1593">
        <v>0.57599999999999996</v>
      </c>
      <c r="X431" s="1593">
        <v>1.1559999999999999</v>
      </c>
      <c r="Y431" s="1593">
        <v>1.7410000000000001</v>
      </c>
      <c r="Z431" s="1517">
        <f t="shared" si="248"/>
        <v>3.262</v>
      </c>
      <c r="AA431" s="1593">
        <v>0.47799999999999998</v>
      </c>
      <c r="AB431" s="1593">
        <v>0.95899999999999996</v>
      </c>
      <c r="AC431" s="1593">
        <v>1.444</v>
      </c>
      <c r="AD431" s="1517">
        <f t="shared" si="244"/>
        <v>1.675</v>
      </c>
      <c r="AE431" s="1593">
        <v>0.19400000000000001</v>
      </c>
      <c r="AF431" s="1593">
        <v>0.39200000000000002</v>
      </c>
      <c r="AG431" s="1593">
        <v>0.59399999999999997</v>
      </c>
      <c r="AH431" s="1517">
        <f t="shared" si="245"/>
        <v>0.79800000000000004</v>
      </c>
      <c r="AI431" s="1593">
        <v>0.20399999999999999</v>
      </c>
      <c r="AJ431" s="1594">
        <v>0.40799999999999997</v>
      </c>
      <c r="AK431" s="1515"/>
      <c r="AL431" s="1515"/>
      <c r="AM431" s="1515"/>
      <c r="AN431" s="1515"/>
      <c r="AO431" s="1515"/>
      <c r="AP431" s="1515"/>
      <c r="AQ431" s="1515"/>
      <c r="AR431" s="1595"/>
      <c r="AS431" s="1595"/>
      <c r="AT431" s="1595"/>
      <c r="AU431" s="1595"/>
      <c r="AV431" s="1595"/>
      <c r="AW431" s="1595"/>
      <c r="AX431" s="1595"/>
      <c r="AY431" s="1595"/>
      <c r="AZ431" s="1595"/>
      <c r="BA431" s="1595"/>
      <c r="BB431" s="1596">
        <v>2.375</v>
      </c>
      <c r="BC431" s="1596">
        <v>2.3570000000000002</v>
      </c>
      <c r="BD431" s="1596">
        <v>3.262</v>
      </c>
      <c r="BE431" s="1596">
        <v>1.675</v>
      </c>
      <c r="BF431" s="1597">
        <v>0.79800000000000004</v>
      </c>
      <c r="BG431" s="1595"/>
      <c r="BH431" s="1595"/>
      <c r="BI431" s="1595"/>
      <c r="BJ431" s="1595"/>
      <c r="BK431" s="1595"/>
      <c r="BL431" s="1517"/>
    </row>
    <row r="432" spans="1:64" s="1518" customFormat="1" hidden="1" outlineLevel="1" x14ac:dyDescent="0.35">
      <c r="A432" s="1591" t="s">
        <v>847</v>
      </c>
      <c r="B432" s="1716"/>
      <c r="C432" s="1515"/>
      <c r="D432" s="1515"/>
      <c r="E432" s="1515"/>
      <c r="F432" s="1515"/>
      <c r="G432" s="1515"/>
      <c r="H432" s="1515"/>
      <c r="I432" s="1515"/>
      <c r="J432" s="1515"/>
      <c r="K432" s="1515"/>
      <c r="L432" s="1515"/>
      <c r="M432" s="1515"/>
      <c r="N432" s="1515"/>
      <c r="O432" s="1515"/>
      <c r="P432" s="1515"/>
      <c r="Q432" s="1515"/>
      <c r="R432" s="1517">
        <f t="shared" si="246"/>
        <v>-0.52900000000000003</v>
      </c>
      <c r="S432" s="1515"/>
      <c r="T432" s="1593">
        <v>6.3E-2</v>
      </c>
      <c r="U432" s="1593">
        <v>-7.5999999999999998E-2</v>
      </c>
      <c r="V432" s="1517">
        <f t="shared" si="247"/>
        <v>-0.82699999999999996</v>
      </c>
      <c r="W432" s="1593">
        <v>-1.1200000000000001</v>
      </c>
      <c r="X432" s="1593">
        <v>-1.2230000000000001</v>
      </c>
      <c r="Y432" s="1593">
        <v>-1.3340000000000001</v>
      </c>
      <c r="Z432" s="1517">
        <f t="shared" si="248"/>
        <v>-1.621</v>
      </c>
      <c r="AA432" s="1515"/>
      <c r="AB432" s="1593">
        <v>-0.14599999999999999</v>
      </c>
      <c r="AC432" s="1593">
        <v>-0.17</v>
      </c>
      <c r="AD432" s="1517">
        <f t="shared" si="244"/>
        <v>-0.22600000000000001</v>
      </c>
      <c r="AE432" s="1593">
        <v>3.9E-2</v>
      </c>
      <c r="AF432" s="1593">
        <v>1.0229999999999999</v>
      </c>
      <c r="AG432" s="1593">
        <v>0.38300000000000001</v>
      </c>
      <c r="AH432" s="1517">
        <f t="shared" si="245"/>
        <v>-0.158</v>
      </c>
      <c r="AI432" s="1593">
        <v>-0.42799999999999999</v>
      </c>
      <c r="AJ432" s="1594">
        <v>-0.86199999999999999</v>
      </c>
      <c r="AK432" s="1515"/>
      <c r="AL432" s="1515"/>
      <c r="AM432" s="1515"/>
      <c r="AN432" s="1515"/>
      <c r="AO432" s="1515"/>
      <c r="AP432" s="1515"/>
      <c r="AQ432" s="1515"/>
      <c r="AR432" s="1595"/>
      <c r="AS432" s="1595"/>
      <c r="AT432" s="1595"/>
      <c r="AU432" s="1595"/>
      <c r="AV432" s="1595"/>
      <c r="AW432" s="1595"/>
      <c r="AX432" s="1595"/>
      <c r="AY432" s="1595"/>
      <c r="AZ432" s="1595"/>
      <c r="BA432" s="1595"/>
      <c r="BB432" s="1596">
        <v>-0.52900000000000003</v>
      </c>
      <c r="BC432" s="1596">
        <v>-0.82699999999999996</v>
      </c>
      <c r="BD432" s="1596">
        <v>-1.621</v>
      </c>
      <c r="BE432" s="1596">
        <v>-0.22600000000000001</v>
      </c>
      <c r="BF432" s="1597">
        <v>-0.158</v>
      </c>
      <c r="BG432" s="1595"/>
      <c r="BH432" s="1595"/>
      <c r="BI432" s="1595"/>
      <c r="BJ432" s="1595"/>
      <c r="BK432" s="1595"/>
      <c r="BL432" s="1517"/>
    </row>
    <row r="433" spans="1:64" s="1518" customFormat="1" hidden="1" outlineLevel="1" x14ac:dyDescent="0.35">
      <c r="A433" s="1591" t="s">
        <v>848</v>
      </c>
      <c r="B433" s="1716"/>
      <c r="C433" s="1515"/>
      <c r="D433" s="1515"/>
      <c r="E433" s="1515"/>
      <c r="F433" s="1515"/>
      <c r="G433" s="1515"/>
      <c r="H433" s="1515"/>
      <c r="I433" s="1515"/>
      <c r="J433" s="1515"/>
      <c r="K433" s="1515"/>
      <c r="L433" s="1515"/>
      <c r="M433" s="1515"/>
      <c r="N433" s="1515"/>
      <c r="O433" s="1515"/>
      <c r="P433" s="1515"/>
      <c r="Q433" s="1515"/>
      <c r="R433" s="1515"/>
      <c r="S433" s="1515"/>
      <c r="T433" s="1515"/>
      <c r="U433" s="1515"/>
      <c r="V433" s="1515"/>
      <c r="W433" s="1515"/>
      <c r="X433" s="1515"/>
      <c r="Y433" s="1515"/>
      <c r="Z433" s="1515"/>
      <c r="AA433" s="1593">
        <v>-5.5E-2</v>
      </c>
      <c r="AB433" s="1515"/>
      <c r="AC433" s="1515"/>
      <c r="AD433" s="1515"/>
      <c r="AE433" s="1515"/>
      <c r="AF433" s="1515"/>
      <c r="AG433" s="1515"/>
      <c r="AH433" s="1515"/>
      <c r="AI433" s="1515"/>
      <c r="AJ433" s="1516"/>
      <c r="AK433" s="1515"/>
      <c r="AL433" s="1515"/>
      <c r="AM433" s="1515"/>
      <c r="AN433" s="1515"/>
      <c r="AO433" s="1515"/>
      <c r="AP433" s="1515"/>
      <c r="AQ433" s="1515"/>
      <c r="AR433" s="1595"/>
      <c r="AS433" s="1595"/>
      <c r="AT433" s="1595"/>
      <c r="AU433" s="1595"/>
      <c r="AV433" s="1595"/>
      <c r="AW433" s="1595"/>
      <c r="AX433" s="1595"/>
      <c r="AY433" s="1595"/>
      <c r="AZ433" s="1595"/>
      <c r="BA433" s="1595"/>
      <c r="BB433" s="1595"/>
      <c r="BC433" s="1595"/>
      <c r="BD433" s="1595"/>
      <c r="BE433" s="1595"/>
      <c r="BF433" s="1610"/>
      <c r="BG433" s="1595"/>
      <c r="BH433" s="1595"/>
      <c r="BI433" s="1595"/>
      <c r="BJ433" s="1595"/>
      <c r="BK433" s="1595"/>
      <c r="BL433" s="1517"/>
    </row>
    <row r="434" spans="1:64" s="1518" customFormat="1" hidden="1" outlineLevel="1" x14ac:dyDescent="0.35">
      <c r="A434" s="1591" t="s">
        <v>1165</v>
      </c>
      <c r="B434" s="1716"/>
      <c r="C434" s="1515"/>
      <c r="D434" s="1515"/>
      <c r="E434" s="1515"/>
      <c r="F434" s="1515"/>
      <c r="G434" s="1515"/>
      <c r="H434" s="1515"/>
      <c r="I434" s="1515"/>
      <c r="J434" s="1515"/>
      <c r="K434" s="1515"/>
      <c r="L434" s="1515"/>
      <c r="M434" s="1515"/>
      <c r="N434" s="1515"/>
      <c r="O434" s="1515"/>
      <c r="P434" s="1515"/>
      <c r="Q434" s="1515"/>
      <c r="R434" s="1517">
        <f>BB434</f>
        <v>1.4E-2</v>
      </c>
      <c r="S434" s="1515"/>
      <c r="T434" s="1593">
        <v>-0.67100000000000004</v>
      </c>
      <c r="U434" s="1593">
        <v>-0.51400000000000001</v>
      </c>
      <c r="V434" s="1517">
        <f>BC434</f>
        <v>-0.59699999999999998</v>
      </c>
      <c r="W434" s="1593">
        <v>4.1000000000000002E-2</v>
      </c>
      <c r="X434" s="1593">
        <v>-0.22900000000000001</v>
      </c>
      <c r="Y434" s="1593">
        <v>-0.1</v>
      </c>
      <c r="Z434" s="1517">
        <f>BD434</f>
        <v>-0.154</v>
      </c>
      <c r="AA434" s="1593">
        <v>-0.39300000000000002</v>
      </c>
      <c r="AB434" s="1593">
        <v>-1.22</v>
      </c>
      <c r="AC434" s="1593">
        <v>-1.8380000000000001</v>
      </c>
      <c r="AD434" s="1517">
        <f>BE434</f>
        <v>-2.3450000000000002</v>
      </c>
      <c r="AE434" s="1593">
        <v>0.13500000000000001</v>
      </c>
      <c r="AF434" s="1593">
        <v>0.108</v>
      </c>
      <c r="AG434" s="1593">
        <v>9.4E-2</v>
      </c>
      <c r="AH434" s="1517">
        <f t="shared" ref="AH434:AH439" si="249">BF434</f>
        <v>0.183</v>
      </c>
      <c r="AI434" s="1593">
        <v>1.7999999999999999E-2</v>
      </c>
      <c r="AJ434" s="1594">
        <v>7.0000000000000001E-3</v>
      </c>
      <c r="AK434" s="1515"/>
      <c r="AL434" s="1515"/>
      <c r="AM434" s="1515"/>
      <c r="AN434" s="1515"/>
      <c r="AO434" s="1515"/>
      <c r="AP434" s="1515"/>
      <c r="AQ434" s="1515"/>
      <c r="AR434" s="1595"/>
      <c r="AS434" s="1595"/>
      <c r="AT434" s="1595"/>
      <c r="AU434" s="1595"/>
      <c r="AV434" s="1595"/>
      <c r="AW434" s="1595"/>
      <c r="AX434" s="1595"/>
      <c r="AY434" s="1595"/>
      <c r="AZ434" s="1595"/>
      <c r="BA434" s="1595"/>
      <c r="BB434" s="1596">
        <v>1.4E-2</v>
      </c>
      <c r="BC434" s="1596">
        <v>-0.59699999999999998</v>
      </c>
      <c r="BD434" s="1596">
        <v>-0.154</v>
      </c>
      <c r="BE434" s="1596">
        <v>-2.3450000000000002</v>
      </c>
      <c r="BF434" s="1597">
        <v>0.183</v>
      </c>
      <c r="BG434" s="1595"/>
      <c r="BH434" s="1595"/>
      <c r="BI434" s="1595"/>
      <c r="BJ434" s="1595"/>
      <c r="BK434" s="1595"/>
      <c r="BL434" s="1517"/>
    </row>
    <row r="435" spans="1:64" s="1518" customFormat="1" hidden="1" outlineLevel="1" x14ac:dyDescent="0.35">
      <c r="A435" s="1591" t="s">
        <v>850</v>
      </c>
      <c r="B435" s="1716"/>
      <c r="C435" s="1515"/>
      <c r="D435" s="1515"/>
      <c r="E435" s="1515"/>
      <c r="F435" s="1515"/>
      <c r="G435" s="1515"/>
      <c r="H435" s="1515"/>
      <c r="I435" s="1515"/>
      <c r="J435" s="1515"/>
      <c r="K435" s="1515"/>
      <c r="L435" s="1515"/>
      <c r="M435" s="1515"/>
      <c r="N435" s="1515"/>
      <c r="O435" s="1515"/>
      <c r="P435" s="1515"/>
      <c r="Q435" s="1515"/>
      <c r="R435" s="1515"/>
      <c r="S435" s="1515"/>
      <c r="T435" s="1515"/>
      <c r="U435" s="1515"/>
      <c r="V435" s="1515"/>
      <c r="W435" s="1515"/>
      <c r="X435" s="1515"/>
      <c r="Y435" s="1515"/>
      <c r="Z435" s="1515"/>
      <c r="AA435" s="1515"/>
      <c r="AB435" s="1515"/>
      <c r="AC435" s="1515"/>
      <c r="AD435" s="1515"/>
      <c r="AE435" s="1593">
        <v>2.3E-2</v>
      </c>
      <c r="AF435" s="1593">
        <v>0.58499999999999996</v>
      </c>
      <c r="AG435" s="1593">
        <v>1.323</v>
      </c>
      <c r="AH435" s="1517">
        <f t="shared" si="249"/>
        <v>0</v>
      </c>
      <c r="AI435" s="1515"/>
      <c r="AJ435" s="1516"/>
      <c r="AK435" s="1515"/>
      <c r="AL435" s="1515"/>
      <c r="AM435" s="1515"/>
      <c r="AN435" s="1515"/>
      <c r="AO435" s="1515"/>
      <c r="AP435" s="1515"/>
      <c r="AQ435" s="1515"/>
      <c r="AR435" s="1595"/>
      <c r="AS435" s="1595"/>
      <c r="AT435" s="1595"/>
      <c r="AU435" s="1595"/>
      <c r="AV435" s="1595"/>
      <c r="AW435" s="1595"/>
      <c r="AX435" s="1595"/>
      <c r="AY435" s="1595"/>
      <c r="AZ435" s="1595"/>
      <c r="BA435" s="1595"/>
      <c r="BB435" s="1595"/>
      <c r="BC435" s="1595"/>
      <c r="BD435" s="1595"/>
      <c r="BE435" s="1595"/>
      <c r="BF435" s="1610"/>
      <c r="BG435" s="1595"/>
      <c r="BH435" s="1595"/>
      <c r="BI435" s="1595"/>
      <c r="BJ435" s="1595"/>
      <c r="BK435" s="1595"/>
      <c r="BL435" s="1517"/>
    </row>
    <row r="436" spans="1:64" s="1518" customFormat="1" hidden="1" outlineLevel="1" x14ac:dyDescent="0.35">
      <c r="A436" s="1591" t="s">
        <v>851</v>
      </c>
      <c r="B436" s="1716"/>
      <c r="C436" s="1515"/>
      <c r="D436" s="1515"/>
      <c r="E436" s="1515"/>
      <c r="F436" s="1515"/>
      <c r="G436" s="1515"/>
      <c r="H436" s="1515"/>
      <c r="I436" s="1515"/>
      <c r="J436" s="1515"/>
      <c r="K436" s="1515"/>
      <c r="L436" s="1515"/>
      <c r="M436" s="1515"/>
      <c r="N436" s="1515"/>
      <c r="O436" s="1515"/>
      <c r="P436" s="1515"/>
      <c r="Q436" s="1515"/>
      <c r="R436" s="1517">
        <f>BB436</f>
        <v>11.141999999999999</v>
      </c>
      <c r="S436" s="1515"/>
      <c r="T436" s="1593">
        <v>8.9459999999999997</v>
      </c>
      <c r="U436" s="1593">
        <v>7.4059999999999997</v>
      </c>
      <c r="V436" s="1517">
        <f>BC436</f>
        <v>5.7510000000000003</v>
      </c>
      <c r="W436" s="1593">
        <v>-1.5269999999999999</v>
      </c>
      <c r="X436" s="1593">
        <v>-2.9039999999999999</v>
      </c>
      <c r="Y436" s="1593">
        <v>-5.024</v>
      </c>
      <c r="Z436" s="1517">
        <f>BD436</f>
        <v>-7.4219999999999997</v>
      </c>
      <c r="AA436" s="1593">
        <v>-2.464</v>
      </c>
      <c r="AB436" s="1593">
        <v>-4.1020000000000003</v>
      </c>
      <c r="AC436" s="1593">
        <v>-4.1020000000000003</v>
      </c>
      <c r="AD436" s="1517">
        <f>BE436</f>
        <v>-4.1020000000000003</v>
      </c>
      <c r="AE436" s="1515"/>
      <c r="AF436" s="1515"/>
      <c r="AG436" s="1515"/>
      <c r="AH436" s="1517">
        <f t="shared" si="249"/>
        <v>0</v>
      </c>
      <c r="AI436" s="1515"/>
      <c r="AJ436" s="1516"/>
      <c r="AK436" s="1515"/>
      <c r="AL436" s="1515"/>
      <c r="AM436" s="1515"/>
      <c r="AN436" s="1515"/>
      <c r="AO436" s="1515"/>
      <c r="AP436" s="1515"/>
      <c r="AQ436" s="1515"/>
      <c r="AR436" s="1595"/>
      <c r="AS436" s="1595"/>
      <c r="AT436" s="1595"/>
      <c r="AU436" s="1595"/>
      <c r="AV436" s="1595"/>
      <c r="AW436" s="1595"/>
      <c r="AX436" s="1595"/>
      <c r="AY436" s="1595"/>
      <c r="AZ436" s="1595"/>
      <c r="BA436" s="1595"/>
      <c r="BB436" s="1596">
        <v>11.141999999999999</v>
      </c>
      <c r="BC436" s="1596">
        <v>5.7510000000000003</v>
      </c>
      <c r="BD436" s="1596">
        <v>-7.4219999999999997</v>
      </c>
      <c r="BE436" s="1596">
        <v>-4.1020000000000003</v>
      </c>
      <c r="BF436" s="1610"/>
      <c r="BG436" s="1595"/>
      <c r="BH436" s="1595"/>
      <c r="BI436" s="1595"/>
      <c r="BJ436" s="1595"/>
      <c r="BK436" s="1595"/>
      <c r="BL436" s="1517"/>
    </row>
    <row r="437" spans="1:64" s="1518" customFormat="1" hidden="1" outlineLevel="1" x14ac:dyDescent="0.35">
      <c r="A437" s="1591" t="s">
        <v>852</v>
      </c>
      <c r="B437" s="1716"/>
      <c r="C437" s="1515"/>
      <c r="D437" s="1515"/>
      <c r="E437" s="1515"/>
      <c r="F437" s="1515"/>
      <c r="G437" s="1515"/>
      <c r="H437" s="1515"/>
      <c r="I437" s="1515"/>
      <c r="J437" s="1515"/>
      <c r="K437" s="1515"/>
      <c r="L437" s="1515"/>
      <c r="M437" s="1515"/>
      <c r="N437" s="1515"/>
      <c r="O437" s="1515"/>
      <c r="P437" s="1515"/>
      <c r="Q437" s="1515"/>
      <c r="R437" s="1515"/>
      <c r="S437" s="1515"/>
      <c r="T437" s="1515"/>
      <c r="U437" s="1515"/>
      <c r="V437" s="1515"/>
      <c r="W437" s="1515"/>
      <c r="X437" s="1515"/>
      <c r="Y437" s="1515"/>
      <c r="Z437" s="1515"/>
      <c r="AA437" s="1515"/>
      <c r="AB437" s="1515"/>
      <c r="AC437" s="1515"/>
      <c r="AD437" s="1515"/>
      <c r="AE437" s="1515"/>
      <c r="AF437" s="1515"/>
      <c r="AG437" s="1593">
        <v>-0.68600000000000005</v>
      </c>
      <c r="AH437" s="1517">
        <f t="shared" si="249"/>
        <v>-2.6309999999999998</v>
      </c>
      <c r="AI437" s="1593">
        <v>4</v>
      </c>
      <c r="AJ437" s="1594">
        <v>1.29</v>
      </c>
      <c r="AK437" s="1515"/>
      <c r="AL437" s="1515"/>
      <c r="AM437" s="1515"/>
      <c r="AN437" s="1515"/>
      <c r="AO437" s="1515"/>
      <c r="AP437" s="1515"/>
      <c r="AQ437" s="1515"/>
      <c r="AR437" s="1595"/>
      <c r="AS437" s="1595"/>
      <c r="AT437" s="1595"/>
      <c r="AU437" s="1595"/>
      <c r="AV437" s="1595"/>
      <c r="AW437" s="1595"/>
      <c r="AX437" s="1595"/>
      <c r="AY437" s="1595"/>
      <c r="AZ437" s="1595"/>
      <c r="BA437" s="1595"/>
      <c r="BB437" s="1595"/>
      <c r="BC437" s="1595"/>
      <c r="BD437" s="1595"/>
      <c r="BE437" s="1595"/>
      <c r="BF437" s="1597">
        <v>-2.6309999999999998</v>
      </c>
      <c r="BG437" s="1595"/>
      <c r="BH437" s="1595"/>
      <c r="BI437" s="1595"/>
      <c r="BJ437" s="1595"/>
      <c r="BK437" s="1595"/>
      <c r="BL437" s="1517"/>
    </row>
    <row r="438" spans="1:64" s="1518" customFormat="1" hidden="1" outlineLevel="1" x14ac:dyDescent="0.35">
      <c r="A438" s="1591" t="s">
        <v>853</v>
      </c>
      <c r="B438" s="1716"/>
      <c r="C438" s="1515"/>
      <c r="D438" s="1515"/>
      <c r="E438" s="1515"/>
      <c r="F438" s="1515"/>
      <c r="G438" s="1515"/>
      <c r="H438" s="1515"/>
      <c r="I438" s="1515"/>
      <c r="J438" s="1515"/>
      <c r="K438" s="1515"/>
      <c r="L438" s="1515"/>
      <c r="M438" s="1515"/>
      <c r="N438" s="1515"/>
      <c r="O438" s="1515"/>
      <c r="P438" s="1515"/>
      <c r="Q438" s="1515"/>
      <c r="R438" s="1517">
        <f>BB438</f>
        <v>0</v>
      </c>
      <c r="S438" s="1515"/>
      <c r="T438" s="1515"/>
      <c r="U438" s="1515"/>
      <c r="V438" s="1517">
        <f>BC438</f>
        <v>0</v>
      </c>
      <c r="W438" s="1593">
        <v>-0.16600000000000001</v>
      </c>
      <c r="X438" s="1593">
        <v>-0.16600000000000001</v>
      </c>
      <c r="Y438" s="1593">
        <v>-1.159</v>
      </c>
      <c r="Z438" s="1517">
        <f>BD438</f>
        <v>-1.159</v>
      </c>
      <c r="AA438" s="1515"/>
      <c r="AB438" s="1515"/>
      <c r="AC438" s="1515"/>
      <c r="AD438" s="1517">
        <f>BE438</f>
        <v>0</v>
      </c>
      <c r="AE438" s="1515"/>
      <c r="AF438" s="1515"/>
      <c r="AG438" s="1515"/>
      <c r="AH438" s="1517">
        <f t="shared" si="249"/>
        <v>0</v>
      </c>
      <c r="AI438" s="1515"/>
      <c r="AJ438" s="1516"/>
      <c r="AK438" s="1515"/>
      <c r="AL438" s="1515"/>
      <c r="AM438" s="1515"/>
      <c r="AN438" s="1515"/>
      <c r="AO438" s="1515"/>
      <c r="AP438" s="1515"/>
      <c r="AQ438" s="1515"/>
      <c r="AR438" s="1595"/>
      <c r="AS438" s="1595"/>
      <c r="AT438" s="1595"/>
      <c r="AU438" s="1595"/>
      <c r="AV438" s="1595"/>
      <c r="AW438" s="1595"/>
      <c r="AX438" s="1595"/>
      <c r="AY438" s="1595"/>
      <c r="AZ438" s="1595"/>
      <c r="BA438" s="1595"/>
      <c r="BB438" s="1595"/>
      <c r="BC438" s="1595"/>
      <c r="BD438" s="1596">
        <v>-1.159</v>
      </c>
      <c r="BE438" s="1595"/>
      <c r="BF438" s="1610"/>
      <c r="BG438" s="1595"/>
      <c r="BH438" s="1595"/>
      <c r="BI438" s="1595"/>
      <c r="BJ438" s="1595"/>
      <c r="BK438" s="1595"/>
      <c r="BL438" s="1517"/>
    </row>
    <row r="439" spans="1:64" s="1518" customFormat="1" hidden="1" outlineLevel="1" x14ac:dyDescent="0.35">
      <c r="A439" s="1591" t="s">
        <v>1166</v>
      </c>
      <c r="B439" s="1716"/>
      <c r="C439" s="1515"/>
      <c r="D439" s="1515"/>
      <c r="E439" s="1515"/>
      <c r="F439" s="1515"/>
      <c r="G439" s="1515"/>
      <c r="H439" s="1515"/>
      <c r="I439" s="1515"/>
      <c r="J439" s="1515"/>
      <c r="K439" s="1515"/>
      <c r="L439" s="1515"/>
      <c r="M439" s="1515"/>
      <c r="N439" s="1515"/>
      <c r="O439" s="1515"/>
      <c r="P439" s="1515"/>
      <c r="Q439" s="1515"/>
      <c r="R439" s="1515"/>
      <c r="S439" s="1515"/>
      <c r="T439" s="1515"/>
      <c r="U439" s="1515"/>
      <c r="V439" s="1515"/>
      <c r="W439" s="1515"/>
      <c r="X439" s="1515"/>
      <c r="Y439" s="1515"/>
      <c r="Z439" s="1515"/>
      <c r="AA439" s="1593">
        <v>-4.0000000000000001E-3</v>
      </c>
      <c r="AB439" s="1515"/>
      <c r="AC439" s="1515"/>
      <c r="AD439" s="1515"/>
      <c r="AE439" s="1515"/>
      <c r="AF439" s="1515"/>
      <c r="AG439" s="1515"/>
      <c r="AH439" s="1517">
        <f t="shared" si="249"/>
        <v>0</v>
      </c>
      <c r="AI439" s="1515"/>
      <c r="AJ439" s="1516"/>
      <c r="AK439" s="1515"/>
      <c r="AL439" s="1515"/>
      <c r="AM439" s="1515"/>
      <c r="AN439" s="1515"/>
      <c r="AO439" s="1515"/>
      <c r="AP439" s="1515"/>
      <c r="AQ439" s="1515"/>
      <c r="AR439" s="1595"/>
      <c r="AS439" s="1595"/>
      <c r="AT439" s="1595"/>
      <c r="AU439" s="1595"/>
      <c r="AV439" s="1595"/>
      <c r="AW439" s="1595"/>
      <c r="AX439" s="1595"/>
      <c r="AY439" s="1595"/>
      <c r="AZ439" s="1595"/>
      <c r="BA439" s="1595"/>
      <c r="BB439" s="1595"/>
      <c r="BC439" s="1595"/>
      <c r="BD439" s="1595"/>
      <c r="BE439" s="1595"/>
      <c r="BF439" s="1610"/>
      <c r="BG439" s="1595"/>
      <c r="BH439" s="1595"/>
      <c r="BI439" s="1595"/>
      <c r="BJ439" s="1595"/>
      <c r="BK439" s="1595"/>
      <c r="BL439" s="1517"/>
    </row>
    <row r="440" spans="1:64" s="1608" customFormat="1" hidden="1" outlineLevel="1" x14ac:dyDescent="0.35">
      <c r="A440" s="1599" t="s">
        <v>1167</v>
      </c>
      <c r="B440" s="1717"/>
      <c r="C440" s="1601"/>
      <c r="D440" s="1601"/>
      <c r="E440" s="1601"/>
      <c r="F440" s="1601"/>
      <c r="G440" s="1601"/>
      <c r="H440" s="1601"/>
      <c r="I440" s="1601"/>
      <c r="J440" s="1601"/>
      <c r="K440" s="1601"/>
      <c r="L440" s="1601"/>
      <c r="M440" s="1601"/>
      <c r="N440" s="1601"/>
      <c r="O440" s="1601"/>
      <c r="P440" s="1601"/>
      <c r="Q440" s="1601"/>
      <c r="R440" s="1602">
        <f>SUM(R423:R438)</f>
        <v>47.918000000000006</v>
      </c>
      <c r="S440" s="1602">
        <f t="shared" ref="S440:AJ440" si="250">SUM(S423:S439)</f>
        <v>0</v>
      </c>
      <c r="T440" s="1602">
        <f t="shared" si="250"/>
        <v>7.8770000000000016</v>
      </c>
      <c r="U440" s="1602">
        <f t="shared" si="250"/>
        <v>25.106000000000005</v>
      </c>
      <c r="V440" s="1602">
        <f t="shared" si="250"/>
        <v>34.828999999999994</v>
      </c>
      <c r="W440" s="1602">
        <f t="shared" si="250"/>
        <v>20.52</v>
      </c>
      <c r="X440" s="1602">
        <f t="shared" si="250"/>
        <v>46.131</v>
      </c>
      <c r="Y440" s="1602">
        <f t="shared" si="250"/>
        <v>51.878999999999991</v>
      </c>
      <c r="Z440" s="1602">
        <f t="shared" si="250"/>
        <v>71.941000000000003</v>
      </c>
      <c r="AA440" s="1602">
        <f t="shared" si="250"/>
        <v>32.891000000000005</v>
      </c>
      <c r="AB440" s="1602">
        <f t="shared" si="250"/>
        <v>69.355000000000004</v>
      </c>
      <c r="AC440" s="1602">
        <f t="shared" si="250"/>
        <v>103.49900000000001</v>
      </c>
      <c r="AD440" s="1602">
        <f t="shared" si="250"/>
        <v>114.02399999999999</v>
      </c>
      <c r="AE440" s="1602">
        <f t="shared" si="250"/>
        <v>24.974999999999998</v>
      </c>
      <c r="AF440" s="1602">
        <f t="shared" si="250"/>
        <v>59.996000000000009</v>
      </c>
      <c r="AG440" s="1602">
        <f t="shared" si="250"/>
        <v>87.633999999999972</v>
      </c>
      <c r="AH440" s="1602">
        <f t="shared" si="250"/>
        <v>91.09</v>
      </c>
      <c r="AI440" s="1602">
        <f t="shared" si="250"/>
        <v>7.322000000000001</v>
      </c>
      <c r="AJ440" s="1603">
        <f t="shared" si="250"/>
        <v>31.754000000000005</v>
      </c>
      <c r="AK440" s="1601"/>
      <c r="AL440" s="1601"/>
      <c r="AM440" s="1601"/>
      <c r="AN440" s="1601"/>
      <c r="AO440" s="1601"/>
      <c r="AP440" s="1601"/>
      <c r="AQ440" s="1601"/>
      <c r="AR440" s="1604"/>
      <c r="AS440" s="1604"/>
      <c r="AT440" s="1604"/>
      <c r="AU440" s="1604"/>
      <c r="AV440" s="1604"/>
      <c r="AW440" s="1604"/>
      <c r="AX440" s="1604"/>
      <c r="AY440" s="1604"/>
      <c r="AZ440" s="1604"/>
      <c r="BA440" s="1604"/>
      <c r="BB440" s="1605">
        <f>SUM(BB423:BB439)</f>
        <v>47.918000000000006</v>
      </c>
      <c r="BC440" s="1605">
        <f>SUM(BC423:BC439)</f>
        <v>34.828999999999994</v>
      </c>
      <c r="BD440" s="1605">
        <f>SUM(BD423:BD439)</f>
        <v>71.941000000000003</v>
      </c>
      <c r="BE440" s="1605">
        <f>SUM(BE423:BE439)</f>
        <v>114.02399999999999</v>
      </c>
      <c r="BF440" s="1718">
        <f>SUM(BF423:BF439)</f>
        <v>91.09</v>
      </c>
      <c r="BG440" s="1604"/>
      <c r="BH440" s="1604"/>
      <c r="BI440" s="1604"/>
      <c r="BJ440" s="1604"/>
      <c r="BK440" s="1604"/>
      <c r="BL440" s="1607"/>
    </row>
    <row r="441" spans="1:64" s="1518" customFormat="1" hidden="1" outlineLevel="1" x14ac:dyDescent="0.35">
      <c r="A441" s="1591" t="s">
        <v>525</v>
      </c>
      <c r="B441" s="1716"/>
      <c r="C441" s="1515"/>
      <c r="D441" s="1515"/>
      <c r="E441" s="1515"/>
      <c r="F441" s="1515"/>
      <c r="G441" s="1515"/>
      <c r="H441" s="1515"/>
      <c r="I441" s="1515"/>
      <c r="J441" s="1515"/>
      <c r="K441" s="1515"/>
      <c r="L441" s="1515"/>
      <c r="M441" s="1515"/>
      <c r="N441" s="1515"/>
      <c r="O441" s="1515"/>
      <c r="P441" s="1515"/>
      <c r="Q441" s="1515"/>
      <c r="R441" s="1517">
        <f t="shared" ref="R441:R448" si="251">BB441</f>
        <v>-11.595000000000001</v>
      </c>
      <c r="S441" s="1515"/>
      <c r="T441" s="1593">
        <v>20.321000000000002</v>
      </c>
      <c r="U441" s="1593">
        <v>0.55200000000000005</v>
      </c>
      <c r="V441" s="1517">
        <f t="shared" ref="V441:V448" si="252">BC441</f>
        <v>0.16500000000000001</v>
      </c>
      <c r="W441" s="1593">
        <v>-10.474</v>
      </c>
      <c r="X441" s="1593">
        <v>-24.827999999999999</v>
      </c>
      <c r="Y441" s="1593">
        <v>-40.383000000000003</v>
      </c>
      <c r="Z441" s="1517">
        <f t="shared" ref="Z441:Z448" si="253">BD441</f>
        <v>-40.085999999999999</v>
      </c>
      <c r="AA441" s="1593">
        <v>-20.006</v>
      </c>
      <c r="AB441" s="1593">
        <v>-36.451000000000001</v>
      </c>
      <c r="AC441" s="1593">
        <v>-33.145000000000003</v>
      </c>
      <c r="AD441" s="1517">
        <f t="shared" ref="AD441:AD448" si="254">BE441</f>
        <v>-11.183999999999999</v>
      </c>
      <c r="AE441" s="1593">
        <v>-3.4140000000000001</v>
      </c>
      <c r="AF441" s="1593">
        <v>-7.399</v>
      </c>
      <c r="AG441" s="1593">
        <v>-8.6989999999999998</v>
      </c>
      <c r="AH441" s="1517">
        <f t="shared" ref="AH441:AH448" si="255">BF441</f>
        <v>1.4810000000000001</v>
      </c>
      <c r="AI441" s="1593">
        <v>-7.2850000000000001</v>
      </c>
      <c r="AJ441" s="1594">
        <v>-22.856999999999999</v>
      </c>
      <c r="AK441" s="1515"/>
      <c r="AL441" s="1515"/>
      <c r="AM441" s="1515"/>
      <c r="AN441" s="1515"/>
      <c r="AO441" s="1515"/>
      <c r="AP441" s="1515"/>
      <c r="AQ441" s="1515"/>
      <c r="AR441" s="1595"/>
      <c r="AS441" s="1595"/>
      <c r="AT441" s="1595"/>
      <c r="AU441" s="1595"/>
      <c r="AV441" s="1595"/>
      <c r="AW441" s="1595"/>
      <c r="AX441" s="1595"/>
      <c r="AY441" s="1595"/>
      <c r="AZ441" s="1595"/>
      <c r="BA441" s="1595"/>
      <c r="BB441" s="1596">
        <v>-11.595000000000001</v>
      </c>
      <c r="BC441" s="1596">
        <v>0.16500000000000001</v>
      </c>
      <c r="BD441" s="1596">
        <v>-40.085999999999999</v>
      </c>
      <c r="BE441" s="1596">
        <v>-11.183999999999999</v>
      </c>
      <c r="BF441" s="1597">
        <v>1.4810000000000001</v>
      </c>
      <c r="BG441" s="1595"/>
      <c r="BH441" s="1595"/>
      <c r="BI441" s="1595"/>
      <c r="BJ441" s="1595"/>
      <c r="BK441" s="1595"/>
      <c r="BL441" s="1517"/>
    </row>
    <row r="442" spans="1:64" s="1518" customFormat="1" hidden="1" outlineLevel="1" x14ac:dyDescent="0.35">
      <c r="A442" s="1591" t="s">
        <v>817</v>
      </c>
      <c r="B442" s="1716"/>
      <c r="C442" s="1515"/>
      <c r="D442" s="1515"/>
      <c r="E442" s="1515"/>
      <c r="F442" s="1515"/>
      <c r="G442" s="1515"/>
      <c r="H442" s="1515"/>
      <c r="I442" s="1515"/>
      <c r="J442" s="1515"/>
      <c r="K442" s="1515"/>
      <c r="L442" s="1515"/>
      <c r="M442" s="1515"/>
      <c r="N442" s="1515"/>
      <c r="O442" s="1515"/>
      <c r="P442" s="1515"/>
      <c r="Q442" s="1515"/>
      <c r="R442" s="1517">
        <f t="shared" si="251"/>
        <v>-15</v>
      </c>
      <c r="S442" s="1515"/>
      <c r="T442" s="1593">
        <v>0</v>
      </c>
      <c r="U442" s="1515"/>
      <c r="V442" s="1517">
        <f t="shared" si="252"/>
        <v>14.25</v>
      </c>
      <c r="W442" s="1593">
        <v>0.75</v>
      </c>
      <c r="X442" s="1593">
        <v>0.75</v>
      </c>
      <c r="Y442" s="1593">
        <v>0.75</v>
      </c>
      <c r="Z442" s="1517">
        <f t="shared" si="253"/>
        <v>0.75</v>
      </c>
      <c r="AA442" s="1515"/>
      <c r="AB442" s="1515"/>
      <c r="AC442" s="1515"/>
      <c r="AD442" s="1517">
        <f t="shared" si="254"/>
        <v>0.92100000000000004</v>
      </c>
      <c r="AE442" s="1515"/>
      <c r="AF442" s="1593">
        <v>-2.5</v>
      </c>
      <c r="AG442" s="1593">
        <v>-3.7679999999999998</v>
      </c>
      <c r="AH442" s="1517">
        <f t="shared" si="255"/>
        <v>-2.0150000000000001</v>
      </c>
      <c r="AI442" s="1593">
        <v>4.1000000000000002E-2</v>
      </c>
      <c r="AJ442" s="1594">
        <v>4.1000000000000002E-2</v>
      </c>
      <c r="AK442" s="1515"/>
      <c r="AL442" s="1515"/>
      <c r="AM442" s="1515"/>
      <c r="AN442" s="1515"/>
      <c r="AO442" s="1515"/>
      <c r="AP442" s="1515"/>
      <c r="AQ442" s="1515"/>
      <c r="AR442" s="1595"/>
      <c r="AS442" s="1595"/>
      <c r="AT442" s="1595"/>
      <c r="AU442" s="1595"/>
      <c r="AV442" s="1595"/>
      <c r="AW442" s="1595"/>
      <c r="AX442" s="1595"/>
      <c r="AY442" s="1595"/>
      <c r="AZ442" s="1595"/>
      <c r="BA442" s="1595"/>
      <c r="BB442" s="1596">
        <v>-15</v>
      </c>
      <c r="BC442" s="1596">
        <v>14.25</v>
      </c>
      <c r="BD442" s="1596">
        <v>0.75</v>
      </c>
      <c r="BE442" s="1596">
        <v>0.92100000000000004</v>
      </c>
      <c r="BF442" s="1597">
        <v>-2.0150000000000001</v>
      </c>
      <c r="BG442" s="1595"/>
      <c r="BH442" s="1595"/>
      <c r="BI442" s="1595"/>
      <c r="BJ442" s="1595"/>
      <c r="BK442" s="1595"/>
      <c r="BL442" s="1517"/>
    </row>
    <row r="443" spans="1:64" s="1518" customFormat="1" hidden="1" outlineLevel="1" x14ac:dyDescent="0.35">
      <c r="A443" s="1591" t="s">
        <v>818</v>
      </c>
      <c r="B443" s="1716"/>
      <c r="C443" s="1515"/>
      <c r="D443" s="1515"/>
      <c r="E443" s="1515"/>
      <c r="F443" s="1515"/>
      <c r="G443" s="1515"/>
      <c r="H443" s="1515"/>
      <c r="I443" s="1515"/>
      <c r="J443" s="1515"/>
      <c r="K443" s="1515"/>
      <c r="L443" s="1515"/>
      <c r="M443" s="1515"/>
      <c r="N443" s="1515"/>
      <c r="O443" s="1515"/>
      <c r="P443" s="1515"/>
      <c r="Q443" s="1515"/>
      <c r="R443" s="1517">
        <f t="shared" si="251"/>
        <v>13.64</v>
      </c>
      <c r="S443" s="1515"/>
      <c r="T443" s="1593">
        <v>-4.1959999999999997</v>
      </c>
      <c r="U443" s="1593">
        <v>-2.802</v>
      </c>
      <c r="V443" s="1517">
        <f t="shared" si="252"/>
        <v>-1.2450000000000001</v>
      </c>
      <c r="W443" s="1593">
        <v>-0.92600000000000005</v>
      </c>
      <c r="X443" s="1593">
        <v>-2.4359999999999999</v>
      </c>
      <c r="Y443" s="1593">
        <v>-1.421</v>
      </c>
      <c r="Z443" s="1517">
        <f t="shared" si="253"/>
        <v>-4.9749999999999996</v>
      </c>
      <c r="AA443" s="1593">
        <v>-0.86899999999999999</v>
      </c>
      <c r="AB443" s="1593">
        <v>-0.70199999999999996</v>
      </c>
      <c r="AC443" s="1593">
        <v>3.5790000000000002</v>
      </c>
      <c r="AD443" s="1517">
        <f t="shared" si="254"/>
        <v>-1.101</v>
      </c>
      <c r="AE443" s="1593">
        <v>2.8439999999999999</v>
      </c>
      <c r="AF443" s="1593">
        <v>2.2509999999999999</v>
      </c>
      <c r="AG443" s="1593">
        <v>5.8490000000000002</v>
      </c>
      <c r="AH443" s="1517">
        <f t="shared" si="255"/>
        <v>4.8520000000000003</v>
      </c>
      <c r="AI443" s="1593">
        <v>-1.276</v>
      </c>
      <c r="AJ443" s="1594">
        <v>1.419</v>
      </c>
      <c r="AK443" s="1515"/>
      <c r="AL443" s="1515"/>
      <c r="AM443" s="1515"/>
      <c r="AN443" s="1515"/>
      <c r="AO443" s="1515"/>
      <c r="AP443" s="1515"/>
      <c r="AQ443" s="1515"/>
      <c r="AR443" s="1595"/>
      <c r="AS443" s="1595"/>
      <c r="AT443" s="1595"/>
      <c r="AU443" s="1595"/>
      <c r="AV443" s="1595"/>
      <c r="AW443" s="1595"/>
      <c r="AX443" s="1595"/>
      <c r="AY443" s="1595"/>
      <c r="AZ443" s="1595"/>
      <c r="BA443" s="1595"/>
      <c r="BB443" s="1596">
        <v>13.64</v>
      </c>
      <c r="BC443" s="1596">
        <v>-1.2450000000000001</v>
      </c>
      <c r="BD443" s="1596">
        <v>-4.9749999999999996</v>
      </c>
      <c r="BE443" s="1596">
        <v>-1.101</v>
      </c>
      <c r="BF443" s="1597">
        <v>4.8520000000000003</v>
      </c>
      <c r="BG443" s="1595"/>
      <c r="BH443" s="1595"/>
      <c r="BI443" s="1595"/>
      <c r="BJ443" s="1595"/>
      <c r="BK443" s="1595"/>
      <c r="BL443" s="1517"/>
    </row>
    <row r="444" spans="1:64" s="1518" customFormat="1" hidden="1" outlineLevel="1" x14ac:dyDescent="0.35">
      <c r="A444" s="1591" t="s">
        <v>477</v>
      </c>
      <c r="B444" s="1716"/>
      <c r="C444" s="1515"/>
      <c r="D444" s="1515"/>
      <c r="E444" s="1515"/>
      <c r="F444" s="1515"/>
      <c r="G444" s="1515"/>
      <c r="H444" s="1515"/>
      <c r="I444" s="1515"/>
      <c r="J444" s="1515"/>
      <c r="K444" s="1515"/>
      <c r="L444" s="1515"/>
      <c r="M444" s="1515"/>
      <c r="N444" s="1515"/>
      <c r="O444" s="1515"/>
      <c r="P444" s="1515"/>
      <c r="Q444" s="1515"/>
      <c r="R444" s="1517">
        <f t="shared" si="251"/>
        <v>-7.8810000000000002</v>
      </c>
      <c r="S444" s="1515"/>
      <c r="T444" s="1593">
        <v>0.67300000000000004</v>
      </c>
      <c r="U444" s="1593">
        <v>2.38</v>
      </c>
      <c r="V444" s="1517">
        <f t="shared" si="252"/>
        <v>0.79700000000000004</v>
      </c>
      <c r="W444" s="1593">
        <v>-0.25700000000000001</v>
      </c>
      <c r="X444" s="1593">
        <v>-1.109</v>
      </c>
      <c r="Y444" s="1593">
        <v>1.464</v>
      </c>
      <c r="Z444" s="1517">
        <f t="shared" si="253"/>
        <v>-3.181</v>
      </c>
      <c r="AA444" s="1593">
        <v>-1.736</v>
      </c>
      <c r="AB444" s="1593">
        <v>-3.18</v>
      </c>
      <c r="AC444" s="1593">
        <v>-2.097</v>
      </c>
      <c r="AD444" s="1517">
        <f t="shared" si="254"/>
        <v>-4.5149999999999997</v>
      </c>
      <c r="AE444" s="1593">
        <v>-2.5339999999999998</v>
      </c>
      <c r="AF444" s="1593">
        <v>-8.65</v>
      </c>
      <c r="AG444" s="1593">
        <v>-6.4930000000000003</v>
      </c>
      <c r="AH444" s="1517">
        <f t="shared" si="255"/>
        <v>-9.4E-2</v>
      </c>
      <c r="AI444" s="1593">
        <v>-1.2</v>
      </c>
      <c r="AJ444" s="1594">
        <v>-5.375</v>
      </c>
      <c r="AK444" s="1515"/>
      <c r="AL444" s="1515"/>
      <c r="AM444" s="1515"/>
      <c r="AN444" s="1515"/>
      <c r="AO444" s="1515"/>
      <c r="AP444" s="1515"/>
      <c r="AQ444" s="1515"/>
      <c r="AR444" s="1595"/>
      <c r="AS444" s="1595"/>
      <c r="AT444" s="1595"/>
      <c r="AU444" s="1595"/>
      <c r="AV444" s="1595"/>
      <c r="AW444" s="1595"/>
      <c r="AX444" s="1595"/>
      <c r="AY444" s="1595"/>
      <c r="AZ444" s="1595"/>
      <c r="BA444" s="1595"/>
      <c r="BB444" s="1596">
        <v>-7.8810000000000002</v>
      </c>
      <c r="BC444" s="1596">
        <v>0.79700000000000004</v>
      </c>
      <c r="BD444" s="1596">
        <v>-3.181</v>
      </c>
      <c r="BE444" s="1596">
        <v>-4.5149999999999997</v>
      </c>
      <c r="BF444" s="1597">
        <v>-9.4E-2</v>
      </c>
      <c r="BG444" s="1595"/>
      <c r="BH444" s="1595"/>
      <c r="BI444" s="1595"/>
      <c r="BJ444" s="1595"/>
      <c r="BK444" s="1595"/>
      <c r="BL444" s="1517"/>
    </row>
    <row r="445" spans="1:64" s="1518" customFormat="1" hidden="1" outlineLevel="1" x14ac:dyDescent="0.35">
      <c r="A445" s="1591" t="s">
        <v>480</v>
      </c>
      <c r="B445" s="1716"/>
      <c r="C445" s="1515"/>
      <c r="D445" s="1515"/>
      <c r="E445" s="1515"/>
      <c r="F445" s="1515"/>
      <c r="G445" s="1515"/>
      <c r="H445" s="1515"/>
      <c r="I445" s="1515"/>
      <c r="J445" s="1515"/>
      <c r="K445" s="1515"/>
      <c r="L445" s="1515"/>
      <c r="M445" s="1515"/>
      <c r="N445" s="1515"/>
      <c r="O445" s="1515"/>
      <c r="P445" s="1515"/>
      <c r="Q445" s="1515"/>
      <c r="R445" s="1517">
        <f t="shared" si="251"/>
        <v>-2.0419999999999998</v>
      </c>
      <c r="S445" s="1515"/>
      <c r="T445" s="1593">
        <v>0.88500000000000001</v>
      </c>
      <c r="U445" s="1593">
        <v>0.56299999999999994</v>
      </c>
      <c r="V445" s="1517">
        <f t="shared" si="252"/>
        <v>-3.47</v>
      </c>
      <c r="W445" s="1593">
        <v>5.4210000000000003</v>
      </c>
      <c r="X445" s="1593">
        <v>12.6</v>
      </c>
      <c r="Y445" s="1593">
        <v>12.116</v>
      </c>
      <c r="Z445" s="1517">
        <f t="shared" si="253"/>
        <v>12.95</v>
      </c>
      <c r="AA445" s="1593">
        <v>10.255000000000001</v>
      </c>
      <c r="AB445" s="1593">
        <v>14.249000000000001</v>
      </c>
      <c r="AC445" s="1593">
        <v>6.5460000000000003</v>
      </c>
      <c r="AD445" s="1517">
        <f t="shared" si="254"/>
        <v>7.8849999999999998</v>
      </c>
      <c r="AE445" s="1593">
        <v>3.7160000000000002</v>
      </c>
      <c r="AF445" s="1593">
        <v>1.3140000000000001</v>
      </c>
      <c r="AG445" s="1593">
        <v>0.75700000000000001</v>
      </c>
      <c r="AH445" s="1517">
        <f t="shared" si="255"/>
        <v>0.111</v>
      </c>
      <c r="AI445" s="1593">
        <v>7.149</v>
      </c>
      <c r="AJ445" s="1594">
        <v>12.53</v>
      </c>
      <c r="AK445" s="1515"/>
      <c r="AL445" s="1515"/>
      <c r="AM445" s="1515"/>
      <c r="AN445" s="1515"/>
      <c r="AO445" s="1515"/>
      <c r="AP445" s="1515"/>
      <c r="AQ445" s="1515"/>
      <c r="AR445" s="1595"/>
      <c r="AS445" s="1595"/>
      <c r="AT445" s="1595"/>
      <c r="AU445" s="1595"/>
      <c r="AV445" s="1595"/>
      <c r="AW445" s="1595"/>
      <c r="AX445" s="1595"/>
      <c r="AY445" s="1595"/>
      <c r="AZ445" s="1595"/>
      <c r="BA445" s="1595"/>
      <c r="BB445" s="1596">
        <v>-2.0419999999999998</v>
      </c>
      <c r="BC445" s="1596">
        <v>-3.47</v>
      </c>
      <c r="BD445" s="1596">
        <v>12.95</v>
      </c>
      <c r="BE445" s="1596">
        <v>7.8849999999999998</v>
      </c>
      <c r="BF445" s="1597">
        <v>0.111</v>
      </c>
      <c r="BG445" s="1595"/>
      <c r="BH445" s="1595"/>
      <c r="BI445" s="1595"/>
      <c r="BJ445" s="1595"/>
      <c r="BK445" s="1595"/>
      <c r="BL445" s="1517"/>
    </row>
    <row r="446" spans="1:64" s="1518" customFormat="1" hidden="1" outlineLevel="1" x14ac:dyDescent="0.35">
      <c r="A446" s="1591" t="s">
        <v>826</v>
      </c>
      <c r="B446" s="1716"/>
      <c r="C446" s="1515"/>
      <c r="D446" s="1515"/>
      <c r="E446" s="1515"/>
      <c r="F446" s="1515"/>
      <c r="G446" s="1515"/>
      <c r="H446" s="1515"/>
      <c r="I446" s="1515"/>
      <c r="J446" s="1515"/>
      <c r="K446" s="1515"/>
      <c r="L446" s="1515"/>
      <c r="M446" s="1515"/>
      <c r="N446" s="1515"/>
      <c r="O446" s="1515"/>
      <c r="P446" s="1515"/>
      <c r="Q446" s="1515"/>
      <c r="R446" s="1517">
        <f t="shared" si="251"/>
        <v>15</v>
      </c>
      <c r="S446" s="1515"/>
      <c r="T446" s="1593">
        <v>0</v>
      </c>
      <c r="U446" s="1515"/>
      <c r="V446" s="1517">
        <f t="shared" si="252"/>
        <v>-14.25</v>
      </c>
      <c r="W446" s="1593">
        <v>-0.75</v>
      </c>
      <c r="X446" s="1593">
        <v>-0.75</v>
      </c>
      <c r="Y446" s="1593">
        <v>-0.75</v>
      </c>
      <c r="Z446" s="1517">
        <f t="shared" si="253"/>
        <v>-0.75</v>
      </c>
      <c r="AA446" s="1515"/>
      <c r="AB446" s="1515"/>
      <c r="AC446" s="1515"/>
      <c r="AD446" s="1517">
        <f t="shared" si="254"/>
        <v>4.165</v>
      </c>
      <c r="AE446" s="1593">
        <v>0.315</v>
      </c>
      <c r="AF446" s="1593">
        <v>1.8480000000000001</v>
      </c>
      <c r="AG446" s="1593">
        <v>3.0129999999999999</v>
      </c>
      <c r="AH446" s="1517">
        <f t="shared" si="255"/>
        <v>1.1140000000000001</v>
      </c>
      <c r="AI446" s="1593">
        <v>-5.5E-2</v>
      </c>
      <c r="AJ446" s="1594">
        <v>0.94299999999999995</v>
      </c>
      <c r="AK446" s="1515"/>
      <c r="AL446" s="1515"/>
      <c r="AM446" s="1515"/>
      <c r="AN446" s="1515"/>
      <c r="AO446" s="1515"/>
      <c r="AP446" s="1515"/>
      <c r="AQ446" s="1515"/>
      <c r="AR446" s="1595"/>
      <c r="AS446" s="1595"/>
      <c r="AT446" s="1595"/>
      <c r="AU446" s="1595"/>
      <c r="AV446" s="1595"/>
      <c r="AW446" s="1595"/>
      <c r="AX446" s="1595"/>
      <c r="AY446" s="1595"/>
      <c r="AZ446" s="1595"/>
      <c r="BA446" s="1595"/>
      <c r="BB446" s="1596">
        <v>15</v>
      </c>
      <c r="BC446" s="1596">
        <v>-14.25</v>
      </c>
      <c r="BD446" s="1596">
        <v>-0.75</v>
      </c>
      <c r="BE446" s="1596">
        <v>4.165</v>
      </c>
      <c r="BF446" s="1597">
        <v>1.1140000000000001</v>
      </c>
      <c r="BG446" s="1595"/>
      <c r="BH446" s="1595"/>
      <c r="BI446" s="1595"/>
      <c r="BJ446" s="1595"/>
      <c r="BK446" s="1595"/>
      <c r="BL446" s="1517"/>
    </row>
    <row r="447" spans="1:64" s="1518" customFormat="1" hidden="1" outlineLevel="1" x14ac:dyDescent="0.35">
      <c r="A447" s="1591" t="s">
        <v>827</v>
      </c>
      <c r="B447" s="1716"/>
      <c r="C447" s="1515"/>
      <c r="D447" s="1515"/>
      <c r="E447" s="1515"/>
      <c r="F447" s="1515"/>
      <c r="G447" s="1515"/>
      <c r="H447" s="1515"/>
      <c r="I447" s="1515"/>
      <c r="J447" s="1515"/>
      <c r="K447" s="1515"/>
      <c r="L447" s="1515"/>
      <c r="M447" s="1515"/>
      <c r="N447" s="1515"/>
      <c r="O447" s="1515"/>
      <c r="P447" s="1515"/>
      <c r="Q447" s="1515"/>
      <c r="R447" s="1517">
        <f t="shared" si="251"/>
        <v>3.419</v>
      </c>
      <c r="S447" s="1515"/>
      <c r="T447" s="1593">
        <v>-12.48</v>
      </c>
      <c r="U447" s="1593">
        <v>-7.9950000000000001</v>
      </c>
      <c r="V447" s="1517">
        <f t="shared" si="252"/>
        <v>-6.3959999999999999</v>
      </c>
      <c r="W447" s="1593">
        <v>5.6340000000000003</v>
      </c>
      <c r="X447" s="1593">
        <v>15.637</v>
      </c>
      <c r="Y447" s="1593">
        <v>15.609</v>
      </c>
      <c r="Z447" s="1517">
        <f t="shared" si="253"/>
        <v>30.212</v>
      </c>
      <c r="AA447" s="1593">
        <v>-12.282999999999999</v>
      </c>
      <c r="AB447" s="1593">
        <v>-8.61</v>
      </c>
      <c r="AC447" s="1593">
        <v>8.4000000000000005E-2</v>
      </c>
      <c r="AD447" s="1517">
        <f t="shared" si="254"/>
        <v>0.30299999999999999</v>
      </c>
      <c r="AE447" s="1593">
        <v>-12.256</v>
      </c>
      <c r="AF447" s="1593">
        <v>-10.515000000000001</v>
      </c>
      <c r="AG447" s="1593">
        <v>-7.9820000000000002</v>
      </c>
      <c r="AH447" s="1517">
        <f t="shared" si="255"/>
        <v>-4.6100000000000003</v>
      </c>
      <c r="AI447" s="1593">
        <v>6.7229999999999999</v>
      </c>
      <c r="AJ447" s="1594">
        <v>12.295999999999999</v>
      </c>
      <c r="AK447" s="1515"/>
      <c r="AL447" s="1515"/>
      <c r="AM447" s="1515"/>
      <c r="AN447" s="1515"/>
      <c r="AO447" s="1515"/>
      <c r="AP447" s="1515"/>
      <c r="AQ447" s="1515"/>
      <c r="AR447" s="1595"/>
      <c r="AS447" s="1595"/>
      <c r="AT447" s="1595"/>
      <c r="AU447" s="1595"/>
      <c r="AV447" s="1595"/>
      <c r="AW447" s="1595"/>
      <c r="AX447" s="1595"/>
      <c r="AY447" s="1595"/>
      <c r="AZ447" s="1595"/>
      <c r="BA447" s="1595"/>
      <c r="BB447" s="1596">
        <v>3.419</v>
      </c>
      <c r="BC447" s="1596">
        <v>-6.3959999999999999</v>
      </c>
      <c r="BD447" s="1596">
        <v>30.212</v>
      </c>
      <c r="BE447" s="1596">
        <v>0.30299999999999999</v>
      </c>
      <c r="BF447" s="1597">
        <v>-4.6100000000000003</v>
      </c>
      <c r="BG447" s="1595"/>
      <c r="BH447" s="1595"/>
      <c r="BI447" s="1595"/>
      <c r="BJ447" s="1595"/>
      <c r="BK447" s="1595"/>
      <c r="BL447" s="1517"/>
    </row>
    <row r="448" spans="1:64" s="1518" customFormat="1" hidden="1" outlineLevel="1" x14ac:dyDescent="0.35">
      <c r="A448" s="1591" t="s">
        <v>530</v>
      </c>
      <c r="B448" s="1716"/>
      <c r="C448" s="1515"/>
      <c r="D448" s="1515"/>
      <c r="E448" s="1515"/>
      <c r="F448" s="1515"/>
      <c r="G448" s="1515"/>
      <c r="H448" s="1515"/>
      <c r="I448" s="1515"/>
      <c r="J448" s="1515"/>
      <c r="K448" s="1515"/>
      <c r="L448" s="1515"/>
      <c r="M448" s="1515"/>
      <c r="N448" s="1515"/>
      <c r="O448" s="1515"/>
      <c r="P448" s="1515"/>
      <c r="Q448" s="1515"/>
      <c r="R448" s="1517">
        <f t="shared" si="251"/>
        <v>-7.2549999999999999</v>
      </c>
      <c r="S448" s="1515"/>
      <c r="T448" s="1593">
        <v>7.1459999999999999</v>
      </c>
      <c r="U448" s="1593">
        <v>8.0489999999999995</v>
      </c>
      <c r="V448" s="1517">
        <f t="shared" si="252"/>
        <v>11.505000000000001</v>
      </c>
      <c r="W448" s="1593">
        <v>2.0649999999999999</v>
      </c>
      <c r="X448" s="1593">
        <v>-0.70499999999999996</v>
      </c>
      <c r="Y448" s="1593">
        <v>-0.33800000000000002</v>
      </c>
      <c r="Z448" s="1517">
        <f t="shared" si="253"/>
        <v>1.744</v>
      </c>
      <c r="AA448" s="1593">
        <v>-4.8070000000000004</v>
      </c>
      <c r="AB448" s="1593">
        <v>-1.3819999999999999</v>
      </c>
      <c r="AC448" s="1593">
        <v>-4.8680000000000003</v>
      </c>
      <c r="AD448" s="1517">
        <f t="shared" si="254"/>
        <v>-6.2350000000000003</v>
      </c>
      <c r="AE448" s="1593">
        <v>-2.3639999999999999</v>
      </c>
      <c r="AF448" s="1593">
        <v>-3.4470000000000001</v>
      </c>
      <c r="AG448" s="1593">
        <v>-4.6349999999999998</v>
      </c>
      <c r="AH448" s="1517">
        <f t="shared" si="255"/>
        <v>4.9320000000000004</v>
      </c>
      <c r="AI448" s="1593">
        <v>-7.7450000000000001</v>
      </c>
      <c r="AJ448" s="1594">
        <v>-10.584</v>
      </c>
      <c r="AK448" s="1515"/>
      <c r="AL448" s="1515"/>
      <c r="AM448" s="1515"/>
      <c r="AN448" s="1515"/>
      <c r="AO448" s="1515"/>
      <c r="AP448" s="1515"/>
      <c r="AQ448" s="1515"/>
      <c r="AR448" s="1595"/>
      <c r="AS448" s="1595"/>
      <c r="AT448" s="1595"/>
      <c r="AU448" s="1595"/>
      <c r="AV448" s="1595"/>
      <c r="AW448" s="1595"/>
      <c r="AX448" s="1595"/>
      <c r="AY448" s="1595"/>
      <c r="AZ448" s="1595"/>
      <c r="BA448" s="1595"/>
      <c r="BB448" s="1596">
        <v>-7.2549999999999999</v>
      </c>
      <c r="BC448" s="1596">
        <v>11.505000000000001</v>
      </c>
      <c r="BD448" s="1596">
        <v>1.744</v>
      </c>
      <c r="BE448" s="1596">
        <v>-6.2350000000000003</v>
      </c>
      <c r="BF448" s="1597">
        <v>4.9320000000000004</v>
      </c>
      <c r="BG448" s="1595"/>
      <c r="BH448" s="1595"/>
      <c r="BI448" s="1595"/>
      <c r="BJ448" s="1595"/>
      <c r="BK448" s="1595"/>
      <c r="BL448" s="1517"/>
    </row>
    <row r="449" spans="1:64" s="1608" customFormat="1" hidden="1" outlineLevel="1" x14ac:dyDescent="0.35">
      <c r="A449" s="1599" t="s">
        <v>1168</v>
      </c>
      <c r="B449" s="1717"/>
      <c r="C449" s="1601"/>
      <c r="D449" s="1601"/>
      <c r="E449" s="1601"/>
      <c r="F449" s="1601"/>
      <c r="G449" s="1601"/>
      <c r="H449" s="1601"/>
      <c r="I449" s="1601"/>
      <c r="J449" s="1601"/>
      <c r="K449" s="1601"/>
      <c r="L449" s="1601"/>
      <c r="M449" s="1601"/>
      <c r="N449" s="1601"/>
      <c r="O449" s="1601"/>
      <c r="P449" s="1601"/>
      <c r="Q449" s="1601"/>
      <c r="R449" s="1602">
        <f t="shared" ref="R449:AJ449" si="256">SUM(R440:R448)</f>
        <v>36.204000000000001</v>
      </c>
      <c r="S449" s="1602">
        <f t="shared" si="256"/>
        <v>0</v>
      </c>
      <c r="T449" s="1602">
        <f t="shared" si="256"/>
        <v>20.226000000000006</v>
      </c>
      <c r="U449" s="1602">
        <f t="shared" si="256"/>
        <v>25.853000000000002</v>
      </c>
      <c r="V449" s="1602">
        <f t="shared" si="256"/>
        <v>36.184999999999995</v>
      </c>
      <c r="W449" s="1602">
        <f t="shared" si="256"/>
        <v>21.983000000000001</v>
      </c>
      <c r="X449" s="1602">
        <f t="shared" si="256"/>
        <v>45.290000000000006</v>
      </c>
      <c r="Y449" s="1602">
        <f t="shared" si="256"/>
        <v>38.925999999999988</v>
      </c>
      <c r="Z449" s="1602">
        <f t="shared" si="256"/>
        <v>68.605000000000004</v>
      </c>
      <c r="AA449" s="1602">
        <f t="shared" si="256"/>
        <v>3.4450000000000038</v>
      </c>
      <c r="AB449" s="1602">
        <f t="shared" si="256"/>
        <v>33.279000000000011</v>
      </c>
      <c r="AC449" s="1602">
        <f t="shared" si="256"/>
        <v>73.598000000000027</v>
      </c>
      <c r="AD449" s="1602">
        <f t="shared" si="256"/>
        <v>104.26300000000001</v>
      </c>
      <c r="AE449" s="1602">
        <f t="shared" si="256"/>
        <v>11.282</v>
      </c>
      <c r="AF449" s="1602">
        <f t="shared" si="256"/>
        <v>32.898000000000003</v>
      </c>
      <c r="AG449" s="1602">
        <f t="shared" si="256"/>
        <v>65.675999999999988</v>
      </c>
      <c r="AH449" s="1602">
        <f t="shared" si="256"/>
        <v>96.861000000000018</v>
      </c>
      <c r="AI449" s="1602">
        <f t="shared" si="256"/>
        <v>3.6740000000000004</v>
      </c>
      <c r="AJ449" s="1603">
        <f t="shared" si="256"/>
        <v>20.167000000000009</v>
      </c>
      <c r="AK449" s="1601"/>
      <c r="AL449" s="1601"/>
      <c r="AM449" s="1601"/>
      <c r="AN449" s="1601"/>
      <c r="AO449" s="1601"/>
      <c r="AP449" s="1601"/>
      <c r="AQ449" s="1601"/>
      <c r="AR449" s="1604"/>
      <c r="AS449" s="1604"/>
      <c r="AT449" s="1604"/>
      <c r="AU449" s="1604"/>
      <c r="AV449" s="1604"/>
      <c r="AW449" s="1604"/>
      <c r="AX449" s="1604"/>
      <c r="AY449" s="1604"/>
      <c r="AZ449" s="1604"/>
      <c r="BA449" s="1604"/>
      <c r="BB449" s="1605">
        <f>SUM(BB440:BB448)</f>
        <v>36.204000000000001</v>
      </c>
      <c r="BC449" s="1605">
        <f>SUM(BC440:BC448)</f>
        <v>36.184999999999995</v>
      </c>
      <c r="BD449" s="1605">
        <f>SUM(BD440:BD448)</f>
        <v>68.605000000000004</v>
      </c>
      <c r="BE449" s="1605">
        <f>SUM(BE440:BE448)</f>
        <v>104.26300000000001</v>
      </c>
      <c r="BF449" s="1718">
        <f>SUM(BF440:BF448)</f>
        <v>96.861000000000018</v>
      </c>
      <c r="BG449" s="1604"/>
      <c r="BH449" s="1604"/>
      <c r="BI449" s="1604"/>
      <c r="BJ449" s="1604"/>
      <c r="BK449" s="1604"/>
      <c r="BL449" s="1607"/>
    </row>
    <row r="450" spans="1:64" s="1608" customFormat="1" hidden="1" outlineLevel="1" x14ac:dyDescent="0.35">
      <c r="A450" s="1665"/>
      <c r="B450" s="1712"/>
      <c r="C450" s="1667"/>
      <c r="D450" s="1667"/>
      <c r="E450" s="1667"/>
      <c r="F450" s="1667"/>
      <c r="G450" s="1667"/>
      <c r="H450" s="1667"/>
      <c r="I450" s="1667"/>
      <c r="J450" s="1667"/>
      <c r="K450" s="1667"/>
      <c r="L450" s="1667"/>
      <c r="M450" s="1667"/>
      <c r="N450" s="1667"/>
      <c r="O450" s="1667"/>
      <c r="P450" s="1667"/>
      <c r="Q450" s="1667"/>
      <c r="R450" s="1667"/>
      <c r="S450" s="1667"/>
      <c r="T450" s="1667"/>
      <c r="U450" s="1667"/>
      <c r="V450" s="1667"/>
      <c r="W450" s="1667"/>
      <c r="X450" s="1667"/>
      <c r="Y450" s="1667"/>
      <c r="Z450" s="1667"/>
      <c r="AA450" s="1667"/>
      <c r="AB450" s="1667"/>
      <c r="AC450" s="1667"/>
      <c r="AD450" s="1667"/>
      <c r="AE450" s="1667"/>
      <c r="AF450" s="1667"/>
      <c r="AG450" s="1667"/>
      <c r="AH450" s="1667"/>
      <c r="AI450" s="1667"/>
      <c r="AJ450" s="1668"/>
      <c r="AK450" s="1667"/>
      <c r="AL450" s="1667"/>
      <c r="AM450" s="1667"/>
      <c r="AN450" s="1667"/>
      <c r="AO450" s="1667"/>
      <c r="AP450" s="1667"/>
      <c r="AQ450" s="1667"/>
      <c r="AR450" s="1669"/>
      <c r="AS450" s="1669"/>
      <c r="AT450" s="1669"/>
      <c r="AU450" s="1669"/>
      <c r="AV450" s="1669"/>
      <c r="AW450" s="1669"/>
      <c r="AX450" s="1669"/>
      <c r="AY450" s="1669"/>
      <c r="AZ450" s="1669"/>
      <c r="BA450" s="1669"/>
      <c r="BB450" s="1669"/>
      <c r="BC450" s="1669"/>
      <c r="BD450" s="1669"/>
      <c r="BE450" s="1669"/>
      <c r="BF450" s="1612"/>
      <c r="BG450" s="1595"/>
      <c r="BH450" s="1595"/>
      <c r="BI450" s="1595"/>
      <c r="BJ450" s="1595"/>
      <c r="BK450" s="1595"/>
      <c r="BL450" s="1607"/>
    </row>
    <row r="451" spans="1:64" s="1608" customFormat="1" hidden="1" outlineLevel="1" x14ac:dyDescent="0.35">
      <c r="A451" s="1711" t="s">
        <v>1169</v>
      </c>
      <c r="B451" s="1712"/>
      <c r="C451" s="1667"/>
      <c r="D451" s="1667"/>
      <c r="E451" s="1667"/>
      <c r="F451" s="1667"/>
      <c r="G451" s="1667"/>
      <c r="H451" s="1667"/>
      <c r="I451" s="1667"/>
      <c r="J451" s="1667"/>
      <c r="K451" s="1667"/>
      <c r="L451" s="1667"/>
      <c r="M451" s="1667"/>
      <c r="N451" s="1667"/>
      <c r="O451" s="1667"/>
      <c r="P451" s="1667"/>
      <c r="Q451" s="1667"/>
      <c r="R451" s="1667"/>
      <c r="S451" s="1667"/>
      <c r="T451" s="1667"/>
      <c r="U451" s="1667"/>
      <c r="V451" s="1667"/>
      <c r="W451" s="1667"/>
      <c r="X451" s="1667"/>
      <c r="Y451" s="1667"/>
      <c r="Z451" s="1667"/>
      <c r="AA451" s="1667"/>
      <c r="AB451" s="1667"/>
      <c r="AC451" s="1667"/>
      <c r="AD451" s="1667"/>
      <c r="AE451" s="1667"/>
      <c r="AF451" s="1667"/>
      <c r="AG451" s="1667"/>
      <c r="AH451" s="1667"/>
      <c r="AI451" s="1667"/>
      <c r="AJ451" s="1668"/>
      <c r="AK451" s="1667"/>
      <c r="AL451" s="1667"/>
      <c r="AM451" s="1667"/>
      <c r="AN451" s="1667"/>
      <c r="AO451" s="1667"/>
      <c r="AP451" s="1667"/>
      <c r="AQ451" s="1667"/>
      <c r="AR451" s="1669"/>
      <c r="AS451" s="1669"/>
      <c r="AT451" s="1669"/>
      <c r="AU451" s="1669"/>
      <c r="AV451" s="1669"/>
      <c r="AW451" s="1669"/>
      <c r="AX451" s="1669"/>
      <c r="AY451" s="1669"/>
      <c r="AZ451" s="1669"/>
      <c r="BA451" s="1669"/>
      <c r="BB451" s="1669"/>
      <c r="BC451" s="1669"/>
      <c r="BD451" s="1669"/>
      <c r="BE451" s="1669"/>
      <c r="BF451" s="1612"/>
      <c r="BG451" s="1595"/>
      <c r="BH451" s="1595"/>
      <c r="BI451" s="1595"/>
      <c r="BJ451" s="1595"/>
      <c r="BK451" s="1595"/>
      <c r="BL451" s="1607"/>
    </row>
    <row r="452" spans="1:64" s="1518" customFormat="1" hidden="1" outlineLevel="1" x14ac:dyDescent="0.35">
      <c r="A452" s="1591" t="s">
        <v>855</v>
      </c>
      <c r="B452" s="1716"/>
      <c r="C452" s="1515"/>
      <c r="D452" s="1515"/>
      <c r="E452" s="1515"/>
      <c r="F452" s="1515"/>
      <c r="G452" s="1515"/>
      <c r="H452" s="1515"/>
      <c r="I452" s="1515"/>
      <c r="J452" s="1515"/>
      <c r="K452" s="1515"/>
      <c r="L452" s="1515"/>
      <c r="M452" s="1515"/>
      <c r="N452" s="1515"/>
      <c r="O452" s="1515"/>
      <c r="P452" s="1515"/>
      <c r="Q452" s="1515"/>
      <c r="R452" s="1517">
        <f>BB452</f>
        <v>-5.2649999999999997</v>
      </c>
      <c r="S452" s="1515"/>
      <c r="T452" s="1593">
        <v>-1.7430000000000001</v>
      </c>
      <c r="U452" s="1593">
        <v>-1.835</v>
      </c>
      <c r="V452" s="1517">
        <f>BC452</f>
        <v>-2.3170000000000002</v>
      </c>
      <c r="W452" s="1593">
        <v>-0.34599999999999997</v>
      </c>
      <c r="X452" s="1593">
        <v>-1.26</v>
      </c>
      <c r="Y452" s="1593">
        <v>-2.6190000000000002</v>
      </c>
      <c r="Z452" s="1517">
        <f>BD452</f>
        <v>-3.234</v>
      </c>
      <c r="AA452" s="1593">
        <v>-1.4950000000000001</v>
      </c>
      <c r="AB452" s="1593">
        <v>-3.266</v>
      </c>
      <c r="AC452" s="1593">
        <v>-3.9780000000000002</v>
      </c>
      <c r="AD452" s="1517">
        <f>BE452</f>
        <v>-4.4980000000000002</v>
      </c>
      <c r="AE452" s="1593">
        <v>-0.14000000000000001</v>
      </c>
      <c r="AF452" s="1593">
        <v>-0.59299999999999997</v>
      </c>
      <c r="AG452" s="1593">
        <v>-1.377</v>
      </c>
      <c r="AH452" s="1517">
        <f>BF452</f>
        <v>-2.56</v>
      </c>
      <c r="AI452" s="1593">
        <v>-0.67300000000000004</v>
      </c>
      <c r="AJ452" s="1594">
        <v>-0.99299999999999999</v>
      </c>
      <c r="AK452" s="1515"/>
      <c r="AL452" s="1515"/>
      <c r="AM452" s="1515"/>
      <c r="AN452" s="1515"/>
      <c r="AO452" s="1515"/>
      <c r="AP452" s="1515"/>
      <c r="AQ452" s="1515"/>
      <c r="AR452" s="1595"/>
      <c r="AS452" s="1595"/>
      <c r="AT452" s="1595"/>
      <c r="AU452" s="1595"/>
      <c r="AV452" s="1595"/>
      <c r="AW452" s="1595"/>
      <c r="AX452" s="1595"/>
      <c r="AY452" s="1595"/>
      <c r="AZ452" s="1595"/>
      <c r="BA452" s="1595"/>
      <c r="BB452" s="1596">
        <v>-5.2649999999999997</v>
      </c>
      <c r="BC452" s="1596">
        <v>-2.3170000000000002</v>
      </c>
      <c r="BD452" s="1596">
        <v>-3.234</v>
      </c>
      <c r="BE452" s="1596">
        <v>-4.4980000000000002</v>
      </c>
      <c r="BF452" s="1597">
        <v>-2.56</v>
      </c>
      <c r="BG452" s="1595"/>
      <c r="BH452" s="1595"/>
      <c r="BI452" s="1595"/>
      <c r="BJ452" s="1595"/>
      <c r="BK452" s="1595"/>
      <c r="BL452" s="1517"/>
    </row>
    <row r="453" spans="1:64" s="1518" customFormat="1" hidden="1" outlineLevel="1" x14ac:dyDescent="0.35">
      <c r="A453" s="1591" t="s">
        <v>856</v>
      </c>
      <c r="B453" s="1716"/>
      <c r="C453" s="1515"/>
      <c r="D453" s="1515"/>
      <c r="E453" s="1515"/>
      <c r="F453" s="1515"/>
      <c r="G453" s="1515"/>
      <c r="H453" s="1515"/>
      <c r="I453" s="1515"/>
      <c r="J453" s="1515"/>
      <c r="K453" s="1515"/>
      <c r="L453" s="1515"/>
      <c r="M453" s="1515"/>
      <c r="N453" s="1515"/>
      <c r="O453" s="1515"/>
      <c r="P453" s="1515"/>
      <c r="Q453" s="1515"/>
      <c r="R453" s="1517">
        <f>BB453</f>
        <v>-26.617999999999999</v>
      </c>
      <c r="S453" s="1515"/>
      <c r="T453" s="1593">
        <v>-7.8029999999999999</v>
      </c>
      <c r="U453" s="1593">
        <v>-11.25</v>
      </c>
      <c r="V453" s="1517">
        <f>BC453</f>
        <v>-14.185</v>
      </c>
      <c r="W453" s="1593">
        <v>-3.839</v>
      </c>
      <c r="X453" s="1593">
        <v>-8.0350000000000001</v>
      </c>
      <c r="Y453" s="1593">
        <v>-11.987</v>
      </c>
      <c r="Z453" s="1517">
        <f>BD453</f>
        <v>-15.86</v>
      </c>
      <c r="AA453" s="1593">
        <v>-3.742</v>
      </c>
      <c r="AB453" s="1593">
        <v>-7.6159999999999997</v>
      </c>
      <c r="AC453" s="1593">
        <v>-11.718999999999999</v>
      </c>
      <c r="AD453" s="1517">
        <f>BE453</f>
        <v>-15.689</v>
      </c>
      <c r="AE453" s="1593">
        <v>-4.12</v>
      </c>
      <c r="AF453" s="1593">
        <v>-8.5890000000000004</v>
      </c>
      <c r="AG453" s="1593">
        <v>-13.364000000000001</v>
      </c>
      <c r="AH453" s="1517">
        <f>BF453</f>
        <v>-17.802</v>
      </c>
      <c r="AI453" s="1593">
        <v>-4.9470000000000001</v>
      </c>
      <c r="AJ453" s="1594">
        <v>-10.355</v>
      </c>
      <c r="AK453" s="1515"/>
      <c r="AL453" s="1515"/>
      <c r="AM453" s="1515"/>
      <c r="AN453" s="1515"/>
      <c r="AO453" s="1515"/>
      <c r="AP453" s="1515"/>
      <c r="AQ453" s="1515"/>
      <c r="AR453" s="1595"/>
      <c r="AS453" s="1595"/>
      <c r="AT453" s="1595"/>
      <c r="AU453" s="1595"/>
      <c r="AV453" s="1595"/>
      <c r="AW453" s="1595"/>
      <c r="AX453" s="1595"/>
      <c r="AY453" s="1595"/>
      <c r="AZ453" s="1595"/>
      <c r="BA453" s="1595"/>
      <c r="BB453" s="1596">
        <v>-26.617999999999999</v>
      </c>
      <c r="BC453" s="1596">
        <v>-14.185</v>
      </c>
      <c r="BD453" s="1596">
        <v>-15.86</v>
      </c>
      <c r="BE453" s="1596">
        <v>-15.689</v>
      </c>
      <c r="BF453" s="1597">
        <v>-17.802</v>
      </c>
      <c r="BG453" s="1595"/>
      <c r="BH453" s="1595"/>
      <c r="BI453" s="1595"/>
      <c r="BJ453" s="1595"/>
      <c r="BK453" s="1595"/>
      <c r="BL453" s="1517"/>
    </row>
    <row r="454" spans="1:64" s="1518" customFormat="1" hidden="1" outlineLevel="1" x14ac:dyDescent="0.35">
      <c r="A454" s="1591" t="s">
        <v>857</v>
      </c>
      <c r="B454" s="1716"/>
      <c r="C454" s="1515"/>
      <c r="D454" s="1515"/>
      <c r="E454" s="1515"/>
      <c r="F454" s="1515"/>
      <c r="G454" s="1515"/>
      <c r="H454" s="1515"/>
      <c r="I454" s="1515"/>
      <c r="J454" s="1515"/>
      <c r="K454" s="1515"/>
      <c r="L454" s="1515"/>
      <c r="M454" s="1515"/>
      <c r="N454" s="1515"/>
      <c r="O454" s="1515"/>
      <c r="P454" s="1515"/>
      <c r="Q454" s="1515"/>
      <c r="R454" s="1517">
        <f>BB454</f>
        <v>-2</v>
      </c>
      <c r="S454" s="1515"/>
      <c r="T454" s="1593">
        <v>0.23599999999999999</v>
      </c>
      <c r="U454" s="1515"/>
      <c r="V454" s="1517">
        <f>BC454</f>
        <v>0</v>
      </c>
      <c r="W454" s="1515"/>
      <c r="X454" s="1515"/>
      <c r="Y454" s="1515"/>
      <c r="Z454" s="1517">
        <f>BD454</f>
        <v>0</v>
      </c>
      <c r="AA454" s="1515"/>
      <c r="AB454" s="1515"/>
      <c r="AC454" s="1515"/>
      <c r="AD454" s="1517">
        <f>BE454</f>
        <v>0</v>
      </c>
      <c r="AE454" s="1515"/>
      <c r="AF454" s="1515"/>
      <c r="AG454" s="1515"/>
      <c r="AH454" s="1517">
        <f>BF454</f>
        <v>0</v>
      </c>
      <c r="AI454" s="1515"/>
      <c r="AJ454" s="1516"/>
      <c r="AK454" s="1515"/>
      <c r="AL454" s="1515"/>
      <c r="AM454" s="1515"/>
      <c r="AN454" s="1515"/>
      <c r="AO454" s="1515"/>
      <c r="AP454" s="1515"/>
      <c r="AQ454" s="1515"/>
      <c r="AR454" s="1595"/>
      <c r="AS454" s="1595"/>
      <c r="AT454" s="1595"/>
      <c r="AU454" s="1595"/>
      <c r="AV454" s="1595"/>
      <c r="AW454" s="1595"/>
      <c r="AX454" s="1595"/>
      <c r="AY454" s="1595"/>
      <c r="AZ454" s="1595"/>
      <c r="BA454" s="1595"/>
      <c r="BB454" s="1596">
        <v>-2</v>
      </c>
      <c r="BC454" s="1595"/>
      <c r="BD454" s="1595"/>
      <c r="BE454" s="1595"/>
      <c r="BF454" s="1610"/>
      <c r="BG454" s="1595"/>
      <c r="BH454" s="1595"/>
      <c r="BI454" s="1595"/>
      <c r="BJ454" s="1595"/>
      <c r="BK454" s="1595"/>
      <c r="BL454" s="1517"/>
    </row>
    <row r="455" spans="1:64" s="1518" customFormat="1" hidden="1" outlineLevel="1" x14ac:dyDescent="0.35">
      <c r="A455" s="1591" t="s">
        <v>859</v>
      </c>
      <c r="B455" s="1716"/>
      <c r="C455" s="1515"/>
      <c r="D455" s="1515"/>
      <c r="E455" s="1515"/>
      <c r="F455" s="1515"/>
      <c r="G455" s="1515"/>
      <c r="H455" s="1515"/>
      <c r="I455" s="1515"/>
      <c r="J455" s="1515"/>
      <c r="K455" s="1515"/>
      <c r="L455" s="1515"/>
      <c r="M455" s="1515"/>
      <c r="N455" s="1515"/>
      <c r="O455" s="1515"/>
      <c r="P455" s="1515"/>
      <c r="Q455" s="1515"/>
      <c r="R455" s="1517">
        <f>BB455</f>
        <v>1.4E-2</v>
      </c>
      <c r="S455" s="1515"/>
      <c r="T455" s="1515"/>
      <c r="U455" s="1593">
        <v>0.23599999999999999</v>
      </c>
      <c r="V455" s="1517">
        <f>BC455</f>
        <v>0.23599999999999999</v>
      </c>
      <c r="W455" s="1515"/>
      <c r="X455" s="1515"/>
      <c r="Y455" s="1593">
        <v>7.0000000000000001E-3</v>
      </c>
      <c r="Z455" s="1517">
        <f>BD455</f>
        <v>4.1000000000000002E-2</v>
      </c>
      <c r="AA455" s="1593">
        <v>4.0000000000000001E-3</v>
      </c>
      <c r="AB455" s="1593">
        <v>8.9999999999999993E-3</v>
      </c>
      <c r="AC455" s="1593">
        <v>2.5000000000000001E-2</v>
      </c>
      <c r="AD455" s="1517">
        <f>BE455</f>
        <v>5.0999999999999997E-2</v>
      </c>
      <c r="AE455" s="1593">
        <v>7.0000000000000001E-3</v>
      </c>
      <c r="AF455" s="1593">
        <v>0.125</v>
      </c>
      <c r="AG455" s="1593">
        <v>0.121</v>
      </c>
      <c r="AH455" s="1517">
        <f>BF455</f>
        <v>0.122</v>
      </c>
      <c r="AI455" s="1515"/>
      <c r="AJ455" s="1594">
        <v>3.0000000000000001E-3</v>
      </c>
      <c r="AK455" s="1515"/>
      <c r="AL455" s="1515"/>
      <c r="AM455" s="1515"/>
      <c r="AN455" s="1515"/>
      <c r="AO455" s="1515"/>
      <c r="AP455" s="1515"/>
      <c r="AQ455" s="1515"/>
      <c r="AR455" s="1595"/>
      <c r="AS455" s="1595"/>
      <c r="AT455" s="1595"/>
      <c r="AU455" s="1595"/>
      <c r="AV455" s="1595"/>
      <c r="AW455" s="1595"/>
      <c r="AX455" s="1595"/>
      <c r="AY455" s="1595"/>
      <c r="AZ455" s="1595"/>
      <c r="BA455" s="1595"/>
      <c r="BB455" s="1596">
        <v>1.4E-2</v>
      </c>
      <c r="BC455" s="1596">
        <v>0.23599999999999999</v>
      </c>
      <c r="BD455" s="1596">
        <v>4.1000000000000002E-2</v>
      </c>
      <c r="BE455" s="1596">
        <v>5.0999999999999997E-2</v>
      </c>
      <c r="BF455" s="1597">
        <v>0.122</v>
      </c>
      <c r="BG455" s="1595"/>
      <c r="BH455" s="1595"/>
      <c r="BI455" s="1595"/>
      <c r="BJ455" s="1595"/>
      <c r="BK455" s="1595"/>
      <c r="BL455" s="1517"/>
    </row>
    <row r="456" spans="1:64" s="1518" customFormat="1" hidden="1" outlineLevel="1" x14ac:dyDescent="0.35">
      <c r="A456" s="1591" t="s">
        <v>1131</v>
      </c>
      <c r="B456" s="1716"/>
      <c r="C456" s="1515"/>
      <c r="D456" s="1515"/>
      <c r="E456" s="1515"/>
      <c r="F456" s="1515"/>
      <c r="G456" s="1515"/>
      <c r="H456" s="1515"/>
      <c r="I456" s="1515"/>
      <c r="J456" s="1515"/>
      <c r="K456" s="1515"/>
      <c r="L456" s="1515"/>
      <c r="M456" s="1515"/>
      <c r="N456" s="1515"/>
      <c r="O456" s="1515"/>
      <c r="P456" s="1515"/>
      <c r="Q456" s="1515"/>
      <c r="R456" s="1517">
        <f>BB456</f>
        <v>0</v>
      </c>
      <c r="S456" s="1515"/>
      <c r="T456" s="1515"/>
      <c r="U456" s="1515"/>
      <c r="V456" s="1517">
        <f>BC456</f>
        <v>0</v>
      </c>
      <c r="W456" s="1515"/>
      <c r="X456" s="1515"/>
      <c r="Y456" s="1515"/>
      <c r="Z456" s="1517">
        <f>BD456</f>
        <v>-66.322999999999993</v>
      </c>
      <c r="AA456" s="1515"/>
      <c r="AB456" s="1515"/>
      <c r="AC456" s="1515"/>
      <c r="AD456" s="1517">
        <f>BE456</f>
        <v>0</v>
      </c>
      <c r="AE456" s="1593">
        <v>-48.802</v>
      </c>
      <c r="AF456" s="1593">
        <v>-48.640999999999998</v>
      </c>
      <c r="AG456" s="1593">
        <v>-49.21</v>
      </c>
      <c r="AH456" s="1517">
        <f>BF456</f>
        <v>-49.21</v>
      </c>
      <c r="AI456" s="1593">
        <v>-70.478999999999999</v>
      </c>
      <c r="AJ456" s="1594">
        <v>-70.436999999999998</v>
      </c>
      <c r="AK456" s="1515"/>
      <c r="AL456" s="1515"/>
      <c r="AM456" s="1515"/>
      <c r="AN456" s="1515"/>
      <c r="AO456" s="1515"/>
      <c r="AP456" s="1515"/>
      <c r="AQ456" s="1515"/>
      <c r="AR456" s="1595"/>
      <c r="AS456" s="1595"/>
      <c r="AT456" s="1595"/>
      <c r="AU456" s="1595"/>
      <c r="AV456" s="1595"/>
      <c r="AW456" s="1595"/>
      <c r="AX456" s="1595"/>
      <c r="AY456" s="1595"/>
      <c r="AZ456" s="1595"/>
      <c r="BA456" s="1595"/>
      <c r="BB456" s="1595"/>
      <c r="BC456" s="1595"/>
      <c r="BD456" s="1596">
        <v>-66.322999999999993</v>
      </c>
      <c r="BE456" s="1595"/>
      <c r="BF456" s="1597">
        <v>-49.21</v>
      </c>
      <c r="BG456" s="1595"/>
      <c r="BH456" s="1595"/>
      <c r="BI456" s="1595"/>
      <c r="BJ456" s="1595"/>
      <c r="BK456" s="1595"/>
      <c r="BL456" s="1517"/>
    </row>
    <row r="457" spans="1:64" s="1608" customFormat="1" hidden="1" outlineLevel="1" x14ac:dyDescent="0.35">
      <c r="A457" s="1599" t="s">
        <v>1170</v>
      </c>
      <c r="B457" s="1717"/>
      <c r="C457" s="1601"/>
      <c r="D457" s="1601"/>
      <c r="E457" s="1601"/>
      <c r="F457" s="1601"/>
      <c r="G457" s="1601"/>
      <c r="H457" s="1601"/>
      <c r="I457" s="1601"/>
      <c r="J457" s="1601"/>
      <c r="K457" s="1601"/>
      <c r="L457" s="1601"/>
      <c r="M457" s="1601"/>
      <c r="N457" s="1601"/>
      <c r="O457" s="1601"/>
      <c r="P457" s="1601"/>
      <c r="Q457" s="1601"/>
      <c r="R457" s="1602">
        <f t="shared" ref="R457:AJ457" si="257">SUM(R452:R456)</f>
        <v>-33.868999999999993</v>
      </c>
      <c r="S457" s="1602">
        <f t="shared" si="257"/>
        <v>0</v>
      </c>
      <c r="T457" s="1602">
        <f t="shared" si="257"/>
        <v>-9.3099999999999987</v>
      </c>
      <c r="U457" s="1602">
        <f t="shared" si="257"/>
        <v>-12.849</v>
      </c>
      <c r="V457" s="1602">
        <f t="shared" si="257"/>
        <v>-16.266000000000002</v>
      </c>
      <c r="W457" s="1602">
        <f t="shared" si="257"/>
        <v>-4.1849999999999996</v>
      </c>
      <c r="X457" s="1602">
        <f t="shared" si="257"/>
        <v>-9.2949999999999999</v>
      </c>
      <c r="Y457" s="1602">
        <f t="shared" si="257"/>
        <v>-14.599</v>
      </c>
      <c r="Z457" s="1602">
        <f t="shared" si="257"/>
        <v>-85.375999999999991</v>
      </c>
      <c r="AA457" s="1602">
        <f t="shared" si="257"/>
        <v>-5.2330000000000005</v>
      </c>
      <c r="AB457" s="1602">
        <f t="shared" si="257"/>
        <v>-10.872999999999999</v>
      </c>
      <c r="AC457" s="1602">
        <f t="shared" si="257"/>
        <v>-15.671999999999999</v>
      </c>
      <c r="AD457" s="1602">
        <f t="shared" si="257"/>
        <v>-20.136000000000003</v>
      </c>
      <c r="AE457" s="1602">
        <f t="shared" si="257"/>
        <v>-53.055</v>
      </c>
      <c r="AF457" s="1602">
        <f t="shared" si="257"/>
        <v>-57.698</v>
      </c>
      <c r="AG457" s="1602">
        <f t="shared" si="257"/>
        <v>-63.83</v>
      </c>
      <c r="AH457" s="1602">
        <f t="shared" si="257"/>
        <v>-69.45</v>
      </c>
      <c r="AI457" s="1602">
        <f t="shared" si="257"/>
        <v>-76.099000000000004</v>
      </c>
      <c r="AJ457" s="1603">
        <f t="shared" si="257"/>
        <v>-81.781999999999996</v>
      </c>
      <c r="AK457" s="1601"/>
      <c r="AL457" s="1601"/>
      <c r="AM457" s="1601"/>
      <c r="AN457" s="1601"/>
      <c r="AO457" s="1601"/>
      <c r="AP457" s="1601"/>
      <c r="AQ457" s="1601"/>
      <c r="AR457" s="1604"/>
      <c r="AS457" s="1604"/>
      <c r="AT457" s="1604"/>
      <c r="AU457" s="1604"/>
      <c r="AV457" s="1604"/>
      <c r="AW457" s="1604"/>
      <c r="AX457" s="1604"/>
      <c r="AY457" s="1604"/>
      <c r="AZ457" s="1604"/>
      <c r="BA457" s="1604"/>
      <c r="BB457" s="1605">
        <f>SUM(BB452:BB456)</f>
        <v>-33.868999999999993</v>
      </c>
      <c r="BC457" s="1605">
        <f>SUM(BC452:BC456)</f>
        <v>-16.266000000000002</v>
      </c>
      <c r="BD457" s="1605">
        <f>SUM(BD452:BD456)</f>
        <v>-85.375999999999991</v>
      </c>
      <c r="BE457" s="1605">
        <f>SUM(BE452:BE456)</f>
        <v>-20.136000000000003</v>
      </c>
      <c r="BF457" s="1718">
        <f>SUM(BF452:BF456)</f>
        <v>-69.45</v>
      </c>
      <c r="BG457" s="1604"/>
      <c r="BH457" s="1604"/>
      <c r="BI457" s="1604"/>
      <c r="BJ457" s="1604"/>
      <c r="BK457" s="1604"/>
      <c r="BL457" s="1607"/>
    </row>
    <row r="458" spans="1:64" s="1608" customFormat="1" hidden="1" outlineLevel="1" x14ac:dyDescent="0.35">
      <c r="A458" s="1665"/>
      <c r="B458" s="1712"/>
      <c r="C458" s="1667"/>
      <c r="D458" s="1667"/>
      <c r="E458" s="1667"/>
      <c r="F458" s="1667"/>
      <c r="G458" s="1667"/>
      <c r="H458" s="1667"/>
      <c r="I458" s="1667"/>
      <c r="J458" s="1667"/>
      <c r="K458" s="1667"/>
      <c r="L458" s="1667"/>
      <c r="M458" s="1667"/>
      <c r="N458" s="1667"/>
      <c r="O458" s="1667"/>
      <c r="P458" s="1667"/>
      <c r="Q458" s="1667"/>
      <c r="R458" s="1667"/>
      <c r="S458" s="1667"/>
      <c r="T458" s="1667"/>
      <c r="U458" s="1667"/>
      <c r="V458" s="1667"/>
      <c r="W458" s="1667"/>
      <c r="X458" s="1667"/>
      <c r="Y458" s="1667"/>
      <c r="Z458" s="1667"/>
      <c r="AA458" s="1667"/>
      <c r="AB458" s="1667"/>
      <c r="AC458" s="1667"/>
      <c r="AD458" s="1667"/>
      <c r="AE458" s="1667"/>
      <c r="AF458" s="1667"/>
      <c r="AG458" s="1667"/>
      <c r="AH458" s="1667"/>
      <c r="AI458" s="1667"/>
      <c r="AJ458" s="1668"/>
      <c r="AK458" s="1667"/>
      <c r="AL458" s="1667"/>
      <c r="AM458" s="1667"/>
      <c r="AN458" s="1667"/>
      <c r="AO458" s="1667"/>
      <c r="AP458" s="1667"/>
      <c r="AQ458" s="1667"/>
      <c r="AR458" s="1669"/>
      <c r="AS458" s="1669"/>
      <c r="AT458" s="1669"/>
      <c r="AU458" s="1669"/>
      <c r="AV458" s="1669"/>
      <c r="AW458" s="1669"/>
      <c r="AX458" s="1669"/>
      <c r="AY458" s="1669"/>
      <c r="AZ458" s="1669"/>
      <c r="BA458" s="1669"/>
      <c r="BB458" s="1669"/>
      <c r="BC458" s="1669"/>
      <c r="BD458" s="1669"/>
      <c r="BE458" s="1669"/>
      <c r="BF458" s="1612"/>
      <c r="BG458" s="1595"/>
      <c r="BH458" s="1595"/>
      <c r="BI458" s="1595"/>
      <c r="BJ458" s="1595"/>
      <c r="BK458" s="1595"/>
      <c r="BL458" s="1607"/>
    </row>
    <row r="459" spans="1:64" s="1608" customFormat="1" hidden="1" outlineLevel="1" x14ac:dyDescent="0.35">
      <c r="A459" s="1711" t="s">
        <v>1171</v>
      </c>
      <c r="B459" s="1712"/>
      <c r="C459" s="1667"/>
      <c r="D459" s="1667"/>
      <c r="E459" s="1667"/>
      <c r="F459" s="1667"/>
      <c r="G459" s="1667"/>
      <c r="H459" s="1667"/>
      <c r="I459" s="1667"/>
      <c r="J459" s="1667"/>
      <c r="K459" s="1667"/>
      <c r="L459" s="1667"/>
      <c r="M459" s="1667"/>
      <c r="N459" s="1667"/>
      <c r="O459" s="1667"/>
      <c r="P459" s="1667"/>
      <c r="Q459" s="1667"/>
      <c r="R459" s="1667"/>
      <c r="S459" s="1667"/>
      <c r="T459" s="1667"/>
      <c r="U459" s="1667"/>
      <c r="V459" s="1667"/>
      <c r="W459" s="1667"/>
      <c r="X459" s="1667"/>
      <c r="Y459" s="1667"/>
      <c r="Z459" s="1667"/>
      <c r="AA459" s="1667"/>
      <c r="AB459" s="1667"/>
      <c r="AC459" s="1667"/>
      <c r="AD459" s="1667"/>
      <c r="AE459" s="1667"/>
      <c r="AF459" s="1667"/>
      <c r="AG459" s="1667"/>
      <c r="AH459" s="1667"/>
      <c r="AI459" s="1667"/>
      <c r="AJ459" s="1668"/>
      <c r="AK459" s="1667"/>
      <c r="AL459" s="1667"/>
      <c r="AM459" s="1667"/>
      <c r="AN459" s="1667"/>
      <c r="AO459" s="1667"/>
      <c r="AP459" s="1667"/>
      <c r="AQ459" s="1667"/>
      <c r="AR459" s="1669"/>
      <c r="AS459" s="1669"/>
      <c r="AT459" s="1669"/>
      <c r="AU459" s="1669"/>
      <c r="AV459" s="1669"/>
      <c r="AW459" s="1669"/>
      <c r="AX459" s="1669"/>
      <c r="AY459" s="1669"/>
      <c r="AZ459" s="1669"/>
      <c r="BA459" s="1669"/>
      <c r="BB459" s="1669"/>
      <c r="BC459" s="1669"/>
      <c r="BD459" s="1669"/>
      <c r="BE459" s="1669"/>
      <c r="BF459" s="1612"/>
      <c r="BG459" s="1595"/>
      <c r="BH459" s="1595"/>
      <c r="BI459" s="1595"/>
      <c r="BJ459" s="1595"/>
      <c r="BK459" s="1595"/>
      <c r="BL459" s="1607"/>
    </row>
    <row r="460" spans="1:64" s="1518" customFormat="1" hidden="1" outlineLevel="1" x14ac:dyDescent="0.35">
      <c r="A460" s="1591" t="s">
        <v>861</v>
      </c>
      <c r="B460" s="1716"/>
      <c r="C460" s="1515"/>
      <c r="D460" s="1515"/>
      <c r="E460" s="1515"/>
      <c r="F460" s="1515"/>
      <c r="G460" s="1515"/>
      <c r="H460" s="1515"/>
      <c r="I460" s="1515"/>
      <c r="J460" s="1515"/>
      <c r="K460" s="1515"/>
      <c r="L460" s="1515"/>
      <c r="M460" s="1515"/>
      <c r="N460" s="1515"/>
      <c r="O460" s="1515"/>
      <c r="P460" s="1515"/>
      <c r="Q460" s="1515"/>
      <c r="R460" s="1517">
        <f>BB460</f>
        <v>0.13</v>
      </c>
      <c r="S460" s="1515"/>
      <c r="T460" s="1593">
        <v>1.2</v>
      </c>
      <c r="U460" s="1593">
        <v>1.2</v>
      </c>
      <c r="V460" s="1517">
        <f>BC460</f>
        <v>3.25</v>
      </c>
      <c r="W460" s="1593">
        <v>2.2269999999999999</v>
      </c>
      <c r="X460" s="1593">
        <v>2.427</v>
      </c>
      <c r="Y460" s="1593">
        <v>2.4830000000000001</v>
      </c>
      <c r="Z460" s="1517">
        <f>BD460</f>
        <v>2.4830000000000001</v>
      </c>
      <c r="AA460" s="1593">
        <v>7.0000000000000007E-2</v>
      </c>
      <c r="AB460" s="1593">
        <v>0.81399999999999995</v>
      </c>
      <c r="AC460" s="1593">
        <v>2.2909999999999999</v>
      </c>
      <c r="AD460" s="1517">
        <f>BE460</f>
        <v>2.4159999999999999</v>
      </c>
      <c r="AE460" s="1515"/>
      <c r="AF460" s="1593">
        <v>0.61099999999999999</v>
      </c>
      <c r="AG460" s="1593">
        <v>1.998</v>
      </c>
      <c r="AH460" s="1517">
        <f>BF460</f>
        <v>5.3609999999999998</v>
      </c>
      <c r="AI460" s="1515"/>
      <c r="AJ460" s="1516"/>
      <c r="AK460" s="1515"/>
      <c r="AL460" s="1515"/>
      <c r="AM460" s="1515"/>
      <c r="AN460" s="1515"/>
      <c r="AO460" s="1515"/>
      <c r="AP460" s="1515"/>
      <c r="AQ460" s="1515"/>
      <c r="AR460" s="1595"/>
      <c r="AS460" s="1595"/>
      <c r="AT460" s="1595"/>
      <c r="AU460" s="1595"/>
      <c r="AV460" s="1595"/>
      <c r="AW460" s="1595"/>
      <c r="AX460" s="1595"/>
      <c r="AY460" s="1595"/>
      <c r="AZ460" s="1595"/>
      <c r="BA460" s="1595"/>
      <c r="BB460" s="1596">
        <v>0.13</v>
      </c>
      <c r="BC460" s="1596">
        <v>3.25</v>
      </c>
      <c r="BD460" s="1596">
        <v>2.4830000000000001</v>
      </c>
      <c r="BE460" s="1596">
        <v>2.4159999999999999</v>
      </c>
      <c r="BF460" s="1597">
        <v>5.3609999999999998</v>
      </c>
      <c r="BG460" s="1595"/>
      <c r="BH460" s="1595"/>
      <c r="BI460" s="1595"/>
      <c r="BJ460" s="1595"/>
      <c r="BK460" s="1595"/>
      <c r="BL460" s="1517"/>
    </row>
    <row r="461" spans="1:64" s="1518" customFormat="1" hidden="1" outlineLevel="1" x14ac:dyDescent="0.35">
      <c r="A461" s="1591" t="s">
        <v>1172</v>
      </c>
      <c r="B461" s="1716"/>
      <c r="C461" s="1515"/>
      <c r="D461" s="1515"/>
      <c r="E461" s="1515"/>
      <c r="F461" s="1515"/>
      <c r="G461" s="1515"/>
      <c r="H461" s="1515"/>
      <c r="I461" s="1515"/>
      <c r="J461" s="1515"/>
      <c r="K461" s="1515"/>
      <c r="L461" s="1515"/>
      <c r="M461" s="1515"/>
      <c r="N461" s="1515"/>
      <c r="O461" s="1515"/>
      <c r="P461" s="1515"/>
      <c r="Q461" s="1515"/>
      <c r="R461" s="1515"/>
      <c r="S461" s="1515"/>
      <c r="T461" s="1515"/>
      <c r="U461" s="1515"/>
      <c r="V461" s="1515"/>
      <c r="W461" s="1515"/>
      <c r="X461" s="1515"/>
      <c r="Y461" s="1593">
        <v>102.63800000000001</v>
      </c>
      <c r="Z461" s="1517">
        <f>BD461</f>
        <v>102.63800000000001</v>
      </c>
      <c r="AA461" s="1515"/>
      <c r="AB461" s="1515"/>
      <c r="AC461" s="1515"/>
      <c r="AD461" s="1517">
        <f>BE461</f>
        <v>0</v>
      </c>
      <c r="AE461" s="1515"/>
      <c r="AF461" s="1515"/>
      <c r="AG461" s="1515"/>
      <c r="AH461" s="1517">
        <f>BF461</f>
        <v>0</v>
      </c>
      <c r="AI461" s="1515"/>
      <c r="AJ461" s="1516"/>
      <c r="AK461" s="1515"/>
      <c r="AL461" s="1515"/>
      <c r="AM461" s="1515"/>
      <c r="AN461" s="1515"/>
      <c r="AO461" s="1515"/>
      <c r="AP461" s="1515"/>
      <c r="AQ461" s="1515"/>
      <c r="AR461" s="1595"/>
      <c r="AS461" s="1595"/>
      <c r="AT461" s="1595"/>
      <c r="AU461" s="1595"/>
      <c r="AV461" s="1595"/>
      <c r="AW461" s="1595"/>
      <c r="AX461" s="1595"/>
      <c r="AY461" s="1595"/>
      <c r="AZ461" s="1595"/>
      <c r="BA461" s="1595"/>
      <c r="BB461" s="1595"/>
      <c r="BC461" s="1595"/>
      <c r="BD461" s="1596">
        <v>102.63800000000001</v>
      </c>
      <c r="BE461" s="1595"/>
      <c r="BF461" s="1610"/>
      <c r="BG461" s="1595"/>
      <c r="BH461" s="1595"/>
      <c r="BI461" s="1595"/>
      <c r="BJ461" s="1595"/>
      <c r="BK461" s="1595"/>
      <c r="BL461" s="1517"/>
    </row>
    <row r="462" spans="1:64" s="1518" customFormat="1" hidden="1" outlineLevel="1" x14ac:dyDescent="0.35">
      <c r="A462" s="1591" t="s">
        <v>862</v>
      </c>
      <c r="B462" s="1716"/>
      <c r="C462" s="1515"/>
      <c r="D462" s="1515"/>
      <c r="E462" s="1515"/>
      <c r="F462" s="1515"/>
      <c r="G462" s="1515"/>
      <c r="H462" s="1515"/>
      <c r="I462" s="1515"/>
      <c r="J462" s="1515"/>
      <c r="K462" s="1515"/>
      <c r="L462" s="1515"/>
      <c r="M462" s="1515"/>
      <c r="N462" s="1515"/>
      <c r="O462" s="1515"/>
      <c r="P462" s="1515"/>
      <c r="Q462" s="1515"/>
      <c r="R462" s="1515"/>
      <c r="S462" s="1515"/>
      <c r="T462" s="1515"/>
      <c r="U462" s="1515"/>
      <c r="V462" s="1515"/>
      <c r="W462" s="1515"/>
      <c r="X462" s="1515"/>
      <c r="Y462" s="1515"/>
      <c r="Z462" s="1515"/>
      <c r="AA462" s="1515"/>
      <c r="AB462" s="1515"/>
      <c r="AC462" s="1515"/>
      <c r="AD462" s="1515"/>
      <c r="AE462" s="1515"/>
      <c r="AF462" s="1515"/>
      <c r="AG462" s="1515"/>
      <c r="AH462" s="1515"/>
      <c r="AI462" s="1593">
        <v>53.628999999999998</v>
      </c>
      <c r="AJ462" s="1594">
        <v>42.555</v>
      </c>
      <c r="AK462" s="1515"/>
      <c r="AL462" s="1515"/>
      <c r="AM462" s="1515"/>
      <c r="AN462" s="1515"/>
      <c r="AO462" s="1515"/>
      <c r="AP462" s="1515"/>
      <c r="AQ462" s="1515"/>
      <c r="AR462" s="1595"/>
      <c r="AS462" s="1595"/>
      <c r="AT462" s="1595"/>
      <c r="AU462" s="1595"/>
      <c r="AV462" s="1595"/>
      <c r="AW462" s="1595"/>
      <c r="AX462" s="1595"/>
      <c r="AY462" s="1595"/>
      <c r="AZ462" s="1595"/>
      <c r="BA462" s="1595"/>
      <c r="BB462" s="1595"/>
      <c r="BC462" s="1595"/>
      <c r="BD462" s="1595"/>
      <c r="BE462" s="1595"/>
      <c r="BF462" s="1610"/>
      <c r="BG462" s="1595"/>
      <c r="BH462" s="1595"/>
      <c r="BI462" s="1595"/>
      <c r="BJ462" s="1595"/>
      <c r="BK462" s="1595"/>
      <c r="BL462" s="1517"/>
    </row>
    <row r="463" spans="1:64" s="1518" customFormat="1" hidden="1" outlineLevel="1" x14ac:dyDescent="0.35">
      <c r="A463" s="1591" t="s">
        <v>863</v>
      </c>
      <c r="B463" s="1716"/>
      <c r="C463" s="1515"/>
      <c r="D463" s="1515"/>
      <c r="E463" s="1515"/>
      <c r="F463" s="1515"/>
      <c r="G463" s="1515"/>
      <c r="H463" s="1515"/>
      <c r="I463" s="1515"/>
      <c r="J463" s="1515"/>
      <c r="K463" s="1515"/>
      <c r="L463" s="1515"/>
      <c r="M463" s="1515"/>
      <c r="N463" s="1515"/>
      <c r="O463" s="1515"/>
      <c r="P463" s="1515"/>
      <c r="Q463" s="1515"/>
      <c r="R463" s="1515"/>
      <c r="S463" s="1515"/>
      <c r="T463" s="1515"/>
      <c r="U463" s="1515"/>
      <c r="V463" s="1515"/>
      <c r="W463" s="1515"/>
      <c r="X463" s="1515"/>
      <c r="Y463" s="1515"/>
      <c r="Z463" s="1515"/>
      <c r="AA463" s="1515"/>
      <c r="AB463" s="1515"/>
      <c r="AC463" s="1515"/>
      <c r="AD463" s="1515"/>
      <c r="AE463" s="1515"/>
      <c r="AF463" s="1515"/>
      <c r="AG463" s="1515"/>
      <c r="AH463" s="1515"/>
      <c r="AI463" s="1593">
        <v>-19.172000000000001</v>
      </c>
      <c r="AJ463" s="1594">
        <v>-7.6760000000000002</v>
      </c>
      <c r="AK463" s="1515"/>
      <c r="AL463" s="1515"/>
      <c r="AM463" s="1515"/>
      <c r="AN463" s="1515"/>
      <c r="AO463" s="1515"/>
      <c r="AP463" s="1515"/>
      <c r="AQ463" s="1515"/>
      <c r="AR463" s="1595"/>
      <c r="AS463" s="1595"/>
      <c r="AT463" s="1595"/>
      <c r="AU463" s="1595"/>
      <c r="AV463" s="1595"/>
      <c r="AW463" s="1595"/>
      <c r="AX463" s="1595"/>
      <c r="AY463" s="1595"/>
      <c r="AZ463" s="1595"/>
      <c r="BA463" s="1595"/>
      <c r="BB463" s="1595"/>
      <c r="BC463" s="1595"/>
      <c r="BD463" s="1595"/>
      <c r="BE463" s="1595"/>
      <c r="BF463" s="1610"/>
      <c r="BG463" s="1595"/>
      <c r="BH463" s="1595"/>
      <c r="BI463" s="1595"/>
      <c r="BJ463" s="1595"/>
      <c r="BK463" s="1595"/>
      <c r="BL463" s="1517"/>
    </row>
    <row r="464" spans="1:64" s="1518" customFormat="1" hidden="1" outlineLevel="1" x14ac:dyDescent="0.35">
      <c r="A464" s="1591" t="s">
        <v>864</v>
      </c>
      <c r="B464" s="1716"/>
      <c r="C464" s="1515"/>
      <c r="D464" s="1515"/>
      <c r="E464" s="1515"/>
      <c r="F464" s="1515"/>
      <c r="G464" s="1515"/>
      <c r="H464" s="1515"/>
      <c r="I464" s="1515"/>
      <c r="J464" s="1515"/>
      <c r="K464" s="1515"/>
      <c r="L464" s="1515"/>
      <c r="M464" s="1515"/>
      <c r="N464" s="1515"/>
      <c r="O464" s="1515"/>
      <c r="P464" s="1515"/>
      <c r="Q464" s="1515"/>
      <c r="R464" s="1515"/>
      <c r="S464" s="1515"/>
      <c r="T464" s="1515"/>
      <c r="U464" s="1515"/>
      <c r="V464" s="1515"/>
      <c r="W464" s="1515"/>
      <c r="X464" s="1515"/>
      <c r="Y464" s="1515"/>
      <c r="Z464" s="1515"/>
      <c r="AA464" s="1515"/>
      <c r="AB464" s="1515"/>
      <c r="AC464" s="1515"/>
      <c r="AD464" s="1515"/>
      <c r="AE464" s="1515"/>
      <c r="AF464" s="1515"/>
      <c r="AG464" s="1515"/>
      <c r="AH464" s="1515"/>
      <c r="AI464" s="1593">
        <v>0.69499999999999995</v>
      </c>
      <c r="AJ464" s="1594">
        <v>0.69499999999999995</v>
      </c>
      <c r="AK464" s="1515"/>
      <c r="AL464" s="1515"/>
      <c r="AM464" s="1515"/>
      <c r="AN464" s="1515"/>
      <c r="AO464" s="1515"/>
      <c r="AP464" s="1515"/>
      <c r="AQ464" s="1515"/>
      <c r="AR464" s="1595"/>
      <c r="AS464" s="1595"/>
      <c r="AT464" s="1595"/>
      <c r="AU464" s="1595"/>
      <c r="AV464" s="1595"/>
      <c r="AW464" s="1595"/>
      <c r="AX464" s="1595"/>
      <c r="AY464" s="1595"/>
      <c r="AZ464" s="1595"/>
      <c r="BA464" s="1595"/>
      <c r="BB464" s="1595"/>
      <c r="BC464" s="1595"/>
      <c r="BD464" s="1595"/>
      <c r="BE464" s="1595"/>
      <c r="BF464" s="1610"/>
      <c r="BG464" s="1595"/>
      <c r="BH464" s="1595"/>
      <c r="BI464" s="1595"/>
      <c r="BJ464" s="1595"/>
      <c r="BK464" s="1595"/>
      <c r="BL464" s="1517"/>
    </row>
    <row r="465" spans="1:64" s="1518" customFormat="1" hidden="1" outlineLevel="1" x14ac:dyDescent="0.35">
      <c r="A465" s="1591" t="s">
        <v>1173</v>
      </c>
      <c r="B465" s="1716"/>
      <c r="C465" s="1515"/>
      <c r="D465" s="1515"/>
      <c r="E465" s="1515"/>
      <c r="F465" s="1515"/>
      <c r="G465" s="1515"/>
      <c r="H465" s="1515"/>
      <c r="I465" s="1515"/>
      <c r="J465" s="1515"/>
      <c r="K465" s="1515"/>
      <c r="L465" s="1515"/>
      <c r="M465" s="1515"/>
      <c r="N465" s="1515"/>
      <c r="O465" s="1515"/>
      <c r="P465" s="1515"/>
      <c r="Q465" s="1515"/>
      <c r="R465" s="1515"/>
      <c r="S465" s="1515"/>
      <c r="T465" s="1515"/>
      <c r="U465" s="1515"/>
      <c r="V465" s="1515"/>
      <c r="W465" s="1515"/>
      <c r="X465" s="1515"/>
      <c r="Y465" s="1593">
        <v>-6.12</v>
      </c>
      <c r="Z465" s="1517">
        <f>BD465</f>
        <v>-7.89</v>
      </c>
      <c r="AA465" s="1593">
        <v>-0.22500000000000001</v>
      </c>
      <c r="AB465" s="1593">
        <v>-0.22500000000000001</v>
      </c>
      <c r="AC465" s="1593">
        <v>-0.22500000000000001</v>
      </c>
      <c r="AD465" s="1517">
        <f t="shared" ref="AD465:AD472" si="258">BE465</f>
        <v>-0.22500000000000001</v>
      </c>
      <c r="AE465" s="1515"/>
      <c r="AF465" s="1515"/>
      <c r="AG465" s="1515"/>
      <c r="AH465" s="1517">
        <f t="shared" ref="AH465:AH476" si="259">BF465</f>
        <v>0</v>
      </c>
      <c r="AI465" s="1515"/>
      <c r="AJ465" s="1516"/>
      <c r="AK465" s="1515"/>
      <c r="AL465" s="1515"/>
      <c r="AM465" s="1515"/>
      <c r="AN465" s="1515"/>
      <c r="AO465" s="1515"/>
      <c r="AP465" s="1515"/>
      <c r="AQ465" s="1515"/>
      <c r="AR465" s="1595"/>
      <c r="AS465" s="1595"/>
      <c r="AT465" s="1595"/>
      <c r="AU465" s="1595"/>
      <c r="AV465" s="1595"/>
      <c r="AW465" s="1595"/>
      <c r="AX465" s="1595"/>
      <c r="AY465" s="1595"/>
      <c r="AZ465" s="1595"/>
      <c r="BA465" s="1595"/>
      <c r="BB465" s="1595"/>
      <c r="BC465" s="1595"/>
      <c r="BD465" s="1596">
        <v>-7.89</v>
      </c>
      <c r="BE465" s="1596">
        <v>-0.22500000000000001</v>
      </c>
      <c r="BF465" s="1610"/>
      <c r="BG465" s="1595"/>
      <c r="BH465" s="1595"/>
      <c r="BI465" s="1595"/>
      <c r="BJ465" s="1595"/>
      <c r="BK465" s="1595"/>
      <c r="BL465" s="1517"/>
    </row>
    <row r="466" spans="1:64" s="1518" customFormat="1" hidden="1" outlineLevel="1" x14ac:dyDescent="0.35">
      <c r="A466" s="1591" t="s">
        <v>868</v>
      </c>
      <c r="B466" s="1716"/>
      <c r="C466" s="1515"/>
      <c r="D466" s="1515"/>
      <c r="E466" s="1515"/>
      <c r="F466" s="1515"/>
      <c r="G466" s="1515"/>
      <c r="H466" s="1515"/>
      <c r="I466" s="1515"/>
      <c r="J466" s="1515"/>
      <c r="K466" s="1515"/>
      <c r="L466" s="1515"/>
      <c r="M466" s="1515"/>
      <c r="N466" s="1515"/>
      <c r="O466" s="1515"/>
      <c r="P466" s="1515"/>
      <c r="Q466" s="1515"/>
      <c r="R466" s="1515"/>
      <c r="S466" s="1515"/>
      <c r="T466" s="1515"/>
      <c r="U466" s="1515"/>
      <c r="V466" s="1515"/>
      <c r="W466" s="1515"/>
      <c r="X466" s="1515"/>
      <c r="Y466" s="1593">
        <v>15.576000000000001</v>
      </c>
      <c r="Z466" s="1517">
        <f>BD466</f>
        <v>15.576000000000001</v>
      </c>
      <c r="AA466" s="1515"/>
      <c r="AB466" s="1515"/>
      <c r="AC466" s="1515"/>
      <c r="AD466" s="1517">
        <f t="shared" si="258"/>
        <v>0</v>
      </c>
      <c r="AE466" s="1515"/>
      <c r="AF466" s="1515"/>
      <c r="AG466" s="1515"/>
      <c r="AH466" s="1517">
        <f t="shared" si="259"/>
        <v>0</v>
      </c>
      <c r="AI466" s="1515"/>
      <c r="AJ466" s="1516"/>
      <c r="AK466" s="1515"/>
      <c r="AL466" s="1515"/>
      <c r="AM466" s="1515"/>
      <c r="AN466" s="1515"/>
      <c r="AO466" s="1515"/>
      <c r="AP466" s="1515"/>
      <c r="AQ466" s="1515"/>
      <c r="AR466" s="1595"/>
      <c r="AS466" s="1595"/>
      <c r="AT466" s="1595"/>
      <c r="AU466" s="1595"/>
      <c r="AV466" s="1595"/>
      <c r="AW466" s="1595"/>
      <c r="AX466" s="1595"/>
      <c r="AY466" s="1595"/>
      <c r="AZ466" s="1595"/>
      <c r="BA466" s="1595"/>
      <c r="BB466" s="1595"/>
      <c r="BC466" s="1595"/>
      <c r="BD466" s="1596">
        <v>15.576000000000001</v>
      </c>
      <c r="BE466" s="1595"/>
      <c r="BF466" s="1610"/>
      <c r="BG466" s="1595"/>
      <c r="BH466" s="1595"/>
      <c r="BI466" s="1595"/>
      <c r="BJ466" s="1595"/>
      <c r="BK466" s="1595"/>
      <c r="BL466" s="1517"/>
    </row>
    <row r="467" spans="1:64" s="1518" customFormat="1" hidden="1" outlineLevel="1" x14ac:dyDescent="0.35">
      <c r="A467" s="1591" t="s">
        <v>1174</v>
      </c>
      <c r="B467" s="1716"/>
      <c r="C467" s="1515"/>
      <c r="D467" s="1515"/>
      <c r="E467" s="1515"/>
      <c r="F467" s="1515"/>
      <c r="G467" s="1515"/>
      <c r="H467" s="1515"/>
      <c r="I467" s="1515"/>
      <c r="J467" s="1515"/>
      <c r="K467" s="1515"/>
      <c r="L467" s="1515"/>
      <c r="M467" s="1515"/>
      <c r="N467" s="1515"/>
      <c r="O467" s="1515"/>
      <c r="P467" s="1515"/>
      <c r="Q467" s="1515"/>
      <c r="R467" s="1515"/>
      <c r="S467" s="1515"/>
      <c r="T467" s="1515"/>
      <c r="U467" s="1515"/>
      <c r="V467" s="1515"/>
      <c r="W467" s="1515"/>
      <c r="X467" s="1515"/>
      <c r="Y467" s="1515"/>
      <c r="Z467" s="1517">
        <f>BD467</f>
        <v>0</v>
      </c>
      <c r="AA467" s="1515"/>
      <c r="AB467" s="1515"/>
      <c r="AC467" s="1515"/>
      <c r="AD467" s="1517">
        <f t="shared" si="258"/>
        <v>-13.962</v>
      </c>
      <c r="AE467" s="1593">
        <v>-7.7110000000000003</v>
      </c>
      <c r="AF467" s="1593">
        <v>-25.341999999999999</v>
      </c>
      <c r="AG467" s="1593">
        <v>-46.042999999999999</v>
      </c>
      <c r="AH467" s="1517">
        <f t="shared" si="259"/>
        <v>-67.762</v>
      </c>
      <c r="AI467" s="1593">
        <v>-6.8319999999999999</v>
      </c>
      <c r="AJ467" s="1594">
        <v>-6.8319999999999999</v>
      </c>
      <c r="AK467" s="1515"/>
      <c r="AL467" s="1515"/>
      <c r="AM467" s="1515"/>
      <c r="AN467" s="1515"/>
      <c r="AO467" s="1515"/>
      <c r="AP467" s="1515"/>
      <c r="AQ467" s="1515"/>
      <c r="AR467" s="1595"/>
      <c r="AS467" s="1595"/>
      <c r="AT467" s="1595"/>
      <c r="AU467" s="1595"/>
      <c r="AV467" s="1595"/>
      <c r="AW467" s="1595"/>
      <c r="AX467" s="1595"/>
      <c r="AY467" s="1595"/>
      <c r="AZ467" s="1595"/>
      <c r="BA467" s="1595"/>
      <c r="BB467" s="1595"/>
      <c r="BC467" s="1595"/>
      <c r="BD467" s="1595"/>
      <c r="BE467" s="1596">
        <v>-13.962</v>
      </c>
      <c r="BF467" s="1597">
        <v>-67.762</v>
      </c>
      <c r="BG467" s="1595"/>
      <c r="BH467" s="1595"/>
      <c r="BI467" s="1595"/>
      <c r="BJ467" s="1595"/>
      <c r="BK467" s="1595"/>
      <c r="BL467" s="1517"/>
    </row>
    <row r="468" spans="1:64" s="1518" customFormat="1" hidden="1" outlineLevel="1" x14ac:dyDescent="0.35">
      <c r="A468" s="1591" t="s">
        <v>869</v>
      </c>
      <c r="B468" s="1716"/>
      <c r="C468" s="1515"/>
      <c r="D468" s="1515"/>
      <c r="E468" s="1515"/>
      <c r="F468" s="1515"/>
      <c r="G468" s="1515"/>
      <c r="H468" s="1515"/>
      <c r="I468" s="1515"/>
      <c r="J468" s="1515"/>
      <c r="K468" s="1515"/>
      <c r="L468" s="1515"/>
      <c r="M468" s="1515"/>
      <c r="N468" s="1515"/>
      <c r="O468" s="1515"/>
      <c r="P468" s="1515"/>
      <c r="Q468" s="1515"/>
      <c r="R468" s="1517">
        <f>BB468</f>
        <v>-6.4610000000000003</v>
      </c>
      <c r="S468" s="1515"/>
      <c r="T468" s="1593">
        <v>-3.23</v>
      </c>
      <c r="U468" s="1593">
        <v>-4.8460000000000001</v>
      </c>
      <c r="V468" s="1517">
        <f>BC468</f>
        <v>-6.4610000000000003</v>
      </c>
      <c r="W468" s="1593">
        <v>-1.615</v>
      </c>
      <c r="X468" s="1593">
        <v>-9.9160000000000004</v>
      </c>
      <c r="Y468" s="1593">
        <v>-11.531000000000001</v>
      </c>
      <c r="Z468" s="1517">
        <f>BD468</f>
        <v>-113.14700000000001</v>
      </c>
      <c r="AA468" s="1593">
        <v>-1.615</v>
      </c>
      <c r="AB468" s="1593">
        <v>-3.2309999999999999</v>
      </c>
      <c r="AC468" s="1593">
        <v>-4.8460000000000001</v>
      </c>
      <c r="AD468" s="1517">
        <f t="shared" si="258"/>
        <v>-510.34</v>
      </c>
      <c r="AE468" s="1593">
        <v>-1.875</v>
      </c>
      <c r="AF468" s="1593">
        <v>-3.75</v>
      </c>
      <c r="AG468" s="1593">
        <v>-5.625</v>
      </c>
      <c r="AH468" s="1517">
        <f t="shared" si="259"/>
        <v>-7.5</v>
      </c>
      <c r="AI468" s="1593">
        <v>-3.75</v>
      </c>
      <c r="AJ468" s="1594">
        <v>-7.5</v>
      </c>
      <c r="AK468" s="1515"/>
      <c r="AL468" s="1515"/>
      <c r="AM468" s="1515"/>
      <c r="AN468" s="1515"/>
      <c r="AO468" s="1515"/>
      <c r="AP468" s="1515"/>
      <c r="AQ468" s="1515"/>
      <c r="AR468" s="1595"/>
      <c r="AS468" s="1595"/>
      <c r="AT468" s="1595"/>
      <c r="AU468" s="1595"/>
      <c r="AV468" s="1595"/>
      <c r="AW468" s="1595"/>
      <c r="AX468" s="1595"/>
      <c r="AY468" s="1595"/>
      <c r="AZ468" s="1595"/>
      <c r="BA468" s="1595"/>
      <c r="BB468" s="1596">
        <v>-6.4610000000000003</v>
      </c>
      <c r="BC468" s="1596">
        <v>-6.4610000000000003</v>
      </c>
      <c r="BD468" s="1596">
        <v>-113.14700000000001</v>
      </c>
      <c r="BE468" s="1596">
        <v>-510.34</v>
      </c>
      <c r="BF468" s="1597">
        <v>-7.5</v>
      </c>
      <c r="BG468" s="1595"/>
      <c r="BH468" s="1595"/>
      <c r="BI468" s="1595"/>
      <c r="BJ468" s="1595"/>
      <c r="BK468" s="1595"/>
      <c r="BL468" s="1517"/>
    </row>
    <row r="469" spans="1:64" s="1518" customFormat="1" hidden="1" outlineLevel="1" x14ac:dyDescent="0.35">
      <c r="A469" s="1591" t="s">
        <v>1175</v>
      </c>
      <c r="B469" s="1716"/>
      <c r="C469" s="1515"/>
      <c r="D469" s="1515"/>
      <c r="E469" s="1515"/>
      <c r="F469" s="1515"/>
      <c r="G469" s="1515"/>
      <c r="H469" s="1515"/>
      <c r="I469" s="1515"/>
      <c r="J469" s="1515"/>
      <c r="K469" s="1515"/>
      <c r="L469" s="1515"/>
      <c r="M469" s="1515"/>
      <c r="N469" s="1515"/>
      <c r="O469" s="1515"/>
      <c r="P469" s="1515"/>
      <c r="Q469" s="1515"/>
      <c r="R469" s="1515"/>
      <c r="S469" s="1515"/>
      <c r="T469" s="1515"/>
      <c r="U469" s="1515"/>
      <c r="V469" s="1515"/>
      <c r="W469" s="1515"/>
      <c r="X469" s="1515"/>
      <c r="Y469" s="1515"/>
      <c r="Z469" s="1515"/>
      <c r="AA469" s="1515"/>
      <c r="AB469" s="1515"/>
      <c r="AC469" s="1515"/>
      <c r="AD469" s="1517">
        <f t="shared" si="258"/>
        <v>300</v>
      </c>
      <c r="AE469" s="1515"/>
      <c r="AF469" s="1515"/>
      <c r="AG469" s="1515"/>
      <c r="AH469" s="1517">
        <f t="shared" si="259"/>
        <v>0</v>
      </c>
      <c r="AI469" s="1515"/>
      <c r="AJ469" s="1516"/>
      <c r="AK469" s="1515"/>
      <c r="AL469" s="1515"/>
      <c r="AM469" s="1515"/>
      <c r="AN469" s="1515"/>
      <c r="AO469" s="1515"/>
      <c r="AP469" s="1515"/>
      <c r="AQ469" s="1515"/>
      <c r="AR469" s="1595"/>
      <c r="AS469" s="1595"/>
      <c r="AT469" s="1595"/>
      <c r="AU469" s="1595"/>
      <c r="AV469" s="1595"/>
      <c r="AW469" s="1595"/>
      <c r="AX469" s="1595"/>
      <c r="AY469" s="1595"/>
      <c r="AZ469" s="1595"/>
      <c r="BA469" s="1595"/>
      <c r="BB469" s="1595"/>
      <c r="BC469" s="1595"/>
      <c r="BD469" s="1595"/>
      <c r="BE469" s="1596">
        <v>300</v>
      </c>
      <c r="BF469" s="1610"/>
      <c r="BG469" s="1595"/>
      <c r="BH469" s="1595"/>
      <c r="BI469" s="1595"/>
      <c r="BJ469" s="1595"/>
      <c r="BK469" s="1595"/>
      <c r="BL469" s="1517"/>
    </row>
    <row r="470" spans="1:64" s="1518" customFormat="1" hidden="1" outlineLevel="1" x14ac:dyDescent="0.35">
      <c r="A470" s="1591" t="s">
        <v>871</v>
      </c>
      <c r="B470" s="1716"/>
      <c r="C470" s="1515"/>
      <c r="D470" s="1515"/>
      <c r="E470" s="1515"/>
      <c r="F470" s="1515"/>
      <c r="G470" s="1515"/>
      <c r="H470" s="1515"/>
      <c r="I470" s="1515"/>
      <c r="J470" s="1515"/>
      <c r="K470" s="1515"/>
      <c r="L470" s="1515"/>
      <c r="M470" s="1515"/>
      <c r="N470" s="1515"/>
      <c r="O470" s="1515"/>
      <c r="P470" s="1515"/>
      <c r="Q470" s="1515"/>
      <c r="R470" s="1517">
        <f>BB470</f>
        <v>0</v>
      </c>
      <c r="S470" s="1515"/>
      <c r="T470" s="1593">
        <v>-83.8</v>
      </c>
      <c r="U470" s="1593">
        <v>-83.8</v>
      </c>
      <c r="V470" s="1517">
        <f>BC470</f>
        <v>-83.8</v>
      </c>
      <c r="W470" s="1515"/>
      <c r="X470" s="1515"/>
      <c r="Y470" s="1515"/>
      <c r="Z470" s="1517">
        <f>BD470</f>
        <v>0</v>
      </c>
      <c r="AA470" s="1515"/>
      <c r="AB470" s="1515"/>
      <c r="AC470" s="1515"/>
      <c r="AD470" s="1517">
        <f t="shared" si="258"/>
        <v>-17.495000000000001</v>
      </c>
      <c r="AE470" s="1515"/>
      <c r="AF470" s="1515"/>
      <c r="AG470" s="1515"/>
      <c r="AH470" s="1517">
        <f t="shared" si="259"/>
        <v>0</v>
      </c>
      <c r="AI470" s="1515"/>
      <c r="AJ470" s="1516"/>
      <c r="AK470" s="1515"/>
      <c r="AL470" s="1515"/>
      <c r="AM470" s="1515"/>
      <c r="AN470" s="1515"/>
      <c r="AO470" s="1515"/>
      <c r="AP470" s="1515"/>
      <c r="AQ470" s="1515"/>
      <c r="AR470" s="1595"/>
      <c r="AS470" s="1595"/>
      <c r="AT470" s="1595"/>
      <c r="AU470" s="1595"/>
      <c r="AV470" s="1595"/>
      <c r="AW470" s="1595"/>
      <c r="AX470" s="1595"/>
      <c r="AY470" s="1595"/>
      <c r="AZ470" s="1595"/>
      <c r="BA470" s="1595"/>
      <c r="BB470" s="1595"/>
      <c r="BC470" s="1596">
        <v>-83.8</v>
      </c>
      <c r="BD470" s="1595"/>
      <c r="BE470" s="1596">
        <v>-17.495000000000001</v>
      </c>
      <c r="BF470" s="1610"/>
      <c r="BG470" s="1595"/>
      <c r="BH470" s="1595"/>
      <c r="BI470" s="1595"/>
      <c r="BJ470" s="1595"/>
      <c r="BK470" s="1595"/>
      <c r="BL470" s="1517"/>
    </row>
    <row r="471" spans="1:64" s="1518" customFormat="1" hidden="1" outlineLevel="1" x14ac:dyDescent="0.35">
      <c r="A471" s="1591" t="s">
        <v>872</v>
      </c>
      <c r="B471" s="1716"/>
      <c r="C471" s="1515"/>
      <c r="D471" s="1515"/>
      <c r="E471" s="1515"/>
      <c r="F471" s="1515"/>
      <c r="G471" s="1515"/>
      <c r="H471" s="1515"/>
      <c r="I471" s="1515"/>
      <c r="J471" s="1515"/>
      <c r="K471" s="1515"/>
      <c r="L471" s="1515"/>
      <c r="M471" s="1515"/>
      <c r="N471" s="1515"/>
      <c r="O471" s="1515"/>
      <c r="P471" s="1515"/>
      <c r="Q471" s="1515"/>
      <c r="R471" s="1517">
        <f>BB471</f>
        <v>0</v>
      </c>
      <c r="S471" s="1515"/>
      <c r="T471" s="1593">
        <v>83.8</v>
      </c>
      <c r="U471" s="1593">
        <v>83.8</v>
      </c>
      <c r="V471" s="1517">
        <f>BC471</f>
        <v>83.8</v>
      </c>
      <c r="W471" s="1515"/>
      <c r="X471" s="1515"/>
      <c r="Y471" s="1515"/>
      <c r="Z471" s="1517">
        <f>BD471</f>
        <v>0</v>
      </c>
      <c r="AA471" s="1515"/>
      <c r="AB471" s="1515"/>
      <c r="AC471" s="1515"/>
      <c r="AD471" s="1517">
        <f t="shared" si="258"/>
        <v>222.989</v>
      </c>
      <c r="AE471" s="1515"/>
      <c r="AF471" s="1515"/>
      <c r="AG471" s="1515"/>
      <c r="AH471" s="1517">
        <f t="shared" si="259"/>
        <v>0</v>
      </c>
      <c r="AI471" s="1593">
        <v>65</v>
      </c>
      <c r="AJ471" s="1594">
        <v>65</v>
      </c>
      <c r="AK471" s="1515"/>
      <c r="AL471" s="1515"/>
      <c r="AM471" s="1515"/>
      <c r="AN471" s="1515"/>
      <c r="AO471" s="1515"/>
      <c r="AP471" s="1515"/>
      <c r="AQ471" s="1515"/>
      <c r="AR471" s="1595"/>
      <c r="AS471" s="1595"/>
      <c r="AT471" s="1595"/>
      <c r="AU471" s="1595"/>
      <c r="AV471" s="1595"/>
      <c r="AW471" s="1595"/>
      <c r="AX471" s="1595"/>
      <c r="AY471" s="1595"/>
      <c r="AZ471" s="1595"/>
      <c r="BA471" s="1595"/>
      <c r="BB471" s="1595"/>
      <c r="BC471" s="1596">
        <v>83.8</v>
      </c>
      <c r="BD471" s="1595"/>
      <c r="BE471" s="1596">
        <v>222.989</v>
      </c>
      <c r="BF471" s="1610"/>
      <c r="BG471" s="1595"/>
      <c r="BH471" s="1595"/>
      <c r="BI471" s="1595"/>
      <c r="BJ471" s="1595"/>
      <c r="BK471" s="1595"/>
      <c r="BL471" s="1517"/>
    </row>
    <row r="472" spans="1:64" s="1518" customFormat="1" hidden="1" outlineLevel="1" x14ac:dyDescent="0.35">
      <c r="A472" s="1591" t="s">
        <v>550</v>
      </c>
      <c r="B472" s="1716"/>
      <c r="C472" s="1515"/>
      <c r="D472" s="1515"/>
      <c r="E472" s="1515"/>
      <c r="F472" s="1515"/>
      <c r="G472" s="1515"/>
      <c r="H472" s="1515"/>
      <c r="I472" s="1515"/>
      <c r="J472" s="1515"/>
      <c r="K472" s="1515"/>
      <c r="L472" s="1515"/>
      <c r="M472" s="1515"/>
      <c r="N472" s="1515"/>
      <c r="O472" s="1515"/>
      <c r="P472" s="1515"/>
      <c r="Q472" s="1515"/>
      <c r="R472" s="1515"/>
      <c r="S472" s="1515"/>
      <c r="T472" s="1515"/>
      <c r="U472" s="1515"/>
      <c r="V472" s="1515"/>
      <c r="W472" s="1515"/>
      <c r="X472" s="1515"/>
      <c r="Y472" s="1515"/>
      <c r="Z472" s="1515"/>
      <c r="AA472" s="1515"/>
      <c r="AB472" s="1515"/>
      <c r="AC472" s="1515"/>
      <c r="AD472" s="1517">
        <f t="shared" si="258"/>
        <v>-9.093</v>
      </c>
      <c r="AE472" s="1515"/>
      <c r="AF472" s="1515"/>
      <c r="AG472" s="1515"/>
      <c r="AH472" s="1517">
        <f t="shared" si="259"/>
        <v>0</v>
      </c>
      <c r="AI472" s="1515"/>
      <c r="AJ472" s="1516"/>
      <c r="AK472" s="1515"/>
      <c r="AL472" s="1515"/>
      <c r="AM472" s="1515"/>
      <c r="AN472" s="1515"/>
      <c r="AO472" s="1515"/>
      <c r="AP472" s="1515"/>
      <c r="AQ472" s="1515"/>
      <c r="AR472" s="1595"/>
      <c r="AS472" s="1595"/>
      <c r="AT472" s="1595"/>
      <c r="AU472" s="1595"/>
      <c r="AV472" s="1595"/>
      <c r="AW472" s="1595"/>
      <c r="AX472" s="1595"/>
      <c r="AY472" s="1595"/>
      <c r="AZ472" s="1595"/>
      <c r="BA472" s="1595"/>
      <c r="BB472" s="1595"/>
      <c r="BC472" s="1595"/>
      <c r="BD472" s="1595"/>
      <c r="BE472" s="1596">
        <v>-9.093</v>
      </c>
      <c r="BF472" s="1610"/>
      <c r="BG472" s="1595"/>
      <c r="BH472" s="1595"/>
      <c r="BI472" s="1595"/>
      <c r="BJ472" s="1595"/>
      <c r="BK472" s="1595"/>
      <c r="BL472" s="1517"/>
    </row>
    <row r="473" spans="1:64" s="1518" customFormat="1" hidden="1" outlineLevel="1" x14ac:dyDescent="0.35">
      <c r="A473" s="1591" t="s">
        <v>1176</v>
      </c>
      <c r="B473" s="1716"/>
      <c r="C473" s="1515"/>
      <c r="D473" s="1515"/>
      <c r="E473" s="1515"/>
      <c r="F473" s="1515"/>
      <c r="G473" s="1515"/>
      <c r="H473" s="1515"/>
      <c r="I473" s="1515"/>
      <c r="J473" s="1515"/>
      <c r="K473" s="1515"/>
      <c r="L473" s="1515"/>
      <c r="M473" s="1515"/>
      <c r="N473" s="1515"/>
      <c r="O473" s="1515"/>
      <c r="P473" s="1515"/>
      <c r="Q473" s="1515"/>
      <c r="R473" s="1515"/>
      <c r="S473" s="1515"/>
      <c r="T473" s="1515"/>
      <c r="U473" s="1515"/>
      <c r="V473" s="1515"/>
      <c r="W473" s="1515"/>
      <c r="X473" s="1515"/>
      <c r="Y473" s="1515"/>
      <c r="Z473" s="1515"/>
      <c r="AA473" s="1515"/>
      <c r="AB473" s="1515"/>
      <c r="AC473" s="1515"/>
      <c r="AD473" s="1515"/>
      <c r="AE473" s="1593">
        <v>-0.48699999999999999</v>
      </c>
      <c r="AF473" s="1593">
        <v>-0.57199999999999995</v>
      </c>
      <c r="AG473" s="1593">
        <v>-3.597</v>
      </c>
      <c r="AH473" s="1517">
        <f t="shared" si="259"/>
        <v>-5.6970000000000001</v>
      </c>
      <c r="AI473" s="1593">
        <v>-3.903</v>
      </c>
      <c r="AJ473" s="1594">
        <v>-4.1790000000000003</v>
      </c>
      <c r="AK473" s="1515"/>
      <c r="AL473" s="1515"/>
      <c r="AM473" s="1515"/>
      <c r="AN473" s="1515"/>
      <c r="AO473" s="1515"/>
      <c r="AP473" s="1515"/>
      <c r="AQ473" s="1515"/>
      <c r="AR473" s="1595"/>
      <c r="AS473" s="1595"/>
      <c r="AT473" s="1595"/>
      <c r="AU473" s="1595"/>
      <c r="AV473" s="1595"/>
      <c r="AW473" s="1595"/>
      <c r="AX473" s="1595"/>
      <c r="AY473" s="1595"/>
      <c r="AZ473" s="1595"/>
      <c r="BA473" s="1595"/>
      <c r="BB473" s="1595"/>
      <c r="BC473" s="1595"/>
      <c r="BD473" s="1595"/>
      <c r="BE473" s="1595"/>
      <c r="BF473" s="1597">
        <v>-5.6970000000000001</v>
      </c>
      <c r="BG473" s="1595"/>
      <c r="BH473" s="1595"/>
      <c r="BI473" s="1595"/>
      <c r="BJ473" s="1595"/>
      <c r="BK473" s="1595"/>
      <c r="BL473" s="1517"/>
    </row>
    <row r="474" spans="1:64" s="1518" customFormat="1" hidden="1" outlineLevel="1" x14ac:dyDescent="0.35">
      <c r="A474" s="1591" t="s">
        <v>873</v>
      </c>
      <c r="B474" s="1716"/>
      <c r="C474" s="1515"/>
      <c r="D474" s="1515"/>
      <c r="E474" s="1515"/>
      <c r="F474" s="1515"/>
      <c r="G474" s="1515"/>
      <c r="H474" s="1515"/>
      <c r="I474" s="1515"/>
      <c r="J474" s="1515"/>
      <c r="K474" s="1515"/>
      <c r="L474" s="1515"/>
      <c r="M474" s="1515"/>
      <c r="N474" s="1515"/>
      <c r="O474" s="1515"/>
      <c r="P474" s="1515"/>
      <c r="Q474" s="1515"/>
      <c r="R474" s="1517">
        <f>BB474</f>
        <v>-1.53</v>
      </c>
      <c r="S474" s="1515"/>
      <c r="T474" s="1515"/>
      <c r="U474" s="1515"/>
      <c r="V474" s="1517">
        <f>BC474</f>
        <v>0</v>
      </c>
      <c r="W474" s="1593">
        <v>-0.73799999999999999</v>
      </c>
      <c r="X474" s="1593">
        <v>-0.73799999999999999</v>
      </c>
      <c r="Y474" s="1593">
        <v>-0.73799999999999999</v>
      </c>
      <c r="Z474" s="1517">
        <f>BD474</f>
        <v>-0.73799999999999999</v>
      </c>
      <c r="AA474" s="1515"/>
      <c r="AB474" s="1593">
        <v>-0.215</v>
      </c>
      <c r="AC474" s="1593">
        <v>-0.22600000000000001</v>
      </c>
      <c r="AD474" s="1517">
        <f>BE474</f>
        <v>-0.22600000000000001</v>
      </c>
      <c r="AE474" s="1593">
        <v>-0.30499999999999999</v>
      </c>
      <c r="AF474" s="1593">
        <v>-0.30499999999999999</v>
      </c>
      <c r="AG474" s="1593">
        <v>-0.30499999999999999</v>
      </c>
      <c r="AH474" s="1517">
        <f t="shared" si="259"/>
        <v>-0.30499999999999999</v>
      </c>
      <c r="AI474" s="1515"/>
      <c r="AJ474" s="1516"/>
      <c r="AK474" s="1515"/>
      <c r="AL474" s="1515"/>
      <c r="AM474" s="1515"/>
      <c r="AN474" s="1515"/>
      <c r="AO474" s="1515"/>
      <c r="AP474" s="1515"/>
      <c r="AQ474" s="1515"/>
      <c r="AR474" s="1595"/>
      <c r="AS474" s="1595"/>
      <c r="AT474" s="1595"/>
      <c r="AU474" s="1595"/>
      <c r="AV474" s="1595"/>
      <c r="AW474" s="1595"/>
      <c r="AX474" s="1595"/>
      <c r="AY474" s="1595"/>
      <c r="AZ474" s="1595"/>
      <c r="BA474" s="1595"/>
      <c r="BB474" s="1596">
        <v>-1.53</v>
      </c>
      <c r="BC474" s="1595"/>
      <c r="BD474" s="1596">
        <v>-0.73799999999999999</v>
      </c>
      <c r="BE474" s="1596">
        <v>-0.22600000000000001</v>
      </c>
      <c r="BF474" s="1597">
        <v>-0.30499999999999999</v>
      </c>
      <c r="BG474" s="1595"/>
      <c r="BH474" s="1595"/>
      <c r="BI474" s="1595"/>
      <c r="BJ474" s="1595"/>
      <c r="BK474" s="1595"/>
      <c r="BL474" s="1517"/>
    </row>
    <row r="475" spans="1:64" s="1518" customFormat="1" hidden="1" outlineLevel="1" x14ac:dyDescent="0.35">
      <c r="A475" s="1591" t="s">
        <v>1177</v>
      </c>
      <c r="B475" s="1716"/>
      <c r="C475" s="1515"/>
      <c r="D475" s="1515"/>
      <c r="E475" s="1515"/>
      <c r="F475" s="1515"/>
      <c r="G475" s="1515"/>
      <c r="H475" s="1515"/>
      <c r="I475" s="1515"/>
      <c r="J475" s="1515"/>
      <c r="K475" s="1515"/>
      <c r="L475" s="1515"/>
      <c r="M475" s="1515"/>
      <c r="N475" s="1515"/>
      <c r="O475" s="1515"/>
      <c r="P475" s="1515"/>
      <c r="Q475" s="1515"/>
      <c r="R475" s="1517">
        <f>BB475</f>
        <v>-1.2E-2</v>
      </c>
      <c r="S475" s="1515"/>
      <c r="T475" s="1593">
        <v>-2E-3</v>
      </c>
      <c r="U475" s="1593">
        <v>-5.0000000000000001E-3</v>
      </c>
      <c r="V475" s="1517">
        <f>BC475</f>
        <v>-7.0000000000000001E-3</v>
      </c>
      <c r="W475" s="1593">
        <v>-1E-3</v>
      </c>
      <c r="X475" s="1593">
        <v>-7.0000000000000001E-3</v>
      </c>
      <c r="Y475" s="1593">
        <v>-8.0000000000000002E-3</v>
      </c>
      <c r="Z475" s="1517">
        <f>BD475</f>
        <v>-8.9999999999999993E-3</v>
      </c>
      <c r="AA475" s="1593">
        <v>-1E-3</v>
      </c>
      <c r="AB475" s="1593">
        <v>-1E-3</v>
      </c>
      <c r="AC475" s="1593">
        <v>-3.0000000000000001E-3</v>
      </c>
      <c r="AD475" s="1517">
        <f>BE475</f>
        <v>-3.0000000000000001E-3</v>
      </c>
      <c r="AE475" s="1515"/>
      <c r="AF475" s="1515"/>
      <c r="AG475" s="1515"/>
      <c r="AH475" s="1517">
        <f t="shared" si="259"/>
        <v>0</v>
      </c>
      <c r="AI475" s="1515"/>
      <c r="AJ475" s="1516"/>
      <c r="AK475" s="1515"/>
      <c r="AL475" s="1515"/>
      <c r="AM475" s="1515"/>
      <c r="AN475" s="1515"/>
      <c r="AO475" s="1515"/>
      <c r="AP475" s="1515"/>
      <c r="AQ475" s="1515"/>
      <c r="AR475" s="1595"/>
      <c r="AS475" s="1595"/>
      <c r="AT475" s="1595"/>
      <c r="AU475" s="1595"/>
      <c r="AV475" s="1595"/>
      <c r="AW475" s="1595"/>
      <c r="AX475" s="1595"/>
      <c r="AY475" s="1595"/>
      <c r="AZ475" s="1595"/>
      <c r="BA475" s="1595"/>
      <c r="BB475" s="1596">
        <v>-1.2E-2</v>
      </c>
      <c r="BC475" s="1596">
        <v>-7.0000000000000001E-3</v>
      </c>
      <c r="BD475" s="1596">
        <v>-8.9999999999999993E-3</v>
      </c>
      <c r="BE475" s="1596">
        <v>-3.0000000000000001E-3</v>
      </c>
      <c r="BF475" s="1610"/>
      <c r="BG475" s="1595"/>
      <c r="BH475" s="1595"/>
      <c r="BI475" s="1595"/>
      <c r="BJ475" s="1595"/>
      <c r="BK475" s="1595"/>
      <c r="BL475" s="1517"/>
    </row>
    <row r="476" spans="1:64" s="1518" customFormat="1" hidden="1" outlineLevel="1" x14ac:dyDescent="0.35">
      <c r="A476" s="1591" t="s">
        <v>1178</v>
      </c>
      <c r="B476" s="1716"/>
      <c r="C476" s="1515"/>
      <c r="D476" s="1515"/>
      <c r="E476" s="1515"/>
      <c r="F476" s="1515"/>
      <c r="G476" s="1515"/>
      <c r="H476" s="1515"/>
      <c r="I476" s="1515"/>
      <c r="J476" s="1515"/>
      <c r="K476" s="1515"/>
      <c r="L476" s="1515"/>
      <c r="M476" s="1515"/>
      <c r="N476" s="1515"/>
      <c r="O476" s="1515"/>
      <c r="P476" s="1515"/>
      <c r="Q476" s="1515"/>
      <c r="R476" s="1517">
        <f>BB476</f>
        <v>0</v>
      </c>
      <c r="S476" s="1515"/>
      <c r="T476" s="1515"/>
      <c r="U476" s="1515"/>
      <c r="V476" s="1517">
        <f>BC476</f>
        <v>0</v>
      </c>
      <c r="W476" s="1515"/>
      <c r="X476" s="1515"/>
      <c r="Y476" s="1515"/>
      <c r="Z476" s="1517">
        <f>BD476</f>
        <v>0</v>
      </c>
      <c r="AA476" s="1515"/>
      <c r="AB476" s="1515"/>
      <c r="AC476" s="1515"/>
      <c r="AD476" s="1517">
        <f>BE476</f>
        <v>0</v>
      </c>
      <c r="AE476" s="1515"/>
      <c r="AF476" s="1515"/>
      <c r="AG476" s="1515"/>
      <c r="AH476" s="1517">
        <f t="shared" si="259"/>
        <v>0</v>
      </c>
      <c r="AI476" s="1515"/>
      <c r="AJ476" s="1516"/>
      <c r="AK476" s="1515"/>
      <c r="AL476" s="1515"/>
      <c r="AM476" s="1515"/>
      <c r="AN476" s="1515"/>
      <c r="AO476" s="1515"/>
      <c r="AP476" s="1515"/>
      <c r="AQ476" s="1515"/>
      <c r="AR476" s="1595"/>
      <c r="AS476" s="1595"/>
      <c r="AT476" s="1595"/>
      <c r="AU476" s="1595"/>
      <c r="AV476" s="1595"/>
      <c r="AW476" s="1595"/>
      <c r="AX476" s="1595"/>
      <c r="AY476" s="1595"/>
      <c r="AZ476" s="1595"/>
      <c r="BA476" s="1595"/>
      <c r="BB476" s="1595"/>
      <c r="BC476" s="1595"/>
      <c r="BD476" s="1595"/>
      <c r="BE476" s="1595"/>
      <c r="BF476" s="1610"/>
      <c r="BG476" s="1595"/>
      <c r="BH476" s="1595"/>
      <c r="BI476" s="1595"/>
      <c r="BJ476" s="1595"/>
      <c r="BK476" s="1595"/>
      <c r="BL476" s="1517"/>
    </row>
    <row r="477" spans="1:64" s="1608" customFormat="1" hidden="1" outlineLevel="1" x14ac:dyDescent="0.35">
      <c r="A477" s="1599" t="s">
        <v>1179</v>
      </c>
      <c r="B477" s="1717"/>
      <c r="C477" s="1601"/>
      <c r="D477" s="1601"/>
      <c r="E477" s="1601"/>
      <c r="F477" s="1601"/>
      <c r="G477" s="1601"/>
      <c r="H477" s="1601"/>
      <c r="I477" s="1601"/>
      <c r="J477" s="1601"/>
      <c r="K477" s="1601"/>
      <c r="L477" s="1601"/>
      <c r="M477" s="1601"/>
      <c r="N477" s="1601"/>
      <c r="O477" s="1601"/>
      <c r="P477" s="1601"/>
      <c r="Q477" s="1601"/>
      <c r="R477" s="1602">
        <f t="shared" ref="R477:AJ477" si="260">SUM(R460:R476)</f>
        <v>-7.8730000000000002</v>
      </c>
      <c r="S477" s="1602">
        <f t="shared" si="260"/>
        <v>0</v>
      </c>
      <c r="T477" s="1602">
        <f t="shared" si="260"/>
        <v>-2.0320000000000009</v>
      </c>
      <c r="U477" s="1602">
        <f t="shared" si="260"/>
        <v>-3.6510000000000007</v>
      </c>
      <c r="V477" s="1602">
        <f t="shared" si="260"/>
        <v>-3.2179999999999986</v>
      </c>
      <c r="W477" s="1602">
        <f t="shared" si="260"/>
        <v>-0.12700000000000011</v>
      </c>
      <c r="X477" s="1602">
        <f t="shared" si="260"/>
        <v>-8.234</v>
      </c>
      <c r="Y477" s="1602">
        <f t="shared" si="260"/>
        <v>102.3</v>
      </c>
      <c r="Z477" s="1602">
        <f t="shared" si="260"/>
        <v>-1.0869999999999891</v>
      </c>
      <c r="AA477" s="1602">
        <f t="shared" si="260"/>
        <v>-1.7709999999999999</v>
      </c>
      <c r="AB477" s="1602">
        <f t="shared" si="260"/>
        <v>-2.8579999999999997</v>
      </c>
      <c r="AC477" s="1602">
        <f t="shared" si="260"/>
        <v>-3.0090000000000003</v>
      </c>
      <c r="AD477" s="1602">
        <f t="shared" si="260"/>
        <v>-25.938999999999989</v>
      </c>
      <c r="AE477" s="1602">
        <f t="shared" si="260"/>
        <v>-10.378</v>
      </c>
      <c r="AF477" s="1602">
        <f t="shared" si="260"/>
        <v>-29.357999999999997</v>
      </c>
      <c r="AG477" s="1602">
        <f t="shared" si="260"/>
        <v>-53.572000000000003</v>
      </c>
      <c r="AH477" s="1602">
        <f t="shared" si="260"/>
        <v>-75.90300000000002</v>
      </c>
      <c r="AI477" s="1602">
        <f t="shared" si="260"/>
        <v>85.666999999999987</v>
      </c>
      <c r="AJ477" s="1603">
        <f t="shared" si="260"/>
        <v>82.062999999999988</v>
      </c>
      <c r="AK477" s="1601"/>
      <c r="AL477" s="1601"/>
      <c r="AM477" s="1601"/>
      <c r="AN477" s="1601"/>
      <c r="AO477" s="1601"/>
      <c r="AP477" s="1601"/>
      <c r="AQ477" s="1601"/>
      <c r="AR477" s="1604"/>
      <c r="AS477" s="1604"/>
      <c r="AT477" s="1604"/>
      <c r="AU477" s="1604"/>
      <c r="AV477" s="1604"/>
      <c r="AW477" s="1604"/>
      <c r="AX477" s="1604"/>
      <c r="AY477" s="1604"/>
      <c r="AZ477" s="1604"/>
      <c r="BA477" s="1604"/>
      <c r="BB477" s="1605">
        <f>SUM(BB460:BB476)</f>
        <v>-7.8730000000000002</v>
      </c>
      <c r="BC477" s="1605">
        <f>SUM(BC460:BC476)</f>
        <v>-3.2179999999999986</v>
      </c>
      <c r="BD477" s="1605">
        <f>SUM(BD460:BD476)</f>
        <v>-1.0869999999999891</v>
      </c>
      <c r="BE477" s="1605">
        <f>SUM(BE460:BE476)</f>
        <v>-25.938999999999989</v>
      </c>
      <c r="BF477" s="1718">
        <f>SUM(BF460:BF476)</f>
        <v>-75.90300000000002</v>
      </c>
      <c r="BG477" s="1604"/>
      <c r="BH477" s="1604"/>
      <c r="BI477" s="1604"/>
      <c r="BJ477" s="1604"/>
      <c r="BK477" s="1604"/>
      <c r="BL477" s="1607"/>
    </row>
    <row r="478" spans="1:64" s="1608" customFormat="1" hidden="1" outlineLevel="1" x14ac:dyDescent="0.35">
      <c r="A478" s="1665"/>
      <c r="B478" s="1712"/>
      <c r="C478" s="1667"/>
      <c r="D478" s="1667"/>
      <c r="E478" s="1667"/>
      <c r="F478" s="1667"/>
      <c r="G478" s="1667"/>
      <c r="H478" s="1667"/>
      <c r="I478" s="1667"/>
      <c r="J478" s="1667"/>
      <c r="K478" s="1667"/>
      <c r="L478" s="1667"/>
      <c r="M478" s="1667"/>
      <c r="N478" s="1667"/>
      <c r="O478" s="1667"/>
      <c r="P478" s="1667"/>
      <c r="Q478" s="1667"/>
      <c r="R478" s="1667"/>
      <c r="S478" s="1667"/>
      <c r="T478" s="1667"/>
      <c r="U478" s="1667"/>
      <c r="V478" s="1667"/>
      <c r="W478" s="1667"/>
      <c r="X478" s="1667"/>
      <c r="Y478" s="1667"/>
      <c r="Z478" s="1667"/>
      <c r="AA478" s="1667"/>
      <c r="AB478" s="1667"/>
      <c r="AC478" s="1667"/>
      <c r="AD478" s="1667"/>
      <c r="AE478" s="1667"/>
      <c r="AF478" s="1667"/>
      <c r="AG478" s="1667"/>
      <c r="AH478" s="1667"/>
      <c r="AI478" s="1667"/>
      <c r="AJ478" s="1668"/>
      <c r="AK478" s="1667"/>
      <c r="AL478" s="1667"/>
      <c r="AM478" s="1667"/>
      <c r="AN478" s="1667"/>
      <c r="AO478" s="1667"/>
      <c r="AP478" s="1667"/>
      <c r="AQ478" s="1667"/>
      <c r="AR478" s="1669"/>
      <c r="AS478" s="1669"/>
      <c r="AT478" s="1669"/>
      <c r="AU478" s="1669"/>
      <c r="AV478" s="1669"/>
      <c r="AW478" s="1669"/>
      <c r="AX478" s="1669"/>
      <c r="AY478" s="1669"/>
      <c r="AZ478" s="1669"/>
      <c r="BA478" s="1669"/>
      <c r="BB478" s="1669"/>
      <c r="BC478" s="1669"/>
      <c r="BD478" s="1669"/>
      <c r="BE478" s="1669"/>
      <c r="BF478" s="1612"/>
      <c r="BG478" s="1595"/>
      <c r="BH478" s="1595"/>
      <c r="BI478" s="1595"/>
      <c r="BJ478" s="1595"/>
      <c r="BK478" s="1595"/>
      <c r="BL478" s="1607"/>
    </row>
    <row r="479" spans="1:64" s="1608" customFormat="1" hidden="1" outlineLevel="1" x14ac:dyDescent="0.35">
      <c r="A479" s="1711" t="s">
        <v>300</v>
      </c>
      <c r="B479" s="1712"/>
      <c r="C479" s="1667"/>
      <c r="D479" s="1667"/>
      <c r="E479" s="1667"/>
      <c r="F479" s="1667"/>
      <c r="G479" s="1667"/>
      <c r="H479" s="1667"/>
      <c r="I479" s="1667"/>
      <c r="J479" s="1667"/>
      <c r="K479" s="1667"/>
      <c r="L479" s="1667"/>
      <c r="M479" s="1667"/>
      <c r="N479" s="1667"/>
      <c r="O479" s="1667"/>
      <c r="P479" s="1667"/>
      <c r="Q479" s="1667"/>
      <c r="R479" s="1607">
        <f>BB479</f>
        <v>0.42699999999999999</v>
      </c>
      <c r="S479" s="1667"/>
      <c r="T479" s="1677">
        <v>-2.52</v>
      </c>
      <c r="U479" s="1677">
        <v>-2.194</v>
      </c>
      <c r="V479" s="1607">
        <f>BC479</f>
        <v>-0.36699999999999999</v>
      </c>
      <c r="W479" s="1677">
        <v>0.151</v>
      </c>
      <c r="X479" s="1677">
        <v>-0.10299999999999999</v>
      </c>
      <c r="Y479" s="1677">
        <v>-0.86299999999999999</v>
      </c>
      <c r="Z479" s="1607">
        <f>BD479</f>
        <v>-0.77700000000000002</v>
      </c>
      <c r="AA479" s="1677">
        <v>-9.1999999999999998E-2</v>
      </c>
      <c r="AB479" s="1677">
        <v>-1.7350000000000001</v>
      </c>
      <c r="AC479" s="1677">
        <v>-3.7250000000000001</v>
      </c>
      <c r="AD479" s="1607">
        <f>BE479</f>
        <v>-3.0910000000000002</v>
      </c>
      <c r="AE479" s="1677">
        <v>0.02</v>
      </c>
      <c r="AF479" s="1677">
        <v>-0.12</v>
      </c>
      <c r="AG479" s="1677">
        <v>-1.492</v>
      </c>
      <c r="AH479" s="1607">
        <f>BF479</f>
        <v>-0.379</v>
      </c>
      <c r="AI479" s="1677">
        <v>-0.48699999999999999</v>
      </c>
      <c r="AJ479" s="1713">
        <v>-0.49</v>
      </c>
      <c r="AK479" s="1667"/>
      <c r="AL479" s="1667"/>
      <c r="AM479" s="1667"/>
      <c r="AN479" s="1667"/>
      <c r="AO479" s="1667"/>
      <c r="AP479" s="1667"/>
      <c r="AQ479" s="1667"/>
      <c r="AR479" s="1669"/>
      <c r="AS479" s="1669"/>
      <c r="AT479" s="1669"/>
      <c r="AU479" s="1669"/>
      <c r="AV479" s="1669"/>
      <c r="AW479" s="1669"/>
      <c r="AX479" s="1669"/>
      <c r="AY479" s="1669"/>
      <c r="AZ479" s="1669"/>
      <c r="BA479" s="1669"/>
      <c r="BB479" s="1714">
        <v>0.42699999999999999</v>
      </c>
      <c r="BC479" s="1714">
        <v>-0.36699999999999999</v>
      </c>
      <c r="BD479" s="1714">
        <v>-0.77700000000000002</v>
      </c>
      <c r="BE479" s="1714">
        <v>-3.0910000000000002</v>
      </c>
      <c r="BF479" s="1715">
        <v>-0.379</v>
      </c>
      <c r="BG479" s="1669"/>
      <c r="BH479" s="1669"/>
      <c r="BI479" s="1669"/>
      <c r="BJ479" s="1669"/>
      <c r="BK479" s="1669"/>
      <c r="BL479" s="1607"/>
    </row>
    <row r="480" spans="1:64" s="1608" customFormat="1" hidden="1" outlineLevel="1" x14ac:dyDescent="0.35">
      <c r="A480" s="1711" t="s">
        <v>1180</v>
      </c>
      <c r="B480" s="1712"/>
      <c r="C480" s="1667"/>
      <c r="D480" s="1667"/>
      <c r="E480" s="1667"/>
      <c r="F480" s="1667"/>
      <c r="G480" s="1667"/>
      <c r="H480" s="1667"/>
      <c r="I480" s="1667"/>
      <c r="J480" s="1667"/>
      <c r="K480" s="1667"/>
      <c r="L480" s="1667"/>
      <c r="M480" s="1667"/>
      <c r="N480" s="1667"/>
      <c r="O480" s="1667"/>
      <c r="P480" s="1667"/>
      <c r="Q480" s="1667"/>
      <c r="R480" s="1607">
        <f t="shared" ref="R480:AJ480" si="261">R477+R457+R449+R479</f>
        <v>-5.11099999999999</v>
      </c>
      <c r="S480" s="1607">
        <f t="shared" si="261"/>
        <v>0</v>
      </c>
      <c r="T480" s="1607">
        <f t="shared" si="261"/>
        <v>6.3640000000000079</v>
      </c>
      <c r="U480" s="1607">
        <f t="shared" si="261"/>
        <v>7.1590000000000016</v>
      </c>
      <c r="V480" s="1607">
        <f t="shared" si="261"/>
        <v>16.333999999999993</v>
      </c>
      <c r="W480" s="1607">
        <f t="shared" si="261"/>
        <v>17.821999999999999</v>
      </c>
      <c r="X480" s="1607">
        <f t="shared" si="261"/>
        <v>27.658000000000005</v>
      </c>
      <c r="Y480" s="1607">
        <f t="shared" si="261"/>
        <v>125.76399999999998</v>
      </c>
      <c r="Z480" s="1607">
        <f t="shared" si="261"/>
        <v>-18.634999999999977</v>
      </c>
      <c r="AA480" s="1607">
        <f t="shared" si="261"/>
        <v>-3.6509999999999967</v>
      </c>
      <c r="AB480" s="1607">
        <f t="shared" si="261"/>
        <v>17.813000000000013</v>
      </c>
      <c r="AC480" s="1607">
        <f t="shared" si="261"/>
        <v>51.192000000000029</v>
      </c>
      <c r="AD480" s="1607">
        <f t="shared" si="261"/>
        <v>55.097000000000016</v>
      </c>
      <c r="AE480" s="1607">
        <f t="shared" si="261"/>
        <v>-52.130999999999993</v>
      </c>
      <c r="AF480" s="1607">
        <f t="shared" si="261"/>
        <v>-54.277999999999992</v>
      </c>
      <c r="AG480" s="1607">
        <f t="shared" si="261"/>
        <v>-53.218000000000011</v>
      </c>
      <c r="AH480" s="1607">
        <f t="shared" si="261"/>
        <v>-48.870999999999988</v>
      </c>
      <c r="AI480" s="1607">
        <f t="shared" si="261"/>
        <v>12.754999999999983</v>
      </c>
      <c r="AJ480" s="1730">
        <f t="shared" si="261"/>
        <v>19.958000000000002</v>
      </c>
      <c r="AK480" s="1667"/>
      <c r="AL480" s="1667"/>
      <c r="AM480" s="1667"/>
      <c r="AN480" s="1667"/>
      <c r="AO480" s="1667"/>
      <c r="AP480" s="1667"/>
      <c r="AQ480" s="1667"/>
      <c r="AR480" s="1669"/>
      <c r="AS480" s="1669"/>
      <c r="AT480" s="1669"/>
      <c r="AU480" s="1669"/>
      <c r="AV480" s="1669"/>
      <c r="AW480" s="1669"/>
      <c r="AX480" s="1669"/>
      <c r="AY480" s="1669"/>
      <c r="AZ480" s="1669"/>
      <c r="BA480" s="1669"/>
      <c r="BB480" s="1731">
        <f>BB477+BB457+BB449+BB479</f>
        <v>-5.11099999999999</v>
      </c>
      <c r="BC480" s="1731">
        <f>BC477+BC457+BC449+BC479</f>
        <v>16.333999999999993</v>
      </c>
      <c r="BD480" s="1731">
        <f>BD477+BD457+BD449+BD479</f>
        <v>-18.634999999999977</v>
      </c>
      <c r="BE480" s="1731">
        <f>BE477+BE457+BE449+BE479</f>
        <v>55.097000000000016</v>
      </c>
      <c r="BF480" s="1606">
        <f>BF477+BF457+BF449+BF479</f>
        <v>-48.870999999999988</v>
      </c>
      <c r="BG480" s="1669"/>
      <c r="BH480" s="1669"/>
      <c r="BI480" s="1669"/>
      <c r="BJ480" s="1669"/>
      <c r="BK480" s="1669"/>
      <c r="BL480" s="1607"/>
    </row>
    <row r="481" spans="1:64" s="1608" customFormat="1" hidden="1" outlineLevel="1" x14ac:dyDescent="0.35">
      <c r="A481" s="1665"/>
      <c r="B481" s="1712"/>
      <c r="C481" s="1667"/>
      <c r="D481" s="1667"/>
      <c r="E481" s="1667"/>
      <c r="F481" s="1667"/>
      <c r="G481" s="1667"/>
      <c r="H481" s="1667"/>
      <c r="I481" s="1667"/>
      <c r="J481" s="1667"/>
      <c r="K481" s="1667"/>
      <c r="L481" s="1667"/>
      <c r="M481" s="1667"/>
      <c r="N481" s="1667"/>
      <c r="O481" s="1667"/>
      <c r="P481" s="1667"/>
      <c r="Q481" s="1667"/>
      <c r="R481" s="1667"/>
      <c r="S481" s="1667"/>
      <c r="T481" s="1667"/>
      <c r="U481" s="1667"/>
      <c r="V481" s="1667"/>
      <c r="W481" s="1667"/>
      <c r="X481" s="1667"/>
      <c r="Y481" s="1667"/>
      <c r="Z481" s="1667"/>
      <c r="AA481" s="1667"/>
      <c r="AB481" s="1667"/>
      <c r="AC481" s="1667"/>
      <c r="AD481" s="1667"/>
      <c r="AE481" s="1667"/>
      <c r="AF481" s="1667"/>
      <c r="AG481" s="1667"/>
      <c r="AH481" s="1667"/>
      <c r="AI481" s="1667"/>
      <c r="AJ481" s="1668"/>
      <c r="AK481" s="1667"/>
      <c r="AL481" s="1667"/>
      <c r="AM481" s="1667"/>
      <c r="AN481" s="1667"/>
      <c r="AO481" s="1667"/>
      <c r="AP481" s="1667"/>
      <c r="AQ481" s="1667"/>
      <c r="AR481" s="1669"/>
      <c r="AS481" s="1669"/>
      <c r="AT481" s="1669"/>
      <c r="AU481" s="1669"/>
      <c r="AV481" s="1669"/>
      <c r="AW481" s="1669"/>
      <c r="AX481" s="1669"/>
      <c r="AY481" s="1669"/>
      <c r="AZ481" s="1669"/>
      <c r="BA481" s="1669"/>
      <c r="BB481" s="1669"/>
      <c r="BC481" s="1669"/>
      <c r="BD481" s="1669"/>
      <c r="BE481" s="1669"/>
      <c r="BF481" s="1612"/>
      <c r="BG481" s="1669"/>
      <c r="BH481" s="1669"/>
      <c r="BI481" s="1669"/>
      <c r="BJ481" s="1669"/>
      <c r="BK481" s="1669"/>
      <c r="BL481" s="1607"/>
    </row>
    <row r="482" spans="1:64" s="1608" customFormat="1" hidden="1" outlineLevel="1" x14ac:dyDescent="0.35">
      <c r="A482" s="1711" t="s">
        <v>1181</v>
      </c>
      <c r="B482" s="1712"/>
      <c r="C482" s="1667"/>
      <c r="D482" s="1667"/>
      <c r="E482" s="1667"/>
      <c r="F482" s="1667"/>
      <c r="G482" s="1667"/>
      <c r="H482" s="1667"/>
      <c r="I482" s="1667"/>
      <c r="J482" s="1667"/>
      <c r="K482" s="1667"/>
      <c r="L482" s="1667"/>
      <c r="M482" s="1667"/>
      <c r="N482" s="1667"/>
      <c r="O482" s="1667"/>
      <c r="P482" s="1667"/>
      <c r="Q482" s="1667"/>
      <c r="R482" s="1677">
        <v>55.41</v>
      </c>
      <c r="S482" s="1607">
        <f>BB483</f>
        <v>50.299000000000007</v>
      </c>
      <c r="T482" s="1607">
        <f>S482</f>
        <v>50.299000000000007</v>
      </c>
      <c r="U482" s="1607">
        <f>T482</f>
        <v>50.299000000000007</v>
      </c>
      <c r="V482" s="1607">
        <f>U482</f>
        <v>50.299000000000007</v>
      </c>
      <c r="W482" s="1607">
        <f>BC483</f>
        <v>66.632999999999996</v>
      </c>
      <c r="X482" s="1607">
        <f>W482</f>
        <v>66.632999999999996</v>
      </c>
      <c r="Y482" s="1607">
        <f>X482</f>
        <v>66.632999999999996</v>
      </c>
      <c r="Z482" s="1607">
        <f>Y482</f>
        <v>66.632999999999996</v>
      </c>
      <c r="AA482" s="1607">
        <f>BD483</f>
        <v>47.998000000000019</v>
      </c>
      <c r="AB482" s="1607">
        <f>AA482</f>
        <v>47.998000000000019</v>
      </c>
      <c r="AC482" s="1607">
        <f>AB482</f>
        <v>47.998000000000019</v>
      </c>
      <c r="AD482" s="1607">
        <f>AC482</f>
        <v>47.998000000000019</v>
      </c>
      <c r="AE482" s="1607">
        <f>BE483</f>
        <v>103.09500000000003</v>
      </c>
      <c r="AF482" s="1607">
        <f>AE482</f>
        <v>103.09500000000003</v>
      </c>
      <c r="AG482" s="1607">
        <f>AF482</f>
        <v>103.09500000000003</v>
      </c>
      <c r="AH482" s="1607">
        <f>AG482</f>
        <v>103.09500000000003</v>
      </c>
      <c r="AI482" s="1607">
        <f>BF483</f>
        <v>54.224000000000039</v>
      </c>
      <c r="AJ482" s="1730">
        <f>AI482</f>
        <v>54.224000000000039</v>
      </c>
      <c r="AK482" s="1667"/>
      <c r="AL482" s="1667"/>
      <c r="AM482" s="1667"/>
      <c r="AN482" s="1667"/>
      <c r="AO482" s="1667"/>
      <c r="AP482" s="1667"/>
      <c r="AQ482" s="1667"/>
      <c r="AR482" s="1669"/>
      <c r="AS482" s="1669"/>
      <c r="AT482" s="1669"/>
      <c r="AU482" s="1669"/>
      <c r="AV482" s="1669"/>
      <c r="AW482" s="1669"/>
      <c r="AX482" s="1669"/>
      <c r="AY482" s="1669"/>
      <c r="AZ482" s="1669"/>
      <c r="BA482" s="1669"/>
      <c r="BB482" s="1731">
        <f>R482</f>
        <v>55.41</v>
      </c>
      <c r="BC482" s="1731">
        <f>V482</f>
        <v>50.299000000000007</v>
      </c>
      <c r="BD482" s="1731">
        <f>Z482</f>
        <v>66.632999999999996</v>
      </c>
      <c r="BE482" s="1731">
        <f>AD482</f>
        <v>47.998000000000019</v>
      </c>
      <c r="BF482" s="1606">
        <f>AH482</f>
        <v>103.09500000000003</v>
      </c>
      <c r="BG482" s="1669"/>
      <c r="BH482" s="1669"/>
      <c r="BI482" s="1669"/>
      <c r="BJ482" s="1669"/>
      <c r="BK482" s="1669"/>
      <c r="BL482" s="1607"/>
    </row>
    <row r="483" spans="1:64" s="1608" customFormat="1" hidden="1" outlineLevel="1" x14ac:dyDescent="0.35">
      <c r="A483" s="1711" t="s">
        <v>1182</v>
      </c>
      <c r="B483" s="1712"/>
      <c r="C483" s="1667"/>
      <c r="D483" s="1667"/>
      <c r="E483" s="1667"/>
      <c r="F483" s="1667"/>
      <c r="G483" s="1667"/>
      <c r="H483" s="1667"/>
      <c r="I483" s="1667"/>
      <c r="J483" s="1667"/>
      <c r="K483" s="1667"/>
      <c r="L483" s="1667"/>
      <c r="M483" s="1667"/>
      <c r="N483" s="1667"/>
      <c r="O483" s="1667"/>
      <c r="P483" s="1667"/>
      <c r="Q483" s="1667"/>
      <c r="R483" s="1607">
        <f t="shared" ref="R483:AJ483" si="262">R480+R482</f>
        <v>50.299000000000007</v>
      </c>
      <c r="S483" s="1607">
        <f t="shared" si="262"/>
        <v>50.299000000000007</v>
      </c>
      <c r="T483" s="1607">
        <f t="shared" si="262"/>
        <v>56.663000000000011</v>
      </c>
      <c r="U483" s="1607">
        <f t="shared" si="262"/>
        <v>57.458000000000006</v>
      </c>
      <c r="V483" s="1607">
        <f t="shared" si="262"/>
        <v>66.632999999999996</v>
      </c>
      <c r="W483" s="1607">
        <f t="shared" si="262"/>
        <v>84.454999999999998</v>
      </c>
      <c r="X483" s="1607">
        <f t="shared" si="262"/>
        <v>94.290999999999997</v>
      </c>
      <c r="Y483" s="1607">
        <f t="shared" si="262"/>
        <v>192.39699999999999</v>
      </c>
      <c r="Z483" s="1607">
        <f t="shared" si="262"/>
        <v>47.998000000000019</v>
      </c>
      <c r="AA483" s="1607">
        <f t="shared" si="262"/>
        <v>44.347000000000023</v>
      </c>
      <c r="AB483" s="1607">
        <f t="shared" si="262"/>
        <v>65.811000000000035</v>
      </c>
      <c r="AC483" s="1607">
        <f t="shared" si="262"/>
        <v>99.190000000000055</v>
      </c>
      <c r="AD483" s="1607">
        <f t="shared" si="262"/>
        <v>103.09500000000003</v>
      </c>
      <c r="AE483" s="1607">
        <f t="shared" si="262"/>
        <v>50.964000000000034</v>
      </c>
      <c r="AF483" s="1607">
        <f t="shared" si="262"/>
        <v>48.817000000000036</v>
      </c>
      <c r="AG483" s="1607">
        <f t="shared" si="262"/>
        <v>49.877000000000017</v>
      </c>
      <c r="AH483" s="1607">
        <f t="shared" si="262"/>
        <v>54.224000000000039</v>
      </c>
      <c r="AI483" s="1607">
        <f t="shared" si="262"/>
        <v>66.979000000000028</v>
      </c>
      <c r="AJ483" s="1730">
        <f t="shared" si="262"/>
        <v>74.182000000000045</v>
      </c>
      <c r="AK483" s="1667"/>
      <c r="AL483" s="1667"/>
      <c r="AM483" s="1667"/>
      <c r="AN483" s="1667"/>
      <c r="AO483" s="1667"/>
      <c r="AP483" s="1667"/>
      <c r="AQ483" s="1667"/>
      <c r="AR483" s="1669"/>
      <c r="AS483" s="1669"/>
      <c r="AT483" s="1669"/>
      <c r="AU483" s="1669"/>
      <c r="AV483" s="1669"/>
      <c r="AW483" s="1669"/>
      <c r="AX483" s="1669"/>
      <c r="AY483" s="1669"/>
      <c r="AZ483" s="1669"/>
      <c r="BA483" s="1669"/>
      <c r="BB483" s="1731">
        <f>BB480+BB482</f>
        <v>50.299000000000007</v>
      </c>
      <c r="BC483" s="1731">
        <f>BC480+BC482</f>
        <v>66.632999999999996</v>
      </c>
      <c r="BD483" s="1731">
        <f>BD480+BD482</f>
        <v>47.998000000000019</v>
      </c>
      <c r="BE483" s="1731">
        <f>BE480+BE482</f>
        <v>103.09500000000003</v>
      </c>
      <c r="BF483" s="1606">
        <f>BF480+BF482</f>
        <v>54.224000000000039</v>
      </c>
      <c r="BG483" s="1669"/>
      <c r="BH483" s="1669"/>
      <c r="BI483" s="1669"/>
      <c r="BJ483" s="1669"/>
      <c r="BK483" s="1669"/>
      <c r="BL483" s="1607"/>
    </row>
    <row r="484" spans="1:64" s="1608" customFormat="1" hidden="1" outlineLevel="1" x14ac:dyDescent="0.35">
      <c r="A484" s="1665"/>
      <c r="B484" s="1712"/>
      <c r="C484" s="1667"/>
      <c r="D484" s="1667"/>
      <c r="E484" s="1667"/>
      <c r="F484" s="1667"/>
      <c r="G484" s="1667"/>
      <c r="H484" s="1667"/>
      <c r="I484" s="1667"/>
      <c r="J484" s="1667"/>
      <c r="K484" s="1667"/>
      <c r="L484" s="1667"/>
      <c r="M484" s="1667"/>
      <c r="N484" s="1667"/>
      <c r="O484" s="1667"/>
      <c r="P484" s="1667"/>
      <c r="Q484" s="1667"/>
      <c r="R484" s="1667"/>
      <c r="S484" s="1667"/>
      <c r="T484" s="1667"/>
      <c r="U484" s="1667"/>
      <c r="V484" s="1667"/>
      <c r="W484" s="1667"/>
      <c r="X484" s="1667"/>
      <c r="Y484" s="1667"/>
      <c r="Z484" s="1667"/>
      <c r="AA484" s="1667"/>
      <c r="AB484" s="1667"/>
      <c r="AC484" s="1667"/>
      <c r="AD484" s="1667"/>
      <c r="AE484" s="1667"/>
      <c r="AF484" s="1667"/>
      <c r="AG484" s="1667"/>
      <c r="AH484" s="1667"/>
      <c r="AI484" s="1667"/>
      <c r="AJ484" s="1668"/>
      <c r="AK484" s="1667"/>
      <c r="AL484" s="1667"/>
      <c r="AM484" s="1667"/>
      <c r="AN484" s="1667"/>
      <c r="AO484" s="1667"/>
      <c r="AP484" s="1667"/>
      <c r="AQ484" s="1667"/>
      <c r="AR484" s="1669"/>
      <c r="AS484" s="1669"/>
      <c r="AT484" s="1669"/>
      <c r="AU484" s="1669"/>
      <c r="AV484" s="1669"/>
      <c r="AW484" s="1669"/>
      <c r="AX484" s="1669"/>
      <c r="AY484" s="1669"/>
      <c r="AZ484" s="1669"/>
      <c r="BA484" s="1669"/>
      <c r="BB484" s="1669"/>
      <c r="BC484" s="1669"/>
      <c r="BD484" s="1669"/>
      <c r="BE484" s="1669"/>
      <c r="BF484" s="1612"/>
      <c r="BG484" s="1669"/>
      <c r="BH484" s="1669"/>
      <c r="BI484" s="1669"/>
      <c r="BJ484" s="1669"/>
      <c r="BK484" s="1669"/>
      <c r="BL484" s="1607"/>
    </row>
    <row r="485" spans="1:64" s="1518" customFormat="1" hidden="1" outlineLevel="1" x14ac:dyDescent="0.35">
      <c r="A485" s="1664" t="s">
        <v>1183</v>
      </c>
      <c r="B485" s="1716"/>
      <c r="C485" s="1515"/>
      <c r="D485" s="1515"/>
      <c r="E485" s="1515"/>
      <c r="F485" s="1515"/>
      <c r="G485" s="1515"/>
      <c r="H485" s="1515"/>
      <c r="I485" s="1515"/>
      <c r="J485" s="1515"/>
      <c r="K485" s="1515"/>
      <c r="L485" s="1515"/>
      <c r="M485" s="1515"/>
      <c r="N485" s="1515"/>
      <c r="O485" s="1515"/>
      <c r="P485" s="1515"/>
      <c r="Q485" s="1515"/>
      <c r="R485" s="1517">
        <f>BB485</f>
        <v>33.869</v>
      </c>
      <c r="S485" s="1593">
        <v>7.8579999999999997</v>
      </c>
      <c r="T485" s="1593">
        <v>11.862</v>
      </c>
      <c r="U485" s="1593">
        <v>20.501999999999999</v>
      </c>
      <c r="V485" s="1517">
        <f>BC485</f>
        <v>34.658000000000001</v>
      </c>
      <c r="W485" s="1593">
        <v>3.1819999999999999</v>
      </c>
      <c r="X485" s="1593">
        <v>12.32</v>
      </c>
      <c r="Y485" s="1593">
        <v>21.494</v>
      </c>
      <c r="Z485" s="1517">
        <f>BD485</f>
        <v>30.782</v>
      </c>
      <c r="AA485" s="1593">
        <v>8.2959999999999994</v>
      </c>
      <c r="AB485" s="1593">
        <v>17.225000000000001</v>
      </c>
      <c r="AC485" s="1593">
        <v>24.277000000000001</v>
      </c>
      <c r="AD485" s="1517">
        <f>BE485</f>
        <v>32.347999999999999</v>
      </c>
      <c r="AE485" s="1593">
        <v>11.602</v>
      </c>
      <c r="AF485" s="1593">
        <v>20.239000000000001</v>
      </c>
      <c r="AG485" s="1593">
        <v>29.006</v>
      </c>
      <c r="AH485" s="1517">
        <f>BF485</f>
        <v>37.728999999999999</v>
      </c>
      <c r="AI485" s="1593">
        <v>9.1020000000000003</v>
      </c>
      <c r="AJ485" s="1594">
        <v>19.527000000000001</v>
      </c>
      <c r="AK485" s="1515"/>
      <c r="AL485" s="1515"/>
      <c r="AM485" s="1515"/>
      <c r="AN485" s="1515"/>
      <c r="AO485" s="1515"/>
      <c r="AP485" s="1515"/>
      <c r="AQ485" s="1515"/>
      <c r="AR485" s="1595"/>
      <c r="AS485" s="1595"/>
      <c r="AT485" s="1595"/>
      <c r="AU485" s="1595"/>
      <c r="AV485" s="1595"/>
      <c r="AW485" s="1595"/>
      <c r="AX485" s="1595"/>
      <c r="AY485" s="1595"/>
      <c r="AZ485" s="1595"/>
      <c r="BA485" s="1595"/>
      <c r="BB485" s="1596">
        <v>33.869</v>
      </c>
      <c r="BC485" s="1596">
        <v>34.658000000000001</v>
      </c>
      <c r="BD485" s="1596">
        <v>30.782</v>
      </c>
      <c r="BE485" s="1596">
        <v>32.347999999999999</v>
      </c>
      <c r="BF485" s="1597">
        <v>37.728999999999999</v>
      </c>
      <c r="BG485" s="1595"/>
      <c r="BH485" s="1595"/>
      <c r="BI485" s="1595"/>
      <c r="BJ485" s="1595"/>
      <c r="BK485" s="1595"/>
      <c r="BL485" s="1517"/>
    </row>
    <row r="486" spans="1:64" s="1518" customFormat="1" hidden="1" outlineLevel="1" x14ac:dyDescent="0.35">
      <c r="A486" s="1664" t="s">
        <v>1184</v>
      </c>
      <c r="B486" s="1716"/>
      <c r="C486" s="1515"/>
      <c r="D486" s="1515"/>
      <c r="E486" s="1515"/>
      <c r="F486" s="1515"/>
      <c r="G486" s="1515"/>
      <c r="H486" s="1515"/>
      <c r="I486" s="1515"/>
      <c r="J486" s="1515"/>
      <c r="K486" s="1515"/>
      <c r="L486" s="1515"/>
      <c r="M486" s="1515"/>
      <c r="N486" s="1515"/>
      <c r="O486" s="1515"/>
      <c r="P486" s="1515"/>
      <c r="Q486" s="1515"/>
      <c r="R486" s="1517">
        <f>BB486</f>
        <v>6.585</v>
      </c>
      <c r="S486" s="1593">
        <v>1.4350000000000001</v>
      </c>
      <c r="T486" s="1593">
        <v>2.62</v>
      </c>
      <c r="U486" s="1593">
        <v>3.702</v>
      </c>
      <c r="V486" s="1517">
        <f>BC486</f>
        <v>3.2240000000000002</v>
      </c>
      <c r="W486" s="1593">
        <v>1.075</v>
      </c>
      <c r="X486" s="1593">
        <v>2.7429999999999999</v>
      </c>
      <c r="Y486" s="1593">
        <v>4.6630000000000003</v>
      </c>
      <c r="Z486" s="1517">
        <f>BD486</f>
        <v>5.5739999999999998</v>
      </c>
      <c r="AA486" s="1593">
        <v>4.2220000000000004</v>
      </c>
      <c r="AB486" s="1593">
        <v>9.5310000000000006</v>
      </c>
      <c r="AC486" s="1593">
        <v>11.513</v>
      </c>
      <c r="AD486" s="1517">
        <f>BE486</f>
        <v>18.532</v>
      </c>
      <c r="AE486" s="1593">
        <v>2.9780000000000002</v>
      </c>
      <c r="AF486" s="1593">
        <v>9.7029999999999994</v>
      </c>
      <c r="AG486" s="1593">
        <v>13.218999999999999</v>
      </c>
      <c r="AH486" s="1517">
        <f>BF486</f>
        <v>17.484000000000002</v>
      </c>
      <c r="AI486" s="1593">
        <v>9.5419999999999998</v>
      </c>
      <c r="AJ486" s="1594">
        <v>19.613</v>
      </c>
      <c r="AK486" s="1515"/>
      <c r="AL486" s="1515"/>
      <c r="AM486" s="1515"/>
      <c r="AN486" s="1515"/>
      <c r="AO486" s="1515"/>
      <c r="AP486" s="1515"/>
      <c r="AQ486" s="1515"/>
      <c r="AR486" s="1595"/>
      <c r="AS486" s="1595"/>
      <c r="AT486" s="1595"/>
      <c r="AU486" s="1595"/>
      <c r="AV486" s="1595"/>
      <c r="AW486" s="1595"/>
      <c r="AX486" s="1595"/>
      <c r="AY486" s="1595"/>
      <c r="AZ486" s="1595"/>
      <c r="BA486" s="1595"/>
      <c r="BB486" s="1596">
        <v>6.585</v>
      </c>
      <c r="BC486" s="1596">
        <v>3.2240000000000002</v>
      </c>
      <c r="BD486" s="1596">
        <v>5.5739999999999998</v>
      </c>
      <c r="BE486" s="1596">
        <v>18.532</v>
      </c>
      <c r="BF486" s="1597">
        <v>17.484000000000002</v>
      </c>
      <c r="BG486" s="1595"/>
      <c r="BH486" s="1595"/>
      <c r="BI486" s="1595"/>
      <c r="BJ486" s="1595"/>
      <c r="BK486" s="1595"/>
      <c r="BL486" s="1517"/>
    </row>
    <row r="487" spans="1:64" s="1608" customFormat="1" collapsed="1" x14ac:dyDescent="0.35">
      <c r="A487" s="1665"/>
      <c r="B487" s="1712"/>
      <c r="C487" s="1667"/>
      <c r="D487" s="1667"/>
      <c r="E487" s="1667"/>
      <c r="F487" s="1667"/>
      <c r="G487" s="1667"/>
      <c r="H487" s="1667"/>
      <c r="I487" s="1667"/>
      <c r="J487" s="1667"/>
      <c r="K487" s="1667"/>
      <c r="L487" s="1667"/>
      <c r="M487" s="1667"/>
      <c r="N487" s="1667"/>
      <c r="O487" s="1667"/>
      <c r="P487" s="1667"/>
      <c r="Q487" s="1667"/>
      <c r="R487" s="1667"/>
      <c r="S487" s="1667"/>
      <c r="T487" s="1667"/>
      <c r="U487" s="1667"/>
      <c r="V487" s="1667"/>
      <c r="W487" s="1667"/>
      <c r="X487" s="1667"/>
      <c r="Y487" s="1667"/>
      <c r="Z487" s="1667"/>
      <c r="AA487" s="1667"/>
      <c r="AB487" s="1667"/>
      <c r="AC487" s="1667"/>
      <c r="AD487" s="1667"/>
      <c r="AE487" s="1667"/>
      <c r="AF487" s="1667"/>
      <c r="AG487" s="1667"/>
      <c r="AH487" s="1667"/>
      <c r="AI487" s="1667"/>
      <c r="AJ487" s="1668"/>
      <c r="AK487" s="1667"/>
      <c r="AL487" s="1667"/>
      <c r="AM487" s="1667"/>
      <c r="AN487" s="1667"/>
      <c r="AO487" s="1667"/>
      <c r="AP487" s="1667"/>
      <c r="AQ487" s="1667"/>
      <c r="AR487" s="1669"/>
      <c r="AS487" s="1669"/>
      <c r="AT487" s="1669"/>
      <c r="AU487" s="1669"/>
      <c r="AV487" s="1669"/>
      <c r="AW487" s="1669"/>
      <c r="AX487" s="1669"/>
      <c r="AY487" s="1669"/>
      <c r="AZ487" s="1669"/>
      <c r="BA487" s="1669"/>
      <c r="BB487" s="1669"/>
      <c r="BC487" s="1669"/>
      <c r="BD487" s="1669"/>
      <c r="BE487" s="1669"/>
      <c r="BF487" s="1612"/>
      <c r="BG487" s="1669"/>
      <c r="BH487" s="1669"/>
      <c r="BI487" s="1669"/>
      <c r="BJ487" s="1669"/>
      <c r="BK487" s="1669"/>
      <c r="BL487" s="1607"/>
    </row>
    <row r="488" spans="1:64" s="1518" customFormat="1" x14ac:dyDescent="0.35">
      <c r="A488" s="1588" t="s">
        <v>517</v>
      </c>
      <c r="B488" s="1556"/>
      <c r="C488" s="1556"/>
      <c r="D488" s="1556"/>
      <c r="E488" s="1556"/>
      <c r="F488" s="1556"/>
      <c r="G488" s="1556"/>
      <c r="H488" s="1556"/>
      <c r="I488" s="1556"/>
      <c r="J488" s="1556"/>
      <c r="K488" s="1556"/>
      <c r="L488" s="1556"/>
      <c r="M488" s="1556"/>
      <c r="N488" s="1556"/>
      <c r="O488" s="1556"/>
      <c r="P488" s="1556"/>
      <c r="Q488" s="1556"/>
      <c r="R488" s="1556"/>
      <c r="S488" s="1556"/>
      <c r="T488" s="1589" t="s">
        <v>892</v>
      </c>
      <c r="U488" s="1556"/>
      <c r="V488" s="1556"/>
      <c r="W488" s="1556"/>
      <c r="X488" s="1589"/>
      <c r="Y488" s="1556"/>
      <c r="Z488" s="1556"/>
      <c r="AA488" s="1556"/>
      <c r="AB488" s="1589"/>
      <c r="AC488" s="1556"/>
      <c r="AD488" s="1556"/>
      <c r="AE488" s="1556"/>
      <c r="AF488" s="1589"/>
      <c r="AG488" s="1556"/>
      <c r="AH488" s="1556"/>
      <c r="AI488" s="1556"/>
      <c r="AJ488" s="1590"/>
      <c r="AK488" s="1556"/>
      <c r="AL488" s="1556"/>
      <c r="AM488" s="1556"/>
      <c r="AN488" s="1556"/>
      <c r="AO488" s="1556"/>
      <c r="AP488" s="1556"/>
      <c r="AQ488" s="1556"/>
      <c r="AR488" s="1556"/>
      <c r="AS488" s="1556"/>
      <c r="AT488" s="1556"/>
      <c r="AU488" s="1556"/>
      <c r="AV488" s="1556"/>
      <c r="AW488" s="1556"/>
      <c r="AX488" s="1556"/>
      <c r="AY488" s="1556"/>
      <c r="AZ488" s="1556"/>
      <c r="BA488" s="1556"/>
      <c r="BB488" s="1556"/>
      <c r="BC488" s="1556"/>
      <c r="BD488" s="1556"/>
      <c r="BE488" s="1556"/>
      <c r="BF488" s="1558"/>
      <c r="BG488" s="1556"/>
      <c r="BH488" s="1556"/>
      <c r="BI488" s="1556"/>
      <c r="BJ488" s="1556"/>
      <c r="BK488" s="1556"/>
      <c r="BL488" s="1517"/>
    </row>
    <row r="489" spans="1:64" s="1608" customFormat="1" x14ac:dyDescent="0.35">
      <c r="A489" s="1711" t="str">
        <f t="shared" ref="A489:A516" si="263">A422</f>
        <v>CFO</v>
      </c>
      <c r="B489" s="1712"/>
      <c r="C489" s="1667"/>
      <c r="D489" s="1667"/>
      <c r="E489" s="1667"/>
      <c r="F489" s="1667"/>
      <c r="G489" s="1667"/>
      <c r="H489" s="1667"/>
      <c r="I489" s="1667"/>
      <c r="J489" s="1667"/>
      <c r="K489" s="1667"/>
      <c r="L489" s="1667"/>
      <c r="M489" s="1667"/>
      <c r="N489" s="1667"/>
      <c r="O489" s="1667"/>
      <c r="P489" s="1667"/>
      <c r="Q489" s="1667"/>
      <c r="R489" s="1667"/>
      <c r="S489" s="1667"/>
      <c r="T489" s="1667"/>
      <c r="U489" s="1667"/>
      <c r="V489" s="1667"/>
      <c r="W489" s="1667"/>
      <c r="X489" s="1667"/>
      <c r="Y489" s="1667"/>
      <c r="Z489" s="1667"/>
      <c r="AA489" s="1667"/>
      <c r="AB489" s="1667"/>
      <c r="AC489" s="1667"/>
      <c r="AD489" s="1667"/>
      <c r="AE489" s="1667"/>
      <c r="AF489" s="1667"/>
      <c r="AG489" s="1667"/>
      <c r="AH489" s="1667"/>
      <c r="AI489" s="1667"/>
      <c r="AJ489" s="1668"/>
      <c r="AK489" s="1667"/>
      <c r="AL489" s="1667"/>
      <c r="AM489" s="1667"/>
      <c r="AN489" s="1667"/>
      <c r="AO489" s="1667"/>
      <c r="AP489" s="1667"/>
      <c r="AQ489" s="1667"/>
      <c r="AR489" s="1669"/>
      <c r="AS489" s="1669"/>
      <c r="AT489" s="1669"/>
      <c r="AU489" s="1669"/>
      <c r="AV489" s="1669"/>
      <c r="AW489" s="1669"/>
      <c r="AX489" s="1669"/>
      <c r="AY489" s="1669"/>
      <c r="AZ489" s="1669"/>
      <c r="BA489" s="1669"/>
      <c r="BB489" s="1669"/>
      <c r="BC489" s="1669"/>
      <c r="BD489" s="1669"/>
      <c r="BE489" s="1669"/>
      <c r="BF489" s="1612"/>
      <c r="BG489" s="1595"/>
      <c r="BH489" s="1595"/>
      <c r="BI489" s="1595"/>
      <c r="BJ489" s="1595"/>
      <c r="BK489" s="1595"/>
      <c r="BL489" s="1607"/>
    </row>
    <row r="490" spans="1:64" s="1608" customFormat="1" x14ac:dyDescent="0.35">
      <c r="A490" s="1591" t="str">
        <f t="shared" si="263"/>
        <v>Net loss</v>
      </c>
      <c r="B490" s="1712"/>
      <c r="C490" s="1515"/>
      <c r="D490" s="1515"/>
      <c r="E490" s="1515"/>
      <c r="F490" s="1515"/>
      <c r="G490" s="1515"/>
      <c r="H490" s="1515"/>
      <c r="I490" s="1515"/>
      <c r="J490" s="1515"/>
      <c r="K490" s="1515"/>
      <c r="L490" s="1515"/>
      <c r="M490" s="1515"/>
      <c r="N490" s="1515"/>
      <c r="O490" s="1515"/>
      <c r="P490" s="1515"/>
      <c r="Q490" s="1515"/>
      <c r="R490" s="1515"/>
      <c r="S490" s="1517">
        <f t="shared" ref="S490:S506" si="264">S423</f>
        <v>0</v>
      </c>
      <c r="T490" s="1517">
        <f t="shared" ref="T490:V505" si="265">T423-S423</f>
        <v>-40.847000000000001</v>
      </c>
      <c r="U490" s="1515">
        <f t="shared" si="265"/>
        <v>-10.385999999999996</v>
      </c>
      <c r="V490" s="1515">
        <f t="shared" si="265"/>
        <v>-1.0600000000000023</v>
      </c>
      <c r="W490" s="1517">
        <f t="shared" ref="W490:W506" si="266">W423</f>
        <v>0.628</v>
      </c>
      <c r="X490" s="1517">
        <f t="shared" ref="X490:Z505" si="267">X423-W423</f>
        <v>3.3970000000000002</v>
      </c>
      <c r="Y490" s="1515">
        <f t="shared" si="267"/>
        <v>-25.256</v>
      </c>
      <c r="Z490" s="1515">
        <f t="shared" si="267"/>
        <v>2.7040000000000006</v>
      </c>
      <c r="AA490" s="1517">
        <f t="shared" ref="AA490:AA506" si="268">AA423</f>
        <v>6.2359999999999998</v>
      </c>
      <c r="AB490" s="1517">
        <f t="shared" ref="AB490:AD505" si="269">AB423-AA423</f>
        <v>11.570999999999998</v>
      </c>
      <c r="AC490" s="1515">
        <f t="shared" si="269"/>
        <v>9.3030000000000008</v>
      </c>
      <c r="AD490" s="1515">
        <f t="shared" si="269"/>
        <v>-7.6999999999999993</v>
      </c>
      <c r="AE490" s="1517">
        <f t="shared" ref="AE490:AE506" si="270">AE423</f>
        <v>0.59099999999999997</v>
      </c>
      <c r="AF490" s="1517">
        <f t="shared" ref="AF490:AH505" si="271">AF423-AE423</f>
        <v>0.32300000000000006</v>
      </c>
      <c r="AG490" s="1515">
        <f t="shared" si="271"/>
        <v>2.3539999999999996</v>
      </c>
      <c r="AH490" s="1515">
        <f t="shared" si="271"/>
        <v>-3.3839999999999999</v>
      </c>
      <c r="AI490" s="1517">
        <f t="shared" ref="AI490:AI506" si="272">AI423</f>
        <v>-7.9550000000000001</v>
      </c>
      <c r="AJ490" s="1732">
        <f t="shared" ref="AJ490:AJ506" si="273">AJ423-AI423</f>
        <v>-6.2319999999999993</v>
      </c>
      <c r="AK490" s="1515">
        <f t="shared" ref="AK490:AP490" si="274">AK203</f>
        <v>28.592812927405454</v>
      </c>
      <c r="AL490" s="1515">
        <f t="shared" ca="1" si="274"/>
        <v>25.85800973041416</v>
      </c>
      <c r="AM490" s="1515">
        <f t="shared" ca="1" si="274"/>
        <v>17.916283570670025</v>
      </c>
      <c r="AN490" s="1515">
        <f t="shared" ca="1" si="274"/>
        <v>22.958065017936949</v>
      </c>
      <c r="AO490" s="1515">
        <f t="shared" ca="1" si="274"/>
        <v>26.188903574188942</v>
      </c>
      <c r="AP490" s="1515">
        <f t="shared" ca="1" si="274"/>
        <v>19.874461417316766</v>
      </c>
      <c r="AQ490" s="1515"/>
      <c r="AR490" s="1595"/>
      <c r="AS490" s="1595"/>
      <c r="AT490" s="1595"/>
      <c r="AU490" s="1595"/>
      <c r="AV490" s="1595"/>
      <c r="AW490" s="1595"/>
      <c r="AX490" s="1595"/>
      <c r="AY490" s="1595"/>
      <c r="AZ490" s="1595"/>
      <c r="BA490" s="1595"/>
      <c r="BB490" s="1733">
        <f t="shared" ref="BB490:BF505" si="275">BB423</f>
        <v>-46.682000000000002</v>
      </c>
      <c r="BC490" s="1733">
        <f t="shared" si="275"/>
        <v>-52.292999999999999</v>
      </c>
      <c r="BD490" s="1733">
        <f t="shared" si="275"/>
        <v>-18.527000000000001</v>
      </c>
      <c r="BE490" s="1733">
        <f t="shared" si="275"/>
        <v>19.41</v>
      </c>
      <c r="BF490" s="1734">
        <f t="shared" si="275"/>
        <v>-0.11600000000000001</v>
      </c>
      <c r="BG490" s="1595">
        <f t="shared" ref="BG490:BG506" ca="1" si="276">SUM(AI490,AJ490,AK490,AL490)</f>
        <v>40.263822657819617</v>
      </c>
      <c r="BH490" s="1595">
        <f t="shared" ref="BH490:BH506" ca="1" si="277">SUM(AM490,AN490,AO490,AP490)</f>
        <v>86.937713580112685</v>
      </c>
      <c r="BI490" s="1595">
        <f ca="1">BI203</f>
        <v>139.31783547154384</v>
      </c>
      <c r="BJ490" s="1595">
        <f ca="1">BJ203</f>
        <v>142.53520030506675</v>
      </c>
      <c r="BK490" s="1595">
        <f ca="1">BK203</f>
        <v>177.65367535696473</v>
      </c>
      <c r="BL490" s="1607"/>
    </row>
    <row r="491" spans="1:64" s="1608" customFormat="1" x14ac:dyDescent="0.35">
      <c r="A491" s="1591" t="str">
        <f t="shared" si="263"/>
        <v>Loss on extinguishment of debt</v>
      </c>
      <c r="B491" s="1712"/>
      <c r="C491" s="1515"/>
      <c r="D491" s="1515"/>
      <c r="E491" s="1515"/>
      <c r="F491" s="1515"/>
      <c r="G491" s="1515"/>
      <c r="H491" s="1515"/>
      <c r="I491" s="1515"/>
      <c r="J491" s="1515"/>
      <c r="K491" s="1515"/>
      <c r="L491" s="1515"/>
      <c r="M491" s="1515"/>
      <c r="N491" s="1515"/>
      <c r="O491" s="1515"/>
      <c r="P491" s="1515"/>
      <c r="Q491" s="1515"/>
      <c r="R491" s="1515"/>
      <c r="S491" s="1517">
        <f t="shared" si="264"/>
        <v>0</v>
      </c>
      <c r="T491" s="1517">
        <f t="shared" si="265"/>
        <v>0</v>
      </c>
      <c r="U491" s="1515">
        <f t="shared" si="265"/>
        <v>0</v>
      </c>
      <c r="V491" s="1515">
        <f t="shared" si="265"/>
        <v>0</v>
      </c>
      <c r="W491" s="1517">
        <f t="shared" si="266"/>
        <v>0</v>
      </c>
      <c r="X491" s="1517">
        <f t="shared" si="267"/>
        <v>0</v>
      </c>
      <c r="Y491" s="1515">
        <f t="shared" si="267"/>
        <v>0</v>
      </c>
      <c r="Z491" s="1515">
        <f t="shared" si="267"/>
        <v>0</v>
      </c>
      <c r="AA491" s="1517">
        <f t="shared" si="268"/>
        <v>0</v>
      </c>
      <c r="AB491" s="1517">
        <f t="shared" si="269"/>
        <v>0</v>
      </c>
      <c r="AC491" s="1515">
        <f t="shared" si="269"/>
        <v>0</v>
      </c>
      <c r="AD491" s="1515">
        <f t="shared" si="269"/>
        <v>3.673</v>
      </c>
      <c r="AE491" s="1517">
        <f t="shared" si="270"/>
        <v>0</v>
      </c>
      <c r="AF491" s="1517">
        <f t="shared" si="271"/>
        <v>0</v>
      </c>
      <c r="AG491" s="1515">
        <f t="shared" si="271"/>
        <v>0</v>
      </c>
      <c r="AH491" s="1515">
        <f t="shared" si="271"/>
        <v>0</v>
      </c>
      <c r="AI491" s="1517">
        <f t="shared" si="272"/>
        <v>0</v>
      </c>
      <c r="AJ491" s="1732">
        <f t="shared" si="273"/>
        <v>0</v>
      </c>
      <c r="AK491" s="1515"/>
      <c r="AL491" s="1515"/>
      <c r="AM491" s="1515"/>
      <c r="AN491" s="1515"/>
      <c r="AO491" s="1515"/>
      <c r="AP491" s="1515"/>
      <c r="AQ491" s="1515"/>
      <c r="AR491" s="1595"/>
      <c r="AS491" s="1595"/>
      <c r="AT491" s="1595"/>
      <c r="AU491" s="1595"/>
      <c r="AV491" s="1595"/>
      <c r="AW491" s="1595"/>
      <c r="AX491" s="1595"/>
      <c r="AY491" s="1595"/>
      <c r="AZ491" s="1595"/>
      <c r="BA491" s="1595"/>
      <c r="BB491" s="1733">
        <f t="shared" si="275"/>
        <v>0</v>
      </c>
      <c r="BC491" s="1733">
        <f t="shared" si="275"/>
        <v>0</v>
      </c>
      <c r="BD491" s="1733">
        <f t="shared" si="275"/>
        <v>0</v>
      </c>
      <c r="BE491" s="1733">
        <f t="shared" si="275"/>
        <v>3.673</v>
      </c>
      <c r="BF491" s="1734">
        <f t="shared" si="275"/>
        <v>0</v>
      </c>
      <c r="BG491" s="1595">
        <f t="shared" si="276"/>
        <v>0</v>
      </c>
      <c r="BH491" s="1595">
        <f t="shared" si="277"/>
        <v>0</v>
      </c>
      <c r="BI491" s="1595"/>
      <c r="BJ491" s="1595"/>
      <c r="BK491" s="1595"/>
      <c r="BL491" s="1607"/>
    </row>
    <row r="492" spans="1:64" s="1608" customFormat="1" x14ac:dyDescent="0.35">
      <c r="A492" s="1591" t="str">
        <f t="shared" si="263"/>
        <v>Depreciation and amortization</v>
      </c>
      <c r="B492" s="1712"/>
      <c r="C492" s="1515"/>
      <c r="D492" s="1515"/>
      <c r="E492" s="1515"/>
      <c r="F492" s="1515"/>
      <c r="G492" s="1515"/>
      <c r="H492" s="1515"/>
      <c r="I492" s="1515"/>
      <c r="J492" s="1515"/>
      <c r="K492" s="1515"/>
      <c r="L492" s="1515"/>
      <c r="M492" s="1515"/>
      <c r="N492" s="1515"/>
      <c r="O492" s="1515"/>
      <c r="P492" s="1515"/>
      <c r="Q492" s="1515"/>
      <c r="R492" s="1515"/>
      <c r="S492" s="1517">
        <f t="shared" si="264"/>
        <v>0</v>
      </c>
      <c r="T492" s="1517">
        <f t="shared" si="265"/>
        <v>45.578000000000003</v>
      </c>
      <c r="U492" s="1515">
        <f t="shared" si="265"/>
        <v>22.863</v>
      </c>
      <c r="V492" s="1515">
        <f t="shared" si="265"/>
        <v>22.757999999999996</v>
      </c>
      <c r="W492" s="1517">
        <f t="shared" si="266"/>
        <v>20.548999999999999</v>
      </c>
      <c r="X492" s="1517">
        <f t="shared" si="267"/>
        <v>20.298999999999999</v>
      </c>
      <c r="Y492" s="1515">
        <f t="shared" si="267"/>
        <v>20.344999999999999</v>
      </c>
      <c r="Z492" s="1515">
        <f t="shared" si="267"/>
        <v>20.870999999999995</v>
      </c>
      <c r="AA492" s="1517">
        <f t="shared" si="268"/>
        <v>20.155999999999999</v>
      </c>
      <c r="AB492" s="1517">
        <f t="shared" si="269"/>
        <v>19.872</v>
      </c>
      <c r="AC492" s="1515">
        <f t="shared" si="269"/>
        <v>16.57</v>
      </c>
      <c r="AD492" s="1515">
        <f t="shared" si="269"/>
        <v>16.542000000000002</v>
      </c>
      <c r="AE492" s="1517">
        <f t="shared" si="270"/>
        <v>15.122</v>
      </c>
      <c r="AF492" s="1517">
        <f t="shared" si="271"/>
        <v>16.12</v>
      </c>
      <c r="AG492" s="1515">
        <f t="shared" si="271"/>
        <v>15.874999999999996</v>
      </c>
      <c r="AH492" s="1515">
        <f t="shared" si="271"/>
        <v>15.736000000000004</v>
      </c>
      <c r="AI492" s="1517">
        <f t="shared" si="272"/>
        <v>15.77</v>
      </c>
      <c r="AJ492" s="1732">
        <f t="shared" si="273"/>
        <v>15.82</v>
      </c>
      <c r="AK492" s="1515">
        <f t="shared" ref="AK492:AP492" si="278">AK189+AK190</f>
        <v>13.87753136612022</v>
      </c>
      <c r="AL492" s="1515">
        <f t="shared" si="278"/>
        <v>13.425380894359343</v>
      </c>
      <c r="AM492" s="1515">
        <f t="shared" si="278"/>
        <v>12.749166003072204</v>
      </c>
      <c r="AN492" s="1515">
        <f t="shared" si="278"/>
        <v>12.502367626602473</v>
      </c>
      <c r="AO492" s="1515">
        <f t="shared" si="278"/>
        <v>12.258595487434457</v>
      </c>
      <c r="AP492" s="1515">
        <f t="shared" si="278"/>
        <v>11.888990084773027</v>
      </c>
      <c r="AQ492" s="1515"/>
      <c r="AR492" s="1595"/>
      <c r="AS492" s="1595"/>
      <c r="AT492" s="1595"/>
      <c r="AU492" s="1595"/>
      <c r="AV492" s="1595"/>
      <c r="AW492" s="1595"/>
      <c r="AX492" s="1595"/>
      <c r="AY492" s="1595"/>
      <c r="AZ492" s="1595"/>
      <c r="BA492" s="1595"/>
      <c r="BB492" s="1733">
        <f t="shared" si="275"/>
        <v>93.802000000000007</v>
      </c>
      <c r="BC492" s="1733">
        <f t="shared" si="275"/>
        <v>91.198999999999998</v>
      </c>
      <c r="BD492" s="1733">
        <f t="shared" si="275"/>
        <v>82.063999999999993</v>
      </c>
      <c r="BE492" s="1733">
        <f t="shared" si="275"/>
        <v>73.14</v>
      </c>
      <c r="BF492" s="1734">
        <f t="shared" si="275"/>
        <v>62.853000000000002</v>
      </c>
      <c r="BG492" s="1595">
        <f t="shared" si="276"/>
        <v>58.892912260479562</v>
      </c>
      <c r="BH492" s="1595">
        <f t="shared" si="277"/>
        <v>49.399119201882158</v>
      </c>
      <c r="BI492" s="1595">
        <f>BI189+BI190</f>
        <v>45.778117138961925</v>
      </c>
      <c r="BJ492" s="1595">
        <f>BJ189+BJ190</f>
        <v>40.594813183680294</v>
      </c>
      <c r="BK492" s="1595">
        <f>BK189+BK190</f>
        <v>36.465331946498324</v>
      </c>
      <c r="BL492" s="1607"/>
    </row>
    <row r="493" spans="1:64" s="1608" customFormat="1" x14ac:dyDescent="0.35">
      <c r="A493" s="1591" t="str">
        <f t="shared" si="263"/>
        <v>Deferred income taxes</v>
      </c>
      <c r="B493" s="1712"/>
      <c r="C493" s="1515"/>
      <c r="D493" s="1515"/>
      <c r="E493" s="1515"/>
      <c r="F493" s="1515"/>
      <c r="G493" s="1515"/>
      <c r="H493" s="1515"/>
      <c r="I493" s="1515"/>
      <c r="J493" s="1515"/>
      <c r="K493" s="1515"/>
      <c r="L493" s="1515"/>
      <c r="M493" s="1515"/>
      <c r="N493" s="1515"/>
      <c r="O493" s="1515"/>
      <c r="P493" s="1515"/>
      <c r="Q493" s="1515"/>
      <c r="R493" s="1515"/>
      <c r="S493" s="1517">
        <f t="shared" si="264"/>
        <v>0</v>
      </c>
      <c r="T493" s="1517">
        <f t="shared" si="265"/>
        <v>-8.6859999999999999</v>
      </c>
      <c r="U493" s="1515">
        <f t="shared" si="265"/>
        <v>4.569</v>
      </c>
      <c r="V493" s="1515">
        <f t="shared" si="265"/>
        <v>-12.835000000000001</v>
      </c>
      <c r="W493" s="1517">
        <f t="shared" si="266"/>
        <v>-2.4380000000000002</v>
      </c>
      <c r="X493" s="1517">
        <f t="shared" si="267"/>
        <v>1.7390000000000003</v>
      </c>
      <c r="Y493" s="1515">
        <f t="shared" si="267"/>
        <v>-12.65</v>
      </c>
      <c r="Z493" s="1515">
        <f t="shared" si="267"/>
        <v>-8.6469999999999985</v>
      </c>
      <c r="AA493" s="1517">
        <f t="shared" si="268"/>
        <v>3.4119999999999999</v>
      </c>
      <c r="AB493" s="1517">
        <f t="shared" si="269"/>
        <v>-3.0000000000001137E-3</v>
      </c>
      <c r="AC493" s="1515">
        <f t="shared" si="269"/>
        <v>1.476</v>
      </c>
      <c r="AD493" s="1515">
        <f t="shared" si="269"/>
        <v>-8.2289999999999992</v>
      </c>
      <c r="AE493" s="1517">
        <f t="shared" si="270"/>
        <v>0.20899999999999999</v>
      </c>
      <c r="AF493" s="1517">
        <f t="shared" si="271"/>
        <v>-2.0999999999999991E-2</v>
      </c>
      <c r="AG493" s="1515">
        <f t="shared" si="271"/>
        <v>-0.38800000000000001</v>
      </c>
      <c r="AH493" s="1515">
        <f t="shared" si="271"/>
        <v>-13.675000000000001</v>
      </c>
      <c r="AI493" s="1517">
        <f t="shared" si="272"/>
        <v>-14.305999999999999</v>
      </c>
      <c r="AJ493" s="1732">
        <f t="shared" si="273"/>
        <v>4.8179999999999996</v>
      </c>
      <c r="AK493" s="1515">
        <f t="shared" ref="AK493:AP493" si="279">AK202</f>
        <v>0</v>
      </c>
      <c r="AL493" s="1515">
        <f t="shared" ca="1" si="279"/>
        <v>0</v>
      </c>
      <c r="AM493" s="1515">
        <f t="shared" ca="1" si="279"/>
        <v>0</v>
      </c>
      <c r="AN493" s="1515">
        <f t="shared" ca="1" si="279"/>
        <v>0</v>
      </c>
      <c r="AO493" s="1515">
        <f t="shared" ca="1" si="279"/>
        <v>0</v>
      </c>
      <c r="AP493" s="1515">
        <f t="shared" ca="1" si="279"/>
        <v>0</v>
      </c>
      <c r="AQ493" s="1515"/>
      <c r="AR493" s="1595"/>
      <c r="AS493" s="1595"/>
      <c r="AT493" s="1595"/>
      <c r="AU493" s="1595"/>
      <c r="AV493" s="1595"/>
      <c r="AW493" s="1595"/>
      <c r="AX493" s="1595"/>
      <c r="AY493" s="1595"/>
      <c r="AZ493" s="1595"/>
      <c r="BA493" s="1595"/>
      <c r="BB493" s="1733">
        <f t="shared" si="275"/>
        <v>-18.132999999999999</v>
      </c>
      <c r="BC493" s="1733">
        <f t="shared" si="275"/>
        <v>-16.952000000000002</v>
      </c>
      <c r="BD493" s="1733">
        <f t="shared" si="275"/>
        <v>-21.995999999999999</v>
      </c>
      <c r="BE493" s="1733">
        <f t="shared" si="275"/>
        <v>-3.3439999999999999</v>
      </c>
      <c r="BF493" s="1734">
        <f t="shared" si="275"/>
        <v>-13.875</v>
      </c>
      <c r="BG493" s="1595">
        <f t="shared" ca="1" si="276"/>
        <v>-9.4879999999999995</v>
      </c>
      <c r="BH493" s="1595">
        <f t="shared" ca="1" si="277"/>
        <v>0</v>
      </c>
      <c r="BI493" s="1595">
        <f ca="1">BI202</f>
        <v>0</v>
      </c>
      <c r="BJ493" s="1595">
        <f ca="1">BJ202</f>
        <v>0</v>
      </c>
      <c r="BK493" s="1595">
        <f ca="1">BK202</f>
        <v>0</v>
      </c>
      <c r="BL493" s="1607"/>
    </row>
    <row r="494" spans="1:64" s="1518" customFormat="1" x14ac:dyDescent="0.35">
      <c r="A494" s="1591" t="str">
        <f t="shared" si="263"/>
        <v>Stock-based compensation</v>
      </c>
      <c r="B494" s="1716"/>
      <c r="C494" s="1515"/>
      <c r="D494" s="1515"/>
      <c r="E494" s="1515"/>
      <c r="F494" s="1515"/>
      <c r="G494" s="1515"/>
      <c r="H494" s="1515"/>
      <c r="I494" s="1515"/>
      <c r="J494" s="1515"/>
      <c r="K494" s="1515"/>
      <c r="L494" s="1515"/>
      <c r="M494" s="1515"/>
      <c r="N494" s="1515"/>
      <c r="O494" s="1515"/>
      <c r="P494" s="1515"/>
      <c r="Q494" s="1515"/>
      <c r="R494" s="1515"/>
      <c r="S494" s="1517">
        <f t="shared" si="264"/>
        <v>0</v>
      </c>
      <c r="T494" s="1517">
        <f t="shared" si="265"/>
        <v>1.1859999999999999</v>
      </c>
      <c r="U494" s="1515">
        <f t="shared" si="265"/>
        <v>0.57000000000000006</v>
      </c>
      <c r="V494" s="1515">
        <f t="shared" si="265"/>
        <v>1.7089999999999999</v>
      </c>
      <c r="W494" s="1517">
        <f t="shared" si="266"/>
        <v>0.89800000000000002</v>
      </c>
      <c r="X494" s="1517">
        <f t="shared" si="267"/>
        <v>0.755</v>
      </c>
      <c r="Y494" s="1515">
        <f t="shared" si="267"/>
        <v>25.583000000000002</v>
      </c>
      <c r="Z494" s="1515">
        <f t="shared" si="267"/>
        <v>5.3439999999999976</v>
      </c>
      <c r="AA494" s="1517">
        <f t="shared" si="268"/>
        <v>5.1079999999999997</v>
      </c>
      <c r="AB494" s="1517">
        <f t="shared" si="269"/>
        <v>6.0230000000000006</v>
      </c>
      <c r="AC494" s="1515">
        <f t="shared" si="269"/>
        <v>6.2929999999999993</v>
      </c>
      <c r="AD494" s="1515">
        <f t="shared" si="269"/>
        <v>6.3810000000000002</v>
      </c>
      <c r="AE494" s="1517">
        <f t="shared" si="270"/>
        <v>8.0429999999999993</v>
      </c>
      <c r="AF494" s="1517">
        <f t="shared" si="271"/>
        <v>9.3580000000000005</v>
      </c>
      <c r="AG494" s="1515">
        <f t="shared" si="271"/>
        <v>9.7830000000000013</v>
      </c>
      <c r="AH494" s="1515">
        <f t="shared" si="271"/>
        <v>7.4659999999999975</v>
      </c>
      <c r="AI494" s="1517">
        <f t="shared" si="272"/>
        <v>9.3420000000000005</v>
      </c>
      <c r="AJ494" s="1732">
        <f t="shared" si="273"/>
        <v>11.703000000000001</v>
      </c>
      <c r="AK494" s="1515">
        <f t="shared" ref="AK494:AP494" si="280">AK191</f>
        <v>6</v>
      </c>
      <c r="AL494" s="1515">
        <f t="shared" si="280"/>
        <v>6</v>
      </c>
      <c r="AM494" s="1515">
        <f t="shared" si="280"/>
        <v>6</v>
      </c>
      <c r="AN494" s="1515">
        <f t="shared" si="280"/>
        <v>6</v>
      </c>
      <c r="AO494" s="1515">
        <f t="shared" si="280"/>
        <v>6</v>
      </c>
      <c r="AP494" s="1515">
        <f t="shared" si="280"/>
        <v>6</v>
      </c>
      <c r="AQ494" s="1515"/>
      <c r="AR494" s="1595"/>
      <c r="AS494" s="1595"/>
      <c r="AT494" s="1595"/>
      <c r="AU494" s="1595"/>
      <c r="AV494" s="1595"/>
      <c r="AW494" s="1595"/>
      <c r="AX494" s="1595"/>
      <c r="AY494" s="1595"/>
      <c r="AZ494" s="1595"/>
      <c r="BA494" s="1595"/>
      <c r="BB494" s="1733">
        <f t="shared" si="275"/>
        <v>1.5029999999999999</v>
      </c>
      <c r="BC494" s="1733">
        <f t="shared" si="275"/>
        <v>3.4649999999999999</v>
      </c>
      <c r="BD494" s="1733">
        <f t="shared" si="275"/>
        <v>32.58</v>
      </c>
      <c r="BE494" s="1733">
        <f t="shared" si="275"/>
        <v>23.805</v>
      </c>
      <c r="BF494" s="1734">
        <f t="shared" si="275"/>
        <v>34.65</v>
      </c>
      <c r="BG494" s="1595">
        <f t="shared" si="276"/>
        <v>33.045000000000002</v>
      </c>
      <c r="BH494" s="1595">
        <f t="shared" si="277"/>
        <v>24</v>
      </c>
      <c r="BI494" s="1595">
        <f>BI191</f>
        <v>24</v>
      </c>
      <c r="BJ494" s="1595">
        <f>BJ191</f>
        <v>24</v>
      </c>
      <c r="BK494" s="1595">
        <f>BK191</f>
        <v>24</v>
      </c>
      <c r="BL494" s="1517"/>
    </row>
    <row r="495" spans="1:64" s="1518" customFormat="1" x14ac:dyDescent="0.35">
      <c r="A495" s="1591" t="str">
        <f t="shared" si="263"/>
        <v>Impairments of long-lived assets</v>
      </c>
      <c r="B495" s="1716"/>
      <c r="C495" s="1515"/>
      <c r="D495" s="1515"/>
      <c r="E495" s="1515"/>
      <c r="F495" s="1515"/>
      <c r="G495" s="1515"/>
      <c r="H495" s="1515"/>
      <c r="I495" s="1515"/>
      <c r="J495" s="1515"/>
      <c r="K495" s="1515"/>
      <c r="L495" s="1515"/>
      <c r="M495" s="1515"/>
      <c r="N495" s="1515"/>
      <c r="O495" s="1515"/>
      <c r="P495" s="1515"/>
      <c r="Q495" s="1515"/>
      <c r="R495" s="1515"/>
      <c r="S495" s="1517">
        <f t="shared" si="264"/>
        <v>0</v>
      </c>
      <c r="T495" s="1517">
        <f t="shared" si="265"/>
        <v>5.8999999999999997E-2</v>
      </c>
      <c r="U495" s="1515">
        <f t="shared" si="265"/>
        <v>0.621</v>
      </c>
      <c r="V495" s="1515">
        <f t="shared" si="265"/>
        <v>1.117</v>
      </c>
      <c r="W495" s="1517">
        <f t="shared" si="266"/>
        <v>2.8759999999999999</v>
      </c>
      <c r="X495" s="1517">
        <f t="shared" si="267"/>
        <v>4.8999999999999932E-2</v>
      </c>
      <c r="Y495" s="1515">
        <f t="shared" si="267"/>
        <v>1.5000000000000124E-2</v>
      </c>
      <c r="Z495" s="1515">
        <f t="shared" si="267"/>
        <v>0.33400000000000007</v>
      </c>
      <c r="AA495" s="1517">
        <f t="shared" si="268"/>
        <v>0</v>
      </c>
      <c r="AB495" s="1517">
        <f t="shared" si="269"/>
        <v>0.61199999999999999</v>
      </c>
      <c r="AC495" s="1515">
        <f t="shared" si="269"/>
        <v>0.19300000000000006</v>
      </c>
      <c r="AD495" s="1515">
        <f t="shared" si="269"/>
        <v>0.20299999999999996</v>
      </c>
      <c r="AE495" s="1517">
        <f t="shared" si="270"/>
        <v>0.106</v>
      </c>
      <c r="AF495" s="1517">
        <f t="shared" si="271"/>
        <v>7.0389999999999997</v>
      </c>
      <c r="AG495" s="1515">
        <f t="shared" si="271"/>
        <v>4.8000000000000043E-2</v>
      </c>
      <c r="AH495" s="1515">
        <f t="shared" si="271"/>
        <v>0.17800000000000082</v>
      </c>
      <c r="AI495" s="1517">
        <f t="shared" si="272"/>
        <v>0.16800000000000001</v>
      </c>
      <c r="AJ495" s="1732">
        <f t="shared" si="273"/>
        <v>3.2000000000000001E-2</v>
      </c>
      <c r="AK495" s="1515"/>
      <c r="AL495" s="1515"/>
      <c r="AM495" s="1515"/>
      <c r="AN495" s="1515"/>
      <c r="AO495" s="1515"/>
      <c r="AP495" s="1515"/>
      <c r="AQ495" s="1515"/>
      <c r="AR495" s="1595"/>
      <c r="AS495" s="1595"/>
      <c r="AT495" s="1595"/>
      <c r="AU495" s="1595"/>
      <c r="AV495" s="1595"/>
      <c r="AW495" s="1595"/>
      <c r="AX495" s="1595"/>
      <c r="AY495" s="1595"/>
      <c r="AZ495" s="1595"/>
      <c r="BA495" s="1595"/>
      <c r="BB495" s="1733">
        <f t="shared" si="275"/>
        <v>3.22</v>
      </c>
      <c r="BC495" s="1733">
        <f t="shared" si="275"/>
        <v>1.7969999999999999</v>
      </c>
      <c r="BD495" s="1733">
        <f t="shared" si="275"/>
        <v>3.274</v>
      </c>
      <c r="BE495" s="1733">
        <f t="shared" si="275"/>
        <v>1.008</v>
      </c>
      <c r="BF495" s="1734">
        <f t="shared" si="275"/>
        <v>7.3710000000000004</v>
      </c>
      <c r="BG495" s="1595">
        <f t="shared" si="276"/>
        <v>0.2</v>
      </c>
      <c r="BH495" s="1595">
        <f t="shared" si="277"/>
        <v>0</v>
      </c>
      <c r="BI495" s="1595"/>
      <c r="BJ495" s="1595"/>
      <c r="BK495" s="1595"/>
      <c r="BL495" s="1517"/>
    </row>
    <row r="496" spans="1:64" s="1518" customFormat="1" x14ac:dyDescent="0.35">
      <c r="A496" s="1591" t="str">
        <f t="shared" si="263"/>
        <v>Provision for bad debts</v>
      </c>
      <c r="B496" s="1716"/>
      <c r="C496" s="1515"/>
      <c r="D496" s="1515"/>
      <c r="E496" s="1515"/>
      <c r="F496" s="1515"/>
      <c r="G496" s="1515"/>
      <c r="H496" s="1515"/>
      <c r="I496" s="1515"/>
      <c r="J496" s="1515"/>
      <c r="K496" s="1515"/>
      <c r="L496" s="1515"/>
      <c r="M496" s="1515"/>
      <c r="N496" s="1515"/>
      <c r="O496" s="1515"/>
      <c r="P496" s="1515"/>
      <c r="Q496" s="1515"/>
      <c r="R496" s="1515"/>
      <c r="S496" s="1517">
        <f t="shared" si="264"/>
        <v>0</v>
      </c>
      <c r="T496" s="1517">
        <f t="shared" si="265"/>
        <v>0.82499999999999996</v>
      </c>
      <c r="U496" s="1515">
        <f t="shared" si="265"/>
        <v>-0.20199999999999996</v>
      </c>
      <c r="V496" s="1515">
        <f t="shared" si="265"/>
        <v>-0.191</v>
      </c>
      <c r="W496" s="1517">
        <f t="shared" si="266"/>
        <v>7.9000000000000001E-2</v>
      </c>
      <c r="X496" s="1517">
        <f t="shared" si="267"/>
        <v>0.41699999999999998</v>
      </c>
      <c r="Y496" s="1515">
        <f t="shared" si="267"/>
        <v>0.10799999999999998</v>
      </c>
      <c r="Z496" s="1515">
        <f t="shared" si="267"/>
        <v>0.56500000000000006</v>
      </c>
      <c r="AA496" s="1517">
        <f t="shared" si="268"/>
        <v>0.308</v>
      </c>
      <c r="AB496" s="1517">
        <f t="shared" si="269"/>
        <v>0.35100000000000003</v>
      </c>
      <c r="AC496" s="1515">
        <f t="shared" si="269"/>
        <v>0.35699999999999998</v>
      </c>
      <c r="AD496" s="1515">
        <f t="shared" si="269"/>
        <v>-0.13900000000000001</v>
      </c>
      <c r="AE496" s="1517">
        <f t="shared" si="270"/>
        <v>0.24399999999999999</v>
      </c>
      <c r="AF496" s="1517">
        <f t="shared" si="271"/>
        <v>0.21500000000000002</v>
      </c>
      <c r="AG496" s="1515">
        <f t="shared" si="271"/>
        <v>9.7000000000000031E-2</v>
      </c>
      <c r="AH496" s="1515">
        <f t="shared" si="271"/>
        <v>0.38100000000000001</v>
      </c>
      <c r="AI496" s="1517">
        <f t="shared" si="272"/>
        <v>0.24</v>
      </c>
      <c r="AJ496" s="1732">
        <f t="shared" si="273"/>
        <v>0.97199999999999998</v>
      </c>
      <c r="AK496" s="1515"/>
      <c r="AL496" s="1515"/>
      <c r="AM496" s="1515"/>
      <c r="AN496" s="1515"/>
      <c r="AO496" s="1515"/>
      <c r="AP496" s="1515"/>
      <c r="AQ496" s="1515"/>
      <c r="AR496" s="1595"/>
      <c r="AS496" s="1595"/>
      <c r="AT496" s="1595"/>
      <c r="AU496" s="1595"/>
      <c r="AV496" s="1595"/>
      <c r="AW496" s="1595"/>
      <c r="AX496" s="1595"/>
      <c r="AY496" s="1595"/>
      <c r="AZ496" s="1595"/>
      <c r="BA496" s="1595"/>
      <c r="BB496" s="1733">
        <f t="shared" si="275"/>
        <v>0.70899999999999996</v>
      </c>
      <c r="BC496" s="1733">
        <f t="shared" si="275"/>
        <v>0.432</v>
      </c>
      <c r="BD496" s="1733">
        <f t="shared" si="275"/>
        <v>1.169</v>
      </c>
      <c r="BE496" s="1733">
        <f t="shared" si="275"/>
        <v>0.877</v>
      </c>
      <c r="BF496" s="1734">
        <f t="shared" si="275"/>
        <v>0.93700000000000006</v>
      </c>
      <c r="BG496" s="1595">
        <f t="shared" si="276"/>
        <v>1.212</v>
      </c>
      <c r="BH496" s="1595">
        <f t="shared" si="277"/>
        <v>0</v>
      </c>
      <c r="BI496" s="1595"/>
      <c r="BJ496" s="1595"/>
      <c r="BK496" s="1595"/>
      <c r="BL496" s="1517"/>
    </row>
    <row r="497" spans="1:64" s="1518" customFormat="1" x14ac:dyDescent="0.35">
      <c r="A497" s="1591" t="str">
        <f t="shared" si="263"/>
        <v>Amortization of financing fees</v>
      </c>
      <c r="B497" s="1716"/>
      <c r="C497" s="1515"/>
      <c r="D497" s="1515"/>
      <c r="E497" s="1515"/>
      <c r="F497" s="1515"/>
      <c r="G497" s="1515"/>
      <c r="H497" s="1515"/>
      <c r="I497" s="1515"/>
      <c r="J497" s="1515"/>
      <c r="K497" s="1515"/>
      <c r="L497" s="1515"/>
      <c r="M497" s="1515"/>
      <c r="N497" s="1515"/>
      <c r="O497" s="1515"/>
      <c r="P497" s="1515"/>
      <c r="Q497" s="1515"/>
      <c r="R497" s="1515"/>
      <c r="S497" s="1517">
        <f t="shared" si="264"/>
        <v>0</v>
      </c>
      <c r="T497" s="1517">
        <f t="shared" si="265"/>
        <v>0.249</v>
      </c>
      <c r="U497" s="1515">
        <f t="shared" si="265"/>
        <v>0.124</v>
      </c>
      <c r="V497" s="1515">
        <f t="shared" si="265"/>
        <v>0.124</v>
      </c>
      <c r="W497" s="1517">
        <f t="shared" si="266"/>
        <v>0.124</v>
      </c>
      <c r="X497" s="1517">
        <f t="shared" si="267"/>
        <v>0.125</v>
      </c>
      <c r="Y497" s="1515">
        <f t="shared" si="267"/>
        <v>0.11299999999999999</v>
      </c>
      <c r="Z497" s="1515">
        <f t="shared" si="267"/>
        <v>0.10899999999999999</v>
      </c>
      <c r="AA497" s="1517">
        <f t="shared" si="268"/>
        <v>0.109</v>
      </c>
      <c r="AB497" s="1517">
        <f t="shared" si="269"/>
        <v>0.109</v>
      </c>
      <c r="AC497" s="1515">
        <f t="shared" si="269"/>
        <v>0.10900000000000001</v>
      </c>
      <c r="AD497" s="1515">
        <f t="shared" si="269"/>
        <v>0.126</v>
      </c>
      <c r="AE497" s="1517">
        <f t="shared" si="270"/>
        <v>0.26900000000000002</v>
      </c>
      <c r="AF497" s="1517">
        <f t="shared" si="271"/>
        <v>0.27</v>
      </c>
      <c r="AG497" s="1515">
        <f t="shared" si="271"/>
        <v>0.26900000000000002</v>
      </c>
      <c r="AH497" s="1515">
        <f t="shared" si="271"/>
        <v>0.27</v>
      </c>
      <c r="AI497" s="1517">
        <f t="shared" si="272"/>
        <v>0.26900000000000002</v>
      </c>
      <c r="AJ497" s="1732">
        <f t="shared" si="273"/>
        <v>0.27</v>
      </c>
      <c r="AK497" s="1515"/>
      <c r="AL497" s="1515"/>
      <c r="AM497" s="1515"/>
      <c r="AN497" s="1515"/>
      <c r="AO497" s="1515"/>
      <c r="AP497" s="1515"/>
      <c r="AQ497" s="1515"/>
      <c r="AR497" s="1595"/>
      <c r="AS497" s="1595"/>
      <c r="AT497" s="1595"/>
      <c r="AU497" s="1595"/>
      <c r="AV497" s="1595"/>
      <c r="AW497" s="1595"/>
      <c r="AX497" s="1595"/>
      <c r="AY497" s="1595"/>
      <c r="AZ497" s="1595"/>
      <c r="BA497" s="1595"/>
      <c r="BB497" s="1733">
        <f t="shared" si="275"/>
        <v>0.497</v>
      </c>
      <c r="BC497" s="1733">
        <f t="shared" si="275"/>
        <v>0.497</v>
      </c>
      <c r="BD497" s="1733">
        <f t="shared" si="275"/>
        <v>0.47099999999999997</v>
      </c>
      <c r="BE497" s="1733">
        <f t="shared" si="275"/>
        <v>0.45300000000000001</v>
      </c>
      <c r="BF497" s="1734">
        <f t="shared" si="275"/>
        <v>1.0780000000000001</v>
      </c>
      <c r="BG497" s="1595">
        <f t="shared" si="276"/>
        <v>0.53900000000000003</v>
      </c>
      <c r="BH497" s="1595">
        <f t="shared" si="277"/>
        <v>0</v>
      </c>
      <c r="BI497" s="1595"/>
      <c r="BJ497" s="1595"/>
      <c r="BK497" s="1595"/>
      <c r="BL497" s="1517"/>
    </row>
    <row r="498" spans="1:64" s="1518" customFormat="1" x14ac:dyDescent="0.35">
      <c r="A498" s="1591" t="str">
        <f t="shared" si="263"/>
        <v>Amortization of debt discount</v>
      </c>
      <c r="B498" s="1716"/>
      <c r="C498" s="1515"/>
      <c r="D498" s="1515"/>
      <c r="E498" s="1515"/>
      <c r="F498" s="1515"/>
      <c r="G498" s="1515"/>
      <c r="H498" s="1515"/>
      <c r="I498" s="1515"/>
      <c r="J498" s="1515"/>
      <c r="K498" s="1515"/>
      <c r="L498" s="1515"/>
      <c r="M498" s="1515"/>
      <c r="N498" s="1515"/>
      <c r="O498" s="1515"/>
      <c r="P498" s="1515"/>
      <c r="Q498" s="1515"/>
      <c r="R498" s="1515"/>
      <c r="S498" s="1517">
        <f t="shared" si="264"/>
        <v>0</v>
      </c>
      <c r="T498" s="1517">
        <f t="shared" si="265"/>
        <v>1.175</v>
      </c>
      <c r="U498" s="1515">
        <f t="shared" si="265"/>
        <v>0.59199999999999986</v>
      </c>
      <c r="V498" s="1515">
        <f t="shared" si="265"/>
        <v>0.5900000000000003</v>
      </c>
      <c r="W498" s="1517">
        <f t="shared" si="266"/>
        <v>0.57599999999999996</v>
      </c>
      <c r="X498" s="1517">
        <f t="shared" si="267"/>
        <v>0.57999999999999996</v>
      </c>
      <c r="Y498" s="1515">
        <f t="shared" si="267"/>
        <v>0.58500000000000019</v>
      </c>
      <c r="Z498" s="1515">
        <f t="shared" si="267"/>
        <v>1.5209999999999999</v>
      </c>
      <c r="AA498" s="1517">
        <f t="shared" si="268"/>
        <v>0.47799999999999998</v>
      </c>
      <c r="AB498" s="1517">
        <f t="shared" si="269"/>
        <v>0.48099999999999998</v>
      </c>
      <c r="AC498" s="1515">
        <f t="shared" si="269"/>
        <v>0.48499999999999999</v>
      </c>
      <c r="AD498" s="1515">
        <f t="shared" si="269"/>
        <v>0.23100000000000009</v>
      </c>
      <c r="AE498" s="1517">
        <f t="shared" si="270"/>
        <v>0.19400000000000001</v>
      </c>
      <c r="AF498" s="1517">
        <f t="shared" si="271"/>
        <v>0.19800000000000001</v>
      </c>
      <c r="AG498" s="1515">
        <f t="shared" si="271"/>
        <v>0.20199999999999996</v>
      </c>
      <c r="AH498" s="1515">
        <f t="shared" si="271"/>
        <v>0.20400000000000007</v>
      </c>
      <c r="AI498" s="1517">
        <f t="shared" si="272"/>
        <v>0.20399999999999999</v>
      </c>
      <c r="AJ498" s="1732">
        <f t="shared" si="273"/>
        <v>0.20399999999999999</v>
      </c>
      <c r="AK498" s="1515"/>
      <c r="AL498" s="1515"/>
      <c r="AM498" s="1515"/>
      <c r="AN498" s="1515"/>
      <c r="AO498" s="1515"/>
      <c r="AP498" s="1515"/>
      <c r="AQ498" s="1515"/>
      <c r="AR498" s="1595"/>
      <c r="AS498" s="1595"/>
      <c r="AT498" s="1595"/>
      <c r="AU498" s="1595"/>
      <c r="AV498" s="1595"/>
      <c r="AW498" s="1595"/>
      <c r="AX498" s="1595"/>
      <c r="AY498" s="1595"/>
      <c r="AZ498" s="1595"/>
      <c r="BA498" s="1595"/>
      <c r="BB498" s="1733">
        <f t="shared" si="275"/>
        <v>2.375</v>
      </c>
      <c r="BC498" s="1733">
        <f t="shared" si="275"/>
        <v>2.3570000000000002</v>
      </c>
      <c r="BD498" s="1733">
        <f t="shared" si="275"/>
        <v>3.262</v>
      </c>
      <c r="BE498" s="1733">
        <f t="shared" si="275"/>
        <v>1.675</v>
      </c>
      <c r="BF498" s="1734">
        <f t="shared" si="275"/>
        <v>0.79800000000000004</v>
      </c>
      <c r="BG498" s="1595">
        <f t="shared" si="276"/>
        <v>0.40799999999999997</v>
      </c>
      <c r="BH498" s="1595">
        <f t="shared" si="277"/>
        <v>0</v>
      </c>
      <c r="BI498" s="1595"/>
      <c r="BJ498" s="1595"/>
      <c r="BK498" s="1595"/>
      <c r="BL498" s="1517"/>
    </row>
    <row r="499" spans="1:64" s="1518" customFormat="1" x14ac:dyDescent="0.35">
      <c r="A499" s="1591" t="str">
        <f t="shared" si="263"/>
        <v>Deferred rent</v>
      </c>
      <c r="B499" s="1716"/>
      <c r="C499" s="1515"/>
      <c r="D499" s="1515"/>
      <c r="E499" s="1515"/>
      <c r="F499" s="1515"/>
      <c r="G499" s="1515"/>
      <c r="H499" s="1515"/>
      <c r="I499" s="1515"/>
      <c r="J499" s="1515"/>
      <c r="K499" s="1515"/>
      <c r="L499" s="1515"/>
      <c r="M499" s="1515"/>
      <c r="N499" s="1515"/>
      <c r="O499" s="1515"/>
      <c r="P499" s="1515"/>
      <c r="Q499" s="1515"/>
      <c r="R499" s="1515"/>
      <c r="S499" s="1517">
        <f t="shared" si="264"/>
        <v>0</v>
      </c>
      <c r="T499" s="1517">
        <f t="shared" si="265"/>
        <v>6.3E-2</v>
      </c>
      <c r="U499" s="1515">
        <f t="shared" si="265"/>
        <v>-0.13900000000000001</v>
      </c>
      <c r="V499" s="1515">
        <f t="shared" si="265"/>
        <v>-0.751</v>
      </c>
      <c r="W499" s="1517">
        <f t="shared" si="266"/>
        <v>-1.1200000000000001</v>
      </c>
      <c r="X499" s="1517">
        <f t="shared" si="267"/>
        <v>-0.10299999999999998</v>
      </c>
      <c r="Y499" s="1515">
        <f t="shared" si="267"/>
        <v>-0.11099999999999999</v>
      </c>
      <c r="Z499" s="1515">
        <f t="shared" si="267"/>
        <v>-0.28699999999999992</v>
      </c>
      <c r="AA499" s="1517">
        <f t="shared" si="268"/>
        <v>0</v>
      </c>
      <c r="AB499" s="1517">
        <f t="shared" si="269"/>
        <v>-0.14599999999999999</v>
      </c>
      <c r="AC499" s="1515">
        <f t="shared" si="269"/>
        <v>-2.4000000000000021E-2</v>
      </c>
      <c r="AD499" s="1515">
        <f t="shared" si="269"/>
        <v>-5.5999999999999994E-2</v>
      </c>
      <c r="AE499" s="1517">
        <f t="shared" si="270"/>
        <v>3.9E-2</v>
      </c>
      <c r="AF499" s="1517">
        <f t="shared" si="271"/>
        <v>0.98399999999999987</v>
      </c>
      <c r="AG499" s="1515">
        <f t="shared" si="271"/>
        <v>-0.6399999999999999</v>
      </c>
      <c r="AH499" s="1515">
        <f t="shared" si="271"/>
        <v>-0.54100000000000004</v>
      </c>
      <c r="AI499" s="1517">
        <f t="shared" si="272"/>
        <v>-0.42799999999999999</v>
      </c>
      <c r="AJ499" s="1732">
        <f t="shared" si="273"/>
        <v>-0.434</v>
      </c>
      <c r="AK499" s="1515"/>
      <c r="AL499" s="1515"/>
      <c r="AM499" s="1515"/>
      <c r="AN499" s="1515"/>
      <c r="AO499" s="1515"/>
      <c r="AP499" s="1515"/>
      <c r="AQ499" s="1515"/>
      <c r="AR499" s="1595"/>
      <c r="AS499" s="1595"/>
      <c r="AT499" s="1595"/>
      <c r="AU499" s="1595"/>
      <c r="AV499" s="1595"/>
      <c r="AW499" s="1595"/>
      <c r="AX499" s="1595"/>
      <c r="AY499" s="1595"/>
      <c r="AZ499" s="1595"/>
      <c r="BA499" s="1595"/>
      <c r="BB499" s="1733">
        <f t="shared" si="275"/>
        <v>-0.52900000000000003</v>
      </c>
      <c r="BC499" s="1733">
        <f t="shared" si="275"/>
        <v>-0.82699999999999996</v>
      </c>
      <c r="BD499" s="1733">
        <f t="shared" si="275"/>
        <v>-1.621</v>
      </c>
      <c r="BE499" s="1733">
        <f t="shared" si="275"/>
        <v>-0.22600000000000001</v>
      </c>
      <c r="BF499" s="1734">
        <f t="shared" si="275"/>
        <v>-0.158</v>
      </c>
      <c r="BG499" s="1595">
        <f t="shared" si="276"/>
        <v>-0.86199999999999999</v>
      </c>
      <c r="BH499" s="1595">
        <f t="shared" si="277"/>
        <v>0</v>
      </c>
      <c r="BI499" s="1595"/>
      <c r="BJ499" s="1595"/>
      <c r="BK499" s="1595"/>
      <c r="BL499" s="1517"/>
    </row>
    <row r="500" spans="1:64" s="1518" customFormat="1" x14ac:dyDescent="0.35">
      <c r="A500" s="1591" t="str">
        <f t="shared" si="263"/>
        <v>Noncash impact of lease accounting under ASC 842</v>
      </c>
      <c r="B500" s="1716"/>
      <c r="C500" s="1515"/>
      <c r="D500" s="1515"/>
      <c r="E500" s="1515"/>
      <c r="F500" s="1515"/>
      <c r="G500" s="1515"/>
      <c r="H500" s="1515"/>
      <c r="I500" s="1515"/>
      <c r="J500" s="1515"/>
      <c r="K500" s="1515"/>
      <c r="L500" s="1515"/>
      <c r="M500" s="1515"/>
      <c r="N500" s="1515"/>
      <c r="O500" s="1515"/>
      <c r="P500" s="1515"/>
      <c r="Q500" s="1515"/>
      <c r="R500" s="1515"/>
      <c r="S500" s="1517">
        <f t="shared" si="264"/>
        <v>0</v>
      </c>
      <c r="T500" s="1517">
        <f t="shared" si="265"/>
        <v>0</v>
      </c>
      <c r="U500" s="1515">
        <f t="shared" si="265"/>
        <v>0</v>
      </c>
      <c r="V500" s="1515">
        <f t="shared" si="265"/>
        <v>0</v>
      </c>
      <c r="W500" s="1517">
        <f t="shared" si="266"/>
        <v>0</v>
      </c>
      <c r="X500" s="1517">
        <f t="shared" si="267"/>
        <v>0</v>
      </c>
      <c r="Y500" s="1515">
        <f t="shared" si="267"/>
        <v>0</v>
      </c>
      <c r="Z500" s="1515">
        <f t="shared" si="267"/>
        <v>0</v>
      </c>
      <c r="AA500" s="1517">
        <f t="shared" si="268"/>
        <v>-5.5E-2</v>
      </c>
      <c r="AB500" s="1517">
        <f t="shared" si="269"/>
        <v>5.5E-2</v>
      </c>
      <c r="AC500" s="1515">
        <f t="shared" si="269"/>
        <v>0</v>
      </c>
      <c r="AD500" s="1515">
        <f t="shared" si="269"/>
        <v>0</v>
      </c>
      <c r="AE500" s="1517">
        <f t="shared" si="270"/>
        <v>0</v>
      </c>
      <c r="AF500" s="1517">
        <f t="shared" si="271"/>
        <v>0</v>
      </c>
      <c r="AG500" s="1515">
        <f t="shared" si="271"/>
        <v>0</v>
      </c>
      <c r="AH500" s="1515">
        <f t="shared" si="271"/>
        <v>0</v>
      </c>
      <c r="AI500" s="1517">
        <f t="shared" si="272"/>
        <v>0</v>
      </c>
      <c r="AJ500" s="1732">
        <f t="shared" si="273"/>
        <v>0</v>
      </c>
      <c r="AK500" s="1515"/>
      <c r="AL500" s="1515"/>
      <c r="AM500" s="1515"/>
      <c r="AN500" s="1515"/>
      <c r="AO500" s="1515"/>
      <c r="AP500" s="1515"/>
      <c r="AQ500" s="1515"/>
      <c r="AR500" s="1595"/>
      <c r="AS500" s="1595"/>
      <c r="AT500" s="1595"/>
      <c r="AU500" s="1595"/>
      <c r="AV500" s="1595"/>
      <c r="AW500" s="1595"/>
      <c r="AX500" s="1595"/>
      <c r="AY500" s="1595"/>
      <c r="AZ500" s="1595"/>
      <c r="BA500" s="1595"/>
      <c r="BB500" s="1733">
        <f t="shared" si="275"/>
        <v>0</v>
      </c>
      <c r="BC500" s="1733">
        <f t="shared" si="275"/>
        <v>0</v>
      </c>
      <c r="BD500" s="1733">
        <f t="shared" si="275"/>
        <v>0</v>
      </c>
      <c r="BE500" s="1733">
        <f t="shared" si="275"/>
        <v>0</v>
      </c>
      <c r="BF500" s="1734">
        <f t="shared" si="275"/>
        <v>0</v>
      </c>
      <c r="BG500" s="1595">
        <f t="shared" si="276"/>
        <v>0</v>
      </c>
      <c r="BH500" s="1595">
        <f t="shared" si="277"/>
        <v>0</v>
      </c>
      <c r="BI500" s="1595"/>
      <c r="BJ500" s="1595"/>
      <c r="BK500" s="1595"/>
      <c r="BL500" s="1517"/>
    </row>
    <row r="501" spans="1:64" s="1518" customFormat="1" x14ac:dyDescent="0.35">
      <c r="A501" s="1591" t="str">
        <f t="shared" si="263"/>
        <v>Unrealized translation loss (gain) on investment in foreign subsidiaries</v>
      </c>
      <c r="B501" s="1716"/>
      <c r="C501" s="1515"/>
      <c r="D501" s="1515"/>
      <c r="E501" s="1515"/>
      <c r="F501" s="1515"/>
      <c r="G501" s="1515"/>
      <c r="H501" s="1515"/>
      <c r="I501" s="1515"/>
      <c r="J501" s="1515"/>
      <c r="K501" s="1515"/>
      <c r="L501" s="1515"/>
      <c r="M501" s="1515"/>
      <c r="N501" s="1515"/>
      <c r="O501" s="1515"/>
      <c r="P501" s="1515"/>
      <c r="Q501" s="1515"/>
      <c r="R501" s="1515"/>
      <c r="S501" s="1517">
        <f t="shared" si="264"/>
        <v>0</v>
      </c>
      <c r="T501" s="1517">
        <f t="shared" si="265"/>
        <v>-0.67100000000000004</v>
      </c>
      <c r="U501" s="1515">
        <f t="shared" si="265"/>
        <v>0.15700000000000003</v>
      </c>
      <c r="V501" s="1515">
        <f t="shared" si="265"/>
        <v>-8.2999999999999963E-2</v>
      </c>
      <c r="W501" s="1517">
        <f t="shared" si="266"/>
        <v>4.1000000000000002E-2</v>
      </c>
      <c r="X501" s="1517">
        <f t="shared" si="267"/>
        <v>-0.27</v>
      </c>
      <c r="Y501" s="1515">
        <f t="shared" si="267"/>
        <v>0.129</v>
      </c>
      <c r="Z501" s="1515">
        <f t="shared" si="267"/>
        <v>-5.3999999999999992E-2</v>
      </c>
      <c r="AA501" s="1517">
        <f t="shared" si="268"/>
        <v>-0.39300000000000002</v>
      </c>
      <c r="AB501" s="1517">
        <f t="shared" si="269"/>
        <v>-0.82699999999999996</v>
      </c>
      <c r="AC501" s="1515">
        <f t="shared" si="269"/>
        <v>-0.6180000000000001</v>
      </c>
      <c r="AD501" s="1515">
        <f t="shared" si="269"/>
        <v>-0.50700000000000012</v>
      </c>
      <c r="AE501" s="1517">
        <f t="shared" si="270"/>
        <v>0.13500000000000001</v>
      </c>
      <c r="AF501" s="1517">
        <f t="shared" si="271"/>
        <v>-2.700000000000001E-2</v>
      </c>
      <c r="AG501" s="1515">
        <f t="shared" si="271"/>
        <v>-1.3999999999999999E-2</v>
      </c>
      <c r="AH501" s="1515">
        <f t="shared" si="271"/>
        <v>8.8999999999999996E-2</v>
      </c>
      <c r="AI501" s="1517">
        <f t="shared" si="272"/>
        <v>1.7999999999999999E-2</v>
      </c>
      <c r="AJ501" s="1732">
        <f t="shared" si="273"/>
        <v>-1.0999999999999999E-2</v>
      </c>
      <c r="AK501" s="1515"/>
      <c r="AL501" s="1515"/>
      <c r="AM501" s="1515"/>
      <c r="AN501" s="1515"/>
      <c r="AO501" s="1515"/>
      <c r="AP501" s="1515"/>
      <c r="AQ501" s="1515"/>
      <c r="AR501" s="1595"/>
      <c r="AS501" s="1595"/>
      <c r="AT501" s="1595"/>
      <c r="AU501" s="1595"/>
      <c r="AV501" s="1595"/>
      <c r="AW501" s="1595"/>
      <c r="AX501" s="1595"/>
      <c r="AY501" s="1595"/>
      <c r="AZ501" s="1595"/>
      <c r="BA501" s="1595"/>
      <c r="BB501" s="1733">
        <f t="shared" si="275"/>
        <v>1.4E-2</v>
      </c>
      <c r="BC501" s="1733">
        <f t="shared" si="275"/>
        <v>-0.59699999999999998</v>
      </c>
      <c r="BD501" s="1733">
        <f t="shared" si="275"/>
        <v>-0.154</v>
      </c>
      <c r="BE501" s="1733">
        <f t="shared" si="275"/>
        <v>-2.3450000000000002</v>
      </c>
      <c r="BF501" s="1734">
        <f t="shared" si="275"/>
        <v>0.183</v>
      </c>
      <c r="BG501" s="1595">
        <f t="shared" si="276"/>
        <v>6.9999999999999993E-3</v>
      </c>
      <c r="BH501" s="1595">
        <f t="shared" si="277"/>
        <v>0</v>
      </c>
      <c r="BI501" s="1595"/>
      <c r="BJ501" s="1595"/>
      <c r="BK501" s="1595"/>
      <c r="BL501" s="1517"/>
    </row>
    <row r="502" spans="1:64" s="1518" customFormat="1" x14ac:dyDescent="0.35">
      <c r="A502" s="1591" t="str">
        <f t="shared" si="263"/>
        <v>Interest rate swap settlements</v>
      </c>
      <c r="B502" s="1716"/>
      <c r="C502" s="1515"/>
      <c r="D502" s="1515"/>
      <c r="E502" s="1515"/>
      <c r="F502" s="1515"/>
      <c r="G502" s="1515"/>
      <c r="H502" s="1515"/>
      <c r="I502" s="1515"/>
      <c r="J502" s="1515"/>
      <c r="K502" s="1515"/>
      <c r="L502" s="1515"/>
      <c r="M502" s="1515"/>
      <c r="N502" s="1515"/>
      <c r="O502" s="1515"/>
      <c r="P502" s="1515"/>
      <c r="Q502" s="1515"/>
      <c r="R502" s="1515"/>
      <c r="S502" s="1517">
        <f t="shared" si="264"/>
        <v>0</v>
      </c>
      <c r="T502" s="1517">
        <f t="shared" si="265"/>
        <v>0</v>
      </c>
      <c r="U502" s="1515">
        <f t="shared" si="265"/>
        <v>0</v>
      </c>
      <c r="V502" s="1515">
        <f t="shared" si="265"/>
        <v>0</v>
      </c>
      <c r="W502" s="1517">
        <f t="shared" si="266"/>
        <v>0</v>
      </c>
      <c r="X502" s="1517">
        <f t="shared" si="267"/>
        <v>0</v>
      </c>
      <c r="Y502" s="1515">
        <f t="shared" si="267"/>
        <v>0</v>
      </c>
      <c r="Z502" s="1515">
        <f t="shared" si="267"/>
        <v>0</v>
      </c>
      <c r="AA502" s="1517">
        <f t="shared" si="268"/>
        <v>0</v>
      </c>
      <c r="AB502" s="1517">
        <f t="shared" si="269"/>
        <v>0</v>
      </c>
      <c r="AC502" s="1515">
        <f t="shared" si="269"/>
        <v>0</v>
      </c>
      <c r="AD502" s="1515">
        <f t="shared" si="269"/>
        <v>0</v>
      </c>
      <c r="AE502" s="1517">
        <f t="shared" si="270"/>
        <v>2.3E-2</v>
      </c>
      <c r="AF502" s="1517">
        <f t="shared" si="271"/>
        <v>0.56199999999999994</v>
      </c>
      <c r="AG502" s="1515">
        <f t="shared" si="271"/>
        <v>0.73799999999999999</v>
      </c>
      <c r="AH502" s="1515">
        <f t="shared" si="271"/>
        <v>-1.323</v>
      </c>
      <c r="AI502" s="1517">
        <f t="shared" si="272"/>
        <v>0</v>
      </c>
      <c r="AJ502" s="1732">
        <f t="shared" si="273"/>
        <v>0</v>
      </c>
      <c r="AK502" s="1515"/>
      <c r="AL502" s="1515"/>
      <c r="AM502" s="1515"/>
      <c r="AN502" s="1515"/>
      <c r="AO502" s="1515"/>
      <c r="AP502" s="1515"/>
      <c r="AQ502" s="1515"/>
      <c r="AR502" s="1595"/>
      <c r="AS502" s="1595"/>
      <c r="AT502" s="1595"/>
      <c r="AU502" s="1595"/>
      <c r="AV502" s="1595"/>
      <c r="AW502" s="1595"/>
      <c r="AX502" s="1595"/>
      <c r="AY502" s="1595"/>
      <c r="AZ502" s="1595"/>
      <c r="BA502" s="1595"/>
      <c r="BB502" s="1733">
        <f t="shared" si="275"/>
        <v>0</v>
      </c>
      <c r="BC502" s="1733">
        <f t="shared" si="275"/>
        <v>0</v>
      </c>
      <c r="BD502" s="1733">
        <f t="shared" si="275"/>
        <v>0</v>
      </c>
      <c r="BE502" s="1733">
        <f t="shared" si="275"/>
        <v>0</v>
      </c>
      <c r="BF502" s="1734">
        <f t="shared" si="275"/>
        <v>0</v>
      </c>
      <c r="BG502" s="1595">
        <f t="shared" si="276"/>
        <v>0</v>
      </c>
      <c r="BH502" s="1595">
        <f t="shared" si="277"/>
        <v>0</v>
      </c>
      <c r="BI502" s="1595"/>
      <c r="BJ502" s="1595"/>
      <c r="BK502" s="1595"/>
      <c r="BL502" s="1517"/>
    </row>
    <row r="503" spans="1:64" s="1518" customFormat="1" x14ac:dyDescent="0.35">
      <c r="A503" s="1591" t="str">
        <f t="shared" si="263"/>
        <v>Changes in fair value of derivatives</v>
      </c>
      <c r="B503" s="1716"/>
      <c r="C503" s="1515"/>
      <c r="D503" s="1515"/>
      <c r="E503" s="1515"/>
      <c r="F503" s="1515"/>
      <c r="G503" s="1515"/>
      <c r="H503" s="1515"/>
      <c r="I503" s="1515"/>
      <c r="J503" s="1515"/>
      <c r="K503" s="1515"/>
      <c r="L503" s="1515"/>
      <c r="M503" s="1515"/>
      <c r="N503" s="1515"/>
      <c r="O503" s="1515"/>
      <c r="P503" s="1515"/>
      <c r="Q503" s="1515"/>
      <c r="R503" s="1515"/>
      <c r="S503" s="1517">
        <f t="shared" si="264"/>
        <v>0</v>
      </c>
      <c r="T503" s="1517">
        <f t="shared" si="265"/>
        <v>8.9459999999999997</v>
      </c>
      <c r="U503" s="1515">
        <f t="shared" si="265"/>
        <v>-1.54</v>
      </c>
      <c r="V503" s="1515">
        <f t="shared" si="265"/>
        <v>-1.6549999999999994</v>
      </c>
      <c r="W503" s="1517">
        <f t="shared" si="266"/>
        <v>-1.5269999999999999</v>
      </c>
      <c r="X503" s="1517">
        <f t="shared" si="267"/>
        <v>-1.377</v>
      </c>
      <c r="Y503" s="1515">
        <f t="shared" si="267"/>
        <v>-2.12</v>
      </c>
      <c r="Z503" s="1515">
        <f t="shared" si="267"/>
        <v>-2.3979999999999997</v>
      </c>
      <c r="AA503" s="1517">
        <f t="shared" si="268"/>
        <v>-2.464</v>
      </c>
      <c r="AB503" s="1517">
        <f t="shared" si="269"/>
        <v>-1.6380000000000003</v>
      </c>
      <c r="AC503" s="1515">
        <f t="shared" si="269"/>
        <v>0</v>
      </c>
      <c r="AD503" s="1515">
        <f t="shared" si="269"/>
        <v>0</v>
      </c>
      <c r="AE503" s="1517">
        <f t="shared" si="270"/>
        <v>0</v>
      </c>
      <c r="AF503" s="1517">
        <f t="shared" si="271"/>
        <v>0</v>
      </c>
      <c r="AG503" s="1515">
        <f t="shared" si="271"/>
        <v>0</v>
      </c>
      <c r="AH503" s="1515">
        <f t="shared" si="271"/>
        <v>0</v>
      </c>
      <c r="AI503" s="1517">
        <f t="shared" si="272"/>
        <v>0</v>
      </c>
      <c r="AJ503" s="1732">
        <f t="shared" si="273"/>
        <v>0</v>
      </c>
      <c r="AK503" s="1515"/>
      <c r="AL503" s="1515"/>
      <c r="AM503" s="1515"/>
      <c r="AN503" s="1515"/>
      <c r="AO503" s="1515"/>
      <c r="AP503" s="1515"/>
      <c r="AQ503" s="1515"/>
      <c r="AR503" s="1595"/>
      <c r="AS503" s="1595"/>
      <c r="AT503" s="1595"/>
      <c r="AU503" s="1595"/>
      <c r="AV503" s="1595"/>
      <c r="AW503" s="1595"/>
      <c r="AX503" s="1595"/>
      <c r="AY503" s="1595"/>
      <c r="AZ503" s="1595"/>
      <c r="BA503" s="1595"/>
      <c r="BB503" s="1733">
        <f t="shared" si="275"/>
        <v>11.141999999999999</v>
      </c>
      <c r="BC503" s="1733">
        <f t="shared" si="275"/>
        <v>5.7510000000000003</v>
      </c>
      <c r="BD503" s="1733">
        <f t="shared" si="275"/>
        <v>-7.4219999999999997</v>
      </c>
      <c r="BE503" s="1733">
        <f t="shared" si="275"/>
        <v>-4.1020000000000003</v>
      </c>
      <c r="BF503" s="1734">
        <f t="shared" si="275"/>
        <v>0</v>
      </c>
      <c r="BG503" s="1595">
        <f t="shared" si="276"/>
        <v>0</v>
      </c>
      <c r="BH503" s="1595">
        <f t="shared" si="277"/>
        <v>0</v>
      </c>
      <c r="BI503" s="1595"/>
      <c r="BJ503" s="1595"/>
      <c r="BK503" s="1595"/>
      <c r="BL503" s="1517"/>
    </row>
    <row r="504" spans="1:64" s="1518" customFormat="1" x14ac:dyDescent="0.35">
      <c r="A504" s="1591" t="str">
        <f t="shared" si="263"/>
        <v>Change in fair value of contingent consideration, net</v>
      </c>
      <c r="B504" s="1716"/>
      <c r="C504" s="1515"/>
      <c r="D504" s="1515"/>
      <c r="E504" s="1515"/>
      <c r="F504" s="1515"/>
      <c r="G504" s="1515"/>
      <c r="H504" s="1515"/>
      <c r="I504" s="1515"/>
      <c r="J504" s="1515"/>
      <c r="K504" s="1515"/>
      <c r="L504" s="1515"/>
      <c r="M504" s="1515"/>
      <c r="N504" s="1515"/>
      <c r="O504" s="1515"/>
      <c r="P504" s="1515"/>
      <c r="Q504" s="1515"/>
      <c r="R504" s="1515"/>
      <c r="S504" s="1517">
        <f t="shared" si="264"/>
        <v>0</v>
      </c>
      <c r="T504" s="1517">
        <f t="shared" si="265"/>
        <v>0</v>
      </c>
      <c r="U504" s="1515">
        <f t="shared" si="265"/>
        <v>0</v>
      </c>
      <c r="V504" s="1515">
        <f t="shared" si="265"/>
        <v>0</v>
      </c>
      <c r="W504" s="1517">
        <f t="shared" si="266"/>
        <v>0</v>
      </c>
      <c r="X504" s="1517">
        <f t="shared" si="267"/>
        <v>0</v>
      </c>
      <c r="Y504" s="1515">
        <f t="shared" si="267"/>
        <v>0</v>
      </c>
      <c r="Z504" s="1515">
        <f t="shared" si="267"/>
        <v>0</v>
      </c>
      <c r="AA504" s="1517">
        <f t="shared" si="268"/>
        <v>0</v>
      </c>
      <c r="AB504" s="1517">
        <f t="shared" si="269"/>
        <v>0</v>
      </c>
      <c r="AC504" s="1515">
        <f t="shared" si="269"/>
        <v>0</v>
      </c>
      <c r="AD504" s="1515">
        <f t="shared" si="269"/>
        <v>0</v>
      </c>
      <c r="AE504" s="1517">
        <f t="shared" si="270"/>
        <v>0</v>
      </c>
      <c r="AF504" s="1517">
        <f t="shared" si="271"/>
        <v>0</v>
      </c>
      <c r="AG504" s="1515">
        <f t="shared" si="271"/>
        <v>-0.68600000000000005</v>
      </c>
      <c r="AH504" s="1515">
        <f t="shared" si="271"/>
        <v>-1.9449999999999998</v>
      </c>
      <c r="AI504" s="1517">
        <f t="shared" si="272"/>
        <v>4</v>
      </c>
      <c r="AJ504" s="1732">
        <f t="shared" si="273"/>
        <v>-2.71</v>
      </c>
      <c r="AK504" s="1515"/>
      <c r="AL504" s="1515"/>
      <c r="AM504" s="1515"/>
      <c r="AN504" s="1515"/>
      <c r="AO504" s="1515"/>
      <c r="AP504" s="1515"/>
      <c r="AQ504" s="1515"/>
      <c r="AR504" s="1595"/>
      <c r="AS504" s="1595"/>
      <c r="AT504" s="1595"/>
      <c r="AU504" s="1595"/>
      <c r="AV504" s="1595"/>
      <c r="AW504" s="1595"/>
      <c r="AX504" s="1595"/>
      <c r="AY504" s="1595"/>
      <c r="AZ504" s="1595"/>
      <c r="BA504" s="1595"/>
      <c r="BB504" s="1733">
        <f t="shared" si="275"/>
        <v>0</v>
      </c>
      <c r="BC504" s="1733">
        <f t="shared" si="275"/>
        <v>0</v>
      </c>
      <c r="BD504" s="1733">
        <f t="shared" si="275"/>
        <v>0</v>
      </c>
      <c r="BE504" s="1733">
        <f t="shared" si="275"/>
        <v>0</v>
      </c>
      <c r="BF504" s="1734">
        <f t="shared" si="275"/>
        <v>-2.6309999999999998</v>
      </c>
      <c r="BG504" s="1595">
        <f t="shared" si="276"/>
        <v>1.29</v>
      </c>
      <c r="BH504" s="1595">
        <f t="shared" si="277"/>
        <v>0</v>
      </c>
      <c r="BI504" s="1595"/>
      <c r="BJ504" s="1595"/>
      <c r="BK504" s="1595"/>
      <c r="BL504" s="1517"/>
    </row>
    <row r="505" spans="1:64" s="1518" customFormat="1" x14ac:dyDescent="0.35">
      <c r="A505" s="1591" t="str">
        <f t="shared" si="263"/>
        <v>Excess payment on contingent consideration for acquisition</v>
      </c>
      <c r="B505" s="1716"/>
      <c r="C505" s="1515"/>
      <c r="D505" s="1515"/>
      <c r="E505" s="1515"/>
      <c r="F505" s="1515"/>
      <c r="G505" s="1515"/>
      <c r="H505" s="1515"/>
      <c r="I505" s="1515"/>
      <c r="J505" s="1515"/>
      <c r="K505" s="1515"/>
      <c r="L505" s="1515"/>
      <c r="M505" s="1515"/>
      <c r="N505" s="1515"/>
      <c r="O505" s="1515"/>
      <c r="P505" s="1515"/>
      <c r="Q505" s="1515"/>
      <c r="R505" s="1515"/>
      <c r="S505" s="1517">
        <f t="shared" si="264"/>
        <v>0</v>
      </c>
      <c r="T505" s="1517">
        <f t="shared" si="265"/>
        <v>0</v>
      </c>
      <c r="U505" s="1515">
        <f t="shared" si="265"/>
        <v>0</v>
      </c>
      <c r="V505" s="1515">
        <f t="shared" si="265"/>
        <v>0</v>
      </c>
      <c r="W505" s="1517">
        <f t="shared" si="266"/>
        <v>-0.16600000000000001</v>
      </c>
      <c r="X505" s="1517">
        <f t="shared" si="267"/>
        <v>0</v>
      </c>
      <c r="Y505" s="1515">
        <f t="shared" si="267"/>
        <v>-0.99299999999999999</v>
      </c>
      <c r="Z505" s="1515">
        <f t="shared" si="267"/>
        <v>0</v>
      </c>
      <c r="AA505" s="1517">
        <f t="shared" si="268"/>
        <v>0</v>
      </c>
      <c r="AB505" s="1517">
        <f t="shared" si="269"/>
        <v>0</v>
      </c>
      <c r="AC505" s="1515">
        <f t="shared" si="269"/>
        <v>0</v>
      </c>
      <c r="AD505" s="1515">
        <f t="shared" si="269"/>
        <v>0</v>
      </c>
      <c r="AE505" s="1517">
        <f t="shared" si="270"/>
        <v>0</v>
      </c>
      <c r="AF505" s="1517">
        <f t="shared" si="271"/>
        <v>0</v>
      </c>
      <c r="AG505" s="1515">
        <f t="shared" si="271"/>
        <v>0</v>
      </c>
      <c r="AH505" s="1515">
        <f t="shared" si="271"/>
        <v>0</v>
      </c>
      <c r="AI505" s="1517">
        <f t="shared" si="272"/>
        <v>0</v>
      </c>
      <c r="AJ505" s="1732">
        <f t="shared" si="273"/>
        <v>0</v>
      </c>
      <c r="AK505" s="1515"/>
      <c r="AL505" s="1515"/>
      <c r="AM505" s="1515"/>
      <c r="AN505" s="1515"/>
      <c r="AO505" s="1515"/>
      <c r="AP505" s="1515"/>
      <c r="AQ505" s="1515"/>
      <c r="AR505" s="1595"/>
      <c r="AS505" s="1595"/>
      <c r="AT505" s="1595"/>
      <c r="AU505" s="1595"/>
      <c r="AV505" s="1595"/>
      <c r="AW505" s="1595"/>
      <c r="AX505" s="1595"/>
      <c r="AY505" s="1595"/>
      <c r="AZ505" s="1595"/>
      <c r="BA505" s="1595"/>
      <c r="BB505" s="1733">
        <f t="shared" si="275"/>
        <v>0</v>
      </c>
      <c r="BC505" s="1733">
        <f t="shared" si="275"/>
        <v>0</v>
      </c>
      <c r="BD505" s="1733">
        <f t="shared" si="275"/>
        <v>-1.159</v>
      </c>
      <c r="BE505" s="1733">
        <f t="shared" si="275"/>
        <v>0</v>
      </c>
      <c r="BF505" s="1734">
        <f t="shared" si="275"/>
        <v>0</v>
      </c>
      <c r="BG505" s="1595">
        <f t="shared" si="276"/>
        <v>0</v>
      </c>
      <c r="BH505" s="1595">
        <f t="shared" si="277"/>
        <v>0</v>
      </c>
      <c r="BI505" s="1595"/>
      <c r="BJ505" s="1595"/>
      <c r="BK505" s="1595"/>
      <c r="BL505" s="1517"/>
    </row>
    <row r="506" spans="1:64" s="1518" customFormat="1" x14ac:dyDescent="0.35">
      <c r="A506" s="1591" t="str">
        <f t="shared" si="263"/>
        <v>Gain on disposition of property and equipment</v>
      </c>
      <c r="B506" s="1716"/>
      <c r="C506" s="1515"/>
      <c r="D506" s="1515"/>
      <c r="E506" s="1515"/>
      <c r="F506" s="1515"/>
      <c r="G506" s="1515"/>
      <c r="H506" s="1515"/>
      <c r="I506" s="1515"/>
      <c r="J506" s="1515"/>
      <c r="K506" s="1515"/>
      <c r="L506" s="1515"/>
      <c r="M506" s="1515"/>
      <c r="N506" s="1515"/>
      <c r="O506" s="1515"/>
      <c r="P506" s="1515"/>
      <c r="Q506" s="1515"/>
      <c r="R506" s="1515"/>
      <c r="S506" s="1517">
        <f t="shared" si="264"/>
        <v>0</v>
      </c>
      <c r="T506" s="1517">
        <f t="shared" ref="T506:V506" si="281">T439-S439</f>
        <v>0</v>
      </c>
      <c r="U506" s="1515">
        <f t="shared" si="281"/>
        <v>0</v>
      </c>
      <c r="V506" s="1515">
        <f t="shared" si="281"/>
        <v>0</v>
      </c>
      <c r="W506" s="1517">
        <f t="shared" si="266"/>
        <v>0</v>
      </c>
      <c r="X506" s="1517">
        <f t="shared" ref="X506:Z506" si="282">X439-W439</f>
        <v>0</v>
      </c>
      <c r="Y506" s="1515">
        <f t="shared" si="282"/>
        <v>0</v>
      </c>
      <c r="Z506" s="1515">
        <f t="shared" si="282"/>
        <v>0</v>
      </c>
      <c r="AA506" s="1517">
        <f t="shared" si="268"/>
        <v>-4.0000000000000001E-3</v>
      </c>
      <c r="AB506" s="1517">
        <f t="shared" ref="AB506:AD506" si="283">AB439-AA439</f>
        <v>4.0000000000000001E-3</v>
      </c>
      <c r="AC506" s="1515">
        <f t="shared" si="283"/>
        <v>0</v>
      </c>
      <c r="AD506" s="1515">
        <f t="shared" si="283"/>
        <v>0</v>
      </c>
      <c r="AE506" s="1517">
        <f t="shared" si="270"/>
        <v>0</v>
      </c>
      <c r="AF506" s="1517">
        <f t="shared" ref="AF506:AH506" si="284">AF439-AE439</f>
        <v>0</v>
      </c>
      <c r="AG506" s="1515">
        <f t="shared" si="284"/>
        <v>0</v>
      </c>
      <c r="AH506" s="1515">
        <f t="shared" si="284"/>
        <v>0</v>
      </c>
      <c r="AI506" s="1517">
        <f t="shared" si="272"/>
        <v>0</v>
      </c>
      <c r="AJ506" s="1732">
        <f t="shared" si="273"/>
        <v>0</v>
      </c>
      <c r="AK506" s="1515"/>
      <c r="AL506" s="1515"/>
      <c r="AM506" s="1515"/>
      <c r="AN506" s="1515"/>
      <c r="AO506" s="1515"/>
      <c r="AP506" s="1515"/>
      <c r="AQ506" s="1515"/>
      <c r="AR506" s="1595"/>
      <c r="AS506" s="1595"/>
      <c r="AT506" s="1595"/>
      <c r="AU506" s="1595"/>
      <c r="AV506" s="1595"/>
      <c r="AW506" s="1595"/>
      <c r="AX506" s="1595"/>
      <c r="AY506" s="1595"/>
      <c r="AZ506" s="1595"/>
      <c r="BA506" s="1595"/>
      <c r="BB506" s="1733">
        <f t="shared" ref="BB506:BF506" si="285">BB439</f>
        <v>0</v>
      </c>
      <c r="BC506" s="1733">
        <f t="shared" si="285"/>
        <v>0</v>
      </c>
      <c r="BD506" s="1733">
        <f t="shared" si="285"/>
        <v>0</v>
      </c>
      <c r="BE506" s="1733">
        <f t="shared" si="285"/>
        <v>0</v>
      </c>
      <c r="BF506" s="1734">
        <f t="shared" si="285"/>
        <v>0</v>
      </c>
      <c r="BG506" s="1595">
        <f t="shared" si="276"/>
        <v>0</v>
      </c>
      <c r="BH506" s="1595">
        <f t="shared" si="277"/>
        <v>0</v>
      </c>
      <c r="BI506" s="1595"/>
      <c r="BJ506" s="1595"/>
      <c r="BK506" s="1595"/>
      <c r="BL506" s="1517"/>
    </row>
    <row r="507" spans="1:64" s="1608" customFormat="1" x14ac:dyDescent="0.35">
      <c r="A507" s="1599" t="str">
        <f t="shared" si="263"/>
        <v>CFO before WC</v>
      </c>
      <c r="B507" s="1717"/>
      <c r="C507" s="1601"/>
      <c r="D507" s="1601"/>
      <c r="E507" s="1601"/>
      <c r="F507" s="1601"/>
      <c r="G507" s="1601"/>
      <c r="H507" s="1601"/>
      <c r="I507" s="1601"/>
      <c r="J507" s="1601"/>
      <c r="K507" s="1601"/>
      <c r="L507" s="1601"/>
      <c r="M507" s="1601"/>
      <c r="N507" s="1601"/>
      <c r="O507" s="1601"/>
      <c r="P507" s="1601"/>
      <c r="Q507" s="1601"/>
      <c r="R507" s="1601"/>
      <c r="S507" s="1602">
        <f t="shared" ref="S507:AP507" si="286">SUM(S490:S506)</f>
        <v>0</v>
      </c>
      <c r="T507" s="1602">
        <f t="shared" si="286"/>
        <v>7.8770000000000016</v>
      </c>
      <c r="U507" s="1601">
        <f t="shared" si="286"/>
        <v>17.229000000000003</v>
      </c>
      <c r="V507" s="1601">
        <f t="shared" si="286"/>
        <v>9.7229999999999936</v>
      </c>
      <c r="W507" s="1602">
        <f t="shared" si="286"/>
        <v>20.52</v>
      </c>
      <c r="X507" s="1602">
        <f t="shared" si="286"/>
        <v>25.610999999999997</v>
      </c>
      <c r="Y507" s="1601">
        <f t="shared" si="286"/>
        <v>5.748000000000002</v>
      </c>
      <c r="Z507" s="1601">
        <f t="shared" si="286"/>
        <v>20.061999999999998</v>
      </c>
      <c r="AA507" s="1602">
        <f t="shared" si="286"/>
        <v>32.891000000000005</v>
      </c>
      <c r="AB507" s="1602">
        <f t="shared" si="286"/>
        <v>36.464000000000006</v>
      </c>
      <c r="AC507" s="1601">
        <f t="shared" si="286"/>
        <v>34.143999999999991</v>
      </c>
      <c r="AD507" s="1601">
        <f t="shared" si="286"/>
        <v>10.525000000000004</v>
      </c>
      <c r="AE507" s="1602">
        <f t="shared" si="286"/>
        <v>24.974999999999998</v>
      </c>
      <c r="AF507" s="1602">
        <f t="shared" si="286"/>
        <v>35.021000000000008</v>
      </c>
      <c r="AG507" s="1601">
        <f t="shared" si="286"/>
        <v>27.637999999999995</v>
      </c>
      <c r="AH507" s="1601">
        <f t="shared" si="286"/>
        <v>3.4560000000000017</v>
      </c>
      <c r="AI507" s="1602">
        <f t="shared" si="286"/>
        <v>7.322000000000001</v>
      </c>
      <c r="AJ507" s="1603">
        <f t="shared" si="286"/>
        <v>24.432000000000002</v>
      </c>
      <c r="AK507" s="1601">
        <f t="shared" si="286"/>
        <v>48.47034429352567</v>
      </c>
      <c r="AL507" s="1601">
        <f t="shared" ca="1" si="286"/>
        <v>45.283390624773503</v>
      </c>
      <c r="AM507" s="1601">
        <f t="shared" ca="1" si="286"/>
        <v>36.665449573742229</v>
      </c>
      <c r="AN507" s="1601">
        <f t="shared" ca="1" si="286"/>
        <v>41.460432644539424</v>
      </c>
      <c r="AO507" s="1601">
        <f t="shared" ca="1" si="286"/>
        <v>44.447499061623397</v>
      </c>
      <c r="AP507" s="1601">
        <f t="shared" ca="1" si="286"/>
        <v>37.763451502089794</v>
      </c>
      <c r="AQ507" s="1601"/>
      <c r="AR507" s="1604"/>
      <c r="AS507" s="1604"/>
      <c r="AT507" s="1604"/>
      <c r="AU507" s="1604"/>
      <c r="AV507" s="1604"/>
      <c r="AW507" s="1604"/>
      <c r="AX507" s="1604"/>
      <c r="AY507" s="1604"/>
      <c r="AZ507" s="1604"/>
      <c r="BA507" s="1604"/>
      <c r="BB507" s="1605">
        <f t="shared" ref="BB507:BK507" si="287">SUM(BB490:BB506)</f>
        <v>47.918000000000006</v>
      </c>
      <c r="BC507" s="1605">
        <f t="shared" si="287"/>
        <v>34.828999999999994</v>
      </c>
      <c r="BD507" s="1605">
        <f t="shared" si="287"/>
        <v>71.941000000000003</v>
      </c>
      <c r="BE507" s="1605">
        <f t="shared" si="287"/>
        <v>114.02399999999999</v>
      </c>
      <c r="BF507" s="1718">
        <f t="shared" si="287"/>
        <v>91.09</v>
      </c>
      <c r="BG507" s="1604">
        <f t="shared" ca="1" si="287"/>
        <v>125.50773491829921</v>
      </c>
      <c r="BH507" s="1604">
        <f t="shared" ca="1" si="287"/>
        <v>160.33683278199484</v>
      </c>
      <c r="BI507" s="1604">
        <f t="shared" ca="1" si="287"/>
        <v>209.09595261050578</v>
      </c>
      <c r="BJ507" s="1604">
        <f t="shared" ca="1" si="287"/>
        <v>207.13001348874704</v>
      </c>
      <c r="BK507" s="1604">
        <f t="shared" ca="1" si="287"/>
        <v>238.11900730346304</v>
      </c>
      <c r="BL507" s="1607"/>
    </row>
    <row r="508" spans="1:64" s="1518" customFormat="1" x14ac:dyDescent="0.35">
      <c r="A508" s="1591" t="str">
        <f t="shared" si="263"/>
        <v>Accounts receivable</v>
      </c>
      <c r="B508" s="1716"/>
      <c r="C508" s="1515"/>
      <c r="D508" s="1515"/>
      <c r="E508" s="1515"/>
      <c r="F508" s="1515"/>
      <c r="G508" s="1515"/>
      <c r="H508" s="1515"/>
      <c r="I508" s="1515"/>
      <c r="J508" s="1515"/>
      <c r="K508" s="1515"/>
      <c r="L508" s="1515"/>
      <c r="M508" s="1515"/>
      <c r="N508" s="1515"/>
      <c r="O508" s="1515"/>
      <c r="P508" s="1515"/>
      <c r="Q508" s="1515"/>
      <c r="R508" s="1515"/>
      <c r="S508" s="1517">
        <f t="shared" ref="S508:S515" si="288">S441</f>
        <v>0</v>
      </c>
      <c r="T508" s="1517">
        <f t="shared" ref="T508:V515" si="289">T441-S441</f>
        <v>20.321000000000002</v>
      </c>
      <c r="U508" s="1515">
        <f t="shared" si="289"/>
        <v>-19.769000000000002</v>
      </c>
      <c r="V508" s="1515">
        <f t="shared" si="289"/>
        <v>-0.38700000000000001</v>
      </c>
      <c r="W508" s="1517">
        <f t="shared" ref="W508:W515" si="290">W441</f>
        <v>-10.474</v>
      </c>
      <c r="X508" s="1517">
        <f t="shared" ref="X508:Z515" si="291">X441-W441</f>
        <v>-14.353999999999999</v>
      </c>
      <c r="Y508" s="1515">
        <f t="shared" si="291"/>
        <v>-15.555000000000003</v>
      </c>
      <c r="Z508" s="1515">
        <f t="shared" si="291"/>
        <v>0.29700000000000415</v>
      </c>
      <c r="AA508" s="1517">
        <f t="shared" ref="AA508:AA515" si="292">AA441</f>
        <v>-20.006</v>
      </c>
      <c r="AB508" s="1517">
        <f t="shared" ref="AB508:AD515" si="293">AB441-AA441</f>
        <v>-16.445</v>
      </c>
      <c r="AC508" s="1515">
        <f t="shared" si="293"/>
        <v>3.3059999999999974</v>
      </c>
      <c r="AD508" s="1515">
        <f t="shared" si="293"/>
        <v>21.961000000000006</v>
      </c>
      <c r="AE508" s="1517">
        <f t="shared" ref="AE508:AE515" si="294">AE441</f>
        <v>-3.4140000000000001</v>
      </c>
      <c r="AF508" s="1517">
        <f t="shared" ref="AF508:AH515" si="295">AF441-AE441</f>
        <v>-3.9849999999999999</v>
      </c>
      <c r="AG508" s="1515">
        <f t="shared" si="295"/>
        <v>-1.2999999999999998</v>
      </c>
      <c r="AH508" s="1515">
        <f t="shared" si="295"/>
        <v>10.18</v>
      </c>
      <c r="AI508" s="1517">
        <f t="shared" ref="AI508:AI515" si="296">AI441</f>
        <v>-7.2850000000000001</v>
      </c>
      <c r="AJ508" s="1732">
        <f t="shared" ref="AJ508:AJ515" si="297">AJ441-AI441</f>
        <v>-15.571999999999999</v>
      </c>
      <c r="AK508" s="1515">
        <f t="shared" ref="AK508:AL510" si="298">AJ593-AK593</f>
        <v>14.338504906227087</v>
      </c>
      <c r="AL508" s="1515">
        <f t="shared" si="298"/>
        <v>8.3499847881284381</v>
      </c>
      <c r="AM508" s="1515">
        <f>BG593-AM593</f>
        <v>-16.669550246530832</v>
      </c>
      <c r="AN508" s="1515">
        <f t="shared" ref="AN508:AP510" si="299">AM593-AN593</f>
        <v>-16.578842943698419</v>
      </c>
      <c r="AO508" s="1515">
        <f t="shared" si="299"/>
        <v>14.153777061787338</v>
      </c>
      <c r="AP508" s="1515">
        <f t="shared" si="299"/>
        <v>7.0053236052660282</v>
      </c>
      <c r="AQ508" s="1515"/>
      <c r="AR508" s="1595"/>
      <c r="AS508" s="1595"/>
      <c r="AT508" s="1595"/>
      <c r="AU508" s="1595"/>
      <c r="AV508" s="1595"/>
      <c r="AW508" s="1595"/>
      <c r="AX508" s="1595"/>
      <c r="AY508" s="1595"/>
      <c r="AZ508" s="1595"/>
      <c r="BA508" s="1595"/>
      <c r="BB508" s="1733">
        <f t="shared" ref="BB508:BF515" si="300">BB441</f>
        <v>-11.595000000000001</v>
      </c>
      <c r="BC508" s="1733">
        <f t="shared" si="300"/>
        <v>0.16500000000000001</v>
      </c>
      <c r="BD508" s="1733">
        <f t="shared" si="300"/>
        <v>-40.085999999999999</v>
      </c>
      <c r="BE508" s="1733">
        <f t="shared" si="300"/>
        <v>-11.183999999999999</v>
      </c>
      <c r="BF508" s="1734">
        <f t="shared" si="300"/>
        <v>1.4810000000000001</v>
      </c>
      <c r="BG508" s="1595">
        <f t="shared" ref="BG508:BG515" si="301">SUM(AI508,AJ508,AK508,AL508)</f>
        <v>-0.16851030564447456</v>
      </c>
      <c r="BH508" s="1595">
        <f t="shared" ref="BH508:BH515" si="302">SUM(AM508,AN508,AO508,AP508)</f>
        <v>-12.089292523175885</v>
      </c>
      <c r="BI508" s="1595">
        <f t="shared" ref="BI508:BK510" si="303">BH593-BI593</f>
        <v>-15.214071027803101</v>
      </c>
      <c r="BJ508" s="1595">
        <f t="shared" si="303"/>
        <v>-12.356474795384941</v>
      </c>
      <c r="BK508" s="1595">
        <f t="shared" si="303"/>
        <v>-13.150460090281825</v>
      </c>
      <c r="BL508" s="1517"/>
    </row>
    <row r="509" spans="1:64" s="1518" customFormat="1" x14ac:dyDescent="0.35">
      <c r="A509" s="1591" t="str">
        <f t="shared" si="263"/>
        <v>Insurance receivable</v>
      </c>
      <c r="B509" s="1716"/>
      <c r="C509" s="1515"/>
      <c r="D509" s="1515"/>
      <c r="E509" s="1515"/>
      <c r="F509" s="1515"/>
      <c r="G509" s="1515"/>
      <c r="H509" s="1515"/>
      <c r="I509" s="1515"/>
      <c r="J509" s="1515"/>
      <c r="K509" s="1515"/>
      <c r="L509" s="1515"/>
      <c r="M509" s="1515"/>
      <c r="N509" s="1515"/>
      <c r="O509" s="1515"/>
      <c r="P509" s="1515"/>
      <c r="Q509" s="1515"/>
      <c r="R509" s="1515"/>
      <c r="S509" s="1517">
        <f t="shared" si="288"/>
        <v>0</v>
      </c>
      <c r="T509" s="1517">
        <f t="shared" si="289"/>
        <v>0</v>
      </c>
      <c r="U509" s="1515">
        <f t="shared" si="289"/>
        <v>0</v>
      </c>
      <c r="V509" s="1515">
        <f t="shared" si="289"/>
        <v>14.25</v>
      </c>
      <c r="W509" s="1517">
        <f t="shared" si="290"/>
        <v>0.75</v>
      </c>
      <c r="X509" s="1517">
        <f t="shared" si="291"/>
        <v>0</v>
      </c>
      <c r="Y509" s="1515">
        <f t="shared" si="291"/>
        <v>0</v>
      </c>
      <c r="Z509" s="1515">
        <f t="shared" si="291"/>
        <v>0</v>
      </c>
      <c r="AA509" s="1517">
        <f t="shared" si="292"/>
        <v>0</v>
      </c>
      <c r="AB509" s="1517">
        <f t="shared" si="293"/>
        <v>0</v>
      </c>
      <c r="AC509" s="1515">
        <f t="shared" si="293"/>
        <v>0</v>
      </c>
      <c r="AD509" s="1515">
        <f t="shared" si="293"/>
        <v>0.92100000000000004</v>
      </c>
      <c r="AE509" s="1517">
        <f t="shared" si="294"/>
        <v>0</v>
      </c>
      <c r="AF509" s="1517">
        <f t="shared" si="295"/>
        <v>-2.5</v>
      </c>
      <c r="AG509" s="1515">
        <f t="shared" si="295"/>
        <v>-1.2679999999999998</v>
      </c>
      <c r="AH509" s="1515">
        <f t="shared" si="295"/>
        <v>1.7529999999999997</v>
      </c>
      <c r="AI509" s="1517">
        <f t="shared" si="296"/>
        <v>4.1000000000000002E-2</v>
      </c>
      <c r="AJ509" s="1732">
        <f t="shared" si="297"/>
        <v>0</v>
      </c>
      <c r="AK509" s="1515">
        <f t="shared" si="298"/>
        <v>0</v>
      </c>
      <c r="AL509" s="1515">
        <f t="shared" si="298"/>
        <v>0</v>
      </c>
      <c r="AM509" s="1515">
        <f>BG594-AM594</f>
        <v>0</v>
      </c>
      <c r="AN509" s="1515">
        <f t="shared" si="299"/>
        <v>0</v>
      </c>
      <c r="AO509" s="1515">
        <f t="shared" si="299"/>
        <v>0</v>
      </c>
      <c r="AP509" s="1515">
        <f t="shared" si="299"/>
        <v>0</v>
      </c>
      <c r="AQ509" s="1515"/>
      <c r="AR509" s="1595"/>
      <c r="AS509" s="1595"/>
      <c r="AT509" s="1595"/>
      <c r="AU509" s="1595"/>
      <c r="AV509" s="1595"/>
      <c r="AW509" s="1595"/>
      <c r="AX509" s="1595"/>
      <c r="AY509" s="1595"/>
      <c r="AZ509" s="1595"/>
      <c r="BA509" s="1595"/>
      <c r="BB509" s="1733">
        <f t="shared" si="300"/>
        <v>-15</v>
      </c>
      <c r="BC509" s="1733">
        <f t="shared" si="300"/>
        <v>14.25</v>
      </c>
      <c r="BD509" s="1733">
        <f t="shared" si="300"/>
        <v>0.75</v>
      </c>
      <c r="BE509" s="1733">
        <f t="shared" si="300"/>
        <v>0.92100000000000004</v>
      </c>
      <c r="BF509" s="1734">
        <f t="shared" si="300"/>
        <v>-2.0150000000000001</v>
      </c>
      <c r="BG509" s="1595">
        <f t="shared" si="301"/>
        <v>4.1000000000000002E-2</v>
      </c>
      <c r="BH509" s="1595">
        <f t="shared" si="302"/>
        <v>0</v>
      </c>
      <c r="BI509" s="1595">
        <f t="shared" si="303"/>
        <v>0</v>
      </c>
      <c r="BJ509" s="1595">
        <f t="shared" si="303"/>
        <v>0</v>
      </c>
      <c r="BK509" s="1595">
        <f t="shared" si="303"/>
        <v>0</v>
      </c>
      <c r="BL509" s="1517"/>
    </row>
    <row r="510" spans="1:64" s="1518" customFormat="1" x14ac:dyDescent="0.35">
      <c r="A510" s="1591" t="str">
        <f t="shared" si="263"/>
        <v>Prepaid expenses</v>
      </c>
      <c r="B510" s="1716"/>
      <c r="C510" s="1515"/>
      <c r="D510" s="1515"/>
      <c r="E510" s="1515"/>
      <c r="F510" s="1515"/>
      <c r="G510" s="1515"/>
      <c r="H510" s="1515"/>
      <c r="I510" s="1515"/>
      <c r="J510" s="1515"/>
      <c r="K510" s="1515"/>
      <c r="L510" s="1515"/>
      <c r="M510" s="1515"/>
      <c r="N510" s="1515"/>
      <c r="O510" s="1515"/>
      <c r="P510" s="1515"/>
      <c r="Q510" s="1515"/>
      <c r="R510" s="1515"/>
      <c r="S510" s="1517">
        <f t="shared" si="288"/>
        <v>0</v>
      </c>
      <c r="T510" s="1517">
        <f t="shared" si="289"/>
        <v>-4.1959999999999997</v>
      </c>
      <c r="U510" s="1515">
        <f t="shared" si="289"/>
        <v>1.3939999999999997</v>
      </c>
      <c r="V510" s="1515">
        <f t="shared" si="289"/>
        <v>1.5569999999999999</v>
      </c>
      <c r="W510" s="1517">
        <f t="shared" si="290"/>
        <v>-0.92600000000000005</v>
      </c>
      <c r="X510" s="1517">
        <f t="shared" si="291"/>
        <v>-1.5099999999999998</v>
      </c>
      <c r="Y510" s="1515">
        <f t="shared" si="291"/>
        <v>1.0149999999999999</v>
      </c>
      <c r="Z510" s="1515">
        <f t="shared" si="291"/>
        <v>-3.5539999999999994</v>
      </c>
      <c r="AA510" s="1517">
        <f t="shared" si="292"/>
        <v>-0.86899999999999999</v>
      </c>
      <c r="AB510" s="1517">
        <f t="shared" si="293"/>
        <v>0.16700000000000004</v>
      </c>
      <c r="AC510" s="1515">
        <f t="shared" si="293"/>
        <v>4.2810000000000006</v>
      </c>
      <c r="AD510" s="1515">
        <f t="shared" si="293"/>
        <v>-4.68</v>
      </c>
      <c r="AE510" s="1517">
        <f t="shared" si="294"/>
        <v>2.8439999999999999</v>
      </c>
      <c r="AF510" s="1517">
        <f t="shared" si="295"/>
        <v>-0.59299999999999997</v>
      </c>
      <c r="AG510" s="1515">
        <f t="shared" si="295"/>
        <v>3.5980000000000003</v>
      </c>
      <c r="AH510" s="1515">
        <f t="shared" si="295"/>
        <v>-0.99699999999999989</v>
      </c>
      <c r="AI510" s="1517">
        <f t="shared" si="296"/>
        <v>-1.276</v>
      </c>
      <c r="AJ510" s="1732">
        <f t="shared" si="297"/>
        <v>2.6950000000000003</v>
      </c>
      <c r="AK510" s="1515">
        <f t="shared" si="298"/>
        <v>-0.24377773607778508</v>
      </c>
      <c r="AL510" s="1515">
        <f t="shared" si="298"/>
        <v>-1.2167654802887302</v>
      </c>
      <c r="AM510" s="1515">
        <f>BG595-AM595</f>
        <v>-1.8682012891030073</v>
      </c>
      <c r="AN510" s="1515">
        <f t="shared" si="299"/>
        <v>2.7961153712806688</v>
      </c>
      <c r="AO510" s="1515">
        <f t="shared" si="299"/>
        <v>-0.31897501693480201</v>
      </c>
      <c r="AP510" s="1515">
        <f t="shared" si="299"/>
        <v>-1.4295508443464584</v>
      </c>
      <c r="AQ510" s="1515"/>
      <c r="AR510" s="1595"/>
      <c r="AS510" s="1595"/>
      <c r="AT510" s="1595"/>
      <c r="AU510" s="1595"/>
      <c r="AV510" s="1595"/>
      <c r="AW510" s="1595"/>
      <c r="AX510" s="1595"/>
      <c r="AY510" s="1595"/>
      <c r="AZ510" s="1595"/>
      <c r="BA510" s="1595"/>
      <c r="BB510" s="1733">
        <f t="shared" si="300"/>
        <v>13.64</v>
      </c>
      <c r="BC510" s="1733">
        <f t="shared" si="300"/>
        <v>-1.2450000000000001</v>
      </c>
      <c r="BD510" s="1733">
        <f t="shared" si="300"/>
        <v>-4.9749999999999996</v>
      </c>
      <c r="BE510" s="1733">
        <f t="shared" si="300"/>
        <v>-1.101</v>
      </c>
      <c r="BF510" s="1734">
        <f t="shared" si="300"/>
        <v>4.8520000000000003</v>
      </c>
      <c r="BG510" s="1595">
        <f t="shared" si="301"/>
        <v>-4.1543216366515034E-2</v>
      </c>
      <c r="BH510" s="1595">
        <f t="shared" si="302"/>
        <v>-0.82061177910359895</v>
      </c>
      <c r="BI510" s="1595">
        <f t="shared" si="303"/>
        <v>-1.0327193150136633</v>
      </c>
      <c r="BJ510" s="1595">
        <f t="shared" si="303"/>
        <v>-0.83874790405235622</v>
      </c>
      <c r="BK510" s="1595">
        <f t="shared" si="303"/>
        <v>-0.89264300868138058</v>
      </c>
      <c r="BL510" s="1517"/>
    </row>
    <row r="511" spans="1:64" s="1518" customFormat="1" x14ac:dyDescent="0.35">
      <c r="A511" s="1591" t="str">
        <f t="shared" si="263"/>
        <v>Other assets</v>
      </c>
      <c r="B511" s="1716"/>
      <c r="C511" s="1515"/>
      <c r="D511" s="1515"/>
      <c r="E511" s="1515"/>
      <c r="F511" s="1515"/>
      <c r="G511" s="1515"/>
      <c r="H511" s="1515"/>
      <c r="I511" s="1515"/>
      <c r="J511" s="1515"/>
      <c r="K511" s="1515"/>
      <c r="L511" s="1515"/>
      <c r="M511" s="1515"/>
      <c r="N511" s="1515"/>
      <c r="O511" s="1515"/>
      <c r="P511" s="1515"/>
      <c r="Q511" s="1515"/>
      <c r="R511" s="1515"/>
      <c r="S511" s="1517">
        <f t="shared" si="288"/>
        <v>0</v>
      </c>
      <c r="T511" s="1517">
        <f t="shared" si="289"/>
        <v>0.67300000000000004</v>
      </c>
      <c r="U511" s="1515">
        <f t="shared" si="289"/>
        <v>1.7069999999999999</v>
      </c>
      <c r="V511" s="1515">
        <f t="shared" si="289"/>
        <v>-1.5829999999999997</v>
      </c>
      <c r="W511" s="1517">
        <f t="shared" si="290"/>
        <v>-0.25700000000000001</v>
      </c>
      <c r="X511" s="1517">
        <f t="shared" si="291"/>
        <v>-0.85199999999999998</v>
      </c>
      <c r="Y511" s="1515">
        <f t="shared" si="291"/>
        <v>2.573</v>
      </c>
      <c r="Z511" s="1515">
        <f t="shared" si="291"/>
        <v>-4.6449999999999996</v>
      </c>
      <c r="AA511" s="1517">
        <f t="shared" si="292"/>
        <v>-1.736</v>
      </c>
      <c r="AB511" s="1517">
        <f t="shared" si="293"/>
        <v>-1.4440000000000002</v>
      </c>
      <c r="AC511" s="1515">
        <f t="shared" si="293"/>
        <v>1.0830000000000002</v>
      </c>
      <c r="AD511" s="1515">
        <f t="shared" si="293"/>
        <v>-2.4179999999999997</v>
      </c>
      <c r="AE511" s="1517">
        <f t="shared" si="294"/>
        <v>-2.5339999999999998</v>
      </c>
      <c r="AF511" s="1517">
        <f t="shared" si="295"/>
        <v>-6.1160000000000005</v>
      </c>
      <c r="AG511" s="1515">
        <f t="shared" si="295"/>
        <v>2.157</v>
      </c>
      <c r="AH511" s="1515">
        <f t="shared" si="295"/>
        <v>6.399</v>
      </c>
      <c r="AI511" s="1517">
        <f t="shared" si="296"/>
        <v>-1.2</v>
      </c>
      <c r="AJ511" s="1732">
        <f t="shared" si="297"/>
        <v>-4.1749999999999998</v>
      </c>
      <c r="AK511" s="1515">
        <f>AJ597-AK597</f>
        <v>0</v>
      </c>
      <c r="AL511" s="1515">
        <f>AK597-AL597</f>
        <v>0</v>
      </c>
      <c r="AM511" s="1515">
        <f>BG597-AM597</f>
        <v>0</v>
      </c>
      <c r="AN511" s="1515">
        <f>AM597-AN597</f>
        <v>0</v>
      </c>
      <c r="AO511" s="1515">
        <f>AN597-AO597</f>
        <v>0</v>
      </c>
      <c r="AP511" s="1515">
        <f>AO597-AP597</f>
        <v>0</v>
      </c>
      <c r="AQ511" s="1515"/>
      <c r="AR511" s="1595"/>
      <c r="AS511" s="1595"/>
      <c r="AT511" s="1595"/>
      <c r="AU511" s="1595"/>
      <c r="AV511" s="1595"/>
      <c r="AW511" s="1595"/>
      <c r="AX511" s="1595"/>
      <c r="AY511" s="1595"/>
      <c r="AZ511" s="1595"/>
      <c r="BA511" s="1595"/>
      <c r="BB511" s="1733">
        <f t="shared" si="300"/>
        <v>-7.8810000000000002</v>
      </c>
      <c r="BC511" s="1733">
        <f t="shared" si="300"/>
        <v>0.79700000000000004</v>
      </c>
      <c r="BD511" s="1733">
        <f t="shared" si="300"/>
        <v>-3.181</v>
      </c>
      <c r="BE511" s="1733">
        <f t="shared" si="300"/>
        <v>-4.5149999999999997</v>
      </c>
      <c r="BF511" s="1734">
        <f t="shared" si="300"/>
        <v>-9.4E-2</v>
      </c>
      <c r="BG511" s="1595">
        <f t="shared" si="301"/>
        <v>-5.375</v>
      </c>
      <c r="BH511" s="1595">
        <f t="shared" si="302"/>
        <v>0</v>
      </c>
      <c r="BI511" s="1595">
        <f>BH597-BI597</f>
        <v>0</v>
      </c>
      <c r="BJ511" s="1595">
        <f>BI597-BJ597</f>
        <v>0</v>
      </c>
      <c r="BK511" s="1595">
        <f>BJ597-BK597</f>
        <v>0</v>
      </c>
      <c r="BL511" s="1517"/>
    </row>
    <row r="512" spans="1:64" s="1518" customFormat="1" x14ac:dyDescent="0.35">
      <c r="A512" s="1591" t="str">
        <f t="shared" si="263"/>
        <v>Accounts payable</v>
      </c>
      <c r="B512" s="1716"/>
      <c r="C512" s="1515"/>
      <c r="D512" s="1515"/>
      <c r="E512" s="1515"/>
      <c r="F512" s="1515"/>
      <c r="G512" s="1515"/>
      <c r="H512" s="1515"/>
      <c r="I512" s="1515"/>
      <c r="J512" s="1515"/>
      <c r="K512" s="1515"/>
      <c r="L512" s="1515"/>
      <c r="M512" s="1515"/>
      <c r="N512" s="1515"/>
      <c r="O512" s="1515"/>
      <c r="P512" s="1515"/>
      <c r="Q512" s="1515"/>
      <c r="R512" s="1515"/>
      <c r="S512" s="1517">
        <f t="shared" si="288"/>
        <v>0</v>
      </c>
      <c r="T512" s="1517">
        <f t="shared" si="289"/>
        <v>0.88500000000000001</v>
      </c>
      <c r="U512" s="1515">
        <f t="shared" si="289"/>
        <v>-0.32200000000000006</v>
      </c>
      <c r="V512" s="1515">
        <f t="shared" si="289"/>
        <v>-4.0330000000000004</v>
      </c>
      <c r="W512" s="1517">
        <f t="shared" si="290"/>
        <v>5.4210000000000003</v>
      </c>
      <c r="X512" s="1517">
        <f t="shared" si="291"/>
        <v>7.1789999999999994</v>
      </c>
      <c r="Y512" s="1515">
        <f t="shared" si="291"/>
        <v>-0.48399999999999999</v>
      </c>
      <c r="Z512" s="1515">
        <f t="shared" si="291"/>
        <v>0.83399999999999963</v>
      </c>
      <c r="AA512" s="1517">
        <f t="shared" si="292"/>
        <v>10.255000000000001</v>
      </c>
      <c r="AB512" s="1517">
        <f t="shared" si="293"/>
        <v>3.9939999999999998</v>
      </c>
      <c r="AC512" s="1515">
        <f t="shared" si="293"/>
        <v>-7.7030000000000003</v>
      </c>
      <c r="AD512" s="1515">
        <f t="shared" si="293"/>
        <v>1.3389999999999995</v>
      </c>
      <c r="AE512" s="1517">
        <f t="shared" si="294"/>
        <v>3.7160000000000002</v>
      </c>
      <c r="AF512" s="1517">
        <f t="shared" si="295"/>
        <v>-2.4020000000000001</v>
      </c>
      <c r="AG512" s="1515">
        <f t="shared" si="295"/>
        <v>-0.55700000000000005</v>
      </c>
      <c r="AH512" s="1515">
        <f t="shared" si="295"/>
        <v>-0.64600000000000002</v>
      </c>
      <c r="AI512" s="1517">
        <f t="shared" si="296"/>
        <v>7.149</v>
      </c>
      <c r="AJ512" s="1732">
        <f t="shared" si="297"/>
        <v>5.3809999999999993</v>
      </c>
      <c r="AK512" s="1515">
        <f t="shared" ref="AK512:AL515" si="304">AK611-AJ611</f>
        <v>-12.069806512305874</v>
      </c>
      <c r="AL512" s="1515">
        <f t="shared" si="304"/>
        <v>2.0871656758650659E-2</v>
      </c>
      <c r="AM512" s="1515">
        <f>AM611-BG611</f>
        <v>9.2493851794556505</v>
      </c>
      <c r="AN512" s="1515">
        <f t="shared" ref="AN512:AP515" si="305">AN611-AM611</f>
        <v>6.0458990844249314</v>
      </c>
      <c r="AO512" s="1515">
        <f t="shared" si="305"/>
        <v>-12.535005318602124</v>
      </c>
      <c r="AP512" s="1515">
        <f t="shared" si="305"/>
        <v>0.54555105780607249</v>
      </c>
      <c r="AQ512" s="1515"/>
      <c r="AR512" s="1595"/>
      <c r="AS512" s="1595"/>
      <c r="AT512" s="1595"/>
      <c r="AU512" s="1595"/>
      <c r="AV512" s="1595"/>
      <c r="AW512" s="1595"/>
      <c r="AX512" s="1595"/>
      <c r="AY512" s="1595"/>
      <c r="AZ512" s="1595"/>
      <c r="BA512" s="1595"/>
      <c r="BB512" s="1733">
        <f t="shared" si="300"/>
        <v>-2.0419999999999998</v>
      </c>
      <c r="BC512" s="1733">
        <f t="shared" si="300"/>
        <v>-3.47</v>
      </c>
      <c r="BD512" s="1733">
        <f t="shared" si="300"/>
        <v>12.95</v>
      </c>
      <c r="BE512" s="1733">
        <f t="shared" si="300"/>
        <v>7.8849999999999998</v>
      </c>
      <c r="BF512" s="1734">
        <f t="shared" si="300"/>
        <v>0.111</v>
      </c>
      <c r="BG512" s="1595">
        <f t="shared" si="301"/>
        <v>0.48106514445277604</v>
      </c>
      <c r="BH512" s="1595">
        <f t="shared" si="302"/>
        <v>3.3058300030845302</v>
      </c>
      <c r="BI512" s="1595">
        <f t="shared" ref="BI512:BK515" si="306">BI611-BH611</f>
        <v>4.1603040356870977</v>
      </c>
      <c r="BJ512" s="1595">
        <f t="shared" si="306"/>
        <v>3.3788912819035914</v>
      </c>
      <c r="BK512" s="1595">
        <f t="shared" si="306"/>
        <v>3.5960074121358829</v>
      </c>
      <c r="BL512" s="1517"/>
    </row>
    <row r="513" spans="1:64" s="1518" customFormat="1" x14ac:dyDescent="0.35">
      <c r="A513" s="1591" t="str">
        <f t="shared" si="263"/>
        <v>Litigation settlement obligation</v>
      </c>
      <c r="B513" s="1716"/>
      <c r="C513" s="1515"/>
      <c r="D513" s="1515"/>
      <c r="E513" s="1515"/>
      <c r="F513" s="1515"/>
      <c r="G513" s="1515"/>
      <c r="H513" s="1515"/>
      <c r="I513" s="1515"/>
      <c r="J513" s="1515"/>
      <c r="K513" s="1515"/>
      <c r="L513" s="1515"/>
      <c r="M513" s="1515"/>
      <c r="N513" s="1515"/>
      <c r="O513" s="1515"/>
      <c r="P513" s="1515"/>
      <c r="Q513" s="1515"/>
      <c r="R513" s="1515"/>
      <c r="S513" s="1517">
        <f t="shared" si="288"/>
        <v>0</v>
      </c>
      <c r="T513" s="1517">
        <f t="shared" si="289"/>
        <v>0</v>
      </c>
      <c r="U513" s="1515">
        <f t="shared" si="289"/>
        <v>0</v>
      </c>
      <c r="V513" s="1515">
        <f t="shared" si="289"/>
        <v>-14.25</v>
      </c>
      <c r="W513" s="1517">
        <f t="shared" si="290"/>
        <v>-0.75</v>
      </c>
      <c r="X513" s="1517">
        <f t="shared" si="291"/>
        <v>0</v>
      </c>
      <c r="Y513" s="1515">
        <f t="shared" si="291"/>
        <v>0</v>
      </c>
      <c r="Z513" s="1515">
        <f t="shared" si="291"/>
        <v>0</v>
      </c>
      <c r="AA513" s="1517">
        <f t="shared" si="292"/>
        <v>0</v>
      </c>
      <c r="AB513" s="1517">
        <f t="shared" si="293"/>
        <v>0</v>
      </c>
      <c r="AC513" s="1515">
        <f t="shared" si="293"/>
        <v>0</v>
      </c>
      <c r="AD513" s="1515">
        <f t="shared" si="293"/>
        <v>4.165</v>
      </c>
      <c r="AE513" s="1517">
        <f t="shared" si="294"/>
        <v>0.315</v>
      </c>
      <c r="AF513" s="1517">
        <f t="shared" si="295"/>
        <v>1.5330000000000001</v>
      </c>
      <c r="AG513" s="1515">
        <f t="shared" si="295"/>
        <v>1.1649999999999998</v>
      </c>
      <c r="AH513" s="1515">
        <f t="shared" si="295"/>
        <v>-1.8989999999999998</v>
      </c>
      <c r="AI513" s="1517">
        <f t="shared" si="296"/>
        <v>-5.5E-2</v>
      </c>
      <c r="AJ513" s="1732">
        <f t="shared" si="297"/>
        <v>0.998</v>
      </c>
      <c r="AK513" s="1515">
        <f t="shared" si="304"/>
        <v>0</v>
      </c>
      <c r="AL513" s="1515">
        <f t="shared" si="304"/>
        <v>0</v>
      </c>
      <c r="AM513" s="1515">
        <f>AM612-BG612</f>
        <v>0</v>
      </c>
      <c r="AN513" s="1515">
        <f t="shared" si="305"/>
        <v>0</v>
      </c>
      <c r="AO513" s="1515">
        <f t="shared" si="305"/>
        <v>0</v>
      </c>
      <c r="AP513" s="1515">
        <f t="shared" si="305"/>
        <v>0</v>
      </c>
      <c r="AQ513" s="1515"/>
      <c r="AR513" s="1595"/>
      <c r="AS513" s="1595"/>
      <c r="AT513" s="1595"/>
      <c r="AU513" s="1595"/>
      <c r="AV513" s="1595"/>
      <c r="AW513" s="1595"/>
      <c r="AX513" s="1595"/>
      <c r="AY513" s="1595"/>
      <c r="AZ513" s="1595"/>
      <c r="BA513" s="1595"/>
      <c r="BB513" s="1733">
        <f t="shared" si="300"/>
        <v>15</v>
      </c>
      <c r="BC513" s="1733">
        <f t="shared" si="300"/>
        <v>-14.25</v>
      </c>
      <c r="BD513" s="1733">
        <f t="shared" si="300"/>
        <v>-0.75</v>
      </c>
      <c r="BE513" s="1733">
        <f t="shared" si="300"/>
        <v>4.165</v>
      </c>
      <c r="BF513" s="1734">
        <f t="shared" si="300"/>
        <v>1.1140000000000001</v>
      </c>
      <c r="BG513" s="1595">
        <f t="shared" si="301"/>
        <v>0.94299999999999995</v>
      </c>
      <c r="BH513" s="1595">
        <f t="shared" si="302"/>
        <v>0</v>
      </c>
      <c r="BI513" s="1595">
        <f t="shared" si="306"/>
        <v>0</v>
      </c>
      <c r="BJ513" s="1595">
        <f t="shared" si="306"/>
        <v>0</v>
      </c>
      <c r="BK513" s="1595">
        <f t="shared" si="306"/>
        <v>0</v>
      </c>
      <c r="BL513" s="1517"/>
    </row>
    <row r="514" spans="1:64" s="1518" customFormat="1" x14ac:dyDescent="0.35">
      <c r="A514" s="1591" t="str">
        <f t="shared" si="263"/>
        <v>Accrued expenses</v>
      </c>
      <c r="B514" s="1716"/>
      <c r="C514" s="1515"/>
      <c r="D514" s="1515"/>
      <c r="E514" s="1515"/>
      <c r="F514" s="1515"/>
      <c r="G514" s="1515"/>
      <c r="H514" s="1515"/>
      <c r="I514" s="1515"/>
      <c r="J514" s="1515"/>
      <c r="K514" s="1515"/>
      <c r="L514" s="1515"/>
      <c r="M514" s="1515"/>
      <c r="N514" s="1515"/>
      <c r="O514" s="1515"/>
      <c r="P514" s="1515"/>
      <c r="Q514" s="1515"/>
      <c r="R514" s="1515"/>
      <c r="S514" s="1517">
        <f t="shared" si="288"/>
        <v>0</v>
      </c>
      <c r="T514" s="1517">
        <f t="shared" si="289"/>
        <v>-12.48</v>
      </c>
      <c r="U514" s="1515">
        <f t="shared" si="289"/>
        <v>4.4850000000000003</v>
      </c>
      <c r="V514" s="1515">
        <f t="shared" si="289"/>
        <v>1.5990000000000002</v>
      </c>
      <c r="W514" s="1517">
        <f t="shared" si="290"/>
        <v>5.6340000000000003</v>
      </c>
      <c r="X514" s="1517">
        <f t="shared" si="291"/>
        <v>10.003</v>
      </c>
      <c r="Y514" s="1515">
        <f t="shared" si="291"/>
        <v>-2.8000000000000469E-2</v>
      </c>
      <c r="Z514" s="1515">
        <f t="shared" si="291"/>
        <v>14.603</v>
      </c>
      <c r="AA514" s="1517">
        <f t="shared" si="292"/>
        <v>-12.282999999999999</v>
      </c>
      <c r="AB514" s="1517">
        <f t="shared" si="293"/>
        <v>3.673</v>
      </c>
      <c r="AC514" s="1515">
        <f t="shared" si="293"/>
        <v>8.6939999999999991</v>
      </c>
      <c r="AD514" s="1515">
        <f t="shared" si="293"/>
        <v>0.21899999999999997</v>
      </c>
      <c r="AE514" s="1517">
        <f t="shared" si="294"/>
        <v>-12.256</v>
      </c>
      <c r="AF514" s="1517">
        <f t="shared" si="295"/>
        <v>1.7409999999999997</v>
      </c>
      <c r="AG514" s="1515">
        <f t="shared" si="295"/>
        <v>2.5330000000000004</v>
      </c>
      <c r="AH514" s="1515">
        <f t="shared" si="295"/>
        <v>3.3719999999999999</v>
      </c>
      <c r="AI514" s="1517">
        <f t="shared" si="296"/>
        <v>6.7229999999999999</v>
      </c>
      <c r="AJ514" s="1732">
        <f t="shared" si="297"/>
        <v>5.5729999999999995</v>
      </c>
      <c r="AK514" s="1515">
        <f t="shared" si="304"/>
        <v>-16.417115515005321</v>
      </c>
      <c r="AL514" s="1515">
        <f t="shared" si="304"/>
        <v>4.5365709896343134</v>
      </c>
      <c r="AM514" s="1515">
        <f>AM613-BG613</f>
        <v>10.425635838416568</v>
      </c>
      <c r="AN514" s="1515">
        <f t="shared" si="305"/>
        <v>6.3098250863942127</v>
      </c>
      <c r="AO514" s="1515">
        <f t="shared" si="305"/>
        <v>-17.001547478683023</v>
      </c>
      <c r="AP514" s="1515">
        <f t="shared" si="305"/>
        <v>5.7068166242796536</v>
      </c>
      <c r="AQ514" s="1515"/>
      <c r="AR514" s="1595"/>
      <c r="AS514" s="1595"/>
      <c r="AT514" s="1595"/>
      <c r="AU514" s="1595"/>
      <c r="AV514" s="1595"/>
      <c r="AW514" s="1595"/>
      <c r="AX514" s="1595"/>
      <c r="AY514" s="1595"/>
      <c r="AZ514" s="1595"/>
      <c r="BA514" s="1595"/>
      <c r="BB514" s="1733">
        <f t="shared" si="300"/>
        <v>3.419</v>
      </c>
      <c r="BC514" s="1733">
        <f t="shared" si="300"/>
        <v>-6.3959999999999999</v>
      </c>
      <c r="BD514" s="1733">
        <f t="shared" si="300"/>
        <v>30.212</v>
      </c>
      <c r="BE514" s="1733">
        <f t="shared" si="300"/>
        <v>0.30299999999999999</v>
      </c>
      <c r="BF514" s="1734">
        <f t="shared" si="300"/>
        <v>-4.6100000000000003</v>
      </c>
      <c r="BG514" s="1595">
        <f t="shared" si="301"/>
        <v>0.41545547462899179</v>
      </c>
      <c r="BH514" s="1595">
        <f t="shared" si="302"/>
        <v>5.4407300704074117</v>
      </c>
      <c r="BI514" s="1595">
        <f t="shared" si="306"/>
        <v>6.8470221541580401</v>
      </c>
      <c r="BJ514" s="1595">
        <f t="shared" si="306"/>
        <v>5.5609742137185947</v>
      </c>
      <c r="BK514" s="1595">
        <f t="shared" si="306"/>
        <v>5.9183036158424613</v>
      </c>
      <c r="BL514" s="1517"/>
    </row>
    <row r="515" spans="1:64" s="1518" customFormat="1" x14ac:dyDescent="0.35">
      <c r="A515" s="1591" t="str">
        <f t="shared" si="263"/>
        <v>Other liabilities</v>
      </c>
      <c r="B515" s="1716"/>
      <c r="C515" s="1515"/>
      <c r="D515" s="1515"/>
      <c r="E515" s="1515"/>
      <c r="F515" s="1515"/>
      <c r="G515" s="1515"/>
      <c r="H515" s="1515"/>
      <c r="I515" s="1515"/>
      <c r="J515" s="1515"/>
      <c r="K515" s="1515"/>
      <c r="L515" s="1515"/>
      <c r="M515" s="1515"/>
      <c r="N515" s="1515"/>
      <c r="O515" s="1515"/>
      <c r="P515" s="1515"/>
      <c r="Q515" s="1515"/>
      <c r="R515" s="1515"/>
      <c r="S515" s="1517">
        <f t="shared" si="288"/>
        <v>0</v>
      </c>
      <c r="T515" s="1517">
        <f t="shared" si="289"/>
        <v>7.1459999999999999</v>
      </c>
      <c r="U515" s="1515">
        <f t="shared" si="289"/>
        <v>0.90299999999999958</v>
      </c>
      <c r="V515" s="1515">
        <f t="shared" si="289"/>
        <v>3.4560000000000013</v>
      </c>
      <c r="W515" s="1517">
        <f t="shared" si="290"/>
        <v>2.0649999999999999</v>
      </c>
      <c r="X515" s="1517">
        <f t="shared" si="291"/>
        <v>-2.77</v>
      </c>
      <c r="Y515" s="1515">
        <f t="shared" si="291"/>
        <v>0.36699999999999994</v>
      </c>
      <c r="Z515" s="1515">
        <f t="shared" si="291"/>
        <v>2.0819999999999999</v>
      </c>
      <c r="AA515" s="1517">
        <f t="shared" si="292"/>
        <v>-4.8070000000000004</v>
      </c>
      <c r="AB515" s="1517">
        <f t="shared" si="293"/>
        <v>3.4250000000000007</v>
      </c>
      <c r="AC515" s="1515">
        <f t="shared" si="293"/>
        <v>-3.4860000000000007</v>
      </c>
      <c r="AD515" s="1515">
        <f t="shared" si="293"/>
        <v>-1.367</v>
      </c>
      <c r="AE515" s="1517">
        <f t="shared" si="294"/>
        <v>-2.3639999999999999</v>
      </c>
      <c r="AF515" s="1517">
        <f t="shared" si="295"/>
        <v>-1.0830000000000002</v>
      </c>
      <c r="AG515" s="1515">
        <f t="shared" si="295"/>
        <v>-1.1879999999999997</v>
      </c>
      <c r="AH515" s="1515">
        <f t="shared" si="295"/>
        <v>9.5670000000000002</v>
      </c>
      <c r="AI515" s="1517">
        <f t="shared" si="296"/>
        <v>-7.7450000000000001</v>
      </c>
      <c r="AJ515" s="1732">
        <f t="shared" si="297"/>
        <v>-2.8389999999999995</v>
      </c>
      <c r="AK515" s="1515">
        <f t="shared" si="304"/>
        <v>0</v>
      </c>
      <c r="AL515" s="1515">
        <f t="shared" si="304"/>
        <v>0</v>
      </c>
      <c r="AM515" s="1515">
        <f>AM614-BG614</f>
        <v>0</v>
      </c>
      <c r="AN515" s="1515">
        <f t="shared" si="305"/>
        <v>0</v>
      </c>
      <c r="AO515" s="1515">
        <f t="shared" si="305"/>
        <v>0</v>
      </c>
      <c r="AP515" s="1515">
        <f t="shared" si="305"/>
        <v>0</v>
      </c>
      <c r="AQ515" s="1515"/>
      <c r="AR515" s="1595"/>
      <c r="AS515" s="1595"/>
      <c r="AT515" s="1595"/>
      <c r="AU515" s="1595"/>
      <c r="AV515" s="1595"/>
      <c r="AW515" s="1595"/>
      <c r="AX515" s="1595"/>
      <c r="AY515" s="1595"/>
      <c r="AZ515" s="1595"/>
      <c r="BA515" s="1595"/>
      <c r="BB515" s="1733">
        <f t="shared" si="300"/>
        <v>-7.2549999999999999</v>
      </c>
      <c r="BC515" s="1733">
        <f t="shared" si="300"/>
        <v>11.505000000000001</v>
      </c>
      <c r="BD515" s="1733">
        <f t="shared" si="300"/>
        <v>1.744</v>
      </c>
      <c r="BE515" s="1733">
        <f t="shared" si="300"/>
        <v>-6.2350000000000003</v>
      </c>
      <c r="BF515" s="1734">
        <f t="shared" si="300"/>
        <v>4.9320000000000004</v>
      </c>
      <c r="BG515" s="1595">
        <f t="shared" si="301"/>
        <v>-10.584</v>
      </c>
      <c r="BH515" s="1595">
        <f t="shared" si="302"/>
        <v>0</v>
      </c>
      <c r="BI515" s="1595">
        <f t="shared" si="306"/>
        <v>0</v>
      </c>
      <c r="BJ515" s="1595">
        <f t="shared" si="306"/>
        <v>0</v>
      </c>
      <c r="BK515" s="1595">
        <f t="shared" si="306"/>
        <v>0</v>
      </c>
      <c r="BL515" s="1517"/>
    </row>
    <row r="516" spans="1:64" s="1608" customFormat="1" x14ac:dyDescent="0.35">
      <c r="A516" s="1599" t="str">
        <f t="shared" si="263"/>
        <v>Net CFO</v>
      </c>
      <c r="B516" s="1717"/>
      <c r="C516" s="1601"/>
      <c r="D516" s="1601"/>
      <c r="E516" s="1601"/>
      <c r="F516" s="1601"/>
      <c r="G516" s="1601"/>
      <c r="H516" s="1601"/>
      <c r="I516" s="1601"/>
      <c r="J516" s="1601"/>
      <c r="K516" s="1601"/>
      <c r="L516" s="1601"/>
      <c r="M516" s="1601"/>
      <c r="N516" s="1601"/>
      <c r="O516" s="1601"/>
      <c r="P516" s="1601"/>
      <c r="Q516" s="1601"/>
      <c r="R516" s="1601"/>
      <c r="S516" s="1602">
        <f t="shared" ref="S516:AP516" si="307">SUM(S507:S515)</f>
        <v>0</v>
      </c>
      <c r="T516" s="1602">
        <f t="shared" si="307"/>
        <v>20.226000000000006</v>
      </c>
      <c r="U516" s="1601">
        <f t="shared" si="307"/>
        <v>5.6269999999999998</v>
      </c>
      <c r="V516" s="1601">
        <f t="shared" si="307"/>
        <v>10.331999999999992</v>
      </c>
      <c r="W516" s="1602">
        <f t="shared" si="307"/>
        <v>21.983000000000001</v>
      </c>
      <c r="X516" s="1602">
        <f t="shared" si="307"/>
        <v>23.306999999999999</v>
      </c>
      <c r="Y516" s="1601">
        <f t="shared" si="307"/>
        <v>-6.3640000000000017</v>
      </c>
      <c r="Z516" s="1601">
        <f t="shared" si="307"/>
        <v>29.679000000000002</v>
      </c>
      <c r="AA516" s="1602">
        <f t="shared" si="307"/>
        <v>3.4450000000000038</v>
      </c>
      <c r="AB516" s="1602">
        <f t="shared" si="307"/>
        <v>29.834000000000007</v>
      </c>
      <c r="AC516" s="1601">
        <f t="shared" si="307"/>
        <v>40.318999999999974</v>
      </c>
      <c r="AD516" s="1601">
        <f t="shared" si="307"/>
        <v>30.66500000000001</v>
      </c>
      <c r="AE516" s="1602">
        <f t="shared" si="307"/>
        <v>11.282</v>
      </c>
      <c r="AF516" s="1602">
        <f t="shared" si="307"/>
        <v>21.616000000000007</v>
      </c>
      <c r="AG516" s="1601">
        <f t="shared" si="307"/>
        <v>32.777999999999992</v>
      </c>
      <c r="AH516" s="1601">
        <f t="shared" si="307"/>
        <v>31.184999999999999</v>
      </c>
      <c r="AI516" s="1602">
        <f t="shared" si="307"/>
        <v>3.6740000000000004</v>
      </c>
      <c r="AJ516" s="1603">
        <f t="shared" si="307"/>
        <v>16.493000000000002</v>
      </c>
      <c r="AK516" s="1601">
        <f t="shared" si="307"/>
        <v>34.078149436363773</v>
      </c>
      <c r="AL516" s="1601">
        <f t="shared" ca="1" si="307"/>
        <v>56.974052579006177</v>
      </c>
      <c r="AM516" s="1601">
        <f t="shared" ca="1" si="307"/>
        <v>37.80271905598061</v>
      </c>
      <c r="AN516" s="1601">
        <f t="shared" ca="1" si="307"/>
        <v>40.033429242940819</v>
      </c>
      <c r="AO516" s="1601">
        <f t="shared" ca="1" si="307"/>
        <v>28.745748309190787</v>
      </c>
      <c r="AP516" s="1601">
        <f t="shared" ca="1" si="307"/>
        <v>49.591591945095089</v>
      </c>
      <c r="AQ516" s="1601"/>
      <c r="AR516" s="1604"/>
      <c r="AS516" s="1604"/>
      <c r="AT516" s="1604"/>
      <c r="AU516" s="1604"/>
      <c r="AV516" s="1604"/>
      <c r="AW516" s="1604"/>
      <c r="AX516" s="1604"/>
      <c r="AY516" s="1604"/>
      <c r="AZ516" s="1604"/>
      <c r="BA516" s="1604"/>
      <c r="BB516" s="1605">
        <f t="shared" ref="BB516:BK516" si="308">SUM(BB507:BB515)</f>
        <v>36.204000000000001</v>
      </c>
      <c r="BC516" s="1605">
        <f t="shared" si="308"/>
        <v>36.184999999999995</v>
      </c>
      <c r="BD516" s="1605">
        <f t="shared" si="308"/>
        <v>68.605000000000004</v>
      </c>
      <c r="BE516" s="1605">
        <f t="shared" si="308"/>
        <v>104.26300000000001</v>
      </c>
      <c r="BF516" s="1718">
        <f t="shared" si="308"/>
        <v>96.861000000000018</v>
      </c>
      <c r="BG516" s="1604">
        <f t="shared" ca="1" si="308"/>
        <v>111.21920201536997</v>
      </c>
      <c r="BH516" s="1604">
        <f t="shared" ca="1" si="308"/>
        <v>156.17348855320733</v>
      </c>
      <c r="BI516" s="1604">
        <f t="shared" ca="1" si="308"/>
        <v>203.85648845753417</v>
      </c>
      <c r="BJ516" s="1604">
        <f t="shared" ca="1" si="308"/>
        <v>202.87465628493194</v>
      </c>
      <c r="BK516" s="1604">
        <f t="shared" ca="1" si="308"/>
        <v>233.59021523247819</v>
      </c>
      <c r="BL516" s="1607"/>
    </row>
    <row r="517" spans="1:64" s="1608" customFormat="1" x14ac:dyDescent="0.35">
      <c r="A517" s="1665"/>
      <c r="B517" s="1712"/>
      <c r="C517" s="1667"/>
      <c r="D517" s="1667"/>
      <c r="E517" s="1667"/>
      <c r="F517" s="1667"/>
      <c r="G517" s="1667"/>
      <c r="H517" s="1667"/>
      <c r="I517" s="1667"/>
      <c r="J517" s="1667"/>
      <c r="K517" s="1667"/>
      <c r="L517" s="1667"/>
      <c r="M517" s="1667"/>
      <c r="N517" s="1667"/>
      <c r="O517" s="1667"/>
      <c r="P517" s="1667"/>
      <c r="Q517" s="1667"/>
      <c r="R517" s="1667"/>
      <c r="S517" s="1667"/>
      <c r="T517" s="1667"/>
      <c r="U517" s="1667"/>
      <c r="V517" s="1667"/>
      <c r="W517" s="1667"/>
      <c r="X517" s="1667"/>
      <c r="Y517" s="1667"/>
      <c r="Z517" s="1667"/>
      <c r="AA517" s="1667"/>
      <c r="AB517" s="1667"/>
      <c r="AC517" s="1667"/>
      <c r="AD517" s="1667"/>
      <c r="AE517" s="1667"/>
      <c r="AF517" s="1667"/>
      <c r="AG517" s="1667"/>
      <c r="AH517" s="1667"/>
      <c r="AI517" s="1667"/>
      <c r="AJ517" s="1668"/>
      <c r="AK517" s="1667"/>
      <c r="AL517" s="1667"/>
      <c r="AM517" s="1667"/>
      <c r="AN517" s="1667"/>
      <c r="AO517" s="1667"/>
      <c r="AP517" s="1667"/>
      <c r="AQ517" s="1667"/>
      <c r="AR517" s="1669"/>
      <c r="AS517" s="1669"/>
      <c r="AT517" s="1669"/>
      <c r="AU517" s="1669"/>
      <c r="AV517" s="1669"/>
      <c r="AW517" s="1669"/>
      <c r="AX517" s="1669"/>
      <c r="AY517" s="1669"/>
      <c r="AZ517" s="1669"/>
      <c r="BA517" s="1669"/>
      <c r="BB517" s="1669"/>
      <c r="BC517" s="1669"/>
      <c r="BD517" s="1669"/>
      <c r="BE517" s="1669"/>
      <c r="BF517" s="1612"/>
      <c r="BG517" s="1595"/>
      <c r="BH517" s="1595"/>
      <c r="BI517" s="1595"/>
      <c r="BJ517" s="1595"/>
      <c r="BK517" s="1595"/>
      <c r="BL517" s="1607"/>
    </row>
    <row r="518" spans="1:64" s="1608" customFormat="1" x14ac:dyDescent="0.35">
      <c r="A518" s="1711" t="str">
        <f t="shared" ref="A518:A524" si="309">A451</f>
        <v>CFI</v>
      </c>
      <c r="B518" s="1712"/>
      <c r="C518" s="1667"/>
      <c r="D518" s="1667"/>
      <c r="E518" s="1667"/>
      <c r="F518" s="1667"/>
      <c r="G518" s="1667"/>
      <c r="H518" s="1667"/>
      <c r="I518" s="1667"/>
      <c r="J518" s="1667"/>
      <c r="K518" s="1667"/>
      <c r="L518" s="1667"/>
      <c r="M518" s="1667"/>
      <c r="N518" s="1667"/>
      <c r="O518" s="1667"/>
      <c r="P518" s="1667"/>
      <c r="Q518" s="1667"/>
      <c r="R518" s="1667"/>
      <c r="S518" s="1667"/>
      <c r="T518" s="1667"/>
      <c r="U518" s="1667"/>
      <c r="V518" s="1667"/>
      <c r="W518" s="1667"/>
      <c r="X518" s="1667"/>
      <c r="Y518" s="1667"/>
      <c r="Z518" s="1667"/>
      <c r="AA518" s="1667"/>
      <c r="AB518" s="1667"/>
      <c r="AC518" s="1667"/>
      <c r="AD518" s="1667"/>
      <c r="AE518" s="1667"/>
      <c r="AF518" s="1667"/>
      <c r="AG518" s="1667"/>
      <c r="AH518" s="1667"/>
      <c r="AI518" s="1667"/>
      <c r="AJ518" s="1668"/>
      <c r="AK518" s="1667"/>
      <c r="AL518" s="1667"/>
      <c r="AM518" s="1667"/>
      <c r="AN518" s="1667"/>
      <c r="AO518" s="1667"/>
      <c r="AP518" s="1667"/>
      <c r="AQ518" s="1667"/>
      <c r="AR518" s="1669"/>
      <c r="AS518" s="1669"/>
      <c r="AT518" s="1669"/>
      <c r="AU518" s="1669"/>
      <c r="AV518" s="1669"/>
      <c r="AW518" s="1669"/>
      <c r="AX518" s="1669"/>
      <c r="AY518" s="1669"/>
      <c r="AZ518" s="1669"/>
      <c r="BA518" s="1669"/>
      <c r="BB518" s="1669"/>
      <c r="BC518" s="1669"/>
      <c r="BD518" s="1669"/>
      <c r="BE518" s="1669"/>
      <c r="BF518" s="1612"/>
      <c r="BG518" s="1595"/>
      <c r="BH518" s="1595"/>
      <c r="BI518" s="1595"/>
      <c r="BJ518" s="1595"/>
      <c r="BK518" s="1595"/>
      <c r="BL518" s="1607"/>
    </row>
    <row r="519" spans="1:64" s="1518" customFormat="1" x14ac:dyDescent="0.35">
      <c r="A519" s="1591" t="str">
        <f t="shared" si="309"/>
        <v>Purchases of property and equipment</v>
      </c>
      <c r="B519" s="1716"/>
      <c r="C519" s="1515"/>
      <c r="D519" s="1515"/>
      <c r="E519" s="1515"/>
      <c r="F519" s="1515"/>
      <c r="G519" s="1515"/>
      <c r="H519" s="1515"/>
      <c r="I519" s="1515"/>
      <c r="J519" s="1515"/>
      <c r="K519" s="1515"/>
      <c r="L519" s="1515"/>
      <c r="M519" s="1515"/>
      <c r="N519" s="1515"/>
      <c r="O519" s="1515"/>
      <c r="P519" s="1515"/>
      <c r="Q519" s="1515"/>
      <c r="R519" s="1515"/>
      <c r="S519" s="1517">
        <f>S452</f>
        <v>0</v>
      </c>
      <c r="T519" s="1517">
        <f t="shared" ref="T519:V523" si="310">T452-S452</f>
        <v>-1.7430000000000001</v>
      </c>
      <c r="U519" s="1515">
        <f t="shared" si="310"/>
        <v>-9.199999999999986E-2</v>
      </c>
      <c r="V519" s="1515">
        <f t="shared" si="310"/>
        <v>-0.48200000000000021</v>
      </c>
      <c r="W519" s="1517">
        <f>W452</f>
        <v>-0.34599999999999997</v>
      </c>
      <c r="X519" s="1517">
        <f t="shared" ref="X519:Z523" si="311">X452-W452</f>
        <v>-0.91400000000000003</v>
      </c>
      <c r="Y519" s="1515">
        <f t="shared" si="311"/>
        <v>-1.3590000000000002</v>
      </c>
      <c r="Z519" s="1515">
        <f t="shared" si="311"/>
        <v>-0.61499999999999977</v>
      </c>
      <c r="AA519" s="1517">
        <f>AA452</f>
        <v>-1.4950000000000001</v>
      </c>
      <c r="AB519" s="1517">
        <f t="shared" ref="AB519:AD523" si="312">AB452-AA452</f>
        <v>-1.7709999999999999</v>
      </c>
      <c r="AC519" s="1515">
        <f t="shared" si="312"/>
        <v>-0.71200000000000019</v>
      </c>
      <c r="AD519" s="1515">
        <f t="shared" si="312"/>
        <v>-0.52</v>
      </c>
      <c r="AE519" s="1517">
        <f>AE452</f>
        <v>-0.14000000000000001</v>
      </c>
      <c r="AF519" s="1517">
        <f t="shared" ref="AF519:AH523" si="313">AF452-AE452</f>
        <v>-0.45299999999999996</v>
      </c>
      <c r="AG519" s="1515">
        <f t="shared" si="313"/>
        <v>-0.78400000000000003</v>
      </c>
      <c r="AH519" s="1515">
        <f t="shared" si="313"/>
        <v>-1.1830000000000001</v>
      </c>
      <c r="AI519" s="1517">
        <f>AI452</f>
        <v>-0.67300000000000004</v>
      </c>
      <c r="AJ519" s="1732">
        <f>AJ452-AI452</f>
        <v>-0.31999999999999995</v>
      </c>
      <c r="AK519" s="1515">
        <f t="shared" ref="AK519:AP519" si="314">AK358</f>
        <v>-5</v>
      </c>
      <c r="AL519" s="1515">
        <f t="shared" si="314"/>
        <v>-5</v>
      </c>
      <c r="AM519" s="1515">
        <f t="shared" si="314"/>
        <v>-5</v>
      </c>
      <c r="AN519" s="1515">
        <f t="shared" si="314"/>
        <v>-5</v>
      </c>
      <c r="AO519" s="1515">
        <f t="shared" si="314"/>
        <v>-5</v>
      </c>
      <c r="AP519" s="1515">
        <f t="shared" si="314"/>
        <v>-5</v>
      </c>
      <c r="AQ519" s="1515"/>
      <c r="AR519" s="1595"/>
      <c r="AS519" s="1595"/>
      <c r="AT519" s="1595"/>
      <c r="AU519" s="1595"/>
      <c r="AV519" s="1595"/>
      <c r="AW519" s="1595"/>
      <c r="AX519" s="1595"/>
      <c r="AY519" s="1595"/>
      <c r="AZ519" s="1595"/>
      <c r="BA519" s="1595"/>
      <c r="BB519" s="1733">
        <f t="shared" ref="BB519:BF523" si="315">BB452</f>
        <v>-5.2649999999999997</v>
      </c>
      <c r="BC519" s="1733">
        <f t="shared" si="315"/>
        <v>-2.3170000000000002</v>
      </c>
      <c r="BD519" s="1733">
        <f t="shared" si="315"/>
        <v>-3.234</v>
      </c>
      <c r="BE519" s="1733">
        <f t="shared" si="315"/>
        <v>-4.4980000000000002</v>
      </c>
      <c r="BF519" s="1734">
        <f t="shared" si="315"/>
        <v>-2.56</v>
      </c>
      <c r="BG519" s="1595">
        <f>SUM(AI519,AJ519,AK519,AL519)</f>
        <v>-10.993</v>
      </c>
      <c r="BH519" s="1595">
        <f>SUM(AM519,AN519,AO519,AP519)</f>
        <v>-20</v>
      </c>
      <c r="BI519" s="1595">
        <f>BI358</f>
        <v>-20</v>
      </c>
      <c r="BJ519" s="1595">
        <f>BJ358</f>
        <v>-20</v>
      </c>
      <c r="BK519" s="1595">
        <f>BK358</f>
        <v>-20</v>
      </c>
      <c r="BL519" s="1517"/>
    </row>
    <row r="520" spans="1:64" s="1518" customFormat="1" x14ac:dyDescent="0.35">
      <c r="A520" s="1591" t="str">
        <f t="shared" si="309"/>
        <v>Purchases of intangible assets and capitalized software</v>
      </c>
      <c r="B520" s="1716"/>
      <c r="C520" s="1515"/>
      <c r="D520" s="1515"/>
      <c r="E520" s="1515"/>
      <c r="F520" s="1515"/>
      <c r="G520" s="1515"/>
      <c r="H520" s="1515"/>
      <c r="I520" s="1515"/>
      <c r="J520" s="1515"/>
      <c r="K520" s="1515"/>
      <c r="L520" s="1515"/>
      <c r="M520" s="1515"/>
      <c r="N520" s="1515"/>
      <c r="O520" s="1515"/>
      <c r="P520" s="1515"/>
      <c r="Q520" s="1515"/>
      <c r="R520" s="1515"/>
      <c r="S520" s="1517">
        <f>S453</f>
        <v>0</v>
      </c>
      <c r="T520" s="1517">
        <f t="shared" si="310"/>
        <v>-7.8029999999999999</v>
      </c>
      <c r="U520" s="1515">
        <f t="shared" si="310"/>
        <v>-3.4470000000000001</v>
      </c>
      <c r="V520" s="1515">
        <f t="shared" si="310"/>
        <v>-2.9350000000000005</v>
      </c>
      <c r="W520" s="1517">
        <f>W453</f>
        <v>-3.839</v>
      </c>
      <c r="X520" s="1517">
        <f t="shared" si="311"/>
        <v>-4.1959999999999997</v>
      </c>
      <c r="Y520" s="1515">
        <f t="shared" si="311"/>
        <v>-3.952</v>
      </c>
      <c r="Z520" s="1515">
        <f t="shared" si="311"/>
        <v>-3.8729999999999993</v>
      </c>
      <c r="AA520" s="1517">
        <f>AA453</f>
        <v>-3.742</v>
      </c>
      <c r="AB520" s="1517">
        <f t="shared" si="312"/>
        <v>-3.8739999999999997</v>
      </c>
      <c r="AC520" s="1515">
        <f t="shared" si="312"/>
        <v>-4.1029999999999998</v>
      </c>
      <c r="AD520" s="1515">
        <f t="shared" si="312"/>
        <v>-3.9700000000000006</v>
      </c>
      <c r="AE520" s="1517">
        <f>AE453</f>
        <v>-4.12</v>
      </c>
      <c r="AF520" s="1517">
        <f t="shared" si="313"/>
        <v>-4.4690000000000003</v>
      </c>
      <c r="AG520" s="1515">
        <f t="shared" si="313"/>
        <v>-4.7750000000000004</v>
      </c>
      <c r="AH520" s="1515">
        <f t="shared" si="313"/>
        <v>-4.4379999999999988</v>
      </c>
      <c r="AI520" s="1517">
        <f>AI453</f>
        <v>-4.9470000000000001</v>
      </c>
      <c r="AJ520" s="1732">
        <f>AJ453-AI453</f>
        <v>-5.4080000000000004</v>
      </c>
      <c r="AK520" s="1515"/>
      <c r="AL520" s="1515"/>
      <c r="AM520" s="1515"/>
      <c r="AN520" s="1515"/>
      <c r="AO520" s="1515"/>
      <c r="AP520" s="1515"/>
      <c r="AQ520" s="1515"/>
      <c r="AR520" s="1595"/>
      <c r="AS520" s="1595"/>
      <c r="AT520" s="1595"/>
      <c r="AU520" s="1595"/>
      <c r="AV520" s="1595"/>
      <c r="AW520" s="1595"/>
      <c r="AX520" s="1595"/>
      <c r="AY520" s="1595"/>
      <c r="AZ520" s="1595"/>
      <c r="BA520" s="1595"/>
      <c r="BB520" s="1733">
        <f t="shared" si="315"/>
        <v>-26.617999999999999</v>
      </c>
      <c r="BC520" s="1733">
        <f t="shared" si="315"/>
        <v>-14.185</v>
      </c>
      <c r="BD520" s="1733">
        <f t="shared" si="315"/>
        <v>-15.86</v>
      </c>
      <c r="BE520" s="1733">
        <f t="shared" si="315"/>
        <v>-15.689</v>
      </c>
      <c r="BF520" s="1734">
        <f t="shared" si="315"/>
        <v>-17.802</v>
      </c>
      <c r="BG520" s="1595">
        <f>SUM(AI520,AJ520,AK520,AL520)</f>
        <v>-10.355</v>
      </c>
      <c r="BH520" s="1595">
        <f>SUM(AM520,AN520,AO520,AP520)</f>
        <v>0</v>
      </c>
      <c r="BI520" s="1595"/>
      <c r="BJ520" s="1595"/>
      <c r="BK520" s="1595"/>
      <c r="BL520" s="1517"/>
    </row>
    <row r="521" spans="1:64" s="1518" customFormat="1" x14ac:dyDescent="0.35">
      <c r="A521" s="1591" t="str">
        <f t="shared" si="309"/>
        <v>Investment in minority interest</v>
      </c>
      <c r="B521" s="1716"/>
      <c r="C521" s="1515"/>
      <c r="D521" s="1515"/>
      <c r="E521" s="1515"/>
      <c r="F521" s="1515"/>
      <c r="G521" s="1515"/>
      <c r="H521" s="1515"/>
      <c r="I521" s="1515"/>
      <c r="J521" s="1515"/>
      <c r="K521" s="1515"/>
      <c r="L521" s="1515"/>
      <c r="M521" s="1515"/>
      <c r="N521" s="1515"/>
      <c r="O521" s="1515"/>
      <c r="P521" s="1515"/>
      <c r="Q521" s="1515"/>
      <c r="R521" s="1515"/>
      <c r="S521" s="1517">
        <f>S454</f>
        <v>0</v>
      </c>
      <c r="T521" s="1517">
        <f t="shared" si="310"/>
        <v>0.23599999999999999</v>
      </c>
      <c r="U521" s="1515">
        <f t="shared" si="310"/>
        <v>-0.23599999999999999</v>
      </c>
      <c r="V521" s="1515">
        <f t="shared" si="310"/>
        <v>0</v>
      </c>
      <c r="W521" s="1517">
        <f>W454</f>
        <v>0</v>
      </c>
      <c r="X521" s="1517">
        <f t="shared" si="311"/>
        <v>0</v>
      </c>
      <c r="Y521" s="1515">
        <f t="shared" si="311"/>
        <v>0</v>
      </c>
      <c r="Z521" s="1515">
        <f t="shared" si="311"/>
        <v>0</v>
      </c>
      <c r="AA521" s="1517">
        <f>AA454</f>
        <v>0</v>
      </c>
      <c r="AB521" s="1517">
        <f t="shared" si="312"/>
        <v>0</v>
      </c>
      <c r="AC521" s="1515">
        <f t="shared" si="312"/>
        <v>0</v>
      </c>
      <c r="AD521" s="1515">
        <f t="shared" si="312"/>
        <v>0</v>
      </c>
      <c r="AE521" s="1517">
        <f>AE454</f>
        <v>0</v>
      </c>
      <c r="AF521" s="1517">
        <f t="shared" si="313"/>
        <v>0</v>
      </c>
      <c r="AG521" s="1515">
        <f t="shared" si="313"/>
        <v>0</v>
      </c>
      <c r="AH521" s="1515">
        <f t="shared" si="313"/>
        <v>0</v>
      </c>
      <c r="AI521" s="1517">
        <f>AI454</f>
        <v>0</v>
      </c>
      <c r="AJ521" s="1732">
        <f>AJ454-AI454</f>
        <v>0</v>
      </c>
      <c r="AK521" s="1515"/>
      <c r="AL521" s="1515"/>
      <c r="AM521" s="1515"/>
      <c r="AN521" s="1515"/>
      <c r="AO521" s="1515"/>
      <c r="AP521" s="1515"/>
      <c r="AQ521" s="1515"/>
      <c r="AR521" s="1595"/>
      <c r="AS521" s="1595"/>
      <c r="AT521" s="1595"/>
      <c r="AU521" s="1595"/>
      <c r="AV521" s="1595"/>
      <c r="AW521" s="1595"/>
      <c r="AX521" s="1595"/>
      <c r="AY521" s="1595"/>
      <c r="AZ521" s="1595"/>
      <c r="BA521" s="1595"/>
      <c r="BB521" s="1733">
        <f t="shared" si="315"/>
        <v>-2</v>
      </c>
      <c r="BC521" s="1733">
        <f t="shared" si="315"/>
        <v>0</v>
      </c>
      <c r="BD521" s="1733">
        <f t="shared" si="315"/>
        <v>0</v>
      </c>
      <c r="BE521" s="1733">
        <f t="shared" si="315"/>
        <v>0</v>
      </c>
      <c r="BF521" s="1734">
        <f t="shared" si="315"/>
        <v>0</v>
      </c>
      <c r="BG521" s="1595">
        <f>SUM(AI521,AJ521,AK521,AL521)</f>
        <v>0</v>
      </c>
      <c r="BH521" s="1595">
        <f>SUM(AM521,AN521,AO521,AP521)</f>
        <v>0</v>
      </c>
      <c r="BI521" s="1595"/>
      <c r="BJ521" s="1595"/>
      <c r="BK521" s="1595"/>
      <c r="BL521" s="1517"/>
    </row>
    <row r="522" spans="1:64" s="1518" customFormat="1" x14ac:dyDescent="0.35">
      <c r="A522" s="1591" t="str">
        <f t="shared" si="309"/>
        <v>Proceeds from disposition of property and equipment</v>
      </c>
      <c r="B522" s="1716"/>
      <c r="C522" s="1515"/>
      <c r="D522" s="1515"/>
      <c r="E522" s="1515"/>
      <c r="F522" s="1515"/>
      <c r="G522" s="1515"/>
      <c r="H522" s="1515"/>
      <c r="I522" s="1515"/>
      <c r="J522" s="1515"/>
      <c r="K522" s="1515"/>
      <c r="L522" s="1515"/>
      <c r="M522" s="1515"/>
      <c r="N522" s="1515"/>
      <c r="O522" s="1515"/>
      <c r="P522" s="1515"/>
      <c r="Q522" s="1515"/>
      <c r="R522" s="1515"/>
      <c r="S522" s="1517">
        <f>S455</f>
        <v>0</v>
      </c>
      <c r="T522" s="1517">
        <f t="shared" si="310"/>
        <v>0</v>
      </c>
      <c r="U522" s="1515">
        <f t="shared" si="310"/>
        <v>0.23599999999999999</v>
      </c>
      <c r="V522" s="1515">
        <f t="shared" si="310"/>
        <v>0</v>
      </c>
      <c r="W522" s="1517">
        <f>W455</f>
        <v>0</v>
      </c>
      <c r="X522" s="1517">
        <f t="shared" si="311"/>
        <v>0</v>
      </c>
      <c r="Y522" s="1515">
        <f t="shared" si="311"/>
        <v>7.0000000000000001E-3</v>
      </c>
      <c r="Z522" s="1515">
        <f t="shared" si="311"/>
        <v>3.4000000000000002E-2</v>
      </c>
      <c r="AA522" s="1517">
        <f>AA455</f>
        <v>4.0000000000000001E-3</v>
      </c>
      <c r="AB522" s="1517">
        <f t="shared" si="312"/>
        <v>4.9999999999999992E-3</v>
      </c>
      <c r="AC522" s="1515">
        <f t="shared" si="312"/>
        <v>1.6E-2</v>
      </c>
      <c r="AD522" s="1515">
        <f t="shared" si="312"/>
        <v>2.5999999999999995E-2</v>
      </c>
      <c r="AE522" s="1517">
        <f>AE455</f>
        <v>7.0000000000000001E-3</v>
      </c>
      <c r="AF522" s="1517">
        <f t="shared" si="313"/>
        <v>0.11799999999999999</v>
      </c>
      <c r="AG522" s="1515">
        <f t="shared" si="313"/>
        <v>-4.0000000000000036E-3</v>
      </c>
      <c r="AH522" s="1515">
        <f t="shared" si="313"/>
        <v>1.0000000000000009E-3</v>
      </c>
      <c r="AI522" s="1517">
        <f>AI455</f>
        <v>0</v>
      </c>
      <c r="AJ522" s="1732">
        <f>AJ455-AI455</f>
        <v>3.0000000000000001E-3</v>
      </c>
      <c r="AK522" s="1515"/>
      <c r="AL522" s="1515"/>
      <c r="AM522" s="1515"/>
      <c r="AN522" s="1515"/>
      <c r="AO522" s="1515"/>
      <c r="AP522" s="1515"/>
      <c r="AQ522" s="1515"/>
      <c r="AR522" s="1595"/>
      <c r="AS522" s="1595"/>
      <c r="AT522" s="1595"/>
      <c r="AU522" s="1595"/>
      <c r="AV522" s="1595"/>
      <c r="AW522" s="1595"/>
      <c r="AX522" s="1595"/>
      <c r="AY522" s="1595"/>
      <c r="AZ522" s="1595"/>
      <c r="BA522" s="1595"/>
      <c r="BB522" s="1733">
        <f t="shared" si="315"/>
        <v>1.4E-2</v>
      </c>
      <c r="BC522" s="1733">
        <f t="shared" si="315"/>
        <v>0.23599999999999999</v>
      </c>
      <c r="BD522" s="1733">
        <f t="shared" si="315"/>
        <v>4.1000000000000002E-2</v>
      </c>
      <c r="BE522" s="1733">
        <f t="shared" si="315"/>
        <v>5.0999999999999997E-2</v>
      </c>
      <c r="BF522" s="1734">
        <f t="shared" si="315"/>
        <v>0.122</v>
      </c>
      <c r="BG522" s="1595">
        <f>SUM(AI522,AJ522,AK522,AL522)</f>
        <v>3.0000000000000001E-3</v>
      </c>
      <c r="BH522" s="1595">
        <f>SUM(AM522,AN522,AO522,AP522)</f>
        <v>0</v>
      </c>
      <c r="BI522" s="1595"/>
      <c r="BJ522" s="1595"/>
      <c r="BK522" s="1595"/>
      <c r="BL522" s="1517"/>
    </row>
    <row r="523" spans="1:64" s="1518" customFormat="1" x14ac:dyDescent="0.35">
      <c r="A523" s="1591" t="str">
        <f t="shared" si="309"/>
        <v>Acquisitions</v>
      </c>
      <c r="B523" s="1716"/>
      <c r="C523" s="1515"/>
      <c r="D523" s="1515"/>
      <c r="E523" s="1515"/>
      <c r="F523" s="1515"/>
      <c r="G523" s="1515"/>
      <c r="H523" s="1515"/>
      <c r="I523" s="1515"/>
      <c r="J523" s="1515"/>
      <c r="K523" s="1515"/>
      <c r="L523" s="1515"/>
      <c r="M523" s="1515"/>
      <c r="N523" s="1515"/>
      <c r="O523" s="1515"/>
      <c r="P523" s="1515"/>
      <c r="Q523" s="1515"/>
      <c r="R523" s="1515"/>
      <c r="S523" s="1517">
        <f>S456</f>
        <v>0</v>
      </c>
      <c r="T523" s="1517">
        <f t="shared" si="310"/>
        <v>0</v>
      </c>
      <c r="U523" s="1515">
        <f t="shared" si="310"/>
        <v>0</v>
      </c>
      <c r="V523" s="1515">
        <f t="shared" si="310"/>
        <v>0</v>
      </c>
      <c r="W523" s="1517">
        <f>W456</f>
        <v>0</v>
      </c>
      <c r="X523" s="1517">
        <f t="shared" si="311"/>
        <v>0</v>
      </c>
      <c r="Y523" s="1515">
        <f t="shared" si="311"/>
        <v>0</v>
      </c>
      <c r="Z523" s="1515">
        <f t="shared" si="311"/>
        <v>-66.322999999999993</v>
      </c>
      <c r="AA523" s="1517">
        <f>AA456</f>
        <v>0</v>
      </c>
      <c r="AB523" s="1517">
        <f t="shared" si="312"/>
        <v>0</v>
      </c>
      <c r="AC523" s="1515">
        <f t="shared" si="312"/>
        <v>0</v>
      </c>
      <c r="AD523" s="1515">
        <f t="shared" si="312"/>
        <v>0</v>
      </c>
      <c r="AE523" s="1517">
        <f>AE456</f>
        <v>-48.802</v>
      </c>
      <c r="AF523" s="1517">
        <f t="shared" si="313"/>
        <v>0.16100000000000136</v>
      </c>
      <c r="AG523" s="1515">
        <f t="shared" si="313"/>
        <v>-0.56900000000000261</v>
      </c>
      <c r="AH523" s="1515">
        <f t="shared" si="313"/>
        <v>0</v>
      </c>
      <c r="AI523" s="1517">
        <f>AI456</f>
        <v>-70.478999999999999</v>
      </c>
      <c r="AJ523" s="1732">
        <f>AJ456-AI456</f>
        <v>4.2000000000001592E-2</v>
      </c>
      <c r="AK523" s="1515">
        <f t="shared" ref="AK523:AP523" si="316">AK360</f>
        <v>0</v>
      </c>
      <c r="AL523" s="1515">
        <f t="shared" si="316"/>
        <v>0</v>
      </c>
      <c r="AM523" s="1515">
        <f t="shared" si="316"/>
        <v>0</v>
      </c>
      <c r="AN523" s="1515">
        <f t="shared" si="316"/>
        <v>0</v>
      </c>
      <c r="AO523" s="1515">
        <f t="shared" si="316"/>
        <v>0</v>
      </c>
      <c r="AP523" s="1515">
        <f t="shared" si="316"/>
        <v>0</v>
      </c>
      <c r="AQ523" s="1515"/>
      <c r="AR523" s="1595"/>
      <c r="AS523" s="1595"/>
      <c r="AT523" s="1595"/>
      <c r="AU523" s="1595"/>
      <c r="AV523" s="1595"/>
      <c r="AW523" s="1595"/>
      <c r="AX523" s="1595"/>
      <c r="AY523" s="1595"/>
      <c r="AZ523" s="1595"/>
      <c r="BA523" s="1595"/>
      <c r="BB523" s="1733">
        <f t="shared" si="315"/>
        <v>0</v>
      </c>
      <c r="BC523" s="1733">
        <f t="shared" si="315"/>
        <v>0</v>
      </c>
      <c r="BD523" s="1733">
        <f t="shared" si="315"/>
        <v>-66.322999999999993</v>
      </c>
      <c r="BE523" s="1733">
        <f t="shared" si="315"/>
        <v>0</v>
      </c>
      <c r="BF523" s="1734">
        <f t="shared" si="315"/>
        <v>-49.21</v>
      </c>
      <c r="BG523" s="1595">
        <f>SUM(AI523,AJ523,AK523,AL523)</f>
        <v>-70.436999999999998</v>
      </c>
      <c r="BH523" s="1595">
        <f>SUM(AM523,AN523,AO523,AP523)</f>
        <v>0</v>
      </c>
      <c r="BI523" s="1595">
        <f>BI360</f>
        <v>0</v>
      </c>
      <c r="BJ523" s="1595">
        <f>BJ360</f>
        <v>0</v>
      </c>
      <c r="BK523" s="1595">
        <f>BK360</f>
        <v>0</v>
      </c>
      <c r="BL523" s="1517"/>
    </row>
    <row r="524" spans="1:64" s="1608" customFormat="1" x14ac:dyDescent="0.35">
      <c r="A524" s="1599" t="str">
        <f t="shared" si="309"/>
        <v>Net CFI</v>
      </c>
      <c r="B524" s="1717"/>
      <c r="C524" s="1601"/>
      <c r="D524" s="1601"/>
      <c r="E524" s="1601"/>
      <c r="F524" s="1601"/>
      <c r="G524" s="1601"/>
      <c r="H524" s="1601"/>
      <c r="I524" s="1601"/>
      <c r="J524" s="1601"/>
      <c r="K524" s="1601"/>
      <c r="L524" s="1601"/>
      <c r="M524" s="1601"/>
      <c r="N524" s="1601"/>
      <c r="O524" s="1601"/>
      <c r="P524" s="1601"/>
      <c r="Q524" s="1601"/>
      <c r="R524" s="1601"/>
      <c r="S524" s="1602">
        <f t="shared" ref="S524:AP524" si="317">SUM(S519:S523)</f>
        <v>0</v>
      </c>
      <c r="T524" s="1602">
        <f t="shared" si="317"/>
        <v>-9.3099999999999987</v>
      </c>
      <c r="U524" s="1601">
        <f t="shared" si="317"/>
        <v>-3.5389999999999997</v>
      </c>
      <c r="V524" s="1601">
        <f t="shared" si="317"/>
        <v>-3.4170000000000007</v>
      </c>
      <c r="W524" s="1602">
        <f t="shared" si="317"/>
        <v>-4.1849999999999996</v>
      </c>
      <c r="X524" s="1602">
        <f t="shared" si="317"/>
        <v>-5.1099999999999994</v>
      </c>
      <c r="Y524" s="1601">
        <f t="shared" si="317"/>
        <v>-5.3040000000000003</v>
      </c>
      <c r="Z524" s="1601">
        <f t="shared" si="317"/>
        <v>-70.776999999999987</v>
      </c>
      <c r="AA524" s="1602">
        <f t="shared" si="317"/>
        <v>-5.2330000000000005</v>
      </c>
      <c r="AB524" s="1602">
        <f t="shared" si="317"/>
        <v>-5.64</v>
      </c>
      <c r="AC524" s="1601">
        <f t="shared" si="317"/>
        <v>-4.7989999999999995</v>
      </c>
      <c r="AD524" s="1601">
        <f t="shared" si="317"/>
        <v>-4.4640000000000004</v>
      </c>
      <c r="AE524" s="1602">
        <f t="shared" si="317"/>
        <v>-53.055</v>
      </c>
      <c r="AF524" s="1602">
        <f t="shared" si="317"/>
        <v>-4.6429999999999989</v>
      </c>
      <c r="AG524" s="1601">
        <f t="shared" si="317"/>
        <v>-6.1320000000000032</v>
      </c>
      <c r="AH524" s="1601">
        <f t="shared" si="317"/>
        <v>-5.6199999999999983</v>
      </c>
      <c r="AI524" s="1602">
        <f t="shared" si="317"/>
        <v>-76.099000000000004</v>
      </c>
      <c r="AJ524" s="1603">
        <f t="shared" si="317"/>
        <v>-5.6829999999999989</v>
      </c>
      <c r="AK524" s="1601">
        <f t="shared" si="317"/>
        <v>-5</v>
      </c>
      <c r="AL524" s="1601">
        <f t="shared" si="317"/>
        <v>-5</v>
      </c>
      <c r="AM524" s="1601">
        <f t="shared" si="317"/>
        <v>-5</v>
      </c>
      <c r="AN524" s="1601">
        <f t="shared" si="317"/>
        <v>-5</v>
      </c>
      <c r="AO524" s="1601">
        <f t="shared" si="317"/>
        <v>-5</v>
      </c>
      <c r="AP524" s="1601">
        <f t="shared" si="317"/>
        <v>-5</v>
      </c>
      <c r="AQ524" s="1601"/>
      <c r="AR524" s="1604"/>
      <c r="AS524" s="1604"/>
      <c r="AT524" s="1604"/>
      <c r="AU524" s="1604"/>
      <c r="AV524" s="1604"/>
      <c r="AW524" s="1604"/>
      <c r="AX524" s="1604"/>
      <c r="AY524" s="1604"/>
      <c r="AZ524" s="1604"/>
      <c r="BA524" s="1604"/>
      <c r="BB524" s="1605">
        <f t="shared" ref="BB524:BK524" si="318">SUM(BB519:BB523)</f>
        <v>-33.868999999999993</v>
      </c>
      <c r="BC524" s="1605">
        <f t="shared" si="318"/>
        <v>-16.266000000000002</v>
      </c>
      <c r="BD524" s="1605">
        <f t="shared" si="318"/>
        <v>-85.375999999999991</v>
      </c>
      <c r="BE524" s="1605">
        <f t="shared" si="318"/>
        <v>-20.136000000000003</v>
      </c>
      <c r="BF524" s="1718">
        <f t="shared" si="318"/>
        <v>-69.45</v>
      </c>
      <c r="BG524" s="1604">
        <f t="shared" si="318"/>
        <v>-91.781999999999996</v>
      </c>
      <c r="BH524" s="1604">
        <f t="shared" si="318"/>
        <v>-20</v>
      </c>
      <c r="BI524" s="1604">
        <f t="shared" si="318"/>
        <v>-20</v>
      </c>
      <c r="BJ524" s="1604">
        <f t="shared" si="318"/>
        <v>-20</v>
      </c>
      <c r="BK524" s="1604">
        <f t="shared" si="318"/>
        <v>-20</v>
      </c>
      <c r="BL524" s="1607"/>
    </row>
    <row r="525" spans="1:64" s="1608" customFormat="1" x14ac:dyDescent="0.35">
      <c r="A525" s="1665"/>
      <c r="B525" s="1712"/>
      <c r="C525" s="1667"/>
      <c r="D525" s="1667"/>
      <c r="E525" s="1667"/>
      <c r="F525" s="1667"/>
      <c r="G525" s="1667"/>
      <c r="H525" s="1667"/>
      <c r="I525" s="1667"/>
      <c r="J525" s="1667"/>
      <c r="K525" s="1667"/>
      <c r="L525" s="1667"/>
      <c r="M525" s="1667"/>
      <c r="N525" s="1667"/>
      <c r="O525" s="1667"/>
      <c r="P525" s="1667"/>
      <c r="Q525" s="1667"/>
      <c r="R525" s="1667"/>
      <c r="S525" s="1667"/>
      <c r="T525" s="1667"/>
      <c r="U525" s="1667"/>
      <c r="V525" s="1667"/>
      <c r="W525" s="1667"/>
      <c r="X525" s="1667"/>
      <c r="Y525" s="1667"/>
      <c r="Z525" s="1667"/>
      <c r="AA525" s="1667"/>
      <c r="AB525" s="1667"/>
      <c r="AC525" s="1667"/>
      <c r="AD525" s="1667"/>
      <c r="AE525" s="1667"/>
      <c r="AF525" s="1667"/>
      <c r="AG525" s="1667"/>
      <c r="AH525" s="1667"/>
      <c r="AI525" s="1667"/>
      <c r="AJ525" s="1668"/>
      <c r="AK525" s="1667"/>
      <c r="AL525" s="1667"/>
      <c r="AM525" s="1667"/>
      <c r="AN525" s="1667"/>
      <c r="AO525" s="1667"/>
      <c r="AP525" s="1667"/>
      <c r="AQ525" s="1667"/>
      <c r="AR525" s="1669"/>
      <c r="AS525" s="1669"/>
      <c r="AT525" s="1669"/>
      <c r="AU525" s="1669"/>
      <c r="AV525" s="1669"/>
      <c r="AW525" s="1669"/>
      <c r="AX525" s="1669"/>
      <c r="AY525" s="1669"/>
      <c r="AZ525" s="1669"/>
      <c r="BA525" s="1669"/>
      <c r="BB525" s="1669"/>
      <c r="BC525" s="1669"/>
      <c r="BD525" s="1669"/>
      <c r="BE525" s="1669"/>
      <c r="BF525" s="1612"/>
      <c r="BG525" s="1595"/>
      <c r="BH525" s="1595"/>
      <c r="BI525" s="1595"/>
      <c r="BJ525" s="1595"/>
      <c r="BK525" s="1595"/>
      <c r="BL525" s="1607"/>
    </row>
    <row r="526" spans="1:64" s="1608" customFormat="1" x14ac:dyDescent="0.35">
      <c r="A526" s="1711" t="str">
        <f t="shared" ref="A526:A544" si="319">A459</f>
        <v>CFF</v>
      </c>
      <c r="B526" s="1712"/>
      <c r="C526" s="1667"/>
      <c r="D526" s="1667"/>
      <c r="E526" s="1667"/>
      <c r="F526" s="1667"/>
      <c r="G526" s="1667"/>
      <c r="H526" s="1667"/>
      <c r="I526" s="1667"/>
      <c r="J526" s="1667"/>
      <c r="K526" s="1667"/>
      <c r="L526" s="1667"/>
      <c r="M526" s="1667"/>
      <c r="N526" s="1667"/>
      <c r="O526" s="1667"/>
      <c r="P526" s="1667"/>
      <c r="Q526" s="1667"/>
      <c r="R526" s="1667"/>
      <c r="S526" s="1667"/>
      <c r="T526" s="1667"/>
      <c r="U526" s="1667"/>
      <c r="V526" s="1667"/>
      <c r="W526" s="1667"/>
      <c r="X526" s="1667"/>
      <c r="Y526" s="1667"/>
      <c r="Z526" s="1667"/>
      <c r="AA526" s="1667"/>
      <c r="AB526" s="1667"/>
      <c r="AC526" s="1667"/>
      <c r="AD526" s="1667"/>
      <c r="AE526" s="1667"/>
      <c r="AF526" s="1667"/>
      <c r="AG526" s="1667"/>
      <c r="AH526" s="1667"/>
      <c r="AI526" s="1667"/>
      <c r="AJ526" s="1668"/>
      <c r="AK526" s="1667"/>
      <c r="AL526" s="1667"/>
      <c r="AM526" s="1667"/>
      <c r="AN526" s="1667"/>
      <c r="AO526" s="1667"/>
      <c r="AP526" s="1667"/>
      <c r="AQ526" s="1667"/>
      <c r="AR526" s="1669"/>
      <c r="AS526" s="1669"/>
      <c r="AT526" s="1669"/>
      <c r="AU526" s="1669"/>
      <c r="AV526" s="1669"/>
      <c r="AW526" s="1669"/>
      <c r="AX526" s="1669"/>
      <c r="AY526" s="1669"/>
      <c r="AZ526" s="1669"/>
      <c r="BA526" s="1669"/>
      <c r="BB526" s="1669"/>
      <c r="BC526" s="1669"/>
      <c r="BD526" s="1669"/>
      <c r="BE526" s="1669"/>
      <c r="BF526" s="1612"/>
      <c r="BG526" s="1595"/>
      <c r="BH526" s="1595"/>
      <c r="BI526" s="1595"/>
      <c r="BJ526" s="1595"/>
      <c r="BK526" s="1595"/>
      <c r="BL526" s="1607"/>
    </row>
    <row r="527" spans="1:64" s="1518" customFormat="1" x14ac:dyDescent="0.35">
      <c r="A527" s="1591" t="str">
        <f t="shared" si="319"/>
        <v>Issuance of common stock</v>
      </c>
      <c r="B527" s="1716"/>
      <c r="C527" s="1515"/>
      <c r="D527" s="1515"/>
      <c r="E527" s="1515"/>
      <c r="F527" s="1515"/>
      <c r="G527" s="1515"/>
      <c r="H527" s="1515"/>
      <c r="I527" s="1515"/>
      <c r="J527" s="1515"/>
      <c r="K527" s="1515"/>
      <c r="L527" s="1515"/>
      <c r="M527" s="1515"/>
      <c r="N527" s="1515"/>
      <c r="O527" s="1515"/>
      <c r="P527" s="1515"/>
      <c r="Q527" s="1515"/>
      <c r="R527" s="1515"/>
      <c r="S527" s="1517">
        <f t="shared" ref="S527:S543" si="320">S460</f>
        <v>0</v>
      </c>
      <c r="T527" s="1517">
        <f t="shared" ref="T527:V542" si="321">T460-S460</f>
        <v>1.2</v>
      </c>
      <c r="U527" s="1515">
        <f t="shared" si="321"/>
        <v>0</v>
      </c>
      <c r="V527" s="1515">
        <f t="shared" si="321"/>
        <v>2.0499999999999998</v>
      </c>
      <c r="W527" s="1517">
        <f t="shared" ref="W527:W543" si="322">W460</f>
        <v>2.2269999999999999</v>
      </c>
      <c r="X527" s="1517">
        <f t="shared" ref="X527:Z542" si="323">X460-W460</f>
        <v>0.20000000000000018</v>
      </c>
      <c r="Y527" s="1515">
        <f t="shared" si="323"/>
        <v>5.600000000000005E-2</v>
      </c>
      <c r="Z527" s="1515">
        <f t="shared" si="323"/>
        <v>0</v>
      </c>
      <c r="AA527" s="1517">
        <f t="shared" ref="AA527:AA543" si="324">AA460</f>
        <v>7.0000000000000007E-2</v>
      </c>
      <c r="AB527" s="1517">
        <f t="shared" ref="AB527:AD542" si="325">AB460-AA460</f>
        <v>0.74399999999999999</v>
      </c>
      <c r="AC527" s="1515">
        <f t="shared" si="325"/>
        <v>1.4769999999999999</v>
      </c>
      <c r="AD527" s="1515">
        <f t="shared" si="325"/>
        <v>0.125</v>
      </c>
      <c r="AE527" s="1517">
        <f t="shared" ref="AE527:AE543" si="326">AE460</f>
        <v>0</v>
      </c>
      <c r="AF527" s="1517">
        <f t="shared" ref="AF527:AH542" si="327">AF460-AE460</f>
        <v>0.61099999999999999</v>
      </c>
      <c r="AG527" s="1515">
        <f t="shared" si="327"/>
        <v>1.387</v>
      </c>
      <c r="AH527" s="1515">
        <f t="shared" si="327"/>
        <v>3.3629999999999995</v>
      </c>
      <c r="AI527" s="1517">
        <f t="shared" ref="AI527:AI543" si="328">AI460</f>
        <v>0</v>
      </c>
      <c r="AJ527" s="1732">
        <f t="shared" ref="AJ527:AJ543" si="329">AJ460-AI460</f>
        <v>0</v>
      </c>
      <c r="AK527" s="1515">
        <f t="shared" ref="AK527:AP527" si="330">AK366</f>
        <v>0</v>
      </c>
      <c r="AL527" s="1515">
        <f t="shared" si="330"/>
        <v>0</v>
      </c>
      <c r="AM527" s="1515">
        <f t="shared" si="330"/>
        <v>0</v>
      </c>
      <c r="AN527" s="1515">
        <f t="shared" si="330"/>
        <v>0</v>
      </c>
      <c r="AO527" s="1515">
        <f t="shared" si="330"/>
        <v>0</v>
      </c>
      <c r="AP527" s="1515">
        <f t="shared" si="330"/>
        <v>0</v>
      </c>
      <c r="AQ527" s="1515"/>
      <c r="AR527" s="1595"/>
      <c r="AS527" s="1595"/>
      <c r="AT527" s="1595"/>
      <c r="AU527" s="1595"/>
      <c r="AV527" s="1595"/>
      <c r="AW527" s="1595"/>
      <c r="AX527" s="1595"/>
      <c r="AY527" s="1595"/>
      <c r="AZ527" s="1595"/>
      <c r="BA527" s="1595"/>
      <c r="BB527" s="1733">
        <f t="shared" ref="BB527:BF542" si="331">BB460</f>
        <v>0.13</v>
      </c>
      <c r="BC527" s="1733">
        <f t="shared" si="331"/>
        <v>3.25</v>
      </c>
      <c r="BD527" s="1733">
        <f t="shared" si="331"/>
        <v>2.4830000000000001</v>
      </c>
      <c r="BE527" s="1733">
        <f t="shared" si="331"/>
        <v>2.4159999999999999</v>
      </c>
      <c r="BF527" s="1734">
        <f t="shared" si="331"/>
        <v>5.3609999999999998</v>
      </c>
      <c r="BG527" s="1595">
        <f t="shared" ref="BG527:BG543" si="332">SUM(AI527,AJ527,AK527,AL527)</f>
        <v>0</v>
      </c>
      <c r="BH527" s="1595">
        <f t="shared" ref="BH527:BH543" si="333">SUM(AM527,AN527,AO527,AP527)</f>
        <v>0</v>
      </c>
      <c r="BI527" s="1595">
        <f>BI366</f>
        <v>0</v>
      </c>
      <c r="BJ527" s="1595">
        <f>BJ366</f>
        <v>0</v>
      </c>
      <c r="BK527" s="1595">
        <f>BK366</f>
        <v>0</v>
      </c>
      <c r="BL527" s="1517"/>
    </row>
    <row r="528" spans="1:64" s="1518" customFormat="1" x14ac:dyDescent="0.35">
      <c r="A528" s="1591" t="str">
        <f t="shared" si="319"/>
        <v>Proceeds from issuance of common stock in IPO net of underwriting discounts and commissions</v>
      </c>
      <c r="B528" s="1716"/>
      <c r="C528" s="1515"/>
      <c r="D528" s="1515"/>
      <c r="E528" s="1515"/>
      <c r="F528" s="1515"/>
      <c r="G528" s="1515"/>
      <c r="H528" s="1515"/>
      <c r="I528" s="1515"/>
      <c r="J528" s="1515"/>
      <c r="K528" s="1515"/>
      <c r="L528" s="1515"/>
      <c r="M528" s="1515"/>
      <c r="N528" s="1515"/>
      <c r="O528" s="1515"/>
      <c r="P528" s="1515"/>
      <c r="Q528" s="1515"/>
      <c r="R528" s="1515"/>
      <c r="S528" s="1517">
        <f t="shared" si="320"/>
        <v>0</v>
      </c>
      <c r="T528" s="1517">
        <f t="shared" si="321"/>
        <v>0</v>
      </c>
      <c r="U528" s="1515">
        <f t="shared" si="321"/>
        <v>0</v>
      </c>
      <c r="V528" s="1515">
        <f t="shared" si="321"/>
        <v>0</v>
      </c>
      <c r="W528" s="1517">
        <f t="shared" si="322"/>
        <v>0</v>
      </c>
      <c r="X528" s="1517">
        <f t="shared" si="323"/>
        <v>0</v>
      </c>
      <c r="Y528" s="1515">
        <f t="shared" si="323"/>
        <v>102.63800000000001</v>
      </c>
      <c r="Z528" s="1515">
        <f t="shared" si="323"/>
        <v>0</v>
      </c>
      <c r="AA528" s="1517">
        <f t="shared" si="324"/>
        <v>0</v>
      </c>
      <c r="AB528" s="1517">
        <f t="shared" si="325"/>
        <v>0</v>
      </c>
      <c r="AC528" s="1515">
        <f t="shared" si="325"/>
        <v>0</v>
      </c>
      <c r="AD528" s="1515">
        <f t="shared" si="325"/>
        <v>0</v>
      </c>
      <c r="AE528" s="1517">
        <f t="shared" si="326"/>
        <v>0</v>
      </c>
      <c r="AF528" s="1517">
        <f t="shared" si="327"/>
        <v>0</v>
      </c>
      <c r="AG528" s="1515">
        <f t="shared" si="327"/>
        <v>0</v>
      </c>
      <c r="AH528" s="1515">
        <f t="shared" si="327"/>
        <v>0</v>
      </c>
      <c r="AI528" s="1517">
        <f t="shared" si="328"/>
        <v>0</v>
      </c>
      <c r="AJ528" s="1732">
        <f t="shared" si="329"/>
        <v>0</v>
      </c>
      <c r="AK528" s="1515"/>
      <c r="AL528" s="1515"/>
      <c r="AM528" s="1515"/>
      <c r="AN528" s="1515"/>
      <c r="AO528" s="1515"/>
      <c r="AP528" s="1515"/>
      <c r="AQ528" s="1515"/>
      <c r="AR528" s="1595"/>
      <c r="AS528" s="1595"/>
      <c r="AT528" s="1595"/>
      <c r="AU528" s="1595"/>
      <c r="AV528" s="1595"/>
      <c r="AW528" s="1595"/>
      <c r="AX528" s="1595"/>
      <c r="AY528" s="1595"/>
      <c r="AZ528" s="1595"/>
      <c r="BA528" s="1595"/>
      <c r="BB528" s="1733">
        <f t="shared" si="331"/>
        <v>0</v>
      </c>
      <c r="BC528" s="1733">
        <f t="shared" si="331"/>
        <v>0</v>
      </c>
      <c r="BD528" s="1733">
        <f t="shared" si="331"/>
        <v>102.63800000000001</v>
      </c>
      <c r="BE528" s="1733">
        <f t="shared" si="331"/>
        <v>0</v>
      </c>
      <c r="BF528" s="1734">
        <f t="shared" si="331"/>
        <v>0</v>
      </c>
      <c r="BG528" s="1595">
        <f t="shared" si="332"/>
        <v>0</v>
      </c>
      <c r="BH528" s="1595">
        <f t="shared" si="333"/>
        <v>0</v>
      </c>
      <c r="BI528" s="1595"/>
      <c r="BJ528" s="1595"/>
      <c r="BK528" s="1595"/>
      <c r="BL528" s="1517"/>
    </row>
    <row r="529" spans="1:64" s="1518" customFormat="1" x14ac:dyDescent="0.35">
      <c r="A529" s="1591" t="str">
        <f t="shared" si="319"/>
        <v>Proceeds from exercise of employee stock options</v>
      </c>
      <c r="B529" s="1716"/>
      <c r="C529" s="1515"/>
      <c r="D529" s="1515"/>
      <c r="E529" s="1515"/>
      <c r="F529" s="1515"/>
      <c r="G529" s="1515"/>
      <c r="H529" s="1515"/>
      <c r="I529" s="1515"/>
      <c r="J529" s="1515"/>
      <c r="K529" s="1515"/>
      <c r="L529" s="1515"/>
      <c r="M529" s="1515"/>
      <c r="N529" s="1515"/>
      <c r="O529" s="1515"/>
      <c r="P529" s="1515"/>
      <c r="Q529" s="1515"/>
      <c r="R529" s="1515"/>
      <c r="S529" s="1517">
        <f t="shared" si="320"/>
        <v>0</v>
      </c>
      <c r="T529" s="1517">
        <f t="shared" si="321"/>
        <v>0</v>
      </c>
      <c r="U529" s="1515">
        <f t="shared" si="321"/>
        <v>0</v>
      </c>
      <c r="V529" s="1515">
        <f t="shared" si="321"/>
        <v>0</v>
      </c>
      <c r="W529" s="1517">
        <f t="shared" si="322"/>
        <v>0</v>
      </c>
      <c r="X529" s="1517">
        <f t="shared" si="323"/>
        <v>0</v>
      </c>
      <c r="Y529" s="1515">
        <f t="shared" si="323"/>
        <v>0</v>
      </c>
      <c r="Z529" s="1515">
        <f t="shared" si="323"/>
        <v>0</v>
      </c>
      <c r="AA529" s="1517">
        <f t="shared" si="324"/>
        <v>0</v>
      </c>
      <c r="AB529" s="1517">
        <f t="shared" si="325"/>
        <v>0</v>
      </c>
      <c r="AC529" s="1515">
        <f t="shared" si="325"/>
        <v>0</v>
      </c>
      <c r="AD529" s="1515">
        <f t="shared" si="325"/>
        <v>0</v>
      </c>
      <c r="AE529" s="1517">
        <f t="shared" si="326"/>
        <v>0</v>
      </c>
      <c r="AF529" s="1517">
        <f t="shared" si="327"/>
        <v>0</v>
      </c>
      <c r="AG529" s="1515">
        <f t="shared" si="327"/>
        <v>0</v>
      </c>
      <c r="AH529" s="1515">
        <f t="shared" si="327"/>
        <v>0</v>
      </c>
      <c r="AI529" s="1517">
        <f t="shared" si="328"/>
        <v>53.628999999999998</v>
      </c>
      <c r="AJ529" s="1732">
        <f t="shared" si="329"/>
        <v>-11.073999999999998</v>
      </c>
      <c r="AK529" s="1515"/>
      <c r="AL529" s="1515"/>
      <c r="AM529" s="1515"/>
      <c r="AN529" s="1515"/>
      <c r="AO529" s="1515"/>
      <c r="AP529" s="1515"/>
      <c r="AQ529" s="1515"/>
      <c r="AR529" s="1595"/>
      <c r="AS529" s="1595"/>
      <c r="AT529" s="1595"/>
      <c r="AU529" s="1595"/>
      <c r="AV529" s="1595"/>
      <c r="AW529" s="1595"/>
      <c r="AX529" s="1595"/>
      <c r="AY529" s="1595"/>
      <c r="AZ529" s="1595"/>
      <c r="BA529" s="1595"/>
      <c r="BB529" s="1733">
        <f t="shared" si="331"/>
        <v>0</v>
      </c>
      <c r="BC529" s="1733">
        <f t="shared" si="331"/>
        <v>0</v>
      </c>
      <c r="BD529" s="1733">
        <f t="shared" si="331"/>
        <v>0</v>
      </c>
      <c r="BE529" s="1733">
        <f t="shared" si="331"/>
        <v>0</v>
      </c>
      <c r="BF529" s="1734">
        <f t="shared" si="331"/>
        <v>0</v>
      </c>
      <c r="BG529" s="1595">
        <f t="shared" si="332"/>
        <v>42.555</v>
      </c>
      <c r="BH529" s="1595">
        <f t="shared" si="333"/>
        <v>0</v>
      </c>
      <c r="BI529" s="1595"/>
      <c r="BJ529" s="1595"/>
      <c r="BK529" s="1595"/>
      <c r="BL529" s="1517"/>
    </row>
    <row r="530" spans="1:64" s="1518" customFormat="1" x14ac:dyDescent="0.35">
      <c r="A530" s="1591" t="str">
        <f t="shared" si="319"/>
        <v>Cash paid for withholding on exercise of employee stock options</v>
      </c>
      <c r="B530" s="1716"/>
      <c r="C530" s="1515"/>
      <c r="D530" s="1515"/>
      <c r="E530" s="1515"/>
      <c r="F530" s="1515"/>
      <c r="G530" s="1515"/>
      <c r="H530" s="1515"/>
      <c r="I530" s="1515"/>
      <c r="J530" s="1515"/>
      <c r="K530" s="1515"/>
      <c r="L530" s="1515"/>
      <c r="M530" s="1515"/>
      <c r="N530" s="1515"/>
      <c r="O530" s="1515"/>
      <c r="P530" s="1515"/>
      <c r="Q530" s="1515"/>
      <c r="R530" s="1515"/>
      <c r="S530" s="1517">
        <f t="shared" si="320"/>
        <v>0</v>
      </c>
      <c r="T530" s="1517">
        <f t="shared" si="321"/>
        <v>0</v>
      </c>
      <c r="U530" s="1515">
        <f t="shared" si="321"/>
        <v>0</v>
      </c>
      <c r="V530" s="1515">
        <f t="shared" si="321"/>
        <v>0</v>
      </c>
      <c r="W530" s="1517">
        <f t="shared" si="322"/>
        <v>0</v>
      </c>
      <c r="X530" s="1517">
        <f t="shared" si="323"/>
        <v>0</v>
      </c>
      <c r="Y530" s="1515">
        <f t="shared" si="323"/>
        <v>0</v>
      </c>
      <c r="Z530" s="1515">
        <f t="shared" si="323"/>
        <v>0</v>
      </c>
      <c r="AA530" s="1517">
        <f t="shared" si="324"/>
        <v>0</v>
      </c>
      <c r="AB530" s="1517">
        <f t="shared" si="325"/>
        <v>0</v>
      </c>
      <c r="AC530" s="1515">
        <f t="shared" si="325"/>
        <v>0</v>
      </c>
      <c r="AD530" s="1515">
        <f t="shared" si="325"/>
        <v>0</v>
      </c>
      <c r="AE530" s="1517">
        <f t="shared" si="326"/>
        <v>0</v>
      </c>
      <c r="AF530" s="1517">
        <f t="shared" si="327"/>
        <v>0</v>
      </c>
      <c r="AG530" s="1515">
        <f t="shared" si="327"/>
        <v>0</v>
      </c>
      <c r="AH530" s="1515">
        <f t="shared" si="327"/>
        <v>0</v>
      </c>
      <c r="AI530" s="1517">
        <f t="shared" si="328"/>
        <v>-19.172000000000001</v>
      </c>
      <c r="AJ530" s="1732">
        <f t="shared" si="329"/>
        <v>11.496</v>
      </c>
      <c r="AK530" s="1515"/>
      <c r="AL530" s="1515"/>
      <c r="AM530" s="1515"/>
      <c r="AN530" s="1515"/>
      <c r="AO530" s="1515"/>
      <c r="AP530" s="1515"/>
      <c r="AQ530" s="1515"/>
      <c r="AR530" s="1595"/>
      <c r="AS530" s="1595"/>
      <c r="AT530" s="1595"/>
      <c r="AU530" s="1595"/>
      <c r="AV530" s="1595"/>
      <c r="AW530" s="1595"/>
      <c r="AX530" s="1595"/>
      <c r="AY530" s="1595"/>
      <c r="AZ530" s="1595"/>
      <c r="BA530" s="1595"/>
      <c r="BB530" s="1733">
        <f t="shared" si="331"/>
        <v>0</v>
      </c>
      <c r="BC530" s="1733">
        <f t="shared" si="331"/>
        <v>0</v>
      </c>
      <c r="BD530" s="1733">
        <f t="shared" si="331"/>
        <v>0</v>
      </c>
      <c r="BE530" s="1733">
        <f t="shared" si="331"/>
        <v>0</v>
      </c>
      <c r="BF530" s="1734">
        <f t="shared" si="331"/>
        <v>0</v>
      </c>
      <c r="BG530" s="1595">
        <f t="shared" si="332"/>
        <v>-7.6760000000000002</v>
      </c>
      <c r="BH530" s="1595">
        <f t="shared" si="333"/>
        <v>0</v>
      </c>
      <c r="BI530" s="1595"/>
      <c r="BJ530" s="1595"/>
      <c r="BK530" s="1595"/>
      <c r="BL530" s="1517"/>
    </row>
    <row r="531" spans="1:64" s="1518" customFormat="1" x14ac:dyDescent="0.35">
      <c r="A531" s="1591" t="str">
        <f t="shared" si="319"/>
        <v>Proceeds from employee stock purchase plan</v>
      </c>
      <c r="B531" s="1716"/>
      <c r="C531" s="1515"/>
      <c r="D531" s="1515"/>
      <c r="E531" s="1515"/>
      <c r="F531" s="1515"/>
      <c r="G531" s="1515"/>
      <c r="H531" s="1515"/>
      <c r="I531" s="1515"/>
      <c r="J531" s="1515"/>
      <c r="K531" s="1515"/>
      <c r="L531" s="1515"/>
      <c r="M531" s="1515"/>
      <c r="N531" s="1515"/>
      <c r="O531" s="1515"/>
      <c r="P531" s="1515"/>
      <c r="Q531" s="1515"/>
      <c r="R531" s="1515"/>
      <c r="S531" s="1517">
        <f t="shared" si="320"/>
        <v>0</v>
      </c>
      <c r="T531" s="1517">
        <f t="shared" si="321"/>
        <v>0</v>
      </c>
      <c r="U531" s="1515">
        <f t="shared" si="321"/>
        <v>0</v>
      </c>
      <c r="V531" s="1515">
        <f t="shared" si="321"/>
        <v>0</v>
      </c>
      <c r="W531" s="1517">
        <f t="shared" si="322"/>
        <v>0</v>
      </c>
      <c r="X531" s="1517">
        <f t="shared" si="323"/>
        <v>0</v>
      </c>
      <c r="Y531" s="1515">
        <f t="shared" si="323"/>
        <v>0</v>
      </c>
      <c r="Z531" s="1515">
        <f t="shared" si="323"/>
        <v>0</v>
      </c>
      <c r="AA531" s="1517">
        <f t="shared" si="324"/>
        <v>0</v>
      </c>
      <c r="AB531" s="1517">
        <f t="shared" si="325"/>
        <v>0</v>
      </c>
      <c r="AC531" s="1515">
        <f t="shared" si="325"/>
        <v>0</v>
      </c>
      <c r="AD531" s="1515">
        <f t="shared" si="325"/>
        <v>0</v>
      </c>
      <c r="AE531" s="1517">
        <f t="shared" si="326"/>
        <v>0</v>
      </c>
      <c r="AF531" s="1517">
        <f t="shared" si="327"/>
        <v>0</v>
      </c>
      <c r="AG531" s="1515">
        <f t="shared" si="327"/>
        <v>0</v>
      </c>
      <c r="AH531" s="1515">
        <f t="shared" si="327"/>
        <v>0</v>
      </c>
      <c r="AI531" s="1517">
        <f t="shared" si="328"/>
        <v>0.69499999999999995</v>
      </c>
      <c r="AJ531" s="1732">
        <f t="shared" si="329"/>
        <v>0</v>
      </c>
      <c r="AK531" s="1515"/>
      <c r="AL531" s="1515"/>
      <c r="AM531" s="1515"/>
      <c r="AN531" s="1515"/>
      <c r="AO531" s="1515"/>
      <c r="AP531" s="1515"/>
      <c r="AQ531" s="1515"/>
      <c r="AR531" s="1595"/>
      <c r="AS531" s="1595"/>
      <c r="AT531" s="1595"/>
      <c r="AU531" s="1595"/>
      <c r="AV531" s="1595"/>
      <c r="AW531" s="1595"/>
      <c r="AX531" s="1595"/>
      <c r="AY531" s="1595"/>
      <c r="AZ531" s="1595"/>
      <c r="BA531" s="1595"/>
      <c r="BB531" s="1733">
        <f t="shared" si="331"/>
        <v>0</v>
      </c>
      <c r="BC531" s="1733">
        <f t="shared" si="331"/>
        <v>0</v>
      </c>
      <c r="BD531" s="1733">
        <f t="shared" si="331"/>
        <v>0</v>
      </c>
      <c r="BE531" s="1733">
        <f t="shared" si="331"/>
        <v>0</v>
      </c>
      <c r="BF531" s="1734">
        <f t="shared" si="331"/>
        <v>0</v>
      </c>
      <c r="BG531" s="1595">
        <f t="shared" si="332"/>
        <v>0.69499999999999995</v>
      </c>
      <c r="BH531" s="1595">
        <f t="shared" si="333"/>
        <v>0</v>
      </c>
      <c r="BI531" s="1595"/>
      <c r="BJ531" s="1595"/>
      <c r="BK531" s="1595"/>
      <c r="BL531" s="1517"/>
    </row>
    <row r="532" spans="1:64" s="1518" customFormat="1" x14ac:dyDescent="0.35">
      <c r="A532" s="1591" t="str">
        <f t="shared" si="319"/>
        <v>Payments of IPO issuance costs</v>
      </c>
      <c r="B532" s="1716"/>
      <c r="C532" s="1515"/>
      <c r="D532" s="1515"/>
      <c r="E532" s="1515"/>
      <c r="F532" s="1515"/>
      <c r="G532" s="1515"/>
      <c r="H532" s="1515"/>
      <c r="I532" s="1515"/>
      <c r="J532" s="1515"/>
      <c r="K532" s="1515"/>
      <c r="L532" s="1515"/>
      <c r="M532" s="1515"/>
      <c r="N532" s="1515"/>
      <c r="O532" s="1515"/>
      <c r="P532" s="1515"/>
      <c r="Q532" s="1515"/>
      <c r="R532" s="1515"/>
      <c r="S532" s="1517">
        <f t="shared" si="320"/>
        <v>0</v>
      </c>
      <c r="T532" s="1517">
        <f t="shared" si="321"/>
        <v>0</v>
      </c>
      <c r="U532" s="1515">
        <f t="shared" si="321"/>
        <v>0</v>
      </c>
      <c r="V532" s="1515">
        <f t="shared" si="321"/>
        <v>0</v>
      </c>
      <c r="W532" s="1517">
        <f t="shared" si="322"/>
        <v>0</v>
      </c>
      <c r="X532" s="1517">
        <f t="shared" si="323"/>
        <v>0</v>
      </c>
      <c r="Y532" s="1515">
        <f t="shared" si="323"/>
        <v>-6.12</v>
      </c>
      <c r="Z532" s="1515">
        <f t="shared" si="323"/>
        <v>-1.7699999999999996</v>
      </c>
      <c r="AA532" s="1517">
        <f t="shared" si="324"/>
        <v>-0.22500000000000001</v>
      </c>
      <c r="AB532" s="1517">
        <f t="shared" si="325"/>
        <v>0</v>
      </c>
      <c r="AC532" s="1515">
        <f t="shared" si="325"/>
        <v>0</v>
      </c>
      <c r="AD532" s="1515">
        <f t="shared" si="325"/>
        <v>0</v>
      </c>
      <c r="AE532" s="1517">
        <f t="shared" si="326"/>
        <v>0</v>
      </c>
      <c r="AF532" s="1517">
        <f t="shared" si="327"/>
        <v>0</v>
      </c>
      <c r="AG532" s="1515">
        <f t="shared" si="327"/>
        <v>0</v>
      </c>
      <c r="AH532" s="1515">
        <f t="shared" si="327"/>
        <v>0</v>
      </c>
      <c r="AI532" s="1517">
        <f t="shared" si="328"/>
        <v>0</v>
      </c>
      <c r="AJ532" s="1732">
        <f t="shared" si="329"/>
        <v>0</v>
      </c>
      <c r="AK532" s="1515"/>
      <c r="AL532" s="1515"/>
      <c r="AM532" s="1515"/>
      <c r="AN532" s="1515"/>
      <c r="AO532" s="1515"/>
      <c r="AP532" s="1515"/>
      <c r="AQ532" s="1515"/>
      <c r="AR532" s="1595"/>
      <c r="AS532" s="1595"/>
      <c r="AT532" s="1595"/>
      <c r="AU532" s="1595"/>
      <c r="AV532" s="1595"/>
      <c r="AW532" s="1595"/>
      <c r="AX532" s="1595"/>
      <c r="AY532" s="1595"/>
      <c r="AZ532" s="1595"/>
      <c r="BA532" s="1595"/>
      <c r="BB532" s="1733">
        <f t="shared" si="331"/>
        <v>0</v>
      </c>
      <c r="BC532" s="1733">
        <f t="shared" si="331"/>
        <v>0</v>
      </c>
      <c r="BD532" s="1733">
        <f t="shared" si="331"/>
        <v>-7.89</v>
      </c>
      <c r="BE532" s="1733">
        <f t="shared" si="331"/>
        <v>-0.22500000000000001</v>
      </c>
      <c r="BF532" s="1734">
        <f t="shared" si="331"/>
        <v>0</v>
      </c>
      <c r="BG532" s="1595">
        <f t="shared" si="332"/>
        <v>0</v>
      </c>
      <c r="BH532" s="1595">
        <f t="shared" si="333"/>
        <v>0</v>
      </c>
      <c r="BI532" s="1595"/>
      <c r="BJ532" s="1595"/>
      <c r="BK532" s="1595"/>
      <c r="BL532" s="1517"/>
    </row>
    <row r="533" spans="1:64" s="1518" customFormat="1" x14ac:dyDescent="0.35">
      <c r="A533" s="1591" t="str">
        <f t="shared" si="319"/>
        <v>Capital contribution from certain stockholders</v>
      </c>
      <c r="B533" s="1716"/>
      <c r="C533" s="1515"/>
      <c r="D533" s="1515"/>
      <c r="E533" s="1515"/>
      <c r="F533" s="1515"/>
      <c r="G533" s="1515"/>
      <c r="H533" s="1515"/>
      <c r="I533" s="1515"/>
      <c r="J533" s="1515"/>
      <c r="K533" s="1515"/>
      <c r="L533" s="1515"/>
      <c r="M533" s="1515"/>
      <c r="N533" s="1515"/>
      <c r="O533" s="1515"/>
      <c r="P533" s="1515"/>
      <c r="Q533" s="1515"/>
      <c r="R533" s="1515"/>
      <c r="S533" s="1517">
        <f t="shared" si="320"/>
        <v>0</v>
      </c>
      <c r="T533" s="1517">
        <f t="shared" si="321"/>
        <v>0</v>
      </c>
      <c r="U533" s="1515">
        <f t="shared" si="321"/>
        <v>0</v>
      </c>
      <c r="V533" s="1515">
        <f t="shared" si="321"/>
        <v>0</v>
      </c>
      <c r="W533" s="1517">
        <f t="shared" si="322"/>
        <v>0</v>
      </c>
      <c r="X533" s="1517">
        <f t="shared" si="323"/>
        <v>0</v>
      </c>
      <c r="Y533" s="1515">
        <f t="shared" si="323"/>
        <v>15.576000000000001</v>
      </c>
      <c r="Z533" s="1515">
        <f t="shared" si="323"/>
        <v>0</v>
      </c>
      <c r="AA533" s="1517">
        <f t="shared" si="324"/>
        <v>0</v>
      </c>
      <c r="AB533" s="1517">
        <f t="shared" si="325"/>
        <v>0</v>
      </c>
      <c r="AC533" s="1515">
        <f t="shared" si="325"/>
        <v>0</v>
      </c>
      <c r="AD533" s="1515">
        <f t="shared" si="325"/>
        <v>0</v>
      </c>
      <c r="AE533" s="1517">
        <f t="shared" si="326"/>
        <v>0</v>
      </c>
      <c r="AF533" s="1517">
        <f t="shared" si="327"/>
        <v>0</v>
      </c>
      <c r="AG533" s="1515">
        <f t="shared" si="327"/>
        <v>0</v>
      </c>
      <c r="AH533" s="1515">
        <f t="shared" si="327"/>
        <v>0</v>
      </c>
      <c r="AI533" s="1517">
        <f t="shared" si="328"/>
        <v>0</v>
      </c>
      <c r="AJ533" s="1732">
        <f t="shared" si="329"/>
        <v>0</v>
      </c>
      <c r="AK533" s="1515"/>
      <c r="AL533" s="1515"/>
      <c r="AM533" s="1515"/>
      <c r="AN533" s="1515"/>
      <c r="AO533" s="1515"/>
      <c r="AP533" s="1515"/>
      <c r="AQ533" s="1515"/>
      <c r="AR533" s="1595"/>
      <c r="AS533" s="1595"/>
      <c r="AT533" s="1595"/>
      <c r="AU533" s="1595"/>
      <c r="AV533" s="1595"/>
      <c r="AW533" s="1595"/>
      <c r="AX533" s="1595"/>
      <c r="AY533" s="1595"/>
      <c r="AZ533" s="1595"/>
      <c r="BA533" s="1595"/>
      <c r="BB533" s="1733">
        <f t="shared" si="331"/>
        <v>0</v>
      </c>
      <c r="BC533" s="1733">
        <f t="shared" si="331"/>
        <v>0</v>
      </c>
      <c r="BD533" s="1733">
        <f t="shared" si="331"/>
        <v>15.576000000000001</v>
      </c>
      <c r="BE533" s="1733">
        <f t="shared" si="331"/>
        <v>0</v>
      </c>
      <c r="BF533" s="1734">
        <f t="shared" si="331"/>
        <v>0</v>
      </c>
      <c r="BG533" s="1595">
        <f t="shared" si="332"/>
        <v>0</v>
      </c>
      <c r="BH533" s="1595">
        <f t="shared" si="333"/>
        <v>0</v>
      </c>
      <c r="BI533" s="1595"/>
      <c r="BJ533" s="1595"/>
      <c r="BK533" s="1595"/>
      <c r="BL533" s="1517"/>
    </row>
    <row r="534" spans="1:64" s="1518" customFormat="1" x14ac:dyDescent="0.35">
      <c r="A534" s="1591" t="str">
        <f t="shared" si="319"/>
        <v>Repurchase of common stock</v>
      </c>
      <c r="B534" s="1716"/>
      <c r="C534" s="1515"/>
      <c r="D534" s="1515"/>
      <c r="E534" s="1515"/>
      <c r="F534" s="1515"/>
      <c r="G534" s="1515"/>
      <c r="H534" s="1515"/>
      <c r="I534" s="1515"/>
      <c r="J534" s="1515"/>
      <c r="K534" s="1515"/>
      <c r="L534" s="1515"/>
      <c r="M534" s="1515"/>
      <c r="N534" s="1515"/>
      <c r="O534" s="1515"/>
      <c r="P534" s="1515"/>
      <c r="Q534" s="1515"/>
      <c r="R534" s="1515"/>
      <c r="S534" s="1517">
        <f t="shared" si="320"/>
        <v>0</v>
      </c>
      <c r="T534" s="1517">
        <f t="shared" si="321"/>
        <v>0</v>
      </c>
      <c r="U534" s="1515">
        <f t="shared" si="321"/>
        <v>0</v>
      </c>
      <c r="V534" s="1515">
        <f t="shared" si="321"/>
        <v>0</v>
      </c>
      <c r="W534" s="1517">
        <f t="shared" si="322"/>
        <v>0</v>
      </c>
      <c r="X534" s="1517">
        <f t="shared" si="323"/>
        <v>0</v>
      </c>
      <c r="Y534" s="1515">
        <f t="shared" si="323"/>
        <v>0</v>
      </c>
      <c r="Z534" s="1515">
        <f t="shared" si="323"/>
        <v>0</v>
      </c>
      <c r="AA534" s="1517">
        <f t="shared" si="324"/>
        <v>0</v>
      </c>
      <c r="AB534" s="1517">
        <f t="shared" si="325"/>
        <v>0</v>
      </c>
      <c r="AC534" s="1515">
        <f t="shared" si="325"/>
        <v>0</v>
      </c>
      <c r="AD534" s="1515">
        <f t="shared" si="325"/>
        <v>-13.962</v>
      </c>
      <c r="AE534" s="1517">
        <f t="shared" si="326"/>
        <v>-7.7110000000000003</v>
      </c>
      <c r="AF534" s="1517">
        <f t="shared" si="327"/>
        <v>-17.631</v>
      </c>
      <c r="AG534" s="1515">
        <f t="shared" si="327"/>
        <v>-20.701000000000001</v>
      </c>
      <c r="AH534" s="1515">
        <f t="shared" si="327"/>
        <v>-21.719000000000001</v>
      </c>
      <c r="AI534" s="1517">
        <f t="shared" si="328"/>
        <v>-6.8319999999999999</v>
      </c>
      <c r="AJ534" s="1732">
        <f t="shared" si="329"/>
        <v>0</v>
      </c>
      <c r="AK534" s="1515"/>
      <c r="AL534" s="1515"/>
      <c r="AM534" s="1515"/>
      <c r="AN534" s="1515"/>
      <c r="AO534" s="1515"/>
      <c r="AP534" s="1515"/>
      <c r="AQ534" s="1515"/>
      <c r="AR534" s="1595"/>
      <c r="AS534" s="1595"/>
      <c r="AT534" s="1595"/>
      <c r="AU534" s="1595"/>
      <c r="AV534" s="1595"/>
      <c r="AW534" s="1595"/>
      <c r="AX534" s="1595"/>
      <c r="AY534" s="1595"/>
      <c r="AZ534" s="1595"/>
      <c r="BA534" s="1595"/>
      <c r="BB534" s="1733">
        <f t="shared" si="331"/>
        <v>0</v>
      </c>
      <c r="BC534" s="1733">
        <f t="shared" si="331"/>
        <v>0</v>
      </c>
      <c r="BD534" s="1733">
        <f t="shared" si="331"/>
        <v>0</v>
      </c>
      <c r="BE534" s="1733">
        <f t="shared" si="331"/>
        <v>-13.962</v>
      </c>
      <c r="BF534" s="1734">
        <f t="shared" si="331"/>
        <v>-67.762</v>
      </c>
      <c r="BG534" s="1595">
        <f t="shared" si="332"/>
        <v>-6.8319999999999999</v>
      </c>
      <c r="BH534" s="1595">
        <f t="shared" si="333"/>
        <v>0</v>
      </c>
      <c r="BI534" s="1595"/>
      <c r="BJ534" s="1595"/>
      <c r="BK534" s="1595"/>
      <c r="BL534" s="1517"/>
    </row>
    <row r="535" spans="1:64" s="1518" customFormat="1" x14ac:dyDescent="0.35">
      <c r="A535" s="1591" t="str">
        <f t="shared" si="319"/>
        <v>Payments of long-term debt</v>
      </c>
      <c r="B535" s="1716"/>
      <c r="C535" s="1515"/>
      <c r="D535" s="1515"/>
      <c r="E535" s="1515"/>
      <c r="F535" s="1515"/>
      <c r="G535" s="1515"/>
      <c r="H535" s="1515"/>
      <c r="I535" s="1515"/>
      <c r="J535" s="1515"/>
      <c r="K535" s="1515"/>
      <c r="L535" s="1515"/>
      <c r="M535" s="1515"/>
      <c r="N535" s="1515"/>
      <c r="O535" s="1515"/>
      <c r="P535" s="1515"/>
      <c r="Q535" s="1515"/>
      <c r="R535" s="1515"/>
      <c r="S535" s="1517">
        <f t="shared" si="320"/>
        <v>0</v>
      </c>
      <c r="T535" s="1517">
        <f t="shared" si="321"/>
        <v>-3.23</v>
      </c>
      <c r="U535" s="1515">
        <f t="shared" si="321"/>
        <v>-1.6160000000000001</v>
      </c>
      <c r="V535" s="1515">
        <f t="shared" si="321"/>
        <v>-1.6150000000000002</v>
      </c>
      <c r="W535" s="1517">
        <f t="shared" si="322"/>
        <v>-1.615</v>
      </c>
      <c r="X535" s="1517">
        <f t="shared" si="323"/>
        <v>-8.3010000000000002</v>
      </c>
      <c r="Y535" s="1515">
        <f t="shared" si="323"/>
        <v>-1.6150000000000002</v>
      </c>
      <c r="Z535" s="1515">
        <f t="shared" si="323"/>
        <v>-101.616</v>
      </c>
      <c r="AA535" s="1517">
        <f t="shared" si="324"/>
        <v>-1.615</v>
      </c>
      <c r="AB535" s="1517">
        <f t="shared" si="325"/>
        <v>-1.6159999999999999</v>
      </c>
      <c r="AC535" s="1515">
        <f t="shared" si="325"/>
        <v>-1.6150000000000002</v>
      </c>
      <c r="AD535" s="1515">
        <f t="shared" si="325"/>
        <v>-505.49399999999997</v>
      </c>
      <c r="AE535" s="1517">
        <f t="shared" si="326"/>
        <v>-1.875</v>
      </c>
      <c r="AF535" s="1517">
        <f t="shared" si="327"/>
        <v>-1.875</v>
      </c>
      <c r="AG535" s="1515">
        <f t="shared" si="327"/>
        <v>-1.875</v>
      </c>
      <c r="AH535" s="1515">
        <f t="shared" si="327"/>
        <v>-1.875</v>
      </c>
      <c r="AI535" s="1517">
        <f t="shared" si="328"/>
        <v>-3.75</v>
      </c>
      <c r="AJ535" s="1732">
        <f t="shared" si="329"/>
        <v>-3.75</v>
      </c>
      <c r="AK535" s="1515">
        <f t="shared" ref="AK535:AP535" si="334">AK365</f>
        <v>0</v>
      </c>
      <c r="AL535" s="1515">
        <f t="shared" si="334"/>
        <v>0</v>
      </c>
      <c r="AM535" s="1515">
        <f t="shared" si="334"/>
        <v>0</v>
      </c>
      <c r="AN535" s="1515">
        <f t="shared" si="334"/>
        <v>0</v>
      </c>
      <c r="AO535" s="1515">
        <f t="shared" si="334"/>
        <v>0</v>
      </c>
      <c r="AP535" s="1515">
        <f t="shared" si="334"/>
        <v>0</v>
      </c>
      <c r="AQ535" s="1515"/>
      <c r="AR535" s="1595"/>
      <c r="AS535" s="1595"/>
      <c r="AT535" s="1595"/>
      <c r="AU535" s="1595"/>
      <c r="AV535" s="1595"/>
      <c r="AW535" s="1595"/>
      <c r="AX535" s="1595"/>
      <c r="AY535" s="1595"/>
      <c r="AZ535" s="1595"/>
      <c r="BA535" s="1595"/>
      <c r="BB535" s="1733">
        <f t="shared" si="331"/>
        <v>-6.4610000000000003</v>
      </c>
      <c r="BC535" s="1733">
        <f t="shared" si="331"/>
        <v>-6.4610000000000003</v>
      </c>
      <c r="BD535" s="1733">
        <f t="shared" si="331"/>
        <v>-113.14700000000001</v>
      </c>
      <c r="BE535" s="1733">
        <f t="shared" si="331"/>
        <v>-510.34</v>
      </c>
      <c r="BF535" s="1734">
        <f t="shared" si="331"/>
        <v>-7.5</v>
      </c>
      <c r="BG535" s="1595">
        <f t="shared" si="332"/>
        <v>-7.5</v>
      </c>
      <c r="BH535" s="1595">
        <f t="shared" si="333"/>
        <v>0</v>
      </c>
      <c r="BI535" s="1595">
        <f>BI365</f>
        <v>0</v>
      </c>
      <c r="BJ535" s="1595">
        <f>BJ365</f>
        <v>0</v>
      </c>
      <c r="BK535" s="1595">
        <f>BK365</f>
        <v>0</v>
      </c>
      <c r="BL535" s="1517"/>
    </row>
    <row r="536" spans="1:64" s="1518" customFormat="1" x14ac:dyDescent="0.35">
      <c r="A536" s="1591" t="str">
        <f t="shared" si="319"/>
        <v>Repayment of term loan borrowings</v>
      </c>
      <c r="B536" s="1716"/>
      <c r="C536" s="1515"/>
      <c r="D536" s="1515"/>
      <c r="E536" s="1515"/>
      <c r="F536" s="1515"/>
      <c r="G536" s="1515"/>
      <c r="H536" s="1515"/>
      <c r="I536" s="1515"/>
      <c r="J536" s="1515"/>
      <c r="K536" s="1515"/>
      <c r="L536" s="1515"/>
      <c r="M536" s="1515"/>
      <c r="N536" s="1515"/>
      <c r="O536" s="1515"/>
      <c r="P536" s="1515"/>
      <c r="Q536" s="1515"/>
      <c r="R536" s="1515"/>
      <c r="S536" s="1517">
        <f t="shared" si="320"/>
        <v>0</v>
      </c>
      <c r="T536" s="1517">
        <f t="shared" si="321"/>
        <v>0</v>
      </c>
      <c r="U536" s="1515">
        <f t="shared" si="321"/>
        <v>0</v>
      </c>
      <c r="V536" s="1515">
        <f t="shared" si="321"/>
        <v>0</v>
      </c>
      <c r="W536" s="1517">
        <f t="shared" si="322"/>
        <v>0</v>
      </c>
      <c r="X536" s="1517">
        <f t="shared" si="323"/>
        <v>0</v>
      </c>
      <c r="Y536" s="1515">
        <f t="shared" si="323"/>
        <v>0</v>
      </c>
      <c r="Z536" s="1515">
        <f t="shared" si="323"/>
        <v>0</v>
      </c>
      <c r="AA536" s="1517">
        <f t="shared" si="324"/>
        <v>0</v>
      </c>
      <c r="AB536" s="1517">
        <f t="shared" si="325"/>
        <v>0</v>
      </c>
      <c r="AC536" s="1515">
        <f t="shared" si="325"/>
        <v>0</v>
      </c>
      <c r="AD536" s="1515">
        <f t="shared" si="325"/>
        <v>300</v>
      </c>
      <c r="AE536" s="1517">
        <f t="shared" si="326"/>
        <v>0</v>
      </c>
      <c r="AF536" s="1517">
        <f t="shared" si="327"/>
        <v>0</v>
      </c>
      <c r="AG536" s="1515">
        <f t="shared" si="327"/>
        <v>0</v>
      </c>
      <c r="AH536" s="1515">
        <f t="shared" si="327"/>
        <v>0</v>
      </c>
      <c r="AI536" s="1517">
        <f t="shared" si="328"/>
        <v>0</v>
      </c>
      <c r="AJ536" s="1732">
        <f t="shared" si="329"/>
        <v>0</v>
      </c>
      <c r="AK536" s="1515"/>
      <c r="AL536" s="1515"/>
      <c r="AM536" s="1515"/>
      <c r="AN536" s="1515"/>
      <c r="AO536" s="1515"/>
      <c r="AP536" s="1515"/>
      <c r="AQ536" s="1515"/>
      <c r="AR536" s="1595"/>
      <c r="AS536" s="1595"/>
      <c r="AT536" s="1595"/>
      <c r="AU536" s="1595"/>
      <c r="AV536" s="1595"/>
      <c r="AW536" s="1595"/>
      <c r="AX536" s="1595"/>
      <c r="AY536" s="1595"/>
      <c r="AZ536" s="1595"/>
      <c r="BA536" s="1595"/>
      <c r="BB536" s="1733">
        <f t="shared" si="331"/>
        <v>0</v>
      </c>
      <c r="BC536" s="1733">
        <f t="shared" si="331"/>
        <v>0</v>
      </c>
      <c r="BD536" s="1733">
        <f t="shared" si="331"/>
        <v>0</v>
      </c>
      <c r="BE536" s="1733">
        <f t="shared" si="331"/>
        <v>300</v>
      </c>
      <c r="BF536" s="1734">
        <f t="shared" si="331"/>
        <v>0</v>
      </c>
      <c r="BG536" s="1595">
        <f t="shared" si="332"/>
        <v>0</v>
      </c>
      <c r="BH536" s="1595">
        <f t="shared" si="333"/>
        <v>0</v>
      </c>
      <c r="BI536" s="1595"/>
      <c r="BJ536" s="1595"/>
      <c r="BK536" s="1595"/>
      <c r="BL536" s="1517"/>
    </row>
    <row r="537" spans="1:64" s="1518" customFormat="1" x14ac:dyDescent="0.35">
      <c r="A537" s="1591" t="str">
        <f t="shared" si="319"/>
        <v>Repayments of revolving credit facility</v>
      </c>
      <c r="B537" s="1716"/>
      <c r="C537" s="1515"/>
      <c r="D537" s="1515"/>
      <c r="E537" s="1515"/>
      <c r="F537" s="1515"/>
      <c r="G537" s="1515"/>
      <c r="H537" s="1515"/>
      <c r="I537" s="1515"/>
      <c r="J537" s="1515"/>
      <c r="K537" s="1515"/>
      <c r="L537" s="1515"/>
      <c r="M537" s="1515"/>
      <c r="N537" s="1515"/>
      <c r="O537" s="1515"/>
      <c r="P537" s="1515"/>
      <c r="Q537" s="1515"/>
      <c r="R537" s="1515"/>
      <c r="S537" s="1517">
        <f t="shared" si="320"/>
        <v>0</v>
      </c>
      <c r="T537" s="1517">
        <f t="shared" si="321"/>
        <v>-83.8</v>
      </c>
      <c r="U537" s="1515">
        <f t="shared" si="321"/>
        <v>0</v>
      </c>
      <c r="V537" s="1515">
        <f t="shared" si="321"/>
        <v>0</v>
      </c>
      <c r="W537" s="1517">
        <f t="shared" si="322"/>
        <v>0</v>
      </c>
      <c r="X537" s="1517">
        <f t="shared" si="323"/>
        <v>0</v>
      </c>
      <c r="Y537" s="1515">
        <f t="shared" si="323"/>
        <v>0</v>
      </c>
      <c r="Z537" s="1515">
        <f t="shared" si="323"/>
        <v>0</v>
      </c>
      <c r="AA537" s="1517">
        <f t="shared" si="324"/>
        <v>0</v>
      </c>
      <c r="AB537" s="1517">
        <f t="shared" si="325"/>
        <v>0</v>
      </c>
      <c r="AC537" s="1515">
        <f t="shared" si="325"/>
        <v>0</v>
      </c>
      <c r="AD537" s="1515">
        <f t="shared" si="325"/>
        <v>-17.495000000000001</v>
      </c>
      <c r="AE537" s="1517">
        <f t="shared" si="326"/>
        <v>0</v>
      </c>
      <c r="AF537" s="1517">
        <f t="shared" si="327"/>
        <v>0</v>
      </c>
      <c r="AG537" s="1515">
        <f t="shared" si="327"/>
        <v>0</v>
      </c>
      <c r="AH537" s="1515">
        <f t="shared" si="327"/>
        <v>0</v>
      </c>
      <c r="AI537" s="1517">
        <f t="shared" si="328"/>
        <v>0</v>
      </c>
      <c r="AJ537" s="1732">
        <f t="shared" si="329"/>
        <v>0</v>
      </c>
      <c r="AK537" s="1515"/>
      <c r="AL537" s="1515"/>
      <c r="AM537" s="1515"/>
      <c r="AN537" s="1515"/>
      <c r="AO537" s="1515"/>
      <c r="AP537" s="1515"/>
      <c r="AQ537" s="1515"/>
      <c r="AR537" s="1595"/>
      <c r="AS537" s="1595"/>
      <c r="AT537" s="1595"/>
      <c r="AU537" s="1595"/>
      <c r="AV537" s="1595"/>
      <c r="AW537" s="1595"/>
      <c r="AX537" s="1595"/>
      <c r="AY537" s="1595"/>
      <c r="AZ537" s="1595"/>
      <c r="BA537" s="1595"/>
      <c r="BB537" s="1733">
        <f t="shared" si="331"/>
        <v>0</v>
      </c>
      <c r="BC537" s="1733">
        <f t="shared" si="331"/>
        <v>-83.8</v>
      </c>
      <c r="BD537" s="1733">
        <f t="shared" si="331"/>
        <v>0</v>
      </c>
      <c r="BE537" s="1733">
        <f t="shared" si="331"/>
        <v>-17.495000000000001</v>
      </c>
      <c r="BF537" s="1734">
        <f t="shared" si="331"/>
        <v>0</v>
      </c>
      <c r="BG537" s="1595">
        <f t="shared" si="332"/>
        <v>0</v>
      </c>
      <c r="BH537" s="1595">
        <f t="shared" si="333"/>
        <v>0</v>
      </c>
      <c r="BI537" s="1595"/>
      <c r="BJ537" s="1595"/>
      <c r="BK537" s="1595"/>
      <c r="BL537" s="1517"/>
    </row>
    <row r="538" spans="1:64" s="1518" customFormat="1" x14ac:dyDescent="0.35">
      <c r="A538" s="1591" t="str">
        <f t="shared" si="319"/>
        <v>Borrowings on revolving credit facility</v>
      </c>
      <c r="B538" s="1716"/>
      <c r="C538" s="1515"/>
      <c r="D538" s="1515"/>
      <c r="E538" s="1515"/>
      <c r="F538" s="1515"/>
      <c r="G538" s="1515"/>
      <c r="H538" s="1515"/>
      <c r="I538" s="1515"/>
      <c r="J538" s="1515"/>
      <c r="K538" s="1515"/>
      <c r="L538" s="1515"/>
      <c r="M538" s="1515"/>
      <c r="N538" s="1515"/>
      <c r="O538" s="1515"/>
      <c r="P538" s="1515"/>
      <c r="Q538" s="1515"/>
      <c r="R538" s="1515"/>
      <c r="S538" s="1517">
        <f t="shared" si="320"/>
        <v>0</v>
      </c>
      <c r="T538" s="1517">
        <f t="shared" si="321"/>
        <v>83.8</v>
      </c>
      <c r="U538" s="1515">
        <f t="shared" si="321"/>
        <v>0</v>
      </c>
      <c r="V538" s="1515">
        <f t="shared" si="321"/>
        <v>0</v>
      </c>
      <c r="W538" s="1517">
        <f t="shared" si="322"/>
        <v>0</v>
      </c>
      <c r="X538" s="1517">
        <f t="shared" si="323"/>
        <v>0</v>
      </c>
      <c r="Y538" s="1515">
        <f t="shared" si="323"/>
        <v>0</v>
      </c>
      <c r="Z538" s="1515">
        <f t="shared" si="323"/>
        <v>0</v>
      </c>
      <c r="AA538" s="1517">
        <f t="shared" si="324"/>
        <v>0</v>
      </c>
      <c r="AB538" s="1517">
        <f t="shared" si="325"/>
        <v>0</v>
      </c>
      <c r="AC538" s="1515">
        <f t="shared" si="325"/>
        <v>0</v>
      </c>
      <c r="AD538" s="1515">
        <f t="shared" si="325"/>
        <v>222.989</v>
      </c>
      <c r="AE538" s="1517">
        <f t="shared" si="326"/>
        <v>0</v>
      </c>
      <c r="AF538" s="1517">
        <f t="shared" si="327"/>
        <v>0</v>
      </c>
      <c r="AG538" s="1515">
        <f t="shared" si="327"/>
        <v>0</v>
      </c>
      <c r="AH538" s="1515">
        <f t="shared" si="327"/>
        <v>0</v>
      </c>
      <c r="AI538" s="1517">
        <f t="shared" si="328"/>
        <v>65</v>
      </c>
      <c r="AJ538" s="1732">
        <f t="shared" si="329"/>
        <v>0</v>
      </c>
      <c r="AK538" s="1515"/>
      <c r="AL538" s="1515"/>
      <c r="AM538" s="1515"/>
      <c r="AN538" s="1515"/>
      <c r="AO538" s="1515"/>
      <c r="AP538" s="1515"/>
      <c r="AQ538" s="1515"/>
      <c r="AR538" s="1595"/>
      <c r="AS538" s="1595"/>
      <c r="AT538" s="1595"/>
      <c r="AU538" s="1595"/>
      <c r="AV538" s="1595"/>
      <c r="AW538" s="1595"/>
      <c r="AX538" s="1595"/>
      <c r="AY538" s="1595"/>
      <c r="AZ538" s="1595"/>
      <c r="BA538" s="1595"/>
      <c r="BB538" s="1733">
        <f t="shared" si="331"/>
        <v>0</v>
      </c>
      <c r="BC538" s="1733">
        <f t="shared" si="331"/>
        <v>83.8</v>
      </c>
      <c r="BD538" s="1733">
        <f t="shared" si="331"/>
        <v>0</v>
      </c>
      <c r="BE538" s="1733">
        <f t="shared" si="331"/>
        <v>222.989</v>
      </c>
      <c r="BF538" s="1734">
        <f t="shared" si="331"/>
        <v>0</v>
      </c>
      <c r="BG538" s="1595">
        <f t="shared" si="332"/>
        <v>65</v>
      </c>
      <c r="BH538" s="1595">
        <f t="shared" si="333"/>
        <v>0</v>
      </c>
      <c r="BI538" s="1595"/>
      <c r="BJ538" s="1595"/>
      <c r="BK538" s="1595"/>
      <c r="BL538" s="1517"/>
    </row>
    <row r="539" spans="1:64" s="1518" customFormat="1" x14ac:dyDescent="0.35">
      <c r="A539" s="1591" t="str">
        <f t="shared" si="319"/>
        <v>Payments of debt issuance costs</v>
      </c>
      <c r="B539" s="1716"/>
      <c r="C539" s="1515"/>
      <c r="D539" s="1515"/>
      <c r="E539" s="1515"/>
      <c r="F539" s="1515"/>
      <c r="G539" s="1515"/>
      <c r="H539" s="1515"/>
      <c r="I539" s="1515"/>
      <c r="J539" s="1515"/>
      <c r="K539" s="1515"/>
      <c r="L539" s="1515"/>
      <c r="M539" s="1515"/>
      <c r="N539" s="1515"/>
      <c r="O539" s="1515"/>
      <c r="P539" s="1515"/>
      <c r="Q539" s="1515"/>
      <c r="R539" s="1515"/>
      <c r="S539" s="1517">
        <f t="shared" si="320"/>
        <v>0</v>
      </c>
      <c r="T539" s="1517">
        <f t="shared" si="321"/>
        <v>0</v>
      </c>
      <c r="U539" s="1515">
        <f t="shared" si="321"/>
        <v>0</v>
      </c>
      <c r="V539" s="1515">
        <f t="shared" si="321"/>
        <v>0</v>
      </c>
      <c r="W539" s="1517">
        <f t="shared" si="322"/>
        <v>0</v>
      </c>
      <c r="X539" s="1517">
        <f t="shared" si="323"/>
        <v>0</v>
      </c>
      <c r="Y539" s="1515">
        <f t="shared" si="323"/>
        <v>0</v>
      </c>
      <c r="Z539" s="1515">
        <f t="shared" si="323"/>
        <v>0</v>
      </c>
      <c r="AA539" s="1517">
        <f t="shared" si="324"/>
        <v>0</v>
      </c>
      <c r="AB539" s="1517">
        <f t="shared" si="325"/>
        <v>0</v>
      </c>
      <c r="AC539" s="1515">
        <f t="shared" si="325"/>
        <v>0</v>
      </c>
      <c r="AD539" s="1515">
        <f t="shared" si="325"/>
        <v>-9.093</v>
      </c>
      <c r="AE539" s="1517">
        <f t="shared" si="326"/>
        <v>0</v>
      </c>
      <c r="AF539" s="1517">
        <f t="shared" si="327"/>
        <v>0</v>
      </c>
      <c r="AG539" s="1515">
        <f t="shared" si="327"/>
        <v>0</v>
      </c>
      <c r="AH539" s="1515">
        <f t="shared" si="327"/>
        <v>0</v>
      </c>
      <c r="AI539" s="1517">
        <f t="shared" si="328"/>
        <v>0</v>
      </c>
      <c r="AJ539" s="1732">
        <f t="shared" si="329"/>
        <v>0</v>
      </c>
      <c r="AK539" s="1515"/>
      <c r="AL539" s="1515"/>
      <c r="AM539" s="1515"/>
      <c r="AN539" s="1515"/>
      <c r="AO539" s="1515"/>
      <c r="AP539" s="1515"/>
      <c r="AQ539" s="1515"/>
      <c r="AR539" s="1595"/>
      <c r="AS539" s="1595"/>
      <c r="AT539" s="1595"/>
      <c r="AU539" s="1595"/>
      <c r="AV539" s="1595"/>
      <c r="AW539" s="1595"/>
      <c r="AX539" s="1595"/>
      <c r="AY539" s="1595"/>
      <c r="AZ539" s="1595"/>
      <c r="BA539" s="1595"/>
      <c r="BB539" s="1733">
        <f t="shared" si="331"/>
        <v>0</v>
      </c>
      <c r="BC539" s="1733">
        <f t="shared" si="331"/>
        <v>0</v>
      </c>
      <c r="BD539" s="1733">
        <f t="shared" si="331"/>
        <v>0</v>
      </c>
      <c r="BE539" s="1733">
        <f t="shared" si="331"/>
        <v>-9.093</v>
      </c>
      <c r="BF539" s="1734">
        <f t="shared" si="331"/>
        <v>0</v>
      </c>
      <c r="BG539" s="1595">
        <f t="shared" si="332"/>
        <v>0</v>
      </c>
      <c r="BH539" s="1595">
        <f t="shared" si="333"/>
        <v>0</v>
      </c>
      <c r="BI539" s="1595"/>
      <c r="BJ539" s="1595"/>
      <c r="BK539" s="1595"/>
      <c r="BL539" s="1517"/>
    </row>
    <row r="540" spans="1:64" s="1518" customFormat="1" x14ac:dyDescent="0.35">
      <c r="A540" s="1591" t="str">
        <f t="shared" si="319"/>
        <v>Cash paid for tax withholding on RSA vestings</v>
      </c>
      <c r="B540" s="1716"/>
      <c r="C540" s="1515"/>
      <c r="D540" s="1515"/>
      <c r="E540" s="1515"/>
      <c r="F540" s="1515"/>
      <c r="G540" s="1515"/>
      <c r="H540" s="1515"/>
      <c r="I540" s="1515"/>
      <c r="J540" s="1515"/>
      <c r="K540" s="1515"/>
      <c r="L540" s="1515"/>
      <c r="M540" s="1515"/>
      <c r="N540" s="1515"/>
      <c r="O540" s="1515"/>
      <c r="P540" s="1515"/>
      <c r="Q540" s="1515"/>
      <c r="R540" s="1515"/>
      <c r="S540" s="1517">
        <f t="shared" si="320"/>
        <v>0</v>
      </c>
      <c r="T540" s="1517">
        <f t="shared" si="321"/>
        <v>0</v>
      </c>
      <c r="U540" s="1515">
        <f t="shared" si="321"/>
        <v>0</v>
      </c>
      <c r="V540" s="1515">
        <f t="shared" si="321"/>
        <v>0</v>
      </c>
      <c r="W540" s="1517">
        <f t="shared" si="322"/>
        <v>0</v>
      </c>
      <c r="X540" s="1517">
        <f t="shared" si="323"/>
        <v>0</v>
      </c>
      <c r="Y540" s="1515">
        <f t="shared" si="323"/>
        <v>0</v>
      </c>
      <c r="Z540" s="1515">
        <f t="shared" si="323"/>
        <v>0</v>
      </c>
      <c r="AA540" s="1517">
        <f t="shared" si="324"/>
        <v>0</v>
      </c>
      <c r="AB540" s="1517">
        <f t="shared" si="325"/>
        <v>0</v>
      </c>
      <c r="AC540" s="1515">
        <f t="shared" si="325"/>
        <v>0</v>
      </c>
      <c r="AD540" s="1515">
        <f t="shared" si="325"/>
        <v>0</v>
      </c>
      <c r="AE540" s="1517">
        <f t="shared" si="326"/>
        <v>-0.48699999999999999</v>
      </c>
      <c r="AF540" s="1517">
        <f t="shared" si="327"/>
        <v>-8.4999999999999964E-2</v>
      </c>
      <c r="AG540" s="1515">
        <f t="shared" si="327"/>
        <v>-3.0249999999999999</v>
      </c>
      <c r="AH540" s="1515">
        <f t="shared" si="327"/>
        <v>-2.1</v>
      </c>
      <c r="AI540" s="1517">
        <f t="shared" si="328"/>
        <v>-3.903</v>
      </c>
      <c r="AJ540" s="1732">
        <f t="shared" si="329"/>
        <v>-0.27600000000000025</v>
      </c>
      <c r="AK540" s="1515"/>
      <c r="AL540" s="1515"/>
      <c r="AM540" s="1515"/>
      <c r="AN540" s="1515"/>
      <c r="AO540" s="1515"/>
      <c r="AP540" s="1515"/>
      <c r="AQ540" s="1515"/>
      <c r="AR540" s="1595"/>
      <c r="AS540" s="1595"/>
      <c r="AT540" s="1595"/>
      <c r="AU540" s="1595"/>
      <c r="AV540" s="1595"/>
      <c r="AW540" s="1595"/>
      <c r="AX540" s="1595"/>
      <c r="AY540" s="1595"/>
      <c r="AZ540" s="1595"/>
      <c r="BA540" s="1595"/>
      <c r="BB540" s="1733">
        <f t="shared" si="331"/>
        <v>0</v>
      </c>
      <c r="BC540" s="1733">
        <f t="shared" si="331"/>
        <v>0</v>
      </c>
      <c r="BD540" s="1733">
        <f t="shared" si="331"/>
        <v>0</v>
      </c>
      <c r="BE540" s="1733">
        <f t="shared" si="331"/>
        <v>0</v>
      </c>
      <c r="BF540" s="1734">
        <f t="shared" si="331"/>
        <v>-5.6970000000000001</v>
      </c>
      <c r="BG540" s="1595">
        <f t="shared" si="332"/>
        <v>-4.1790000000000003</v>
      </c>
      <c r="BH540" s="1595">
        <f t="shared" si="333"/>
        <v>0</v>
      </c>
      <c r="BI540" s="1595"/>
      <c r="BJ540" s="1595"/>
      <c r="BK540" s="1595"/>
      <c r="BL540" s="1517"/>
    </row>
    <row r="541" spans="1:64" s="1518" customFormat="1" x14ac:dyDescent="0.35">
      <c r="A541" s="1591" t="str">
        <f t="shared" si="319"/>
        <v>Payment of contingent consideration for acquisition</v>
      </c>
      <c r="B541" s="1716"/>
      <c r="C541" s="1515"/>
      <c r="D541" s="1515"/>
      <c r="E541" s="1515"/>
      <c r="F541" s="1515"/>
      <c r="G541" s="1515"/>
      <c r="H541" s="1515"/>
      <c r="I541" s="1515"/>
      <c r="J541" s="1515"/>
      <c r="K541" s="1515"/>
      <c r="L541" s="1515"/>
      <c r="M541" s="1515"/>
      <c r="N541" s="1515"/>
      <c r="O541" s="1515"/>
      <c r="P541" s="1515"/>
      <c r="Q541" s="1515"/>
      <c r="R541" s="1515"/>
      <c r="S541" s="1517">
        <f t="shared" si="320"/>
        <v>0</v>
      </c>
      <c r="T541" s="1517">
        <f t="shared" si="321"/>
        <v>0</v>
      </c>
      <c r="U541" s="1515">
        <f t="shared" si="321"/>
        <v>0</v>
      </c>
      <c r="V541" s="1515">
        <f t="shared" si="321"/>
        <v>0</v>
      </c>
      <c r="W541" s="1517">
        <f t="shared" si="322"/>
        <v>-0.73799999999999999</v>
      </c>
      <c r="X541" s="1517">
        <f t="shared" si="323"/>
        <v>0</v>
      </c>
      <c r="Y541" s="1515">
        <f t="shared" si="323"/>
        <v>0</v>
      </c>
      <c r="Z541" s="1515">
        <f t="shared" si="323"/>
        <v>0</v>
      </c>
      <c r="AA541" s="1517">
        <f t="shared" si="324"/>
        <v>0</v>
      </c>
      <c r="AB541" s="1517">
        <f t="shared" si="325"/>
        <v>-0.215</v>
      </c>
      <c r="AC541" s="1515">
        <f t="shared" si="325"/>
        <v>-1.100000000000001E-2</v>
      </c>
      <c r="AD541" s="1515">
        <f t="shared" si="325"/>
        <v>0</v>
      </c>
      <c r="AE541" s="1517">
        <f t="shared" si="326"/>
        <v>-0.30499999999999999</v>
      </c>
      <c r="AF541" s="1517">
        <f t="shared" si="327"/>
        <v>0</v>
      </c>
      <c r="AG541" s="1515">
        <f t="shared" si="327"/>
        <v>0</v>
      </c>
      <c r="AH541" s="1515">
        <f t="shared" si="327"/>
        <v>0</v>
      </c>
      <c r="AI541" s="1517">
        <f t="shared" si="328"/>
        <v>0</v>
      </c>
      <c r="AJ541" s="1732">
        <f t="shared" si="329"/>
        <v>0</v>
      </c>
      <c r="AK541" s="1515"/>
      <c r="AL541" s="1515"/>
      <c r="AM541" s="1515"/>
      <c r="AN541" s="1515"/>
      <c r="AO541" s="1515"/>
      <c r="AP541" s="1515"/>
      <c r="AQ541" s="1515"/>
      <c r="AR541" s="1595"/>
      <c r="AS541" s="1595"/>
      <c r="AT541" s="1595"/>
      <c r="AU541" s="1595"/>
      <c r="AV541" s="1595"/>
      <c r="AW541" s="1595"/>
      <c r="AX541" s="1595"/>
      <c r="AY541" s="1595"/>
      <c r="AZ541" s="1595"/>
      <c r="BA541" s="1595"/>
      <c r="BB541" s="1733">
        <f t="shared" si="331"/>
        <v>-1.53</v>
      </c>
      <c r="BC541" s="1733">
        <f t="shared" si="331"/>
        <v>0</v>
      </c>
      <c r="BD541" s="1733">
        <f t="shared" si="331"/>
        <v>-0.73799999999999999</v>
      </c>
      <c r="BE541" s="1733">
        <f t="shared" si="331"/>
        <v>-0.22600000000000001</v>
      </c>
      <c r="BF541" s="1734">
        <f t="shared" si="331"/>
        <v>-0.30499999999999999</v>
      </c>
      <c r="BG541" s="1595">
        <f t="shared" si="332"/>
        <v>0</v>
      </c>
      <c r="BH541" s="1595">
        <f t="shared" si="333"/>
        <v>0</v>
      </c>
      <c r="BI541" s="1595"/>
      <c r="BJ541" s="1595"/>
      <c r="BK541" s="1595"/>
      <c r="BL541" s="1517"/>
    </row>
    <row r="542" spans="1:64" s="1518" customFormat="1" x14ac:dyDescent="0.35">
      <c r="A542" s="1591" t="str">
        <f t="shared" si="319"/>
        <v>Payments on equipment capital lease obligations</v>
      </c>
      <c r="B542" s="1716"/>
      <c r="C542" s="1515"/>
      <c r="D542" s="1515"/>
      <c r="E542" s="1515"/>
      <c r="F542" s="1515"/>
      <c r="G542" s="1515"/>
      <c r="H542" s="1515"/>
      <c r="I542" s="1515"/>
      <c r="J542" s="1515"/>
      <c r="K542" s="1515"/>
      <c r="L542" s="1515"/>
      <c r="M542" s="1515"/>
      <c r="N542" s="1515"/>
      <c r="O542" s="1515"/>
      <c r="P542" s="1515"/>
      <c r="Q542" s="1515"/>
      <c r="R542" s="1515"/>
      <c r="S542" s="1517">
        <f t="shared" si="320"/>
        <v>0</v>
      </c>
      <c r="T542" s="1517">
        <f t="shared" si="321"/>
        <v>-2E-3</v>
      </c>
      <c r="U542" s="1515">
        <f t="shared" si="321"/>
        <v>-3.0000000000000001E-3</v>
      </c>
      <c r="V542" s="1515">
        <f t="shared" si="321"/>
        <v>-2E-3</v>
      </c>
      <c r="W542" s="1517">
        <f t="shared" si="322"/>
        <v>-1E-3</v>
      </c>
      <c r="X542" s="1517">
        <f t="shared" si="323"/>
        <v>-6.0000000000000001E-3</v>
      </c>
      <c r="Y542" s="1515">
        <f t="shared" si="323"/>
        <v>-1E-3</v>
      </c>
      <c r="Z542" s="1515">
        <f t="shared" si="323"/>
        <v>-9.9999999999999915E-4</v>
      </c>
      <c r="AA542" s="1517">
        <f t="shared" si="324"/>
        <v>-1E-3</v>
      </c>
      <c r="AB542" s="1517">
        <f t="shared" si="325"/>
        <v>0</v>
      </c>
      <c r="AC542" s="1515">
        <f t="shared" si="325"/>
        <v>-2E-3</v>
      </c>
      <c r="AD542" s="1515">
        <f t="shared" si="325"/>
        <v>0</v>
      </c>
      <c r="AE542" s="1517">
        <f t="shared" si="326"/>
        <v>0</v>
      </c>
      <c r="AF542" s="1517">
        <f t="shared" si="327"/>
        <v>0</v>
      </c>
      <c r="AG542" s="1515">
        <f t="shared" si="327"/>
        <v>0</v>
      </c>
      <c r="AH542" s="1515">
        <f t="shared" si="327"/>
        <v>0</v>
      </c>
      <c r="AI542" s="1517">
        <f t="shared" si="328"/>
        <v>0</v>
      </c>
      <c r="AJ542" s="1732">
        <f t="shared" si="329"/>
        <v>0</v>
      </c>
      <c r="AK542" s="1515"/>
      <c r="AL542" s="1515"/>
      <c r="AM542" s="1515"/>
      <c r="AN542" s="1515"/>
      <c r="AO542" s="1515"/>
      <c r="AP542" s="1515"/>
      <c r="AQ542" s="1515"/>
      <c r="AR542" s="1595"/>
      <c r="AS542" s="1595"/>
      <c r="AT542" s="1595"/>
      <c r="AU542" s="1595"/>
      <c r="AV542" s="1595"/>
      <c r="AW542" s="1595"/>
      <c r="AX542" s="1595"/>
      <c r="AY542" s="1595"/>
      <c r="AZ542" s="1595"/>
      <c r="BA542" s="1595"/>
      <c r="BB542" s="1733">
        <f t="shared" si="331"/>
        <v>-1.2E-2</v>
      </c>
      <c r="BC542" s="1733">
        <f t="shared" si="331"/>
        <v>-7.0000000000000001E-3</v>
      </c>
      <c r="BD542" s="1733">
        <f t="shared" si="331"/>
        <v>-8.9999999999999993E-3</v>
      </c>
      <c r="BE542" s="1733">
        <f t="shared" si="331"/>
        <v>-3.0000000000000001E-3</v>
      </c>
      <c r="BF542" s="1734">
        <f t="shared" si="331"/>
        <v>0</v>
      </c>
      <c r="BG542" s="1595">
        <f t="shared" si="332"/>
        <v>0</v>
      </c>
      <c r="BH542" s="1595">
        <f t="shared" si="333"/>
        <v>0</v>
      </c>
      <c r="BI542" s="1595"/>
      <c r="BJ542" s="1595"/>
      <c r="BK542" s="1595"/>
      <c r="BL542" s="1517"/>
    </row>
    <row r="543" spans="1:64" s="1518" customFormat="1" x14ac:dyDescent="0.35">
      <c r="A543" s="1591" t="str">
        <f t="shared" si="319"/>
        <v>Dividends paid</v>
      </c>
      <c r="B543" s="1716"/>
      <c r="C543" s="1515"/>
      <c r="D543" s="1515"/>
      <c r="E543" s="1515"/>
      <c r="F543" s="1515"/>
      <c r="G543" s="1515"/>
      <c r="H543" s="1515"/>
      <c r="I543" s="1515"/>
      <c r="J543" s="1515"/>
      <c r="K543" s="1515"/>
      <c r="L543" s="1515"/>
      <c r="M543" s="1515"/>
      <c r="N543" s="1515"/>
      <c r="O543" s="1515"/>
      <c r="P543" s="1515"/>
      <c r="Q543" s="1515"/>
      <c r="R543" s="1515"/>
      <c r="S543" s="1517">
        <f t="shared" si="320"/>
        <v>0</v>
      </c>
      <c r="T543" s="1517">
        <f t="shared" ref="T543:V543" si="335">T476-S476</f>
        <v>0</v>
      </c>
      <c r="U543" s="1515">
        <f t="shared" si="335"/>
        <v>0</v>
      </c>
      <c r="V543" s="1515">
        <f t="shared" si="335"/>
        <v>0</v>
      </c>
      <c r="W543" s="1517">
        <f t="shared" si="322"/>
        <v>0</v>
      </c>
      <c r="X543" s="1517">
        <f t="shared" ref="X543:Z543" si="336">X476-W476</f>
        <v>0</v>
      </c>
      <c r="Y543" s="1515">
        <f t="shared" si="336"/>
        <v>0</v>
      </c>
      <c r="Z543" s="1515">
        <f t="shared" si="336"/>
        <v>0</v>
      </c>
      <c r="AA543" s="1517">
        <f t="shared" si="324"/>
        <v>0</v>
      </c>
      <c r="AB543" s="1517">
        <f t="shared" ref="AB543:AD543" si="337">AB476-AA476</f>
        <v>0</v>
      </c>
      <c r="AC543" s="1515">
        <f t="shared" si="337"/>
        <v>0</v>
      </c>
      <c r="AD543" s="1515">
        <f t="shared" si="337"/>
        <v>0</v>
      </c>
      <c r="AE543" s="1517">
        <f t="shared" si="326"/>
        <v>0</v>
      </c>
      <c r="AF543" s="1517">
        <f t="shared" ref="AF543:AH543" si="338">AF476-AE476</f>
        <v>0</v>
      </c>
      <c r="AG543" s="1515">
        <f t="shared" si="338"/>
        <v>0</v>
      </c>
      <c r="AH543" s="1515">
        <f t="shared" si="338"/>
        <v>0</v>
      </c>
      <c r="AI543" s="1517">
        <f t="shared" si="328"/>
        <v>0</v>
      </c>
      <c r="AJ543" s="1732">
        <f t="shared" si="329"/>
        <v>0</v>
      </c>
      <c r="AK543" s="1515">
        <f t="shared" ref="AK543:AP543" ca="1" si="339">AK362</f>
        <v>0</v>
      </c>
      <c r="AL543" s="1515">
        <f t="shared" ca="1" si="339"/>
        <v>0</v>
      </c>
      <c r="AM543" s="1515">
        <f t="shared" ca="1" si="339"/>
        <v>0</v>
      </c>
      <c r="AN543" s="1515">
        <f t="shared" ca="1" si="339"/>
        <v>0</v>
      </c>
      <c r="AO543" s="1515">
        <f t="shared" ca="1" si="339"/>
        <v>0</v>
      </c>
      <c r="AP543" s="1515">
        <f t="shared" ca="1" si="339"/>
        <v>0</v>
      </c>
      <c r="AQ543" s="1515"/>
      <c r="AR543" s="1595"/>
      <c r="AS543" s="1595"/>
      <c r="AT543" s="1595"/>
      <c r="AU543" s="1595"/>
      <c r="AV543" s="1595"/>
      <c r="AW543" s="1595"/>
      <c r="AX543" s="1595"/>
      <c r="AY543" s="1595"/>
      <c r="AZ543" s="1595"/>
      <c r="BA543" s="1595"/>
      <c r="BB543" s="1733">
        <f t="shared" ref="BB543:BF543" si="340">BB476</f>
        <v>0</v>
      </c>
      <c r="BC543" s="1733">
        <f t="shared" si="340"/>
        <v>0</v>
      </c>
      <c r="BD543" s="1733">
        <f t="shared" si="340"/>
        <v>0</v>
      </c>
      <c r="BE543" s="1733">
        <f t="shared" si="340"/>
        <v>0</v>
      </c>
      <c r="BF543" s="1734">
        <f t="shared" si="340"/>
        <v>0</v>
      </c>
      <c r="BG543" s="1595">
        <f t="shared" ca="1" si="332"/>
        <v>0</v>
      </c>
      <c r="BH543" s="1595">
        <f t="shared" ca="1" si="333"/>
        <v>0</v>
      </c>
      <c r="BI543" s="1595">
        <f ca="1">BI362</f>
        <v>0</v>
      </c>
      <c r="BJ543" s="1595">
        <f ca="1">BJ362</f>
        <v>0</v>
      </c>
      <c r="BK543" s="1595">
        <f ca="1">BK362</f>
        <v>0</v>
      </c>
      <c r="BL543" s="1517"/>
    </row>
    <row r="544" spans="1:64" s="1608" customFormat="1" x14ac:dyDescent="0.35">
      <c r="A544" s="1599" t="str">
        <f t="shared" si="319"/>
        <v>Net CFF</v>
      </c>
      <c r="B544" s="1717"/>
      <c r="C544" s="1601"/>
      <c r="D544" s="1601"/>
      <c r="E544" s="1601"/>
      <c r="F544" s="1601"/>
      <c r="G544" s="1601"/>
      <c r="H544" s="1601"/>
      <c r="I544" s="1601"/>
      <c r="J544" s="1601"/>
      <c r="K544" s="1601"/>
      <c r="L544" s="1601"/>
      <c r="M544" s="1601"/>
      <c r="N544" s="1601"/>
      <c r="O544" s="1601"/>
      <c r="P544" s="1601"/>
      <c r="Q544" s="1601"/>
      <c r="R544" s="1601"/>
      <c r="S544" s="1602">
        <f t="shared" ref="S544:AP544" si="341">SUM(S527:S543)</f>
        <v>0</v>
      </c>
      <c r="T544" s="1602">
        <f t="shared" si="341"/>
        <v>-2.0320000000000009</v>
      </c>
      <c r="U544" s="1601">
        <f t="shared" si="341"/>
        <v>-1.619</v>
      </c>
      <c r="V544" s="1601">
        <f t="shared" si="341"/>
        <v>0.43299999999999961</v>
      </c>
      <c r="W544" s="1602">
        <f t="shared" si="341"/>
        <v>-0.12700000000000011</v>
      </c>
      <c r="X544" s="1602">
        <f t="shared" si="341"/>
        <v>-8.1069999999999993</v>
      </c>
      <c r="Y544" s="1601">
        <f t="shared" si="341"/>
        <v>110.53400000000001</v>
      </c>
      <c r="Z544" s="1601">
        <f t="shared" si="341"/>
        <v>-103.387</v>
      </c>
      <c r="AA544" s="1602">
        <f t="shared" si="341"/>
        <v>-1.7709999999999999</v>
      </c>
      <c r="AB544" s="1602">
        <f t="shared" si="341"/>
        <v>-1.087</v>
      </c>
      <c r="AC544" s="1601">
        <f t="shared" si="341"/>
        <v>-0.15100000000000036</v>
      </c>
      <c r="AD544" s="1601">
        <f t="shared" si="341"/>
        <v>-22.930000000000017</v>
      </c>
      <c r="AE544" s="1602">
        <f t="shared" si="341"/>
        <v>-10.378</v>
      </c>
      <c r="AF544" s="1602">
        <f t="shared" si="341"/>
        <v>-18.98</v>
      </c>
      <c r="AG544" s="1601">
        <f t="shared" si="341"/>
        <v>-24.213999999999999</v>
      </c>
      <c r="AH544" s="1601">
        <f t="shared" si="341"/>
        <v>-22.331000000000003</v>
      </c>
      <c r="AI544" s="1602">
        <f t="shared" si="341"/>
        <v>85.666999999999987</v>
      </c>
      <c r="AJ544" s="1603">
        <f t="shared" si="341"/>
        <v>-3.6039999999999979</v>
      </c>
      <c r="AK544" s="1601">
        <f t="shared" ca="1" si="341"/>
        <v>0</v>
      </c>
      <c r="AL544" s="1601">
        <f t="shared" ca="1" si="341"/>
        <v>0</v>
      </c>
      <c r="AM544" s="1601">
        <f t="shared" ca="1" si="341"/>
        <v>0</v>
      </c>
      <c r="AN544" s="1601">
        <f t="shared" ca="1" si="341"/>
        <v>0</v>
      </c>
      <c r="AO544" s="1601">
        <f t="shared" ca="1" si="341"/>
        <v>0</v>
      </c>
      <c r="AP544" s="1601">
        <f t="shared" ca="1" si="341"/>
        <v>0</v>
      </c>
      <c r="AQ544" s="1601"/>
      <c r="AR544" s="1604"/>
      <c r="AS544" s="1604"/>
      <c r="AT544" s="1604"/>
      <c r="AU544" s="1604"/>
      <c r="AV544" s="1604"/>
      <c r="AW544" s="1604"/>
      <c r="AX544" s="1604"/>
      <c r="AY544" s="1604"/>
      <c r="AZ544" s="1604"/>
      <c r="BA544" s="1604"/>
      <c r="BB544" s="1605">
        <f t="shared" ref="BB544:BK544" si="342">SUM(BB527:BB543)</f>
        <v>-7.8730000000000002</v>
      </c>
      <c r="BC544" s="1605">
        <f t="shared" si="342"/>
        <v>-3.2179999999999986</v>
      </c>
      <c r="BD544" s="1605">
        <f t="shared" si="342"/>
        <v>-1.0869999999999891</v>
      </c>
      <c r="BE544" s="1605">
        <f t="shared" si="342"/>
        <v>-25.938999999999989</v>
      </c>
      <c r="BF544" s="1718">
        <f t="shared" si="342"/>
        <v>-75.90300000000002</v>
      </c>
      <c r="BG544" s="1604">
        <f t="shared" ca="1" si="342"/>
        <v>82.062999999999988</v>
      </c>
      <c r="BH544" s="1604">
        <f t="shared" ca="1" si="342"/>
        <v>0</v>
      </c>
      <c r="BI544" s="1604">
        <f t="shared" ca="1" si="342"/>
        <v>0</v>
      </c>
      <c r="BJ544" s="1604">
        <f t="shared" ca="1" si="342"/>
        <v>0</v>
      </c>
      <c r="BK544" s="1604">
        <f t="shared" ca="1" si="342"/>
        <v>0</v>
      </c>
      <c r="BL544" s="1607"/>
    </row>
    <row r="545" spans="1:64" s="1608" customFormat="1" x14ac:dyDescent="0.35">
      <c r="A545" s="1665"/>
      <c r="B545" s="1712"/>
      <c r="C545" s="1667"/>
      <c r="D545" s="1667"/>
      <c r="E545" s="1667"/>
      <c r="F545" s="1667"/>
      <c r="G545" s="1667"/>
      <c r="H545" s="1667"/>
      <c r="I545" s="1667"/>
      <c r="J545" s="1667"/>
      <c r="K545" s="1667"/>
      <c r="L545" s="1667"/>
      <c r="M545" s="1667"/>
      <c r="N545" s="1667"/>
      <c r="O545" s="1667"/>
      <c r="P545" s="1667"/>
      <c r="Q545" s="1667"/>
      <c r="R545" s="1667"/>
      <c r="S545" s="1667"/>
      <c r="T545" s="1667"/>
      <c r="U545" s="1667"/>
      <c r="V545" s="1667"/>
      <c r="W545" s="1667"/>
      <c r="X545" s="1667"/>
      <c r="Y545" s="1667"/>
      <c r="Z545" s="1667"/>
      <c r="AA545" s="1667"/>
      <c r="AB545" s="1667"/>
      <c r="AC545" s="1667"/>
      <c r="AD545" s="1667"/>
      <c r="AE545" s="1667"/>
      <c r="AF545" s="1667"/>
      <c r="AG545" s="1667"/>
      <c r="AH545" s="1667"/>
      <c r="AI545" s="1667"/>
      <c r="AJ545" s="1668"/>
      <c r="AK545" s="1667"/>
      <c r="AL545" s="1667"/>
      <c r="AM545" s="1667"/>
      <c r="AN545" s="1667"/>
      <c r="AO545" s="1667"/>
      <c r="AP545" s="1667"/>
      <c r="AQ545" s="1667"/>
      <c r="AR545" s="1669"/>
      <c r="AS545" s="1669"/>
      <c r="AT545" s="1669"/>
      <c r="AU545" s="1669"/>
      <c r="AV545" s="1669"/>
      <c r="AW545" s="1669"/>
      <c r="AX545" s="1669"/>
      <c r="AY545" s="1669"/>
      <c r="AZ545" s="1669"/>
      <c r="BA545" s="1669"/>
      <c r="BB545" s="1669"/>
      <c r="BC545" s="1669"/>
      <c r="BD545" s="1669"/>
      <c r="BE545" s="1669"/>
      <c r="BF545" s="1612"/>
      <c r="BG545" s="1669"/>
      <c r="BH545" s="1669"/>
      <c r="BI545" s="1669"/>
      <c r="BJ545" s="1669"/>
      <c r="BK545" s="1669"/>
      <c r="BL545" s="1607"/>
    </row>
    <row r="546" spans="1:64" s="1608" customFormat="1" x14ac:dyDescent="0.35">
      <c r="A546" s="1711" t="str">
        <f>A479</f>
        <v>FX</v>
      </c>
      <c r="B546" s="1712"/>
      <c r="C546" s="1667"/>
      <c r="D546" s="1667"/>
      <c r="E546" s="1667"/>
      <c r="F546" s="1667"/>
      <c r="G546" s="1667"/>
      <c r="H546" s="1667"/>
      <c r="I546" s="1667"/>
      <c r="J546" s="1667"/>
      <c r="K546" s="1667"/>
      <c r="L546" s="1667"/>
      <c r="M546" s="1667"/>
      <c r="N546" s="1667"/>
      <c r="O546" s="1667"/>
      <c r="P546" s="1667"/>
      <c r="Q546" s="1667"/>
      <c r="R546" s="1667"/>
      <c r="S546" s="1607">
        <f>S479</f>
        <v>0</v>
      </c>
      <c r="T546" s="1607">
        <f>T479-S479</f>
        <v>-2.52</v>
      </c>
      <c r="U546" s="1667">
        <f>U479-T479</f>
        <v>0.32600000000000007</v>
      </c>
      <c r="V546" s="1667">
        <f>V479-U479</f>
        <v>1.827</v>
      </c>
      <c r="W546" s="1607">
        <f>W479</f>
        <v>0.151</v>
      </c>
      <c r="X546" s="1607">
        <f>X479-W479</f>
        <v>-0.254</v>
      </c>
      <c r="Y546" s="1667">
        <f>Y479-X479</f>
        <v>-0.76</v>
      </c>
      <c r="Z546" s="1667">
        <f>Z479-Y479</f>
        <v>8.5999999999999965E-2</v>
      </c>
      <c r="AA546" s="1607">
        <f>AA479</f>
        <v>-9.1999999999999998E-2</v>
      </c>
      <c r="AB546" s="1607">
        <f>AB479-AA479</f>
        <v>-1.643</v>
      </c>
      <c r="AC546" s="1667">
        <f>AC479-AB479</f>
        <v>-1.99</v>
      </c>
      <c r="AD546" s="1667">
        <f>AD479-AC479</f>
        <v>0.6339999999999999</v>
      </c>
      <c r="AE546" s="1607">
        <f>AE479</f>
        <v>0.02</v>
      </c>
      <c r="AF546" s="1607">
        <f>AF479-AE479</f>
        <v>-0.13999999999999999</v>
      </c>
      <c r="AG546" s="1667">
        <f>AG479-AF479</f>
        <v>-1.3719999999999999</v>
      </c>
      <c r="AH546" s="1667">
        <f>AH479-AG479</f>
        <v>1.113</v>
      </c>
      <c r="AI546" s="1607">
        <f>AI479</f>
        <v>-0.48699999999999999</v>
      </c>
      <c r="AJ546" s="1730">
        <f>AJ479-AI479</f>
        <v>-3.0000000000000027E-3</v>
      </c>
      <c r="AK546" s="1667"/>
      <c r="AL546" s="1667"/>
      <c r="AM546" s="1667"/>
      <c r="AN546" s="1667"/>
      <c r="AO546" s="1667"/>
      <c r="AP546" s="1667"/>
      <c r="AQ546" s="1667"/>
      <c r="AR546" s="1669"/>
      <c r="AS546" s="1669"/>
      <c r="AT546" s="1669"/>
      <c r="AU546" s="1669"/>
      <c r="AV546" s="1669"/>
      <c r="AW546" s="1669"/>
      <c r="AX546" s="1669"/>
      <c r="AY546" s="1669"/>
      <c r="AZ546" s="1669"/>
      <c r="BA546" s="1669"/>
      <c r="BB546" s="1731">
        <f>BB479</f>
        <v>0.42699999999999999</v>
      </c>
      <c r="BC546" s="1731">
        <f>BC479</f>
        <v>-0.36699999999999999</v>
      </c>
      <c r="BD546" s="1731">
        <f>BD479</f>
        <v>-0.77700000000000002</v>
      </c>
      <c r="BE546" s="1731">
        <f>BE479</f>
        <v>-3.0910000000000002</v>
      </c>
      <c r="BF546" s="1606">
        <f>BF479</f>
        <v>-0.379</v>
      </c>
      <c r="BG546" s="1669">
        <f>SUM(AI546,AJ546,AK546,AL546)</f>
        <v>-0.49</v>
      </c>
      <c r="BH546" s="1669">
        <f>SUM(AM546,AN546,AO546,AP546)</f>
        <v>0</v>
      </c>
      <c r="BI546" s="1669"/>
      <c r="BJ546" s="1669"/>
      <c r="BK546" s="1669"/>
      <c r="BL546" s="1607"/>
    </row>
    <row r="547" spans="1:64" s="1518" customFormat="1" x14ac:dyDescent="0.35">
      <c r="A547" s="1711" t="str">
        <f>A480</f>
        <v>Net Change in Cash Balance</v>
      </c>
      <c r="B547" s="1712"/>
      <c r="C547" s="1667"/>
      <c r="D547" s="1667"/>
      <c r="E547" s="1667"/>
      <c r="F547" s="1667"/>
      <c r="G547" s="1667"/>
      <c r="H547" s="1667"/>
      <c r="I547" s="1667"/>
      <c r="J547" s="1667"/>
      <c r="K547" s="1667"/>
      <c r="L547" s="1667"/>
      <c r="M547" s="1667"/>
      <c r="N547" s="1667"/>
      <c r="O547" s="1667"/>
      <c r="P547" s="1667"/>
      <c r="Q547" s="1667"/>
      <c r="R547" s="1667"/>
      <c r="S547" s="1607">
        <f t="shared" ref="S547:AP547" si="343">S544+S524+S516+S546</f>
        <v>0</v>
      </c>
      <c r="T547" s="1607">
        <f t="shared" si="343"/>
        <v>6.3640000000000079</v>
      </c>
      <c r="U547" s="1667">
        <f t="shared" si="343"/>
        <v>0.79500000000000037</v>
      </c>
      <c r="V547" s="1667">
        <f t="shared" si="343"/>
        <v>9.1749999999999901</v>
      </c>
      <c r="W547" s="1607">
        <f t="shared" si="343"/>
        <v>17.821999999999999</v>
      </c>
      <c r="X547" s="1607">
        <f t="shared" si="343"/>
        <v>9.8360000000000003</v>
      </c>
      <c r="Y547" s="1667">
        <f t="shared" si="343"/>
        <v>98.105999999999995</v>
      </c>
      <c r="Z547" s="1667">
        <f t="shared" si="343"/>
        <v>-144.39899999999997</v>
      </c>
      <c r="AA547" s="1607">
        <f t="shared" si="343"/>
        <v>-3.6509999999999967</v>
      </c>
      <c r="AB547" s="1607">
        <f t="shared" si="343"/>
        <v>21.464000000000006</v>
      </c>
      <c r="AC547" s="1667">
        <f t="shared" si="343"/>
        <v>33.378999999999969</v>
      </c>
      <c r="AD547" s="1667">
        <f t="shared" si="343"/>
        <v>3.90499999999999</v>
      </c>
      <c r="AE547" s="1607">
        <f t="shared" si="343"/>
        <v>-52.130999999999993</v>
      </c>
      <c r="AF547" s="1607">
        <f t="shared" si="343"/>
        <v>-2.1469999999999909</v>
      </c>
      <c r="AG547" s="1667">
        <f t="shared" si="343"/>
        <v>1.0599999999999881</v>
      </c>
      <c r="AH547" s="1667">
        <f t="shared" si="343"/>
        <v>4.3469999999999978</v>
      </c>
      <c r="AI547" s="1607">
        <f t="shared" si="343"/>
        <v>12.754999999999983</v>
      </c>
      <c r="AJ547" s="1730">
        <f t="shared" si="343"/>
        <v>7.2030000000000047</v>
      </c>
      <c r="AK547" s="1667">
        <f t="shared" ca="1" si="343"/>
        <v>29.078149436363773</v>
      </c>
      <c r="AL547" s="1667">
        <f t="shared" ca="1" si="343"/>
        <v>51.974052579006177</v>
      </c>
      <c r="AM547" s="1667">
        <f t="shared" ca="1" si="343"/>
        <v>32.80271905598061</v>
      </c>
      <c r="AN547" s="1667">
        <f t="shared" ca="1" si="343"/>
        <v>35.033429242940819</v>
      </c>
      <c r="AO547" s="1667">
        <f t="shared" ca="1" si="343"/>
        <v>23.745748309190787</v>
      </c>
      <c r="AP547" s="1667">
        <f t="shared" ca="1" si="343"/>
        <v>44.591591945095089</v>
      </c>
      <c r="AQ547" s="1667"/>
      <c r="AR547" s="1669"/>
      <c r="AS547" s="1669"/>
      <c r="AT547" s="1669"/>
      <c r="AU547" s="1669"/>
      <c r="AV547" s="1669"/>
      <c r="AW547" s="1669"/>
      <c r="AX547" s="1669"/>
      <c r="AY547" s="1669"/>
      <c r="AZ547" s="1669"/>
      <c r="BA547" s="1669"/>
      <c r="BB547" s="1731">
        <f t="shared" ref="BB547:BK547" si="344">BB544+BB524+BB516+BB546</f>
        <v>-5.11099999999999</v>
      </c>
      <c r="BC547" s="1731">
        <f t="shared" si="344"/>
        <v>16.333999999999993</v>
      </c>
      <c r="BD547" s="1731">
        <f t="shared" si="344"/>
        <v>-18.634999999999977</v>
      </c>
      <c r="BE547" s="1731">
        <f t="shared" si="344"/>
        <v>55.097000000000016</v>
      </c>
      <c r="BF547" s="1606">
        <f t="shared" si="344"/>
        <v>-48.870999999999988</v>
      </c>
      <c r="BG547" s="1669">
        <f t="shared" ca="1" si="344"/>
        <v>101.01020201536997</v>
      </c>
      <c r="BH547" s="1669">
        <f t="shared" ca="1" si="344"/>
        <v>136.17348855320733</v>
      </c>
      <c r="BI547" s="1669">
        <f t="shared" ca="1" si="344"/>
        <v>183.85648845753417</v>
      </c>
      <c r="BJ547" s="1669">
        <f t="shared" ca="1" si="344"/>
        <v>182.87465628493194</v>
      </c>
      <c r="BK547" s="1669">
        <f t="shared" ca="1" si="344"/>
        <v>213.59021523247819</v>
      </c>
      <c r="BL547" s="1517"/>
    </row>
    <row r="548" spans="1:64" s="1608" customFormat="1" x14ac:dyDescent="0.35">
      <c r="A548" s="1665"/>
      <c r="B548" s="1712"/>
      <c r="C548" s="1667"/>
      <c r="D548" s="1667"/>
      <c r="E548" s="1667"/>
      <c r="F548" s="1667"/>
      <c r="G548" s="1667"/>
      <c r="H548" s="1667"/>
      <c r="I548" s="1667"/>
      <c r="J548" s="1667"/>
      <c r="K548" s="1667"/>
      <c r="L548" s="1667"/>
      <c r="M548" s="1667"/>
      <c r="N548" s="1667"/>
      <c r="O548" s="1667"/>
      <c r="P548" s="1667"/>
      <c r="Q548" s="1667"/>
      <c r="R548" s="1667"/>
      <c r="S548" s="1667"/>
      <c r="T548" s="1667"/>
      <c r="U548" s="1667"/>
      <c r="V548" s="1667"/>
      <c r="W548" s="1667"/>
      <c r="X548" s="1667"/>
      <c r="Y548" s="1667"/>
      <c r="Z548" s="1667"/>
      <c r="AA548" s="1667"/>
      <c r="AB548" s="1667"/>
      <c r="AC548" s="1667"/>
      <c r="AD548" s="1667"/>
      <c r="AE548" s="1667"/>
      <c r="AF548" s="1667"/>
      <c r="AG548" s="1667"/>
      <c r="AH548" s="1667"/>
      <c r="AI548" s="1667"/>
      <c r="AJ548" s="1668"/>
      <c r="AK548" s="1667"/>
      <c r="AL548" s="1667"/>
      <c r="AM548" s="1667"/>
      <c r="AN548" s="1667"/>
      <c r="AO548" s="1667"/>
      <c r="AP548" s="1667"/>
      <c r="AQ548" s="1667"/>
      <c r="AR548" s="1669"/>
      <c r="AS548" s="1669"/>
      <c r="AT548" s="1669"/>
      <c r="AU548" s="1669"/>
      <c r="AV548" s="1669"/>
      <c r="AW548" s="1669"/>
      <c r="AX548" s="1669"/>
      <c r="AY548" s="1669"/>
      <c r="AZ548" s="1669"/>
      <c r="BA548" s="1669"/>
      <c r="BB548" s="1669"/>
      <c r="BC548" s="1669"/>
      <c r="BD548" s="1669"/>
      <c r="BE548" s="1669"/>
      <c r="BF548" s="1612"/>
      <c r="BG548" s="1595"/>
      <c r="BH548" s="1595"/>
      <c r="BI548" s="1595"/>
      <c r="BJ548" s="1595"/>
      <c r="BK548" s="1595"/>
      <c r="BL548" s="1607"/>
    </row>
    <row r="549" spans="1:64" s="1608" customFormat="1" x14ac:dyDescent="0.35">
      <c r="A549" s="1711" t="str">
        <f>A482</f>
        <v>Beginning Cash Balance</v>
      </c>
      <c r="B549" s="1712"/>
      <c r="C549" s="1667"/>
      <c r="D549" s="1667"/>
      <c r="E549" s="1667"/>
      <c r="F549" s="1667"/>
      <c r="G549" s="1667"/>
      <c r="H549" s="1667"/>
      <c r="I549" s="1667"/>
      <c r="J549" s="1667"/>
      <c r="K549" s="1667"/>
      <c r="L549" s="1667"/>
      <c r="M549" s="1667"/>
      <c r="N549" s="1667"/>
      <c r="O549" s="1667"/>
      <c r="P549" s="1667"/>
      <c r="Q549" s="1667"/>
      <c r="R549" s="1667"/>
      <c r="S549" s="1667"/>
      <c r="T549" s="1607">
        <f>BB550</f>
        <v>50.299000000000007</v>
      </c>
      <c r="U549" s="1667">
        <f>T550</f>
        <v>56.663000000000011</v>
      </c>
      <c r="V549" s="1667">
        <f>U550</f>
        <v>57.458000000000013</v>
      </c>
      <c r="W549" s="1667">
        <f>BC550</f>
        <v>66.632999999999996</v>
      </c>
      <c r="X549" s="1607">
        <f>W550</f>
        <v>84.454999999999998</v>
      </c>
      <c r="Y549" s="1667">
        <f>X550</f>
        <v>94.290999999999997</v>
      </c>
      <c r="Z549" s="1667">
        <f>Y550</f>
        <v>192.39699999999999</v>
      </c>
      <c r="AA549" s="1667">
        <f>BD550</f>
        <v>47.998000000000019</v>
      </c>
      <c r="AB549" s="1607">
        <f>AA550</f>
        <v>44.347000000000023</v>
      </c>
      <c r="AC549" s="1667">
        <f>AB550</f>
        <v>65.811000000000035</v>
      </c>
      <c r="AD549" s="1667">
        <f>AC550</f>
        <v>99.19</v>
      </c>
      <c r="AE549" s="1667">
        <f>BE550</f>
        <v>103.09500000000003</v>
      </c>
      <c r="AF549" s="1607">
        <f>AE550</f>
        <v>50.964000000000034</v>
      </c>
      <c r="AG549" s="1667">
        <f>AF550</f>
        <v>48.817000000000043</v>
      </c>
      <c r="AH549" s="1667">
        <f>AG550</f>
        <v>49.877000000000031</v>
      </c>
      <c r="AI549" s="1667">
        <f>BF550</f>
        <v>54.224000000000039</v>
      </c>
      <c r="AJ549" s="1730">
        <f>AI550</f>
        <v>66.979000000000028</v>
      </c>
      <c r="AK549" s="1667">
        <f>AJ550</f>
        <v>74.182000000000031</v>
      </c>
      <c r="AL549" s="1667">
        <f ca="1">AK550</f>
        <v>103.2601494363638</v>
      </c>
      <c r="AM549" s="1667">
        <f ca="1">BG550</f>
        <v>155.23420201537002</v>
      </c>
      <c r="AN549" s="1667">
        <f ca="1">AM550</f>
        <v>188.03692107135063</v>
      </c>
      <c r="AO549" s="1667">
        <f ca="1">AN550</f>
        <v>223.07035031429146</v>
      </c>
      <c r="AP549" s="1667">
        <f ca="1">AO550</f>
        <v>246.81609862348225</v>
      </c>
      <c r="AQ549" s="1667"/>
      <c r="AR549" s="1669"/>
      <c r="AS549" s="1669"/>
      <c r="AT549" s="1669"/>
      <c r="AU549" s="1669"/>
      <c r="AV549" s="1669"/>
      <c r="AW549" s="1669"/>
      <c r="AX549" s="1669"/>
      <c r="AY549" s="1669"/>
      <c r="AZ549" s="1669"/>
      <c r="BA549" s="1669"/>
      <c r="BB549" s="1731">
        <f>BB482</f>
        <v>55.41</v>
      </c>
      <c r="BC549" s="1731">
        <f t="shared" ref="BC549:BK549" si="345">BB550</f>
        <v>50.299000000000007</v>
      </c>
      <c r="BD549" s="1731">
        <f t="shared" si="345"/>
        <v>66.632999999999996</v>
      </c>
      <c r="BE549" s="1731">
        <f t="shared" si="345"/>
        <v>47.998000000000019</v>
      </c>
      <c r="BF549" s="1606">
        <f t="shared" si="345"/>
        <v>103.09500000000003</v>
      </c>
      <c r="BG549" s="1669">
        <f t="shared" si="345"/>
        <v>54.224000000000039</v>
      </c>
      <c r="BH549" s="1669">
        <f t="shared" ca="1" si="345"/>
        <v>155.23420201537002</v>
      </c>
      <c r="BI549" s="1669">
        <f t="shared" ca="1" si="345"/>
        <v>291.40769056857732</v>
      </c>
      <c r="BJ549" s="1669">
        <f t="shared" ca="1" si="345"/>
        <v>475.26417902611149</v>
      </c>
      <c r="BK549" s="1669">
        <f t="shared" ca="1" si="345"/>
        <v>658.13883531104341</v>
      </c>
      <c r="BL549" s="1607"/>
    </row>
    <row r="550" spans="1:64" s="1608" customFormat="1" x14ac:dyDescent="0.35">
      <c r="A550" s="1711" t="str">
        <f>A483</f>
        <v>Ending Cash Balance</v>
      </c>
      <c r="B550" s="1712"/>
      <c r="C550" s="1667"/>
      <c r="D550" s="1667"/>
      <c r="E550" s="1667"/>
      <c r="F550" s="1667"/>
      <c r="G550" s="1667"/>
      <c r="H550" s="1667"/>
      <c r="I550" s="1667"/>
      <c r="J550" s="1667"/>
      <c r="K550" s="1667"/>
      <c r="L550" s="1667"/>
      <c r="M550" s="1667"/>
      <c r="N550" s="1667"/>
      <c r="O550" s="1667"/>
      <c r="P550" s="1667"/>
      <c r="Q550" s="1667"/>
      <c r="R550" s="1667"/>
      <c r="S550" s="1667"/>
      <c r="T550" s="1607">
        <f t="shared" ref="T550:AP550" si="346">T549+T547</f>
        <v>56.663000000000011</v>
      </c>
      <c r="U550" s="1667">
        <f t="shared" si="346"/>
        <v>57.458000000000013</v>
      </c>
      <c r="V550" s="1667">
        <f t="shared" si="346"/>
        <v>66.63300000000001</v>
      </c>
      <c r="W550" s="1667">
        <f t="shared" si="346"/>
        <v>84.454999999999998</v>
      </c>
      <c r="X550" s="1607">
        <f t="shared" si="346"/>
        <v>94.290999999999997</v>
      </c>
      <c r="Y550" s="1667">
        <f t="shared" si="346"/>
        <v>192.39699999999999</v>
      </c>
      <c r="Z550" s="1667">
        <f t="shared" si="346"/>
        <v>47.998000000000019</v>
      </c>
      <c r="AA550" s="1667">
        <f t="shared" si="346"/>
        <v>44.347000000000023</v>
      </c>
      <c r="AB550" s="1607">
        <f t="shared" si="346"/>
        <v>65.811000000000035</v>
      </c>
      <c r="AC550" s="1667">
        <f t="shared" si="346"/>
        <v>99.19</v>
      </c>
      <c r="AD550" s="1667">
        <f t="shared" si="346"/>
        <v>103.09499999999998</v>
      </c>
      <c r="AE550" s="1667">
        <f t="shared" si="346"/>
        <v>50.964000000000034</v>
      </c>
      <c r="AF550" s="1607">
        <f t="shared" si="346"/>
        <v>48.817000000000043</v>
      </c>
      <c r="AG550" s="1667">
        <f t="shared" si="346"/>
        <v>49.877000000000031</v>
      </c>
      <c r="AH550" s="1667">
        <f t="shared" si="346"/>
        <v>54.224000000000032</v>
      </c>
      <c r="AI550" s="1667">
        <f t="shared" si="346"/>
        <v>66.979000000000028</v>
      </c>
      <c r="AJ550" s="1730">
        <f t="shared" si="346"/>
        <v>74.182000000000031</v>
      </c>
      <c r="AK550" s="1667">
        <f t="shared" ca="1" si="346"/>
        <v>103.2601494363638</v>
      </c>
      <c r="AL550" s="1667">
        <f t="shared" ca="1" si="346"/>
        <v>155.23420201536999</v>
      </c>
      <c r="AM550" s="1667">
        <f t="shared" ca="1" si="346"/>
        <v>188.03692107135063</v>
      </c>
      <c r="AN550" s="1667">
        <f t="shared" ca="1" si="346"/>
        <v>223.07035031429146</v>
      </c>
      <c r="AO550" s="1667">
        <f t="shared" ca="1" si="346"/>
        <v>246.81609862348225</v>
      </c>
      <c r="AP550" s="1667">
        <f t="shared" ca="1" si="346"/>
        <v>291.40769056857732</v>
      </c>
      <c r="AQ550" s="1667"/>
      <c r="AR550" s="1669"/>
      <c r="AS550" s="1669"/>
      <c r="AT550" s="1669"/>
      <c r="AU550" s="1669"/>
      <c r="AV550" s="1669"/>
      <c r="AW550" s="1669"/>
      <c r="AX550" s="1669"/>
      <c r="AY550" s="1669"/>
      <c r="AZ550" s="1669"/>
      <c r="BA550" s="1669"/>
      <c r="BB550" s="1731">
        <f t="shared" ref="BB550:BK550" si="347">BB549+BB547</f>
        <v>50.299000000000007</v>
      </c>
      <c r="BC550" s="1731">
        <f t="shared" si="347"/>
        <v>66.632999999999996</v>
      </c>
      <c r="BD550" s="1731">
        <f t="shared" si="347"/>
        <v>47.998000000000019</v>
      </c>
      <c r="BE550" s="1731">
        <f t="shared" si="347"/>
        <v>103.09500000000003</v>
      </c>
      <c r="BF550" s="1606">
        <f t="shared" si="347"/>
        <v>54.224000000000039</v>
      </c>
      <c r="BG550" s="1669">
        <f t="shared" ca="1" si="347"/>
        <v>155.23420201537002</v>
      </c>
      <c r="BH550" s="1669">
        <f t="shared" ca="1" si="347"/>
        <v>291.40769056857732</v>
      </c>
      <c r="BI550" s="1669">
        <f t="shared" ca="1" si="347"/>
        <v>475.26417902611149</v>
      </c>
      <c r="BJ550" s="1669">
        <f t="shared" ca="1" si="347"/>
        <v>658.13883531104341</v>
      </c>
      <c r="BK550" s="1669">
        <f t="shared" ca="1" si="347"/>
        <v>871.72905054352157</v>
      </c>
      <c r="BL550" s="1607"/>
    </row>
    <row r="551" spans="1:64" s="1608" customFormat="1" x14ac:dyDescent="0.35">
      <c r="A551" s="1665"/>
      <c r="B551" s="1712"/>
      <c r="C551" s="1667"/>
      <c r="D551" s="1667"/>
      <c r="E551" s="1667"/>
      <c r="F551" s="1667"/>
      <c r="G551" s="1667"/>
      <c r="H551" s="1667"/>
      <c r="I551" s="1667"/>
      <c r="J551" s="1667"/>
      <c r="K551" s="1667"/>
      <c r="L551" s="1667"/>
      <c r="M551" s="1667"/>
      <c r="N551" s="1667"/>
      <c r="O551" s="1667"/>
      <c r="P551" s="1667"/>
      <c r="Q551" s="1667"/>
      <c r="R551" s="1667"/>
      <c r="S551" s="1667"/>
      <c r="T551" s="1667"/>
      <c r="U551" s="1667"/>
      <c r="V551" s="1667"/>
      <c r="W551" s="1667"/>
      <c r="X551" s="1667"/>
      <c r="Y551" s="1667"/>
      <c r="Z551" s="1667"/>
      <c r="AA551" s="1667"/>
      <c r="AB551" s="1667"/>
      <c r="AC551" s="1667"/>
      <c r="AD551" s="1667"/>
      <c r="AE551" s="1667"/>
      <c r="AF551" s="1667"/>
      <c r="AG551" s="1667"/>
      <c r="AH551" s="1667"/>
      <c r="AI551" s="1667"/>
      <c r="AJ551" s="1668"/>
      <c r="AK551" s="1667"/>
      <c r="AL551" s="1667"/>
      <c r="AM551" s="1667"/>
      <c r="AN551" s="1667"/>
      <c r="AO551" s="1667"/>
      <c r="AP551" s="1667"/>
      <c r="AQ551" s="1667"/>
      <c r="AR551" s="1669"/>
      <c r="AS551" s="1669"/>
      <c r="AT551" s="1669"/>
      <c r="AU551" s="1669"/>
      <c r="AV551" s="1669"/>
      <c r="AW551" s="1669"/>
      <c r="AX551" s="1669"/>
      <c r="AY551" s="1669"/>
      <c r="AZ551" s="1669"/>
      <c r="BA551" s="1669"/>
      <c r="BB551" s="1669"/>
      <c r="BC551" s="1669"/>
      <c r="BD551" s="1669"/>
      <c r="BE551" s="1669"/>
      <c r="BF551" s="1612"/>
      <c r="BG551" s="1669"/>
      <c r="BH551" s="1669"/>
      <c r="BI551" s="1669"/>
      <c r="BJ551" s="1669"/>
      <c r="BK551" s="1669"/>
      <c r="BL551" s="1607"/>
    </row>
    <row r="552" spans="1:64" s="1518" customFormat="1" x14ac:dyDescent="0.35">
      <c r="A552" s="1664" t="str">
        <f>A485</f>
        <v>Cash paid during the period for	 interest, net of capitalized amounts</v>
      </c>
      <c r="B552" s="1716"/>
      <c r="C552" s="1515"/>
      <c r="D552" s="1515"/>
      <c r="E552" s="1515"/>
      <c r="F552" s="1515"/>
      <c r="G552" s="1515"/>
      <c r="H552" s="1515"/>
      <c r="I552" s="1515"/>
      <c r="J552" s="1515"/>
      <c r="K552" s="1515"/>
      <c r="L552" s="1515"/>
      <c r="M552" s="1515"/>
      <c r="N552" s="1515"/>
      <c r="O552" s="1515"/>
      <c r="P552" s="1515"/>
      <c r="Q552" s="1515"/>
      <c r="R552" s="1515"/>
      <c r="S552" s="1515"/>
      <c r="T552" s="1517">
        <f>T485</f>
        <v>11.862</v>
      </c>
      <c r="U552" s="1515">
        <f>U485-T485</f>
        <v>8.6399999999999988</v>
      </c>
      <c r="V552" s="1515">
        <f>V485-U485</f>
        <v>14.156000000000002</v>
      </c>
      <c r="W552" s="1515">
        <f>W485</f>
        <v>3.1819999999999999</v>
      </c>
      <c r="X552" s="1515">
        <f t="shared" ref="X552:Z553" si="348">X485-W485</f>
        <v>9.1379999999999999</v>
      </c>
      <c r="Y552" s="1515">
        <f t="shared" si="348"/>
        <v>9.1739999999999995</v>
      </c>
      <c r="Z552" s="1515">
        <f t="shared" si="348"/>
        <v>9.2880000000000003</v>
      </c>
      <c r="AA552" s="1515">
        <f>AA485</f>
        <v>8.2959999999999994</v>
      </c>
      <c r="AB552" s="1517">
        <f t="shared" ref="AB552:AD553" si="349">AB485-AA485</f>
        <v>8.929000000000002</v>
      </c>
      <c r="AC552" s="1515">
        <f t="shared" si="349"/>
        <v>7.0519999999999996</v>
      </c>
      <c r="AD552" s="1515">
        <f t="shared" si="349"/>
        <v>8.070999999999998</v>
      </c>
      <c r="AE552" s="1515">
        <f>AE485</f>
        <v>11.602</v>
      </c>
      <c r="AF552" s="1517">
        <f t="shared" ref="AF552:AH553" si="350">AF485-AE485</f>
        <v>8.6370000000000005</v>
      </c>
      <c r="AG552" s="1515">
        <f t="shared" si="350"/>
        <v>8.7669999999999995</v>
      </c>
      <c r="AH552" s="1515">
        <f t="shared" si="350"/>
        <v>8.722999999999999</v>
      </c>
      <c r="AI552" s="1515">
        <f>AI485</f>
        <v>9.1020000000000003</v>
      </c>
      <c r="AJ552" s="1732">
        <f>AJ485-AI485</f>
        <v>10.425000000000001</v>
      </c>
      <c r="AK552" s="1515"/>
      <c r="AL552" s="1515"/>
      <c r="AM552" s="1515"/>
      <c r="AN552" s="1515"/>
      <c r="AO552" s="1515"/>
      <c r="AP552" s="1515"/>
      <c r="AQ552" s="1515"/>
      <c r="AR552" s="1595"/>
      <c r="AS552" s="1595"/>
      <c r="AT552" s="1595"/>
      <c r="AU552" s="1595"/>
      <c r="AV552" s="1595"/>
      <c r="AW552" s="1595"/>
      <c r="AX552" s="1595"/>
      <c r="AY552" s="1595"/>
      <c r="AZ552" s="1595"/>
      <c r="BA552" s="1595"/>
      <c r="BB552" s="1733">
        <f t="shared" ref="BB552:BF553" si="351">BB485</f>
        <v>33.869</v>
      </c>
      <c r="BC552" s="1733">
        <f t="shared" si="351"/>
        <v>34.658000000000001</v>
      </c>
      <c r="BD552" s="1733">
        <f t="shared" si="351"/>
        <v>30.782</v>
      </c>
      <c r="BE552" s="1733">
        <f t="shared" si="351"/>
        <v>32.347999999999999</v>
      </c>
      <c r="BF552" s="1610">
        <f t="shared" si="351"/>
        <v>37.728999999999999</v>
      </c>
      <c r="BG552" s="1595"/>
      <c r="BH552" s="1595"/>
      <c r="BI552" s="1595"/>
      <c r="BJ552" s="1595"/>
      <c r="BK552" s="1595"/>
      <c r="BL552" s="1517"/>
    </row>
    <row r="553" spans="1:64" s="1518" customFormat="1" x14ac:dyDescent="0.35">
      <c r="A553" s="1664" t="str">
        <f>A486</f>
        <v>Cash paid during the period for	 income taxes</v>
      </c>
      <c r="B553" s="1716"/>
      <c r="C553" s="1515"/>
      <c r="D553" s="1515"/>
      <c r="E553" s="1515"/>
      <c r="F553" s="1515"/>
      <c r="G553" s="1515"/>
      <c r="H553" s="1515"/>
      <c r="I553" s="1515"/>
      <c r="J553" s="1515"/>
      <c r="K553" s="1515"/>
      <c r="L553" s="1515"/>
      <c r="M553" s="1515"/>
      <c r="N553" s="1515"/>
      <c r="O553" s="1515"/>
      <c r="P553" s="1515"/>
      <c r="Q553" s="1515"/>
      <c r="R553" s="1515"/>
      <c r="S553" s="1515"/>
      <c r="T553" s="1517">
        <f>T486</f>
        <v>2.62</v>
      </c>
      <c r="U553" s="1515">
        <f>U486-T486</f>
        <v>1.0819999999999999</v>
      </c>
      <c r="V553" s="1515">
        <f>V486-U486</f>
        <v>-0.47799999999999976</v>
      </c>
      <c r="W553" s="1515">
        <f>W486</f>
        <v>1.075</v>
      </c>
      <c r="X553" s="1515">
        <f t="shared" si="348"/>
        <v>1.6679999999999999</v>
      </c>
      <c r="Y553" s="1515">
        <f t="shared" si="348"/>
        <v>1.9200000000000004</v>
      </c>
      <c r="Z553" s="1515">
        <f t="shared" si="348"/>
        <v>0.91099999999999959</v>
      </c>
      <c r="AA553" s="1515">
        <f>AA486</f>
        <v>4.2220000000000004</v>
      </c>
      <c r="AB553" s="1517">
        <f t="shared" si="349"/>
        <v>5.3090000000000002</v>
      </c>
      <c r="AC553" s="1515">
        <f t="shared" si="349"/>
        <v>1.9819999999999993</v>
      </c>
      <c r="AD553" s="1515">
        <f t="shared" si="349"/>
        <v>7.0190000000000001</v>
      </c>
      <c r="AE553" s="1515">
        <f>AE486</f>
        <v>2.9780000000000002</v>
      </c>
      <c r="AF553" s="1517">
        <f t="shared" si="350"/>
        <v>6.7249999999999996</v>
      </c>
      <c r="AG553" s="1515">
        <f t="shared" si="350"/>
        <v>3.516</v>
      </c>
      <c r="AH553" s="1515">
        <f t="shared" si="350"/>
        <v>4.2650000000000023</v>
      </c>
      <c r="AI553" s="1515">
        <f>AI486</f>
        <v>9.5419999999999998</v>
      </c>
      <c r="AJ553" s="1732">
        <f>AJ486-AI486</f>
        <v>10.071</v>
      </c>
      <c r="AK553" s="1515"/>
      <c r="AL553" s="1515"/>
      <c r="AM553" s="1515"/>
      <c r="AN553" s="1515"/>
      <c r="AO553" s="1515"/>
      <c r="AP553" s="1515"/>
      <c r="AQ553" s="1515"/>
      <c r="AR553" s="1595"/>
      <c r="AS553" s="1595"/>
      <c r="AT553" s="1595"/>
      <c r="AU553" s="1595"/>
      <c r="AV553" s="1595"/>
      <c r="AW553" s="1595"/>
      <c r="AX553" s="1595"/>
      <c r="AY553" s="1595"/>
      <c r="AZ553" s="1595"/>
      <c r="BA553" s="1595"/>
      <c r="BB553" s="1733">
        <f t="shared" si="351"/>
        <v>6.585</v>
      </c>
      <c r="BC553" s="1733">
        <f t="shared" si="351"/>
        <v>3.2240000000000002</v>
      </c>
      <c r="BD553" s="1733">
        <f t="shared" si="351"/>
        <v>5.5739999999999998</v>
      </c>
      <c r="BE553" s="1733">
        <f t="shared" si="351"/>
        <v>18.532</v>
      </c>
      <c r="BF553" s="1610">
        <f t="shared" si="351"/>
        <v>17.484000000000002</v>
      </c>
      <c r="BG553" s="1595"/>
      <c r="BH553" s="1595"/>
      <c r="BI553" s="1595"/>
      <c r="BJ553" s="1595"/>
      <c r="BK553" s="1595"/>
      <c r="BL553" s="1517"/>
    </row>
    <row r="554" spans="1:64" s="1608" customFormat="1" x14ac:dyDescent="0.35">
      <c r="A554" s="1665"/>
      <c r="B554" s="1712"/>
      <c r="C554" s="1667"/>
      <c r="D554" s="1667"/>
      <c r="E554" s="1667"/>
      <c r="F554" s="1667"/>
      <c r="G554" s="1667"/>
      <c r="H554" s="1667"/>
      <c r="I554" s="1667"/>
      <c r="J554" s="1667"/>
      <c r="K554" s="1667"/>
      <c r="L554" s="1667"/>
      <c r="M554" s="1667"/>
      <c r="N554" s="1667"/>
      <c r="O554" s="1667"/>
      <c r="P554" s="1667"/>
      <c r="Q554" s="1667"/>
      <c r="R554" s="1667"/>
      <c r="S554" s="1667"/>
      <c r="T554" s="1667"/>
      <c r="U554" s="1667"/>
      <c r="V554" s="1667"/>
      <c r="W554" s="1667"/>
      <c r="X554" s="1667"/>
      <c r="Y554" s="1667"/>
      <c r="Z554" s="1667"/>
      <c r="AA554" s="1667"/>
      <c r="AB554" s="1667"/>
      <c r="AC554" s="1667"/>
      <c r="AD554" s="1667"/>
      <c r="AE554" s="1667"/>
      <c r="AF554" s="1667"/>
      <c r="AG554" s="1667"/>
      <c r="AH554" s="1667"/>
      <c r="AI554" s="1667"/>
      <c r="AJ554" s="1668"/>
      <c r="AK554" s="1667"/>
      <c r="AL554" s="1667"/>
      <c r="AM554" s="1667"/>
      <c r="AN554" s="1667"/>
      <c r="AO554" s="1667"/>
      <c r="AP554" s="1667"/>
      <c r="AQ554" s="1667"/>
      <c r="AR554" s="1669"/>
      <c r="AS554" s="1669"/>
      <c r="AT554" s="1669"/>
      <c r="AU554" s="1669"/>
      <c r="AV554" s="1669"/>
      <c r="AW554" s="1669"/>
      <c r="AX554" s="1669"/>
      <c r="AY554" s="1669"/>
      <c r="AZ554" s="1669"/>
      <c r="BA554" s="1669"/>
      <c r="BB554" s="1669"/>
      <c r="BC554" s="1669"/>
      <c r="BD554" s="1669"/>
      <c r="BE554" s="1669"/>
      <c r="BF554" s="1612"/>
      <c r="BG554" s="1669"/>
      <c r="BH554" s="1669"/>
      <c r="BI554" s="1669"/>
      <c r="BJ554" s="1669"/>
      <c r="BK554" s="1669"/>
      <c r="BL554" s="1607"/>
    </row>
    <row r="555" spans="1:64" s="1518" customFormat="1" x14ac:dyDescent="0.35">
      <c r="A555" s="1727" t="s">
        <v>1185</v>
      </c>
      <c r="B555" s="1727"/>
      <c r="C555" s="1728"/>
      <c r="D555" s="1728"/>
      <c r="E555" s="1728"/>
      <c r="F555" s="1728"/>
      <c r="G555" s="1728"/>
      <c r="H555" s="1728"/>
      <c r="I555" s="1728"/>
      <c r="J555" s="1728"/>
      <c r="K555" s="1728"/>
      <c r="L555" s="1728"/>
      <c r="M555" s="1728"/>
      <c r="N555" s="1728"/>
      <c r="O555" s="1728"/>
      <c r="P555" s="1728"/>
      <c r="Q555" s="1728"/>
      <c r="R555" s="1728"/>
      <c r="S555" s="1728">
        <f>ROUND(S550-S592,6)</f>
        <v>0</v>
      </c>
      <c r="T555" s="1728"/>
      <c r="U555" s="1728"/>
      <c r="V555" s="1728">
        <f>ROUND(V550-V592,6)</f>
        <v>0</v>
      </c>
      <c r="W555" s="1728"/>
      <c r="X555" s="1728">
        <f t="shared" ref="X555:AP555" si="352">ROUND(X550-X592,6)</f>
        <v>0</v>
      </c>
      <c r="Y555" s="1728">
        <f t="shared" si="352"/>
        <v>0</v>
      </c>
      <c r="Z555" s="1728">
        <f t="shared" si="352"/>
        <v>0</v>
      </c>
      <c r="AA555" s="1728">
        <f t="shared" si="352"/>
        <v>0</v>
      </c>
      <c r="AB555" s="1728">
        <f t="shared" si="352"/>
        <v>0</v>
      </c>
      <c r="AC555" s="1728">
        <f t="shared" si="352"/>
        <v>0</v>
      </c>
      <c r="AD555" s="1728">
        <f t="shared" si="352"/>
        <v>0</v>
      </c>
      <c r="AE555" s="1728">
        <f t="shared" si="352"/>
        <v>0</v>
      </c>
      <c r="AF555" s="1728">
        <f t="shared" si="352"/>
        <v>0</v>
      </c>
      <c r="AG555" s="1728">
        <f t="shared" si="352"/>
        <v>0</v>
      </c>
      <c r="AH555" s="1728">
        <f t="shared" si="352"/>
        <v>0</v>
      </c>
      <c r="AI555" s="1728">
        <f t="shared" si="352"/>
        <v>0</v>
      </c>
      <c r="AJ555" s="1729">
        <f t="shared" si="352"/>
        <v>0</v>
      </c>
      <c r="AK555" s="1728">
        <f t="shared" ca="1" si="352"/>
        <v>0</v>
      </c>
      <c r="AL555" s="1728">
        <f t="shared" ca="1" si="352"/>
        <v>0</v>
      </c>
      <c r="AM555" s="1728">
        <f t="shared" ca="1" si="352"/>
        <v>0</v>
      </c>
      <c r="AN555" s="1728">
        <f t="shared" ca="1" si="352"/>
        <v>0</v>
      </c>
      <c r="AO555" s="1728">
        <f t="shared" ca="1" si="352"/>
        <v>0</v>
      </c>
      <c r="AP555" s="1728">
        <f t="shared" ca="1" si="352"/>
        <v>0</v>
      </c>
      <c r="AQ555" s="1728"/>
      <c r="AR555" s="1728"/>
      <c r="AS555" s="1728"/>
      <c r="AT555" s="1728"/>
      <c r="AU555" s="1728"/>
      <c r="AV555" s="1728"/>
      <c r="AW555" s="1728"/>
      <c r="AX555" s="1728"/>
      <c r="AY555" s="1728"/>
      <c r="AZ555" s="1728"/>
      <c r="BA555" s="1728"/>
      <c r="BB555" s="1728">
        <f t="shared" ref="BB555:BK555" si="353">ROUND(BB550-BB592,6)</f>
        <v>0</v>
      </c>
      <c r="BC555" s="1728">
        <f t="shared" si="353"/>
        <v>0</v>
      </c>
      <c r="BD555" s="1728">
        <f t="shared" si="353"/>
        <v>0</v>
      </c>
      <c r="BE555" s="1728">
        <f t="shared" si="353"/>
        <v>0</v>
      </c>
      <c r="BF555" s="1729">
        <f t="shared" si="353"/>
        <v>0</v>
      </c>
      <c r="BG555" s="1728">
        <f t="shared" ca="1" si="353"/>
        <v>0</v>
      </c>
      <c r="BH555" s="1728">
        <f t="shared" ca="1" si="353"/>
        <v>0</v>
      </c>
      <c r="BI555" s="1728">
        <f t="shared" ca="1" si="353"/>
        <v>0</v>
      </c>
      <c r="BJ555" s="1728">
        <f t="shared" ca="1" si="353"/>
        <v>0</v>
      </c>
      <c r="BK555" s="1728">
        <f t="shared" ca="1" si="353"/>
        <v>0</v>
      </c>
      <c r="BL555" s="1517"/>
    </row>
    <row r="556" spans="1:64" s="1608" customFormat="1" x14ac:dyDescent="0.35">
      <c r="A556" s="1665"/>
      <c r="B556" s="1712"/>
      <c r="C556" s="1667"/>
      <c r="D556" s="1667"/>
      <c r="E556" s="1667"/>
      <c r="F556" s="1667"/>
      <c r="G556" s="1667"/>
      <c r="H556" s="1667"/>
      <c r="I556" s="1667"/>
      <c r="J556" s="1667"/>
      <c r="K556" s="1667"/>
      <c r="L556" s="1667"/>
      <c r="M556" s="1667"/>
      <c r="N556" s="1667"/>
      <c r="O556" s="1667"/>
      <c r="P556" s="1667"/>
      <c r="Q556" s="1667"/>
      <c r="R556" s="1667"/>
      <c r="S556" s="1667"/>
      <c r="T556" s="1667"/>
      <c r="U556" s="1667"/>
      <c r="V556" s="1667"/>
      <c r="W556" s="1667"/>
      <c r="X556" s="1667"/>
      <c r="Y556" s="1667"/>
      <c r="Z556" s="1667"/>
      <c r="AA556" s="1667"/>
      <c r="AB556" s="1667"/>
      <c r="AC556" s="1667"/>
      <c r="AD556" s="1667"/>
      <c r="AE556" s="1667"/>
      <c r="AF556" s="1667"/>
      <c r="AG556" s="1667"/>
      <c r="AH556" s="1667"/>
      <c r="AI556" s="1667"/>
      <c r="AJ556" s="1668"/>
      <c r="AK556" s="1667"/>
      <c r="AL556" s="1667"/>
      <c r="AM556" s="1667"/>
      <c r="AN556" s="1667"/>
      <c r="AO556" s="1667"/>
      <c r="AP556" s="1667"/>
      <c r="AQ556" s="1667"/>
      <c r="AR556" s="1669"/>
      <c r="AS556" s="1669"/>
      <c r="AT556" s="1669"/>
      <c r="AU556" s="1669"/>
      <c r="AV556" s="1669"/>
      <c r="AW556" s="1669"/>
      <c r="AX556" s="1669"/>
      <c r="AY556" s="1669"/>
      <c r="AZ556" s="1669"/>
      <c r="BA556" s="1669"/>
      <c r="BB556" s="1669"/>
      <c r="BC556" s="1669"/>
      <c r="BD556" s="1669"/>
      <c r="BE556" s="1669"/>
      <c r="BF556" s="1612"/>
      <c r="BG556" s="1669"/>
      <c r="BH556" s="1669"/>
      <c r="BI556" s="1669"/>
      <c r="BJ556" s="1669"/>
      <c r="BK556" s="1669"/>
      <c r="BL556" s="1607"/>
    </row>
    <row r="557" spans="1:64" s="1518" customFormat="1" x14ac:dyDescent="0.35">
      <c r="A557" s="1588" t="s">
        <v>1186</v>
      </c>
      <c r="B557" s="2025"/>
      <c r="C557" s="2026"/>
      <c r="D557" s="2026"/>
      <c r="E557" s="2026"/>
      <c r="F557" s="2026"/>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6"/>
      <c r="AJ557" s="2027"/>
      <c r="AK557" s="2026"/>
      <c r="AL557" s="2026"/>
      <c r="AM557" s="2026"/>
      <c r="AN557" s="2026"/>
      <c r="AO557" s="2026"/>
      <c r="AP557" s="2026"/>
      <c r="AQ557" s="2026"/>
      <c r="AR557" s="2026"/>
      <c r="AS557" s="2026"/>
      <c r="AT557" s="2026"/>
      <c r="AU557" s="2026"/>
      <c r="AV557" s="2026"/>
      <c r="AW557" s="2026"/>
      <c r="AX557" s="2026"/>
      <c r="AY557" s="2026"/>
      <c r="AZ557" s="2026"/>
      <c r="BA557" s="2026"/>
      <c r="BB557" s="2026"/>
      <c r="BC557" s="2026"/>
      <c r="BD557" s="2026"/>
      <c r="BE557" s="2026"/>
      <c r="BF557" s="2027"/>
      <c r="BG557" s="2026"/>
      <c r="BH557" s="2026"/>
      <c r="BI557" s="2026"/>
      <c r="BJ557" s="2026"/>
      <c r="BK557" s="2026"/>
      <c r="BL557" s="1517"/>
    </row>
    <row r="558" spans="1:64" s="1518" customFormat="1" x14ac:dyDescent="0.35">
      <c r="A558" s="1607" t="s">
        <v>1187</v>
      </c>
      <c r="B558" s="1712"/>
      <c r="C558" s="2028"/>
      <c r="D558" s="2028"/>
      <c r="E558" s="2028"/>
      <c r="F558" s="2028"/>
      <c r="G558" s="2028"/>
      <c r="H558" s="2028"/>
      <c r="I558" s="2028"/>
      <c r="J558" s="2028"/>
      <c r="K558" s="2028"/>
      <c r="L558" s="2028"/>
      <c r="M558" s="2028"/>
      <c r="N558" s="2028"/>
      <c r="O558" s="2028"/>
      <c r="P558" s="2028"/>
      <c r="Q558" s="2028"/>
      <c r="R558" s="2028"/>
      <c r="S558" s="2028"/>
      <c r="T558" s="2028"/>
      <c r="U558" s="2028"/>
      <c r="V558" s="2028"/>
      <c r="W558" s="2028"/>
      <c r="X558" s="2028"/>
      <c r="Y558" s="2028">
        <f>X562</f>
        <v>10.221</v>
      </c>
      <c r="Z558" s="2028">
        <f>Y562</f>
        <v>10.414</v>
      </c>
      <c r="AA558" s="2029">
        <f>BD562</f>
        <v>11.124000000000001</v>
      </c>
      <c r="AB558" s="2028">
        <f>AA562</f>
        <v>11.552</v>
      </c>
      <c r="AC558" s="2028">
        <f>AB562</f>
        <v>11.647</v>
      </c>
      <c r="AD558" s="2028">
        <f>AC562</f>
        <v>10.973000000000001</v>
      </c>
      <c r="AE558" s="2029">
        <f>BE562</f>
        <v>10.340999999999999</v>
      </c>
      <c r="AF558" s="2028">
        <f>AE562</f>
        <v>9.6</v>
      </c>
      <c r="AG558" s="2028">
        <f>AF562</f>
        <v>7.3540000000000001</v>
      </c>
      <c r="AH558" s="2028">
        <f>AG562</f>
        <v>7.33</v>
      </c>
      <c r="AI558" s="2029">
        <f>BF562</f>
        <v>7.6950000000000003</v>
      </c>
      <c r="AJ558" s="2030">
        <f>AI562</f>
        <v>7.3289999999999997</v>
      </c>
      <c r="AK558" s="2028">
        <f>AJ562</f>
        <v>6.7720000000000002</v>
      </c>
      <c r="AL558" s="2028">
        <f>AK562</f>
        <v>6.7166041530054645</v>
      </c>
      <c r="AM558" s="2028">
        <f>BG562</f>
        <v>6.6698415822747767</v>
      </c>
      <c r="AN558" s="2028">
        <f>AM562</f>
        <v>6.6501781294229065</v>
      </c>
      <c r="AO558" s="2028">
        <f>AN562</f>
        <v>6.6222245676090967</v>
      </c>
      <c r="AP558" s="2028">
        <f>AO562</f>
        <v>6.5873432269613632</v>
      </c>
      <c r="AQ558" s="2028"/>
      <c r="AR558" s="2031"/>
      <c r="AS558" s="2031"/>
      <c r="AT558" s="2031"/>
      <c r="AU558" s="2031"/>
      <c r="AV558" s="2031"/>
      <c r="AW558" s="2031"/>
      <c r="AX558" s="2031"/>
      <c r="AY558" s="2031"/>
      <c r="AZ558" s="2031"/>
      <c r="BA558" s="2031"/>
      <c r="BB558" s="2031"/>
      <c r="BC558" s="2032">
        <f t="shared" ref="BC558:BK558" si="354">BB562</f>
        <v>20.280999999999999</v>
      </c>
      <c r="BD558" s="2032">
        <f t="shared" si="354"/>
        <v>14.13</v>
      </c>
      <c r="BE558" s="2032">
        <f t="shared" si="354"/>
        <v>11.124000000000001</v>
      </c>
      <c r="BF558" s="2033">
        <f t="shared" si="354"/>
        <v>10.340999999999999</v>
      </c>
      <c r="BG558" s="2031">
        <f t="shared" si="354"/>
        <v>7.6950000000000003</v>
      </c>
      <c r="BH558" s="2031">
        <f t="shared" si="354"/>
        <v>6.6698415822747767</v>
      </c>
      <c r="BI558" s="2031">
        <f t="shared" si="354"/>
        <v>6.5579129319863601</v>
      </c>
      <c r="BJ558" s="2031">
        <f t="shared" si="354"/>
        <v>6.4920069141548149</v>
      </c>
      <c r="BK558" s="2031">
        <f t="shared" si="354"/>
        <v>6.4669626273788285</v>
      </c>
      <c r="BL558" s="1517"/>
    </row>
    <row r="559" spans="1:64" s="1518" customFormat="1" x14ac:dyDescent="0.35">
      <c r="A559" s="1591" t="s">
        <v>1188</v>
      </c>
      <c r="B559" s="1716"/>
      <c r="C559" s="1958"/>
      <c r="D559" s="1958"/>
      <c r="E559" s="1958"/>
      <c r="F559" s="1958"/>
      <c r="G559" s="1958"/>
      <c r="H559" s="1958"/>
      <c r="I559" s="1958"/>
      <c r="J559" s="1958"/>
      <c r="K559" s="1958"/>
      <c r="L559" s="1958"/>
      <c r="M559" s="1958"/>
      <c r="N559" s="1958"/>
      <c r="O559" s="1958"/>
      <c r="P559" s="1958"/>
      <c r="Q559" s="1958"/>
      <c r="R559" s="1958"/>
      <c r="S559" s="1958"/>
      <c r="T559" s="1958"/>
      <c r="U559" s="1958"/>
      <c r="V559" s="1958"/>
      <c r="W559" s="1958"/>
      <c r="X559" s="1958"/>
      <c r="Y559" s="1958">
        <f t="shared" ref="Y559:AJ559" si="355">-Y189</f>
        <v>-1.1000000000000001</v>
      </c>
      <c r="Z559" s="1958">
        <f t="shared" si="355"/>
        <v>-0.99999999999999956</v>
      </c>
      <c r="AA559" s="1959">
        <f t="shared" si="355"/>
        <v>-1.1000000000000001</v>
      </c>
      <c r="AB559" s="1958">
        <f t="shared" si="355"/>
        <v>-1.1000000000000001</v>
      </c>
      <c r="AC559" s="1958">
        <f t="shared" si="355"/>
        <v>-1.1000000000000001</v>
      </c>
      <c r="AD559" s="1958">
        <f t="shared" si="355"/>
        <v>-3.7999999999999994</v>
      </c>
      <c r="AE559" s="1959">
        <f t="shared" si="355"/>
        <v>-1</v>
      </c>
      <c r="AF559" s="1958">
        <f t="shared" si="355"/>
        <v>-0.9</v>
      </c>
      <c r="AG559" s="1958">
        <f t="shared" si="355"/>
        <v>-0.8</v>
      </c>
      <c r="AH559" s="1958">
        <f t="shared" si="355"/>
        <v>-0.89999999999999991</v>
      </c>
      <c r="AI559" s="1959">
        <f t="shared" si="355"/>
        <v>-0.9</v>
      </c>
      <c r="AJ559" s="1964">
        <f t="shared" si="355"/>
        <v>-0.9</v>
      </c>
      <c r="AK559" s="1958">
        <f>-AK558*AK570*AK3/BG3</f>
        <v>-1.0553958469945355</v>
      </c>
      <c r="AL559" s="1958">
        <f>-AL558*AL570*AL3/BG3</f>
        <v>-1.0467625707306878</v>
      </c>
      <c r="AM559" s="1958">
        <f>-AM558*AM570*AM3/BH3</f>
        <v>-1.01966345285187</v>
      </c>
      <c r="AN559" s="1958">
        <f>-AN558*AN570*AN3/BH3</f>
        <v>-1.0279535618138094</v>
      </c>
      <c r="AO559" s="1958">
        <f>-AO558*AO570*AO3/BH3</f>
        <v>-1.0348813406477337</v>
      </c>
      <c r="AP559" s="1958">
        <f>-AP558*AP570*AP3/BH3</f>
        <v>-1.0294302949750032</v>
      </c>
      <c r="AQ559" s="1958"/>
      <c r="AR559" s="1961"/>
      <c r="AS559" s="1961"/>
      <c r="AT559" s="1961"/>
      <c r="AU559" s="1961"/>
      <c r="AV559" s="1961"/>
      <c r="AW559" s="1961"/>
      <c r="AX559" s="1961"/>
      <c r="AY559" s="1961"/>
      <c r="AZ559" s="1961"/>
      <c r="BA559" s="1961"/>
      <c r="BB559" s="1961"/>
      <c r="BC559" s="1962">
        <f>-BC189</f>
        <v>-7.1</v>
      </c>
      <c r="BD559" s="1962">
        <f>-BD189</f>
        <v>-4.5</v>
      </c>
      <c r="BE559" s="1962">
        <f>-BE189</f>
        <v>-7.1</v>
      </c>
      <c r="BF559" s="1963">
        <f>-BF189</f>
        <v>-3.6</v>
      </c>
      <c r="BG559" s="1961">
        <f>IF(OR(ISBLANK(AI559),ISBLANK(AJ559),ISBLANK(AK559),ISBLANK(AL559)),"n/a",SUM(AI559,AJ559,AK559,AL559))</f>
        <v>-3.9021584177252233</v>
      </c>
      <c r="BH559" s="1961">
        <f>IF(OR(ISBLANK(AM559),ISBLANK(AN559),ISBLANK(AO559),ISBLANK(AP559)),"n/a",SUM(AM559,AN559,AO559,AP559))</f>
        <v>-4.1119286502884158</v>
      </c>
      <c r="BI559" s="1961">
        <f>-BI558*BI570</f>
        <v>-4.0659060178315434</v>
      </c>
      <c r="BJ559" s="1961">
        <f>-BJ558*BJ570</f>
        <v>-4.0250442867759855</v>
      </c>
      <c r="BK559" s="1961">
        <f>-BK558*BK570</f>
        <v>-4.0095168289748733</v>
      </c>
      <c r="BL559" s="1517"/>
    </row>
    <row r="560" spans="1:64" s="1518" customFormat="1" x14ac:dyDescent="0.35">
      <c r="A560" s="1591" t="s">
        <v>1189</v>
      </c>
      <c r="B560" s="1716"/>
      <c r="C560" s="1958"/>
      <c r="D560" s="1958"/>
      <c r="E560" s="1958"/>
      <c r="F560" s="1958"/>
      <c r="G560" s="1958"/>
      <c r="H560" s="1958"/>
      <c r="I560" s="1958"/>
      <c r="J560" s="1958"/>
      <c r="K560" s="1958"/>
      <c r="L560" s="1958"/>
      <c r="M560" s="1958"/>
      <c r="N560" s="1958"/>
      <c r="O560" s="1958"/>
      <c r="P560" s="1958"/>
      <c r="Q560" s="1958"/>
      <c r="R560" s="1958"/>
      <c r="S560" s="1958"/>
      <c r="T560" s="1958"/>
      <c r="U560" s="1958"/>
      <c r="V560" s="1958"/>
      <c r="W560" s="1958"/>
      <c r="X560" s="1958"/>
      <c r="Y560" s="1958">
        <f t="shared" ref="Y560:AJ560" si="356">-Y519</f>
        <v>1.3590000000000002</v>
      </c>
      <c r="Z560" s="1958">
        <f t="shared" si="356"/>
        <v>0.61499999999999977</v>
      </c>
      <c r="AA560" s="1959">
        <f t="shared" si="356"/>
        <v>1.4950000000000001</v>
      </c>
      <c r="AB560" s="1958">
        <f t="shared" si="356"/>
        <v>1.7709999999999999</v>
      </c>
      <c r="AC560" s="1958">
        <f t="shared" si="356"/>
        <v>0.71200000000000019</v>
      </c>
      <c r="AD560" s="1958">
        <f t="shared" si="356"/>
        <v>0.52</v>
      </c>
      <c r="AE560" s="1959">
        <f t="shared" si="356"/>
        <v>0.14000000000000001</v>
      </c>
      <c r="AF560" s="1958">
        <f t="shared" si="356"/>
        <v>0.45299999999999996</v>
      </c>
      <c r="AG560" s="1958">
        <f t="shared" si="356"/>
        <v>0.78400000000000003</v>
      </c>
      <c r="AH560" s="1958">
        <f t="shared" si="356"/>
        <v>1.1830000000000001</v>
      </c>
      <c r="AI560" s="1959">
        <f t="shared" si="356"/>
        <v>0.67300000000000004</v>
      </c>
      <c r="AJ560" s="1964">
        <f t="shared" si="356"/>
        <v>0.31999999999999995</v>
      </c>
      <c r="AK560" s="1958">
        <f t="shared" ref="AK560:AP560" si="357">AK576*(1-AK577)</f>
        <v>0.99999999999999978</v>
      </c>
      <c r="AL560" s="1958">
        <f t="shared" si="357"/>
        <v>0.99999999999999978</v>
      </c>
      <c r="AM560" s="1958">
        <f t="shared" si="357"/>
        <v>0.99999999999999978</v>
      </c>
      <c r="AN560" s="1958">
        <f t="shared" si="357"/>
        <v>0.99999999999999978</v>
      </c>
      <c r="AO560" s="1958">
        <f t="shared" si="357"/>
        <v>0.99999999999999978</v>
      </c>
      <c r="AP560" s="1958">
        <f t="shared" si="357"/>
        <v>0.99999999999999978</v>
      </c>
      <c r="AQ560" s="1958"/>
      <c r="AR560" s="1961"/>
      <c r="AS560" s="1961"/>
      <c r="AT560" s="1961"/>
      <c r="AU560" s="1961"/>
      <c r="AV560" s="1961"/>
      <c r="AW560" s="1961"/>
      <c r="AX560" s="1961"/>
      <c r="AY560" s="1961"/>
      <c r="AZ560" s="1961"/>
      <c r="BA560" s="1961"/>
      <c r="BB560" s="1961"/>
      <c r="BC560" s="1962">
        <f>-BC519</f>
        <v>2.3170000000000002</v>
      </c>
      <c r="BD560" s="1962">
        <f>-BD519</f>
        <v>3.234</v>
      </c>
      <c r="BE560" s="1962">
        <f>-BE519</f>
        <v>4.4980000000000002</v>
      </c>
      <c r="BF560" s="1963">
        <f>-BF519</f>
        <v>2.56</v>
      </c>
      <c r="BG560" s="1961">
        <f>IF(OR(ISBLANK(AI560),ISBLANK(AJ560),ISBLANK(AK560),ISBLANK(AL560)),"n/a",SUM(AI560,AJ560,AK560,AL560))</f>
        <v>2.9929999999999994</v>
      </c>
      <c r="BH560" s="1961">
        <f>IF(OR(ISBLANK(AM560),ISBLANK(AN560),ISBLANK(AO560),ISBLANK(AP560)),"n/a",SUM(AM560,AN560,AO560,AP560))</f>
        <v>3.9999999999999991</v>
      </c>
      <c r="BI560" s="1961">
        <f>BI576*(1-BI577)</f>
        <v>3.9999999999999991</v>
      </c>
      <c r="BJ560" s="1961">
        <f>BJ576*(1-BJ577)</f>
        <v>3.9999999999999991</v>
      </c>
      <c r="BK560" s="1961">
        <f>BK576*(1-BK577)</f>
        <v>3.9999999999999991</v>
      </c>
      <c r="BL560" s="1517"/>
    </row>
    <row r="561" spans="1:64" s="1518" customFormat="1" x14ac:dyDescent="0.35">
      <c r="A561" s="1591" t="s">
        <v>1190</v>
      </c>
      <c r="B561" s="1716"/>
      <c r="C561" s="1958"/>
      <c r="D561" s="1958"/>
      <c r="E561" s="1958"/>
      <c r="F561" s="1958"/>
      <c r="G561" s="1958"/>
      <c r="H561" s="1958"/>
      <c r="I561" s="1958"/>
      <c r="J561" s="1958"/>
      <c r="K561" s="1958"/>
      <c r="L561" s="1958"/>
      <c r="M561" s="1958"/>
      <c r="N561" s="1958"/>
      <c r="O561" s="1958"/>
      <c r="P561" s="1958"/>
      <c r="Q561" s="1958"/>
      <c r="R561" s="1958"/>
      <c r="S561" s="1958"/>
      <c r="T561" s="1958"/>
      <c r="U561" s="1958"/>
      <c r="V561" s="1958"/>
      <c r="W561" s="1958"/>
      <c r="X561" s="1958"/>
      <c r="Y561" s="1958">
        <f t="shared" ref="Y561:AP561" si="358">ROUND(Y562-Y558-Y559-Y560,6)</f>
        <v>-6.6000000000000003E-2</v>
      </c>
      <c r="Z561" s="1958">
        <f t="shared" si="358"/>
        <v>1.095</v>
      </c>
      <c r="AA561" s="1959">
        <f t="shared" si="358"/>
        <v>3.3000000000000002E-2</v>
      </c>
      <c r="AB561" s="1958">
        <f t="shared" si="358"/>
        <v>-0.57599999999999996</v>
      </c>
      <c r="AC561" s="1958">
        <f t="shared" si="358"/>
        <v>-0.28599999999999998</v>
      </c>
      <c r="AD561" s="1958">
        <f t="shared" si="358"/>
        <v>2.6480000000000001</v>
      </c>
      <c r="AE561" s="1959">
        <f t="shared" si="358"/>
        <v>0.11899999999999999</v>
      </c>
      <c r="AF561" s="1958">
        <f t="shared" si="358"/>
        <v>-1.7989999999999999</v>
      </c>
      <c r="AG561" s="1958">
        <f t="shared" si="358"/>
        <v>-8.0000000000000002E-3</v>
      </c>
      <c r="AH561" s="1958">
        <f t="shared" si="358"/>
        <v>8.2000000000000003E-2</v>
      </c>
      <c r="AI561" s="1959">
        <f t="shared" si="358"/>
        <v>-0.13900000000000001</v>
      </c>
      <c r="AJ561" s="1964">
        <f t="shared" si="358"/>
        <v>2.3E-2</v>
      </c>
      <c r="AK561" s="1958">
        <f t="shared" si="358"/>
        <v>0</v>
      </c>
      <c r="AL561" s="1958">
        <f t="shared" si="358"/>
        <v>0</v>
      </c>
      <c r="AM561" s="1958">
        <f t="shared" si="358"/>
        <v>0</v>
      </c>
      <c r="AN561" s="1958">
        <f t="shared" si="358"/>
        <v>0</v>
      </c>
      <c r="AO561" s="1958">
        <f t="shared" si="358"/>
        <v>0</v>
      </c>
      <c r="AP561" s="1958">
        <f t="shared" si="358"/>
        <v>0</v>
      </c>
      <c r="AQ561" s="1958"/>
      <c r="AR561" s="1961"/>
      <c r="AS561" s="1961"/>
      <c r="AT561" s="1961"/>
      <c r="AU561" s="1961"/>
      <c r="AV561" s="1961"/>
      <c r="AW561" s="1961"/>
      <c r="AX561" s="1961"/>
      <c r="AY561" s="1961"/>
      <c r="AZ561" s="1961"/>
      <c r="BA561" s="1961"/>
      <c r="BB561" s="1961"/>
      <c r="BC561" s="1962">
        <f>ROUND(BC562-BC558-BC559-BC560,6)</f>
        <v>-1.3680000000000001</v>
      </c>
      <c r="BD561" s="1962">
        <f>ROUND(BD562-BD558-BD559-BD560,6)</f>
        <v>-1.74</v>
      </c>
      <c r="BE561" s="1962">
        <f>ROUND(BE562-BE558-BE559-BE560,6)</f>
        <v>1.819</v>
      </c>
      <c r="BF561" s="1963">
        <f>ROUND(BF562-BF558-BF559-BF560,6)</f>
        <v>-1.6060000000000001</v>
      </c>
      <c r="BG561" s="1961">
        <f>ROUND(BG562-BG558-IF(ISNUMBER(BG559),BG559,0)-IF(ISNUMBER(BG560),BG560,0),6)</f>
        <v>-0.11600000000000001</v>
      </c>
      <c r="BH561" s="1961">
        <f>ROUND(BH562-BH558-IF(ISNUMBER(BH559),BH559,0)-IF(ISNUMBER(BH560),BH560,0),6)</f>
        <v>0</v>
      </c>
      <c r="BI561" s="1961">
        <f>ROUND(BI562-BI558-BI559-BI560,6)</f>
        <v>0</v>
      </c>
      <c r="BJ561" s="1961">
        <f>ROUND(BJ562-BJ558-BJ559-BJ560,6)</f>
        <v>0</v>
      </c>
      <c r="BK561" s="1961">
        <f>ROUND(BK562-BK558-BK559-BK560,6)</f>
        <v>0</v>
      </c>
      <c r="BL561" s="1517"/>
    </row>
    <row r="562" spans="1:64" s="1518" customFormat="1" x14ac:dyDescent="0.35">
      <c r="A562" s="2034" t="s">
        <v>1191</v>
      </c>
      <c r="B562" s="1917"/>
      <c r="C562" s="2035"/>
      <c r="D562" s="2035"/>
      <c r="E562" s="2035"/>
      <c r="F562" s="2035"/>
      <c r="G562" s="2035"/>
      <c r="H562" s="2035"/>
      <c r="I562" s="2035"/>
      <c r="J562" s="2035"/>
      <c r="K562" s="2035"/>
      <c r="L562" s="2035"/>
      <c r="M562" s="2035"/>
      <c r="N562" s="2035"/>
      <c r="O562" s="2035"/>
      <c r="P562" s="2035"/>
      <c r="Q562" s="2035"/>
      <c r="R562" s="2035"/>
      <c r="S562" s="2035"/>
      <c r="T562" s="2035"/>
      <c r="U562" s="2035"/>
      <c r="V562" s="2035"/>
      <c r="W562" s="2035"/>
      <c r="X562" s="2036">
        <f t="shared" ref="X562:AP562" si="359">X601</f>
        <v>10.221</v>
      </c>
      <c r="Y562" s="2036">
        <f t="shared" si="359"/>
        <v>10.414</v>
      </c>
      <c r="Z562" s="2036">
        <f t="shared" si="359"/>
        <v>11.124000000000001</v>
      </c>
      <c r="AA562" s="2036">
        <f t="shared" si="359"/>
        <v>11.552</v>
      </c>
      <c r="AB562" s="2036">
        <f t="shared" si="359"/>
        <v>11.647</v>
      </c>
      <c r="AC562" s="2036">
        <f t="shared" si="359"/>
        <v>10.973000000000001</v>
      </c>
      <c r="AD562" s="2036">
        <f t="shared" si="359"/>
        <v>10.340999999999999</v>
      </c>
      <c r="AE562" s="2036">
        <f t="shared" si="359"/>
        <v>9.6</v>
      </c>
      <c r="AF562" s="2036">
        <f t="shared" si="359"/>
        <v>7.3540000000000001</v>
      </c>
      <c r="AG562" s="2036">
        <f t="shared" si="359"/>
        <v>7.33</v>
      </c>
      <c r="AH562" s="2036">
        <f t="shared" si="359"/>
        <v>7.6950000000000003</v>
      </c>
      <c r="AI562" s="2036">
        <f t="shared" si="359"/>
        <v>7.3289999999999997</v>
      </c>
      <c r="AJ562" s="2037">
        <f t="shared" si="359"/>
        <v>6.7720000000000002</v>
      </c>
      <c r="AK562" s="2035">
        <f t="shared" si="359"/>
        <v>6.7166041530054645</v>
      </c>
      <c r="AL562" s="2035">
        <f t="shared" si="359"/>
        <v>6.6698415822747767</v>
      </c>
      <c r="AM562" s="2035">
        <f t="shared" si="359"/>
        <v>6.6501781294229065</v>
      </c>
      <c r="AN562" s="2035">
        <f t="shared" si="359"/>
        <v>6.6222245676090967</v>
      </c>
      <c r="AO562" s="2035">
        <f t="shared" si="359"/>
        <v>6.5873432269613632</v>
      </c>
      <c r="AP562" s="2035">
        <f t="shared" si="359"/>
        <v>6.5579129319863601</v>
      </c>
      <c r="AQ562" s="2035"/>
      <c r="AR562" s="2038"/>
      <c r="AS562" s="2038"/>
      <c r="AT562" s="2038"/>
      <c r="AU562" s="2038"/>
      <c r="AV562" s="2038"/>
      <c r="AW562" s="2038"/>
      <c r="AX562" s="2038"/>
      <c r="AY562" s="2038"/>
      <c r="AZ562" s="2038"/>
      <c r="BA562" s="2038"/>
      <c r="BB562" s="2039">
        <f t="shared" ref="BB562:BK562" si="360">BB601</f>
        <v>20.280999999999999</v>
      </c>
      <c r="BC562" s="2039">
        <f t="shared" si="360"/>
        <v>14.13</v>
      </c>
      <c r="BD562" s="2039">
        <f t="shared" si="360"/>
        <v>11.124000000000001</v>
      </c>
      <c r="BE562" s="2039">
        <f t="shared" si="360"/>
        <v>10.340999999999999</v>
      </c>
      <c r="BF562" s="2040">
        <f t="shared" si="360"/>
        <v>7.6950000000000003</v>
      </c>
      <c r="BG562" s="2038">
        <f t="shared" si="360"/>
        <v>6.6698415822747767</v>
      </c>
      <c r="BH562" s="2038">
        <f t="shared" si="360"/>
        <v>6.5579129319863601</v>
      </c>
      <c r="BI562" s="2038">
        <f t="shared" si="360"/>
        <v>6.4920069141548149</v>
      </c>
      <c r="BJ562" s="2038">
        <f t="shared" si="360"/>
        <v>6.4669626273788285</v>
      </c>
      <c r="BK562" s="2038">
        <f t="shared" si="360"/>
        <v>6.4574457984039535</v>
      </c>
      <c r="BL562" s="1517"/>
    </row>
    <row r="563" spans="1:64" s="1518" customFormat="1" x14ac:dyDescent="0.35">
      <c r="A563" s="1515"/>
      <c r="B563" s="1716"/>
      <c r="C563" s="1958"/>
      <c r="D563" s="1958"/>
      <c r="E563" s="1958"/>
      <c r="F563" s="1958"/>
      <c r="G563" s="1958"/>
      <c r="H563" s="1958"/>
      <c r="I563" s="1958"/>
      <c r="J563" s="1958"/>
      <c r="K563" s="1958"/>
      <c r="L563" s="1958"/>
      <c r="M563" s="1958"/>
      <c r="N563" s="1958"/>
      <c r="O563" s="1958"/>
      <c r="P563" s="1958"/>
      <c r="Q563" s="1958"/>
      <c r="R563" s="1958"/>
      <c r="S563" s="1958"/>
      <c r="T563" s="1958"/>
      <c r="U563" s="1958"/>
      <c r="V563" s="1958"/>
      <c r="W563" s="1958"/>
      <c r="X563" s="1958"/>
      <c r="Y563" s="1958"/>
      <c r="Z563" s="1958"/>
      <c r="AA563" s="1958"/>
      <c r="AB563" s="1958"/>
      <c r="AC563" s="1958"/>
      <c r="AD563" s="1958"/>
      <c r="AE563" s="1958"/>
      <c r="AF563" s="1958"/>
      <c r="AG563" s="1958"/>
      <c r="AH563" s="1958"/>
      <c r="AI563" s="1958"/>
      <c r="AJ563" s="1964"/>
      <c r="AK563" s="1958"/>
      <c r="AL563" s="1958"/>
      <c r="AM563" s="1958"/>
      <c r="AN563" s="1958"/>
      <c r="AO563" s="1958"/>
      <c r="AP563" s="1958"/>
      <c r="AQ563" s="1958"/>
      <c r="AR563" s="1961"/>
      <c r="AS563" s="1961"/>
      <c r="AT563" s="1961"/>
      <c r="AU563" s="1961"/>
      <c r="AV563" s="1961"/>
      <c r="AW563" s="1961"/>
      <c r="AX563" s="1961"/>
      <c r="AY563" s="1961"/>
      <c r="AZ563" s="1961"/>
      <c r="BA563" s="1961"/>
      <c r="BB563" s="1961"/>
      <c r="BC563" s="1961"/>
      <c r="BD563" s="1961"/>
      <c r="BE563" s="1961"/>
      <c r="BF563" s="1965"/>
      <c r="BG563" s="1961"/>
      <c r="BH563" s="1961"/>
      <c r="BI563" s="1961"/>
      <c r="BJ563" s="1961"/>
      <c r="BK563" s="1961"/>
      <c r="BL563" s="1517"/>
    </row>
    <row r="564" spans="1:64" s="1518" customFormat="1" x14ac:dyDescent="0.35">
      <c r="A564" s="1607" t="s">
        <v>1192</v>
      </c>
      <c r="B564" s="1712"/>
      <c r="C564" s="2028"/>
      <c r="D564" s="2028"/>
      <c r="E564" s="2028"/>
      <c r="F564" s="2028"/>
      <c r="G564" s="2028"/>
      <c r="H564" s="2028"/>
      <c r="I564" s="2028"/>
      <c r="J564" s="2028"/>
      <c r="K564" s="2028"/>
      <c r="L564" s="2028"/>
      <c r="M564" s="2028"/>
      <c r="N564" s="2028"/>
      <c r="O564" s="2028"/>
      <c r="P564" s="2028"/>
      <c r="Q564" s="2028"/>
      <c r="R564" s="2028"/>
      <c r="S564" s="2028"/>
      <c r="T564" s="2028"/>
      <c r="U564" s="2028"/>
      <c r="V564" s="2028"/>
      <c r="W564" s="2028"/>
      <c r="X564" s="2028"/>
      <c r="Y564" s="2028">
        <f>X568</f>
        <v>269.80099999999999</v>
      </c>
      <c r="Z564" s="2028">
        <f>Y568</f>
        <v>254.101</v>
      </c>
      <c r="AA564" s="2029">
        <f>BD568</f>
        <v>297.14600000000002</v>
      </c>
      <c r="AB564" s="2028">
        <f>AA568</f>
        <v>282.053</v>
      </c>
      <c r="AC564" s="2028">
        <f>AB568</f>
        <v>266.49700000000001</v>
      </c>
      <c r="AD564" s="2028">
        <f>AC568</f>
        <v>254.61</v>
      </c>
      <c r="AE564" s="2029">
        <f>BE568</f>
        <v>241.036</v>
      </c>
      <c r="AF564" s="2028">
        <f>AE568</f>
        <v>263.10899999999998</v>
      </c>
      <c r="AG564" s="2028">
        <f>AF568</f>
        <v>251.03100000000001</v>
      </c>
      <c r="AH564" s="2028">
        <f>AG568</f>
        <v>240.482</v>
      </c>
      <c r="AI564" s="2029">
        <f>BF568</f>
        <v>230.21199999999999</v>
      </c>
      <c r="AJ564" s="2030">
        <f>AI568</f>
        <v>264.55799999999999</v>
      </c>
      <c r="AK564" s="2028">
        <f>AJ568</f>
        <v>255.04900000000001</v>
      </c>
      <c r="AL564" s="2028">
        <f>AK568</f>
        <v>246.2268644808743</v>
      </c>
      <c r="AM564" s="2028">
        <f>BG568</f>
        <v>237.84824615724565</v>
      </c>
      <c r="AN564" s="2028">
        <f>AM568</f>
        <v>230.11874360702532</v>
      </c>
      <c r="AO564" s="2028">
        <f>AN568</f>
        <v>222.64432954223665</v>
      </c>
      <c r="AP564" s="2028">
        <f>AO568</f>
        <v>215.42061539544991</v>
      </c>
      <c r="AQ564" s="2028"/>
      <c r="AR564" s="2031"/>
      <c r="AS564" s="2031"/>
      <c r="AT564" s="2031"/>
      <c r="AU564" s="2031"/>
      <c r="AV564" s="2031"/>
      <c r="AW564" s="2031"/>
      <c r="AX564" s="2031"/>
      <c r="AY564" s="2031"/>
      <c r="AZ564" s="2031"/>
      <c r="BA564" s="2031"/>
      <c r="BB564" s="2031"/>
      <c r="BC564" s="2032">
        <f t="shared" ref="BC564:BK564" si="361">BB568</f>
        <v>370.16399999999999</v>
      </c>
      <c r="BD564" s="2032">
        <f t="shared" si="361"/>
        <v>300.54399999999998</v>
      </c>
      <c r="BE564" s="2032">
        <f t="shared" si="361"/>
        <v>297.14600000000002</v>
      </c>
      <c r="BF564" s="2033">
        <f t="shared" si="361"/>
        <v>241.036</v>
      </c>
      <c r="BG564" s="2031">
        <f t="shared" si="361"/>
        <v>230.21199999999999</v>
      </c>
      <c r="BH564" s="2031">
        <f t="shared" si="361"/>
        <v>237.84824615724565</v>
      </c>
      <c r="BI564" s="2031">
        <f t="shared" si="361"/>
        <v>208.56105560565189</v>
      </c>
      <c r="BJ564" s="2031">
        <f t="shared" si="361"/>
        <v>182.84884448452152</v>
      </c>
      <c r="BK564" s="2031">
        <f t="shared" si="361"/>
        <v>162.27907558761723</v>
      </c>
      <c r="BL564" s="1517"/>
    </row>
    <row r="565" spans="1:64" s="1518" customFormat="1" x14ac:dyDescent="0.35">
      <c r="A565" s="1591" t="s">
        <v>1193</v>
      </c>
      <c r="B565" s="1716"/>
      <c r="C565" s="1958"/>
      <c r="D565" s="1958"/>
      <c r="E565" s="1958"/>
      <c r="F565" s="1958"/>
      <c r="G565" s="1958"/>
      <c r="H565" s="1958"/>
      <c r="I565" s="1958"/>
      <c r="J565" s="1958"/>
      <c r="K565" s="1958"/>
      <c r="L565" s="1958"/>
      <c r="M565" s="1958"/>
      <c r="N565" s="1958"/>
      <c r="O565" s="1958"/>
      <c r="P565" s="1958"/>
      <c r="Q565" s="1958"/>
      <c r="R565" s="1958"/>
      <c r="S565" s="1958"/>
      <c r="T565" s="1958"/>
      <c r="U565" s="1958"/>
      <c r="V565" s="1958"/>
      <c r="W565" s="1958"/>
      <c r="X565" s="1958"/>
      <c r="Y565" s="1958">
        <f t="shared" ref="Y565:AJ565" si="362">-Y190</f>
        <v>-19.245999999999999</v>
      </c>
      <c r="Z565" s="1958">
        <f t="shared" si="362"/>
        <v>-19.870999999999999</v>
      </c>
      <c r="AA565" s="1959">
        <f t="shared" si="362"/>
        <v>-19.055999999999997</v>
      </c>
      <c r="AB565" s="1958">
        <f t="shared" si="362"/>
        <v>-18.771999999999998</v>
      </c>
      <c r="AC565" s="1958">
        <f t="shared" si="362"/>
        <v>-15.47</v>
      </c>
      <c r="AD565" s="1958">
        <f t="shared" si="362"/>
        <v>-12.742000000000003</v>
      </c>
      <c r="AE565" s="1959">
        <f t="shared" si="362"/>
        <v>-14.122</v>
      </c>
      <c r="AF565" s="1958">
        <f t="shared" si="362"/>
        <v>-15.22</v>
      </c>
      <c r="AG565" s="1958">
        <f t="shared" si="362"/>
        <v>-15.074999999999999</v>
      </c>
      <c r="AH565" s="1958">
        <f t="shared" si="362"/>
        <v>-14.835999999999997</v>
      </c>
      <c r="AI565" s="1959">
        <f t="shared" si="362"/>
        <v>-14.87</v>
      </c>
      <c r="AJ565" s="1964">
        <f t="shared" si="362"/>
        <v>-14.92</v>
      </c>
      <c r="AK565" s="1958">
        <f>-AK564*AK571*AK3/BG3</f>
        <v>-12.822135519125684</v>
      </c>
      <c r="AL565" s="1958">
        <f>-AL564*AL571*AL3/BG3</f>
        <v>-12.378618323628654</v>
      </c>
      <c r="AM565" s="1958">
        <f>-AM564*AM571*AM3/BH3</f>
        <v>-11.729502550220335</v>
      </c>
      <c r="AN565" s="1958">
        <f>-AN564*AN571*AN3/BH3</f>
        <v>-11.474414064788663</v>
      </c>
      <c r="AO565" s="1958">
        <f>-AO564*AO571*AO3/BH3</f>
        <v>-11.223714146786723</v>
      </c>
      <c r="AP565" s="1958">
        <f>-AP564*AP571*AP3/BH3</f>
        <v>-10.859559789798023</v>
      </c>
      <c r="AQ565" s="1958"/>
      <c r="AR565" s="1961"/>
      <c r="AS565" s="1961"/>
      <c r="AT565" s="1961"/>
      <c r="AU565" s="1961"/>
      <c r="AV565" s="1961"/>
      <c r="AW565" s="1961"/>
      <c r="AX565" s="1961"/>
      <c r="AY565" s="1961"/>
      <c r="AZ565" s="1961"/>
      <c r="BA565" s="1961"/>
      <c r="BB565" s="1961"/>
      <c r="BC565" s="1962">
        <f>-BC190</f>
        <v>-84.099000000000004</v>
      </c>
      <c r="BD565" s="1962">
        <f>-BD190</f>
        <v>-77.563999999999993</v>
      </c>
      <c r="BE565" s="1962">
        <f>-BE190</f>
        <v>-66.040000000000006</v>
      </c>
      <c r="BF565" s="1963">
        <f>-BF190</f>
        <v>-59.253</v>
      </c>
      <c r="BG565" s="1961">
        <f>IF(OR(ISBLANK(AI565),ISBLANK(AJ565),ISBLANK(AK565),ISBLANK(AL565)),"n/a",SUM(AI565,AJ565,AK565,AL565))</f>
        <v>-54.990753842754344</v>
      </c>
      <c r="BH565" s="1961">
        <f>IF(OR(ISBLANK(AM565),ISBLANK(AN565),ISBLANK(AO565),ISBLANK(AP565)),"n/a",SUM(AM565,AN565,AO565,AP565))</f>
        <v>-45.287190551593753</v>
      </c>
      <c r="BI565" s="1961">
        <f>-BI564*BI571</f>
        <v>-41.71221112113038</v>
      </c>
      <c r="BJ565" s="1961">
        <f>-BJ564*BJ571</f>
        <v>-36.569768896904307</v>
      </c>
      <c r="BK565" s="1961">
        <f>-BK564*BK571</f>
        <v>-32.45581511752345</v>
      </c>
      <c r="BL565" s="1517"/>
    </row>
    <row r="566" spans="1:64" s="1518" customFormat="1" x14ac:dyDescent="0.35">
      <c r="A566" s="1591" t="s">
        <v>1194</v>
      </c>
      <c r="B566" s="1716"/>
      <c r="C566" s="1958"/>
      <c r="D566" s="1958"/>
      <c r="E566" s="1958"/>
      <c r="F566" s="1958"/>
      <c r="G566" s="1958"/>
      <c r="H566" s="1958"/>
      <c r="I566" s="1958"/>
      <c r="J566" s="1958"/>
      <c r="K566" s="1958"/>
      <c r="L566" s="1958"/>
      <c r="M566" s="1958"/>
      <c r="N566" s="1958"/>
      <c r="O566" s="1958"/>
      <c r="P566" s="1958"/>
      <c r="Q566" s="1958"/>
      <c r="R566" s="1958"/>
      <c r="S566" s="1958"/>
      <c r="T566" s="1958"/>
      <c r="U566" s="1958"/>
      <c r="V566" s="1958"/>
      <c r="W566" s="1958"/>
      <c r="X566" s="1958"/>
      <c r="Y566" s="1958">
        <f t="shared" ref="Y566:AJ566" si="363">-Y520</f>
        <v>3.952</v>
      </c>
      <c r="Z566" s="1958">
        <f t="shared" si="363"/>
        <v>3.8729999999999993</v>
      </c>
      <c r="AA566" s="1959">
        <f t="shared" si="363"/>
        <v>3.742</v>
      </c>
      <c r="AB566" s="1958">
        <f t="shared" si="363"/>
        <v>3.8739999999999997</v>
      </c>
      <c r="AC566" s="1958">
        <f t="shared" si="363"/>
        <v>4.1029999999999998</v>
      </c>
      <c r="AD566" s="1958">
        <f t="shared" si="363"/>
        <v>3.9700000000000006</v>
      </c>
      <c r="AE566" s="1959">
        <f t="shared" si="363"/>
        <v>4.12</v>
      </c>
      <c r="AF566" s="1958">
        <f t="shared" si="363"/>
        <v>4.4690000000000003</v>
      </c>
      <c r="AG566" s="1958">
        <f t="shared" si="363"/>
        <v>4.7750000000000004</v>
      </c>
      <c r="AH566" s="1958">
        <f t="shared" si="363"/>
        <v>4.4379999999999988</v>
      </c>
      <c r="AI566" s="1959">
        <f t="shared" si="363"/>
        <v>4.9470000000000001</v>
      </c>
      <c r="AJ566" s="1964">
        <f t="shared" si="363"/>
        <v>5.4080000000000004</v>
      </c>
      <c r="AK566" s="1958">
        <f t="shared" ref="AK566:AP566" si="364">AK576*AK577</f>
        <v>4</v>
      </c>
      <c r="AL566" s="1958">
        <f t="shared" si="364"/>
        <v>4</v>
      </c>
      <c r="AM566" s="1958">
        <f t="shared" si="364"/>
        <v>4</v>
      </c>
      <c r="AN566" s="1958">
        <f t="shared" si="364"/>
        <v>4</v>
      </c>
      <c r="AO566" s="1958">
        <f t="shared" si="364"/>
        <v>4</v>
      </c>
      <c r="AP566" s="1958">
        <f t="shared" si="364"/>
        <v>4</v>
      </c>
      <c r="AQ566" s="1958"/>
      <c r="AR566" s="1961"/>
      <c r="AS566" s="1961"/>
      <c r="AT566" s="1961"/>
      <c r="AU566" s="1961"/>
      <c r="AV566" s="1961"/>
      <c r="AW566" s="1961"/>
      <c r="AX566" s="1961"/>
      <c r="AY566" s="1961"/>
      <c r="AZ566" s="1961"/>
      <c r="BA566" s="1961"/>
      <c r="BB566" s="1961"/>
      <c r="BC566" s="1962">
        <f>-BC520</f>
        <v>14.185</v>
      </c>
      <c r="BD566" s="1962">
        <f>-BD520</f>
        <v>15.86</v>
      </c>
      <c r="BE566" s="1962">
        <f>-BE520</f>
        <v>15.689</v>
      </c>
      <c r="BF566" s="1963">
        <f>-BF520</f>
        <v>17.802</v>
      </c>
      <c r="BG566" s="1961">
        <f>IF(OR(ISBLANK(AI566),ISBLANK(AJ566),ISBLANK(AK566),ISBLANK(AL566)),"n/a",SUM(AI566,AJ566,AK566,AL566))</f>
        <v>18.355</v>
      </c>
      <c r="BH566" s="1961">
        <f>IF(OR(ISBLANK(AM566),ISBLANK(AN566),ISBLANK(AO566),ISBLANK(AP566)),"n/a",SUM(AM566,AN566,AO566,AP566))</f>
        <v>16</v>
      </c>
      <c r="BI566" s="1961">
        <f>BI576*BI577</f>
        <v>16</v>
      </c>
      <c r="BJ566" s="1961">
        <f>BJ576*BJ577</f>
        <v>16</v>
      </c>
      <c r="BK566" s="1961">
        <f>BK576*BK577</f>
        <v>16</v>
      </c>
      <c r="BL566" s="1517"/>
    </row>
    <row r="567" spans="1:64" s="1518" customFormat="1" x14ac:dyDescent="0.35">
      <c r="A567" s="1591" t="s">
        <v>1195</v>
      </c>
      <c r="B567" s="1716"/>
      <c r="C567" s="1958"/>
      <c r="D567" s="1958"/>
      <c r="E567" s="1958"/>
      <c r="F567" s="1958"/>
      <c r="G567" s="1958"/>
      <c r="H567" s="1958"/>
      <c r="I567" s="1958"/>
      <c r="J567" s="1958"/>
      <c r="K567" s="1958"/>
      <c r="L567" s="1958"/>
      <c r="M567" s="1958"/>
      <c r="N567" s="1958"/>
      <c r="O567" s="1958"/>
      <c r="P567" s="1958"/>
      <c r="Q567" s="1958"/>
      <c r="R567" s="1958"/>
      <c r="S567" s="1958"/>
      <c r="T567" s="1958"/>
      <c r="U567" s="1958"/>
      <c r="V567" s="1958"/>
      <c r="W567" s="1958"/>
      <c r="X567" s="1958"/>
      <c r="Y567" s="1958">
        <f t="shared" ref="Y567:AP567" si="365">ROUND(Y568-Y564-Y565-Y566,6)</f>
        <v>-0.40600000000000003</v>
      </c>
      <c r="Z567" s="1958">
        <f t="shared" si="365"/>
        <v>59.042999999999999</v>
      </c>
      <c r="AA567" s="1959">
        <f t="shared" si="365"/>
        <v>0.221</v>
      </c>
      <c r="AB567" s="1958">
        <f t="shared" si="365"/>
        <v>-0.65800000000000003</v>
      </c>
      <c r="AC567" s="1958">
        <f t="shared" si="365"/>
        <v>-0.52</v>
      </c>
      <c r="AD567" s="1958">
        <f t="shared" si="365"/>
        <v>-4.8019999999999996</v>
      </c>
      <c r="AE567" s="1959">
        <f t="shared" si="365"/>
        <v>32.075000000000003</v>
      </c>
      <c r="AF567" s="1958">
        <f t="shared" si="365"/>
        <v>-1.327</v>
      </c>
      <c r="AG567" s="1958">
        <f t="shared" si="365"/>
        <v>-0.249</v>
      </c>
      <c r="AH567" s="1958">
        <f t="shared" si="365"/>
        <v>0.128</v>
      </c>
      <c r="AI567" s="1959">
        <f t="shared" si="365"/>
        <v>44.268999999999998</v>
      </c>
      <c r="AJ567" s="1964">
        <f t="shared" si="365"/>
        <v>3.0000000000000001E-3</v>
      </c>
      <c r="AK567" s="1958">
        <f t="shared" si="365"/>
        <v>0</v>
      </c>
      <c r="AL567" s="1958">
        <f t="shared" si="365"/>
        <v>0</v>
      </c>
      <c r="AM567" s="1958">
        <f t="shared" si="365"/>
        <v>0</v>
      </c>
      <c r="AN567" s="1958">
        <f t="shared" si="365"/>
        <v>0</v>
      </c>
      <c r="AO567" s="1958">
        <f t="shared" si="365"/>
        <v>0</v>
      </c>
      <c r="AP567" s="1958">
        <f t="shared" si="365"/>
        <v>0</v>
      </c>
      <c r="AQ567" s="1958"/>
      <c r="AR567" s="1961"/>
      <c r="AS567" s="1961"/>
      <c r="AT567" s="1961"/>
      <c r="AU567" s="1961"/>
      <c r="AV567" s="1961"/>
      <c r="AW567" s="1961"/>
      <c r="AX567" s="1961"/>
      <c r="AY567" s="1961"/>
      <c r="AZ567" s="1961"/>
      <c r="BA567" s="1961"/>
      <c r="BB567" s="1961"/>
      <c r="BC567" s="1962">
        <f>ROUND(BC568-BC564-BC565-BC566,6)</f>
        <v>0.29399999999999998</v>
      </c>
      <c r="BD567" s="1962">
        <f>ROUND(BD568-BD564-BD565-BD566,6)</f>
        <v>58.305999999999997</v>
      </c>
      <c r="BE567" s="1962">
        <f>ROUND(BE568-BE564-BE565-BE566,6)</f>
        <v>-5.7590000000000003</v>
      </c>
      <c r="BF567" s="1963">
        <f>ROUND(BF568-BF564-BF565-BF566,6)</f>
        <v>30.626999999999999</v>
      </c>
      <c r="BG567" s="1961">
        <f>ROUND(BG568-BG564-IF(ISNUMBER(BG565),BG565,0)-IF(ISNUMBER(BG566),BG566,0),6)</f>
        <v>44.271999999999998</v>
      </c>
      <c r="BH567" s="1961">
        <f>ROUND(BH568-BH564-IF(ISNUMBER(BH565),BH565,0)-IF(ISNUMBER(BH566),BH566,0),6)</f>
        <v>0</v>
      </c>
      <c r="BI567" s="1961">
        <f>ROUND(BI568-BI564-BI565-BI566,6)</f>
        <v>0</v>
      </c>
      <c r="BJ567" s="1961">
        <f>ROUND(BJ568-BJ564-BJ565-BJ566,6)</f>
        <v>0</v>
      </c>
      <c r="BK567" s="1961">
        <f>ROUND(BK568-BK564-BK565-BK566,6)</f>
        <v>0</v>
      </c>
      <c r="BL567" s="1517"/>
    </row>
    <row r="568" spans="1:64" s="1518" customFormat="1" x14ac:dyDescent="0.35">
      <c r="A568" s="2034" t="s">
        <v>1196</v>
      </c>
      <c r="B568" s="1917"/>
      <c r="C568" s="2035"/>
      <c r="D568" s="2035"/>
      <c r="E568" s="2035"/>
      <c r="F568" s="2035"/>
      <c r="G568" s="2035"/>
      <c r="H568" s="2035"/>
      <c r="I568" s="2035"/>
      <c r="J568" s="2035"/>
      <c r="K568" s="2035"/>
      <c r="L568" s="2035"/>
      <c r="M568" s="2035"/>
      <c r="N568" s="2035"/>
      <c r="O568" s="2035"/>
      <c r="P568" s="2035"/>
      <c r="Q568" s="2035"/>
      <c r="R568" s="2035"/>
      <c r="S568" s="2035"/>
      <c r="T568" s="2035"/>
      <c r="U568" s="2035"/>
      <c r="V568" s="2035"/>
      <c r="W568" s="2035"/>
      <c r="X568" s="2036">
        <f t="shared" ref="X568:AP568" si="366">X603</f>
        <v>269.80099999999999</v>
      </c>
      <c r="Y568" s="2036">
        <f t="shared" si="366"/>
        <v>254.101</v>
      </c>
      <c r="Z568" s="2036">
        <f t="shared" si="366"/>
        <v>297.14600000000002</v>
      </c>
      <c r="AA568" s="2036">
        <f t="shared" si="366"/>
        <v>282.053</v>
      </c>
      <c r="AB568" s="2036">
        <f t="shared" si="366"/>
        <v>266.49700000000001</v>
      </c>
      <c r="AC568" s="2036">
        <f t="shared" si="366"/>
        <v>254.61</v>
      </c>
      <c r="AD568" s="2036">
        <f t="shared" si="366"/>
        <v>241.036</v>
      </c>
      <c r="AE568" s="2036">
        <f t="shared" si="366"/>
        <v>263.10899999999998</v>
      </c>
      <c r="AF568" s="2036">
        <f t="shared" si="366"/>
        <v>251.03100000000001</v>
      </c>
      <c r="AG568" s="2036">
        <f t="shared" si="366"/>
        <v>240.482</v>
      </c>
      <c r="AH568" s="2036">
        <f t="shared" si="366"/>
        <v>230.21199999999999</v>
      </c>
      <c r="AI568" s="2036">
        <f t="shared" si="366"/>
        <v>264.55799999999999</v>
      </c>
      <c r="AJ568" s="2037">
        <f t="shared" si="366"/>
        <v>255.04900000000001</v>
      </c>
      <c r="AK568" s="2035">
        <f t="shared" si="366"/>
        <v>246.2268644808743</v>
      </c>
      <c r="AL568" s="2035">
        <f t="shared" si="366"/>
        <v>237.84824615724565</v>
      </c>
      <c r="AM568" s="2035">
        <f t="shared" si="366"/>
        <v>230.11874360702532</v>
      </c>
      <c r="AN568" s="2035">
        <f t="shared" si="366"/>
        <v>222.64432954223665</v>
      </c>
      <c r="AO568" s="2035">
        <f t="shared" si="366"/>
        <v>215.42061539544991</v>
      </c>
      <c r="AP568" s="2035">
        <f t="shared" si="366"/>
        <v>208.56105560565189</v>
      </c>
      <c r="AQ568" s="2035"/>
      <c r="AR568" s="2038"/>
      <c r="AS568" s="2038"/>
      <c r="AT568" s="2038"/>
      <c r="AU568" s="2038"/>
      <c r="AV568" s="2038"/>
      <c r="AW568" s="2038"/>
      <c r="AX568" s="2038"/>
      <c r="AY568" s="2038"/>
      <c r="AZ568" s="2038"/>
      <c r="BA568" s="2038"/>
      <c r="BB568" s="2039">
        <f t="shared" ref="BB568:BK568" si="367">BB603</f>
        <v>370.16399999999999</v>
      </c>
      <c r="BC568" s="2039">
        <f t="shared" si="367"/>
        <v>300.54399999999998</v>
      </c>
      <c r="BD568" s="2039">
        <f t="shared" si="367"/>
        <v>297.14600000000002</v>
      </c>
      <c r="BE568" s="2039">
        <f t="shared" si="367"/>
        <v>241.036</v>
      </c>
      <c r="BF568" s="2040">
        <f t="shared" si="367"/>
        <v>230.21199999999999</v>
      </c>
      <c r="BG568" s="2038">
        <f t="shared" si="367"/>
        <v>237.84824615724565</v>
      </c>
      <c r="BH568" s="2038">
        <f t="shared" si="367"/>
        <v>208.56105560565189</v>
      </c>
      <c r="BI568" s="2038">
        <f t="shared" si="367"/>
        <v>182.84884448452152</v>
      </c>
      <c r="BJ568" s="2038">
        <f t="shared" si="367"/>
        <v>162.27907558761723</v>
      </c>
      <c r="BK568" s="2038">
        <f t="shared" si="367"/>
        <v>145.82326047009377</v>
      </c>
      <c r="BL568" s="1517"/>
    </row>
    <row r="569" spans="1:64" s="1518" customFormat="1" x14ac:dyDescent="0.35">
      <c r="A569" s="1515"/>
      <c r="B569" s="1716"/>
      <c r="C569" s="1958"/>
      <c r="D569" s="1958"/>
      <c r="E569" s="1958"/>
      <c r="F569" s="1958"/>
      <c r="G569" s="1958"/>
      <c r="H569" s="1958"/>
      <c r="I569" s="1958"/>
      <c r="J569" s="1958"/>
      <c r="K569" s="1958"/>
      <c r="L569" s="1958"/>
      <c r="M569" s="1958"/>
      <c r="N569" s="1958"/>
      <c r="O569" s="1958"/>
      <c r="P569" s="1958"/>
      <c r="Q569" s="1958"/>
      <c r="R569" s="1958"/>
      <c r="S569" s="1958"/>
      <c r="T569" s="1958"/>
      <c r="U569" s="1958"/>
      <c r="V569" s="1958"/>
      <c r="W569" s="1958"/>
      <c r="X569" s="1958"/>
      <c r="Y569" s="1958"/>
      <c r="Z569" s="1958"/>
      <c r="AA569" s="1958"/>
      <c r="AB569" s="1958"/>
      <c r="AC569" s="1958"/>
      <c r="AD569" s="1958"/>
      <c r="AE569" s="1958"/>
      <c r="AF569" s="1958"/>
      <c r="AG569" s="1958"/>
      <c r="AH569" s="1958"/>
      <c r="AI569" s="1958"/>
      <c r="AJ569" s="1964"/>
      <c r="AK569" s="1958"/>
      <c r="AL569" s="1958"/>
      <c r="AM569" s="1958"/>
      <c r="AN569" s="1958"/>
      <c r="AO569" s="1958"/>
      <c r="AP569" s="1958"/>
      <c r="AQ569" s="1958"/>
      <c r="AR569" s="1961"/>
      <c r="AS569" s="1961"/>
      <c r="AT569" s="1961"/>
      <c r="AU569" s="1961"/>
      <c r="AV569" s="1961"/>
      <c r="AW569" s="1961"/>
      <c r="AX569" s="1961"/>
      <c r="AY569" s="1961"/>
      <c r="AZ569" s="1961"/>
      <c r="BA569" s="1961"/>
      <c r="BB569" s="1961"/>
      <c r="BC569" s="1961"/>
      <c r="BD569" s="1961"/>
      <c r="BE569" s="1961"/>
      <c r="BF569" s="1965"/>
      <c r="BG569" s="1961"/>
      <c r="BH569" s="1961"/>
      <c r="BI569" s="1961"/>
      <c r="BJ569" s="1961"/>
      <c r="BK569" s="1961"/>
      <c r="BL569" s="1517"/>
    </row>
    <row r="570" spans="1:64" s="1518" customFormat="1" x14ac:dyDescent="0.35">
      <c r="A570" s="2041" t="s">
        <v>1197</v>
      </c>
      <c r="B570" s="1746"/>
      <c r="C570" s="1694"/>
      <c r="D570" s="1694"/>
      <c r="E570" s="1694"/>
      <c r="F570" s="1694"/>
      <c r="G570" s="1694"/>
      <c r="H570" s="1694"/>
      <c r="I570" s="1694"/>
      <c r="J570" s="1694"/>
      <c r="K570" s="1694"/>
      <c r="L570" s="1694"/>
      <c r="M570" s="1694"/>
      <c r="N570" s="1694"/>
      <c r="O570" s="1694"/>
      <c r="P570" s="1694"/>
      <c r="Q570" s="1694"/>
      <c r="R570" s="1694"/>
      <c r="S570" s="1694"/>
      <c r="T570" s="1694"/>
      <c r="U570" s="1694"/>
      <c r="V570" s="1694"/>
      <c r="W570" s="1694"/>
      <c r="X570" s="1694"/>
      <c r="Y570" s="2042">
        <f>IFERROR(-Y559/Y558*BD3/Y3,"n/a")</f>
        <v>0.4269768549831337</v>
      </c>
      <c r="Z570" s="2042">
        <f>IFERROR(-Z559/Z558*BD3/Z3,"n/a")</f>
        <v>0.38096709279314622</v>
      </c>
      <c r="AA570" s="2042">
        <f>IFERROR(-AA559/AA558*BE3/AA3,"n/a")</f>
        <v>0.40103479963242633</v>
      </c>
      <c r="AB570" s="1694">
        <f>IFERROR(-AB559/AB558*BE3/AB3,"n/a")</f>
        <v>0.38193281787464617</v>
      </c>
      <c r="AC570" s="2042">
        <f>IFERROR(-AC559/AC558*BE3/AC3,"n/a")</f>
        <v>0.37469996005689093</v>
      </c>
      <c r="AD570" s="2042">
        <f>IFERROR(-AD559/AD558*BE3/AD3,"n/a")</f>
        <v>1.3739257228216288</v>
      </c>
      <c r="AE570" s="2042">
        <f>IFERROR(-AE559/AE558*BF3/AE3,"n/a")</f>
        <v>0.39218214443047639</v>
      </c>
      <c r="AF570" s="1694">
        <f>IFERROR(-AF559/AF558*BF3/AF3,"n/a")</f>
        <v>0.37603021978021978</v>
      </c>
      <c r="AG570" s="2042">
        <f>IFERROR(-AG559/AG558*BF3/AG3,"n/a")</f>
        <v>0.43159002494945081</v>
      </c>
      <c r="AH570" s="2042">
        <f>IFERROR(-AH559/AH558*BF3/AH3,"n/a")</f>
        <v>0.48712853668663614</v>
      </c>
      <c r="AI570" s="2042">
        <f>IFERROR(-AI559/AI558*BG3/AI3,"n/a")</f>
        <v>0.47040678619625981</v>
      </c>
      <c r="AJ570" s="2043">
        <f>IFERROR(-AJ559/AJ558*BG3/AJ3,"n/a")</f>
        <v>0.49389824256791104</v>
      </c>
      <c r="AK570" s="2044">
        <v>0.62</v>
      </c>
      <c r="AL570" s="2044">
        <v>0.62</v>
      </c>
      <c r="AM570" s="2044">
        <v>0.62</v>
      </c>
      <c r="AN570" s="2044">
        <v>0.62</v>
      </c>
      <c r="AO570" s="2044">
        <v>0.62</v>
      </c>
      <c r="AP570" s="2044">
        <v>0.62</v>
      </c>
      <c r="AQ570" s="2045"/>
      <c r="AR570" s="1695"/>
      <c r="AS570" s="1695"/>
      <c r="AT570" s="1695"/>
      <c r="AU570" s="1695"/>
      <c r="AV570" s="1695"/>
      <c r="AW570" s="1695"/>
      <c r="AX570" s="1695"/>
      <c r="AY570" s="1695"/>
      <c r="AZ570" s="1695"/>
      <c r="BA570" s="1695"/>
      <c r="BB570" s="1695"/>
      <c r="BC570" s="2046">
        <f>IFERROR(-BC559/BC558,"n/a")</f>
        <v>0.35008135693506237</v>
      </c>
      <c r="BD570" s="2046">
        <f>IFERROR(-BD559/BD558,"n/a")</f>
        <v>0.31847133757961782</v>
      </c>
      <c r="BE570" s="2046">
        <f>IFERROR(-BE559/BE558,"n/a")</f>
        <v>0.638259618842143</v>
      </c>
      <c r="BF570" s="2047">
        <f>IFERROR(-BF559/BF558,"n/a")</f>
        <v>0.34812880765883381</v>
      </c>
      <c r="BG570" s="1695">
        <f>AVERAGE(AI570,AJ570,AK570,AL570)</f>
        <v>0.5510762571910427</v>
      </c>
      <c r="BH570" s="1695">
        <f>AVERAGE(AM570,AN570,AO570,AP570)</f>
        <v>0.62</v>
      </c>
      <c r="BI570" s="2048">
        <v>0.62</v>
      </c>
      <c r="BJ570" s="2048">
        <v>0.62</v>
      </c>
      <c r="BK570" s="2048">
        <v>0.62</v>
      </c>
      <c r="BL570" s="1517"/>
    </row>
    <row r="571" spans="1:64" s="1518" customFormat="1" x14ac:dyDescent="0.35">
      <c r="A571" s="2041" t="s">
        <v>1198</v>
      </c>
      <c r="B571" s="1746"/>
      <c r="C571" s="1694"/>
      <c r="D571" s="1694"/>
      <c r="E571" s="1694"/>
      <c r="F571" s="1694"/>
      <c r="G571" s="1694"/>
      <c r="H571" s="1694"/>
      <c r="I571" s="1694"/>
      <c r="J571" s="1694"/>
      <c r="K571" s="1694"/>
      <c r="L571" s="1694"/>
      <c r="M571" s="1694"/>
      <c r="N571" s="1694"/>
      <c r="O571" s="1694"/>
      <c r="P571" s="1694"/>
      <c r="Q571" s="1694"/>
      <c r="R571" s="1694"/>
      <c r="S571" s="1694"/>
      <c r="T571" s="1694"/>
      <c r="U571" s="1694"/>
      <c r="V571" s="1694"/>
      <c r="W571" s="1694"/>
      <c r="X571" s="1694"/>
      <c r="Y571" s="2042">
        <f>IFERROR(-Y565/Y564*BD3/Y3,"n/a")</f>
        <v>0.28301011873002047</v>
      </c>
      <c r="Z571" s="2042">
        <f>IFERROR(-Z565/Z564*BD3/Z3,"n/a")</f>
        <v>0.31025471213688904</v>
      </c>
      <c r="AA571" s="2042">
        <f>IFERROR(-AA565/AA564*BE3/AA3,"n/a")</f>
        <v>0.26008314655646264</v>
      </c>
      <c r="AB571" s="1694">
        <f>IFERROR(-AB565/AB564*BE3/AB3,"n/a")</f>
        <v>0.26695084155915982</v>
      </c>
      <c r="AC571" s="2042">
        <f>IFERROR(-AC565/AC564*BE3/AC3,"n/a")</f>
        <v>0.23030481948487549</v>
      </c>
      <c r="AD571" s="2042">
        <f>IFERROR(-AD565/AD564*BE3/AD3,"n/a")</f>
        <v>0.19854876084992737</v>
      </c>
      <c r="AE571" s="2042">
        <f>IFERROR(-AE565/AE564*BF3/AE3,"n/a")</f>
        <v>0.23760996513199503</v>
      </c>
      <c r="AF571" s="1694">
        <f>IFERROR(-AF565/AF564*BF3/AF3,"n/a")</f>
        <v>0.23202267025169324</v>
      </c>
      <c r="AG571" s="2042">
        <f>IFERROR(-AG565/AG564*BF3/AG3,"n/a")</f>
        <v>0.23825114791815941</v>
      </c>
      <c r="AH571" s="2042">
        <f>IFERROR(-AH565/AH564*BF3/AH3,"n/a")</f>
        <v>0.24475934744099073</v>
      </c>
      <c r="AI571" s="2042">
        <f>IFERROR(-AI565/AI564*BG3/AI3,"n/a")</f>
        <v>0.25979016379169279</v>
      </c>
      <c r="AJ571" s="2043">
        <f>IFERROR(-AJ565/AJ564*BG3/AJ3,"n/a")</f>
        <v>0.22682327537973559</v>
      </c>
      <c r="AK571" s="2044">
        <v>0.2</v>
      </c>
      <c r="AL571" s="2044">
        <v>0.2</v>
      </c>
      <c r="AM571" s="2044">
        <v>0.2</v>
      </c>
      <c r="AN571" s="2044">
        <v>0.2</v>
      </c>
      <c r="AO571" s="2044">
        <v>0.2</v>
      </c>
      <c r="AP571" s="2044">
        <v>0.2</v>
      </c>
      <c r="AQ571" s="2045"/>
      <c r="AR571" s="1695"/>
      <c r="AS571" s="1695"/>
      <c r="AT571" s="1695"/>
      <c r="AU571" s="1695"/>
      <c r="AV571" s="1695"/>
      <c r="AW571" s="1695"/>
      <c r="AX571" s="1695"/>
      <c r="AY571" s="1695"/>
      <c r="AZ571" s="1695"/>
      <c r="BA571" s="1695"/>
      <c r="BB571" s="1695"/>
      <c r="BC571" s="2046">
        <f>IFERROR(-BC565/BC564,"n/a")</f>
        <v>0.22719389243686583</v>
      </c>
      <c r="BD571" s="2046">
        <f>IFERROR(-BD565/BD564,"n/a")</f>
        <v>0.25807868398637135</v>
      </c>
      <c r="BE571" s="2046">
        <f>IFERROR(-BE565/BE564,"n/a")</f>
        <v>0.2222476493037093</v>
      </c>
      <c r="BF571" s="2047">
        <f>IFERROR(-BF565/BF564,"n/a")</f>
        <v>0.24582634959093247</v>
      </c>
      <c r="BG571" s="1695">
        <f>AVERAGE(AI571,AJ571,AK571,AL571)</f>
        <v>0.22165335979285711</v>
      </c>
      <c r="BH571" s="1695">
        <f>AVERAGE(AM571,AN571,AO571,AP571)</f>
        <v>0.2</v>
      </c>
      <c r="BI571" s="2048">
        <v>0.2</v>
      </c>
      <c r="BJ571" s="2048">
        <v>0.2</v>
      </c>
      <c r="BK571" s="2048">
        <v>0.2</v>
      </c>
      <c r="BL571" s="1517"/>
    </row>
    <row r="572" spans="1:64" s="1518" customFormat="1" x14ac:dyDescent="0.35">
      <c r="A572" s="1607" t="s">
        <v>1199</v>
      </c>
      <c r="B572" s="1712"/>
      <c r="C572" s="2049"/>
      <c r="D572" s="2049"/>
      <c r="E572" s="2049"/>
      <c r="F572" s="2049"/>
      <c r="G572" s="2049"/>
      <c r="H572" s="2049"/>
      <c r="I572" s="2049"/>
      <c r="J572" s="2049"/>
      <c r="K572" s="2049"/>
      <c r="L572" s="2049"/>
      <c r="M572" s="2049"/>
      <c r="N572" s="2049"/>
      <c r="O572" s="2049"/>
      <c r="P572" s="2049"/>
      <c r="Q572" s="2049"/>
      <c r="R572" s="2049"/>
      <c r="S572" s="2049"/>
      <c r="T572" s="2049"/>
      <c r="U572" s="2049"/>
      <c r="V572" s="2049"/>
      <c r="W572" s="2049"/>
      <c r="X572" s="2049"/>
      <c r="Y572" s="2050">
        <f>IFERROR(-Y558/Y559*Y3/BD3,"n/a")</f>
        <v>2.342047322540473</v>
      </c>
      <c r="Z572" s="2050">
        <f>IFERROR(-Z558/Z559*Z3/BD3,"n/a")</f>
        <v>2.6248986301369874</v>
      </c>
      <c r="AA572" s="2050">
        <f>IFERROR(-AA558/AA559*AA3/BE3,"n/a")</f>
        <v>2.4935491905354921</v>
      </c>
      <c r="AB572" s="2049">
        <f>IFERROR(-AB558/AB559*AB3/BE3,"n/a")</f>
        <v>2.6182615193026146</v>
      </c>
      <c r="AC572" s="2050">
        <f>IFERROR(-AC558/AC559*AC3/BE3,"n/a")</f>
        <v>2.66880199252802</v>
      </c>
      <c r="AD572" s="2050">
        <f>IFERROR(-AD558/AD559*AD3/BE3,"n/a")</f>
        <v>0.72784138428262457</v>
      </c>
      <c r="AE572" s="2050">
        <f>IFERROR(-AE558/AE559*AE3/BF3,"n/a")</f>
        <v>2.5498356164383562</v>
      </c>
      <c r="AF572" s="2049">
        <f>IFERROR(-AF558/AF559*AF3/BF3,"n/a")</f>
        <v>2.6593607305936073</v>
      </c>
      <c r="AG572" s="2050">
        <f>IFERROR(-AG558/AG559*AG3/BF3,"n/a")</f>
        <v>2.3170136986301366</v>
      </c>
      <c r="AH572" s="2050">
        <f>IFERROR(-AH558/AH559*AH3/BF3,"n/a")</f>
        <v>2.0528462709284629</v>
      </c>
      <c r="AI572" s="2050">
        <f>IFERROR(-AI558/AI559*AI3/BG3,"n/a")</f>
        <v>2.1258196721311475</v>
      </c>
      <c r="AJ572" s="2051">
        <f>IFERROR(-AJ558/AJ559*AJ3/BG3,"n/a")</f>
        <v>2.0247085610200362</v>
      </c>
      <c r="AK572" s="2049">
        <f>IFERROR(-AK558/AK559*AK3/BG3,"n/a")</f>
        <v>1.6129032258064517</v>
      </c>
      <c r="AL572" s="2049">
        <f>IFERROR(-AL558/AL559*AL3/BG3,"n/a")</f>
        <v>1.6129032258064515</v>
      </c>
      <c r="AM572" s="2049">
        <f>IFERROR(-AM558/AM559*AM3/BH3,"n/a")</f>
        <v>1.6129032258064517</v>
      </c>
      <c r="AN572" s="2049">
        <f>IFERROR(-AN558/AN559*AN3/BH3,"n/a")</f>
        <v>1.6129032258064515</v>
      </c>
      <c r="AO572" s="2049">
        <f>IFERROR(-AO558/AO559*AO3/BH3,"n/a")</f>
        <v>1.6129032258064517</v>
      </c>
      <c r="AP572" s="2049">
        <f>IFERROR(-AP558/AP559*AP3/BH3,"n/a")</f>
        <v>1.6129032258064517</v>
      </c>
      <c r="AQ572" s="2049"/>
      <c r="AR572" s="2052"/>
      <c r="AS572" s="2052"/>
      <c r="AT572" s="2052"/>
      <c r="AU572" s="2052"/>
      <c r="AV572" s="2052"/>
      <c r="AW572" s="2052"/>
      <c r="AX572" s="2052"/>
      <c r="AY572" s="2052"/>
      <c r="AZ572" s="2052"/>
      <c r="BA572" s="2052"/>
      <c r="BB572" s="2052"/>
      <c r="BC572" s="2053">
        <f>IFERROR(-BC558/BC559,"n/a")</f>
        <v>2.8564788732394364</v>
      </c>
      <c r="BD572" s="2053">
        <f>IFERROR(-BD558/BD559,"n/a")</f>
        <v>3.14</v>
      </c>
      <c r="BE572" s="2053">
        <f>IFERROR(-BE558/BE559,"n/a")</f>
        <v>1.5667605633802819</v>
      </c>
      <c r="BF572" s="2054">
        <f>IFERROR(-BF558/BF559,"n/a")</f>
        <v>2.8724999999999996</v>
      </c>
      <c r="BG572" s="2052">
        <f>AVERAGE(AI572,AJ572,AK572,AL572)</f>
        <v>1.8440836711910218</v>
      </c>
      <c r="BH572" s="2052">
        <f>AVERAGE(AM572,AN572,AO572,AP572)</f>
        <v>1.6129032258064517</v>
      </c>
      <c r="BI572" s="2052">
        <f>IFERROR(-BI558/BI559,"n/a")</f>
        <v>1.6129032258064515</v>
      </c>
      <c r="BJ572" s="2052">
        <f>IFERROR(-BJ558/BJ559,"n/a")</f>
        <v>1.6129032258064515</v>
      </c>
      <c r="BK572" s="2052">
        <f>IFERROR(-BK558/BK559,"n/a")</f>
        <v>1.6129032258064517</v>
      </c>
      <c r="BL572" s="1517"/>
    </row>
    <row r="573" spans="1:64" s="1518" customFormat="1" x14ac:dyDescent="0.35">
      <c r="A573" s="1607" t="s">
        <v>1200</v>
      </c>
      <c r="B573" s="1712"/>
      <c r="C573" s="2049"/>
      <c r="D573" s="2049"/>
      <c r="E573" s="2049"/>
      <c r="F573" s="2049"/>
      <c r="G573" s="2049"/>
      <c r="H573" s="2049"/>
      <c r="I573" s="2049"/>
      <c r="J573" s="2049"/>
      <c r="K573" s="2049"/>
      <c r="L573" s="2049"/>
      <c r="M573" s="2049"/>
      <c r="N573" s="2049"/>
      <c r="O573" s="2049"/>
      <c r="P573" s="2049"/>
      <c r="Q573" s="2049"/>
      <c r="R573" s="2049"/>
      <c r="S573" s="2049"/>
      <c r="T573" s="2049"/>
      <c r="U573" s="2049"/>
      <c r="V573" s="2049"/>
      <c r="W573" s="2049"/>
      <c r="X573" s="2049"/>
      <c r="Y573" s="2050">
        <f>IFERROR(-Y564/Y565*Y3/BD3,"n/a")</f>
        <v>3.5334425655428849</v>
      </c>
      <c r="Z573" s="2050">
        <f>IFERROR(-Z564/Z565*Z3/BD3,"n/a")</f>
        <v>3.2231581371076321</v>
      </c>
      <c r="AA573" s="2050">
        <f>IFERROR(-AA564/AA565*AA3/BE3,"n/a")</f>
        <v>3.8449242607225429</v>
      </c>
      <c r="AB573" s="2049">
        <f>IFERROR(-AB564/AB565*AB3/BE3,"n/a")</f>
        <v>3.7460080446249009</v>
      </c>
      <c r="AC573" s="2050">
        <f>IFERROR(-AC564/AC565*AC3/BE3,"n/a")</f>
        <v>4.3420715304035209</v>
      </c>
      <c r="AD573" s="2050">
        <f>IFERROR(-AD564/AD565*AD3/BE3,"n/a")</f>
        <v>5.0365461648780965</v>
      </c>
      <c r="AE573" s="2050">
        <f>IFERROR(-AE564/AE565*AE3/BF3,"n/a")</f>
        <v>4.2085776976756373</v>
      </c>
      <c r="AF573" s="2049">
        <f>IFERROR(-AF564/AF565*AF3/BF3,"n/a")</f>
        <v>4.3099236764891184</v>
      </c>
      <c r="AG573" s="2050">
        <f>IFERROR(-AG564/AG565*AG3/BF3,"n/a")</f>
        <v>4.1972515504668442</v>
      </c>
      <c r="AH573" s="2050">
        <f>IFERROR(-AH564/AH565*AH3/BF3,"n/a")</f>
        <v>4.0856458004779199</v>
      </c>
      <c r="AI573" s="2050">
        <f>IFERROR(-AI564/AI565*AI3/BG3,"n/a")</f>
        <v>3.8492604392898748</v>
      </c>
      <c r="AJ573" s="2051">
        <f>IFERROR(-AJ564/AJ565*AJ3/BG3,"n/a")</f>
        <v>4.4087186305102621</v>
      </c>
      <c r="AK573" s="2049">
        <f>IFERROR(-AK564/AK565*AK3/BG3,"n/a")</f>
        <v>5</v>
      </c>
      <c r="AL573" s="2049">
        <f>IFERROR(-AL564/AL565*AL3/BG3,"n/a")</f>
        <v>5</v>
      </c>
      <c r="AM573" s="2049">
        <f>IFERROR(-AM564/AM565*AM3/BH3,"n/a")</f>
        <v>4.9999999999999991</v>
      </c>
      <c r="AN573" s="2049">
        <f>IFERROR(-AN564/AN565*AN3/BH3,"n/a")</f>
        <v>4.9999999999999991</v>
      </c>
      <c r="AO573" s="2049">
        <f>IFERROR(-AO564/AO565*AO3/BH3,"n/a")</f>
        <v>5.0000000000000009</v>
      </c>
      <c r="AP573" s="2049">
        <f>IFERROR(-AP564/AP565*AP3/BH3,"n/a")</f>
        <v>4.9999999999999991</v>
      </c>
      <c r="AQ573" s="2049"/>
      <c r="AR573" s="2052"/>
      <c r="AS573" s="2052"/>
      <c r="AT573" s="2052"/>
      <c r="AU573" s="2052"/>
      <c r="AV573" s="2052"/>
      <c r="AW573" s="2052"/>
      <c r="AX573" s="2052"/>
      <c r="AY573" s="2052"/>
      <c r="AZ573" s="2052"/>
      <c r="BA573" s="2052"/>
      <c r="BB573" s="2052"/>
      <c r="BC573" s="2053">
        <f>IFERROR(-BC564/BC565,"n/a")</f>
        <v>4.4015267720186921</v>
      </c>
      <c r="BD573" s="2053">
        <f>IFERROR(-BD564/BD565,"n/a")</f>
        <v>3.8747872724459804</v>
      </c>
      <c r="BE573" s="2053">
        <f>IFERROR(-BE564/BE565,"n/a")</f>
        <v>4.4994851605087822</v>
      </c>
      <c r="BF573" s="2054">
        <f>IFERROR(-BF564/BF565,"n/a")</f>
        <v>4.0679121732232968</v>
      </c>
      <c r="BG573" s="2052">
        <f>AVERAGE(AI573,AJ573,AK573,AL573)</f>
        <v>4.564494767450034</v>
      </c>
      <c r="BH573" s="2052">
        <f>AVERAGE(AM573,AN573,AO573,AP573)</f>
        <v>5</v>
      </c>
      <c r="BI573" s="2052">
        <f>IFERROR(-BI564/BI565,"n/a")</f>
        <v>5</v>
      </c>
      <c r="BJ573" s="2052">
        <f>IFERROR(-BJ564/BJ565,"n/a")</f>
        <v>5</v>
      </c>
      <c r="BK573" s="2052">
        <f>IFERROR(-BK564/BK565,"n/a")</f>
        <v>4.9999999999999991</v>
      </c>
      <c r="BL573" s="1517"/>
    </row>
    <row r="574" spans="1:64" s="1518" customFormat="1" x14ac:dyDescent="0.35">
      <c r="A574" s="1515"/>
      <c r="B574" s="1716"/>
      <c r="C574" s="1958"/>
      <c r="D574" s="1958"/>
      <c r="E574" s="1958"/>
      <c r="F574" s="1958"/>
      <c r="G574" s="1958"/>
      <c r="H574" s="1958"/>
      <c r="I574" s="1958"/>
      <c r="J574" s="1958"/>
      <c r="K574" s="1958"/>
      <c r="L574" s="1958"/>
      <c r="M574" s="1958"/>
      <c r="N574" s="1958"/>
      <c r="O574" s="1958"/>
      <c r="P574" s="1958"/>
      <c r="Q574" s="1958"/>
      <c r="R574" s="1958"/>
      <c r="S574" s="1958"/>
      <c r="T574" s="1958"/>
      <c r="U574" s="1958"/>
      <c r="V574" s="1958"/>
      <c r="W574" s="1958"/>
      <c r="X574" s="1958"/>
      <c r="Y574" s="1958"/>
      <c r="Z574" s="1958"/>
      <c r="AA574" s="1958"/>
      <c r="AB574" s="1958"/>
      <c r="AC574" s="1958"/>
      <c r="AD574" s="1958"/>
      <c r="AE574" s="1958"/>
      <c r="AF574" s="1958"/>
      <c r="AG574" s="1958"/>
      <c r="AH574" s="1958"/>
      <c r="AI574" s="1958"/>
      <c r="AJ574" s="1964"/>
      <c r="AK574" s="1958"/>
      <c r="AL574" s="1958"/>
      <c r="AM574" s="1958"/>
      <c r="AN574" s="1958"/>
      <c r="AO574" s="1958"/>
      <c r="AP574" s="1958"/>
      <c r="AQ574" s="1958"/>
      <c r="AR574" s="1961"/>
      <c r="AS574" s="1961"/>
      <c r="AT574" s="1961"/>
      <c r="AU574" s="1961"/>
      <c r="AV574" s="1961"/>
      <c r="AW574" s="1961"/>
      <c r="AX574" s="1961"/>
      <c r="AY574" s="1961"/>
      <c r="AZ574" s="1961"/>
      <c r="BA574" s="1961"/>
      <c r="BB574" s="1961"/>
      <c r="BC574" s="1961"/>
      <c r="BD574" s="1961"/>
      <c r="BE574" s="1961"/>
      <c r="BF574" s="1965"/>
      <c r="BG574" s="1961"/>
      <c r="BH574" s="1961"/>
      <c r="BI574" s="1961"/>
      <c r="BJ574" s="1961"/>
      <c r="BK574" s="1961"/>
      <c r="BL574" s="1517"/>
    </row>
    <row r="575" spans="1:64" s="1518" customFormat="1" x14ac:dyDescent="0.35">
      <c r="A575" s="1607" t="s">
        <v>1201</v>
      </c>
      <c r="B575" s="1712"/>
      <c r="C575" s="2028"/>
      <c r="D575" s="2028"/>
      <c r="E575" s="2028"/>
      <c r="F575" s="2028"/>
      <c r="G575" s="2028"/>
      <c r="H575" s="2028"/>
      <c r="I575" s="2028"/>
      <c r="J575" s="2028"/>
      <c r="K575" s="2028"/>
      <c r="L575" s="2028"/>
      <c r="M575" s="2028"/>
      <c r="N575" s="2028"/>
      <c r="O575" s="2028"/>
      <c r="P575" s="2028"/>
      <c r="Q575" s="2028"/>
      <c r="R575" s="2028"/>
      <c r="S575" s="2028"/>
      <c r="T575" s="2028"/>
      <c r="U575" s="2028"/>
      <c r="V575" s="2028"/>
      <c r="W575" s="2028"/>
      <c r="X575" s="2028"/>
      <c r="Y575" s="2029">
        <f t="shared" ref="Y575:AP575" si="368">Y189+Y190</f>
        <v>20.346</v>
      </c>
      <c r="Z575" s="2029">
        <f t="shared" si="368"/>
        <v>20.870999999999999</v>
      </c>
      <c r="AA575" s="2029">
        <f t="shared" si="368"/>
        <v>20.155999999999999</v>
      </c>
      <c r="AB575" s="2028">
        <f t="shared" si="368"/>
        <v>19.872</v>
      </c>
      <c r="AC575" s="2029">
        <f t="shared" si="368"/>
        <v>16.57</v>
      </c>
      <c r="AD575" s="2029">
        <f t="shared" si="368"/>
        <v>16.542000000000002</v>
      </c>
      <c r="AE575" s="2029">
        <f t="shared" si="368"/>
        <v>15.122</v>
      </c>
      <c r="AF575" s="2028">
        <f t="shared" si="368"/>
        <v>16.12</v>
      </c>
      <c r="AG575" s="2029">
        <f t="shared" si="368"/>
        <v>15.875</v>
      </c>
      <c r="AH575" s="2029">
        <f t="shared" si="368"/>
        <v>15.735999999999997</v>
      </c>
      <c r="AI575" s="2029">
        <f t="shared" si="368"/>
        <v>15.77</v>
      </c>
      <c r="AJ575" s="2030">
        <f t="shared" si="368"/>
        <v>15.82</v>
      </c>
      <c r="AK575" s="2028">
        <f t="shared" si="368"/>
        <v>13.87753136612022</v>
      </c>
      <c r="AL575" s="2028">
        <f t="shared" si="368"/>
        <v>13.425380894359343</v>
      </c>
      <c r="AM575" s="2028">
        <f t="shared" si="368"/>
        <v>12.749166003072204</v>
      </c>
      <c r="AN575" s="2028">
        <f t="shared" si="368"/>
        <v>12.502367626602473</v>
      </c>
      <c r="AO575" s="2028">
        <f t="shared" si="368"/>
        <v>12.258595487434457</v>
      </c>
      <c r="AP575" s="2028">
        <f t="shared" si="368"/>
        <v>11.888990084773027</v>
      </c>
      <c r="AQ575" s="2028"/>
      <c r="AR575" s="2031"/>
      <c r="AS575" s="2031"/>
      <c r="AT575" s="2031"/>
      <c r="AU575" s="2031"/>
      <c r="AV575" s="2031"/>
      <c r="AW575" s="2031"/>
      <c r="AX575" s="2031"/>
      <c r="AY575" s="2031"/>
      <c r="AZ575" s="2031"/>
      <c r="BA575" s="2031"/>
      <c r="BB575" s="2032">
        <f t="shared" ref="BB575:BK575" si="369">BB189+BB190</f>
        <v>93.802000000000007</v>
      </c>
      <c r="BC575" s="2032">
        <f t="shared" si="369"/>
        <v>91.198999999999998</v>
      </c>
      <c r="BD575" s="2032">
        <f t="shared" si="369"/>
        <v>82.063999999999993</v>
      </c>
      <c r="BE575" s="2032">
        <f t="shared" si="369"/>
        <v>73.14</v>
      </c>
      <c r="BF575" s="2033">
        <f t="shared" si="369"/>
        <v>62.853000000000002</v>
      </c>
      <c r="BG575" s="2031">
        <f t="shared" si="369"/>
        <v>58.892912260479569</v>
      </c>
      <c r="BH575" s="2031">
        <f t="shared" si="369"/>
        <v>49.399119201882172</v>
      </c>
      <c r="BI575" s="2031">
        <f t="shared" si="369"/>
        <v>45.778117138961925</v>
      </c>
      <c r="BJ575" s="2031">
        <f t="shared" si="369"/>
        <v>40.594813183680294</v>
      </c>
      <c r="BK575" s="2031">
        <f t="shared" si="369"/>
        <v>36.465331946498324</v>
      </c>
      <c r="BL575" s="1517"/>
    </row>
    <row r="576" spans="1:64" s="1518" customFormat="1" x14ac:dyDescent="0.35">
      <c r="A576" s="1607" t="s">
        <v>1202</v>
      </c>
      <c r="B576" s="1712"/>
      <c r="C576" s="2028"/>
      <c r="D576" s="2028"/>
      <c r="E576" s="2028"/>
      <c r="F576" s="2028"/>
      <c r="G576" s="2028"/>
      <c r="H576" s="2028"/>
      <c r="I576" s="2028"/>
      <c r="J576" s="2028"/>
      <c r="K576" s="2028"/>
      <c r="L576" s="2028"/>
      <c r="M576" s="2028"/>
      <c r="N576" s="2028"/>
      <c r="O576" s="2028"/>
      <c r="P576" s="2028"/>
      <c r="Q576" s="2028"/>
      <c r="R576" s="2028"/>
      <c r="S576" s="2028"/>
      <c r="T576" s="2028"/>
      <c r="U576" s="2028"/>
      <c r="V576" s="2028"/>
      <c r="W576" s="2029">
        <f t="shared" ref="W576:AP576" si="370">-W358</f>
        <v>4.1849999999999996</v>
      </c>
      <c r="X576" s="2029">
        <f t="shared" si="370"/>
        <v>5.1099999999999994</v>
      </c>
      <c r="Y576" s="2029">
        <f t="shared" si="370"/>
        <v>5.3109999999999999</v>
      </c>
      <c r="Z576" s="2029">
        <f t="shared" si="370"/>
        <v>4.4879999999999995</v>
      </c>
      <c r="AA576" s="2029">
        <f t="shared" si="370"/>
        <v>5.2370000000000001</v>
      </c>
      <c r="AB576" s="2029">
        <f t="shared" si="370"/>
        <v>5.6449999999999996</v>
      </c>
      <c r="AC576" s="2029">
        <f t="shared" si="370"/>
        <v>4.8149999999999995</v>
      </c>
      <c r="AD576" s="2029">
        <f t="shared" si="370"/>
        <v>4.49</v>
      </c>
      <c r="AE576" s="2029">
        <f t="shared" si="370"/>
        <v>4.26</v>
      </c>
      <c r="AF576" s="2029">
        <f t="shared" si="370"/>
        <v>4.9220000000000006</v>
      </c>
      <c r="AG576" s="2029">
        <f t="shared" si="370"/>
        <v>5.5590000000000002</v>
      </c>
      <c r="AH576" s="2029">
        <f t="shared" si="370"/>
        <v>5.6209999999999987</v>
      </c>
      <c r="AI576" s="2029">
        <f t="shared" si="370"/>
        <v>5.62</v>
      </c>
      <c r="AJ576" s="2055">
        <f t="shared" si="370"/>
        <v>5.7280000000000006</v>
      </c>
      <c r="AK576" s="2028">
        <f t="shared" si="370"/>
        <v>5</v>
      </c>
      <c r="AL576" s="2028">
        <f t="shared" si="370"/>
        <v>5</v>
      </c>
      <c r="AM576" s="2028">
        <f t="shared" si="370"/>
        <v>5</v>
      </c>
      <c r="AN576" s="2028">
        <f t="shared" si="370"/>
        <v>5</v>
      </c>
      <c r="AO576" s="2028">
        <f t="shared" si="370"/>
        <v>5</v>
      </c>
      <c r="AP576" s="2028">
        <f t="shared" si="370"/>
        <v>5</v>
      </c>
      <c r="AQ576" s="2028"/>
      <c r="AR576" s="2031"/>
      <c r="AS576" s="2031"/>
      <c r="AT576" s="2031"/>
      <c r="AU576" s="2031"/>
      <c r="AV576" s="2031"/>
      <c r="AW576" s="2031"/>
      <c r="AX576" s="2031"/>
      <c r="AY576" s="2031"/>
      <c r="AZ576" s="2031"/>
      <c r="BA576" s="2031"/>
      <c r="BB576" s="2032">
        <f t="shared" ref="BB576:BK576" si="371">-BB358</f>
        <v>31.882999999999999</v>
      </c>
      <c r="BC576" s="2032">
        <f t="shared" si="371"/>
        <v>16.502000000000002</v>
      </c>
      <c r="BD576" s="2032">
        <f t="shared" si="371"/>
        <v>19.094000000000001</v>
      </c>
      <c r="BE576" s="2032">
        <f t="shared" si="371"/>
        <v>20.187000000000001</v>
      </c>
      <c r="BF576" s="2033">
        <f t="shared" si="371"/>
        <v>20.361999999999998</v>
      </c>
      <c r="BG576" s="2031">
        <f t="shared" si="371"/>
        <v>21.347999999999999</v>
      </c>
      <c r="BH576" s="2031">
        <f t="shared" si="371"/>
        <v>20</v>
      </c>
      <c r="BI576" s="2031">
        <f t="shared" si="371"/>
        <v>20</v>
      </c>
      <c r="BJ576" s="2031">
        <f t="shared" si="371"/>
        <v>20</v>
      </c>
      <c r="BK576" s="2031">
        <f t="shared" si="371"/>
        <v>20</v>
      </c>
      <c r="BL576" s="1517"/>
    </row>
    <row r="577" spans="1:64" s="1518" customFormat="1" x14ac:dyDescent="0.35">
      <c r="A577" s="2041" t="s">
        <v>1203</v>
      </c>
      <c r="B577" s="1746"/>
      <c r="C577" s="1694"/>
      <c r="D577" s="1694"/>
      <c r="E577" s="1694"/>
      <c r="F577" s="1694"/>
      <c r="G577" s="1694"/>
      <c r="H577" s="1694"/>
      <c r="I577" s="1694"/>
      <c r="J577" s="1694"/>
      <c r="K577" s="1694"/>
      <c r="L577" s="1694"/>
      <c r="M577" s="1694"/>
      <c r="N577" s="1694"/>
      <c r="O577" s="1694"/>
      <c r="P577" s="1694"/>
      <c r="Q577" s="1694"/>
      <c r="R577" s="1694"/>
      <c r="S577" s="1694"/>
      <c r="T577" s="1694"/>
      <c r="U577" s="1694"/>
      <c r="V577" s="1694"/>
      <c r="W577" s="1694"/>
      <c r="X577" s="1694"/>
      <c r="Y577" s="1694">
        <f t="shared" ref="Y577:AJ577" si="372">Y566/(Y566+Y560)</f>
        <v>0.7441159856900772</v>
      </c>
      <c r="Z577" s="1694">
        <f t="shared" si="372"/>
        <v>0.86296791443850263</v>
      </c>
      <c r="AA577" s="1694">
        <f t="shared" si="372"/>
        <v>0.71453122016421611</v>
      </c>
      <c r="AB577" s="1694">
        <f t="shared" si="372"/>
        <v>0.68627103631532327</v>
      </c>
      <c r="AC577" s="1694">
        <f t="shared" si="372"/>
        <v>0.85212876427829698</v>
      </c>
      <c r="AD577" s="1694">
        <f t="shared" si="372"/>
        <v>0.88418708240534527</v>
      </c>
      <c r="AE577" s="1694">
        <f t="shared" si="372"/>
        <v>0.96713615023474186</v>
      </c>
      <c r="AF577" s="1694">
        <f t="shared" si="372"/>
        <v>0.90796424217797633</v>
      </c>
      <c r="AG577" s="1694">
        <f t="shared" si="372"/>
        <v>0.85896744018708404</v>
      </c>
      <c r="AH577" s="1694">
        <f t="shared" si="372"/>
        <v>0.78953922789539221</v>
      </c>
      <c r="AI577" s="1694">
        <f t="shared" si="372"/>
        <v>0.88024911032028474</v>
      </c>
      <c r="AJ577" s="2043">
        <f t="shared" si="372"/>
        <v>0.94413407821229045</v>
      </c>
      <c r="AK577" s="2044">
        <v>0.8</v>
      </c>
      <c r="AL577" s="2044">
        <v>0.8</v>
      </c>
      <c r="AM577" s="2044">
        <v>0.8</v>
      </c>
      <c r="AN577" s="2044">
        <v>0.8</v>
      </c>
      <c r="AO577" s="2044">
        <v>0.8</v>
      </c>
      <c r="AP577" s="2044">
        <v>0.8</v>
      </c>
      <c r="AQ577" s="2045"/>
      <c r="AR577" s="1695"/>
      <c r="AS577" s="1695"/>
      <c r="AT577" s="1695"/>
      <c r="AU577" s="1695"/>
      <c r="AV577" s="1695"/>
      <c r="AW577" s="1695"/>
      <c r="AX577" s="1695"/>
      <c r="AY577" s="1695"/>
      <c r="AZ577" s="1695"/>
      <c r="BA577" s="1695"/>
      <c r="BB577" s="1695"/>
      <c r="BC577" s="1695">
        <f>BC566/(BC566+BC560)</f>
        <v>0.85959277663313527</v>
      </c>
      <c r="BD577" s="1695">
        <f>BD566/(BD566+BD560)</f>
        <v>0.83062742222687747</v>
      </c>
      <c r="BE577" s="1695">
        <f>BE566/(BE566+BE560)</f>
        <v>0.77718333581017485</v>
      </c>
      <c r="BF577" s="2056">
        <f>BF566/(BF566+BF560)</f>
        <v>0.87427561143306165</v>
      </c>
      <c r="BG577" s="1695">
        <f>AVERAGE(AI577,AJ577,AK577,AL577)</f>
        <v>0.85609579713314377</v>
      </c>
      <c r="BH577" s="1695">
        <f>AVERAGE(AM577,AN577,AO577,AP577)</f>
        <v>0.8</v>
      </c>
      <c r="BI577" s="2048">
        <v>0.8</v>
      </c>
      <c r="BJ577" s="2048">
        <v>0.8</v>
      </c>
      <c r="BK577" s="2048">
        <v>0.8</v>
      </c>
      <c r="BL577" s="1517"/>
    </row>
    <row r="578" spans="1:64" s="1518" customFormat="1" x14ac:dyDescent="0.35">
      <c r="A578" s="1667"/>
      <c r="B578" s="1712"/>
      <c r="C578" s="1667"/>
      <c r="D578" s="1667"/>
      <c r="E578" s="1667"/>
      <c r="F578" s="1667"/>
      <c r="G578" s="1667"/>
      <c r="H578" s="1667"/>
      <c r="I578" s="1667"/>
      <c r="J578" s="1667"/>
      <c r="K578" s="1667"/>
      <c r="L578" s="1667"/>
      <c r="M578" s="1667"/>
      <c r="N578" s="1667"/>
      <c r="O578" s="1667"/>
      <c r="P578" s="1667"/>
      <c r="Q578" s="1667"/>
      <c r="R578" s="1667"/>
      <c r="S578" s="1667"/>
      <c r="T578" s="1667"/>
      <c r="U578" s="1667"/>
      <c r="V578" s="1667"/>
      <c r="W578" s="1667"/>
      <c r="X578" s="1667"/>
      <c r="Y578" s="1667"/>
      <c r="Z578" s="1667"/>
      <c r="AA578" s="1667"/>
      <c r="AB578" s="1667"/>
      <c r="AC578" s="1667"/>
      <c r="AD578" s="1667"/>
      <c r="AE578" s="1667"/>
      <c r="AF578" s="1667"/>
      <c r="AG578" s="1667"/>
      <c r="AH578" s="1667"/>
      <c r="AI578" s="1667"/>
      <c r="AJ578" s="1668"/>
      <c r="AK578" s="1667"/>
      <c r="AL578" s="1667"/>
      <c r="AM578" s="1667"/>
      <c r="AN578" s="1667"/>
      <c r="AO578" s="1667"/>
      <c r="AP578" s="1667"/>
      <c r="AQ578" s="1667"/>
      <c r="AR578" s="1669"/>
      <c r="AS578" s="1669"/>
      <c r="AT578" s="1669"/>
      <c r="AU578" s="1669"/>
      <c r="AV578" s="1669"/>
      <c r="AW578" s="1669"/>
      <c r="AX578" s="1669"/>
      <c r="AY578" s="1669"/>
      <c r="AZ578" s="1669"/>
      <c r="BA578" s="1669"/>
      <c r="BB578" s="1669"/>
      <c r="BC578" s="1669"/>
      <c r="BD578" s="1669"/>
      <c r="BE578" s="1669"/>
      <c r="BF578" s="1612"/>
      <c r="BG578" s="1669"/>
      <c r="BH578" s="1669"/>
      <c r="BI578" s="1669"/>
      <c r="BJ578" s="1669"/>
      <c r="BK578" s="1669"/>
      <c r="BL578" s="1515"/>
    </row>
    <row r="579" spans="1:64" s="1518" customFormat="1" x14ac:dyDescent="0.35">
      <c r="A579" s="1588" t="s">
        <v>1204</v>
      </c>
      <c r="B579" s="2025"/>
      <c r="C579" s="1588"/>
      <c r="D579" s="1588"/>
      <c r="E579" s="1588"/>
      <c r="F579" s="1588"/>
      <c r="G579" s="1588"/>
      <c r="H579" s="1588"/>
      <c r="I579" s="1588"/>
      <c r="J579" s="1588"/>
      <c r="K579" s="1588"/>
      <c r="L579" s="1588"/>
      <c r="M579" s="1588"/>
      <c r="N579" s="1588"/>
      <c r="O579" s="1588"/>
      <c r="P579" s="1588"/>
      <c r="Q579" s="1588"/>
      <c r="R579" s="1588"/>
      <c r="S579" s="1588"/>
      <c r="T579" s="1588"/>
      <c r="U579" s="1588"/>
      <c r="V579" s="1588"/>
      <c r="W579" s="1588"/>
      <c r="X579" s="1588"/>
      <c r="Y579" s="1588"/>
      <c r="Z579" s="1588"/>
      <c r="AA579" s="1588"/>
      <c r="AB579" s="1588"/>
      <c r="AC579" s="1588"/>
      <c r="AD579" s="1588"/>
      <c r="AE579" s="1588"/>
      <c r="AF579" s="1588"/>
      <c r="AG579" s="1588"/>
      <c r="AH579" s="1588"/>
      <c r="AI579" s="1588"/>
      <c r="AJ579" s="2057"/>
      <c r="AK579" s="1588"/>
      <c r="AL579" s="1588"/>
      <c r="AM579" s="1588"/>
      <c r="AN579" s="1588"/>
      <c r="AO579" s="1588"/>
      <c r="AP579" s="1588"/>
      <c r="AQ579" s="1588"/>
      <c r="AR579" s="1588"/>
      <c r="AS579" s="1588"/>
      <c r="AT579" s="1588"/>
      <c r="AU579" s="1588"/>
      <c r="AV579" s="1588"/>
      <c r="AW579" s="1588"/>
      <c r="AX579" s="1588"/>
      <c r="AY579" s="1588"/>
      <c r="AZ579" s="1588"/>
      <c r="BA579" s="1588"/>
      <c r="BB579" s="1588"/>
      <c r="BC579" s="1588"/>
      <c r="BD579" s="1588"/>
      <c r="BE579" s="1588"/>
      <c r="BF579" s="2057"/>
      <c r="BG579" s="1588"/>
      <c r="BH579" s="1588"/>
      <c r="BI579" s="1588"/>
      <c r="BJ579" s="1588"/>
      <c r="BK579" s="1588"/>
      <c r="BL579" s="1517"/>
    </row>
    <row r="580" spans="1:64" s="1518" customFormat="1" x14ac:dyDescent="0.35">
      <c r="A580" s="1667" t="s">
        <v>1205</v>
      </c>
      <c r="B580" s="1712"/>
      <c r="C580" s="1758"/>
      <c r="D580" s="1758"/>
      <c r="E580" s="1758"/>
      <c r="F580" s="1758"/>
      <c r="G580" s="1758"/>
      <c r="H580" s="1758"/>
      <c r="I580" s="1758"/>
      <c r="J580" s="1758"/>
      <c r="K580" s="1758"/>
      <c r="L580" s="1758"/>
      <c r="M580" s="1758"/>
      <c r="N580" s="1758"/>
      <c r="O580" s="1758"/>
      <c r="P580" s="1758"/>
      <c r="Q580" s="1758"/>
      <c r="R580" s="1758"/>
      <c r="S580" s="1758"/>
      <c r="T580" s="1758"/>
      <c r="U580" s="1758"/>
      <c r="V580" s="1758">
        <f>V593/SUM(V177,U177,T177,S177)</f>
        <v>0.1770303841850713</v>
      </c>
      <c r="W580" s="1758"/>
      <c r="X580" s="1758">
        <f t="shared" ref="X580:AJ580" si="373">X593/SUM(X177,W177,V177,U177)</f>
        <v>0.19243286105252724</v>
      </c>
      <c r="Y580" s="1758">
        <f t="shared" si="373"/>
        <v>0.20077150201589253</v>
      </c>
      <c r="Z580" s="1758">
        <f t="shared" si="373"/>
        <v>0.19929925033183565</v>
      </c>
      <c r="AA580" s="1758">
        <f t="shared" si="373"/>
        <v>0.21303381205668656</v>
      </c>
      <c r="AB580" s="1758">
        <f t="shared" si="373"/>
        <v>0.22163917872315722</v>
      </c>
      <c r="AC580" s="1758">
        <f t="shared" si="373"/>
        <v>0.20707574780237539</v>
      </c>
      <c r="AD580" s="1758">
        <f t="shared" si="373"/>
        <v>0.18203218124577783</v>
      </c>
      <c r="AE580" s="1758">
        <f t="shared" si="373"/>
        <v>0.19510160671755403</v>
      </c>
      <c r="AF580" s="1758">
        <f t="shared" si="373"/>
        <v>0.20473502355601814</v>
      </c>
      <c r="AG580" s="1758">
        <f t="shared" si="373"/>
        <v>0.2109786376058122</v>
      </c>
      <c r="AH580" s="1758">
        <f t="shared" si="373"/>
        <v>0.19756961814240454</v>
      </c>
      <c r="AI580" s="1758">
        <f t="shared" si="373"/>
        <v>0.21668444927825542</v>
      </c>
      <c r="AJ580" s="1760">
        <f t="shared" si="373"/>
        <v>0.23360203337637422</v>
      </c>
      <c r="AK580" s="1758">
        <f t="shared" ref="AK580:AP583" si="374">AG580+AK585</f>
        <v>0.2109786376058122</v>
      </c>
      <c r="AL580" s="1758">
        <f t="shared" si="374"/>
        <v>0.19756961814240454</v>
      </c>
      <c r="AM580" s="1758">
        <f t="shared" si="374"/>
        <v>0.21668444927825542</v>
      </c>
      <c r="AN580" s="1758">
        <f t="shared" si="374"/>
        <v>0.23360203337637422</v>
      </c>
      <c r="AO580" s="1758">
        <f t="shared" si="374"/>
        <v>0.2109786376058122</v>
      </c>
      <c r="AP580" s="1758">
        <f t="shared" si="374"/>
        <v>0.19756961814240454</v>
      </c>
      <c r="AQ580" s="1758"/>
      <c r="AR580" s="1763"/>
      <c r="AS580" s="1763"/>
      <c r="AT580" s="1763"/>
      <c r="AU580" s="1763"/>
      <c r="AV580" s="1763"/>
      <c r="AW580" s="1763"/>
      <c r="AX580" s="1763"/>
      <c r="AY580" s="1763"/>
      <c r="AZ580" s="1763"/>
      <c r="BA580" s="1763"/>
      <c r="BB580" s="1763">
        <f t="shared" ref="BB580:BH580" si="375">BB593/BB177</f>
        <v>0.16204065047192204</v>
      </c>
      <c r="BC580" s="1763">
        <f t="shared" si="375"/>
        <v>0.17702999429582009</v>
      </c>
      <c r="BD580" s="1763">
        <f t="shared" si="375"/>
        <v>0.19929925033183565</v>
      </c>
      <c r="BE580" s="1763">
        <f t="shared" si="375"/>
        <v>0.1820321812457778</v>
      </c>
      <c r="BF580" s="1764">
        <f t="shared" si="375"/>
        <v>0.19756961814240454</v>
      </c>
      <c r="BG580" s="1763">
        <f t="shared" si="375"/>
        <v>0.19756961814240454</v>
      </c>
      <c r="BH580" s="1763">
        <f t="shared" si="375"/>
        <v>0.19756961814240451</v>
      </c>
      <c r="BI580" s="1763">
        <f t="shared" ref="BI580:BK583" si="376">BH580+BI585</f>
        <v>0.19756961814240451</v>
      </c>
      <c r="BJ580" s="1763">
        <f t="shared" si="376"/>
        <v>0.19756961814240451</v>
      </c>
      <c r="BK580" s="1763">
        <f t="shared" si="376"/>
        <v>0.19756961814240451</v>
      </c>
      <c r="BL580" s="1515"/>
    </row>
    <row r="581" spans="1:64" s="1518" customFormat="1" x14ac:dyDescent="0.35">
      <c r="A581" s="1667" t="s">
        <v>1206</v>
      </c>
      <c r="B581" s="1712"/>
      <c r="C581" s="1758"/>
      <c r="D581" s="1758"/>
      <c r="E581" s="1758"/>
      <c r="F581" s="1758"/>
      <c r="G581" s="1758"/>
      <c r="H581" s="1758"/>
      <c r="I581" s="1758"/>
      <c r="J581" s="1758"/>
      <c r="K581" s="1758"/>
      <c r="L581" s="1758"/>
      <c r="M581" s="1758"/>
      <c r="N581" s="1758"/>
      <c r="O581" s="1758"/>
      <c r="P581" s="1758"/>
      <c r="Q581" s="1758"/>
      <c r="R581" s="1758"/>
      <c r="S581" s="1758"/>
      <c r="T581" s="1758"/>
      <c r="U581" s="1758"/>
      <c r="V581" s="1758">
        <f>V611/SUM(V177,U177,T177,S177)</f>
        <v>3.239276558632051E-2</v>
      </c>
      <c r="W581" s="1758"/>
      <c r="X581" s="1758">
        <f t="shared" ref="X581:AJ581" si="377">X611/SUM(X177,W177,V177,U177)</f>
        <v>5.003276413676136E-2</v>
      </c>
      <c r="Y581" s="1758">
        <f t="shared" si="377"/>
        <v>4.5566209418223133E-2</v>
      </c>
      <c r="Z581" s="1758">
        <f t="shared" si="377"/>
        <v>4.8493185684640838E-2</v>
      </c>
      <c r="AA581" s="1758">
        <f t="shared" si="377"/>
        <v>5.9325889938746067E-2</v>
      </c>
      <c r="AB581" s="1758">
        <f t="shared" si="377"/>
        <v>6.0434776152245906E-2</v>
      </c>
      <c r="AC581" s="1758">
        <f t="shared" si="377"/>
        <v>4.7740985942730026E-2</v>
      </c>
      <c r="AD581" s="1758">
        <f t="shared" si="377"/>
        <v>5.0042906588834903E-2</v>
      </c>
      <c r="AE581" s="1758">
        <f t="shared" si="377"/>
        <v>5.5871759644814105E-2</v>
      </c>
      <c r="AF581" s="1758">
        <f t="shared" si="377"/>
        <v>5.4159217298684365E-2</v>
      </c>
      <c r="AG581" s="1758">
        <f t="shared" si="377"/>
        <v>5.4609911351063127E-2</v>
      </c>
      <c r="AH581" s="1758">
        <f t="shared" si="377"/>
        <v>5.4025623923072648E-2</v>
      </c>
      <c r="AI581" s="1758">
        <f t="shared" si="377"/>
        <v>6.537484597963833E-2</v>
      </c>
      <c r="AJ581" s="1760">
        <f t="shared" si="377"/>
        <v>7.1814465267905761E-2</v>
      </c>
      <c r="AK581" s="1758">
        <f t="shared" si="374"/>
        <v>5.4609911351063127E-2</v>
      </c>
      <c r="AL581" s="1758">
        <f t="shared" si="374"/>
        <v>5.4025623923072648E-2</v>
      </c>
      <c r="AM581" s="1758">
        <f t="shared" si="374"/>
        <v>6.537484597963833E-2</v>
      </c>
      <c r="AN581" s="1758">
        <f t="shared" si="374"/>
        <v>7.1814465267905761E-2</v>
      </c>
      <c r="AO581" s="1758">
        <f t="shared" si="374"/>
        <v>5.4609911351063127E-2</v>
      </c>
      <c r="AP581" s="1758">
        <f t="shared" si="374"/>
        <v>5.4025623923072648E-2</v>
      </c>
      <c r="AQ581" s="1758"/>
      <c r="AR581" s="1763"/>
      <c r="AS581" s="1763"/>
      <c r="AT581" s="1763"/>
      <c r="AU581" s="1763"/>
      <c r="AV581" s="1763"/>
      <c r="AW581" s="1763"/>
      <c r="AX581" s="1763"/>
      <c r="AY581" s="1763"/>
      <c r="AZ581" s="1763"/>
      <c r="BA581" s="1763"/>
      <c r="BB581" s="1763">
        <f t="shared" ref="BB581:BH581" si="378">BB611/BB177</f>
        <v>3.6033843207621562E-2</v>
      </c>
      <c r="BC581" s="1763">
        <f t="shared" si="378"/>
        <v>3.2392694244944974E-2</v>
      </c>
      <c r="BD581" s="1763">
        <f t="shared" si="378"/>
        <v>4.8493185684640838E-2</v>
      </c>
      <c r="BE581" s="1763">
        <f t="shared" si="378"/>
        <v>5.0042906588834896E-2</v>
      </c>
      <c r="BF581" s="1764">
        <f t="shared" si="378"/>
        <v>5.4025623923072648E-2</v>
      </c>
      <c r="BG581" s="1763">
        <f t="shared" si="378"/>
        <v>5.4025623923072641E-2</v>
      </c>
      <c r="BH581" s="1763">
        <f t="shared" si="378"/>
        <v>5.4025623923072634E-2</v>
      </c>
      <c r="BI581" s="1763">
        <f t="shared" si="376"/>
        <v>5.4025623923072634E-2</v>
      </c>
      <c r="BJ581" s="1763">
        <f t="shared" si="376"/>
        <v>5.4025623923072634E-2</v>
      </c>
      <c r="BK581" s="1763">
        <f t="shared" si="376"/>
        <v>5.4025623923072634E-2</v>
      </c>
      <c r="BL581" s="1515"/>
    </row>
    <row r="582" spans="1:64" s="1518" customFormat="1" x14ac:dyDescent="0.35">
      <c r="A582" s="1667" t="s">
        <v>1207</v>
      </c>
      <c r="B582" s="1712"/>
      <c r="C582" s="1758"/>
      <c r="D582" s="1758"/>
      <c r="E582" s="1758"/>
      <c r="F582" s="1758"/>
      <c r="G582" s="1758"/>
      <c r="H582" s="1758"/>
      <c r="I582" s="1758"/>
      <c r="J582" s="1758"/>
      <c r="K582" s="1758"/>
      <c r="L582" s="1758"/>
      <c r="M582" s="1758"/>
      <c r="N582" s="1758"/>
      <c r="O582" s="1758"/>
      <c r="P582" s="1758"/>
      <c r="Q582" s="1758"/>
      <c r="R582" s="1758"/>
      <c r="S582" s="1758"/>
      <c r="T582" s="1758"/>
      <c r="U582" s="1758"/>
      <c r="V582" s="1758">
        <f>V595/SUM(V177,U177,T177,S177)</f>
        <v>1.601798912899844E-2</v>
      </c>
      <c r="W582" s="1758"/>
      <c r="X582" s="1758">
        <f t="shared" ref="X582:AJ582" si="379">X595/SUM(X177,W177,V177,U177)</f>
        <v>1.7789916722191323E-2</v>
      </c>
      <c r="Y582" s="1758">
        <f t="shared" si="379"/>
        <v>1.4508393687223295E-2</v>
      </c>
      <c r="Z582" s="1758">
        <f t="shared" si="379"/>
        <v>1.9489502776202552E-2</v>
      </c>
      <c r="AA582" s="1758">
        <f t="shared" si="379"/>
        <v>1.9245888326042571E-2</v>
      </c>
      <c r="AB582" s="1758">
        <f t="shared" si="379"/>
        <v>1.7657803115495262E-2</v>
      </c>
      <c r="AC582" s="1758">
        <f t="shared" si="379"/>
        <v>1.1294096881079727E-2</v>
      </c>
      <c r="AD582" s="1758">
        <f t="shared" si="379"/>
        <v>1.7518668930673907E-2</v>
      </c>
      <c r="AE582" s="1758">
        <f t="shared" si="379"/>
        <v>1.4853782867691134E-2</v>
      </c>
      <c r="AF582" s="1758">
        <f t="shared" si="379"/>
        <v>1.5963414749680934E-2</v>
      </c>
      <c r="AG582" s="1758">
        <f t="shared" si="379"/>
        <v>1.1935112977404521E-2</v>
      </c>
      <c r="AH582" s="1758">
        <f t="shared" si="379"/>
        <v>1.3410872102718026E-2</v>
      </c>
      <c r="AI582" s="1758">
        <f t="shared" si="379"/>
        <v>1.5669807878958924E-2</v>
      </c>
      <c r="AJ582" s="1760">
        <f t="shared" si="379"/>
        <v>1.178261229665897E-2</v>
      </c>
      <c r="AK582" s="1758">
        <f t="shared" si="374"/>
        <v>1.1935112977404521E-2</v>
      </c>
      <c r="AL582" s="1758">
        <f t="shared" si="374"/>
        <v>1.3410872102718026E-2</v>
      </c>
      <c r="AM582" s="1758">
        <f t="shared" si="374"/>
        <v>1.5669807878958924E-2</v>
      </c>
      <c r="AN582" s="1758">
        <f t="shared" si="374"/>
        <v>1.178261229665897E-2</v>
      </c>
      <c r="AO582" s="1758">
        <f t="shared" si="374"/>
        <v>1.1935112977404521E-2</v>
      </c>
      <c r="AP582" s="1758">
        <f t="shared" si="374"/>
        <v>1.3410872102718026E-2</v>
      </c>
      <c r="AQ582" s="1758"/>
      <c r="AR582" s="1763"/>
      <c r="AS582" s="1763"/>
      <c r="AT582" s="1763"/>
      <c r="AU582" s="1763"/>
      <c r="AV582" s="1763"/>
      <c r="AW582" s="1763"/>
      <c r="AX582" s="1763"/>
      <c r="AY582" s="1763"/>
      <c r="AZ582" s="1763"/>
      <c r="BA582" s="1763"/>
      <c r="BB582" s="1763">
        <f t="shared" ref="BB582:BH582" si="380">BB595/BB177</f>
        <v>1.1886561687815319E-2</v>
      </c>
      <c r="BC582" s="1763">
        <f t="shared" si="380"/>
        <v>1.6017953851202391E-2</v>
      </c>
      <c r="BD582" s="1763">
        <f t="shared" si="380"/>
        <v>1.9489502776202552E-2</v>
      </c>
      <c r="BE582" s="1763">
        <f t="shared" si="380"/>
        <v>1.7518668930673907E-2</v>
      </c>
      <c r="BF582" s="1764">
        <f t="shared" si="380"/>
        <v>1.3410872102718026E-2</v>
      </c>
      <c r="BG582" s="1763">
        <f t="shared" si="380"/>
        <v>1.3410872102718026E-2</v>
      </c>
      <c r="BH582" s="1763">
        <f t="shared" si="380"/>
        <v>1.3410872102718024E-2</v>
      </c>
      <c r="BI582" s="1763">
        <f t="shared" si="376"/>
        <v>1.3410872102718024E-2</v>
      </c>
      <c r="BJ582" s="1763">
        <f t="shared" si="376"/>
        <v>1.3410872102718024E-2</v>
      </c>
      <c r="BK582" s="1763">
        <f t="shared" si="376"/>
        <v>1.3410872102718024E-2</v>
      </c>
      <c r="BL582" s="1515"/>
    </row>
    <row r="583" spans="1:64" s="1518" customFormat="1" x14ac:dyDescent="0.35">
      <c r="A583" s="1667" t="s">
        <v>1208</v>
      </c>
      <c r="B583" s="1712"/>
      <c r="C583" s="1758"/>
      <c r="D583" s="1758"/>
      <c r="E583" s="1758"/>
      <c r="F583" s="1758"/>
      <c r="G583" s="1758"/>
      <c r="H583" s="1758"/>
      <c r="I583" s="1758"/>
      <c r="J583" s="1758"/>
      <c r="K583" s="1758"/>
      <c r="L583" s="1758"/>
      <c r="M583" s="1758"/>
      <c r="N583" s="1758"/>
      <c r="O583" s="1758"/>
      <c r="P583" s="1758"/>
      <c r="Q583" s="1758"/>
      <c r="R583" s="1758"/>
      <c r="S583" s="1758"/>
      <c r="T583" s="1758"/>
      <c r="U583" s="1758"/>
      <c r="V583" s="1758">
        <f>V613/SUM(V177,U177,T177,S177)</f>
        <v>7.9063631478332883E-2</v>
      </c>
      <c r="W583" s="1758"/>
      <c r="X583" s="1758">
        <f t="shared" ref="X583:AJ583" si="381">X613/SUM(X177,W177,V177,U177)</f>
        <v>9.4883838745381352E-2</v>
      </c>
      <c r="Y583" s="1758">
        <f t="shared" si="381"/>
        <v>8.8540078222663118E-2</v>
      </c>
      <c r="Z583" s="1758">
        <f t="shared" si="381"/>
        <v>0.10589296508403388</v>
      </c>
      <c r="AA583" s="1758">
        <f t="shared" si="381"/>
        <v>7.9326293114620028E-2</v>
      </c>
      <c r="AB583" s="1758">
        <f t="shared" si="381"/>
        <v>7.848137493266949E-2</v>
      </c>
      <c r="AC583" s="1758">
        <f t="shared" si="381"/>
        <v>8.5919238511546536E-2</v>
      </c>
      <c r="AD583" s="1758">
        <f t="shared" si="381"/>
        <v>8.7439454760283891E-2</v>
      </c>
      <c r="AE583" s="1758">
        <f t="shared" si="381"/>
        <v>7.5709072198853186E-2</v>
      </c>
      <c r="AF583" s="1758">
        <f t="shared" si="381"/>
        <v>7.8657205461802174E-2</v>
      </c>
      <c r="AG583" s="1758">
        <f t="shared" si="381"/>
        <v>8.3854062520829178E-2</v>
      </c>
      <c r="AH583" s="1758">
        <f t="shared" si="381"/>
        <v>8.8915290978822753E-2</v>
      </c>
      <c r="AI583" s="1758">
        <f t="shared" si="381"/>
        <v>0.10133335168957756</v>
      </c>
      <c r="AJ583" s="1760">
        <f t="shared" si="381"/>
        <v>0.10739855181674629</v>
      </c>
      <c r="AK583" s="1758">
        <f t="shared" si="374"/>
        <v>8.3854062520829178E-2</v>
      </c>
      <c r="AL583" s="1758">
        <f t="shared" si="374"/>
        <v>8.8915290978822753E-2</v>
      </c>
      <c r="AM583" s="1758">
        <f t="shared" si="374"/>
        <v>0.10133335168957756</v>
      </c>
      <c r="AN583" s="1758">
        <f t="shared" si="374"/>
        <v>0.10739855181674629</v>
      </c>
      <c r="AO583" s="1758">
        <f t="shared" si="374"/>
        <v>8.3854062520829178E-2</v>
      </c>
      <c r="AP583" s="1758">
        <f t="shared" si="374"/>
        <v>8.8915290978822753E-2</v>
      </c>
      <c r="AQ583" s="1758"/>
      <c r="AR583" s="1763"/>
      <c r="AS583" s="1763"/>
      <c r="AT583" s="1763"/>
      <c r="AU583" s="1763"/>
      <c r="AV583" s="1763"/>
      <c r="AW583" s="1763"/>
      <c r="AX583" s="1763"/>
      <c r="AY583" s="1763"/>
      <c r="AZ583" s="1763"/>
      <c r="BA583" s="1763"/>
      <c r="BB583" s="1763">
        <f t="shared" ref="BB583:BH583" si="382">BB613/BB177</f>
        <v>8.5086780550213639E-2</v>
      </c>
      <c r="BC583" s="1763">
        <f t="shared" si="382"/>
        <v>7.9063457349692653E-2</v>
      </c>
      <c r="BD583" s="1763">
        <f t="shared" si="382"/>
        <v>0.10589296508403388</v>
      </c>
      <c r="BE583" s="1763">
        <f t="shared" si="382"/>
        <v>8.7439454760283877E-2</v>
      </c>
      <c r="BF583" s="1764">
        <f t="shared" si="382"/>
        <v>8.8915290978822753E-2</v>
      </c>
      <c r="BG583" s="1763">
        <f t="shared" si="382"/>
        <v>8.8915290978822753E-2</v>
      </c>
      <c r="BH583" s="1763">
        <f t="shared" si="382"/>
        <v>8.8915290978822739E-2</v>
      </c>
      <c r="BI583" s="1763">
        <f t="shared" si="376"/>
        <v>8.8915290978822739E-2</v>
      </c>
      <c r="BJ583" s="1763">
        <f t="shared" si="376"/>
        <v>8.8915290978822739E-2</v>
      </c>
      <c r="BK583" s="1763">
        <f t="shared" si="376"/>
        <v>8.8915290978822739E-2</v>
      </c>
      <c r="BL583" s="1515"/>
    </row>
    <row r="584" spans="1:64" s="1518" customFormat="1" x14ac:dyDescent="0.35">
      <c r="A584" s="1667"/>
      <c r="B584" s="1712"/>
      <c r="C584" s="1667"/>
      <c r="D584" s="1667"/>
      <c r="E584" s="1667"/>
      <c r="F584" s="1667"/>
      <c r="G584" s="1667"/>
      <c r="H584" s="1667"/>
      <c r="I584" s="1667"/>
      <c r="J584" s="1667"/>
      <c r="K584" s="1667"/>
      <c r="L584" s="1667"/>
      <c r="M584" s="1667"/>
      <c r="N584" s="1667"/>
      <c r="O584" s="1667"/>
      <c r="P584" s="1667"/>
      <c r="Q584" s="1667"/>
      <c r="R584" s="1667"/>
      <c r="S584" s="1667"/>
      <c r="T584" s="1667"/>
      <c r="U584" s="1667"/>
      <c r="V584" s="1667"/>
      <c r="W584" s="1667"/>
      <c r="X584" s="1667"/>
      <c r="Y584" s="1667"/>
      <c r="Z584" s="1667"/>
      <c r="AA584" s="1667"/>
      <c r="AB584" s="1667"/>
      <c r="AC584" s="1667"/>
      <c r="AD584" s="1667"/>
      <c r="AE584" s="1667"/>
      <c r="AF584" s="1667"/>
      <c r="AG584" s="1667"/>
      <c r="AH584" s="1667"/>
      <c r="AI584" s="1667"/>
      <c r="AJ584" s="1668"/>
      <c r="AK584" s="1667"/>
      <c r="AL584" s="1667"/>
      <c r="AM584" s="1667"/>
      <c r="AN584" s="1667"/>
      <c r="AO584" s="1667"/>
      <c r="AP584" s="1667"/>
      <c r="AQ584" s="1667"/>
      <c r="AR584" s="1669"/>
      <c r="AS584" s="1669"/>
      <c r="AT584" s="1669"/>
      <c r="AU584" s="1669"/>
      <c r="AV584" s="1669"/>
      <c r="AW584" s="1669"/>
      <c r="AX584" s="1669"/>
      <c r="AY584" s="1669"/>
      <c r="AZ584" s="1669"/>
      <c r="BA584" s="1669"/>
      <c r="BB584" s="1669"/>
      <c r="BC584" s="1669"/>
      <c r="BD584" s="1669"/>
      <c r="BE584" s="1669"/>
      <c r="BF584" s="1612"/>
      <c r="BG584" s="1669"/>
      <c r="BH584" s="1669"/>
      <c r="BI584" s="1669"/>
      <c r="BJ584" s="1669"/>
      <c r="BK584" s="1669"/>
      <c r="BL584" s="1515"/>
    </row>
    <row r="585" spans="1:64" s="1518" customFormat="1" x14ac:dyDescent="0.35">
      <c r="A585" s="2058" t="s">
        <v>1209</v>
      </c>
      <c r="B585" s="2059"/>
      <c r="C585" s="2060"/>
      <c r="D585" s="2060"/>
      <c r="E585" s="2060"/>
      <c r="F585" s="2060"/>
      <c r="G585" s="2060"/>
      <c r="H585" s="2060"/>
      <c r="I585" s="2060"/>
      <c r="J585" s="2060"/>
      <c r="K585" s="2060"/>
      <c r="L585" s="2060"/>
      <c r="M585" s="2060"/>
      <c r="N585" s="2060"/>
      <c r="O585" s="2060"/>
      <c r="P585" s="2060"/>
      <c r="Q585" s="2060"/>
      <c r="R585" s="2060"/>
      <c r="S585" s="2060"/>
      <c r="T585" s="2060"/>
      <c r="U585" s="2060"/>
      <c r="V585" s="2060">
        <f>V580-R580</f>
        <v>0.1770303841850713</v>
      </c>
      <c r="W585" s="2060"/>
      <c r="X585" s="2060"/>
      <c r="Y585" s="2060"/>
      <c r="Z585" s="2060">
        <f>Z580-V580</f>
        <v>2.2268866146764349E-2</v>
      </c>
      <c r="AA585" s="2060"/>
      <c r="AB585" s="2060">
        <f t="shared" ref="AB585:AJ588" si="383">AB580-X580</f>
        <v>2.9206317670629978E-2</v>
      </c>
      <c r="AC585" s="2060">
        <f t="shared" si="383"/>
        <v>6.3042457864828649E-3</v>
      </c>
      <c r="AD585" s="2060">
        <f t="shared" si="383"/>
        <v>-1.7267069086057824E-2</v>
      </c>
      <c r="AE585" s="2060">
        <f t="shared" si="383"/>
        <v>-1.7932205339132534E-2</v>
      </c>
      <c r="AF585" s="2060">
        <f t="shared" si="383"/>
        <v>-1.6904155167139084E-2</v>
      </c>
      <c r="AG585" s="2060">
        <f t="shared" si="383"/>
        <v>3.9028898034368098E-3</v>
      </c>
      <c r="AH585" s="2060">
        <f t="shared" si="383"/>
        <v>1.5537436896626705E-2</v>
      </c>
      <c r="AI585" s="2060">
        <f t="shared" si="383"/>
        <v>2.1582842560701393E-2</v>
      </c>
      <c r="AJ585" s="2061">
        <f t="shared" si="383"/>
        <v>2.8867009820356088E-2</v>
      </c>
      <c r="AK585" s="2062">
        <v>0</v>
      </c>
      <c r="AL585" s="2062">
        <v>0</v>
      </c>
      <c r="AM585" s="2062">
        <v>0</v>
      </c>
      <c r="AN585" s="2062">
        <v>0</v>
      </c>
      <c r="AO585" s="2062">
        <v>0</v>
      </c>
      <c r="AP585" s="2062">
        <v>0</v>
      </c>
      <c r="AQ585" s="2063"/>
      <c r="AR585" s="2064"/>
      <c r="AS585" s="2064"/>
      <c r="AT585" s="2064"/>
      <c r="AU585" s="2064"/>
      <c r="AV585" s="2064"/>
      <c r="AW585" s="2064"/>
      <c r="AX585" s="2064"/>
      <c r="AY585" s="2064"/>
      <c r="AZ585" s="2064"/>
      <c r="BA585" s="2064"/>
      <c r="BB585" s="2064"/>
      <c r="BC585" s="2064">
        <f t="shared" ref="BC585:BH588" si="384">BC580-BB580</f>
        <v>1.4989343823898049E-2</v>
      </c>
      <c r="BD585" s="2064">
        <f t="shared" si="384"/>
        <v>2.2269256036015567E-2</v>
      </c>
      <c r="BE585" s="2064">
        <f t="shared" si="384"/>
        <v>-1.7267069086057851E-2</v>
      </c>
      <c r="BF585" s="2065">
        <f t="shared" si="384"/>
        <v>1.5537436896626733E-2</v>
      </c>
      <c r="BG585" s="2064">
        <f t="shared" si="384"/>
        <v>0</v>
      </c>
      <c r="BH585" s="2064">
        <f t="shared" si="384"/>
        <v>0</v>
      </c>
      <c r="BI585" s="2066">
        <v>0</v>
      </c>
      <c r="BJ585" s="2066">
        <v>0</v>
      </c>
      <c r="BK585" s="2066">
        <v>0</v>
      </c>
      <c r="BL585" s="1515"/>
    </row>
    <row r="586" spans="1:64" s="1518" customFormat="1" x14ac:dyDescent="0.35">
      <c r="A586" s="2058" t="s">
        <v>1210</v>
      </c>
      <c r="B586" s="2059"/>
      <c r="C586" s="2060"/>
      <c r="D586" s="2060"/>
      <c r="E586" s="2060"/>
      <c r="F586" s="2060"/>
      <c r="G586" s="2060"/>
      <c r="H586" s="2060"/>
      <c r="I586" s="2060"/>
      <c r="J586" s="2060"/>
      <c r="K586" s="2060"/>
      <c r="L586" s="2060"/>
      <c r="M586" s="2060"/>
      <c r="N586" s="2060"/>
      <c r="O586" s="2060"/>
      <c r="P586" s="2060"/>
      <c r="Q586" s="2060"/>
      <c r="R586" s="2060"/>
      <c r="S586" s="2060"/>
      <c r="T586" s="2060"/>
      <c r="U586" s="2060"/>
      <c r="V586" s="2060">
        <f>V581-R581</f>
        <v>3.239276558632051E-2</v>
      </c>
      <c r="W586" s="2060"/>
      <c r="X586" s="2060"/>
      <c r="Y586" s="2060"/>
      <c r="Z586" s="2060">
        <f>Z581-V581</f>
        <v>1.6100420098320328E-2</v>
      </c>
      <c r="AA586" s="2060"/>
      <c r="AB586" s="2060">
        <f t="shared" si="383"/>
        <v>1.0402012015484546E-2</v>
      </c>
      <c r="AC586" s="2060">
        <f t="shared" si="383"/>
        <v>2.1747765245068926E-3</v>
      </c>
      <c r="AD586" s="2060">
        <f t="shared" si="383"/>
        <v>1.5497209041940643E-3</v>
      </c>
      <c r="AE586" s="2060">
        <f t="shared" si="383"/>
        <v>-3.4541302939319618E-3</v>
      </c>
      <c r="AF586" s="2060">
        <f t="shared" si="383"/>
        <v>-6.2755588535615414E-3</v>
      </c>
      <c r="AG586" s="2060">
        <f t="shared" si="383"/>
        <v>6.8689254083331014E-3</v>
      </c>
      <c r="AH586" s="2060">
        <f t="shared" si="383"/>
        <v>3.9827173342377453E-3</v>
      </c>
      <c r="AI586" s="2060">
        <f t="shared" si="383"/>
        <v>9.5030863348242248E-3</v>
      </c>
      <c r="AJ586" s="2061">
        <f t="shared" si="383"/>
        <v>1.7655247969221396E-2</v>
      </c>
      <c r="AK586" s="2062">
        <v>0</v>
      </c>
      <c r="AL586" s="2062">
        <v>0</v>
      </c>
      <c r="AM586" s="2062">
        <v>0</v>
      </c>
      <c r="AN586" s="2062">
        <v>0</v>
      </c>
      <c r="AO586" s="2062">
        <v>0</v>
      </c>
      <c r="AP586" s="2062">
        <v>0</v>
      </c>
      <c r="AQ586" s="2063"/>
      <c r="AR586" s="2064"/>
      <c r="AS586" s="2064"/>
      <c r="AT586" s="2064"/>
      <c r="AU586" s="2064"/>
      <c r="AV586" s="2064"/>
      <c r="AW586" s="2064"/>
      <c r="AX586" s="2064"/>
      <c r="AY586" s="2064"/>
      <c r="AZ586" s="2064"/>
      <c r="BA586" s="2064"/>
      <c r="BB586" s="2064"/>
      <c r="BC586" s="2064">
        <f t="shared" si="384"/>
        <v>-3.6411489626765881E-3</v>
      </c>
      <c r="BD586" s="2064">
        <f t="shared" si="384"/>
        <v>1.6100491439695865E-2</v>
      </c>
      <c r="BE586" s="2064">
        <f t="shared" si="384"/>
        <v>1.5497209041940574E-3</v>
      </c>
      <c r="BF586" s="2065">
        <f t="shared" si="384"/>
        <v>3.9827173342377523E-3</v>
      </c>
      <c r="BG586" s="2064">
        <f t="shared" si="384"/>
        <v>0</v>
      </c>
      <c r="BH586" s="2064">
        <f t="shared" si="384"/>
        <v>0</v>
      </c>
      <c r="BI586" s="2066">
        <v>0</v>
      </c>
      <c r="BJ586" s="2066">
        <v>0</v>
      </c>
      <c r="BK586" s="2066">
        <v>0</v>
      </c>
      <c r="BL586" s="1515"/>
    </row>
    <row r="587" spans="1:64" s="1518" customFormat="1" x14ac:dyDescent="0.35">
      <c r="A587" s="2058" t="s">
        <v>1211</v>
      </c>
      <c r="B587" s="2059"/>
      <c r="C587" s="2060"/>
      <c r="D587" s="2060"/>
      <c r="E587" s="2060"/>
      <c r="F587" s="2060"/>
      <c r="G587" s="2060"/>
      <c r="H587" s="2060"/>
      <c r="I587" s="2060"/>
      <c r="J587" s="2060"/>
      <c r="K587" s="2060"/>
      <c r="L587" s="2060"/>
      <c r="M587" s="2060"/>
      <c r="N587" s="2060"/>
      <c r="O587" s="2060"/>
      <c r="P587" s="2060"/>
      <c r="Q587" s="2060"/>
      <c r="R587" s="2060"/>
      <c r="S587" s="2060"/>
      <c r="T587" s="2060"/>
      <c r="U587" s="2060"/>
      <c r="V587" s="2060">
        <f>V582-R582</f>
        <v>1.601798912899844E-2</v>
      </c>
      <c r="W587" s="2060"/>
      <c r="X587" s="2060"/>
      <c r="Y587" s="2060"/>
      <c r="Z587" s="2060">
        <f>Z582-V582</f>
        <v>3.4715136472041122E-3</v>
      </c>
      <c r="AA587" s="2060"/>
      <c r="AB587" s="2060">
        <f t="shared" si="383"/>
        <v>-1.3211360669606112E-4</v>
      </c>
      <c r="AC587" s="2060">
        <f t="shared" si="383"/>
        <v>-3.2142968061435687E-3</v>
      </c>
      <c r="AD587" s="2060">
        <f t="shared" si="383"/>
        <v>-1.9708338455286453E-3</v>
      </c>
      <c r="AE587" s="2060">
        <f t="shared" si="383"/>
        <v>-4.392105458351437E-3</v>
      </c>
      <c r="AF587" s="2060">
        <f t="shared" si="383"/>
        <v>-1.6943883658143283E-3</v>
      </c>
      <c r="AG587" s="2060">
        <f t="shared" si="383"/>
        <v>6.4101609632479482E-4</v>
      </c>
      <c r="AH587" s="2060">
        <f t="shared" si="383"/>
        <v>-4.1077968279558813E-3</v>
      </c>
      <c r="AI587" s="2060">
        <f t="shared" si="383"/>
        <v>8.1602501126779026E-4</v>
      </c>
      <c r="AJ587" s="2061">
        <f t="shared" si="383"/>
        <v>-4.1808024530219645E-3</v>
      </c>
      <c r="AK587" s="2062">
        <v>0</v>
      </c>
      <c r="AL587" s="2062">
        <v>0</v>
      </c>
      <c r="AM587" s="2062">
        <v>0</v>
      </c>
      <c r="AN587" s="2062">
        <v>0</v>
      </c>
      <c r="AO587" s="2062">
        <v>0</v>
      </c>
      <c r="AP587" s="2062">
        <v>0</v>
      </c>
      <c r="AQ587" s="2063"/>
      <c r="AR587" s="2064"/>
      <c r="AS587" s="2064"/>
      <c r="AT587" s="2064"/>
      <c r="AU587" s="2064"/>
      <c r="AV587" s="2064"/>
      <c r="AW587" s="2064"/>
      <c r="AX587" s="2064"/>
      <c r="AY587" s="2064"/>
      <c r="AZ587" s="2064"/>
      <c r="BA587" s="2064"/>
      <c r="BB587" s="2064"/>
      <c r="BC587" s="2064">
        <f t="shared" si="384"/>
        <v>4.1313921633870723E-3</v>
      </c>
      <c r="BD587" s="2064">
        <f t="shared" si="384"/>
        <v>3.4715489250001612E-3</v>
      </c>
      <c r="BE587" s="2064">
        <f t="shared" si="384"/>
        <v>-1.9708338455286453E-3</v>
      </c>
      <c r="BF587" s="2065">
        <f t="shared" si="384"/>
        <v>-4.1077968279558813E-3</v>
      </c>
      <c r="BG587" s="2064">
        <f t="shared" si="384"/>
        <v>0</v>
      </c>
      <c r="BH587" s="2064">
        <f t="shared" si="384"/>
        <v>0</v>
      </c>
      <c r="BI587" s="2066">
        <v>0</v>
      </c>
      <c r="BJ587" s="2066">
        <v>0</v>
      </c>
      <c r="BK587" s="2066">
        <v>0</v>
      </c>
      <c r="BL587" s="1515"/>
    </row>
    <row r="588" spans="1:64" s="1518" customFormat="1" x14ac:dyDescent="0.35">
      <c r="A588" s="2058" t="s">
        <v>1212</v>
      </c>
      <c r="B588" s="2059"/>
      <c r="C588" s="2060"/>
      <c r="D588" s="2060"/>
      <c r="E588" s="2060"/>
      <c r="F588" s="2060"/>
      <c r="G588" s="2060"/>
      <c r="H588" s="2060"/>
      <c r="I588" s="2060"/>
      <c r="J588" s="2060"/>
      <c r="K588" s="2060"/>
      <c r="L588" s="2060"/>
      <c r="M588" s="2060"/>
      <c r="N588" s="2060"/>
      <c r="O588" s="2060"/>
      <c r="P588" s="2060"/>
      <c r="Q588" s="2060"/>
      <c r="R588" s="2060"/>
      <c r="S588" s="2060"/>
      <c r="T588" s="2060"/>
      <c r="U588" s="2060"/>
      <c r="V588" s="2060">
        <f>V583-R583</f>
        <v>7.9063631478332883E-2</v>
      </c>
      <c r="W588" s="2060"/>
      <c r="X588" s="2060"/>
      <c r="Y588" s="2060"/>
      <c r="Z588" s="2060">
        <f>Z583-V583</f>
        <v>2.6829333605701E-2</v>
      </c>
      <c r="AA588" s="2060"/>
      <c r="AB588" s="2060">
        <f t="shared" si="383"/>
        <v>-1.6402463812711862E-2</v>
      </c>
      <c r="AC588" s="2060">
        <f t="shared" si="383"/>
        <v>-2.6208397111165821E-3</v>
      </c>
      <c r="AD588" s="2060">
        <f t="shared" si="383"/>
        <v>-1.8453510323749991E-2</v>
      </c>
      <c r="AE588" s="2060">
        <f t="shared" si="383"/>
        <v>-3.6172209157668417E-3</v>
      </c>
      <c r="AF588" s="2060">
        <f t="shared" si="383"/>
        <v>1.7583052913268393E-4</v>
      </c>
      <c r="AG588" s="2060">
        <f t="shared" si="383"/>
        <v>-2.0651759907173578E-3</v>
      </c>
      <c r="AH588" s="2060">
        <f t="shared" si="383"/>
        <v>1.4758362185388618E-3</v>
      </c>
      <c r="AI588" s="2060">
        <f t="shared" si="383"/>
        <v>2.5624279490724378E-2</v>
      </c>
      <c r="AJ588" s="2061">
        <f t="shared" si="383"/>
        <v>2.8741346354944117E-2</v>
      </c>
      <c r="AK588" s="2062">
        <v>0</v>
      </c>
      <c r="AL588" s="2062">
        <v>0</v>
      </c>
      <c r="AM588" s="2062">
        <v>0</v>
      </c>
      <c r="AN588" s="2062">
        <v>0</v>
      </c>
      <c r="AO588" s="2062">
        <v>0</v>
      </c>
      <c r="AP588" s="2062">
        <v>0</v>
      </c>
      <c r="AQ588" s="2063"/>
      <c r="AR588" s="2064"/>
      <c r="AS588" s="2064"/>
      <c r="AT588" s="2064"/>
      <c r="AU588" s="2064"/>
      <c r="AV588" s="2064"/>
      <c r="AW588" s="2064"/>
      <c r="AX588" s="2064"/>
      <c r="AY588" s="2064"/>
      <c r="AZ588" s="2064"/>
      <c r="BA588" s="2064"/>
      <c r="BB588" s="2064"/>
      <c r="BC588" s="2064">
        <f t="shared" si="384"/>
        <v>-6.0233232005209858E-3</v>
      </c>
      <c r="BD588" s="2064">
        <f t="shared" si="384"/>
        <v>2.6829507734341229E-2</v>
      </c>
      <c r="BE588" s="2064">
        <f t="shared" si="384"/>
        <v>-1.8453510323750005E-2</v>
      </c>
      <c r="BF588" s="2065">
        <f t="shared" si="384"/>
        <v>1.4758362185388757E-3</v>
      </c>
      <c r="BG588" s="2064">
        <f t="shared" si="384"/>
        <v>0</v>
      </c>
      <c r="BH588" s="2064">
        <f t="shared" si="384"/>
        <v>0</v>
      </c>
      <c r="BI588" s="2066">
        <v>0</v>
      </c>
      <c r="BJ588" s="2066">
        <v>0</v>
      </c>
      <c r="BK588" s="2066">
        <v>0</v>
      </c>
      <c r="BL588" s="1515"/>
    </row>
    <row r="589" spans="1:64" s="1518" customFormat="1" x14ac:dyDescent="0.35">
      <c r="A589" s="1667"/>
      <c r="B589" s="1712"/>
      <c r="C589" s="1667"/>
      <c r="D589" s="1667"/>
      <c r="E589" s="1667"/>
      <c r="F589" s="1667"/>
      <c r="G589" s="1667"/>
      <c r="H589" s="1667"/>
      <c r="I589" s="1667"/>
      <c r="J589" s="1667"/>
      <c r="K589" s="1667"/>
      <c r="L589" s="1667"/>
      <c r="M589" s="1667"/>
      <c r="N589" s="1667"/>
      <c r="O589" s="1667"/>
      <c r="P589" s="1667"/>
      <c r="Q589" s="1667"/>
      <c r="R589" s="1667"/>
      <c r="S589" s="1667"/>
      <c r="T589" s="1667"/>
      <c r="U589" s="1667"/>
      <c r="V589" s="1667"/>
      <c r="W589" s="1667"/>
      <c r="X589" s="1667"/>
      <c r="Y589" s="1667"/>
      <c r="Z589" s="1667"/>
      <c r="AA589" s="1667"/>
      <c r="AB589" s="1667"/>
      <c r="AC589" s="1667"/>
      <c r="AD589" s="1667"/>
      <c r="AE589" s="1667"/>
      <c r="AF589" s="1667"/>
      <c r="AG589" s="1667"/>
      <c r="AH589" s="1667"/>
      <c r="AI589" s="1667"/>
      <c r="AJ589" s="1668"/>
      <c r="AK589" s="1667"/>
      <c r="AL589" s="1667"/>
      <c r="AM589" s="1667"/>
      <c r="AN589" s="1667"/>
      <c r="AO589" s="1667"/>
      <c r="AP589" s="1667"/>
      <c r="AQ589" s="1667"/>
      <c r="AR589" s="1669"/>
      <c r="AS589" s="1669"/>
      <c r="AT589" s="1669"/>
      <c r="AU589" s="1669"/>
      <c r="AV589" s="1669"/>
      <c r="AW589" s="1669"/>
      <c r="AX589" s="1669"/>
      <c r="AY589" s="1669"/>
      <c r="AZ589" s="1669"/>
      <c r="BA589" s="1669"/>
      <c r="BB589" s="1669"/>
      <c r="BC589" s="1669"/>
      <c r="BD589" s="1669"/>
      <c r="BE589" s="1669"/>
      <c r="BF589" s="1612"/>
      <c r="BG589" s="1669"/>
      <c r="BH589" s="1669"/>
      <c r="BI589" s="1669"/>
      <c r="BJ589" s="1669"/>
      <c r="BK589" s="1669"/>
      <c r="BL589" s="1515"/>
    </row>
    <row r="590" spans="1:64" s="1518" customFormat="1" x14ac:dyDescent="0.35">
      <c r="A590" s="1588" t="s">
        <v>466</v>
      </c>
      <c r="B590" s="1556"/>
      <c r="C590" s="1556"/>
      <c r="D590" s="1556"/>
      <c r="E590" s="1556"/>
      <c r="F590" s="1556"/>
      <c r="G590" s="1556"/>
      <c r="H590" s="1556"/>
      <c r="I590" s="1556"/>
      <c r="J590" s="1556"/>
      <c r="K590" s="1556"/>
      <c r="L590" s="1556"/>
      <c r="M590" s="1556"/>
      <c r="N590" s="1556"/>
      <c r="O590" s="1556"/>
      <c r="P590" s="1556"/>
      <c r="Q590" s="1556"/>
      <c r="R590" s="1556"/>
      <c r="S590" s="1556"/>
      <c r="T590" s="1556"/>
      <c r="U590" s="1556"/>
      <c r="V590" s="1556"/>
      <c r="W590" s="1556"/>
      <c r="X590" s="1556"/>
      <c r="Y590" s="1556"/>
      <c r="Z590" s="1556"/>
      <c r="AA590" s="1556"/>
      <c r="AB590" s="1556"/>
      <c r="AC590" s="1556"/>
      <c r="AD590" s="1556"/>
      <c r="AE590" s="1556"/>
      <c r="AF590" s="1556"/>
      <c r="AG590" s="1556"/>
      <c r="AH590" s="1556"/>
      <c r="AI590" s="1556"/>
      <c r="AJ590" s="1558"/>
      <c r="AK590" s="1556"/>
      <c r="AL590" s="1556"/>
      <c r="AM590" s="1556"/>
      <c r="AN590" s="1556"/>
      <c r="AO590" s="1556"/>
      <c r="AP590" s="1556"/>
      <c r="AQ590" s="1556"/>
      <c r="AR590" s="1556"/>
      <c r="AS590" s="1556"/>
      <c r="AT590" s="1556"/>
      <c r="AU590" s="1556"/>
      <c r="AV590" s="1556"/>
      <c r="AW590" s="1556"/>
      <c r="AX590" s="1556"/>
      <c r="AY590" s="1556"/>
      <c r="AZ590" s="1556"/>
      <c r="BA590" s="1556"/>
      <c r="BB590" s="1556"/>
      <c r="BC590" s="1556"/>
      <c r="BD590" s="1556"/>
      <c r="BE590" s="1556"/>
      <c r="BF590" s="1558"/>
      <c r="BG590" s="1556"/>
      <c r="BH590" s="1556"/>
      <c r="BI590" s="1556"/>
      <c r="BJ590" s="1556"/>
      <c r="BK590" s="1556"/>
      <c r="BL590" s="1517"/>
    </row>
    <row r="591" spans="1:64" s="1518" customFormat="1" x14ac:dyDescent="0.35">
      <c r="A591" s="1711" t="s">
        <v>157</v>
      </c>
      <c r="B591" s="1716"/>
      <c r="C591" s="1515"/>
      <c r="D591" s="1515"/>
      <c r="E591" s="1515"/>
      <c r="F591" s="1515"/>
      <c r="G591" s="1515"/>
      <c r="H591" s="1515"/>
      <c r="I591" s="1515"/>
      <c r="J591" s="1515"/>
      <c r="K591" s="1515"/>
      <c r="L591" s="1515"/>
      <c r="M591" s="1515"/>
      <c r="N591" s="1515"/>
      <c r="O591" s="1515"/>
      <c r="P591" s="1515"/>
      <c r="Q591" s="1515"/>
      <c r="R591" s="1515"/>
      <c r="S591" s="1515"/>
      <c r="T591" s="1515"/>
      <c r="U591" s="1515"/>
      <c r="V591" s="1515"/>
      <c r="W591" s="1515"/>
      <c r="X591" s="1515"/>
      <c r="Y591" s="1515"/>
      <c r="Z591" s="1515"/>
      <c r="AA591" s="1515"/>
      <c r="AB591" s="1515"/>
      <c r="AC591" s="1515"/>
      <c r="AD591" s="1515"/>
      <c r="AE591" s="1515"/>
      <c r="AF591" s="1515"/>
      <c r="AG591" s="1515"/>
      <c r="AH591" s="1515"/>
      <c r="AI591" s="1515"/>
      <c r="AJ591" s="1516"/>
      <c r="AK591" s="1515"/>
      <c r="AL591" s="1515"/>
      <c r="AM591" s="1515"/>
      <c r="AN591" s="1515"/>
      <c r="AO591" s="1515"/>
      <c r="AP591" s="1515"/>
      <c r="AQ591" s="1515"/>
      <c r="AR591" s="1595"/>
      <c r="AS591" s="1595"/>
      <c r="AT591" s="1595"/>
      <c r="AU591" s="1595"/>
      <c r="AV591" s="1595"/>
      <c r="AW591" s="1595"/>
      <c r="AX591" s="1595"/>
      <c r="AY591" s="1595"/>
      <c r="AZ591" s="1595"/>
      <c r="BA591" s="1595"/>
      <c r="BB591" s="1595"/>
      <c r="BC591" s="1595"/>
      <c r="BD591" s="1595"/>
      <c r="BE591" s="1595"/>
      <c r="BF591" s="1610"/>
      <c r="BG591" s="1595"/>
      <c r="BH591" s="1595"/>
      <c r="BI591" s="1595"/>
      <c r="BJ591" s="1595"/>
      <c r="BK591" s="1595"/>
      <c r="BL591" s="1517"/>
    </row>
    <row r="592" spans="1:64" s="1518" customFormat="1" x14ac:dyDescent="0.35">
      <c r="A592" s="1591" t="s">
        <v>155</v>
      </c>
      <c r="B592" s="1716"/>
      <c r="C592" s="1515"/>
      <c r="D592" s="1515"/>
      <c r="E592" s="1515"/>
      <c r="F592" s="1515"/>
      <c r="G592" s="1515"/>
      <c r="H592" s="1515"/>
      <c r="I592" s="1515"/>
      <c r="J592" s="1515"/>
      <c r="K592" s="1515"/>
      <c r="L592" s="1515"/>
      <c r="M592" s="1515"/>
      <c r="N592" s="1515"/>
      <c r="O592" s="1515"/>
      <c r="P592" s="1515"/>
      <c r="Q592" s="1515"/>
      <c r="R592" s="1517">
        <f>BB592</f>
        <v>50.298999999999999</v>
      </c>
      <c r="S592" s="1515"/>
      <c r="T592" s="1515"/>
      <c r="U592" s="1515"/>
      <c r="V592" s="1517">
        <f>BC592</f>
        <v>66.632999999999996</v>
      </c>
      <c r="W592" s="1515"/>
      <c r="X592" s="1593">
        <v>94.290999999999997</v>
      </c>
      <c r="Y592" s="1593">
        <v>192.39699999999999</v>
      </c>
      <c r="Z592" s="1517">
        <f>BD592</f>
        <v>47.997999999999998</v>
      </c>
      <c r="AA592" s="1593">
        <v>44.347000000000001</v>
      </c>
      <c r="AB592" s="1593">
        <v>65.811000000000007</v>
      </c>
      <c r="AC592" s="1593">
        <v>99.19</v>
      </c>
      <c r="AD592" s="1517">
        <f>BE592</f>
        <v>103.095</v>
      </c>
      <c r="AE592" s="1593">
        <v>50.963999999999999</v>
      </c>
      <c r="AF592" s="1593">
        <v>48.817</v>
      </c>
      <c r="AG592" s="1593">
        <v>49.877000000000002</v>
      </c>
      <c r="AH592" s="1517">
        <f>BF592</f>
        <v>54.223999999999997</v>
      </c>
      <c r="AI592" s="1593">
        <v>66.978999999999999</v>
      </c>
      <c r="AJ592" s="1594">
        <v>74.182000000000002</v>
      </c>
      <c r="AK592" s="1515">
        <f t="shared" ref="AK592:AP592" ca="1" si="385">AK550</f>
        <v>103.2601494363638</v>
      </c>
      <c r="AL592" s="1515">
        <f t="shared" ca="1" si="385"/>
        <v>155.23420201536999</v>
      </c>
      <c r="AM592" s="1515">
        <f t="shared" ca="1" si="385"/>
        <v>188.03692107135063</v>
      </c>
      <c r="AN592" s="1515">
        <f t="shared" ca="1" si="385"/>
        <v>223.07035031429146</v>
      </c>
      <c r="AO592" s="1515">
        <f t="shared" ca="1" si="385"/>
        <v>246.81609862348225</v>
      </c>
      <c r="AP592" s="1515">
        <f t="shared" ca="1" si="385"/>
        <v>291.40769056857732</v>
      </c>
      <c r="AQ592" s="1515"/>
      <c r="AR592" s="1595"/>
      <c r="AS592" s="1595"/>
      <c r="AT592" s="1595"/>
      <c r="AU592" s="1595"/>
      <c r="AV592" s="1595"/>
      <c r="AW592" s="1595"/>
      <c r="AX592" s="1595"/>
      <c r="AY592" s="1595"/>
      <c r="AZ592" s="1595"/>
      <c r="BA592" s="1595"/>
      <c r="BB592" s="1596">
        <v>50.298999999999999</v>
      </c>
      <c r="BC592" s="1596">
        <v>66.632999999999996</v>
      </c>
      <c r="BD592" s="1596">
        <v>47.997999999999998</v>
      </c>
      <c r="BE592" s="1596">
        <v>103.095</v>
      </c>
      <c r="BF592" s="1597">
        <v>54.223999999999997</v>
      </c>
      <c r="BG592" s="1595">
        <f t="shared" ref="BG592:BG597" ca="1" si="386">AL592</f>
        <v>155.23420201536999</v>
      </c>
      <c r="BH592" s="1595">
        <f t="shared" ref="BH592:BH597" ca="1" si="387">AP592</f>
        <v>291.40769056857732</v>
      </c>
      <c r="BI592" s="1595">
        <f ca="1">BI550</f>
        <v>475.26417902611149</v>
      </c>
      <c r="BJ592" s="1595">
        <f ca="1">BJ550</f>
        <v>658.13883531104341</v>
      </c>
      <c r="BK592" s="1595">
        <f ca="1">BK550</f>
        <v>871.72905054352157</v>
      </c>
      <c r="BL592" s="1517"/>
    </row>
    <row r="593" spans="1:64" s="1518" customFormat="1" x14ac:dyDescent="0.35">
      <c r="A593" s="1591" t="s">
        <v>1213</v>
      </c>
      <c r="B593" s="1716"/>
      <c r="C593" s="1515"/>
      <c r="D593" s="1515"/>
      <c r="E593" s="1515"/>
      <c r="F593" s="1515"/>
      <c r="G593" s="1515"/>
      <c r="H593" s="1515"/>
      <c r="I593" s="1515"/>
      <c r="J593" s="1515"/>
      <c r="K593" s="1515"/>
      <c r="L593" s="1515"/>
      <c r="M593" s="1515"/>
      <c r="N593" s="1515"/>
      <c r="O593" s="1515"/>
      <c r="P593" s="1515"/>
      <c r="Q593" s="1515"/>
      <c r="R593" s="1517">
        <f>BB593</f>
        <v>80.552999999999997</v>
      </c>
      <c r="S593" s="1515"/>
      <c r="T593" s="1515"/>
      <c r="U593" s="1515"/>
      <c r="V593" s="1517">
        <f>BC593</f>
        <v>80.381</v>
      </c>
      <c r="W593" s="1515"/>
      <c r="X593" s="1593">
        <v>104.83799999999999</v>
      </c>
      <c r="Y593" s="1593">
        <v>119.812</v>
      </c>
      <c r="Z593" s="1517">
        <f>BD593</f>
        <v>127.92700000000001</v>
      </c>
      <c r="AA593" s="1593">
        <v>147.94900000000001</v>
      </c>
      <c r="AB593" s="1593">
        <v>164.179</v>
      </c>
      <c r="AC593" s="1593">
        <v>159.55000000000001</v>
      </c>
      <c r="AD593" s="1517">
        <f>BE593</f>
        <v>139.57900000000001</v>
      </c>
      <c r="AE593" s="1593">
        <v>147.12299999999999</v>
      </c>
      <c r="AF593" s="1593">
        <v>151.274</v>
      </c>
      <c r="AG593" s="1593">
        <v>151.935</v>
      </c>
      <c r="AH593" s="1517">
        <f>BF593</f>
        <v>142.179</v>
      </c>
      <c r="AI593" s="1593">
        <v>157.392</v>
      </c>
      <c r="AJ593" s="1594">
        <v>172.05</v>
      </c>
      <c r="AK593" s="1515">
        <f t="shared" ref="AK593:AP593" si="388">SUM(AK177,AJ177,AI177,AH177)*AK580</f>
        <v>157.71149509377292</v>
      </c>
      <c r="AL593" s="1515">
        <f t="shared" si="388"/>
        <v>149.36151030564449</v>
      </c>
      <c r="AM593" s="1515">
        <f t="shared" si="388"/>
        <v>166.03106055217532</v>
      </c>
      <c r="AN593" s="1515">
        <f t="shared" si="388"/>
        <v>182.60990349587374</v>
      </c>
      <c r="AO593" s="1515">
        <f t="shared" si="388"/>
        <v>168.4561264340864</v>
      </c>
      <c r="AP593" s="1515">
        <f t="shared" si="388"/>
        <v>161.45080282882037</v>
      </c>
      <c r="AQ593" s="1515"/>
      <c r="AR593" s="1595"/>
      <c r="AS593" s="1595"/>
      <c r="AT593" s="1595"/>
      <c r="AU593" s="1595"/>
      <c r="AV593" s="1595"/>
      <c r="AW593" s="1595"/>
      <c r="AX593" s="1595"/>
      <c r="AY593" s="1595"/>
      <c r="AZ593" s="1595"/>
      <c r="BA593" s="1595"/>
      <c r="BB593" s="1596">
        <v>80.552999999999997</v>
      </c>
      <c r="BC593" s="1596">
        <v>80.381</v>
      </c>
      <c r="BD593" s="1596">
        <v>127.92700000000001</v>
      </c>
      <c r="BE593" s="1596">
        <v>139.57900000000001</v>
      </c>
      <c r="BF593" s="1597">
        <v>142.179</v>
      </c>
      <c r="BG593" s="1595">
        <f t="shared" si="386"/>
        <v>149.36151030564449</v>
      </c>
      <c r="BH593" s="1595">
        <f t="shared" si="387"/>
        <v>161.45080282882037</v>
      </c>
      <c r="BI593" s="1595">
        <f>BI177*BI580</f>
        <v>176.66487385662347</v>
      </c>
      <c r="BJ593" s="1595">
        <f>BJ177*BJ580</f>
        <v>189.02134865200841</v>
      </c>
      <c r="BK593" s="1595">
        <f>BK177*BK580</f>
        <v>202.17180874229024</v>
      </c>
      <c r="BL593" s="1517"/>
    </row>
    <row r="594" spans="1:64" s="1518" customFormat="1" x14ac:dyDescent="0.35">
      <c r="A594" s="1591" t="s">
        <v>817</v>
      </c>
      <c r="B594" s="1716"/>
      <c r="C594" s="1515"/>
      <c r="D594" s="1515"/>
      <c r="E594" s="1515"/>
      <c r="F594" s="1515"/>
      <c r="G594" s="1515"/>
      <c r="H594" s="1515"/>
      <c r="I594" s="1515"/>
      <c r="J594" s="1515"/>
      <c r="K594" s="1515"/>
      <c r="L594" s="1515"/>
      <c r="M594" s="1515"/>
      <c r="N594" s="1515"/>
      <c r="O594" s="1515"/>
      <c r="P594" s="1515"/>
      <c r="Q594" s="1515"/>
      <c r="R594" s="1517">
        <f>BB594</f>
        <v>15</v>
      </c>
      <c r="S594" s="1515"/>
      <c r="T594" s="1515"/>
      <c r="U594" s="1515"/>
      <c r="V594" s="1517">
        <f>BC594</f>
        <v>0.75</v>
      </c>
      <c r="W594" s="1515"/>
      <c r="X594" s="1515"/>
      <c r="Y594" s="1515"/>
      <c r="Z594" s="1517">
        <f>BD594</f>
        <v>0</v>
      </c>
      <c r="AA594" s="1515"/>
      <c r="AB594" s="1515"/>
      <c r="AC594" s="1515"/>
      <c r="AD594" s="1517">
        <f>BE594</f>
        <v>0.92100000000000004</v>
      </c>
      <c r="AE594" s="1593">
        <v>0.92200000000000004</v>
      </c>
      <c r="AF594" s="1593">
        <v>3.4209999999999998</v>
      </c>
      <c r="AG594" s="1593">
        <v>4.6890000000000001</v>
      </c>
      <c r="AH594" s="1517">
        <f>BF594</f>
        <v>2.9369999999999998</v>
      </c>
      <c r="AI594" s="1593">
        <v>2.895</v>
      </c>
      <c r="AJ594" s="1594">
        <v>2.895</v>
      </c>
      <c r="AK594" s="1515">
        <f>AJ594</f>
        <v>2.895</v>
      </c>
      <c r="AL594" s="1515">
        <f>AK594</f>
        <v>2.895</v>
      </c>
      <c r="AM594" s="1515">
        <f>BG594</f>
        <v>2.895</v>
      </c>
      <c r="AN594" s="1515">
        <f>AM594</f>
        <v>2.895</v>
      </c>
      <c r="AO594" s="1515">
        <f>AN594</f>
        <v>2.895</v>
      </c>
      <c r="AP594" s="1515">
        <f>AO594</f>
        <v>2.895</v>
      </c>
      <c r="AQ594" s="1515"/>
      <c r="AR594" s="1595"/>
      <c r="AS594" s="1595"/>
      <c r="AT594" s="1595"/>
      <c r="AU594" s="1595"/>
      <c r="AV594" s="1595"/>
      <c r="AW594" s="1595"/>
      <c r="AX594" s="1595"/>
      <c r="AY594" s="1595"/>
      <c r="AZ594" s="1595"/>
      <c r="BA594" s="1595"/>
      <c r="BB594" s="1596">
        <v>15</v>
      </c>
      <c r="BC594" s="1596">
        <v>0.75</v>
      </c>
      <c r="BD594" s="1595"/>
      <c r="BE594" s="1596">
        <v>0.92100000000000004</v>
      </c>
      <c r="BF594" s="1597">
        <v>2.9369999999999998</v>
      </c>
      <c r="BG594" s="1595">
        <f t="shared" si="386"/>
        <v>2.895</v>
      </c>
      <c r="BH594" s="1595">
        <f t="shared" si="387"/>
        <v>2.895</v>
      </c>
      <c r="BI594" s="1595">
        <f>BH594</f>
        <v>2.895</v>
      </c>
      <c r="BJ594" s="1595">
        <f>BI594</f>
        <v>2.895</v>
      </c>
      <c r="BK594" s="1595">
        <f>BJ594</f>
        <v>2.895</v>
      </c>
      <c r="BL594" s="1517"/>
    </row>
    <row r="595" spans="1:64" s="1518" customFormat="1" x14ac:dyDescent="0.35">
      <c r="A595" s="1591" t="s">
        <v>818</v>
      </c>
      <c r="B595" s="1716"/>
      <c r="C595" s="1515"/>
      <c r="D595" s="1515"/>
      <c r="E595" s="1515"/>
      <c r="F595" s="1515"/>
      <c r="G595" s="1515"/>
      <c r="H595" s="1515"/>
      <c r="I595" s="1515"/>
      <c r="J595" s="1515"/>
      <c r="K595" s="1515"/>
      <c r="L595" s="1515"/>
      <c r="M595" s="1515"/>
      <c r="N595" s="1515"/>
      <c r="O595" s="1515"/>
      <c r="P595" s="1515"/>
      <c r="Q595" s="1515"/>
      <c r="R595" s="1517">
        <f>BB595</f>
        <v>5.9089999999999998</v>
      </c>
      <c r="S595" s="1515"/>
      <c r="T595" s="1515"/>
      <c r="U595" s="1515"/>
      <c r="V595" s="1517">
        <f>BC595</f>
        <v>7.2729999999999997</v>
      </c>
      <c r="W595" s="1515"/>
      <c r="X595" s="1593">
        <v>9.6920000000000002</v>
      </c>
      <c r="Y595" s="1593">
        <v>8.6579999999999995</v>
      </c>
      <c r="Z595" s="1517">
        <f>BD595</f>
        <v>12.51</v>
      </c>
      <c r="AA595" s="1593">
        <v>13.366</v>
      </c>
      <c r="AB595" s="1593">
        <v>13.08</v>
      </c>
      <c r="AC595" s="1593">
        <v>8.702</v>
      </c>
      <c r="AD595" s="1517">
        <f>BE595</f>
        <v>13.433</v>
      </c>
      <c r="AE595" s="1593">
        <v>11.201000000000001</v>
      </c>
      <c r="AF595" s="1593">
        <v>11.795</v>
      </c>
      <c r="AG595" s="1593">
        <v>8.5950000000000006</v>
      </c>
      <c r="AH595" s="1517">
        <f>BF595</f>
        <v>9.6509999999999998</v>
      </c>
      <c r="AI595" s="1593">
        <v>11.382</v>
      </c>
      <c r="AJ595" s="1594">
        <v>8.6780000000000008</v>
      </c>
      <c r="AK595" s="1515">
        <f t="shared" ref="AK595:AP595" si="389">SUM(AK177,AJ177,AI177,AH177)*AK582</f>
        <v>8.9217777360777859</v>
      </c>
      <c r="AL595" s="1515">
        <f t="shared" si="389"/>
        <v>10.138543216366516</v>
      </c>
      <c r="AM595" s="1515">
        <f t="shared" si="389"/>
        <v>12.006744505469523</v>
      </c>
      <c r="AN595" s="1515">
        <f t="shared" si="389"/>
        <v>9.2106291341888546</v>
      </c>
      <c r="AO595" s="1515">
        <f t="shared" si="389"/>
        <v>9.5296041511236567</v>
      </c>
      <c r="AP595" s="1515">
        <f t="shared" si="389"/>
        <v>10.959154995470115</v>
      </c>
      <c r="AQ595" s="1515"/>
      <c r="AR595" s="1595"/>
      <c r="AS595" s="1595"/>
      <c r="AT595" s="1595"/>
      <c r="AU595" s="1595"/>
      <c r="AV595" s="1595"/>
      <c r="AW595" s="1595"/>
      <c r="AX595" s="1595"/>
      <c r="AY595" s="1595"/>
      <c r="AZ595" s="1595"/>
      <c r="BA595" s="1595"/>
      <c r="BB595" s="1596">
        <v>5.9089999999999998</v>
      </c>
      <c r="BC595" s="1596">
        <v>7.2729999999999997</v>
      </c>
      <c r="BD595" s="1596">
        <v>12.51</v>
      </c>
      <c r="BE595" s="1596">
        <v>13.433</v>
      </c>
      <c r="BF595" s="1597">
        <v>9.6509999999999998</v>
      </c>
      <c r="BG595" s="1595">
        <f t="shared" si="386"/>
        <v>10.138543216366516</v>
      </c>
      <c r="BH595" s="1595">
        <f t="shared" si="387"/>
        <v>10.959154995470115</v>
      </c>
      <c r="BI595" s="1595">
        <f>BI177*BI582</f>
        <v>11.991874310483778</v>
      </c>
      <c r="BJ595" s="1595">
        <f>BJ177*BJ582</f>
        <v>12.830622214536135</v>
      </c>
      <c r="BK595" s="1595">
        <f>BK177*BK582</f>
        <v>13.723265223217515</v>
      </c>
      <c r="BL595" s="1517"/>
    </row>
    <row r="596" spans="1:64" s="1518" customFormat="1" x14ac:dyDescent="0.35">
      <c r="A596" s="1591" t="s">
        <v>819</v>
      </c>
      <c r="B596" s="1716"/>
      <c r="C596" s="1515"/>
      <c r="D596" s="1515"/>
      <c r="E596" s="1515"/>
      <c r="F596" s="1515"/>
      <c r="G596" s="1515"/>
      <c r="H596" s="1515"/>
      <c r="I596" s="1515"/>
      <c r="J596" s="1515"/>
      <c r="K596" s="1515"/>
      <c r="L596" s="1515"/>
      <c r="M596" s="1515"/>
      <c r="N596" s="1515"/>
      <c r="O596" s="1515"/>
      <c r="P596" s="1515"/>
      <c r="Q596" s="1515"/>
      <c r="R596" s="1515"/>
      <c r="S596" s="1515"/>
      <c r="T596" s="1515"/>
      <c r="U596" s="1515"/>
      <c r="V596" s="1515"/>
      <c r="W596" s="1515"/>
      <c r="X596" s="1515"/>
      <c r="Y596" s="1515"/>
      <c r="Z596" s="1515"/>
      <c r="AA596" s="1593">
        <v>3.4350000000000001</v>
      </c>
      <c r="AB596" s="1593">
        <v>3.282</v>
      </c>
      <c r="AC596" s="1593">
        <v>3.3330000000000002</v>
      </c>
      <c r="AD596" s="1515"/>
      <c r="AE596" s="1515"/>
      <c r="AF596" s="1515"/>
      <c r="AG596" s="1515"/>
      <c r="AH596" s="1515"/>
      <c r="AI596" s="1515"/>
      <c r="AJ596" s="1516"/>
      <c r="AK596" s="1515">
        <f>AJ596</f>
        <v>0</v>
      </c>
      <c r="AL596" s="1515">
        <f>AK596</f>
        <v>0</v>
      </c>
      <c r="AM596" s="1515">
        <f>BG596</f>
        <v>0</v>
      </c>
      <c r="AN596" s="1515">
        <f t="shared" ref="AN596:AP597" si="390">AM596</f>
        <v>0</v>
      </c>
      <c r="AO596" s="1515">
        <f t="shared" si="390"/>
        <v>0</v>
      </c>
      <c r="AP596" s="1515">
        <f t="shared" si="390"/>
        <v>0</v>
      </c>
      <c r="AQ596" s="1515"/>
      <c r="AR596" s="1595"/>
      <c r="AS596" s="1595"/>
      <c r="AT596" s="1595"/>
      <c r="AU596" s="1595"/>
      <c r="AV596" s="1595"/>
      <c r="AW596" s="1595"/>
      <c r="AX596" s="1595"/>
      <c r="AY596" s="1595"/>
      <c r="AZ596" s="1595"/>
      <c r="BA596" s="1595"/>
      <c r="BB596" s="1595"/>
      <c r="BC596" s="1595"/>
      <c r="BD596" s="1595"/>
      <c r="BE596" s="1595"/>
      <c r="BF596" s="1610"/>
      <c r="BG596" s="1595">
        <f t="shared" si="386"/>
        <v>0</v>
      </c>
      <c r="BH596" s="1595">
        <f t="shared" si="387"/>
        <v>0</v>
      </c>
      <c r="BI596" s="1595">
        <f t="shared" ref="BI596:BK597" si="391">BH596</f>
        <v>0</v>
      </c>
      <c r="BJ596" s="1595">
        <f t="shared" si="391"/>
        <v>0</v>
      </c>
      <c r="BK596" s="1595">
        <f t="shared" si="391"/>
        <v>0</v>
      </c>
      <c r="BL596" s="1517"/>
    </row>
    <row r="597" spans="1:64" s="1518" customFormat="1" x14ac:dyDescent="0.35">
      <c r="A597" s="1591" t="s">
        <v>156</v>
      </c>
      <c r="B597" s="1716"/>
      <c r="C597" s="1515"/>
      <c r="D597" s="1515"/>
      <c r="E597" s="1515"/>
      <c r="F597" s="1515"/>
      <c r="G597" s="1515"/>
      <c r="H597" s="1515"/>
      <c r="I597" s="1515"/>
      <c r="J597" s="1515"/>
      <c r="K597" s="1515"/>
      <c r="L597" s="1515"/>
      <c r="M597" s="1515"/>
      <c r="N597" s="1515"/>
      <c r="O597" s="1515"/>
      <c r="P597" s="1515"/>
      <c r="Q597" s="1515"/>
      <c r="R597" s="1517">
        <f>BB597</f>
        <v>11.366</v>
      </c>
      <c r="S597" s="1515"/>
      <c r="T597" s="1515"/>
      <c r="U597" s="1515"/>
      <c r="V597" s="1517">
        <f>BC597</f>
        <v>7.8449999999999998</v>
      </c>
      <c r="W597" s="1515"/>
      <c r="X597" s="1593">
        <v>9.4510000000000005</v>
      </c>
      <c r="Y597" s="1593">
        <v>6.7009999999999996</v>
      </c>
      <c r="Z597" s="1517">
        <f>BD597</f>
        <v>11.563000000000001</v>
      </c>
      <c r="AA597" s="1593">
        <v>12.654</v>
      </c>
      <c r="AB597" s="1593">
        <v>12.173</v>
      </c>
      <c r="AC597" s="1593">
        <v>11.234999999999999</v>
      </c>
      <c r="AD597" s="1517">
        <f>BE597</f>
        <v>13.654</v>
      </c>
      <c r="AE597" s="1593">
        <v>16.562999999999999</v>
      </c>
      <c r="AF597" s="1593">
        <v>24.847000000000001</v>
      </c>
      <c r="AG597" s="1593">
        <v>23.77</v>
      </c>
      <c r="AH597" s="1517">
        <f>BF597</f>
        <v>15.8</v>
      </c>
      <c r="AI597" s="1593">
        <v>17.276</v>
      </c>
      <c r="AJ597" s="1594">
        <v>21.472000000000001</v>
      </c>
      <c r="AK597" s="1515">
        <f>AJ597</f>
        <v>21.472000000000001</v>
      </c>
      <c r="AL597" s="1515">
        <f>AK597</f>
        <v>21.472000000000001</v>
      </c>
      <c r="AM597" s="1515">
        <f>BG597</f>
        <v>21.472000000000001</v>
      </c>
      <c r="AN597" s="1515">
        <f t="shared" si="390"/>
        <v>21.472000000000001</v>
      </c>
      <c r="AO597" s="1515">
        <f t="shared" si="390"/>
        <v>21.472000000000001</v>
      </c>
      <c r="AP597" s="1515">
        <f t="shared" si="390"/>
        <v>21.472000000000001</v>
      </c>
      <c r="AQ597" s="1515"/>
      <c r="AR597" s="1595"/>
      <c r="AS597" s="1595"/>
      <c r="AT597" s="1595"/>
      <c r="AU597" s="1595"/>
      <c r="AV597" s="1595"/>
      <c r="AW597" s="1595"/>
      <c r="AX597" s="1595"/>
      <c r="AY597" s="1595"/>
      <c r="AZ597" s="1595"/>
      <c r="BA597" s="1595"/>
      <c r="BB597" s="1596">
        <v>11.366</v>
      </c>
      <c r="BC597" s="1596">
        <v>7.8449999999999998</v>
      </c>
      <c r="BD597" s="1596">
        <v>11.563000000000001</v>
      </c>
      <c r="BE597" s="1596">
        <v>13.654</v>
      </c>
      <c r="BF597" s="1597">
        <v>15.8</v>
      </c>
      <c r="BG597" s="1595">
        <f t="shared" si="386"/>
        <v>21.472000000000001</v>
      </c>
      <c r="BH597" s="1595">
        <f t="shared" si="387"/>
        <v>21.472000000000001</v>
      </c>
      <c r="BI597" s="1595">
        <f t="shared" si="391"/>
        <v>21.472000000000001</v>
      </c>
      <c r="BJ597" s="1595">
        <f t="shared" si="391"/>
        <v>21.472000000000001</v>
      </c>
      <c r="BK597" s="1595">
        <f t="shared" si="391"/>
        <v>21.472000000000001</v>
      </c>
      <c r="BL597" s="1517"/>
    </row>
    <row r="598" spans="1:64" s="1608" customFormat="1" x14ac:dyDescent="0.35">
      <c r="A598" s="1599" t="s">
        <v>503</v>
      </c>
      <c r="B598" s="1717"/>
      <c r="C598" s="1601"/>
      <c r="D598" s="1601"/>
      <c r="E598" s="1601"/>
      <c r="F598" s="1601"/>
      <c r="G598" s="1601"/>
      <c r="H598" s="1601"/>
      <c r="I598" s="1601"/>
      <c r="J598" s="1601"/>
      <c r="K598" s="1601"/>
      <c r="L598" s="1601"/>
      <c r="M598" s="1601"/>
      <c r="N598" s="1601"/>
      <c r="O598" s="1601"/>
      <c r="P598" s="1601"/>
      <c r="Q598" s="1601"/>
      <c r="R598" s="1602">
        <f t="shared" ref="R598:AP598" si="392">SUM(R592:R597)</f>
        <v>163.12700000000001</v>
      </c>
      <c r="S598" s="1602">
        <f t="shared" si="392"/>
        <v>0</v>
      </c>
      <c r="T598" s="1602">
        <f t="shared" si="392"/>
        <v>0</v>
      </c>
      <c r="U598" s="1602">
        <f t="shared" si="392"/>
        <v>0</v>
      </c>
      <c r="V598" s="1602">
        <f t="shared" si="392"/>
        <v>162.88200000000001</v>
      </c>
      <c r="W598" s="1602">
        <f t="shared" si="392"/>
        <v>0</v>
      </c>
      <c r="X598" s="1602">
        <f t="shared" si="392"/>
        <v>218.27199999999999</v>
      </c>
      <c r="Y598" s="1602">
        <f t="shared" si="392"/>
        <v>327.56800000000004</v>
      </c>
      <c r="Z598" s="1602">
        <f t="shared" si="392"/>
        <v>199.99799999999999</v>
      </c>
      <c r="AA598" s="1602">
        <f t="shared" si="392"/>
        <v>221.75100000000003</v>
      </c>
      <c r="AB598" s="1602">
        <f t="shared" si="392"/>
        <v>258.52500000000003</v>
      </c>
      <c r="AC598" s="1602">
        <f t="shared" si="392"/>
        <v>282.01000000000005</v>
      </c>
      <c r="AD598" s="1602">
        <f t="shared" si="392"/>
        <v>270.68200000000002</v>
      </c>
      <c r="AE598" s="1602">
        <f t="shared" si="392"/>
        <v>226.77299999999997</v>
      </c>
      <c r="AF598" s="1602">
        <f t="shared" si="392"/>
        <v>240.154</v>
      </c>
      <c r="AG598" s="1602">
        <f t="shared" si="392"/>
        <v>238.86600000000001</v>
      </c>
      <c r="AH598" s="1602">
        <f t="shared" si="392"/>
        <v>224.79100000000003</v>
      </c>
      <c r="AI598" s="1602">
        <f t="shared" si="392"/>
        <v>255.92400000000001</v>
      </c>
      <c r="AJ598" s="1603">
        <f t="shared" si="392"/>
        <v>279.27700000000004</v>
      </c>
      <c r="AK598" s="1601">
        <f t="shared" ca="1" si="392"/>
        <v>294.26042226621445</v>
      </c>
      <c r="AL598" s="1601">
        <f t="shared" ca="1" si="392"/>
        <v>339.10125553738101</v>
      </c>
      <c r="AM598" s="1601">
        <f t="shared" ca="1" si="392"/>
        <v>390.44172612899541</v>
      </c>
      <c r="AN598" s="1601">
        <f t="shared" ca="1" si="392"/>
        <v>439.25788294435404</v>
      </c>
      <c r="AO598" s="1601">
        <f t="shared" ca="1" si="392"/>
        <v>449.16882920869227</v>
      </c>
      <c r="AP598" s="1601">
        <f t="shared" ca="1" si="392"/>
        <v>488.18464839286776</v>
      </c>
      <c r="AQ598" s="1601"/>
      <c r="AR598" s="1604"/>
      <c r="AS598" s="1604"/>
      <c r="AT598" s="1604"/>
      <c r="AU598" s="1604"/>
      <c r="AV598" s="1604"/>
      <c r="AW598" s="1604"/>
      <c r="AX598" s="1604"/>
      <c r="AY598" s="1604"/>
      <c r="AZ598" s="1604"/>
      <c r="BA598" s="1604"/>
      <c r="BB598" s="1605">
        <f t="shared" ref="BB598:BK598" si="393">SUM(BB592:BB597)</f>
        <v>163.12700000000001</v>
      </c>
      <c r="BC598" s="1605">
        <f t="shared" si="393"/>
        <v>162.88200000000001</v>
      </c>
      <c r="BD598" s="1605">
        <f t="shared" si="393"/>
        <v>199.99799999999999</v>
      </c>
      <c r="BE598" s="1605">
        <f t="shared" si="393"/>
        <v>270.68200000000002</v>
      </c>
      <c r="BF598" s="1718">
        <f t="shared" si="393"/>
        <v>224.79100000000003</v>
      </c>
      <c r="BG598" s="1604">
        <f t="shared" ca="1" si="393"/>
        <v>339.10125553738101</v>
      </c>
      <c r="BH598" s="1604">
        <f t="shared" ca="1" si="393"/>
        <v>488.18464839286776</v>
      </c>
      <c r="BI598" s="1604">
        <f t="shared" ca="1" si="393"/>
        <v>688.28792719321871</v>
      </c>
      <c r="BJ598" s="1604">
        <f t="shared" ca="1" si="393"/>
        <v>884.35780617758792</v>
      </c>
      <c r="BK598" s="1604">
        <f t="shared" ca="1" si="393"/>
        <v>1111.9911245090293</v>
      </c>
      <c r="BL598" s="1607"/>
    </row>
    <row r="599" spans="1:64" s="1608" customFormat="1" x14ac:dyDescent="0.35">
      <c r="A599" s="1665"/>
      <c r="B599" s="1712"/>
      <c r="C599" s="1667"/>
      <c r="D599" s="1667"/>
      <c r="E599" s="1667"/>
      <c r="F599" s="1667"/>
      <c r="G599" s="1667"/>
      <c r="H599" s="1667"/>
      <c r="I599" s="1667"/>
      <c r="J599" s="1667"/>
      <c r="K599" s="1667"/>
      <c r="L599" s="1667"/>
      <c r="M599" s="1667"/>
      <c r="N599" s="1667"/>
      <c r="O599" s="1667"/>
      <c r="P599" s="1667"/>
      <c r="Q599" s="1667"/>
      <c r="R599" s="1667"/>
      <c r="S599" s="1667"/>
      <c r="T599" s="1667"/>
      <c r="U599" s="1667"/>
      <c r="V599" s="1667"/>
      <c r="W599" s="1667"/>
      <c r="X599" s="1667"/>
      <c r="Y599" s="1667"/>
      <c r="Z599" s="1667"/>
      <c r="AA599" s="1667"/>
      <c r="AB599" s="1667"/>
      <c r="AC599" s="1667"/>
      <c r="AD599" s="1667"/>
      <c r="AE599" s="1667"/>
      <c r="AF599" s="1667"/>
      <c r="AG599" s="1667"/>
      <c r="AH599" s="1667"/>
      <c r="AI599" s="1667"/>
      <c r="AJ599" s="1668"/>
      <c r="AK599" s="1667"/>
      <c r="AL599" s="1667"/>
      <c r="AM599" s="1667"/>
      <c r="AN599" s="1667"/>
      <c r="AO599" s="1667"/>
      <c r="AP599" s="1667"/>
      <c r="AQ599" s="1667"/>
      <c r="AR599" s="1669"/>
      <c r="AS599" s="1669"/>
      <c r="AT599" s="1669"/>
      <c r="AU599" s="1669"/>
      <c r="AV599" s="1669"/>
      <c r="AW599" s="1669"/>
      <c r="AX599" s="1669"/>
      <c r="AY599" s="1669"/>
      <c r="AZ599" s="1669"/>
      <c r="BA599" s="1669"/>
      <c r="BB599" s="1669"/>
      <c r="BC599" s="1669"/>
      <c r="BD599" s="1669"/>
      <c r="BE599" s="1669"/>
      <c r="BF599" s="1612"/>
      <c r="BG599" s="1669"/>
      <c r="BH599" s="1669"/>
      <c r="BI599" s="1669"/>
      <c r="BJ599" s="1669"/>
      <c r="BK599" s="1669"/>
      <c r="BL599" s="1607"/>
    </row>
    <row r="600" spans="1:64" s="1608" customFormat="1" x14ac:dyDescent="0.35">
      <c r="A600" s="1926" t="s">
        <v>1214</v>
      </c>
      <c r="B600" s="1712"/>
      <c r="C600" s="1667"/>
      <c r="D600" s="1667"/>
      <c r="E600" s="1667"/>
      <c r="F600" s="1667"/>
      <c r="G600" s="1667"/>
      <c r="H600" s="1667"/>
      <c r="I600" s="1667"/>
      <c r="J600" s="1667"/>
      <c r="K600" s="1667"/>
      <c r="L600" s="1667"/>
      <c r="M600" s="1667"/>
      <c r="N600" s="1667"/>
      <c r="O600" s="1667"/>
      <c r="P600" s="1667"/>
      <c r="Q600" s="1667"/>
      <c r="R600" s="1667"/>
      <c r="S600" s="1667"/>
      <c r="T600" s="1667"/>
      <c r="U600" s="1667"/>
      <c r="V600" s="1667"/>
      <c r="W600" s="1667"/>
      <c r="X600" s="1667"/>
      <c r="Y600" s="1667"/>
      <c r="Z600" s="1667"/>
      <c r="AA600" s="1667"/>
      <c r="AB600" s="1667"/>
      <c r="AC600" s="1667"/>
      <c r="AD600" s="1667"/>
      <c r="AE600" s="1667"/>
      <c r="AF600" s="1667"/>
      <c r="AG600" s="1667"/>
      <c r="AH600" s="1667"/>
      <c r="AI600" s="1667"/>
      <c r="AJ600" s="1668"/>
      <c r="AK600" s="1667"/>
      <c r="AL600" s="1667"/>
      <c r="AM600" s="1667"/>
      <c r="AN600" s="1667"/>
      <c r="AO600" s="1667"/>
      <c r="AP600" s="1667"/>
      <c r="AQ600" s="1667"/>
      <c r="AR600" s="1669"/>
      <c r="AS600" s="1669"/>
      <c r="AT600" s="1669"/>
      <c r="AU600" s="1669"/>
      <c r="AV600" s="1669"/>
      <c r="AW600" s="1669"/>
      <c r="AX600" s="1669"/>
      <c r="AY600" s="1669"/>
      <c r="AZ600" s="1669"/>
      <c r="BA600" s="1669"/>
      <c r="BB600" s="1669"/>
      <c r="BC600" s="1669"/>
      <c r="BD600" s="1669"/>
      <c r="BE600" s="1669"/>
      <c r="BF600" s="1612"/>
      <c r="BG600" s="1669"/>
      <c r="BH600" s="1669"/>
      <c r="BI600" s="1669"/>
      <c r="BJ600" s="1669"/>
      <c r="BK600" s="1669"/>
      <c r="BL600" s="1607"/>
    </row>
    <row r="601" spans="1:64" s="1518" customFormat="1" x14ac:dyDescent="0.35">
      <c r="A601" s="1591" t="s">
        <v>473</v>
      </c>
      <c r="B601" s="1716"/>
      <c r="C601" s="1515"/>
      <c r="D601" s="1515"/>
      <c r="E601" s="1515"/>
      <c r="F601" s="1515"/>
      <c r="G601" s="1515"/>
      <c r="H601" s="1515"/>
      <c r="I601" s="1515"/>
      <c r="J601" s="1515"/>
      <c r="K601" s="1515"/>
      <c r="L601" s="1515"/>
      <c r="M601" s="1515"/>
      <c r="N601" s="1515"/>
      <c r="O601" s="1515"/>
      <c r="P601" s="1515"/>
      <c r="Q601" s="1515"/>
      <c r="R601" s="1517">
        <f>BB601</f>
        <v>20.280999999999999</v>
      </c>
      <c r="S601" s="1515"/>
      <c r="T601" s="1515"/>
      <c r="U601" s="1515"/>
      <c r="V601" s="1517">
        <f>BC601</f>
        <v>14.13</v>
      </c>
      <c r="W601" s="1515"/>
      <c r="X601" s="1593">
        <v>10.221</v>
      </c>
      <c r="Y601" s="1593">
        <v>10.414</v>
      </c>
      <c r="Z601" s="1517">
        <f>BD601</f>
        <v>11.124000000000001</v>
      </c>
      <c r="AA601" s="1593">
        <v>11.552</v>
      </c>
      <c r="AB601" s="1593">
        <v>11.647</v>
      </c>
      <c r="AC601" s="1593">
        <v>10.973000000000001</v>
      </c>
      <c r="AD601" s="1517">
        <f t="shared" ref="AD601:AD606" si="394">BE601</f>
        <v>10.340999999999999</v>
      </c>
      <c r="AE601" s="1593">
        <v>9.6</v>
      </c>
      <c r="AF601" s="1593">
        <v>7.3540000000000001</v>
      </c>
      <c r="AG601" s="1593">
        <v>7.33</v>
      </c>
      <c r="AH601" s="1517">
        <f t="shared" ref="AH601:AH606" si="395">BF601</f>
        <v>7.6950000000000003</v>
      </c>
      <c r="AI601" s="1593">
        <v>7.3289999999999997</v>
      </c>
      <c r="AJ601" s="1594">
        <v>6.7720000000000002</v>
      </c>
      <c r="AK601" s="1515">
        <f>AJ601+AK560+AK559-AK523</f>
        <v>6.7166041530054645</v>
      </c>
      <c r="AL601" s="1515">
        <f>AK601+AL560+AL559-AL523</f>
        <v>6.6698415822747767</v>
      </c>
      <c r="AM601" s="1515">
        <f>BG601+AM560+AM559-AM523</f>
        <v>6.6501781294229065</v>
      </c>
      <c r="AN601" s="1515">
        <f>AM601+AN560+AN559-AN523</f>
        <v>6.6222245676090967</v>
      </c>
      <c r="AO601" s="1515">
        <f>AN601+AO560+AO559-AO523</f>
        <v>6.5873432269613632</v>
      </c>
      <c r="AP601" s="1515">
        <f>AO601+AP560+AP559-AP523</f>
        <v>6.5579129319863601</v>
      </c>
      <c r="AQ601" s="1515"/>
      <c r="AR601" s="1595"/>
      <c r="AS601" s="1595"/>
      <c r="AT601" s="1595"/>
      <c r="AU601" s="1595"/>
      <c r="AV601" s="1595"/>
      <c r="AW601" s="1595"/>
      <c r="AX601" s="1595"/>
      <c r="AY601" s="1595"/>
      <c r="AZ601" s="1595"/>
      <c r="BA601" s="1595"/>
      <c r="BB601" s="1596">
        <v>20.280999999999999</v>
      </c>
      <c r="BC601" s="1596">
        <v>14.13</v>
      </c>
      <c r="BD601" s="1596">
        <v>11.124000000000001</v>
      </c>
      <c r="BE601" s="1596">
        <v>10.340999999999999</v>
      </c>
      <c r="BF601" s="1597">
        <v>7.6950000000000003</v>
      </c>
      <c r="BG601" s="1595">
        <f t="shared" ref="BG601:BG606" si="396">AL601</f>
        <v>6.6698415822747767</v>
      </c>
      <c r="BH601" s="1595">
        <f t="shared" ref="BH601:BH606" si="397">AP601</f>
        <v>6.5579129319863601</v>
      </c>
      <c r="BI601" s="1595">
        <f>BH601+BI560+BI559-BI523</f>
        <v>6.4920069141548149</v>
      </c>
      <c r="BJ601" s="1595">
        <f>BI601+BJ560+BJ559-BJ523</f>
        <v>6.4669626273788285</v>
      </c>
      <c r="BK601" s="1595">
        <f>BJ601+BK560+BK559-BK523</f>
        <v>6.4574457984039535</v>
      </c>
      <c r="BL601" s="1517"/>
    </row>
    <row r="602" spans="1:64" s="1518" customFormat="1" x14ac:dyDescent="0.35">
      <c r="A602" s="1591" t="s">
        <v>158</v>
      </c>
      <c r="B602" s="1716"/>
      <c r="C602" s="1515"/>
      <c r="D602" s="1515"/>
      <c r="E602" s="1515"/>
      <c r="F602" s="1515"/>
      <c r="G602" s="1515"/>
      <c r="H602" s="1515"/>
      <c r="I602" s="1515"/>
      <c r="J602" s="1515"/>
      <c r="K602" s="1515"/>
      <c r="L602" s="1515"/>
      <c r="M602" s="1515"/>
      <c r="N602" s="1515"/>
      <c r="O602" s="1515"/>
      <c r="P602" s="1515"/>
      <c r="Q602" s="1515"/>
      <c r="R602" s="1517">
        <f>BB602</f>
        <v>830.25199999999995</v>
      </c>
      <c r="S602" s="1515"/>
      <c r="T602" s="1515"/>
      <c r="U602" s="1515"/>
      <c r="V602" s="1517">
        <f>BC602</f>
        <v>831.8</v>
      </c>
      <c r="W602" s="1515"/>
      <c r="X602" s="1593">
        <v>831.34400000000005</v>
      </c>
      <c r="Y602" s="1593">
        <v>830.67899999999997</v>
      </c>
      <c r="Z602" s="1517">
        <f>BD602</f>
        <v>852.53599999999994</v>
      </c>
      <c r="AA602" s="1593">
        <v>851.64599999999996</v>
      </c>
      <c r="AB602" s="1593">
        <v>850.30899999999997</v>
      </c>
      <c r="AC602" s="1593">
        <v>849.423</v>
      </c>
      <c r="AD602" s="1517">
        <f t="shared" si="394"/>
        <v>849.60900000000004</v>
      </c>
      <c r="AE602" s="1593">
        <v>877.21199999999999</v>
      </c>
      <c r="AF602" s="1593">
        <v>878.69600000000003</v>
      </c>
      <c r="AG602" s="1593">
        <v>878.39</v>
      </c>
      <c r="AH602" s="1517">
        <f t="shared" si="395"/>
        <v>879.40800000000002</v>
      </c>
      <c r="AI602" s="1593">
        <v>902.86199999999997</v>
      </c>
      <c r="AJ602" s="1594">
        <v>902.56399999999996</v>
      </c>
      <c r="AK602" s="1515">
        <f>AJ602</f>
        <v>902.56399999999996</v>
      </c>
      <c r="AL602" s="1515">
        <f>AK602</f>
        <v>902.56399999999996</v>
      </c>
      <c r="AM602" s="1515">
        <f>BG602</f>
        <v>902.56399999999996</v>
      </c>
      <c r="AN602" s="1515">
        <f>AM602</f>
        <v>902.56399999999996</v>
      </c>
      <c r="AO602" s="1515">
        <f>AN602</f>
        <v>902.56399999999996</v>
      </c>
      <c r="AP602" s="1515">
        <f>AO602</f>
        <v>902.56399999999996</v>
      </c>
      <c r="AQ602" s="1515"/>
      <c r="AR602" s="1595"/>
      <c r="AS602" s="1595"/>
      <c r="AT602" s="1595"/>
      <c r="AU602" s="1595"/>
      <c r="AV602" s="1595"/>
      <c r="AW602" s="1595"/>
      <c r="AX602" s="1595"/>
      <c r="AY602" s="1595"/>
      <c r="AZ602" s="1595"/>
      <c r="BA602" s="1595"/>
      <c r="BB602" s="1596">
        <v>830.25199999999995</v>
      </c>
      <c r="BC602" s="1596">
        <v>831.8</v>
      </c>
      <c r="BD602" s="1596">
        <v>852.53599999999994</v>
      </c>
      <c r="BE602" s="1596">
        <v>849.60900000000004</v>
      </c>
      <c r="BF602" s="1597">
        <v>879.40800000000002</v>
      </c>
      <c r="BG602" s="1595">
        <f t="shared" si="396"/>
        <v>902.56399999999996</v>
      </c>
      <c r="BH602" s="1595">
        <f t="shared" si="397"/>
        <v>902.56399999999996</v>
      </c>
      <c r="BI602" s="1595">
        <f>BH602</f>
        <v>902.56399999999996</v>
      </c>
      <c r="BJ602" s="1595">
        <f>BI602</f>
        <v>902.56399999999996</v>
      </c>
      <c r="BK602" s="1595">
        <f>BJ602</f>
        <v>902.56399999999996</v>
      </c>
      <c r="BL602" s="1517"/>
    </row>
    <row r="603" spans="1:64" s="1518" customFormat="1" x14ac:dyDescent="0.35">
      <c r="A603" s="1591" t="s">
        <v>820</v>
      </c>
      <c r="B603" s="1716"/>
      <c r="C603" s="1515"/>
      <c r="D603" s="1515"/>
      <c r="E603" s="1515"/>
      <c r="F603" s="1515"/>
      <c r="G603" s="1515"/>
      <c r="H603" s="1515"/>
      <c r="I603" s="1515"/>
      <c r="J603" s="1515"/>
      <c r="K603" s="1515"/>
      <c r="L603" s="1515"/>
      <c r="M603" s="1515"/>
      <c r="N603" s="1515"/>
      <c r="O603" s="1515"/>
      <c r="P603" s="1515"/>
      <c r="Q603" s="1515"/>
      <c r="R603" s="1517">
        <f>BB603</f>
        <v>370.16399999999999</v>
      </c>
      <c r="S603" s="1515"/>
      <c r="T603" s="1515"/>
      <c r="U603" s="1515"/>
      <c r="V603" s="1517">
        <f>BC603</f>
        <v>300.54399999999998</v>
      </c>
      <c r="W603" s="1515"/>
      <c r="X603" s="1593">
        <v>269.80099999999999</v>
      </c>
      <c r="Y603" s="1593">
        <v>254.101</v>
      </c>
      <c r="Z603" s="1517">
        <f>BD603</f>
        <v>297.14600000000002</v>
      </c>
      <c r="AA603" s="1593">
        <v>282.053</v>
      </c>
      <c r="AB603" s="1593">
        <v>266.49700000000001</v>
      </c>
      <c r="AC603" s="1593">
        <v>254.61</v>
      </c>
      <c r="AD603" s="1517">
        <f t="shared" si="394"/>
        <v>241.036</v>
      </c>
      <c r="AE603" s="1593">
        <v>263.10899999999998</v>
      </c>
      <c r="AF603" s="1593">
        <v>251.03100000000001</v>
      </c>
      <c r="AG603" s="1593">
        <v>240.482</v>
      </c>
      <c r="AH603" s="1517">
        <f t="shared" si="395"/>
        <v>230.21199999999999</v>
      </c>
      <c r="AI603" s="1593">
        <v>264.55799999999999</v>
      </c>
      <c r="AJ603" s="1594">
        <v>255.04900000000001</v>
      </c>
      <c r="AK603" s="1515">
        <f>AJ603+AK566+AK565</f>
        <v>246.2268644808743</v>
      </c>
      <c r="AL603" s="1515">
        <f>AK603+AL566+AL565</f>
        <v>237.84824615724565</v>
      </c>
      <c r="AM603" s="1515">
        <f>BG603+AM566+AM565</f>
        <v>230.11874360702532</v>
      </c>
      <c r="AN603" s="1515">
        <f>AM603+AN566+AN565</f>
        <v>222.64432954223665</v>
      </c>
      <c r="AO603" s="1515">
        <f>AN603+AO566+AO565</f>
        <v>215.42061539544991</v>
      </c>
      <c r="AP603" s="1515">
        <f>AO603+AP566+AP565</f>
        <v>208.56105560565189</v>
      </c>
      <c r="AQ603" s="1515"/>
      <c r="AR603" s="1595"/>
      <c r="AS603" s="1595"/>
      <c r="AT603" s="1595"/>
      <c r="AU603" s="1595"/>
      <c r="AV603" s="1595"/>
      <c r="AW603" s="1595"/>
      <c r="AX603" s="1595"/>
      <c r="AY603" s="1595"/>
      <c r="AZ603" s="1595"/>
      <c r="BA603" s="1595"/>
      <c r="BB603" s="1596">
        <v>370.16399999999999</v>
      </c>
      <c r="BC603" s="1596">
        <v>300.54399999999998</v>
      </c>
      <c r="BD603" s="1596">
        <v>297.14600000000002</v>
      </c>
      <c r="BE603" s="1596">
        <v>241.036</v>
      </c>
      <c r="BF603" s="1597">
        <v>230.21199999999999</v>
      </c>
      <c r="BG603" s="1595">
        <f t="shared" si="396"/>
        <v>237.84824615724565</v>
      </c>
      <c r="BH603" s="1595">
        <f t="shared" si="397"/>
        <v>208.56105560565189</v>
      </c>
      <c r="BI603" s="1595">
        <f>BH603+BI566+BI565</f>
        <v>182.84884448452152</v>
      </c>
      <c r="BJ603" s="1595">
        <f>BI603+BJ566+BJ565</f>
        <v>162.27907558761723</v>
      </c>
      <c r="BK603" s="1595">
        <f>BJ603+BK566+BK565</f>
        <v>145.82326047009377</v>
      </c>
      <c r="BL603" s="1517"/>
    </row>
    <row r="604" spans="1:64" s="1518" customFormat="1" x14ac:dyDescent="0.35">
      <c r="A604" s="1591" t="s">
        <v>843</v>
      </c>
      <c r="B604" s="1716"/>
      <c r="C604" s="1515"/>
      <c r="D604" s="1515"/>
      <c r="E604" s="1515"/>
      <c r="F604" s="1515"/>
      <c r="G604" s="1515"/>
      <c r="H604" s="1515"/>
      <c r="I604" s="1515"/>
      <c r="J604" s="1515"/>
      <c r="K604" s="1515"/>
      <c r="L604" s="1515"/>
      <c r="M604" s="1515"/>
      <c r="N604" s="1515"/>
      <c r="O604" s="1515"/>
      <c r="P604" s="1515"/>
      <c r="Q604" s="1515"/>
      <c r="R604" s="1515"/>
      <c r="S604" s="1515"/>
      <c r="T604" s="1515"/>
      <c r="U604" s="1515"/>
      <c r="V604" s="1515"/>
      <c r="W604" s="1515"/>
      <c r="X604" s="1515"/>
      <c r="Y604" s="1515"/>
      <c r="Z604" s="1517">
        <f>BD604</f>
        <v>4.7699999999999996</v>
      </c>
      <c r="AA604" s="1593">
        <v>4.8630000000000004</v>
      </c>
      <c r="AB604" s="1593">
        <v>4.4950000000000001</v>
      </c>
      <c r="AC604" s="1593">
        <v>4.117</v>
      </c>
      <c r="AD604" s="1517">
        <f t="shared" si="394"/>
        <v>4.452</v>
      </c>
      <c r="AE604" s="1593">
        <v>4.5179999999999998</v>
      </c>
      <c r="AF604" s="1593">
        <v>4.6420000000000003</v>
      </c>
      <c r="AG604" s="1593">
        <v>4.3280000000000003</v>
      </c>
      <c r="AH604" s="1517">
        <f t="shared" si="395"/>
        <v>4.8179999999999996</v>
      </c>
      <c r="AI604" s="1593">
        <v>4.7480000000000002</v>
      </c>
      <c r="AJ604" s="1594">
        <v>4.9429999999999996</v>
      </c>
      <c r="AK604" s="1515">
        <f t="shared" ref="AK604:AL606" si="398">AJ604</f>
        <v>4.9429999999999996</v>
      </c>
      <c r="AL604" s="1515">
        <f t="shared" si="398"/>
        <v>4.9429999999999996</v>
      </c>
      <c r="AM604" s="1515">
        <f>BG604</f>
        <v>4.9429999999999996</v>
      </c>
      <c r="AN604" s="1515">
        <f t="shared" ref="AN604:AP606" si="399">AM604</f>
        <v>4.9429999999999996</v>
      </c>
      <c r="AO604" s="1515">
        <f t="shared" si="399"/>
        <v>4.9429999999999996</v>
      </c>
      <c r="AP604" s="1515">
        <f t="shared" si="399"/>
        <v>4.9429999999999996</v>
      </c>
      <c r="AQ604" s="1515"/>
      <c r="AR604" s="1595"/>
      <c r="AS604" s="1595"/>
      <c r="AT604" s="1595"/>
      <c r="AU604" s="1595"/>
      <c r="AV604" s="1595"/>
      <c r="AW604" s="1595"/>
      <c r="AX604" s="1595"/>
      <c r="AY604" s="1595"/>
      <c r="AZ604" s="1595"/>
      <c r="BA604" s="1595"/>
      <c r="BB604" s="1595"/>
      <c r="BC604" s="1595"/>
      <c r="BD604" s="1596">
        <v>4.7699999999999996</v>
      </c>
      <c r="BE604" s="1596">
        <v>4.452</v>
      </c>
      <c r="BF604" s="1597">
        <v>4.8179999999999996</v>
      </c>
      <c r="BG604" s="1595">
        <f t="shared" si="396"/>
        <v>4.9429999999999996</v>
      </c>
      <c r="BH604" s="1595">
        <f t="shared" si="397"/>
        <v>4.9429999999999996</v>
      </c>
      <c r="BI604" s="1595">
        <f t="shared" ref="BI604:BK606" si="400">BH604</f>
        <v>4.9429999999999996</v>
      </c>
      <c r="BJ604" s="1595">
        <f t="shared" si="400"/>
        <v>4.9429999999999996</v>
      </c>
      <c r="BK604" s="1595">
        <f t="shared" si="400"/>
        <v>4.9429999999999996</v>
      </c>
      <c r="BL604" s="1517"/>
    </row>
    <row r="605" spans="1:64" s="1518" customFormat="1" x14ac:dyDescent="0.35">
      <c r="A605" s="1591" t="s">
        <v>819</v>
      </c>
      <c r="B605" s="1716"/>
      <c r="C605" s="1515"/>
      <c r="D605" s="1515"/>
      <c r="E605" s="1515"/>
      <c r="F605" s="1515"/>
      <c r="G605" s="1515"/>
      <c r="H605" s="1515"/>
      <c r="I605" s="1515"/>
      <c r="J605" s="1515"/>
      <c r="K605" s="1515"/>
      <c r="L605" s="1515"/>
      <c r="M605" s="1515"/>
      <c r="N605" s="1515"/>
      <c r="O605" s="1515"/>
      <c r="P605" s="1515"/>
      <c r="Q605" s="1515"/>
      <c r="R605" s="1515"/>
      <c r="S605" s="1515"/>
      <c r="T605" s="1515"/>
      <c r="U605" s="1515"/>
      <c r="V605" s="1515"/>
      <c r="W605" s="1515"/>
      <c r="X605" s="1515"/>
      <c r="Y605" s="1515"/>
      <c r="Z605" s="1515"/>
      <c r="AA605" s="1593">
        <v>16.536000000000001</v>
      </c>
      <c r="AB605" s="1593">
        <v>15.736000000000001</v>
      </c>
      <c r="AC605" s="1593">
        <v>15.679</v>
      </c>
      <c r="AD605" s="1515">
        <f t="shared" si="394"/>
        <v>20.084</v>
      </c>
      <c r="AE605" s="1593">
        <v>19.652000000000001</v>
      </c>
      <c r="AF605" s="1593">
        <v>7.5140000000000002</v>
      </c>
      <c r="AG605" s="1593">
        <v>7.02</v>
      </c>
      <c r="AH605" s="1515">
        <f t="shared" si="395"/>
        <v>6.452</v>
      </c>
      <c r="AI605" s="1593">
        <v>5.8719999999999999</v>
      </c>
      <c r="AJ605" s="1594">
        <v>5.3860000000000001</v>
      </c>
      <c r="AK605" s="1515">
        <f t="shared" si="398"/>
        <v>5.3860000000000001</v>
      </c>
      <c r="AL605" s="1515">
        <f t="shared" si="398"/>
        <v>5.3860000000000001</v>
      </c>
      <c r="AM605" s="1515">
        <f>BG605</f>
        <v>5.3860000000000001</v>
      </c>
      <c r="AN605" s="1515">
        <f t="shared" si="399"/>
        <v>5.3860000000000001</v>
      </c>
      <c r="AO605" s="1515">
        <f t="shared" si="399"/>
        <v>5.3860000000000001</v>
      </c>
      <c r="AP605" s="1515">
        <f t="shared" si="399"/>
        <v>5.3860000000000001</v>
      </c>
      <c r="AQ605" s="1515"/>
      <c r="AR605" s="1595"/>
      <c r="AS605" s="1595"/>
      <c r="AT605" s="1595"/>
      <c r="AU605" s="1595"/>
      <c r="AV605" s="1595"/>
      <c r="AW605" s="1595"/>
      <c r="AX605" s="1595"/>
      <c r="AY605" s="1595"/>
      <c r="AZ605" s="1595"/>
      <c r="BA605" s="1595"/>
      <c r="BB605" s="1595"/>
      <c r="BC605" s="1595"/>
      <c r="BD605" s="1595"/>
      <c r="BE605" s="1596">
        <v>20.084</v>
      </c>
      <c r="BF605" s="1597">
        <v>6.452</v>
      </c>
      <c r="BG605" s="1595">
        <f t="shared" si="396"/>
        <v>5.3860000000000001</v>
      </c>
      <c r="BH605" s="1595">
        <f t="shared" si="397"/>
        <v>5.3860000000000001</v>
      </c>
      <c r="BI605" s="1595">
        <f t="shared" si="400"/>
        <v>5.3860000000000001</v>
      </c>
      <c r="BJ605" s="1595">
        <f t="shared" si="400"/>
        <v>5.3860000000000001</v>
      </c>
      <c r="BK605" s="1595">
        <f t="shared" si="400"/>
        <v>5.3860000000000001</v>
      </c>
      <c r="BL605" s="1517"/>
    </row>
    <row r="606" spans="1:64" s="1518" customFormat="1" x14ac:dyDescent="0.35">
      <c r="A606" s="1591" t="s">
        <v>822</v>
      </c>
      <c r="B606" s="1716"/>
      <c r="C606" s="1515"/>
      <c r="D606" s="1515"/>
      <c r="E606" s="1515"/>
      <c r="F606" s="1515"/>
      <c r="G606" s="1515"/>
      <c r="H606" s="1515"/>
      <c r="I606" s="1515"/>
      <c r="J606" s="1515"/>
      <c r="K606" s="1515"/>
      <c r="L606" s="1515"/>
      <c r="M606" s="1515"/>
      <c r="N606" s="1515"/>
      <c r="O606" s="1515"/>
      <c r="P606" s="1515"/>
      <c r="Q606" s="1515"/>
      <c r="R606" s="1517">
        <f>BB606</f>
        <v>6.9249999999999998</v>
      </c>
      <c r="S606" s="1515"/>
      <c r="T606" s="1515"/>
      <c r="U606" s="1515"/>
      <c r="V606" s="1517">
        <f>BC606</f>
        <v>6.7619999999999996</v>
      </c>
      <c r="W606" s="1515"/>
      <c r="X606" s="1593">
        <v>6.734</v>
      </c>
      <c r="Y606" s="1593">
        <v>7.032</v>
      </c>
      <c r="Z606" s="1517">
        <f>BD606</f>
        <v>6.6849999999999996</v>
      </c>
      <c r="AA606" s="1593">
        <v>6.85</v>
      </c>
      <c r="AB606" s="1593">
        <v>8.4320000000000004</v>
      </c>
      <c r="AC606" s="1593">
        <v>8.1150000000000002</v>
      </c>
      <c r="AD606" s="1517">
        <f t="shared" si="394"/>
        <v>11.05</v>
      </c>
      <c r="AE606" s="1593">
        <v>11.518000000000001</v>
      </c>
      <c r="AF606" s="1593">
        <v>11.212</v>
      </c>
      <c r="AG606" s="1593">
        <v>10.499000000000001</v>
      </c>
      <c r="AH606" s="1517">
        <f t="shared" si="395"/>
        <v>10.067</v>
      </c>
      <c r="AI606" s="1593">
        <v>9.7330000000000005</v>
      </c>
      <c r="AJ606" s="1594">
        <v>9.2479999999999993</v>
      </c>
      <c r="AK606" s="1515">
        <f t="shared" si="398"/>
        <v>9.2479999999999993</v>
      </c>
      <c r="AL606" s="1515">
        <f t="shared" si="398"/>
        <v>9.2479999999999993</v>
      </c>
      <c r="AM606" s="1515">
        <f>BG606</f>
        <v>9.2479999999999993</v>
      </c>
      <c r="AN606" s="1515">
        <f t="shared" si="399"/>
        <v>9.2479999999999993</v>
      </c>
      <c r="AO606" s="1515">
        <f t="shared" si="399"/>
        <v>9.2479999999999993</v>
      </c>
      <c r="AP606" s="1515">
        <f t="shared" si="399"/>
        <v>9.2479999999999993</v>
      </c>
      <c r="AQ606" s="1515"/>
      <c r="AR606" s="1595"/>
      <c r="AS606" s="1595"/>
      <c r="AT606" s="1595"/>
      <c r="AU606" s="1595"/>
      <c r="AV606" s="1595"/>
      <c r="AW606" s="1595"/>
      <c r="AX606" s="1595"/>
      <c r="AY606" s="1595"/>
      <c r="AZ606" s="1595"/>
      <c r="BA606" s="1595"/>
      <c r="BB606" s="1596">
        <v>6.9249999999999998</v>
      </c>
      <c r="BC606" s="1596">
        <v>6.7619999999999996</v>
      </c>
      <c r="BD606" s="1596">
        <v>6.6849999999999996</v>
      </c>
      <c r="BE606" s="1596">
        <v>11.05</v>
      </c>
      <c r="BF606" s="1597">
        <v>10.067</v>
      </c>
      <c r="BG606" s="1595">
        <f t="shared" si="396"/>
        <v>9.2479999999999993</v>
      </c>
      <c r="BH606" s="1595">
        <f t="shared" si="397"/>
        <v>9.2479999999999993</v>
      </c>
      <c r="BI606" s="1595">
        <f t="shared" si="400"/>
        <v>9.2479999999999993</v>
      </c>
      <c r="BJ606" s="1595">
        <f t="shared" si="400"/>
        <v>9.2479999999999993</v>
      </c>
      <c r="BK606" s="1595">
        <f t="shared" si="400"/>
        <v>9.2479999999999993</v>
      </c>
      <c r="BL606" s="1517"/>
    </row>
    <row r="607" spans="1:64" s="1608" customFormat="1" x14ac:dyDescent="0.35">
      <c r="A607" s="1599" t="s">
        <v>1215</v>
      </c>
      <c r="B607" s="1717"/>
      <c r="C607" s="1601"/>
      <c r="D607" s="1601"/>
      <c r="E607" s="1601"/>
      <c r="F607" s="1601"/>
      <c r="G607" s="1601"/>
      <c r="H607" s="1601"/>
      <c r="I607" s="1601"/>
      <c r="J607" s="1601"/>
      <c r="K607" s="1601"/>
      <c r="L607" s="1601"/>
      <c r="M607" s="1601"/>
      <c r="N607" s="1601"/>
      <c r="O607" s="1601"/>
      <c r="P607" s="1601"/>
      <c r="Q607" s="1601"/>
      <c r="R607" s="1602">
        <f t="shared" ref="R607:AP607" si="401">SUM(R601:R606)</f>
        <v>1227.6219999999998</v>
      </c>
      <c r="S607" s="1602">
        <f t="shared" si="401"/>
        <v>0</v>
      </c>
      <c r="T607" s="1602">
        <f t="shared" si="401"/>
        <v>0</v>
      </c>
      <c r="U607" s="1602">
        <f t="shared" si="401"/>
        <v>0</v>
      </c>
      <c r="V607" s="1602">
        <f t="shared" si="401"/>
        <v>1153.2359999999999</v>
      </c>
      <c r="W607" s="1602">
        <f t="shared" si="401"/>
        <v>0</v>
      </c>
      <c r="X607" s="1602">
        <f t="shared" si="401"/>
        <v>1118.0999999999999</v>
      </c>
      <c r="Y607" s="1602">
        <f t="shared" si="401"/>
        <v>1102.2259999999999</v>
      </c>
      <c r="Z607" s="1602">
        <f t="shared" si="401"/>
        <v>1172.261</v>
      </c>
      <c r="AA607" s="1602">
        <f t="shared" si="401"/>
        <v>1173.5</v>
      </c>
      <c r="AB607" s="1602">
        <f t="shared" si="401"/>
        <v>1157.116</v>
      </c>
      <c r="AC607" s="1602">
        <f t="shared" si="401"/>
        <v>1142.9169999999999</v>
      </c>
      <c r="AD607" s="1602">
        <f t="shared" si="401"/>
        <v>1136.5720000000001</v>
      </c>
      <c r="AE607" s="1602">
        <f t="shared" si="401"/>
        <v>1185.6090000000002</v>
      </c>
      <c r="AF607" s="1602">
        <f t="shared" si="401"/>
        <v>1160.4490000000001</v>
      </c>
      <c r="AG607" s="1602">
        <f t="shared" si="401"/>
        <v>1148.049</v>
      </c>
      <c r="AH607" s="1602">
        <f t="shared" si="401"/>
        <v>1138.652</v>
      </c>
      <c r="AI607" s="1602">
        <f t="shared" si="401"/>
        <v>1195.1019999999999</v>
      </c>
      <c r="AJ607" s="1603">
        <f t="shared" si="401"/>
        <v>1183.962</v>
      </c>
      <c r="AK607" s="1601">
        <f t="shared" si="401"/>
        <v>1175.0844686338799</v>
      </c>
      <c r="AL607" s="1601">
        <f t="shared" si="401"/>
        <v>1166.6590877395204</v>
      </c>
      <c r="AM607" s="1601">
        <f t="shared" si="401"/>
        <v>1158.9099217364483</v>
      </c>
      <c r="AN607" s="1601">
        <f t="shared" si="401"/>
        <v>1151.4075541098457</v>
      </c>
      <c r="AO607" s="1601">
        <f t="shared" si="401"/>
        <v>1144.1489586224113</v>
      </c>
      <c r="AP607" s="1601">
        <f t="shared" si="401"/>
        <v>1137.2599685376383</v>
      </c>
      <c r="AQ607" s="1601"/>
      <c r="AR607" s="1604"/>
      <c r="AS607" s="1604"/>
      <c r="AT607" s="1604"/>
      <c r="AU607" s="1604"/>
      <c r="AV607" s="1604"/>
      <c r="AW607" s="1604"/>
      <c r="AX607" s="1604"/>
      <c r="AY607" s="1604"/>
      <c r="AZ607" s="1604"/>
      <c r="BA607" s="1604"/>
      <c r="BB607" s="1605">
        <f t="shared" ref="BB607:BK607" si="402">SUM(BB601:BB606)</f>
        <v>1227.6219999999998</v>
      </c>
      <c r="BC607" s="1605">
        <f t="shared" si="402"/>
        <v>1153.2359999999999</v>
      </c>
      <c r="BD607" s="1605">
        <f t="shared" si="402"/>
        <v>1172.261</v>
      </c>
      <c r="BE607" s="1605">
        <f t="shared" si="402"/>
        <v>1136.5720000000001</v>
      </c>
      <c r="BF607" s="1718">
        <f t="shared" si="402"/>
        <v>1138.652</v>
      </c>
      <c r="BG607" s="1604">
        <f t="shared" si="402"/>
        <v>1166.6590877395204</v>
      </c>
      <c r="BH607" s="1604">
        <f t="shared" si="402"/>
        <v>1137.2599685376383</v>
      </c>
      <c r="BI607" s="1604">
        <f t="shared" si="402"/>
        <v>1111.4818513986763</v>
      </c>
      <c r="BJ607" s="1604">
        <f t="shared" si="402"/>
        <v>1090.887038214996</v>
      </c>
      <c r="BK607" s="1604">
        <f t="shared" si="402"/>
        <v>1074.4217062684977</v>
      </c>
      <c r="BL607" s="1607"/>
    </row>
    <row r="608" spans="1:64" s="1608" customFormat="1" x14ac:dyDescent="0.35">
      <c r="A608" s="1711" t="s">
        <v>160</v>
      </c>
      <c r="B608" s="1712"/>
      <c r="C608" s="1667"/>
      <c r="D608" s="1667"/>
      <c r="E608" s="1667"/>
      <c r="F608" s="1667"/>
      <c r="G608" s="1667"/>
      <c r="H608" s="1667"/>
      <c r="I608" s="1667"/>
      <c r="J608" s="1667"/>
      <c r="K608" s="1667"/>
      <c r="L608" s="1667"/>
      <c r="M608" s="1667"/>
      <c r="N608" s="1667"/>
      <c r="O608" s="1667"/>
      <c r="P608" s="1667"/>
      <c r="Q608" s="1667"/>
      <c r="R608" s="1607">
        <f t="shared" ref="R608:AP608" si="403">R598+R607</f>
        <v>1390.7489999999998</v>
      </c>
      <c r="S608" s="1607">
        <f t="shared" si="403"/>
        <v>0</v>
      </c>
      <c r="T608" s="1607">
        <f t="shared" si="403"/>
        <v>0</v>
      </c>
      <c r="U608" s="1607">
        <f t="shared" si="403"/>
        <v>0</v>
      </c>
      <c r="V608" s="1607">
        <f t="shared" si="403"/>
        <v>1316.1179999999999</v>
      </c>
      <c r="W608" s="1607">
        <f t="shared" si="403"/>
        <v>0</v>
      </c>
      <c r="X608" s="1607">
        <f t="shared" si="403"/>
        <v>1336.3719999999998</v>
      </c>
      <c r="Y608" s="1607">
        <f t="shared" si="403"/>
        <v>1429.7939999999999</v>
      </c>
      <c r="Z608" s="1607">
        <f t="shared" si="403"/>
        <v>1372.259</v>
      </c>
      <c r="AA608" s="1607">
        <f t="shared" si="403"/>
        <v>1395.251</v>
      </c>
      <c r="AB608" s="1607">
        <f t="shared" si="403"/>
        <v>1415.6410000000001</v>
      </c>
      <c r="AC608" s="1607">
        <f t="shared" si="403"/>
        <v>1424.9269999999999</v>
      </c>
      <c r="AD608" s="1607">
        <f t="shared" si="403"/>
        <v>1407.2540000000001</v>
      </c>
      <c r="AE608" s="1607">
        <f t="shared" si="403"/>
        <v>1412.3820000000001</v>
      </c>
      <c r="AF608" s="1607">
        <f t="shared" si="403"/>
        <v>1400.6030000000001</v>
      </c>
      <c r="AG608" s="1607">
        <f t="shared" si="403"/>
        <v>1386.915</v>
      </c>
      <c r="AH608" s="1607">
        <f t="shared" si="403"/>
        <v>1363.443</v>
      </c>
      <c r="AI608" s="1607">
        <f t="shared" si="403"/>
        <v>1451.0259999999998</v>
      </c>
      <c r="AJ608" s="1730">
        <f t="shared" si="403"/>
        <v>1463.239</v>
      </c>
      <c r="AK608" s="1667">
        <f t="shared" ca="1" si="403"/>
        <v>1469.3448909000942</v>
      </c>
      <c r="AL608" s="1667">
        <f t="shared" ca="1" si="403"/>
        <v>1505.7603432769015</v>
      </c>
      <c r="AM608" s="1667">
        <f t="shared" ca="1" si="403"/>
        <v>1549.3516478654437</v>
      </c>
      <c r="AN608" s="1667">
        <f t="shared" ca="1" si="403"/>
        <v>1590.6654370541996</v>
      </c>
      <c r="AO608" s="1667">
        <f t="shared" ca="1" si="403"/>
        <v>1593.3177878311035</v>
      </c>
      <c r="AP608" s="1667">
        <f t="shared" ca="1" si="403"/>
        <v>1625.4446169305061</v>
      </c>
      <c r="AQ608" s="1667"/>
      <c r="AR608" s="1669"/>
      <c r="AS608" s="1669"/>
      <c r="AT608" s="1669"/>
      <c r="AU608" s="1669"/>
      <c r="AV608" s="1669"/>
      <c r="AW608" s="1669"/>
      <c r="AX608" s="1669"/>
      <c r="AY608" s="1669"/>
      <c r="AZ608" s="1669"/>
      <c r="BA608" s="1669"/>
      <c r="BB608" s="1731">
        <f t="shared" ref="BB608:BK608" si="404">BB598+BB607</f>
        <v>1390.7489999999998</v>
      </c>
      <c r="BC608" s="1731">
        <f t="shared" si="404"/>
        <v>1316.1179999999999</v>
      </c>
      <c r="BD608" s="1731">
        <f t="shared" si="404"/>
        <v>1372.259</v>
      </c>
      <c r="BE608" s="1731">
        <f t="shared" si="404"/>
        <v>1407.2540000000001</v>
      </c>
      <c r="BF608" s="1606">
        <f t="shared" si="404"/>
        <v>1363.443</v>
      </c>
      <c r="BG608" s="1669">
        <f t="shared" ca="1" si="404"/>
        <v>1505.7603432769015</v>
      </c>
      <c r="BH608" s="1669">
        <f t="shared" ca="1" si="404"/>
        <v>1625.4446169305061</v>
      </c>
      <c r="BI608" s="1669">
        <f t="shared" ca="1" si="404"/>
        <v>1799.7697785918949</v>
      </c>
      <c r="BJ608" s="1669">
        <f t="shared" ca="1" si="404"/>
        <v>1975.2448443925839</v>
      </c>
      <c r="BK608" s="1669">
        <f t="shared" ca="1" si="404"/>
        <v>2186.4128307775272</v>
      </c>
      <c r="BL608" s="1607"/>
    </row>
    <row r="609" spans="1:64" s="1608" customFormat="1" x14ac:dyDescent="0.35">
      <c r="A609" s="1665"/>
      <c r="B609" s="1712"/>
      <c r="C609" s="1667"/>
      <c r="D609" s="1667"/>
      <c r="E609" s="1667"/>
      <c r="F609" s="1667"/>
      <c r="G609" s="1667"/>
      <c r="H609" s="1667"/>
      <c r="I609" s="1667"/>
      <c r="J609" s="1667"/>
      <c r="K609" s="1667"/>
      <c r="L609" s="1667"/>
      <c r="M609" s="1667"/>
      <c r="N609" s="1667"/>
      <c r="O609" s="1667"/>
      <c r="P609" s="1667"/>
      <c r="Q609" s="1667"/>
      <c r="R609" s="1667"/>
      <c r="S609" s="1667"/>
      <c r="T609" s="1667"/>
      <c r="U609" s="1667"/>
      <c r="V609" s="1667"/>
      <c r="W609" s="1667"/>
      <c r="X609" s="1667"/>
      <c r="Y609" s="1667"/>
      <c r="Z609" s="1667"/>
      <c r="AA609" s="1667"/>
      <c r="AB609" s="1667"/>
      <c r="AC609" s="1667"/>
      <c r="AD609" s="1667"/>
      <c r="AE609" s="1667"/>
      <c r="AF609" s="1667"/>
      <c r="AG609" s="1667"/>
      <c r="AH609" s="1667"/>
      <c r="AI609" s="1667"/>
      <c r="AJ609" s="1668"/>
      <c r="AK609" s="1667"/>
      <c r="AL609" s="1667"/>
      <c r="AM609" s="1667"/>
      <c r="AN609" s="1667"/>
      <c r="AO609" s="1667"/>
      <c r="AP609" s="1667"/>
      <c r="AQ609" s="1667"/>
      <c r="AR609" s="1669"/>
      <c r="AS609" s="1669"/>
      <c r="AT609" s="1669"/>
      <c r="AU609" s="1669"/>
      <c r="AV609" s="1669"/>
      <c r="AW609" s="1669"/>
      <c r="AX609" s="1669"/>
      <c r="AY609" s="1669"/>
      <c r="AZ609" s="1669"/>
      <c r="BA609" s="1669"/>
      <c r="BB609" s="1669"/>
      <c r="BC609" s="1669"/>
      <c r="BD609" s="1669"/>
      <c r="BE609" s="1669"/>
      <c r="BF609" s="1612"/>
      <c r="BG609" s="1669"/>
      <c r="BH609" s="1669"/>
      <c r="BI609" s="1669"/>
      <c r="BJ609" s="1669"/>
      <c r="BK609" s="1669"/>
      <c r="BL609" s="1607"/>
    </row>
    <row r="610" spans="1:64" s="1518" customFormat="1" x14ac:dyDescent="0.35">
      <c r="A610" s="1711" t="s">
        <v>163</v>
      </c>
      <c r="B610" s="1716"/>
      <c r="C610" s="1515"/>
      <c r="D610" s="1515"/>
      <c r="E610" s="1515"/>
      <c r="F610" s="1515"/>
      <c r="G610" s="1515"/>
      <c r="H610" s="1515"/>
      <c r="I610" s="1515"/>
      <c r="J610" s="1515"/>
      <c r="K610" s="1515"/>
      <c r="L610" s="1515"/>
      <c r="M610" s="1515"/>
      <c r="N610" s="1515"/>
      <c r="O610" s="1515"/>
      <c r="P610" s="1515"/>
      <c r="Q610" s="1515"/>
      <c r="R610" s="1515"/>
      <c r="S610" s="1515"/>
      <c r="T610" s="1515"/>
      <c r="U610" s="1515"/>
      <c r="V610" s="1515"/>
      <c r="W610" s="1515"/>
      <c r="X610" s="1515"/>
      <c r="Y610" s="1515"/>
      <c r="Z610" s="1515"/>
      <c r="AA610" s="1515"/>
      <c r="AB610" s="1515"/>
      <c r="AC610" s="1515"/>
      <c r="AD610" s="1515"/>
      <c r="AE610" s="1515"/>
      <c r="AF610" s="1515"/>
      <c r="AG610" s="1515"/>
      <c r="AH610" s="1515"/>
      <c r="AI610" s="1515"/>
      <c r="AJ610" s="1516"/>
      <c r="AK610" s="1515"/>
      <c r="AL610" s="1515"/>
      <c r="AM610" s="1515"/>
      <c r="AN610" s="1515"/>
      <c r="AO610" s="1515"/>
      <c r="AP610" s="1515"/>
      <c r="AQ610" s="1515"/>
      <c r="AR610" s="1595"/>
      <c r="AS610" s="1595"/>
      <c r="AT610" s="1595"/>
      <c r="AU610" s="1595"/>
      <c r="AV610" s="1595"/>
      <c r="AW610" s="1595"/>
      <c r="AX610" s="1595"/>
      <c r="AY610" s="1595"/>
      <c r="AZ610" s="1595"/>
      <c r="BA610" s="1595"/>
      <c r="BB610" s="1595"/>
      <c r="BC610" s="1595"/>
      <c r="BD610" s="1595"/>
      <c r="BE610" s="1595"/>
      <c r="BF610" s="1610"/>
      <c r="BG610" s="1595"/>
      <c r="BH610" s="1595"/>
      <c r="BI610" s="1595"/>
      <c r="BJ610" s="1595"/>
      <c r="BK610" s="1595"/>
      <c r="BL610" s="1517"/>
    </row>
    <row r="611" spans="1:64" s="1518" customFormat="1" x14ac:dyDescent="0.35">
      <c r="A611" s="1591" t="s">
        <v>480</v>
      </c>
      <c r="B611" s="1716"/>
      <c r="C611" s="1515"/>
      <c r="D611" s="1515"/>
      <c r="E611" s="1515"/>
      <c r="F611" s="1515"/>
      <c r="G611" s="1515"/>
      <c r="H611" s="1515"/>
      <c r="I611" s="1515"/>
      <c r="J611" s="1515"/>
      <c r="K611" s="1515"/>
      <c r="L611" s="1515"/>
      <c r="M611" s="1515"/>
      <c r="N611" s="1515"/>
      <c r="O611" s="1515"/>
      <c r="P611" s="1515"/>
      <c r="Q611" s="1515"/>
      <c r="R611" s="1517">
        <f>BB611</f>
        <v>17.913</v>
      </c>
      <c r="S611" s="1515"/>
      <c r="T611" s="1515"/>
      <c r="U611" s="1515"/>
      <c r="V611" s="1517">
        <f>BC611</f>
        <v>14.708</v>
      </c>
      <c r="W611" s="1515"/>
      <c r="X611" s="1593">
        <v>27.257999999999999</v>
      </c>
      <c r="Y611" s="1593">
        <v>27.192</v>
      </c>
      <c r="Z611" s="1517">
        <f>BD611</f>
        <v>31.126999999999999</v>
      </c>
      <c r="AA611" s="1593">
        <v>41.201000000000001</v>
      </c>
      <c r="AB611" s="1593">
        <v>44.767000000000003</v>
      </c>
      <c r="AC611" s="1593">
        <v>36.783999999999999</v>
      </c>
      <c r="AD611" s="1517">
        <f>BE611</f>
        <v>38.372</v>
      </c>
      <c r="AE611" s="1593">
        <v>42.131999999999998</v>
      </c>
      <c r="AF611" s="1593">
        <v>40.017000000000003</v>
      </c>
      <c r="AG611" s="1593">
        <v>39.326999999999998</v>
      </c>
      <c r="AH611" s="1517">
        <f t="shared" ref="AH611:AH617" si="405">BF611</f>
        <v>38.878999999999998</v>
      </c>
      <c r="AI611" s="1593">
        <v>47.485999999999997</v>
      </c>
      <c r="AJ611" s="1594">
        <v>52.892000000000003</v>
      </c>
      <c r="AK611" s="1515">
        <f t="shared" ref="AK611:AP611" si="406">SUM(AK177,AJ177,AI177,AH177)*AK581</f>
        <v>40.822193487694129</v>
      </c>
      <c r="AL611" s="1515">
        <f t="shared" si="406"/>
        <v>40.84306514445278</v>
      </c>
      <c r="AM611" s="1515">
        <f t="shared" si="406"/>
        <v>50.09245032390843</v>
      </c>
      <c r="AN611" s="1515">
        <f t="shared" si="406"/>
        <v>56.138349408333362</v>
      </c>
      <c r="AO611" s="1515">
        <f t="shared" si="406"/>
        <v>43.603344089731237</v>
      </c>
      <c r="AP611" s="1515">
        <f t="shared" si="406"/>
        <v>44.14889514753731</v>
      </c>
      <c r="AQ611" s="1515"/>
      <c r="AR611" s="1595"/>
      <c r="AS611" s="1595"/>
      <c r="AT611" s="1595"/>
      <c r="AU611" s="1595"/>
      <c r="AV611" s="1595"/>
      <c r="AW611" s="1595"/>
      <c r="AX611" s="1595"/>
      <c r="AY611" s="1595"/>
      <c r="AZ611" s="1595"/>
      <c r="BA611" s="1595"/>
      <c r="BB611" s="1596">
        <v>17.913</v>
      </c>
      <c r="BC611" s="1596">
        <v>14.708</v>
      </c>
      <c r="BD611" s="1596">
        <v>31.126999999999999</v>
      </c>
      <c r="BE611" s="1596">
        <v>38.372</v>
      </c>
      <c r="BF611" s="1597">
        <v>38.878999999999998</v>
      </c>
      <c r="BG611" s="1595">
        <f t="shared" ref="BG611:BG617" si="407">AL611</f>
        <v>40.84306514445278</v>
      </c>
      <c r="BH611" s="1595">
        <f t="shared" ref="BH611:BH617" si="408">AP611</f>
        <v>44.14889514753731</v>
      </c>
      <c r="BI611" s="1595">
        <f>BI177*BI581</f>
        <v>48.309199183224408</v>
      </c>
      <c r="BJ611" s="1595">
        <f>BJ177*BJ581</f>
        <v>51.688090465127999</v>
      </c>
      <c r="BK611" s="1595">
        <f>BK177*BK581</f>
        <v>55.284097877263882</v>
      </c>
      <c r="BL611" s="1517"/>
    </row>
    <row r="612" spans="1:64" s="1518" customFormat="1" x14ac:dyDescent="0.35">
      <c r="A612" s="1591" t="s">
        <v>826</v>
      </c>
      <c r="B612" s="1716"/>
      <c r="C612" s="1515"/>
      <c r="D612" s="1515"/>
      <c r="E612" s="1515"/>
      <c r="F612" s="1515"/>
      <c r="G612" s="1515"/>
      <c r="H612" s="1515"/>
      <c r="I612" s="1515"/>
      <c r="J612" s="1515"/>
      <c r="K612" s="1515"/>
      <c r="L612" s="1515"/>
      <c r="M612" s="1515"/>
      <c r="N612" s="1515"/>
      <c r="O612" s="1515"/>
      <c r="P612" s="1515"/>
      <c r="Q612" s="1515"/>
      <c r="R612" s="1517">
        <f>BB612</f>
        <v>15</v>
      </c>
      <c r="S612" s="1515"/>
      <c r="T612" s="1515"/>
      <c r="U612" s="1515"/>
      <c r="V612" s="1517">
        <f>BC612</f>
        <v>0.75</v>
      </c>
      <c r="W612" s="1515"/>
      <c r="X612" s="1515"/>
      <c r="Y612" s="1515"/>
      <c r="Z612" s="1517">
        <f>BD612</f>
        <v>0</v>
      </c>
      <c r="AA612" s="1515"/>
      <c r="AB612" s="1515"/>
      <c r="AC612" s="1515"/>
      <c r="AD612" s="1517">
        <f>BE612</f>
        <v>4.165</v>
      </c>
      <c r="AE612" s="1593">
        <v>3.85</v>
      </c>
      <c r="AF612" s="1593">
        <v>6.0129999999999999</v>
      </c>
      <c r="AG612" s="1593">
        <v>7.1779999999999999</v>
      </c>
      <c r="AH612" s="1517">
        <f t="shared" si="405"/>
        <v>5.2789999999999999</v>
      </c>
      <c r="AI612" s="1593">
        <v>5.2240000000000002</v>
      </c>
      <c r="AJ612" s="1594">
        <v>6.2220000000000004</v>
      </c>
      <c r="AK612" s="1515">
        <f>AJ612</f>
        <v>6.2220000000000004</v>
      </c>
      <c r="AL612" s="1515">
        <f>AK612</f>
        <v>6.2220000000000004</v>
      </c>
      <c r="AM612" s="1515">
        <f>BG612</f>
        <v>6.2220000000000004</v>
      </c>
      <c r="AN612" s="1515">
        <f>AM612</f>
        <v>6.2220000000000004</v>
      </c>
      <c r="AO612" s="1515">
        <f>AN612</f>
        <v>6.2220000000000004</v>
      </c>
      <c r="AP612" s="1515">
        <f>AO612</f>
        <v>6.2220000000000004</v>
      </c>
      <c r="AQ612" s="1515"/>
      <c r="AR612" s="1595"/>
      <c r="AS612" s="1595"/>
      <c r="AT612" s="1595"/>
      <c r="AU612" s="1595"/>
      <c r="AV612" s="1595"/>
      <c r="AW612" s="1595"/>
      <c r="AX612" s="1595"/>
      <c r="AY612" s="1595"/>
      <c r="AZ612" s="1595"/>
      <c r="BA612" s="1595"/>
      <c r="BB612" s="1596">
        <v>15</v>
      </c>
      <c r="BC612" s="1596">
        <v>0.75</v>
      </c>
      <c r="BD612" s="1595"/>
      <c r="BE612" s="1596">
        <v>4.165</v>
      </c>
      <c r="BF612" s="1597">
        <v>5.2789999999999999</v>
      </c>
      <c r="BG612" s="1595">
        <f t="shared" si="407"/>
        <v>6.2220000000000004</v>
      </c>
      <c r="BH612" s="1595">
        <f t="shared" si="408"/>
        <v>6.2220000000000004</v>
      </c>
      <c r="BI612" s="1595">
        <f>BH612</f>
        <v>6.2220000000000004</v>
      </c>
      <c r="BJ612" s="1595">
        <f>BI612</f>
        <v>6.2220000000000004</v>
      </c>
      <c r="BK612" s="1595">
        <f>BJ612</f>
        <v>6.2220000000000004</v>
      </c>
      <c r="BL612" s="1517"/>
    </row>
    <row r="613" spans="1:64" s="1518" customFormat="1" x14ac:dyDescent="0.35">
      <c r="A613" s="1591" t="s">
        <v>827</v>
      </c>
      <c r="B613" s="1716"/>
      <c r="C613" s="1515"/>
      <c r="D613" s="1515"/>
      <c r="E613" s="1515"/>
      <c r="F613" s="1515"/>
      <c r="G613" s="1515"/>
      <c r="H613" s="1515"/>
      <c r="I613" s="1515"/>
      <c r="J613" s="1515"/>
      <c r="K613" s="1515"/>
      <c r="L613" s="1515"/>
      <c r="M613" s="1515"/>
      <c r="N613" s="1515"/>
      <c r="O613" s="1515"/>
      <c r="P613" s="1515"/>
      <c r="Q613" s="1515"/>
      <c r="R613" s="1517">
        <f>BB613</f>
        <v>42.298000000000002</v>
      </c>
      <c r="S613" s="1515"/>
      <c r="T613" s="1515"/>
      <c r="U613" s="1515"/>
      <c r="V613" s="1517">
        <f>BC613</f>
        <v>35.899000000000001</v>
      </c>
      <c r="W613" s="1515"/>
      <c r="X613" s="1593">
        <v>51.692999999999998</v>
      </c>
      <c r="Y613" s="1593">
        <v>52.837000000000003</v>
      </c>
      <c r="Z613" s="1517">
        <f>BD613</f>
        <v>67.971000000000004</v>
      </c>
      <c r="AA613" s="1593">
        <v>55.091000000000001</v>
      </c>
      <c r="AB613" s="1593">
        <v>58.134999999999998</v>
      </c>
      <c r="AC613" s="1593">
        <v>66.2</v>
      </c>
      <c r="AD613" s="1517">
        <f>BE613</f>
        <v>67.046999999999997</v>
      </c>
      <c r="AE613" s="1593">
        <v>57.091000000000001</v>
      </c>
      <c r="AF613" s="1593">
        <v>58.118000000000002</v>
      </c>
      <c r="AG613" s="1593">
        <v>60.387</v>
      </c>
      <c r="AH613" s="1517">
        <f t="shared" si="405"/>
        <v>63.987000000000002</v>
      </c>
      <c r="AI613" s="1593">
        <v>73.605000000000004</v>
      </c>
      <c r="AJ613" s="1594">
        <v>79.099999999999994</v>
      </c>
      <c r="AK613" s="1515">
        <f t="shared" ref="AK613:AP613" si="409">SUM(AK177,AJ177,AI177,AH177)*AK583</f>
        <v>62.682884484994673</v>
      </c>
      <c r="AL613" s="1515">
        <f t="shared" si="409"/>
        <v>67.219455474628987</v>
      </c>
      <c r="AM613" s="1515">
        <f t="shared" si="409"/>
        <v>77.645091313045555</v>
      </c>
      <c r="AN613" s="1515">
        <f t="shared" si="409"/>
        <v>83.954916399439767</v>
      </c>
      <c r="AO613" s="1515">
        <f t="shared" si="409"/>
        <v>66.953368920756745</v>
      </c>
      <c r="AP613" s="1515">
        <f t="shared" si="409"/>
        <v>72.660185545036398</v>
      </c>
      <c r="AQ613" s="1515"/>
      <c r="AR613" s="1595"/>
      <c r="AS613" s="1595"/>
      <c r="AT613" s="1595"/>
      <c r="AU613" s="1595"/>
      <c r="AV613" s="1595"/>
      <c r="AW613" s="1595"/>
      <c r="AX613" s="1595"/>
      <c r="AY613" s="1595"/>
      <c r="AZ613" s="1595"/>
      <c r="BA613" s="1595"/>
      <c r="BB613" s="1596">
        <v>42.298000000000002</v>
      </c>
      <c r="BC613" s="1596">
        <v>35.899000000000001</v>
      </c>
      <c r="BD613" s="1596">
        <v>67.971000000000004</v>
      </c>
      <c r="BE613" s="1596">
        <v>67.046999999999997</v>
      </c>
      <c r="BF613" s="1597">
        <v>63.987000000000002</v>
      </c>
      <c r="BG613" s="1595">
        <f t="shared" si="407"/>
        <v>67.219455474628987</v>
      </c>
      <c r="BH613" s="1595">
        <f t="shared" si="408"/>
        <v>72.660185545036398</v>
      </c>
      <c r="BI613" s="1595">
        <f>BI177*BI583</f>
        <v>79.507207699194439</v>
      </c>
      <c r="BJ613" s="1595">
        <f>BJ177*BJ583</f>
        <v>85.068181912913033</v>
      </c>
      <c r="BK613" s="1595">
        <f>BK177*BK583</f>
        <v>90.986485528755495</v>
      </c>
      <c r="BL613" s="1517"/>
    </row>
    <row r="614" spans="1:64" s="1518" customFormat="1" x14ac:dyDescent="0.35">
      <c r="A614" s="1591" t="s">
        <v>483</v>
      </c>
      <c r="B614" s="1716"/>
      <c r="C614" s="1515"/>
      <c r="D614" s="1515"/>
      <c r="E614" s="1515"/>
      <c r="F614" s="1515"/>
      <c r="G614" s="1515"/>
      <c r="H614" s="1515"/>
      <c r="I614" s="1515"/>
      <c r="J614" s="1515"/>
      <c r="K614" s="1515"/>
      <c r="L614" s="1515"/>
      <c r="M614" s="1515"/>
      <c r="N614" s="1515"/>
      <c r="O614" s="1515"/>
      <c r="P614" s="1515"/>
      <c r="Q614" s="1515"/>
      <c r="R614" s="1517">
        <f>BB614</f>
        <v>6.4610000000000003</v>
      </c>
      <c r="S614" s="1515"/>
      <c r="T614" s="1515"/>
      <c r="U614" s="1515"/>
      <c r="V614" s="1517">
        <f>BC614</f>
        <v>13.147</v>
      </c>
      <c r="W614" s="1515"/>
      <c r="X614" s="1593">
        <v>6.4610000000000003</v>
      </c>
      <c r="Y614" s="1593">
        <v>6.4610000000000003</v>
      </c>
      <c r="Z614" s="1517">
        <f>BD614</f>
        <v>6.4610000000000003</v>
      </c>
      <c r="AA614" s="1593">
        <v>6.4610000000000003</v>
      </c>
      <c r="AB614" s="1593">
        <v>6.4610000000000003</v>
      </c>
      <c r="AC614" s="1593">
        <v>6.4610000000000003</v>
      </c>
      <c r="AD614" s="1517">
        <f>BE614</f>
        <v>7.5</v>
      </c>
      <c r="AE614" s="1593">
        <v>9.375</v>
      </c>
      <c r="AF614" s="1593">
        <v>11.25</v>
      </c>
      <c r="AG614" s="1593">
        <v>13.125</v>
      </c>
      <c r="AH614" s="1517">
        <f t="shared" si="405"/>
        <v>15</v>
      </c>
      <c r="AI614" s="1593">
        <v>15</v>
      </c>
      <c r="AJ614" s="1594">
        <v>15</v>
      </c>
      <c r="AK614" s="1515">
        <f t="shared" ref="AK614:AP614" si="410">AK380</f>
        <v>15</v>
      </c>
      <c r="AL614" s="1515">
        <f t="shared" si="410"/>
        <v>15</v>
      </c>
      <c r="AM614" s="1515">
        <f t="shared" si="410"/>
        <v>15</v>
      </c>
      <c r="AN614" s="1515">
        <f t="shared" si="410"/>
        <v>15</v>
      </c>
      <c r="AO614" s="1515">
        <f t="shared" si="410"/>
        <v>15</v>
      </c>
      <c r="AP614" s="1515">
        <f t="shared" si="410"/>
        <v>15</v>
      </c>
      <c r="AQ614" s="1515"/>
      <c r="AR614" s="1595"/>
      <c r="AS614" s="1595"/>
      <c r="AT614" s="1595"/>
      <c r="AU614" s="1595"/>
      <c r="AV614" s="1595"/>
      <c r="AW614" s="1595"/>
      <c r="AX614" s="1595"/>
      <c r="AY614" s="1595"/>
      <c r="AZ614" s="1595"/>
      <c r="BA614" s="1595"/>
      <c r="BB614" s="1596">
        <v>6.4610000000000003</v>
      </c>
      <c r="BC614" s="1596">
        <v>13.147</v>
      </c>
      <c r="BD614" s="1596">
        <v>6.4610000000000003</v>
      </c>
      <c r="BE614" s="1596">
        <v>7.5</v>
      </c>
      <c r="BF614" s="1597">
        <v>15</v>
      </c>
      <c r="BG614" s="1595">
        <f t="shared" si="407"/>
        <v>15</v>
      </c>
      <c r="BH614" s="1595">
        <f t="shared" si="408"/>
        <v>15</v>
      </c>
      <c r="BI614" s="1595">
        <f>BI380</f>
        <v>15</v>
      </c>
      <c r="BJ614" s="1595">
        <f>BJ380</f>
        <v>15</v>
      </c>
      <c r="BK614" s="1595">
        <f>BK380</f>
        <v>15</v>
      </c>
      <c r="BL614" s="1517"/>
    </row>
    <row r="615" spans="1:64" s="1518" customFormat="1" x14ac:dyDescent="0.35">
      <c r="A615" s="1591" t="s">
        <v>828</v>
      </c>
      <c r="B615" s="1716"/>
      <c r="C615" s="1515"/>
      <c r="D615" s="1515"/>
      <c r="E615" s="1515"/>
      <c r="F615" s="1515"/>
      <c r="G615" s="1515"/>
      <c r="H615" s="1515"/>
      <c r="I615" s="1515"/>
      <c r="J615" s="1515"/>
      <c r="K615" s="1515"/>
      <c r="L615" s="1515"/>
      <c r="M615" s="1515"/>
      <c r="N615" s="1515"/>
      <c r="O615" s="1515"/>
      <c r="P615" s="1515"/>
      <c r="Q615" s="1515"/>
      <c r="R615" s="1515"/>
      <c r="S615" s="1515"/>
      <c r="T615" s="1515"/>
      <c r="U615" s="1515"/>
      <c r="V615" s="1515"/>
      <c r="W615" s="1515"/>
      <c r="X615" s="1515"/>
      <c r="Y615" s="1515"/>
      <c r="Z615" s="1515"/>
      <c r="AA615" s="1593">
        <v>3.7280000000000002</v>
      </c>
      <c r="AB615" s="1593">
        <v>3.5529999999999999</v>
      </c>
      <c r="AC615" s="1593">
        <v>3.601</v>
      </c>
      <c r="AD615" s="1515">
        <f>BE615</f>
        <v>3.7170000000000001</v>
      </c>
      <c r="AE615" s="1593">
        <v>3.5649999999999999</v>
      </c>
      <c r="AF615" s="1593">
        <v>4.069</v>
      </c>
      <c r="AG615" s="1593">
        <v>4.2329999999999997</v>
      </c>
      <c r="AH615" s="1515">
        <f t="shared" si="405"/>
        <v>4.2190000000000003</v>
      </c>
      <c r="AI615" s="1593">
        <v>3.879</v>
      </c>
      <c r="AJ615" s="1594">
        <v>3.49</v>
      </c>
      <c r="AK615" s="1515">
        <f t="shared" ref="AK615:AL617" si="411">AJ615</f>
        <v>3.49</v>
      </c>
      <c r="AL615" s="1515">
        <f t="shared" si="411"/>
        <v>3.49</v>
      </c>
      <c r="AM615" s="1515">
        <f>BG615</f>
        <v>3.49</v>
      </c>
      <c r="AN615" s="1515">
        <f t="shared" ref="AN615:AP617" si="412">AM615</f>
        <v>3.49</v>
      </c>
      <c r="AO615" s="1515">
        <f t="shared" si="412"/>
        <v>3.49</v>
      </c>
      <c r="AP615" s="1515">
        <f t="shared" si="412"/>
        <v>3.49</v>
      </c>
      <c r="AQ615" s="1515"/>
      <c r="AR615" s="1595"/>
      <c r="AS615" s="1595"/>
      <c r="AT615" s="1595"/>
      <c r="AU615" s="1595"/>
      <c r="AV615" s="1595"/>
      <c r="AW615" s="1595"/>
      <c r="AX615" s="1595"/>
      <c r="AY615" s="1595"/>
      <c r="AZ615" s="1595"/>
      <c r="BA615" s="1595"/>
      <c r="BB615" s="1595"/>
      <c r="BC615" s="1595"/>
      <c r="BD615" s="1595"/>
      <c r="BE615" s="1596">
        <v>3.7170000000000001</v>
      </c>
      <c r="BF615" s="1597">
        <v>4.2190000000000003</v>
      </c>
      <c r="BG615" s="1595">
        <f t="shared" si="407"/>
        <v>3.49</v>
      </c>
      <c r="BH615" s="1595">
        <f t="shared" si="408"/>
        <v>3.49</v>
      </c>
      <c r="BI615" s="1595">
        <f t="shared" ref="BI615:BK617" si="413">BH615</f>
        <v>3.49</v>
      </c>
      <c r="BJ615" s="1595">
        <f t="shared" si="413"/>
        <v>3.49</v>
      </c>
      <c r="BK615" s="1595">
        <f t="shared" si="413"/>
        <v>3.49</v>
      </c>
      <c r="BL615" s="1517"/>
    </row>
    <row r="616" spans="1:64" s="1518" customFormat="1" x14ac:dyDescent="0.35">
      <c r="A616" s="1591" t="s">
        <v>1216</v>
      </c>
      <c r="B616" s="1716"/>
      <c r="C616" s="1515"/>
      <c r="D616" s="1515"/>
      <c r="E616" s="1515"/>
      <c r="F616" s="1515"/>
      <c r="G616" s="1515"/>
      <c r="H616" s="1515"/>
      <c r="I616" s="1515"/>
      <c r="J616" s="1515"/>
      <c r="K616" s="1515"/>
      <c r="L616" s="1515"/>
      <c r="M616" s="1515"/>
      <c r="N616" s="1515"/>
      <c r="O616" s="1515"/>
      <c r="P616" s="1515"/>
      <c r="Q616" s="1515"/>
      <c r="R616" s="1515"/>
      <c r="S616" s="1515"/>
      <c r="T616" s="1515"/>
      <c r="U616" s="1515"/>
      <c r="V616" s="1515"/>
      <c r="W616" s="1515"/>
      <c r="X616" s="1515"/>
      <c r="Y616" s="1515"/>
      <c r="Z616" s="1515"/>
      <c r="AA616" s="1515"/>
      <c r="AB616" s="1515"/>
      <c r="AC616" s="1515"/>
      <c r="AD616" s="1515"/>
      <c r="AE616" s="1515"/>
      <c r="AF616" s="1515"/>
      <c r="AG616" s="1515"/>
      <c r="AH616" s="1515">
        <f t="shared" si="405"/>
        <v>8.9329999999999998</v>
      </c>
      <c r="AI616" s="1593">
        <v>3.5230000000000001</v>
      </c>
      <c r="AJ616" s="1594">
        <v>0.16300000000000001</v>
      </c>
      <c r="AK616" s="1515">
        <f t="shared" si="411"/>
        <v>0.16300000000000001</v>
      </c>
      <c r="AL616" s="1515">
        <f t="shared" si="411"/>
        <v>0.16300000000000001</v>
      </c>
      <c r="AM616" s="1515">
        <f>BG616</f>
        <v>0.16300000000000001</v>
      </c>
      <c r="AN616" s="1515">
        <f t="shared" si="412"/>
        <v>0.16300000000000001</v>
      </c>
      <c r="AO616" s="1515">
        <f t="shared" si="412"/>
        <v>0.16300000000000001</v>
      </c>
      <c r="AP616" s="1515">
        <f t="shared" si="412"/>
        <v>0.16300000000000001</v>
      </c>
      <c r="AQ616" s="1515"/>
      <c r="AR616" s="1595"/>
      <c r="AS616" s="1595"/>
      <c r="AT616" s="1595"/>
      <c r="AU616" s="1595"/>
      <c r="AV616" s="1595"/>
      <c r="AW616" s="1595"/>
      <c r="AX616" s="1595"/>
      <c r="AY616" s="1595"/>
      <c r="AZ616" s="1595"/>
      <c r="BA616" s="1595"/>
      <c r="BB616" s="1595"/>
      <c r="BC616" s="1595"/>
      <c r="BD616" s="1595"/>
      <c r="BE616" s="1595"/>
      <c r="BF616" s="1597">
        <v>8.9329999999999998</v>
      </c>
      <c r="BG616" s="1595">
        <f t="shared" si="407"/>
        <v>0.16300000000000001</v>
      </c>
      <c r="BH616" s="1595">
        <f t="shared" si="408"/>
        <v>0.16300000000000001</v>
      </c>
      <c r="BI616" s="1595">
        <f t="shared" si="413"/>
        <v>0.16300000000000001</v>
      </c>
      <c r="BJ616" s="1595">
        <f t="shared" si="413"/>
        <v>0.16300000000000001</v>
      </c>
      <c r="BK616" s="1595">
        <f t="shared" si="413"/>
        <v>0.16300000000000001</v>
      </c>
      <c r="BL616" s="1517"/>
    </row>
    <row r="617" spans="1:64" s="1518" customFormat="1" x14ac:dyDescent="0.35">
      <c r="A617" s="1591" t="s">
        <v>162</v>
      </c>
      <c r="B617" s="1716"/>
      <c r="C617" s="1515"/>
      <c r="D617" s="1515"/>
      <c r="E617" s="1515"/>
      <c r="F617" s="1515"/>
      <c r="G617" s="1515"/>
      <c r="H617" s="1515"/>
      <c r="I617" s="1515"/>
      <c r="J617" s="1515"/>
      <c r="K617" s="1515"/>
      <c r="L617" s="1515"/>
      <c r="M617" s="1515"/>
      <c r="N617" s="1515"/>
      <c r="O617" s="1515"/>
      <c r="P617" s="1515"/>
      <c r="Q617" s="1515"/>
      <c r="R617" s="1517">
        <f>BB617</f>
        <v>10.484</v>
      </c>
      <c r="S617" s="1515"/>
      <c r="T617" s="1515"/>
      <c r="U617" s="1515"/>
      <c r="V617" s="1517">
        <f>BC617</f>
        <v>21.488</v>
      </c>
      <c r="W617" s="1515"/>
      <c r="X617" s="1593">
        <v>22.061</v>
      </c>
      <c r="Y617" s="1593">
        <v>19.791</v>
      </c>
      <c r="Z617" s="1517">
        <f>BD617</f>
        <v>24.361000000000001</v>
      </c>
      <c r="AA617" s="1593">
        <v>17.225000000000001</v>
      </c>
      <c r="AB617" s="1593">
        <v>16.960999999999999</v>
      </c>
      <c r="AC617" s="1593">
        <v>14.162000000000001</v>
      </c>
      <c r="AD617" s="1517">
        <f>BE617</f>
        <v>12.939</v>
      </c>
      <c r="AE617" s="1593">
        <v>13.974</v>
      </c>
      <c r="AF617" s="1593">
        <v>13.712</v>
      </c>
      <c r="AG617" s="1593">
        <v>14.435</v>
      </c>
      <c r="AH617" s="1517">
        <f t="shared" si="405"/>
        <v>11.839</v>
      </c>
      <c r="AI617" s="1593">
        <v>17.832000000000001</v>
      </c>
      <c r="AJ617" s="1594">
        <v>15.458</v>
      </c>
      <c r="AK617" s="1515">
        <f t="shared" si="411"/>
        <v>15.458</v>
      </c>
      <c r="AL617" s="1515">
        <f t="shared" si="411"/>
        <v>15.458</v>
      </c>
      <c r="AM617" s="1515">
        <f>BG617</f>
        <v>15.458</v>
      </c>
      <c r="AN617" s="1515">
        <f t="shared" si="412"/>
        <v>15.458</v>
      </c>
      <c r="AO617" s="1515">
        <f t="shared" si="412"/>
        <v>15.458</v>
      </c>
      <c r="AP617" s="1515">
        <f t="shared" si="412"/>
        <v>15.458</v>
      </c>
      <c r="AQ617" s="1515"/>
      <c r="AR617" s="1595"/>
      <c r="AS617" s="1595"/>
      <c r="AT617" s="1595"/>
      <c r="AU617" s="1595"/>
      <c r="AV617" s="1595"/>
      <c r="AW617" s="1595"/>
      <c r="AX617" s="1595"/>
      <c r="AY617" s="1595"/>
      <c r="AZ617" s="1595"/>
      <c r="BA617" s="1595"/>
      <c r="BB617" s="1596">
        <v>10.484</v>
      </c>
      <c r="BC617" s="1596">
        <v>21.488</v>
      </c>
      <c r="BD617" s="1596">
        <v>24.361000000000001</v>
      </c>
      <c r="BE617" s="1596">
        <v>12.939</v>
      </c>
      <c r="BF617" s="1597">
        <v>11.839</v>
      </c>
      <c r="BG617" s="1595">
        <f t="shared" si="407"/>
        <v>15.458</v>
      </c>
      <c r="BH617" s="1595">
        <f t="shared" si="408"/>
        <v>15.458</v>
      </c>
      <c r="BI617" s="1595">
        <f t="shared" si="413"/>
        <v>15.458</v>
      </c>
      <c r="BJ617" s="1595">
        <f t="shared" si="413"/>
        <v>15.458</v>
      </c>
      <c r="BK617" s="1595">
        <f t="shared" si="413"/>
        <v>15.458</v>
      </c>
      <c r="BL617" s="1517"/>
    </row>
    <row r="618" spans="1:64" s="1608" customFormat="1" x14ac:dyDescent="0.35">
      <c r="A618" s="1599" t="s">
        <v>505</v>
      </c>
      <c r="B618" s="1717"/>
      <c r="C618" s="1601"/>
      <c r="D618" s="1601"/>
      <c r="E618" s="1601"/>
      <c r="F618" s="1601"/>
      <c r="G618" s="1601"/>
      <c r="H618" s="1601"/>
      <c r="I618" s="1601"/>
      <c r="J618" s="1601"/>
      <c r="K618" s="1601"/>
      <c r="L618" s="1601"/>
      <c r="M618" s="1601"/>
      <c r="N618" s="1601"/>
      <c r="O618" s="1601"/>
      <c r="P618" s="1601"/>
      <c r="Q618" s="1601"/>
      <c r="R618" s="1602">
        <f t="shared" ref="R618:AE618" si="414">SUM(R611:R617)</f>
        <v>92.155999999999992</v>
      </c>
      <c r="S618" s="1602">
        <f t="shared" si="414"/>
        <v>0</v>
      </c>
      <c r="T618" s="1602">
        <f t="shared" si="414"/>
        <v>0</v>
      </c>
      <c r="U618" s="1602">
        <f t="shared" si="414"/>
        <v>0</v>
      </c>
      <c r="V618" s="1602">
        <f t="shared" si="414"/>
        <v>85.992000000000004</v>
      </c>
      <c r="W618" s="1602">
        <f t="shared" si="414"/>
        <v>0</v>
      </c>
      <c r="X618" s="1602">
        <f t="shared" si="414"/>
        <v>107.47299999999998</v>
      </c>
      <c r="Y618" s="1602">
        <f t="shared" si="414"/>
        <v>106.28099999999999</v>
      </c>
      <c r="Z618" s="1602">
        <f t="shared" si="414"/>
        <v>129.91999999999999</v>
      </c>
      <c r="AA618" s="1602">
        <f t="shared" si="414"/>
        <v>123.70599999999999</v>
      </c>
      <c r="AB618" s="1602">
        <f t="shared" si="414"/>
        <v>129.87700000000001</v>
      </c>
      <c r="AC618" s="1602">
        <f t="shared" si="414"/>
        <v>127.20800000000001</v>
      </c>
      <c r="AD618" s="1602">
        <f t="shared" si="414"/>
        <v>133.74</v>
      </c>
      <c r="AE618" s="1602">
        <f t="shared" si="414"/>
        <v>129.98699999999999</v>
      </c>
      <c r="AF618" s="2067">
        <v>133.179</v>
      </c>
      <c r="AG618" s="1602">
        <f t="shared" ref="AG618:AP618" si="415">SUM(AG611:AG617)</f>
        <v>138.685</v>
      </c>
      <c r="AH618" s="1602">
        <f t="shared" si="415"/>
        <v>148.136</v>
      </c>
      <c r="AI618" s="1602">
        <f t="shared" si="415"/>
        <v>166.54899999999998</v>
      </c>
      <c r="AJ618" s="1603">
        <f t="shared" si="415"/>
        <v>172.32500000000002</v>
      </c>
      <c r="AK618" s="1601">
        <f t="shared" si="415"/>
        <v>143.83807797268881</v>
      </c>
      <c r="AL618" s="1601">
        <f t="shared" si="415"/>
        <v>148.39552061908179</v>
      </c>
      <c r="AM618" s="1601">
        <f t="shared" si="415"/>
        <v>168.070541636954</v>
      </c>
      <c r="AN618" s="1601">
        <f t="shared" si="415"/>
        <v>180.42626580777315</v>
      </c>
      <c r="AO618" s="1601">
        <f t="shared" si="415"/>
        <v>150.88971301048801</v>
      </c>
      <c r="AP618" s="1601">
        <f t="shared" si="415"/>
        <v>157.14208069257373</v>
      </c>
      <c r="AQ618" s="1601"/>
      <c r="AR618" s="1604"/>
      <c r="AS618" s="1604"/>
      <c r="AT618" s="1604"/>
      <c r="AU618" s="1604"/>
      <c r="AV618" s="1604"/>
      <c r="AW618" s="1604"/>
      <c r="AX618" s="1604"/>
      <c r="AY618" s="1604"/>
      <c r="AZ618" s="1604"/>
      <c r="BA618" s="1604"/>
      <c r="BB618" s="1605">
        <f t="shared" ref="BB618:BK618" si="416">SUM(BB611:BB617)</f>
        <v>92.155999999999992</v>
      </c>
      <c r="BC618" s="1605">
        <f t="shared" si="416"/>
        <v>85.992000000000004</v>
      </c>
      <c r="BD618" s="1605">
        <f t="shared" si="416"/>
        <v>129.91999999999999</v>
      </c>
      <c r="BE618" s="1605">
        <f t="shared" si="416"/>
        <v>133.74</v>
      </c>
      <c r="BF618" s="1718">
        <f t="shared" si="416"/>
        <v>148.136</v>
      </c>
      <c r="BG618" s="1604">
        <f t="shared" si="416"/>
        <v>148.39552061908179</v>
      </c>
      <c r="BH618" s="1604">
        <f t="shared" si="416"/>
        <v>157.14208069257373</v>
      </c>
      <c r="BI618" s="1604">
        <f t="shared" si="416"/>
        <v>168.14940688241887</v>
      </c>
      <c r="BJ618" s="1604">
        <f t="shared" si="416"/>
        <v>177.08927237804104</v>
      </c>
      <c r="BK618" s="1604">
        <f t="shared" si="416"/>
        <v>186.6035834060194</v>
      </c>
      <c r="BL618" s="1607"/>
    </row>
    <row r="619" spans="1:64" s="1608" customFormat="1" x14ac:dyDescent="0.35">
      <c r="A619" s="1665"/>
      <c r="B619" s="1712"/>
      <c r="C619" s="1667"/>
      <c r="D619" s="1667"/>
      <c r="E619" s="1667"/>
      <c r="F619" s="1667"/>
      <c r="G619" s="1667"/>
      <c r="H619" s="1667"/>
      <c r="I619" s="1667"/>
      <c r="J619" s="1667"/>
      <c r="K619" s="1667"/>
      <c r="L619" s="1667"/>
      <c r="M619" s="1667"/>
      <c r="N619" s="1667"/>
      <c r="O619" s="1667"/>
      <c r="P619" s="1667"/>
      <c r="Q619" s="1667"/>
      <c r="R619" s="1667"/>
      <c r="S619" s="1667"/>
      <c r="T619" s="1667"/>
      <c r="U619" s="1667"/>
      <c r="V619" s="1667"/>
      <c r="W619" s="1667"/>
      <c r="X619" s="1667"/>
      <c r="Y619" s="1667"/>
      <c r="Z619" s="1667"/>
      <c r="AA619" s="1667"/>
      <c r="AB619" s="1667"/>
      <c r="AC619" s="1667"/>
      <c r="AD619" s="1667"/>
      <c r="AE619" s="1667"/>
      <c r="AF619" s="1667"/>
      <c r="AG619" s="1667"/>
      <c r="AH619" s="1667"/>
      <c r="AI619" s="1667"/>
      <c r="AJ619" s="1668"/>
      <c r="AK619" s="1667"/>
      <c r="AL619" s="1667"/>
      <c r="AM619" s="1667"/>
      <c r="AN619" s="1667"/>
      <c r="AO619" s="1667"/>
      <c r="AP619" s="1667"/>
      <c r="AQ619" s="1667"/>
      <c r="AR619" s="1669"/>
      <c r="AS619" s="1669"/>
      <c r="AT619" s="1669"/>
      <c r="AU619" s="1669"/>
      <c r="AV619" s="1669"/>
      <c r="AW619" s="1669"/>
      <c r="AX619" s="1669"/>
      <c r="AY619" s="1669"/>
      <c r="AZ619" s="1669"/>
      <c r="BA619" s="1669"/>
      <c r="BB619" s="1669"/>
      <c r="BC619" s="1669"/>
      <c r="BD619" s="1669"/>
      <c r="BE619" s="1669"/>
      <c r="BF619" s="1612"/>
      <c r="BG619" s="1669"/>
      <c r="BH619" s="1669"/>
      <c r="BI619" s="1669"/>
      <c r="BJ619" s="1669"/>
      <c r="BK619" s="1669"/>
      <c r="BL619" s="1607"/>
    </row>
    <row r="620" spans="1:64" s="1608" customFormat="1" x14ac:dyDescent="0.35">
      <c r="A620" s="1926" t="s">
        <v>1217</v>
      </c>
      <c r="B620" s="1712"/>
      <c r="C620" s="1667"/>
      <c r="D620" s="1667"/>
      <c r="E620" s="1667"/>
      <c r="F620" s="1667"/>
      <c r="G620" s="1667"/>
      <c r="H620" s="1667"/>
      <c r="I620" s="1667"/>
      <c r="J620" s="1667"/>
      <c r="K620" s="1667"/>
      <c r="L620" s="1667"/>
      <c r="M620" s="1667"/>
      <c r="N620" s="1667"/>
      <c r="O620" s="1667"/>
      <c r="P620" s="1667"/>
      <c r="Q620" s="1667"/>
      <c r="R620" s="1667"/>
      <c r="S620" s="1667"/>
      <c r="T620" s="1667"/>
      <c r="U620" s="1667"/>
      <c r="V620" s="1667"/>
      <c r="W620" s="1667"/>
      <c r="X620" s="1667"/>
      <c r="Y620" s="1667"/>
      <c r="Z620" s="1667"/>
      <c r="AA620" s="1667"/>
      <c r="AB620" s="1667"/>
      <c r="AC620" s="1667"/>
      <c r="AD620" s="1667"/>
      <c r="AE620" s="1667"/>
      <c r="AF620" s="1667"/>
      <c r="AG620" s="1667"/>
      <c r="AH620" s="1667"/>
      <c r="AI620" s="1667"/>
      <c r="AJ620" s="1668"/>
      <c r="AK620" s="1667"/>
      <c r="AL620" s="1667"/>
      <c r="AM620" s="1667"/>
      <c r="AN620" s="1667"/>
      <c r="AO620" s="1667"/>
      <c r="AP620" s="1667"/>
      <c r="AQ620" s="1667"/>
      <c r="AR620" s="1669"/>
      <c r="AS620" s="1669"/>
      <c r="AT620" s="1669"/>
      <c r="AU620" s="1669"/>
      <c r="AV620" s="1669"/>
      <c r="AW620" s="1669"/>
      <c r="AX620" s="1669"/>
      <c r="AY620" s="1669"/>
      <c r="AZ620" s="1669"/>
      <c r="BA620" s="1669"/>
      <c r="BB620" s="1669"/>
      <c r="BC620" s="1669"/>
      <c r="BD620" s="1669"/>
      <c r="BE620" s="1669"/>
      <c r="BF620" s="1612"/>
      <c r="BG620" s="1669"/>
      <c r="BH620" s="1669"/>
      <c r="BI620" s="1669"/>
      <c r="BJ620" s="1669"/>
      <c r="BK620" s="1669"/>
      <c r="BL620" s="1607"/>
    </row>
    <row r="621" spans="1:64" s="1518" customFormat="1" x14ac:dyDescent="0.35">
      <c r="A621" s="1591" t="s">
        <v>830</v>
      </c>
      <c r="B621" s="1716"/>
      <c r="C621" s="1515"/>
      <c r="D621" s="1515"/>
      <c r="E621" s="1515"/>
      <c r="F621" s="1515"/>
      <c r="G621" s="1515"/>
      <c r="H621" s="1515"/>
      <c r="I621" s="1515"/>
      <c r="J621" s="1515"/>
      <c r="K621" s="1515"/>
      <c r="L621" s="1515"/>
      <c r="M621" s="1515"/>
      <c r="N621" s="1515"/>
      <c r="O621" s="1515"/>
      <c r="P621" s="1515"/>
      <c r="Q621" s="1515"/>
      <c r="R621" s="1517">
        <f>BB621</f>
        <v>613.096</v>
      </c>
      <c r="S621" s="1515"/>
      <c r="T621" s="1515"/>
      <c r="U621" s="1515"/>
      <c r="V621" s="1517">
        <f>BC621</f>
        <v>602.30600000000004</v>
      </c>
      <c r="W621" s="1515"/>
      <c r="X621" s="1593">
        <v>600.23099999999999</v>
      </c>
      <c r="Y621" s="1593">
        <v>599.202</v>
      </c>
      <c r="Z621" s="1517">
        <f>BD621</f>
        <v>499.10700000000003</v>
      </c>
      <c r="AA621" s="1593">
        <v>497.96899999999999</v>
      </c>
      <c r="AB621" s="1593">
        <v>496.83499999999998</v>
      </c>
      <c r="AC621" s="1593">
        <v>495.70499999999998</v>
      </c>
      <c r="AD621" s="1517">
        <f>BE621</f>
        <v>493.99</v>
      </c>
      <c r="AE621" s="1593">
        <v>490.43400000000003</v>
      </c>
      <c r="AF621" s="1593">
        <v>486.88200000000001</v>
      </c>
      <c r="AG621" s="1593">
        <v>483.334</v>
      </c>
      <c r="AH621" s="1517">
        <f>BF621</f>
        <v>479.78800000000001</v>
      </c>
      <c r="AI621" s="1593">
        <v>541.24199999999996</v>
      </c>
      <c r="AJ621" s="1594">
        <v>537.69600000000003</v>
      </c>
      <c r="AK621" s="1515">
        <f t="shared" ref="AK621:AP621" si="417">AK381</f>
        <v>537.69600000000003</v>
      </c>
      <c r="AL621" s="1515">
        <f t="shared" si="417"/>
        <v>537.69600000000003</v>
      </c>
      <c r="AM621" s="1515">
        <f t="shared" si="417"/>
        <v>537.69600000000003</v>
      </c>
      <c r="AN621" s="1515">
        <f t="shared" si="417"/>
        <v>537.69600000000003</v>
      </c>
      <c r="AO621" s="1515">
        <f t="shared" si="417"/>
        <v>537.69600000000003</v>
      </c>
      <c r="AP621" s="1515">
        <f t="shared" si="417"/>
        <v>537.69600000000003</v>
      </c>
      <c r="AQ621" s="1515"/>
      <c r="AR621" s="1595"/>
      <c r="AS621" s="1595"/>
      <c r="AT621" s="1595"/>
      <c r="AU621" s="1595"/>
      <c r="AV621" s="1595"/>
      <c r="AW621" s="1595"/>
      <c r="AX621" s="1595"/>
      <c r="AY621" s="1595"/>
      <c r="AZ621" s="1595"/>
      <c r="BA621" s="1595"/>
      <c r="BB621" s="1596">
        <v>613.096</v>
      </c>
      <c r="BC621" s="1596">
        <v>602.30600000000004</v>
      </c>
      <c r="BD621" s="1596">
        <v>499.10700000000003</v>
      </c>
      <c r="BE621" s="1596">
        <v>493.99</v>
      </c>
      <c r="BF621" s="1597">
        <v>479.78800000000001</v>
      </c>
      <c r="BG621" s="1595">
        <f>AL621</f>
        <v>537.69600000000003</v>
      </c>
      <c r="BH621" s="1595">
        <f>AP621</f>
        <v>537.69600000000003</v>
      </c>
      <c r="BI621" s="1595">
        <f>BI381</f>
        <v>537.69600000000003</v>
      </c>
      <c r="BJ621" s="1595">
        <f>BJ381</f>
        <v>537.69600000000003</v>
      </c>
      <c r="BK621" s="1595">
        <f>BK381</f>
        <v>537.69600000000003</v>
      </c>
      <c r="BL621" s="1517"/>
    </row>
    <row r="622" spans="1:64" s="1518" customFormat="1" x14ac:dyDescent="0.35">
      <c r="A622" s="1591" t="s">
        <v>843</v>
      </c>
      <c r="B622" s="1716"/>
      <c r="C622" s="1515"/>
      <c r="D622" s="1515"/>
      <c r="E622" s="1515"/>
      <c r="F622" s="1515"/>
      <c r="G622" s="1515"/>
      <c r="H622" s="1515"/>
      <c r="I622" s="1515"/>
      <c r="J622" s="1515"/>
      <c r="K622" s="1515"/>
      <c r="L622" s="1515"/>
      <c r="M622" s="1515"/>
      <c r="N622" s="1515"/>
      <c r="O622" s="1515"/>
      <c r="P622" s="1515"/>
      <c r="Q622" s="1515"/>
      <c r="R622" s="1517">
        <f>BB622</f>
        <v>46.16</v>
      </c>
      <c r="S622" s="1515"/>
      <c r="T622" s="1515"/>
      <c r="U622" s="1515"/>
      <c r="V622" s="1517">
        <f>BC622</f>
        <v>29.4</v>
      </c>
      <c r="W622" s="1515"/>
      <c r="X622" s="1593">
        <v>28.651</v>
      </c>
      <c r="Y622" s="1593">
        <v>15.895</v>
      </c>
      <c r="Z622" s="1517">
        <f>BD622</f>
        <v>28.584</v>
      </c>
      <c r="AA622" s="1593">
        <v>30.832000000000001</v>
      </c>
      <c r="AB622" s="1593">
        <v>30.065000000000001</v>
      </c>
      <c r="AC622" s="1593">
        <v>31.542000000000002</v>
      </c>
      <c r="AD622" s="1517">
        <f>BE622</f>
        <v>23.707000000000001</v>
      </c>
      <c r="AE622" s="1593">
        <v>30.102</v>
      </c>
      <c r="AF622" s="1593">
        <v>31.530999999999999</v>
      </c>
      <c r="AG622" s="1593">
        <v>31.584</v>
      </c>
      <c r="AH622" s="1517">
        <f>BF622</f>
        <v>14.239000000000001</v>
      </c>
      <c r="AI622" s="1593">
        <v>0.9</v>
      </c>
      <c r="AJ622" s="1594">
        <v>6.1139999999999999</v>
      </c>
      <c r="AK622" s="1515">
        <f>AJ622+AK493</f>
        <v>6.1139999999999999</v>
      </c>
      <c r="AL622" s="1515">
        <f ca="1">AK622+AL493</f>
        <v>6.1139999999999999</v>
      </c>
      <c r="AM622" s="1515">
        <f ca="1">BG622+AM493</f>
        <v>6.1139999999999999</v>
      </c>
      <c r="AN622" s="1515">
        <f ca="1">AM622+AN493</f>
        <v>6.1139999999999999</v>
      </c>
      <c r="AO622" s="1515">
        <f ca="1">AN622+AO493</f>
        <v>6.1139999999999999</v>
      </c>
      <c r="AP622" s="1515">
        <f ca="1">AO622+AP493</f>
        <v>6.1139999999999999</v>
      </c>
      <c r="AQ622" s="1515"/>
      <c r="AR622" s="1595"/>
      <c r="AS622" s="1595"/>
      <c r="AT622" s="1595"/>
      <c r="AU622" s="1595"/>
      <c r="AV622" s="1595"/>
      <c r="AW622" s="1595"/>
      <c r="AX622" s="1595"/>
      <c r="AY622" s="1595"/>
      <c r="AZ622" s="1595"/>
      <c r="BA622" s="1595"/>
      <c r="BB622" s="1596">
        <v>46.16</v>
      </c>
      <c r="BC622" s="1596">
        <v>29.4</v>
      </c>
      <c r="BD622" s="1596">
        <v>28.584</v>
      </c>
      <c r="BE622" s="1596">
        <v>23.707000000000001</v>
      </c>
      <c r="BF622" s="1597">
        <v>14.239000000000001</v>
      </c>
      <c r="BG622" s="1595">
        <f ca="1">AL622</f>
        <v>6.1139999999999999</v>
      </c>
      <c r="BH622" s="1595">
        <f ca="1">AP622</f>
        <v>6.1139999999999999</v>
      </c>
      <c r="BI622" s="1595">
        <f ca="1">BH622+BI493</f>
        <v>6.1139999999999999</v>
      </c>
      <c r="BJ622" s="1595">
        <f ca="1">BI622+BJ493</f>
        <v>6.1139999999999999</v>
      </c>
      <c r="BK622" s="1595">
        <f ca="1">BJ622+BK493</f>
        <v>6.1139999999999999</v>
      </c>
      <c r="BL622" s="1517"/>
    </row>
    <row r="623" spans="1:64" s="1518" customFormat="1" x14ac:dyDescent="0.35">
      <c r="A623" s="1591" t="s">
        <v>832</v>
      </c>
      <c r="B623" s="1716"/>
      <c r="C623" s="1515"/>
      <c r="D623" s="1515"/>
      <c r="E623" s="1515"/>
      <c r="F623" s="1515"/>
      <c r="G623" s="1515"/>
      <c r="H623" s="1515"/>
      <c r="I623" s="1515"/>
      <c r="J623" s="1515"/>
      <c r="K623" s="1515"/>
      <c r="L623" s="1515"/>
      <c r="M623" s="1515"/>
      <c r="N623" s="1515"/>
      <c r="O623" s="1515"/>
      <c r="P623" s="1515"/>
      <c r="Q623" s="1515"/>
      <c r="R623" s="1515"/>
      <c r="S623" s="1515"/>
      <c r="T623" s="1515"/>
      <c r="U623" s="1515"/>
      <c r="V623" s="1515"/>
      <c r="W623" s="1515"/>
      <c r="X623" s="1515"/>
      <c r="Y623" s="1515"/>
      <c r="Z623" s="1515"/>
      <c r="AA623" s="1593">
        <v>19.042000000000002</v>
      </c>
      <c r="AB623" s="1593">
        <v>18.175999999999998</v>
      </c>
      <c r="AC623" s="1593">
        <v>18.087</v>
      </c>
      <c r="AD623" s="1515">
        <f>BE623</f>
        <v>16.835000000000001</v>
      </c>
      <c r="AE623" s="1593">
        <v>16.574000000000002</v>
      </c>
      <c r="AF623" s="1593">
        <v>10.182</v>
      </c>
      <c r="AG623" s="1593">
        <v>8.8339999999999996</v>
      </c>
      <c r="AH623" s="1515">
        <f>BF623</f>
        <v>7.2779999999999996</v>
      </c>
      <c r="AI623" s="1593">
        <v>6.6059999999999999</v>
      </c>
      <c r="AJ623" s="1594">
        <v>6.0540000000000003</v>
      </c>
      <c r="AK623" s="1515">
        <f>AJ623</f>
        <v>6.0540000000000003</v>
      </c>
      <c r="AL623" s="1515">
        <f>AK623</f>
        <v>6.0540000000000003</v>
      </c>
      <c r="AM623" s="1515">
        <f>BG623</f>
        <v>6.0540000000000003</v>
      </c>
      <c r="AN623" s="1515">
        <f t="shared" ref="AN623:AP624" si="418">AM623</f>
        <v>6.0540000000000003</v>
      </c>
      <c r="AO623" s="1515">
        <f t="shared" si="418"/>
        <v>6.0540000000000003</v>
      </c>
      <c r="AP623" s="1515">
        <f t="shared" si="418"/>
        <v>6.0540000000000003</v>
      </c>
      <c r="AQ623" s="1515"/>
      <c r="AR623" s="1595"/>
      <c r="AS623" s="1595"/>
      <c r="AT623" s="1595"/>
      <c r="AU623" s="1595"/>
      <c r="AV623" s="1595"/>
      <c r="AW623" s="1595"/>
      <c r="AX623" s="1595"/>
      <c r="AY623" s="1595"/>
      <c r="AZ623" s="1595"/>
      <c r="BA623" s="1595"/>
      <c r="BB623" s="1595"/>
      <c r="BC623" s="1595"/>
      <c r="BD623" s="1595"/>
      <c r="BE623" s="1596">
        <v>16.835000000000001</v>
      </c>
      <c r="BF623" s="1597">
        <v>7.2779999999999996</v>
      </c>
      <c r="BG623" s="1595">
        <f>AL623</f>
        <v>6.0540000000000003</v>
      </c>
      <c r="BH623" s="1595">
        <f>AP623</f>
        <v>6.0540000000000003</v>
      </c>
      <c r="BI623" s="1595">
        <f t="shared" ref="BI623:BK624" si="419">BH623</f>
        <v>6.0540000000000003</v>
      </c>
      <c r="BJ623" s="1595">
        <f t="shared" si="419"/>
        <v>6.0540000000000003</v>
      </c>
      <c r="BK623" s="1595">
        <f t="shared" si="419"/>
        <v>6.0540000000000003</v>
      </c>
      <c r="BL623" s="1517"/>
    </row>
    <row r="624" spans="1:64" s="1518" customFormat="1" x14ac:dyDescent="0.35">
      <c r="A624" s="1591" t="s">
        <v>530</v>
      </c>
      <c r="B624" s="1716"/>
      <c r="C624" s="1515"/>
      <c r="D624" s="1515"/>
      <c r="E624" s="1515"/>
      <c r="F624" s="1515"/>
      <c r="G624" s="1515"/>
      <c r="H624" s="1515"/>
      <c r="I624" s="1515"/>
      <c r="J624" s="1515"/>
      <c r="K624" s="1515"/>
      <c r="L624" s="1515"/>
      <c r="M624" s="1515"/>
      <c r="N624" s="1515"/>
      <c r="O624" s="1515"/>
      <c r="P624" s="1515"/>
      <c r="Q624" s="1515"/>
      <c r="R624" s="1517">
        <f>BB624</f>
        <v>12.226000000000001</v>
      </c>
      <c r="S624" s="1515"/>
      <c r="T624" s="1515"/>
      <c r="U624" s="1515"/>
      <c r="V624" s="1517">
        <f>BC624</f>
        <v>15.236000000000001</v>
      </c>
      <c r="W624" s="1515"/>
      <c r="X624" s="1593">
        <v>8.4329999999999998</v>
      </c>
      <c r="Y624" s="1593">
        <v>7.1710000000000003</v>
      </c>
      <c r="Z624" s="1517">
        <f>BD624</f>
        <v>5.024</v>
      </c>
      <c r="AA624" s="1593">
        <v>2.577</v>
      </c>
      <c r="AB624" s="1593">
        <v>4.742</v>
      </c>
      <c r="AC624" s="1593">
        <v>4.1710000000000003</v>
      </c>
      <c r="AD624" s="1517">
        <f>BE624</f>
        <v>2.3359999999999999</v>
      </c>
      <c r="AE624" s="1593">
        <v>12.680999999999999</v>
      </c>
      <c r="AF624" s="1593">
        <v>7.9420000000000002</v>
      </c>
      <c r="AG624" s="1593">
        <v>3.7370000000000001</v>
      </c>
      <c r="AH624" s="1517">
        <f>BF624</f>
        <v>12.058</v>
      </c>
      <c r="AI624" s="1593">
        <v>7.7169999999999996</v>
      </c>
      <c r="AJ624" s="1594">
        <v>6.9240000000000004</v>
      </c>
      <c r="AK624" s="1515">
        <f>AJ624</f>
        <v>6.9240000000000004</v>
      </c>
      <c r="AL624" s="1515">
        <f>AK624</f>
        <v>6.9240000000000004</v>
      </c>
      <c r="AM624" s="1515">
        <f>BG624</f>
        <v>6.9240000000000004</v>
      </c>
      <c r="AN624" s="1515">
        <f t="shared" si="418"/>
        <v>6.9240000000000004</v>
      </c>
      <c r="AO624" s="1515">
        <f t="shared" si="418"/>
        <v>6.9240000000000004</v>
      </c>
      <c r="AP624" s="1515">
        <f t="shared" si="418"/>
        <v>6.9240000000000004</v>
      </c>
      <c r="AQ624" s="1515"/>
      <c r="AR624" s="1595"/>
      <c r="AS624" s="1595"/>
      <c r="AT624" s="1595"/>
      <c r="AU624" s="1595"/>
      <c r="AV624" s="1595"/>
      <c r="AW624" s="1595"/>
      <c r="AX624" s="1595"/>
      <c r="AY624" s="1595"/>
      <c r="AZ624" s="1595"/>
      <c r="BA624" s="1595"/>
      <c r="BB624" s="1596">
        <v>12.226000000000001</v>
      </c>
      <c r="BC624" s="1596">
        <v>15.236000000000001</v>
      </c>
      <c r="BD624" s="1596">
        <v>5.024</v>
      </c>
      <c r="BE624" s="1596">
        <v>2.3359999999999999</v>
      </c>
      <c r="BF624" s="1597">
        <v>12.058</v>
      </c>
      <c r="BG624" s="1595">
        <f>AL624</f>
        <v>6.9240000000000004</v>
      </c>
      <c r="BH624" s="1595">
        <f>AP624</f>
        <v>6.9240000000000004</v>
      </c>
      <c r="BI624" s="1595">
        <f t="shared" si="419"/>
        <v>6.9240000000000004</v>
      </c>
      <c r="BJ624" s="1595">
        <f t="shared" si="419"/>
        <v>6.9240000000000004</v>
      </c>
      <c r="BK624" s="1595">
        <f t="shared" si="419"/>
        <v>6.9240000000000004</v>
      </c>
      <c r="BL624" s="1517"/>
    </row>
    <row r="625" spans="1:64" s="1608" customFormat="1" x14ac:dyDescent="0.35">
      <c r="A625" s="1599" t="s">
        <v>1218</v>
      </c>
      <c r="B625" s="1717"/>
      <c r="C625" s="1601"/>
      <c r="D625" s="1601"/>
      <c r="E625" s="1601"/>
      <c r="F625" s="1601"/>
      <c r="G625" s="1601"/>
      <c r="H625" s="1601"/>
      <c r="I625" s="1601"/>
      <c r="J625" s="1601"/>
      <c r="K625" s="1601"/>
      <c r="L625" s="1601"/>
      <c r="M625" s="1601"/>
      <c r="N625" s="1601"/>
      <c r="O625" s="1601"/>
      <c r="P625" s="1601"/>
      <c r="Q625" s="1601"/>
      <c r="R625" s="1602">
        <f t="shared" ref="R625:AP625" si="420">SUM(R621:R624)</f>
        <v>671.48199999999997</v>
      </c>
      <c r="S625" s="1602">
        <f t="shared" si="420"/>
        <v>0</v>
      </c>
      <c r="T625" s="1602">
        <f t="shared" si="420"/>
        <v>0</v>
      </c>
      <c r="U625" s="1602">
        <f t="shared" si="420"/>
        <v>0</v>
      </c>
      <c r="V625" s="1602">
        <f t="shared" si="420"/>
        <v>646.94200000000001</v>
      </c>
      <c r="W625" s="1602">
        <f t="shared" si="420"/>
        <v>0</v>
      </c>
      <c r="X625" s="1602">
        <f t="shared" si="420"/>
        <v>637.31499999999994</v>
      </c>
      <c r="Y625" s="1602">
        <f t="shared" si="420"/>
        <v>622.26800000000003</v>
      </c>
      <c r="Z625" s="1602">
        <f t="shared" si="420"/>
        <v>532.71500000000003</v>
      </c>
      <c r="AA625" s="1602">
        <f t="shared" si="420"/>
        <v>550.42000000000007</v>
      </c>
      <c r="AB625" s="1602">
        <f t="shared" si="420"/>
        <v>549.81799999999998</v>
      </c>
      <c r="AC625" s="1602">
        <f t="shared" si="420"/>
        <v>549.505</v>
      </c>
      <c r="AD625" s="1602">
        <f t="shared" si="420"/>
        <v>536.86800000000005</v>
      </c>
      <c r="AE625" s="1602">
        <f t="shared" si="420"/>
        <v>549.79100000000005</v>
      </c>
      <c r="AF625" s="1602">
        <f t="shared" si="420"/>
        <v>536.53700000000003</v>
      </c>
      <c r="AG625" s="1602">
        <f t="shared" si="420"/>
        <v>527.48899999999992</v>
      </c>
      <c r="AH625" s="1602">
        <f t="shared" si="420"/>
        <v>513.36300000000006</v>
      </c>
      <c r="AI625" s="1602">
        <f t="shared" si="420"/>
        <v>556.46499999999992</v>
      </c>
      <c r="AJ625" s="1603">
        <f t="shared" si="420"/>
        <v>556.78800000000001</v>
      </c>
      <c r="AK625" s="1601">
        <f t="shared" si="420"/>
        <v>556.78800000000001</v>
      </c>
      <c r="AL625" s="1601">
        <f t="shared" ca="1" si="420"/>
        <v>556.78800000000001</v>
      </c>
      <c r="AM625" s="1601">
        <f t="shared" ca="1" si="420"/>
        <v>556.78800000000001</v>
      </c>
      <c r="AN625" s="1601">
        <f t="shared" ca="1" si="420"/>
        <v>556.78800000000001</v>
      </c>
      <c r="AO625" s="1601">
        <f t="shared" ca="1" si="420"/>
        <v>556.78800000000001</v>
      </c>
      <c r="AP625" s="1601">
        <f t="shared" ca="1" si="420"/>
        <v>556.78800000000001</v>
      </c>
      <c r="AQ625" s="1601"/>
      <c r="AR625" s="1604"/>
      <c r="AS625" s="1604"/>
      <c r="AT625" s="1604"/>
      <c r="AU625" s="1604"/>
      <c r="AV625" s="1604"/>
      <c r="AW625" s="1604"/>
      <c r="AX625" s="1604"/>
      <c r="AY625" s="1604"/>
      <c r="AZ625" s="1604"/>
      <c r="BA625" s="1604"/>
      <c r="BB625" s="1605">
        <f t="shared" ref="BB625:BK625" si="421">SUM(BB621:BB624)</f>
        <v>671.48199999999997</v>
      </c>
      <c r="BC625" s="1605">
        <f t="shared" si="421"/>
        <v>646.94200000000001</v>
      </c>
      <c r="BD625" s="1605">
        <f t="shared" si="421"/>
        <v>532.71500000000003</v>
      </c>
      <c r="BE625" s="1605">
        <f t="shared" si="421"/>
        <v>536.86800000000005</v>
      </c>
      <c r="BF625" s="1718">
        <f t="shared" si="421"/>
        <v>513.36300000000006</v>
      </c>
      <c r="BG625" s="1604">
        <f t="shared" ca="1" si="421"/>
        <v>556.78800000000001</v>
      </c>
      <c r="BH625" s="1604">
        <f t="shared" ca="1" si="421"/>
        <v>556.78800000000001</v>
      </c>
      <c r="BI625" s="1604">
        <f t="shared" ca="1" si="421"/>
        <v>556.78800000000001</v>
      </c>
      <c r="BJ625" s="1604">
        <f t="shared" ca="1" si="421"/>
        <v>556.78800000000001</v>
      </c>
      <c r="BK625" s="1604">
        <f t="shared" ca="1" si="421"/>
        <v>556.78800000000001</v>
      </c>
      <c r="BL625" s="1607"/>
    </row>
    <row r="626" spans="1:64" s="1608" customFormat="1" x14ac:dyDescent="0.35">
      <c r="A626" s="1711" t="s">
        <v>165</v>
      </c>
      <c r="B626" s="1712"/>
      <c r="C626" s="1667"/>
      <c r="D626" s="1667"/>
      <c r="E626" s="1667"/>
      <c r="F626" s="1667"/>
      <c r="G626" s="1667"/>
      <c r="H626" s="1667"/>
      <c r="I626" s="1667"/>
      <c r="J626" s="1667"/>
      <c r="K626" s="1667"/>
      <c r="L626" s="1667"/>
      <c r="M626" s="1667"/>
      <c r="N626" s="1667"/>
      <c r="O626" s="1667"/>
      <c r="P626" s="1667"/>
      <c r="Q626" s="1667"/>
      <c r="R626" s="1607">
        <f t="shared" ref="R626:AP626" si="422">R618+R625</f>
        <v>763.63799999999992</v>
      </c>
      <c r="S626" s="1607">
        <f t="shared" si="422"/>
        <v>0</v>
      </c>
      <c r="T626" s="1607">
        <f t="shared" si="422"/>
        <v>0</v>
      </c>
      <c r="U626" s="1607">
        <f t="shared" si="422"/>
        <v>0</v>
      </c>
      <c r="V626" s="1607">
        <f t="shared" si="422"/>
        <v>732.93399999999997</v>
      </c>
      <c r="W626" s="1607">
        <f t="shared" si="422"/>
        <v>0</v>
      </c>
      <c r="X626" s="1607">
        <f t="shared" si="422"/>
        <v>744.7879999999999</v>
      </c>
      <c r="Y626" s="1607">
        <f t="shared" si="422"/>
        <v>728.54899999999998</v>
      </c>
      <c r="Z626" s="1607">
        <f t="shared" si="422"/>
        <v>662.63499999999999</v>
      </c>
      <c r="AA626" s="1607">
        <f t="shared" si="422"/>
        <v>674.12600000000009</v>
      </c>
      <c r="AB626" s="1607">
        <f t="shared" si="422"/>
        <v>679.69499999999994</v>
      </c>
      <c r="AC626" s="1607">
        <f t="shared" si="422"/>
        <v>676.71299999999997</v>
      </c>
      <c r="AD626" s="1607">
        <f t="shared" si="422"/>
        <v>670.60800000000006</v>
      </c>
      <c r="AE626" s="1607">
        <f t="shared" si="422"/>
        <v>679.77800000000002</v>
      </c>
      <c r="AF626" s="1607">
        <f t="shared" si="422"/>
        <v>669.71600000000001</v>
      </c>
      <c r="AG626" s="1607">
        <f t="shared" si="422"/>
        <v>666.17399999999998</v>
      </c>
      <c r="AH626" s="1607">
        <f t="shared" si="422"/>
        <v>661.49900000000002</v>
      </c>
      <c r="AI626" s="1607">
        <f t="shared" si="422"/>
        <v>723.0139999999999</v>
      </c>
      <c r="AJ626" s="1730">
        <f t="shared" si="422"/>
        <v>729.11300000000006</v>
      </c>
      <c r="AK626" s="1667">
        <f t="shared" si="422"/>
        <v>700.62607797268879</v>
      </c>
      <c r="AL626" s="1667">
        <f t="shared" ca="1" si="422"/>
        <v>705.18352061908183</v>
      </c>
      <c r="AM626" s="1667">
        <f t="shared" ca="1" si="422"/>
        <v>724.85854163695399</v>
      </c>
      <c r="AN626" s="1667">
        <f t="shared" ca="1" si="422"/>
        <v>737.21426580777313</v>
      </c>
      <c r="AO626" s="1667">
        <f t="shared" ca="1" si="422"/>
        <v>707.67771301048799</v>
      </c>
      <c r="AP626" s="1667">
        <f t="shared" ca="1" si="422"/>
        <v>713.93008069257371</v>
      </c>
      <c r="AQ626" s="1667"/>
      <c r="AR626" s="1669"/>
      <c r="AS626" s="1669"/>
      <c r="AT626" s="1669"/>
      <c r="AU626" s="1669"/>
      <c r="AV626" s="1669"/>
      <c r="AW626" s="1669"/>
      <c r="AX626" s="1669"/>
      <c r="AY626" s="1669"/>
      <c r="AZ626" s="1669"/>
      <c r="BA626" s="1669"/>
      <c r="BB626" s="1731">
        <f t="shared" ref="BB626:BK626" si="423">BB618+BB625</f>
        <v>763.63799999999992</v>
      </c>
      <c r="BC626" s="1731">
        <f t="shared" si="423"/>
        <v>732.93399999999997</v>
      </c>
      <c r="BD626" s="1731">
        <f t="shared" si="423"/>
        <v>662.63499999999999</v>
      </c>
      <c r="BE626" s="1731">
        <f t="shared" si="423"/>
        <v>670.60800000000006</v>
      </c>
      <c r="BF626" s="1606">
        <f t="shared" si="423"/>
        <v>661.49900000000002</v>
      </c>
      <c r="BG626" s="1669">
        <f t="shared" ca="1" si="423"/>
        <v>705.18352061908183</v>
      </c>
      <c r="BH626" s="1669">
        <f t="shared" ca="1" si="423"/>
        <v>713.93008069257371</v>
      </c>
      <c r="BI626" s="1669">
        <f t="shared" ca="1" si="423"/>
        <v>724.93740688241883</v>
      </c>
      <c r="BJ626" s="1669">
        <f t="shared" ca="1" si="423"/>
        <v>733.87727237804108</v>
      </c>
      <c r="BK626" s="1669">
        <f t="shared" ca="1" si="423"/>
        <v>743.39158340601944</v>
      </c>
      <c r="BL626" s="1607"/>
    </row>
    <row r="627" spans="1:64" s="1518" customFormat="1" x14ac:dyDescent="0.35">
      <c r="A627" s="1665"/>
      <c r="B627" s="1716"/>
      <c r="C627" s="1515"/>
      <c r="D627" s="1515"/>
      <c r="E627" s="1515"/>
      <c r="F627" s="1515"/>
      <c r="G627" s="1515"/>
      <c r="H627" s="1515"/>
      <c r="I627" s="1515"/>
      <c r="J627" s="1515"/>
      <c r="K627" s="1515"/>
      <c r="L627" s="1515"/>
      <c r="M627" s="1515"/>
      <c r="N627" s="1515"/>
      <c r="O627" s="1515"/>
      <c r="P627" s="1515"/>
      <c r="Q627" s="1515"/>
      <c r="R627" s="1515"/>
      <c r="S627" s="1515"/>
      <c r="T627" s="1515"/>
      <c r="U627" s="1515"/>
      <c r="V627" s="1515"/>
      <c r="W627" s="1515"/>
      <c r="X627" s="1515"/>
      <c r="Y627" s="1515"/>
      <c r="Z627" s="1515"/>
      <c r="AA627" s="1515"/>
      <c r="AB627" s="1515"/>
      <c r="AC627" s="1515"/>
      <c r="AD627" s="1515"/>
      <c r="AE627" s="1515"/>
      <c r="AF627" s="1515"/>
      <c r="AG627" s="1515"/>
      <c r="AH627" s="1515"/>
      <c r="AI627" s="1515"/>
      <c r="AJ627" s="1516"/>
      <c r="AK627" s="1515"/>
      <c r="AL627" s="1515"/>
      <c r="AM627" s="1515"/>
      <c r="AN627" s="1515"/>
      <c r="AO627" s="1515"/>
      <c r="AP627" s="1515"/>
      <c r="AQ627" s="1515"/>
      <c r="AR627" s="1595"/>
      <c r="AS627" s="1595"/>
      <c r="AT627" s="1595"/>
      <c r="AU627" s="1595"/>
      <c r="AV627" s="1595"/>
      <c r="AW627" s="1595"/>
      <c r="AX627" s="1595"/>
      <c r="AY627" s="1595"/>
      <c r="AZ627" s="1595"/>
      <c r="BA627" s="1595"/>
      <c r="BB627" s="1595"/>
      <c r="BC627" s="1595"/>
      <c r="BD627" s="1595"/>
      <c r="BE627" s="1595"/>
      <c r="BF627" s="1610"/>
      <c r="BG627" s="1595"/>
      <c r="BH627" s="1595"/>
      <c r="BI627" s="1595"/>
      <c r="BJ627" s="1595"/>
      <c r="BK627" s="1595"/>
      <c r="BL627" s="1517"/>
    </row>
    <row r="628" spans="1:64" s="1518" customFormat="1" x14ac:dyDescent="0.35">
      <c r="A628" s="1926" t="s">
        <v>1219</v>
      </c>
      <c r="B628" s="1716"/>
      <c r="C628" s="1515"/>
      <c r="D628" s="1515"/>
      <c r="E628" s="1515"/>
      <c r="F628" s="1515"/>
      <c r="G628" s="1515"/>
      <c r="H628" s="1515"/>
      <c r="I628" s="1515"/>
      <c r="J628" s="1515"/>
      <c r="K628" s="1515"/>
      <c r="L628" s="1515"/>
      <c r="M628" s="1515"/>
      <c r="N628" s="1515"/>
      <c r="O628" s="1515"/>
      <c r="P628" s="1515"/>
      <c r="Q628" s="1515"/>
      <c r="R628" s="1515"/>
      <c r="S628" s="1515"/>
      <c r="T628" s="1515"/>
      <c r="U628" s="1515"/>
      <c r="V628" s="1515"/>
      <c r="W628" s="1515"/>
      <c r="X628" s="1515"/>
      <c r="Y628" s="1515"/>
      <c r="Z628" s="1515"/>
      <c r="AA628" s="1515"/>
      <c r="AB628" s="1515"/>
      <c r="AC628" s="1515"/>
      <c r="AD628" s="1515"/>
      <c r="AE628" s="1515"/>
      <c r="AF628" s="1515"/>
      <c r="AG628" s="1515"/>
      <c r="AH628" s="1515"/>
      <c r="AI628" s="1515"/>
      <c r="AJ628" s="1516"/>
      <c r="AK628" s="1515"/>
      <c r="AL628" s="1515"/>
      <c r="AM628" s="1515"/>
      <c r="AN628" s="1515"/>
      <c r="AO628" s="1515"/>
      <c r="AP628" s="1515"/>
      <c r="AQ628" s="1515"/>
      <c r="AR628" s="1595"/>
      <c r="AS628" s="1595"/>
      <c r="AT628" s="1595"/>
      <c r="AU628" s="1595"/>
      <c r="AV628" s="1595"/>
      <c r="AW628" s="1595"/>
      <c r="AX628" s="1595"/>
      <c r="AY628" s="1595"/>
      <c r="AZ628" s="1595"/>
      <c r="BA628" s="1595"/>
      <c r="BB628" s="1595"/>
      <c r="BC628" s="1595"/>
      <c r="BD628" s="1595"/>
      <c r="BE628" s="1595"/>
      <c r="BF628" s="1610"/>
      <c r="BG628" s="1595"/>
      <c r="BH628" s="1595"/>
      <c r="BI628" s="1595"/>
      <c r="BJ628" s="1595"/>
      <c r="BK628" s="1595"/>
      <c r="BL628" s="1517"/>
    </row>
    <row r="629" spans="1:64" s="1518" customFormat="1" x14ac:dyDescent="0.35">
      <c r="A629" s="1591" t="s">
        <v>1220</v>
      </c>
      <c r="B629" s="1716"/>
      <c r="C629" s="1515"/>
      <c r="D629" s="1515"/>
      <c r="E629" s="1515"/>
      <c r="F629" s="1515"/>
      <c r="G629" s="1515"/>
      <c r="H629" s="1515"/>
      <c r="I629" s="1515"/>
      <c r="J629" s="1515"/>
      <c r="K629" s="1515"/>
      <c r="L629" s="1515"/>
      <c r="M629" s="1515"/>
      <c r="N629" s="1515"/>
      <c r="O629" s="1515"/>
      <c r="P629" s="1515"/>
      <c r="Q629" s="1515"/>
      <c r="R629" s="1517">
        <f>BB629</f>
        <v>1E-3</v>
      </c>
      <c r="S629" s="1515"/>
      <c r="T629" s="1515"/>
      <c r="U629" s="1515"/>
      <c r="V629" s="1517">
        <f>BC629</f>
        <v>1E-3</v>
      </c>
      <c r="W629" s="1515"/>
      <c r="X629" s="1593">
        <v>1E-3</v>
      </c>
      <c r="Y629" s="1593">
        <v>6.8000000000000005E-2</v>
      </c>
      <c r="Z629" s="1517">
        <f>BD629</f>
        <v>6.8000000000000005E-2</v>
      </c>
      <c r="AA629" s="1593">
        <v>7.2999999999999995E-2</v>
      </c>
      <c r="AB629" s="1593">
        <v>7.2999999999999995E-2</v>
      </c>
      <c r="AC629" s="1593">
        <v>7.4999999999999997E-2</v>
      </c>
      <c r="AD629" s="1517">
        <f>BE629</f>
        <v>7.5999999999999998E-2</v>
      </c>
      <c r="AE629" s="1593">
        <v>9.5000000000000001E-2</v>
      </c>
      <c r="AF629" s="1593">
        <v>9.6000000000000002E-2</v>
      </c>
      <c r="AG629" s="1593">
        <v>9.7000000000000003E-2</v>
      </c>
      <c r="AH629" s="1517">
        <f>BF629</f>
        <v>9.8000000000000004E-2</v>
      </c>
      <c r="AI629" s="1593">
        <v>0.156</v>
      </c>
      <c r="AJ629" s="1594">
        <v>0.157</v>
      </c>
      <c r="AK629" s="1515">
        <f>AJ629</f>
        <v>0.157</v>
      </c>
      <c r="AL629" s="1515">
        <f>AK629</f>
        <v>0.157</v>
      </c>
      <c r="AM629" s="1515">
        <f>BG629</f>
        <v>0.157</v>
      </c>
      <c r="AN629" s="1515">
        <f>AM629</f>
        <v>0.157</v>
      </c>
      <c r="AO629" s="1515">
        <f>AN629</f>
        <v>0.157</v>
      </c>
      <c r="AP629" s="1515">
        <f>AO629</f>
        <v>0.157</v>
      </c>
      <c r="AQ629" s="1515"/>
      <c r="AR629" s="1595"/>
      <c r="AS629" s="1595"/>
      <c r="AT629" s="1595"/>
      <c r="AU629" s="1595"/>
      <c r="AV629" s="1595"/>
      <c r="AW629" s="1595"/>
      <c r="AX629" s="1595"/>
      <c r="AY629" s="1595"/>
      <c r="AZ629" s="1595"/>
      <c r="BA629" s="1595"/>
      <c r="BB629" s="1596">
        <v>1E-3</v>
      </c>
      <c r="BC629" s="1596">
        <v>1E-3</v>
      </c>
      <c r="BD629" s="1596">
        <v>6.8000000000000005E-2</v>
      </c>
      <c r="BE629" s="1596">
        <v>7.5999999999999998E-2</v>
      </c>
      <c r="BF629" s="1597">
        <v>9.8000000000000004E-2</v>
      </c>
      <c r="BG629" s="1595">
        <f>AL629</f>
        <v>0.157</v>
      </c>
      <c r="BH629" s="1595">
        <f>AP629</f>
        <v>0.157</v>
      </c>
      <c r="BI629" s="1595">
        <f>BH629</f>
        <v>0.157</v>
      </c>
      <c r="BJ629" s="1595">
        <f>BI629</f>
        <v>0.157</v>
      </c>
      <c r="BK629" s="1595">
        <f>BJ629</f>
        <v>0.157</v>
      </c>
      <c r="BL629" s="1517"/>
    </row>
    <row r="630" spans="1:64" s="1518" customFormat="1" x14ac:dyDescent="0.35">
      <c r="A630" s="1591" t="s">
        <v>837</v>
      </c>
      <c r="B630" s="1716"/>
      <c r="C630" s="1515"/>
      <c r="D630" s="1515"/>
      <c r="E630" s="1515"/>
      <c r="F630" s="1515"/>
      <c r="G630" s="1515"/>
      <c r="H630" s="1515"/>
      <c r="I630" s="1515"/>
      <c r="J630" s="1515"/>
      <c r="K630" s="1515"/>
      <c r="L630" s="1515"/>
      <c r="M630" s="1515"/>
      <c r="N630" s="1515"/>
      <c r="O630" s="1515"/>
      <c r="P630" s="1515"/>
      <c r="Q630" s="1515"/>
      <c r="R630" s="1517">
        <f>BB630</f>
        <v>764.76900000000001</v>
      </c>
      <c r="S630" s="1515"/>
      <c r="T630" s="1515"/>
      <c r="U630" s="1515"/>
      <c r="V630" s="1517">
        <f>BC630</f>
        <v>770.71400000000006</v>
      </c>
      <c r="W630" s="1515"/>
      <c r="X630" s="1593">
        <v>774.81700000000001</v>
      </c>
      <c r="Y630" s="1593">
        <v>911.23299999999995</v>
      </c>
      <c r="Z630" s="1517">
        <f>BD630</f>
        <v>916.57799999999997</v>
      </c>
      <c r="AA630" s="1593">
        <v>921.75300000000004</v>
      </c>
      <c r="AB630" s="1593">
        <v>928.48599999999999</v>
      </c>
      <c r="AC630" s="1593">
        <v>936.23900000000003</v>
      </c>
      <c r="AD630" s="1517">
        <f>BE630</f>
        <v>942.78899999999999</v>
      </c>
      <c r="AE630" s="1593">
        <v>950.81299999999999</v>
      </c>
      <c r="AF630" s="1593">
        <v>960.78099999999995</v>
      </c>
      <c r="AG630" s="1593">
        <v>971.95</v>
      </c>
      <c r="AH630" s="1517">
        <f>BF630</f>
        <v>983.28300000000002</v>
      </c>
      <c r="AI630" s="1593">
        <v>1027.2139999999999</v>
      </c>
      <c r="AJ630" s="1594">
        <v>1039.337</v>
      </c>
      <c r="AK630" s="1515">
        <f>AJ630+AK494+INDEX(MO_CFS_NewEquityIssued,0,COLUMN())</f>
        <v>1045.337</v>
      </c>
      <c r="AL630" s="1515">
        <f>AK630+AL494+INDEX(MO_CFS_NewEquityIssued,0,COLUMN())</f>
        <v>1051.337</v>
      </c>
      <c r="AM630" s="1515">
        <f>BG630+AM494+INDEX(MO_CFS_NewEquityIssued,0,COLUMN())</f>
        <v>1057.337</v>
      </c>
      <c r="AN630" s="1515">
        <f>AM630+AN494+INDEX(MO_CFS_NewEquityIssued,0,COLUMN())</f>
        <v>1063.337</v>
      </c>
      <c r="AO630" s="1515">
        <f>AN630+AO494+INDEX(MO_CFS_NewEquityIssued,0,COLUMN())</f>
        <v>1069.337</v>
      </c>
      <c r="AP630" s="1515">
        <f>AO630+AP494+INDEX(MO_CFS_NewEquityIssued,0,COLUMN())</f>
        <v>1075.337</v>
      </c>
      <c r="AQ630" s="1515"/>
      <c r="AR630" s="1595"/>
      <c r="AS630" s="1595"/>
      <c r="AT630" s="1595"/>
      <c r="AU630" s="1595"/>
      <c r="AV630" s="1595"/>
      <c r="AW630" s="1595"/>
      <c r="AX630" s="1595"/>
      <c r="AY630" s="1595"/>
      <c r="AZ630" s="1595"/>
      <c r="BA630" s="1595"/>
      <c r="BB630" s="1596">
        <v>764.76900000000001</v>
      </c>
      <c r="BC630" s="1596">
        <v>770.71400000000006</v>
      </c>
      <c r="BD630" s="1596">
        <v>916.57799999999997</v>
      </c>
      <c r="BE630" s="1596">
        <v>942.78899999999999</v>
      </c>
      <c r="BF630" s="1597">
        <v>983.28300000000002</v>
      </c>
      <c r="BG630" s="1595">
        <f>AL630</f>
        <v>1051.337</v>
      </c>
      <c r="BH630" s="1595">
        <f>AP630</f>
        <v>1075.337</v>
      </c>
      <c r="BI630" s="1595">
        <f>BH630+BI494+INDEX(MO_CFS_NewEquityIssued,0,COLUMN())</f>
        <v>1099.337</v>
      </c>
      <c r="BJ630" s="1595">
        <f>BI630+BJ494+INDEX(MO_CFS_NewEquityIssued,0,COLUMN())</f>
        <v>1123.337</v>
      </c>
      <c r="BK630" s="1595">
        <f>BJ630+BK494+INDEX(MO_CFS_NewEquityIssued,0,COLUMN())</f>
        <v>1147.337</v>
      </c>
      <c r="BL630" s="1517"/>
    </row>
    <row r="631" spans="1:64" s="1518" customFormat="1" x14ac:dyDescent="0.35">
      <c r="A631" s="1591" t="s">
        <v>1221</v>
      </c>
      <c r="B631" s="1716"/>
      <c r="C631" s="1515"/>
      <c r="D631" s="1515"/>
      <c r="E631" s="1515"/>
      <c r="F631" s="1515"/>
      <c r="G631" s="1515"/>
      <c r="H631" s="1515"/>
      <c r="I631" s="1515"/>
      <c r="J631" s="1515"/>
      <c r="K631" s="1515"/>
      <c r="L631" s="1515"/>
      <c r="M631" s="1515"/>
      <c r="N631" s="1515"/>
      <c r="O631" s="1515"/>
      <c r="P631" s="1515"/>
      <c r="Q631" s="1515"/>
      <c r="R631" s="1517">
        <f>BB631</f>
        <v>-0.89700000000000002</v>
      </c>
      <c r="S631" s="1515"/>
      <c r="T631" s="1515"/>
      <c r="U631" s="1515"/>
      <c r="V631" s="1517">
        <f>BC631</f>
        <v>-0.89700000000000002</v>
      </c>
      <c r="W631" s="1515"/>
      <c r="X631" s="1593">
        <v>-0.89700000000000002</v>
      </c>
      <c r="Y631" s="1593">
        <v>-0.89700000000000002</v>
      </c>
      <c r="Z631" s="1517">
        <f>BD631</f>
        <v>-0.89700000000000002</v>
      </c>
      <c r="AA631" s="1593">
        <v>-0.89700000000000002</v>
      </c>
      <c r="AB631" s="1593">
        <v>-0.89700000000000002</v>
      </c>
      <c r="AC631" s="1593">
        <v>-0.89700000000000002</v>
      </c>
      <c r="AD631" s="1517">
        <f>BE631</f>
        <v>-14.859</v>
      </c>
      <c r="AE631" s="1593">
        <v>-23.058</v>
      </c>
      <c r="AF631" s="1593">
        <v>-40.773000000000003</v>
      </c>
      <c r="AG631" s="1593">
        <v>-64.498999999999995</v>
      </c>
      <c r="AH631" s="1517">
        <f>BF631</f>
        <v>-88.918000000000006</v>
      </c>
      <c r="AI631" s="1593">
        <v>-99.653000000000006</v>
      </c>
      <c r="AJ631" s="1594">
        <v>-99.929000000000002</v>
      </c>
      <c r="AK631" s="1515">
        <f>AJ631+INDEX(MO_CFS_Buyback,0,COLUMN())</f>
        <v>-99.929000000000002</v>
      </c>
      <c r="AL631" s="1515">
        <f>AK631+INDEX(MO_CFS_Buyback,0,COLUMN())</f>
        <v>-99.929000000000002</v>
      </c>
      <c r="AM631" s="1515">
        <f>BG631+INDEX(MO_CFS_Buyback,0,COLUMN())</f>
        <v>-99.929000000000002</v>
      </c>
      <c r="AN631" s="1515">
        <f>AM631+INDEX(MO_CFS_Buyback,0,COLUMN())</f>
        <v>-99.929000000000002</v>
      </c>
      <c r="AO631" s="1515">
        <f>AN631+INDEX(MO_CFS_Buyback,0,COLUMN())</f>
        <v>-99.929000000000002</v>
      </c>
      <c r="AP631" s="1515">
        <f>AO631+INDEX(MO_CFS_Buyback,0,COLUMN())</f>
        <v>-99.929000000000002</v>
      </c>
      <c r="AQ631" s="1515"/>
      <c r="AR631" s="1595"/>
      <c r="AS631" s="1595"/>
      <c r="AT631" s="1595"/>
      <c r="AU631" s="1595"/>
      <c r="AV631" s="1595"/>
      <c r="AW631" s="1595"/>
      <c r="AX631" s="1595"/>
      <c r="AY631" s="1595"/>
      <c r="AZ631" s="1595"/>
      <c r="BA631" s="1595"/>
      <c r="BB631" s="1596">
        <v>-0.89700000000000002</v>
      </c>
      <c r="BC631" s="1596">
        <v>-0.89700000000000002</v>
      </c>
      <c r="BD631" s="1596">
        <v>-0.89700000000000002</v>
      </c>
      <c r="BE631" s="1596">
        <v>-14.859</v>
      </c>
      <c r="BF631" s="1597">
        <v>-88.918000000000006</v>
      </c>
      <c r="BG631" s="1595">
        <f>AL631</f>
        <v>-99.929000000000002</v>
      </c>
      <c r="BH631" s="1595">
        <f>AP631</f>
        <v>-99.929000000000002</v>
      </c>
      <c r="BI631" s="1595">
        <f>BH631+INDEX(MO_CFS_Buyback,0,COLUMN())</f>
        <v>-99.929000000000002</v>
      </c>
      <c r="BJ631" s="1595">
        <f>BI631+INDEX(MO_CFS_Buyback,0,COLUMN())</f>
        <v>-99.929000000000002</v>
      </c>
      <c r="BK631" s="1595">
        <f>BJ631+INDEX(MO_CFS_Buyback,0,COLUMN())</f>
        <v>-99.929000000000002</v>
      </c>
      <c r="BL631" s="1517"/>
    </row>
    <row r="632" spans="1:64" s="1518" customFormat="1" x14ac:dyDescent="0.35">
      <c r="A632" s="1591" t="s">
        <v>839</v>
      </c>
      <c r="B632" s="1716"/>
      <c r="C632" s="1515"/>
      <c r="D632" s="1515"/>
      <c r="E632" s="1515"/>
      <c r="F632" s="1515"/>
      <c r="G632" s="1515"/>
      <c r="H632" s="1515"/>
      <c r="I632" s="1515"/>
      <c r="J632" s="1515"/>
      <c r="K632" s="1515"/>
      <c r="L632" s="1515"/>
      <c r="M632" s="1515"/>
      <c r="N632" s="1515"/>
      <c r="O632" s="1515"/>
      <c r="P632" s="1515"/>
      <c r="Q632" s="1515"/>
      <c r="R632" s="1517">
        <f>BB632</f>
        <v>-135.398</v>
      </c>
      <c r="S632" s="1515"/>
      <c r="T632" s="1515"/>
      <c r="U632" s="1515"/>
      <c r="V632" s="1517">
        <f>BC632</f>
        <v>-187.691</v>
      </c>
      <c r="W632" s="1515"/>
      <c r="X632" s="1593">
        <v>-183.666</v>
      </c>
      <c r="Y632" s="1593">
        <v>-208.922</v>
      </c>
      <c r="Z632" s="1517">
        <f>BD632</f>
        <v>-206.21799999999999</v>
      </c>
      <c r="AA632" s="1593">
        <v>-200.18</v>
      </c>
      <c r="AB632" s="1593">
        <v>-188.60900000000001</v>
      </c>
      <c r="AC632" s="1593">
        <v>-179.30600000000001</v>
      </c>
      <c r="AD632" s="1517">
        <f>BE632</f>
        <v>-186.44800000000001</v>
      </c>
      <c r="AE632" s="1593">
        <v>-185.857</v>
      </c>
      <c r="AF632" s="1593">
        <v>-185.53399999999999</v>
      </c>
      <c r="AG632" s="1593">
        <v>-183.18</v>
      </c>
      <c r="AH632" s="1517">
        <f>BF632</f>
        <v>-186.56399999999999</v>
      </c>
      <c r="AI632" s="1593">
        <v>-194.51900000000001</v>
      </c>
      <c r="AJ632" s="1594">
        <v>-200.751</v>
      </c>
      <c r="AK632" s="1515">
        <f ca="1">AJ632+AK490-AK205+AK543</f>
        <v>-172.15818707259456</v>
      </c>
      <c r="AL632" s="1515">
        <f ca="1">AK632+AL490-AL205+AL543</f>
        <v>-146.3001773421804</v>
      </c>
      <c r="AM632" s="1515">
        <f ca="1">BG632+AM490-AM205+AM543</f>
        <v>-128.38389377151037</v>
      </c>
      <c r="AN632" s="1515">
        <f ca="1">AM632+AN490-AN205+AN543</f>
        <v>-105.42582875357343</v>
      </c>
      <c r="AO632" s="1515">
        <f ca="1">AN632+AO490-AO205+AO543</f>
        <v>-79.236925179384485</v>
      </c>
      <c r="AP632" s="1515">
        <f ca="1">AO632+AP490-AP205+AP543</f>
        <v>-59.362463762067719</v>
      </c>
      <c r="AQ632" s="1515"/>
      <c r="AR632" s="1595"/>
      <c r="AS632" s="1595"/>
      <c r="AT632" s="1595"/>
      <c r="AU632" s="1595"/>
      <c r="AV632" s="1595"/>
      <c r="AW632" s="1595"/>
      <c r="AX632" s="1595"/>
      <c r="AY632" s="1595"/>
      <c r="AZ632" s="1595"/>
      <c r="BA632" s="1595"/>
      <c r="BB632" s="1596">
        <v>-135.398</v>
      </c>
      <c r="BC632" s="1596">
        <v>-187.691</v>
      </c>
      <c r="BD632" s="1596">
        <v>-206.21799999999999</v>
      </c>
      <c r="BE632" s="1596">
        <v>-186.44800000000001</v>
      </c>
      <c r="BF632" s="1597">
        <v>-186.56399999999999</v>
      </c>
      <c r="BG632" s="1595">
        <f ca="1">AL632</f>
        <v>-146.3001773421804</v>
      </c>
      <c r="BH632" s="1595">
        <f ca="1">AP632</f>
        <v>-59.362463762067719</v>
      </c>
      <c r="BI632" s="1595">
        <f ca="1">BH632+BI490-BI205+BI543</f>
        <v>79.955371709476125</v>
      </c>
      <c r="BJ632" s="1595">
        <f ca="1">BI632+BJ490-BJ205+BJ543</f>
        <v>222.49057201454286</v>
      </c>
      <c r="BK632" s="1595">
        <f ca="1">BJ632+BK490-BK205+BK543</f>
        <v>400.14424737150762</v>
      </c>
      <c r="BL632" s="1517"/>
    </row>
    <row r="633" spans="1:64" s="1518" customFormat="1" x14ac:dyDescent="0.35">
      <c r="A633" s="1591" t="s">
        <v>1222</v>
      </c>
      <c r="B633" s="1716"/>
      <c r="C633" s="1515"/>
      <c r="D633" s="1515"/>
      <c r="E633" s="1515"/>
      <c r="F633" s="1515"/>
      <c r="G633" s="1515"/>
      <c r="H633" s="1515"/>
      <c r="I633" s="1515"/>
      <c r="J633" s="1515"/>
      <c r="K633" s="1515"/>
      <c r="L633" s="1515"/>
      <c r="M633" s="1515"/>
      <c r="N633" s="1515"/>
      <c r="O633" s="1515"/>
      <c r="P633" s="1515"/>
      <c r="Q633" s="1515"/>
      <c r="R633" s="1517">
        <f>BB633</f>
        <v>-1.3640000000000001</v>
      </c>
      <c r="S633" s="1515"/>
      <c r="T633" s="1515"/>
      <c r="U633" s="1515"/>
      <c r="V633" s="1517">
        <f>BC633</f>
        <v>1.0569999999999999</v>
      </c>
      <c r="W633" s="1515"/>
      <c r="X633" s="1593">
        <v>1.329</v>
      </c>
      <c r="Y633" s="1593">
        <v>-0.23699999999999999</v>
      </c>
      <c r="Z633" s="1517">
        <f>BD633</f>
        <v>9.2999999999999999E-2</v>
      </c>
      <c r="AA633" s="1593">
        <v>0.376</v>
      </c>
      <c r="AB633" s="1593">
        <v>-3.1070000000000002</v>
      </c>
      <c r="AC633" s="1593">
        <v>-7.8970000000000002</v>
      </c>
      <c r="AD633" s="1517">
        <f>BE633</f>
        <v>-4.9119999999999999</v>
      </c>
      <c r="AE633" s="1593">
        <v>-9.3889999999999993</v>
      </c>
      <c r="AF633" s="1593">
        <v>-3.6829999999999998</v>
      </c>
      <c r="AG633" s="1593">
        <v>-3.6269999999999998</v>
      </c>
      <c r="AH633" s="1517">
        <f>BF633</f>
        <v>-5.9550000000000001</v>
      </c>
      <c r="AI633" s="1593">
        <v>-5.1859999999999999</v>
      </c>
      <c r="AJ633" s="1594">
        <v>-4.6879999999999997</v>
      </c>
      <c r="AK633" s="1515">
        <f>AJ633</f>
        <v>-4.6879999999999997</v>
      </c>
      <c r="AL633" s="1515">
        <f>AK633</f>
        <v>-4.6879999999999997</v>
      </c>
      <c r="AM633" s="1515">
        <f>BG633</f>
        <v>-4.6879999999999997</v>
      </c>
      <c r="AN633" s="1515">
        <f>AM633</f>
        <v>-4.6879999999999997</v>
      </c>
      <c r="AO633" s="1515">
        <f>AN633</f>
        <v>-4.6879999999999997</v>
      </c>
      <c r="AP633" s="1515">
        <f>AO633</f>
        <v>-4.6879999999999997</v>
      </c>
      <c r="AQ633" s="1515"/>
      <c r="AR633" s="1595"/>
      <c r="AS633" s="1595"/>
      <c r="AT633" s="1595"/>
      <c r="AU633" s="1595"/>
      <c r="AV633" s="1595"/>
      <c r="AW633" s="1595"/>
      <c r="AX633" s="1595"/>
      <c r="AY633" s="1595"/>
      <c r="AZ633" s="1595"/>
      <c r="BA633" s="1595"/>
      <c r="BB633" s="1596">
        <v>-1.3640000000000001</v>
      </c>
      <c r="BC633" s="1596">
        <v>1.0569999999999999</v>
      </c>
      <c r="BD633" s="1596">
        <v>9.2999999999999999E-2</v>
      </c>
      <c r="BE633" s="1596">
        <v>-4.9119999999999999</v>
      </c>
      <c r="BF633" s="1597">
        <v>-5.9550000000000001</v>
      </c>
      <c r="BG633" s="1595">
        <f>AL633</f>
        <v>-4.6879999999999997</v>
      </c>
      <c r="BH633" s="1595">
        <f>AP633</f>
        <v>-4.6879999999999997</v>
      </c>
      <c r="BI633" s="1595">
        <f>BH633</f>
        <v>-4.6879999999999997</v>
      </c>
      <c r="BJ633" s="1595">
        <f>BI633</f>
        <v>-4.6879999999999997</v>
      </c>
      <c r="BK633" s="1595">
        <f>BJ633</f>
        <v>-4.6879999999999997</v>
      </c>
      <c r="BL633" s="1517"/>
    </row>
    <row r="634" spans="1:64" s="1608" customFormat="1" x14ac:dyDescent="0.35">
      <c r="A634" s="1599" t="s">
        <v>1223</v>
      </c>
      <c r="B634" s="1717"/>
      <c r="C634" s="1601"/>
      <c r="D634" s="1601"/>
      <c r="E634" s="1601"/>
      <c r="F634" s="1601"/>
      <c r="G634" s="1601"/>
      <c r="H634" s="1601"/>
      <c r="I634" s="1601"/>
      <c r="J634" s="1601"/>
      <c r="K634" s="1601"/>
      <c r="L634" s="1601"/>
      <c r="M634" s="1601"/>
      <c r="N634" s="1601"/>
      <c r="O634" s="1601"/>
      <c r="P634" s="1601"/>
      <c r="Q634" s="1601"/>
      <c r="R634" s="1602">
        <f t="shared" ref="R634:AP634" si="424">SUM(R629:R633)</f>
        <v>627.11099999999988</v>
      </c>
      <c r="S634" s="1602">
        <f t="shared" si="424"/>
        <v>0</v>
      </c>
      <c r="T634" s="1602">
        <f t="shared" si="424"/>
        <v>0</v>
      </c>
      <c r="U634" s="1602">
        <f t="shared" si="424"/>
        <v>0</v>
      </c>
      <c r="V634" s="1602">
        <f t="shared" si="424"/>
        <v>583.18399999999997</v>
      </c>
      <c r="W634" s="1602">
        <f t="shared" si="424"/>
        <v>0</v>
      </c>
      <c r="X634" s="1602">
        <f t="shared" si="424"/>
        <v>591.58399999999983</v>
      </c>
      <c r="Y634" s="1602">
        <f t="shared" si="424"/>
        <v>701.24499999999989</v>
      </c>
      <c r="Z634" s="1602">
        <f t="shared" si="424"/>
        <v>709.62399999999991</v>
      </c>
      <c r="AA634" s="1602">
        <f t="shared" si="424"/>
        <v>721.125</v>
      </c>
      <c r="AB634" s="1602">
        <f t="shared" si="424"/>
        <v>735.94599999999991</v>
      </c>
      <c r="AC634" s="1602">
        <f t="shared" si="424"/>
        <v>748.21399999999994</v>
      </c>
      <c r="AD634" s="1602">
        <f t="shared" si="424"/>
        <v>736.64599999999996</v>
      </c>
      <c r="AE634" s="1602">
        <f t="shared" si="424"/>
        <v>732.60400000000004</v>
      </c>
      <c r="AF634" s="1602">
        <f t="shared" si="424"/>
        <v>730.88699999999994</v>
      </c>
      <c r="AG634" s="1602">
        <f t="shared" si="424"/>
        <v>720.74099999999999</v>
      </c>
      <c r="AH634" s="1602">
        <f t="shared" si="424"/>
        <v>701.94399999999996</v>
      </c>
      <c r="AI634" s="1602">
        <f t="shared" si="424"/>
        <v>728.01199999999983</v>
      </c>
      <c r="AJ634" s="1603">
        <f t="shared" si="424"/>
        <v>734.12599999999998</v>
      </c>
      <c r="AK634" s="1601">
        <f t="shared" ca="1" si="424"/>
        <v>768.71881292740534</v>
      </c>
      <c r="AL634" s="1601">
        <f t="shared" ca="1" si="424"/>
        <v>800.57682265781955</v>
      </c>
      <c r="AM634" s="1601">
        <f t="shared" ca="1" si="424"/>
        <v>824.49310622848964</v>
      </c>
      <c r="AN634" s="1601">
        <f t="shared" ca="1" si="424"/>
        <v>853.4511712464265</v>
      </c>
      <c r="AO634" s="1601">
        <f t="shared" ca="1" si="424"/>
        <v>885.6400748206155</v>
      </c>
      <c r="AP634" s="1601">
        <f t="shared" ca="1" si="424"/>
        <v>911.51453623793225</v>
      </c>
      <c r="AQ634" s="1601"/>
      <c r="AR634" s="1604"/>
      <c r="AS634" s="1604"/>
      <c r="AT634" s="1604"/>
      <c r="AU634" s="1604"/>
      <c r="AV634" s="1604"/>
      <c r="AW634" s="1604"/>
      <c r="AX634" s="1604"/>
      <c r="AY634" s="1604"/>
      <c r="AZ634" s="1604"/>
      <c r="BA634" s="1604"/>
      <c r="BB634" s="1605">
        <f t="shared" ref="BB634:BK634" si="425">SUM(BB629:BB633)</f>
        <v>627.11099999999988</v>
      </c>
      <c r="BC634" s="1605">
        <f t="shared" si="425"/>
        <v>583.18399999999997</v>
      </c>
      <c r="BD634" s="1605">
        <f t="shared" si="425"/>
        <v>709.62399999999991</v>
      </c>
      <c r="BE634" s="1605">
        <f t="shared" si="425"/>
        <v>736.64599999999996</v>
      </c>
      <c r="BF634" s="1718">
        <f t="shared" si="425"/>
        <v>701.94399999999996</v>
      </c>
      <c r="BG634" s="1604">
        <f t="shared" ca="1" si="425"/>
        <v>800.57682265781955</v>
      </c>
      <c r="BH634" s="1604">
        <f t="shared" ca="1" si="425"/>
        <v>911.51453623793225</v>
      </c>
      <c r="BI634" s="1604">
        <f t="shared" ca="1" si="425"/>
        <v>1074.8323717094759</v>
      </c>
      <c r="BJ634" s="1604">
        <f t="shared" ca="1" si="425"/>
        <v>1241.3675720145427</v>
      </c>
      <c r="BK634" s="1604">
        <f t="shared" ca="1" si="425"/>
        <v>1443.0212473715073</v>
      </c>
      <c r="BL634" s="1607"/>
    </row>
    <row r="635" spans="1:64" s="1518" customFormat="1" x14ac:dyDescent="0.35">
      <c r="A635" s="1591" t="s">
        <v>1224</v>
      </c>
      <c r="B635" s="1716"/>
      <c r="C635" s="1515"/>
      <c r="D635" s="1515"/>
      <c r="E635" s="1515"/>
      <c r="F635" s="1515"/>
      <c r="G635" s="1515"/>
      <c r="H635" s="1515"/>
      <c r="I635" s="1515"/>
      <c r="J635" s="1515"/>
      <c r="K635" s="1515"/>
      <c r="L635" s="1515"/>
      <c r="M635" s="1515"/>
      <c r="N635" s="1515"/>
      <c r="O635" s="1515"/>
      <c r="P635" s="1515"/>
      <c r="Q635" s="1515"/>
      <c r="R635" s="1515"/>
      <c r="S635" s="1515"/>
      <c r="T635" s="1515"/>
      <c r="U635" s="1515"/>
      <c r="V635" s="1515"/>
      <c r="W635" s="1515"/>
      <c r="X635" s="1515"/>
      <c r="Y635" s="1515"/>
      <c r="Z635" s="1515"/>
      <c r="AA635" s="1515"/>
      <c r="AB635" s="1515"/>
      <c r="AC635" s="1515"/>
      <c r="AD635" s="1515"/>
      <c r="AE635" s="1515"/>
      <c r="AF635" s="1515"/>
      <c r="AG635" s="1515"/>
      <c r="AH635" s="1515"/>
      <c r="AI635" s="1515"/>
      <c r="AJ635" s="1516"/>
      <c r="AK635" s="1515">
        <f>AJ635+AK205</f>
        <v>0</v>
      </c>
      <c r="AL635" s="1515">
        <f>AK635+AL205</f>
        <v>0</v>
      </c>
      <c r="AM635" s="1515">
        <f>BG635+AM205</f>
        <v>0</v>
      </c>
      <c r="AN635" s="1515">
        <f>AM635+AN205</f>
        <v>0</v>
      </c>
      <c r="AO635" s="1515">
        <f>AN635+AO205</f>
        <v>0</v>
      </c>
      <c r="AP635" s="1515">
        <f>AO635+AP205</f>
        <v>0</v>
      </c>
      <c r="AQ635" s="1515"/>
      <c r="AR635" s="1595"/>
      <c r="AS635" s="1595"/>
      <c r="AT635" s="1595"/>
      <c r="AU635" s="1595"/>
      <c r="AV635" s="1595"/>
      <c r="AW635" s="1595"/>
      <c r="AX635" s="1595"/>
      <c r="AY635" s="1595"/>
      <c r="AZ635" s="1595"/>
      <c r="BA635" s="1595"/>
      <c r="BB635" s="1595"/>
      <c r="BC635" s="1595"/>
      <c r="BD635" s="1595"/>
      <c r="BE635" s="1595"/>
      <c r="BF635" s="1610"/>
      <c r="BG635" s="1595">
        <f>AL635</f>
        <v>0</v>
      </c>
      <c r="BH635" s="1595">
        <f>AP635</f>
        <v>0</v>
      </c>
      <c r="BI635" s="1595">
        <f>BH635+BI205</f>
        <v>0</v>
      </c>
      <c r="BJ635" s="1595">
        <f>BI635+BJ205</f>
        <v>0</v>
      </c>
      <c r="BK635" s="1595">
        <f>BJ635+BK205</f>
        <v>0</v>
      </c>
      <c r="BL635" s="1517"/>
    </row>
    <row r="636" spans="1:64" s="1608" customFormat="1" x14ac:dyDescent="0.35">
      <c r="A636" s="1711" t="s">
        <v>1225</v>
      </c>
      <c r="B636" s="1712"/>
      <c r="C636" s="1667"/>
      <c r="D636" s="1667"/>
      <c r="E636" s="1667"/>
      <c r="F636" s="1667"/>
      <c r="G636" s="1667"/>
      <c r="H636" s="1667"/>
      <c r="I636" s="1667"/>
      <c r="J636" s="1667"/>
      <c r="K636" s="1667"/>
      <c r="L636" s="1667"/>
      <c r="M636" s="1667"/>
      <c r="N636" s="1667"/>
      <c r="O636" s="1667"/>
      <c r="P636" s="1667"/>
      <c r="Q636" s="1667"/>
      <c r="R636" s="1607">
        <f t="shared" ref="R636:AP636" si="426">R634+R626+R635</f>
        <v>1390.7489999999998</v>
      </c>
      <c r="S636" s="1607">
        <f t="shared" si="426"/>
        <v>0</v>
      </c>
      <c r="T636" s="1607">
        <f t="shared" si="426"/>
        <v>0</v>
      </c>
      <c r="U636" s="1607">
        <f t="shared" si="426"/>
        <v>0</v>
      </c>
      <c r="V636" s="1607">
        <f t="shared" si="426"/>
        <v>1316.1179999999999</v>
      </c>
      <c r="W636" s="1607">
        <f t="shared" si="426"/>
        <v>0</v>
      </c>
      <c r="X636" s="1607">
        <f t="shared" si="426"/>
        <v>1336.3719999999998</v>
      </c>
      <c r="Y636" s="1607">
        <f t="shared" si="426"/>
        <v>1429.7939999999999</v>
      </c>
      <c r="Z636" s="1607">
        <f t="shared" si="426"/>
        <v>1372.259</v>
      </c>
      <c r="AA636" s="1607">
        <f t="shared" si="426"/>
        <v>1395.2510000000002</v>
      </c>
      <c r="AB636" s="1607">
        <f t="shared" si="426"/>
        <v>1415.6409999999998</v>
      </c>
      <c r="AC636" s="1607">
        <f t="shared" si="426"/>
        <v>1424.9269999999999</v>
      </c>
      <c r="AD636" s="1607">
        <f t="shared" si="426"/>
        <v>1407.2539999999999</v>
      </c>
      <c r="AE636" s="1607">
        <f t="shared" si="426"/>
        <v>1412.3820000000001</v>
      </c>
      <c r="AF636" s="1607">
        <f t="shared" si="426"/>
        <v>1400.6030000000001</v>
      </c>
      <c r="AG636" s="1607">
        <f t="shared" si="426"/>
        <v>1386.915</v>
      </c>
      <c r="AH636" s="1607">
        <f t="shared" si="426"/>
        <v>1363.443</v>
      </c>
      <c r="AI636" s="1607">
        <f t="shared" si="426"/>
        <v>1451.0259999999998</v>
      </c>
      <c r="AJ636" s="1730">
        <f t="shared" si="426"/>
        <v>1463.239</v>
      </c>
      <c r="AK636" s="1667">
        <f t="shared" ca="1" si="426"/>
        <v>1469.344890900094</v>
      </c>
      <c r="AL636" s="1667">
        <f t="shared" ca="1" si="426"/>
        <v>1505.7603432769015</v>
      </c>
      <c r="AM636" s="1667">
        <f t="shared" ca="1" si="426"/>
        <v>1549.3516478654437</v>
      </c>
      <c r="AN636" s="1667">
        <f t="shared" ca="1" si="426"/>
        <v>1590.6654370541996</v>
      </c>
      <c r="AO636" s="1667">
        <f t="shared" ca="1" si="426"/>
        <v>1593.3177878311035</v>
      </c>
      <c r="AP636" s="1667">
        <f t="shared" ca="1" si="426"/>
        <v>1625.4446169305061</v>
      </c>
      <c r="AQ636" s="1667"/>
      <c r="AR636" s="1669"/>
      <c r="AS636" s="1669"/>
      <c r="AT636" s="1669"/>
      <c r="AU636" s="1669"/>
      <c r="AV636" s="1669"/>
      <c r="AW636" s="1669"/>
      <c r="AX636" s="1669"/>
      <c r="AY636" s="1669"/>
      <c r="AZ636" s="1669"/>
      <c r="BA636" s="1669"/>
      <c r="BB636" s="1731">
        <f t="shared" ref="BB636:BK636" si="427">BB634+BB626+BB635</f>
        <v>1390.7489999999998</v>
      </c>
      <c r="BC636" s="1731">
        <f t="shared" si="427"/>
        <v>1316.1179999999999</v>
      </c>
      <c r="BD636" s="1731">
        <f t="shared" si="427"/>
        <v>1372.259</v>
      </c>
      <c r="BE636" s="1731">
        <f t="shared" si="427"/>
        <v>1407.2539999999999</v>
      </c>
      <c r="BF636" s="1606">
        <f t="shared" si="427"/>
        <v>1363.443</v>
      </c>
      <c r="BG636" s="1669">
        <f t="shared" ca="1" si="427"/>
        <v>1505.7603432769015</v>
      </c>
      <c r="BH636" s="1669">
        <f t="shared" ca="1" si="427"/>
        <v>1625.4446169305061</v>
      </c>
      <c r="BI636" s="1669">
        <f t="shared" ca="1" si="427"/>
        <v>1799.7697785918947</v>
      </c>
      <c r="BJ636" s="1669">
        <f t="shared" ca="1" si="427"/>
        <v>1975.2448443925837</v>
      </c>
      <c r="BK636" s="1669">
        <f t="shared" ca="1" si="427"/>
        <v>2186.4128307775268</v>
      </c>
      <c r="BL636" s="1607"/>
    </row>
    <row r="637" spans="1:64" s="1518" customFormat="1" x14ac:dyDescent="0.35">
      <c r="A637" s="1515"/>
      <c r="B637" s="1515"/>
      <c r="C637" s="1515"/>
      <c r="D637" s="1515"/>
      <c r="E637" s="1515"/>
      <c r="F637" s="1515"/>
      <c r="G637" s="1515"/>
      <c r="H637" s="1515"/>
      <c r="I637" s="1515"/>
      <c r="J637" s="1515"/>
      <c r="K637" s="1515"/>
      <c r="L637" s="1515"/>
      <c r="M637" s="1515"/>
      <c r="N637" s="1515"/>
      <c r="O637" s="1515"/>
      <c r="P637" s="1515"/>
      <c r="Q637" s="1515"/>
      <c r="R637" s="1515"/>
      <c r="S637" s="1515"/>
      <c r="T637" s="1515"/>
      <c r="U637" s="1515"/>
      <c r="V637" s="1515"/>
      <c r="W637" s="1515"/>
      <c r="X637" s="1515"/>
      <c r="Y637" s="1515"/>
      <c r="Z637" s="1515"/>
      <c r="AA637" s="1515"/>
      <c r="AB637" s="1515"/>
      <c r="AC637" s="1515"/>
      <c r="AD637" s="1515"/>
      <c r="AE637" s="1515"/>
      <c r="AF637" s="1515"/>
      <c r="AG637" s="1515"/>
      <c r="AH637" s="1515"/>
      <c r="AI637" s="1515"/>
      <c r="AJ637" s="1516"/>
      <c r="AK637" s="1515"/>
      <c r="AL637" s="1515"/>
      <c r="AM637" s="1515"/>
      <c r="AN637" s="1515"/>
      <c r="AO637" s="1515"/>
      <c r="AP637" s="1515"/>
      <c r="AQ637" s="1515"/>
      <c r="AR637" s="1515"/>
      <c r="AS637" s="1515"/>
      <c r="AT637" s="1515"/>
      <c r="AU637" s="1515"/>
      <c r="AV637" s="1515"/>
      <c r="AW637" s="1515"/>
      <c r="AX637" s="1515"/>
      <c r="AY637" s="1515"/>
      <c r="AZ637" s="1515"/>
      <c r="BA637" s="1515"/>
      <c r="BB637" s="1515"/>
      <c r="BC637" s="1515"/>
      <c r="BD637" s="1515"/>
      <c r="BE637" s="1515"/>
      <c r="BF637" s="1516"/>
      <c r="BG637" s="1515"/>
      <c r="BH637" s="1515"/>
      <c r="BI637" s="1515"/>
      <c r="BJ637" s="1515"/>
      <c r="BK637" s="1515"/>
      <c r="BL637" s="1517"/>
    </row>
    <row r="638" spans="1:64" s="1518" customFormat="1" x14ac:dyDescent="0.35">
      <c r="A638" s="1727" t="s">
        <v>1226</v>
      </c>
      <c r="B638" s="1727"/>
      <c r="C638" s="1728"/>
      <c r="D638" s="1728"/>
      <c r="E638" s="1728"/>
      <c r="F638" s="1728"/>
      <c r="G638" s="1728"/>
      <c r="H638" s="1728"/>
      <c r="I638" s="1728"/>
      <c r="J638" s="1728"/>
      <c r="K638" s="1728"/>
      <c r="L638" s="1728"/>
      <c r="M638" s="1728"/>
      <c r="N638" s="1728"/>
      <c r="O638" s="1728"/>
      <c r="P638" s="1728"/>
      <c r="Q638" s="1728"/>
      <c r="R638" s="1728">
        <f t="shared" ref="R638:AP638" si="428">ROUND(R608-R636,6)</f>
        <v>0</v>
      </c>
      <c r="S638" s="1728">
        <f t="shared" si="428"/>
        <v>0</v>
      </c>
      <c r="T638" s="1728">
        <f t="shared" si="428"/>
        <v>0</v>
      </c>
      <c r="U638" s="1728">
        <f t="shared" si="428"/>
        <v>0</v>
      </c>
      <c r="V638" s="1728">
        <f t="shared" si="428"/>
        <v>0</v>
      </c>
      <c r="W638" s="1728">
        <f t="shared" si="428"/>
        <v>0</v>
      </c>
      <c r="X638" s="1728">
        <f t="shared" si="428"/>
        <v>0</v>
      </c>
      <c r="Y638" s="1728">
        <f t="shared" si="428"/>
        <v>0</v>
      </c>
      <c r="Z638" s="1728">
        <f t="shared" si="428"/>
        <v>0</v>
      </c>
      <c r="AA638" s="1728">
        <f t="shared" si="428"/>
        <v>0</v>
      </c>
      <c r="AB638" s="1728">
        <f t="shared" si="428"/>
        <v>0</v>
      </c>
      <c r="AC638" s="1728">
        <f t="shared" si="428"/>
        <v>0</v>
      </c>
      <c r="AD638" s="1728">
        <f t="shared" si="428"/>
        <v>0</v>
      </c>
      <c r="AE638" s="1728">
        <f t="shared" si="428"/>
        <v>0</v>
      </c>
      <c r="AF638" s="1728">
        <f t="shared" si="428"/>
        <v>0</v>
      </c>
      <c r="AG638" s="1728">
        <f t="shared" si="428"/>
        <v>0</v>
      </c>
      <c r="AH638" s="1728">
        <f t="shared" si="428"/>
        <v>0</v>
      </c>
      <c r="AI638" s="1728">
        <f t="shared" si="428"/>
        <v>0</v>
      </c>
      <c r="AJ638" s="1729">
        <f t="shared" si="428"/>
        <v>0</v>
      </c>
      <c r="AK638" s="1728">
        <f t="shared" ca="1" si="428"/>
        <v>0</v>
      </c>
      <c r="AL638" s="1728">
        <f t="shared" ca="1" si="428"/>
        <v>0</v>
      </c>
      <c r="AM638" s="1728">
        <f t="shared" ca="1" si="428"/>
        <v>0</v>
      </c>
      <c r="AN638" s="1728">
        <f t="shared" ca="1" si="428"/>
        <v>0</v>
      </c>
      <c r="AO638" s="1728">
        <f t="shared" ca="1" si="428"/>
        <v>0</v>
      </c>
      <c r="AP638" s="1728">
        <f t="shared" ca="1" si="428"/>
        <v>0</v>
      </c>
      <c r="AQ638" s="1728"/>
      <c r="AR638" s="1728"/>
      <c r="AS638" s="1728"/>
      <c r="AT638" s="1728"/>
      <c r="AU638" s="1728"/>
      <c r="AV638" s="1728"/>
      <c r="AW638" s="1728"/>
      <c r="AX638" s="1728"/>
      <c r="AY638" s="1728"/>
      <c r="AZ638" s="1728"/>
      <c r="BA638" s="1728"/>
      <c r="BB638" s="1728">
        <f t="shared" ref="BB638:BK638" si="429">ROUND(BB608-BB636,6)</f>
        <v>0</v>
      </c>
      <c r="BC638" s="1728">
        <f t="shared" si="429"/>
        <v>0</v>
      </c>
      <c r="BD638" s="1728">
        <f t="shared" si="429"/>
        <v>0</v>
      </c>
      <c r="BE638" s="1728">
        <f t="shared" si="429"/>
        <v>0</v>
      </c>
      <c r="BF638" s="1729">
        <f t="shared" si="429"/>
        <v>0</v>
      </c>
      <c r="BG638" s="1728">
        <f t="shared" ca="1" si="429"/>
        <v>0</v>
      </c>
      <c r="BH638" s="1728">
        <f t="shared" ca="1" si="429"/>
        <v>0</v>
      </c>
      <c r="BI638" s="1728">
        <f t="shared" ca="1" si="429"/>
        <v>0</v>
      </c>
      <c r="BJ638" s="1728">
        <f t="shared" ca="1" si="429"/>
        <v>0</v>
      </c>
      <c r="BK638" s="1728">
        <f t="shared" ca="1" si="429"/>
        <v>0</v>
      </c>
      <c r="BL638" s="1517"/>
    </row>
    <row r="639" spans="1:64" s="1518" customFormat="1" x14ac:dyDescent="0.35">
      <c r="A639" s="1515"/>
      <c r="B639" s="1515"/>
      <c r="C639" s="1515"/>
      <c r="D639" s="1515"/>
      <c r="E639" s="1515"/>
      <c r="F639" s="1515"/>
      <c r="G639" s="1515"/>
      <c r="H639" s="1515"/>
      <c r="I639" s="1515"/>
      <c r="J639" s="1515"/>
      <c r="K639" s="1515"/>
      <c r="L639" s="1515"/>
      <c r="M639" s="1515"/>
      <c r="N639" s="1515"/>
      <c r="O639" s="1515"/>
      <c r="P639" s="1515"/>
      <c r="Q639" s="1515"/>
      <c r="R639" s="1515"/>
      <c r="S639" s="1515"/>
      <c r="T639" s="1515"/>
      <c r="U639" s="1515"/>
      <c r="V639" s="1515"/>
      <c r="W639" s="1515"/>
      <c r="X639" s="1515"/>
      <c r="Y639" s="1515"/>
      <c r="Z639" s="1515"/>
      <c r="AA639" s="1515"/>
      <c r="AB639" s="1515"/>
      <c r="AC639" s="1515"/>
      <c r="AD639" s="1515"/>
      <c r="AE639" s="1515"/>
      <c r="AF639" s="1515"/>
      <c r="AG639" s="1515"/>
      <c r="AH639" s="1515"/>
      <c r="AI639" s="1515"/>
      <c r="AJ639" s="1516"/>
      <c r="AK639" s="1515"/>
      <c r="AL639" s="1515"/>
      <c r="AM639" s="1515"/>
      <c r="AN639" s="1515"/>
      <c r="AO639" s="1515"/>
      <c r="AP639" s="1515"/>
      <c r="AQ639" s="1515"/>
      <c r="AR639" s="1515"/>
      <c r="AS639" s="1515"/>
      <c r="AT639" s="1515"/>
      <c r="AU639" s="1515"/>
      <c r="AV639" s="1515"/>
      <c r="AW639" s="1515"/>
      <c r="AX639" s="1515"/>
      <c r="AY639" s="1515"/>
      <c r="AZ639" s="1515"/>
      <c r="BA639" s="1515"/>
      <c r="BB639" s="1515"/>
      <c r="BC639" s="1515"/>
      <c r="BD639" s="1515"/>
      <c r="BE639" s="1515"/>
      <c r="BF639" s="1516"/>
      <c r="BG639" s="1515"/>
      <c r="BH639" s="1515"/>
      <c r="BI639" s="1515"/>
      <c r="BJ639" s="1515"/>
      <c r="BK639" s="1515"/>
      <c r="BL639" s="1517"/>
    </row>
    <row r="640" spans="1:64" s="1518" customFormat="1" x14ac:dyDescent="0.35">
      <c r="A640" s="2068" t="s">
        <v>1227</v>
      </c>
      <c r="B640" s="2068"/>
      <c r="C640" s="2068"/>
      <c r="D640" s="2068"/>
      <c r="E640" s="2068"/>
      <c r="F640" s="2068"/>
      <c r="G640" s="2068"/>
      <c r="H640" s="2068"/>
      <c r="I640" s="2068"/>
      <c r="J640" s="2068"/>
      <c r="K640" s="2068"/>
      <c r="L640" s="2068"/>
      <c r="M640" s="2068"/>
      <c r="N640" s="2068"/>
      <c r="O640" s="2068"/>
      <c r="P640" s="2068"/>
      <c r="Q640" s="2068"/>
      <c r="R640" s="2068"/>
      <c r="S640" s="2068"/>
      <c r="T640" s="2068"/>
      <c r="U640" s="2068"/>
      <c r="V640" s="2068"/>
      <c r="W640" s="2068"/>
      <c r="X640" s="2068"/>
      <c r="Y640" s="2068"/>
      <c r="Z640" s="2068"/>
      <c r="AA640" s="2068"/>
      <c r="AB640" s="2068"/>
      <c r="AC640" s="2068"/>
      <c r="AD640" s="2068"/>
      <c r="AE640" s="2068"/>
      <c r="AF640" s="2068"/>
      <c r="AG640" s="2068"/>
      <c r="AH640" s="2068"/>
      <c r="AI640" s="2068"/>
      <c r="AJ640" s="2069"/>
      <c r="AK640" s="2068"/>
      <c r="AL640" s="2068"/>
      <c r="AM640" s="2068"/>
      <c r="AN640" s="2068"/>
      <c r="AO640" s="2068"/>
      <c r="AP640" s="2068"/>
      <c r="AQ640" s="2068"/>
      <c r="AR640" s="2068"/>
      <c r="AS640" s="2068"/>
      <c r="AT640" s="2068"/>
      <c r="AU640" s="2068"/>
      <c r="AV640" s="2068"/>
      <c r="AW640" s="2068"/>
      <c r="AX640" s="2068"/>
      <c r="AY640" s="2068"/>
      <c r="AZ640" s="2068"/>
      <c r="BA640" s="2068"/>
      <c r="BB640" s="2068"/>
      <c r="BC640" s="2068"/>
      <c r="BD640" s="2068"/>
      <c r="BE640" s="2068"/>
      <c r="BF640" s="2069"/>
      <c r="BG640" s="2068"/>
      <c r="BH640" s="2068"/>
      <c r="BI640" s="2068"/>
      <c r="BJ640" s="2068"/>
      <c r="BK640" s="2068"/>
      <c r="BL640" s="1517"/>
    </row>
    <row r="641" spans="1:64" s="1518" customFormat="1" hidden="1" outlineLevel="1" x14ac:dyDescent="0.35">
      <c r="A641" s="1517" t="s">
        <v>1228</v>
      </c>
      <c r="B641" s="1958"/>
      <c r="C641" s="1728"/>
      <c r="D641" s="1728"/>
      <c r="E641" s="1728"/>
      <c r="F641" s="1728"/>
      <c r="G641" s="1728"/>
      <c r="H641" s="1728"/>
      <c r="I641" s="1728"/>
      <c r="J641" s="1728"/>
      <c r="K641" s="1728"/>
      <c r="L641" s="1728"/>
      <c r="M641" s="1728"/>
      <c r="N641" s="1728"/>
      <c r="O641" s="1728"/>
      <c r="P641" s="1728"/>
      <c r="Q641" s="1728"/>
      <c r="R641" s="1728"/>
      <c r="S641" s="1728"/>
      <c r="T641" s="1728"/>
      <c r="U641" s="1728"/>
      <c r="V641" s="1728"/>
      <c r="W641" s="1728">
        <f t="shared" ref="W641:AP641" si="430">IF(ISBLANK(INDEX(MO_IS_FirstRow,0,COLUMN())),0,ROUND(W490-W203,6))</f>
        <v>0</v>
      </c>
      <c r="X641" s="1728">
        <f t="shared" si="430"/>
        <v>-1E-3</v>
      </c>
      <c r="Y641" s="1728">
        <f t="shared" si="430"/>
        <v>0</v>
      </c>
      <c r="Z641" s="1728">
        <f t="shared" si="430"/>
        <v>0</v>
      </c>
      <c r="AA641" s="1728">
        <f t="shared" si="430"/>
        <v>0</v>
      </c>
      <c r="AB641" s="1728">
        <f t="shared" si="430"/>
        <v>0</v>
      </c>
      <c r="AC641" s="1728">
        <f t="shared" si="430"/>
        <v>0</v>
      </c>
      <c r="AD641" s="1728">
        <f t="shared" si="430"/>
        <v>0</v>
      </c>
      <c r="AE641" s="1728">
        <f t="shared" si="430"/>
        <v>0</v>
      </c>
      <c r="AF641" s="1728">
        <f t="shared" si="430"/>
        <v>0</v>
      </c>
      <c r="AG641" s="1728">
        <f t="shared" si="430"/>
        <v>0</v>
      </c>
      <c r="AH641" s="1728">
        <f t="shared" si="430"/>
        <v>0</v>
      </c>
      <c r="AI641" s="1728">
        <f t="shared" si="430"/>
        <v>0</v>
      </c>
      <c r="AJ641" s="1729">
        <f t="shared" si="430"/>
        <v>0</v>
      </c>
      <c r="AK641" s="1728">
        <f t="shared" si="430"/>
        <v>0</v>
      </c>
      <c r="AL641" s="1728">
        <f t="shared" si="430"/>
        <v>0</v>
      </c>
      <c r="AM641" s="1728">
        <f t="shared" si="430"/>
        <v>0</v>
      </c>
      <c r="AN641" s="1728">
        <f t="shared" si="430"/>
        <v>0</v>
      </c>
      <c r="AO641" s="1728">
        <f t="shared" si="430"/>
        <v>0</v>
      </c>
      <c r="AP641" s="1728">
        <f t="shared" si="430"/>
        <v>0</v>
      </c>
      <c r="AQ641" s="1728"/>
      <c r="AR641" s="1728"/>
      <c r="AS641" s="1728"/>
      <c r="AT641" s="1728"/>
      <c r="AU641" s="1728"/>
      <c r="AV641" s="1728"/>
      <c r="AW641" s="1728"/>
      <c r="AX641" s="1728"/>
      <c r="AY641" s="1728"/>
      <c r="AZ641" s="1728"/>
      <c r="BA641" s="1728"/>
      <c r="BB641" s="1728">
        <f t="shared" ref="BB641:BK641" si="431">IF(ISBLANK(INDEX(MO_IS_FirstRow,0,COLUMN())),0,ROUND(BB490-BB203,6))</f>
        <v>0</v>
      </c>
      <c r="BC641" s="1728">
        <f t="shared" si="431"/>
        <v>0</v>
      </c>
      <c r="BD641" s="1728">
        <f t="shared" si="431"/>
        <v>0</v>
      </c>
      <c r="BE641" s="1728">
        <f t="shared" si="431"/>
        <v>0</v>
      </c>
      <c r="BF641" s="1729">
        <f t="shared" si="431"/>
        <v>0</v>
      </c>
      <c r="BG641" s="1728">
        <f t="shared" si="431"/>
        <v>0</v>
      </c>
      <c r="BH641" s="1728">
        <f t="shared" si="431"/>
        <v>0</v>
      </c>
      <c r="BI641" s="1728">
        <f t="shared" si="431"/>
        <v>0</v>
      </c>
      <c r="BJ641" s="1728">
        <f t="shared" si="431"/>
        <v>0</v>
      </c>
      <c r="BK641" s="1728">
        <f t="shared" si="431"/>
        <v>0</v>
      </c>
      <c r="BL641" s="1517"/>
    </row>
    <row r="642" spans="1:64" s="1518" customFormat="1" hidden="1" outlineLevel="1" x14ac:dyDescent="0.35">
      <c r="A642" s="1517" t="s">
        <v>1229</v>
      </c>
      <c r="B642" s="1958"/>
      <c r="C642" s="1728"/>
      <c r="D642" s="1728"/>
      <c r="E642" s="1728"/>
      <c r="F642" s="1728"/>
      <c r="G642" s="1728"/>
      <c r="H642" s="1728"/>
      <c r="I642" s="1728"/>
      <c r="J642" s="1728"/>
      <c r="K642" s="1728"/>
      <c r="L642" s="1728"/>
      <c r="M642" s="1728"/>
      <c r="N642" s="1728"/>
      <c r="O642" s="1728"/>
      <c r="P642" s="1728"/>
      <c r="Q642" s="1728"/>
      <c r="R642" s="1728">
        <f t="shared" ref="R642:AP642" si="432">IF(ISBLANK(INDEX(MO_IS_FirstRow,0,COLUMN())),0,ROUND(R133-R203,6))</f>
        <v>-142.04300000000001</v>
      </c>
      <c r="S642" s="1728">
        <f t="shared" si="432"/>
        <v>-121.262</v>
      </c>
      <c r="T642" s="1728">
        <f t="shared" si="432"/>
        <v>-106.25700000000001</v>
      </c>
      <c r="U642" s="1728">
        <f t="shared" si="432"/>
        <v>0</v>
      </c>
      <c r="V642" s="1728">
        <f t="shared" si="432"/>
        <v>-134.80699999999999</v>
      </c>
      <c r="W642" s="1728">
        <f t="shared" si="432"/>
        <v>0</v>
      </c>
      <c r="X642" s="1728">
        <f t="shared" si="432"/>
        <v>0</v>
      </c>
      <c r="Y642" s="1728">
        <f t="shared" si="432"/>
        <v>0</v>
      </c>
      <c r="Z642" s="1728">
        <f t="shared" si="432"/>
        <v>0</v>
      </c>
      <c r="AA642" s="1728">
        <f t="shared" si="432"/>
        <v>0</v>
      </c>
      <c r="AB642" s="1728">
        <f t="shared" si="432"/>
        <v>0</v>
      </c>
      <c r="AC642" s="1728">
        <f t="shared" si="432"/>
        <v>0</v>
      </c>
      <c r="AD642" s="1728">
        <f t="shared" si="432"/>
        <v>0</v>
      </c>
      <c r="AE642" s="1728">
        <f t="shared" si="432"/>
        <v>0</v>
      </c>
      <c r="AF642" s="1728">
        <f t="shared" si="432"/>
        <v>0</v>
      </c>
      <c r="AG642" s="1728">
        <f t="shared" si="432"/>
        <v>0</v>
      </c>
      <c r="AH642" s="1728">
        <f t="shared" si="432"/>
        <v>0</v>
      </c>
      <c r="AI642" s="1728">
        <f t="shared" si="432"/>
        <v>0</v>
      </c>
      <c r="AJ642" s="1729">
        <f t="shared" si="432"/>
        <v>0</v>
      </c>
      <c r="AK642" s="1728">
        <f t="shared" si="432"/>
        <v>0</v>
      </c>
      <c r="AL642" s="1728">
        <f t="shared" si="432"/>
        <v>0</v>
      </c>
      <c r="AM642" s="1728">
        <f t="shared" si="432"/>
        <v>0</v>
      </c>
      <c r="AN642" s="1728">
        <f t="shared" si="432"/>
        <v>0</v>
      </c>
      <c r="AO642" s="1728">
        <f t="shared" si="432"/>
        <v>0</v>
      </c>
      <c r="AP642" s="1728">
        <f t="shared" si="432"/>
        <v>0</v>
      </c>
      <c r="AQ642" s="1728"/>
      <c r="AR642" s="1728"/>
      <c r="AS642" s="1728"/>
      <c r="AT642" s="1728"/>
      <c r="AU642" s="1728"/>
      <c r="AV642" s="1728"/>
      <c r="AW642" s="1728"/>
      <c r="AX642" s="1728"/>
      <c r="AY642" s="1728"/>
      <c r="AZ642" s="1728"/>
      <c r="BA642" s="1728"/>
      <c r="BB642" s="1728">
        <f t="shared" ref="BB642:BK642" si="433">IF(ISBLANK(INDEX(MO_IS_FirstRow,0,COLUMN())),0,ROUND(BB133-BB203,6))</f>
        <v>0</v>
      </c>
      <c r="BC642" s="1728">
        <f t="shared" si="433"/>
        <v>0</v>
      </c>
      <c r="BD642" s="1728">
        <f t="shared" si="433"/>
        <v>0</v>
      </c>
      <c r="BE642" s="1728">
        <f t="shared" si="433"/>
        <v>0</v>
      </c>
      <c r="BF642" s="1729">
        <f t="shared" si="433"/>
        <v>0</v>
      </c>
      <c r="BG642" s="1728">
        <f t="shared" si="433"/>
        <v>0</v>
      </c>
      <c r="BH642" s="1728">
        <f t="shared" si="433"/>
        <v>0</v>
      </c>
      <c r="BI642" s="1728">
        <f t="shared" si="433"/>
        <v>0</v>
      </c>
      <c r="BJ642" s="1728">
        <f t="shared" si="433"/>
        <v>0</v>
      </c>
      <c r="BK642" s="1728">
        <f t="shared" si="433"/>
        <v>0</v>
      </c>
      <c r="BL642" s="1517"/>
    </row>
    <row r="643" spans="1:64" s="1518" customFormat="1" hidden="1" outlineLevel="1" x14ac:dyDescent="0.35">
      <c r="A643" s="1517" t="s">
        <v>1230</v>
      </c>
      <c r="B643" s="1958"/>
      <c r="C643" s="1728"/>
      <c r="D643" s="1728"/>
      <c r="E643" s="1728"/>
      <c r="F643" s="1728"/>
      <c r="G643" s="1728"/>
      <c r="H643" s="1728"/>
      <c r="I643" s="1728"/>
      <c r="J643" s="1728"/>
      <c r="K643" s="1728"/>
      <c r="L643" s="1728"/>
      <c r="M643" s="1728"/>
      <c r="N643" s="1728"/>
      <c r="O643" s="1728"/>
      <c r="P643" s="1728"/>
      <c r="Q643" s="1728"/>
      <c r="R643" s="1728"/>
      <c r="S643" s="1728"/>
      <c r="T643" s="1728"/>
      <c r="U643" s="1728"/>
      <c r="V643" s="1728"/>
      <c r="W643" s="1728"/>
      <c r="X643" s="1728"/>
      <c r="Y643" s="1728">
        <f t="shared" ref="Y643:AP643" si="434">IF(AND(ISBLANK(Y18)),0,ROUND(Y177-Y18,6))</f>
        <v>0</v>
      </c>
      <c r="Z643" s="1728">
        <f t="shared" si="434"/>
        <v>0</v>
      </c>
      <c r="AA643" s="1728">
        <f t="shared" si="434"/>
        <v>0</v>
      </c>
      <c r="AB643" s="1728">
        <f t="shared" si="434"/>
        <v>0</v>
      </c>
      <c r="AC643" s="1728">
        <f t="shared" si="434"/>
        <v>0</v>
      </c>
      <c r="AD643" s="1728">
        <f t="shared" si="434"/>
        <v>0</v>
      </c>
      <c r="AE643" s="1728">
        <f t="shared" si="434"/>
        <v>0</v>
      </c>
      <c r="AF643" s="1728">
        <f t="shared" si="434"/>
        <v>0</v>
      </c>
      <c r="AG643" s="1728">
        <f t="shared" si="434"/>
        <v>0</v>
      </c>
      <c r="AH643" s="1728">
        <f t="shared" si="434"/>
        <v>0</v>
      </c>
      <c r="AI643" s="1728">
        <f t="shared" si="434"/>
        <v>0</v>
      </c>
      <c r="AJ643" s="1729">
        <f t="shared" si="434"/>
        <v>0</v>
      </c>
      <c r="AK643" s="1728">
        <f t="shared" si="434"/>
        <v>0</v>
      </c>
      <c r="AL643" s="1728">
        <f t="shared" si="434"/>
        <v>0</v>
      </c>
      <c r="AM643" s="1728">
        <f t="shared" si="434"/>
        <v>0</v>
      </c>
      <c r="AN643" s="1728">
        <f t="shared" si="434"/>
        <v>0</v>
      </c>
      <c r="AO643" s="1728">
        <f t="shared" si="434"/>
        <v>0</v>
      </c>
      <c r="AP643" s="1728">
        <f t="shared" si="434"/>
        <v>0</v>
      </c>
      <c r="AQ643" s="1728"/>
      <c r="AR643" s="1728"/>
      <c r="AS643" s="1728"/>
      <c r="AT643" s="1728"/>
      <c r="AU643" s="1728"/>
      <c r="AV643" s="1728"/>
      <c r="AW643" s="1728"/>
      <c r="AX643" s="1728"/>
      <c r="AY643" s="1728"/>
      <c r="AZ643" s="1728"/>
      <c r="BA643" s="1728"/>
      <c r="BB643" s="1728">
        <f t="shared" ref="BB643:BK643" si="435">IF(AND(ISBLANK(BB18)),0,ROUND(BB177-BB18,6))</f>
        <v>0</v>
      </c>
      <c r="BC643" s="1728">
        <f t="shared" si="435"/>
        <v>0</v>
      </c>
      <c r="BD643" s="1728">
        <f t="shared" si="435"/>
        <v>0</v>
      </c>
      <c r="BE643" s="1728">
        <f t="shared" si="435"/>
        <v>0</v>
      </c>
      <c r="BF643" s="1729">
        <f t="shared" si="435"/>
        <v>0</v>
      </c>
      <c r="BG643" s="1728">
        <f t="shared" si="435"/>
        <v>0</v>
      </c>
      <c r="BH643" s="1728">
        <f t="shared" si="435"/>
        <v>0</v>
      </c>
      <c r="BI643" s="1728">
        <f t="shared" si="435"/>
        <v>0</v>
      </c>
      <c r="BJ643" s="1728">
        <f t="shared" si="435"/>
        <v>0</v>
      </c>
      <c r="BK643" s="1728">
        <f t="shared" si="435"/>
        <v>0</v>
      </c>
      <c r="BL643" s="1517"/>
    </row>
    <row r="644" spans="1:64" s="1518" customFormat="1" hidden="1" outlineLevel="1" x14ac:dyDescent="0.35">
      <c r="A644" s="1517" t="s">
        <v>1231</v>
      </c>
      <c r="B644" s="1958"/>
      <c r="C644" s="1728"/>
      <c r="D644" s="1728"/>
      <c r="E644" s="1728"/>
      <c r="F644" s="1728"/>
      <c r="G644" s="1728"/>
      <c r="H644" s="1728"/>
      <c r="I644" s="1728"/>
      <c r="J644" s="1728"/>
      <c r="K644" s="1728"/>
      <c r="L644" s="1728"/>
      <c r="M644" s="1728"/>
      <c r="N644" s="1728"/>
      <c r="O644" s="1728"/>
      <c r="P644" s="1728"/>
      <c r="Q644" s="1728"/>
      <c r="R644" s="1728"/>
      <c r="S644" s="1728"/>
      <c r="T644" s="1728"/>
      <c r="U644" s="1728"/>
      <c r="V644" s="1728"/>
      <c r="W644" s="1728">
        <f t="shared" ref="W644:AJ644" si="436">IF(ISBLANK(INDEX(MO_IS_FirstRow,0,COLUMN())),0,IF(W547=S547,"CHECK",0))</f>
        <v>0</v>
      </c>
      <c r="X644" s="1728">
        <f t="shared" si="436"/>
        <v>0</v>
      </c>
      <c r="Y644" s="1728">
        <f t="shared" si="436"/>
        <v>0</v>
      </c>
      <c r="Z644" s="1728">
        <f t="shared" si="436"/>
        <v>0</v>
      </c>
      <c r="AA644" s="1728">
        <f t="shared" si="436"/>
        <v>0</v>
      </c>
      <c r="AB644" s="1728">
        <f t="shared" si="436"/>
        <v>0</v>
      </c>
      <c r="AC644" s="1728">
        <f t="shared" si="436"/>
        <v>0</v>
      </c>
      <c r="AD644" s="1728">
        <f t="shared" si="436"/>
        <v>0</v>
      </c>
      <c r="AE644" s="1728">
        <f t="shared" si="436"/>
        <v>0</v>
      </c>
      <c r="AF644" s="1728">
        <f t="shared" si="436"/>
        <v>0</v>
      </c>
      <c r="AG644" s="1728">
        <f t="shared" si="436"/>
        <v>0</v>
      </c>
      <c r="AH644" s="1728">
        <f t="shared" si="436"/>
        <v>0</v>
      </c>
      <c r="AI644" s="1728">
        <f t="shared" si="436"/>
        <v>0</v>
      </c>
      <c r="AJ644" s="1729">
        <f t="shared" si="436"/>
        <v>0</v>
      </c>
      <c r="AK644" s="1728"/>
      <c r="AL644" s="1728"/>
      <c r="AM644" s="1728"/>
      <c r="AN644" s="1728"/>
      <c r="AO644" s="1728"/>
      <c r="AP644" s="1728"/>
      <c r="AQ644" s="1728"/>
      <c r="AR644" s="1728"/>
      <c r="AS644" s="1728"/>
      <c r="AT644" s="1728"/>
      <c r="AU644" s="1728"/>
      <c r="AV644" s="1728"/>
      <c r="AW644" s="1728"/>
      <c r="AX644" s="1728"/>
      <c r="AY644" s="1728"/>
      <c r="AZ644" s="1728"/>
      <c r="BA644" s="1728"/>
      <c r="BB644" s="1728">
        <f>IF(ISBLANK(INDEX(MO_IS_FirstRow,0,COLUMN())),0,IF(BB547=BA547,"CHECK",0))</f>
        <v>0</v>
      </c>
      <c r="BC644" s="1728">
        <f>IF(ISBLANK(INDEX(MO_IS_FirstRow,0,COLUMN())),0,IF(BC547=BB547,"CHECK",0))</f>
        <v>0</v>
      </c>
      <c r="BD644" s="1728">
        <f>IF(ISBLANK(INDEX(MO_IS_FirstRow,0,COLUMN())),0,IF(BD547=BC547,"CHECK",0))</f>
        <v>0</v>
      </c>
      <c r="BE644" s="1728">
        <f>IF(ISBLANK(INDEX(MO_IS_FirstRow,0,COLUMN())),0,IF(BE547=BD547,"CHECK",0))</f>
        <v>0</v>
      </c>
      <c r="BF644" s="1729">
        <f>IF(ISBLANK(INDEX(MO_IS_FirstRow,0,COLUMN())),0,IF(BF547=BE547,"CHECK",0))</f>
        <v>0</v>
      </c>
      <c r="BG644" s="1728"/>
      <c r="BH644" s="1728"/>
      <c r="BI644" s="1728"/>
      <c r="BJ644" s="1728"/>
      <c r="BK644" s="1728"/>
      <c r="BL644" s="1517"/>
    </row>
    <row r="645" spans="1:64" s="1518" customFormat="1" hidden="1" outlineLevel="1" x14ac:dyDescent="0.35">
      <c r="A645" s="1517" t="s">
        <v>1232</v>
      </c>
      <c r="B645" s="1958"/>
      <c r="C645" s="1728"/>
      <c r="D645" s="1728"/>
      <c r="E645" s="1728"/>
      <c r="F645" s="1728"/>
      <c r="G645" s="1728"/>
      <c r="H645" s="1728"/>
      <c r="I645" s="1728"/>
      <c r="J645" s="1728"/>
      <c r="K645" s="1728"/>
      <c r="L645" s="1728"/>
      <c r="M645" s="1728"/>
      <c r="N645" s="1728"/>
      <c r="O645" s="1728"/>
      <c r="P645" s="1728"/>
      <c r="Q645" s="1728"/>
      <c r="R645" s="1728">
        <f>IF(ISBLANK(INDEX(MO_IS_FirstRow,0,COLUMN())),0,IF(OR(R203=N203,R203=BB203,R203=Q203),"CHECK",0))</f>
        <v>0</v>
      </c>
      <c r="S645" s="1728">
        <f>IF(ISBLANK(INDEX(MO_IS_FirstRow,0,COLUMN())),0,IF(OR(S203=O203,S203=T203,S203=R203),"CHECK",0))</f>
        <v>0</v>
      </c>
      <c r="T645" s="1728">
        <f>IF(ISBLANK(INDEX(MO_IS_FirstRow,0,COLUMN())),0,IF(OR(T203=P203,T203=U203,T203=S203),"CHECK",0))</f>
        <v>0</v>
      </c>
      <c r="U645" s="1728">
        <f>IF(ISBLANK(INDEX(MO_IS_FirstRow,0,COLUMN())),0,IF(OR(U203=Q203,U203=V203,U203=T203),"CHECK",0))</f>
        <v>0</v>
      </c>
      <c r="V645" s="1728">
        <f>IF(ISBLANK(INDEX(MO_IS_FirstRow,0,COLUMN())),0,IF(OR(V203=R203,V203=BC203,V203=U203),"CHECK",0))</f>
        <v>0</v>
      </c>
      <c r="W645" s="1728">
        <f t="shared" ref="W645:AJ645" si="437">IF(ISBLANK(INDEX(MO_IS_FirstRow,0,COLUMN())),0,IF(W203=S203,"CHECK",0))</f>
        <v>0</v>
      </c>
      <c r="X645" s="1728">
        <f t="shared" si="437"/>
        <v>0</v>
      </c>
      <c r="Y645" s="1728">
        <f t="shared" si="437"/>
        <v>0</v>
      </c>
      <c r="Z645" s="1728">
        <f t="shared" si="437"/>
        <v>0</v>
      </c>
      <c r="AA645" s="1728">
        <f t="shared" si="437"/>
        <v>0</v>
      </c>
      <c r="AB645" s="1728">
        <f t="shared" si="437"/>
        <v>0</v>
      </c>
      <c r="AC645" s="1728">
        <f t="shared" si="437"/>
        <v>0</v>
      </c>
      <c r="AD645" s="1728">
        <f t="shared" si="437"/>
        <v>0</v>
      </c>
      <c r="AE645" s="1728">
        <f t="shared" si="437"/>
        <v>0</v>
      </c>
      <c r="AF645" s="1728">
        <f t="shared" si="437"/>
        <v>0</v>
      </c>
      <c r="AG645" s="1728">
        <f t="shared" si="437"/>
        <v>0</v>
      </c>
      <c r="AH645" s="1728">
        <f t="shared" si="437"/>
        <v>0</v>
      </c>
      <c r="AI645" s="1728">
        <f t="shared" si="437"/>
        <v>0</v>
      </c>
      <c r="AJ645" s="1729">
        <f t="shared" si="437"/>
        <v>0</v>
      </c>
      <c r="AK645" s="1728"/>
      <c r="AL645" s="1728"/>
      <c r="AM645" s="1728"/>
      <c r="AN645" s="1728"/>
      <c r="AO645" s="1728"/>
      <c r="AP645" s="1728"/>
      <c r="AQ645" s="1728"/>
      <c r="AR645" s="1728"/>
      <c r="AS645" s="1728"/>
      <c r="AT645" s="1728"/>
      <c r="AU645" s="1728"/>
      <c r="AV645" s="1728"/>
      <c r="AW645" s="1728"/>
      <c r="AX645" s="1728"/>
      <c r="AY645" s="1728"/>
      <c r="AZ645" s="1728"/>
      <c r="BA645" s="1728"/>
      <c r="BB645" s="1728">
        <f>IF(ISBLANK(INDEX(MO_IS_FirstRow,0,COLUMN())),0,IF(BB203=BA203,"CHECK",0))</f>
        <v>0</v>
      </c>
      <c r="BC645" s="1728">
        <f>IF(ISBLANK(INDEX(MO_IS_FirstRow,0,COLUMN())),0,IF(BC203=BB203,"CHECK",0))</f>
        <v>0</v>
      </c>
      <c r="BD645" s="1728">
        <f>IF(ISBLANK(INDEX(MO_IS_FirstRow,0,COLUMN())),0,IF(BD203=BC203,"CHECK",0))</f>
        <v>0</v>
      </c>
      <c r="BE645" s="1728">
        <f>IF(ISBLANK(INDEX(MO_IS_FirstRow,0,COLUMN())),0,IF(BE203=BD203,"CHECK",0))</f>
        <v>0</v>
      </c>
      <c r="BF645" s="1729">
        <f>IF(ISBLANK(INDEX(MO_IS_FirstRow,0,COLUMN())),0,IF(BF203=BE203,"CHECK",0))</f>
        <v>0</v>
      </c>
      <c r="BG645" s="1728"/>
      <c r="BH645" s="1728"/>
      <c r="BI645" s="1728"/>
      <c r="BJ645" s="1728"/>
      <c r="BK645" s="1728"/>
      <c r="BL645" s="1517"/>
    </row>
    <row r="646" spans="1:64" s="1518" customFormat="1" hidden="1" outlineLevel="1" x14ac:dyDescent="0.35">
      <c r="A646" s="1517" t="s">
        <v>1233</v>
      </c>
      <c r="B646" s="1958"/>
      <c r="C646" s="1728"/>
      <c r="D646" s="1728"/>
      <c r="E646" s="1728"/>
      <c r="F646" s="1728"/>
      <c r="G646" s="1728"/>
      <c r="H646" s="1728"/>
      <c r="I646" s="1728"/>
      <c r="J646" s="1728"/>
      <c r="K646" s="1728"/>
      <c r="L646" s="1728"/>
      <c r="M646" s="1728"/>
      <c r="N646" s="1728"/>
      <c r="O646" s="1728"/>
      <c r="P646" s="1728"/>
      <c r="Q646" s="1728"/>
      <c r="R646" s="1728">
        <f>IF(OR(R608=N608,R608=Q608),"CHECK",0)</f>
        <v>0</v>
      </c>
      <c r="S646" s="1728"/>
      <c r="T646" s="1728"/>
      <c r="U646" s="1728"/>
      <c r="V646" s="1728">
        <f>IF(OR(V608=R608,V608=U608),"CHECK",0)</f>
        <v>0</v>
      </c>
      <c r="W646" s="1728"/>
      <c r="X646" s="1728">
        <f t="shared" ref="X646:AJ646" si="438">IF(X608=T608,"CHECK",0)</f>
        <v>0</v>
      </c>
      <c r="Y646" s="1728">
        <f t="shared" si="438"/>
        <v>0</v>
      </c>
      <c r="Z646" s="1728">
        <f t="shared" si="438"/>
        <v>0</v>
      </c>
      <c r="AA646" s="1728">
        <f t="shared" si="438"/>
        <v>0</v>
      </c>
      <c r="AB646" s="1728">
        <f t="shared" si="438"/>
        <v>0</v>
      </c>
      <c r="AC646" s="1728">
        <f t="shared" si="438"/>
        <v>0</v>
      </c>
      <c r="AD646" s="1728">
        <f t="shared" si="438"/>
        <v>0</v>
      </c>
      <c r="AE646" s="1728">
        <f t="shared" si="438"/>
        <v>0</v>
      </c>
      <c r="AF646" s="1728">
        <f t="shared" si="438"/>
        <v>0</v>
      </c>
      <c r="AG646" s="1728">
        <f t="shared" si="438"/>
        <v>0</v>
      </c>
      <c r="AH646" s="1728">
        <f t="shared" si="438"/>
        <v>0</v>
      </c>
      <c r="AI646" s="1728">
        <f t="shared" si="438"/>
        <v>0</v>
      </c>
      <c r="AJ646" s="1729">
        <f t="shared" si="438"/>
        <v>0</v>
      </c>
      <c r="AK646" s="1728"/>
      <c r="AL646" s="1728"/>
      <c r="AM646" s="1728"/>
      <c r="AN646" s="1728"/>
      <c r="AO646" s="1728"/>
      <c r="AP646" s="1728"/>
      <c r="AQ646" s="1728"/>
      <c r="AR646" s="1728"/>
      <c r="AS646" s="1728"/>
      <c r="AT646" s="1728"/>
      <c r="AU646" s="1728"/>
      <c r="AV646" s="1728"/>
      <c r="AW646" s="1728"/>
      <c r="AX646" s="1728"/>
      <c r="AY646" s="1728"/>
      <c r="AZ646" s="1728"/>
      <c r="BA646" s="1728"/>
      <c r="BB646" s="1728">
        <f>IF(BB608=BA608,"CHECK",0)</f>
        <v>0</v>
      </c>
      <c r="BC646" s="1728">
        <f>IF(BC608=BB608,"CHECK",0)</f>
        <v>0</v>
      </c>
      <c r="BD646" s="1728">
        <f>IF(BD608=BC608,"CHECK",0)</f>
        <v>0</v>
      </c>
      <c r="BE646" s="1728">
        <f>IF(BE608=BD608,"CHECK",0)</f>
        <v>0</v>
      </c>
      <c r="BF646" s="1729">
        <f>IF(BF608=BE608,"CHECK",0)</f>
        <v>0</v>
      </c>
      <c r="BG646" s="1728"/>
      <c r="BH646" s="1728"/>
      <c r="BI646" s="1728"/>
      <c r="BJ646" s="1728"/>
      <c r="BK646" s="1728"/>
      <c r="BL646" s="1517"/>
    </row>
    <row r="647" spans="1:64" s="1518" customFormat="1" hidden="1" outlineLevel="1" x14ac:dyDescent="0.35">
      <c r="A647" s="1517" t="s">
        <v>1234</v>
      </c>
      <c r="B647" s="1958"/>
      <c r="C647" s="1728"/>
      <c r="D647" s="1728"/>
      <c r="E647" s="1728"/>
      <c r="F647" s="1728"/>
      <c r="G647" s="1728"/>
      <c r="H647" s="1728"/>
      <c r="I647" s="1728"/>
      <c r="J647" s="1728"/>
      <c r="K647" s="1728"/>
      <c r="L647" s="1728"/>
      <c r="M647" s="1728"/>
      <c r="N647" s="1728"/>
      <c r="O647" s="1728"/>
      <c r="P647" s="1728"/>
      <c r="Q647" s="1728"/>
      <c r="R647" s="1728"/>
      <c r="S647" s="1728"/>
      <c r="T647" s="1728"/>
      <c r="U647" s="1728"/>
      <c r="V647" s="1728"/>
      <c r="W647" s="1728">
        <f t="shared" ref="W647:AP647" si="439">IF(ISBLANK(INDEX(MO_IS_FirstRow,0,COLUMN())),0,ROUND(W550-W483,6))</f>
        <v>0</v>
      </c>
      <c r="X647" s="1728">
        <f t="shared" si="439"/>
        <v>0</v>
      </c>
      <c r="Y647" s="1728">
        <f t="shared" si="439"/>
        <v>0</v>
      </c>
      <c r="Z647" s="1728">
        <f t="shared" si="439"/>
        <v>0</v>
      </c>
      <c r="AA647" s="1728">
        <f t="shared" si="439"/>
        <v>0</v>
      </c>
      <c r="AB647" s="1728">
        <f t="shared" si="439"/>
        <v>0</v>
      </c>
      <c r="AC647" s="1728">
        <f t="shared" si="439"/>
        <v>0</v>
      </c>
      <c r="AD647" s="1728">
        <f t="shared" si="439"/>
        <v>0</v>
      </c>
      <c r="AE647" s="1728">
        <f t="shared" si="439"/>
        <v>0</v>
      </c>
      <c r="AF647" s="1728">
        <f t="shared" si="439"/>
        <v>0</v>
      </c>
      <c r="AG647" s="1728">
        <f t="shared" si="439"/>
        <v>0</v>
      </c>
      <c r="AH647" s="1728">
        <f t="shared" si="439"/>
        <v>0</v>
      </c>
      <c r="AI647" s="1728">
        <f t="shared" si="439"/>
        <v>0</v>
      </c>
      <c r="AJ647" s="1729">
        <f t="shared" si="439"/>
        <v>0</v>
      </c>
      <c r="AK647" s="1728">
        <f t="shared" si="439"/>
        <v>0</v>
      </c>
      <c r="AL647" s="1728">
        <f t="shared" si="439"/>
        <v>0</v>
      </c>
      <c r="AM647" s="1728">
        <f t="shared" si="439"/>
        <v>0</v>
      </c>
      <c r="AN647" s="1728">
        <f t="shared" si="439"/>
        <v>0</v>
      </c>
      <c r="AO647" s="1728">
        <f t="shared" si="439"/>
        <v>0</v>
      </c>
      <c r="AP647" s="1728">
        <f t="shared" si="439"/>
        <v>0</v>
      </c>
      <c r="AQ647" s="1728"/>
      <c r="AR647" s="1728"/>
      <c r="AS647" s="1728"/>
      <c r="AT647" s="1728"/>
      <c r="AU647" s="1728"/>
      <c r="AV647" s="1728"/>
      <c r="AW647" s="1728"/>
      <c r="AX647" s="1728"/>
      <c r="AY647" s="1728"/>
      <c r="AZ647" s="1728"/>
      <c r="BA647" s="1728"/>
      <c r="BB647" s="1728">
        <f t="shared" ref="BB647:BK647" si="440">IF(ISBLANK(INDEX(MO_IS_FirstRow,0,COLUMN())),0,ROUND(BB550-BB483,6))</f>
        <v>0</v>
      </c>
      <c r="BC647" s="1728">
        <f t="shared" si="440"/>
        <v>0</v>
      </c>
      <c r="BD647" s="1728">
        <f t="shared" si="440"/>
        <v>0</v>
      </c>
      <c r="BE647" s="1728">
        <f t="shared" si="440"/>
        <v>0</v>
      </c>
      <c r="BF647" s="1729">
        <f t="shared" si="440"/>
        <v>0</v>
      </c>
      <c r="BG647" s="1728">
        <f t="shared" si="440"/>
        <v>0</v>
      </c>
      <c r="BH647" s="1728">
        <f t="shared" si="440"/>
        <v>0</v>
      </c>
      <c r="BI647" s="1728">
        <f t="shared" si="440"/>
        <v>0</v>
      </c>
      <c r="BJ647" s="1728">
        <f t="shared" si="440"/>
        <v>0</v>
      </c>
      <c r="BK647" s="1728">
        <f t="shared" si="440"/>
        <v>0</v>
      </c>
      <c r="BL647" s="1517"/>
    </row>
    <row r="648" spans="1:64" s="1518" customFormat="1" hidden="1" outlineLevel="1" x14ac:dyDescent="0.35">
      <c r="A648" s="1517" t="s">
        <v>1235</v>
      </c>
      <c r="B648" s="1958"/>
      <c r="C648" s="1728"/>
      <c r="D648" s="1728"/>
      <c r="E648" s="1728"/>
      <c r="F648" s="1728"/>
      <c r="G648" s="1728"/>
      <c r="H648" s="1728"/>
      <c r="I648" s="1728"/>
      <c r="J648" s="1728"/>
      <c r="K648" s="1728"/>
      <c r="L648" s="1728"/>
      <c r="M648" s="1728"/>
      <c r="N648" s="1728"/>
      <c r="O648" s="1728"/>
      <c r="P648" s="1728"/>
      <c r="Q648" s="1728"/>
      <c r="R648" s="1728">
        <f>ROUND(INDEX(MO_CFSum_Capex,0,COLUMN())-R519,6)</f>
        <v>0</v>
      </c>
      <c r="S648" s="1728">
        <f t="shared" ref="S648:AP648" si="441">ROUND(INDEX(MO_CFSum_Capex,0,COLUMN())-S519-S520,6)</f>
        <v>0</v>
      </c>
      <c r="T648" s="1728">
        <f t="shared" si="441"/>
        <v>0</v>
      </c>
      <c r="U648" s="1728">
        <f t="shared" si="441"/>
        <v>0</v>
      </c>
      <c r="V648" s="1728">
        <f t="shared" si="441"/>
        <v>0</v>
      </c>
      <c r="W648" s="1728">
        <f t="shared" si="441"/>
        <v>0</v>
      </c>
      <c r="X648" s="1728">
        <f t="shared" si="441"/>
        <v>0</v>
      </c>
      <c r="Y648" s="1728">
        <f t="shared" si="441"/>
        <v>0</v>
      </c>
      <c r="Z648" s="1728">
        <f t="shared" si="441"/>
        <v>0</v>
      </c>
      <c r="AA648" s="1728">
        <f t="shared" si="441"/>
        <v>0</v>
      </c>
      <c r="AB648" s="1728">
        <f t="shared" si="441"/>
        <v>0</v>
      </c>
      <c r="AC648" s="1728">
        <f t="shared" si="441"/>
        <v>0</v>
      </c>
      <c r="AD648" s="1728">
        <f t="shared" si="441"/>
        <v>0</v>
      </c>
      <c r="AE648" s="1728">
        <f t="shared" si="441"/>
        <v>0</v>
      </c>
      <c r="AF648" s="1728">
        <f t="shared" si="441"/>
        <v>0</v>
      </c>
      <c r="AG648" s="1728">
        <f t="shared" si="441"/>
        <v>0</v>
      </c>
      <c r="AH648" s="1728">
        <f t="shared" si="441"/>
        <v>0</v>
      </c>
      <c r="AI648" s="1728">
        <f t="shared" si="441"/>
        <v>0</v>
      </c>
      <c r="AJ648" s="1729">
        <f t="shared" si="441"/>
        <v>0</v>
      </c>
      <c r="AK648" s="1728">
        <f t="shared" si="441"/>
        <v>0</v>
      </c>
      <c r="AL648" s="1728">
        <f t="shared" si="441"/>
        <v>0</v>
      </c>
      <c r="AM648" s="1728">
        <f t="shared" si="441"/>
        <v>0</v>
      </c>
      <c r="AN648" s="1728">
        <f t="shared" si="441"/>
        <v>0</v>
      </c>
      <c r="AO648" s="1728">
        <f t="shared" si="441"/>
        <v>0</v>
      </c>
      <c r="AP648" s="1728">
        <f t="shared" si="441"/>
        <v>0</v>
      </c>
      <c r="AQ648" s="1728"/>
      <c r="AR648" s="1728"/>
      <c r="AS648" s="1728"/>
      <c r="AT648" s="1728"/>
      <c r="AU648" s="1728"/>
      <c r="AV648" s="1728"/>
      <c r="AW648" s="1728"/>
      <c r="AX648" s="1728"/>
      <c r="AY648" s="1728"/>
      <c r="AZ648" s="1728"/>
      <c r="BA648" s="1728"/>
      <c r="BB648" s="1728">
        <f t="shared" ref="BB648:BK648" si="442">ROUND(INDEX(MO_CFSum_Capex,0,COLUMN())-BB519-BB520,6)</f>
        <v>0</v>
      </c>
      <c r="BC648" s="1728">
        <f t="shared" si="442"/>
        <v>0</v>
      </c>
      <c r="BD648" s="1728">
        <f t="shared" si="442"/>
        <v>0</v>
      </c>
      <c r="BE648" s="1728">
        <f t="shared" si="442"/>
        <v>0</v>
      </c>
      <c r="BF648" s="1729">
        <f t="shared" si="442"/>
        <v>0</v>
      </c>
      <c r="BG648" s="1728">
        <f t="shared" si="442"/>
        <v>0</v>
      </c>
      <c r="BH648" s="1728">
        <f t="shared" si="442"/>
        <v>0</v>
      </c>
      <c r="BI648" s="1728">
        <f t="shared" si="442"/>
        <v>0</v>
      </c>
      <c r="BJ648" s="1728">
        <f t="shared" si="442"/>
        <v>0</v>
      </c>
      <c r="BK648" s="1728">
        <f t="shared" si="442"/>
        <v>0</v>
      </c>
      <c r="BL648" s="1517"/>
    </row>
    <row r="649" spans="1:64" s="1518" customFormat="1" hidden="1" outlineLevel="1" x14ac:dyDescent="0.35">
      <c r="A649" s="1517" t="s">
        <v>1236</v>
      </c>
      <c r="B649" s="1958"/>
      <c r="C649" s="1728"/>
      <c r="D649" s="1728"/>
      <c r="E649" s="1728"/>
      <c r="F649" s="1728"/>
      <c r="G649" s="1728"/>
      <c r="H649" s="1728"/>
      <c r="I649" s="1728"/>
      <c r="J649" s="1728"/>
      <c r="K649" s="1728"/>
      <c r="L649" s="1728"/>
      <c r="M649" s="1728"/>
      <c r="N649" s="1728"/>
      <c r="O649" s="1728"/>
      <c r="P649" s="1728"/>
      <c r="Q649" s="1728"/>
      <c r="R649" s="1728">
        <f t="shared" ref="R649:AP649" si="443">IF(ISBLANK(INDEX(MO_IS_FirstRow,0,COLUMN())),0,IF(MOD(R113*1000000,1)=0,"Check",0))</f>
        <v>0</v>
      </c>
      <c r="S649" s="1728">
        <f t="shared" si="443"/>
        <v>0</v>
      </c>
      <c r="T649" s="1728">
        <f t="shared" si="443"/>
        <v>0</v>
      </c>
      <c r="U649" s="1728">
        <f t="shared" si="443"/>
        <v>0</v>
      </c>
      <c r="V649" s="1728">
        <f t="shared" si="443"/>
        <v>0</v>
      </c>
      <c r="W649" s="1728">
        <f t="shared" si="443"/>
        <v>0</v>
      </c>
      <c r="X649" s="1728">
        <f t="shared" si="443"/>
        <v>0</v>
      </c>
      <c r="Y649" s="1728">
        <f t="shared" si="443"/>
        <v>0</v>
      </c>
      <c r="Z649" s="1728">
        <f t="shared" si="443"/>
        <v>0</v>
      </c>
      <c r="AA649" s="1728">
        <f t="shared" si="443"/>
        <v>0</v>
      </c>
      <c r="AB649" s="1728">
        <f t="shared" si="443"/>
        <v>0</v>
      </c>
      <c r="AC649" s="1728">
        <f t="shared" si="443"/>
        <v>0</v>
      </c>
      <c r="AD649" s="1728">
        <f t="shared" si="443"/>
        <v>0</v>
      </c>
      <c r="AE649" s="1728">
        <f t="shared" si="443"/>
        <v>0</v>
      </c>
      <c r="AF649" s="1728">
        <f t="shared" si="443"/>
        <v>0</v>
      </c>
      <c r="AG649" s="1728">
        <f t="shared" si="443"/>
        <v>0</v>
      </c>
      <c r="AH649" s="1728">
        <f t="shared" si="443"/>
        <v>0</v>
      </c>
      <c r="AI649" s="1728">
        <f t="shared" si="443"/>
        <v>0</v>
      </c>
      <c r="AJ649" s="1729">
        <f t="shared" si="443"/>
        <v>0</v>
      </c>
      <c r="AK649" s="1728">
        <f t="shared" si="443"/>
        <v>0</v>
      </c>
      <c r="AL649" s="1728">
        <f t="shared" si="443"/>
        <v>0</v>
      </c>
      <c r="AM649" s="1728">
        <f t="shared" si="443"/>
        <v>0</v>
      </c>
      <c r="AN649" s="1728">
        <f t="shared" si="443"/>
        <v>0</v>
      </c>
      <c r="AO649" s="1728">
        <f t="shared" si="443"/>
        <v>0</v>
      </c>
      <c r="AP649" s="1728">
        <f t="shared" si="443"/>
        <v>0</v>
      </c>
      <c r="AQ649" s="1728"/>
      <c r="AR649" s="1728"/>
      <c r="AS649" s="1728"/>
      <c r="AT649" s="1728"/>
      <c r="AU649" s="1728"/>
      <c r="AV649" s="1728"/>
      <c r="AW649" s="1728"/>
      <c r="AX649" s="1728"/>
      <c r="AY649" s="1728"/>
      <c r="AZ649" s="1728"/>
      <c r="BA649" s="1728"/>
      <c r="BB649" s="1728">
        <f t="shared" ref="BB649:BK649" si="444">IF(ISBLANK(INDEX(MO_IS_FirstRow,0,COLUMN())),0,IF(MOD(BB113*1000000,1)=0,"Check",0))</f>
        <v>0</v>
      </c>
      <c r="BC649" s="1728">
        <f t="shared" si="444"/>
        <v>0</v>
      </c>
      <c r="BD649" s="1728">
        <f t="shared" si="444"/>
        <v>0</v>
      </c>
      <c r="BE649" s="1728">
        <f t="shared" si="444"/>
        <v>0</v>
      </c>
      <c r="BF649" s="1729">
        <f t="shared" si="444"/>
        <v>0</v>
      </c>
      <c r="BG649" s="1728">
        <f t="shared" si="444"/>
        <v>0</v>
      </c>
      <c r="BH649" s="1728">
        <f t="shared" si="444"/>
        <v>0</v>
      </c>
      <c r="BI649" s="1728">
        <f t="shared" si="444"/>
        <v>0</v>
      </c>
      <c r="BJ649" s="1728">
        <f t="shared" si="444"/>
        <v>0</v>
      </c>
      <c r="BK649" s="1728">
        <f t="shared" si="444"/>
        <v>0</v>
      </c>
      <c r="BL649" s="1517"/>
    </row>
    <row r="650" spans="1:64" s="1518" customFormat="1" hidden="1" outlineLevel="1" x14ac:dyDescent="0.35">
      <c r="A650" s="1517" t="s">
        <v>1237</v>
      </c>
      <c r="B650" s="1958"/>
      <c r="C650" s="1728"/>
      <c r="D650" s="1728"/>
      <c r="E650" s="1728"/>
      <c r="F650" s="1728"/>
      <c r="G650" s="1728"/>
      <c r="H650" s="1728"/>
      <c r="I650" s="1728"/>
      <c r="J650" s="1728"/>
      <c r="K650" s="1728"/>
      <c r="L650" s="1728"/>
      <c r="M650" s="1728"/>
      <c r="N650" s="1728"/>
      <c r="O650" s="1728"/>
      <c r="P650" s="1728"/>
      <c r="Q650" s="1728"/>
      <c r="R650" s="1728"/>
      <c r="S650" s="1728"/>
      <c r="T650" s="1728"/>
      <c r="U650" s="1728"/>
      <c r="V650" s="1728"/>
      <c r="W650" s="1728"/>
      <c r="X650" s="1728"/>
      <c r="Y650" s="1728"/>
      <c r="Z650" s="1728"/>
      <c r="AA650" s="1728"/>
      <c r="AB650" s="1728"/>
      <c r="AC650" s="1728"/>
      <c r="AD650" s="1728"/>
      <c r="AE650" s="1728"/>
      <c r="AF650" s="1728"/>
      <c r="AG650" s="1728"/>
      <c r="AH650" s="1728"/>
      <c r="AI650" s="1728"/>
      <c r="AJ650" s="1729"/>
      <c r="AK650" s="1728"/>
      <c r="AL650" s="1728"/>
      <c r="AM650" s="1728"/>
      <c r="AN650" s="1728"/>
      <c r="AO650" s="1728"/>
      <c r="AP650" s="1728"/>
      <c r="AQ650" s="1728"/>
      <c r="AR650" s="1728"/>
      <c r="AS650" s="1728"/>
      <c r="AT650" s="1728"/>
      <c r="AU650" s="1728"/>
      <c r="AV650" s="1728"/>
      <c r="AW650" s="1728"/>
      <c r="AX650" s="1728"/>
      <c r="AY650" s="1728"/>
      <c r="AZ650" s="1728"/>
      <c r="BA650" s="1728"/>
      <c r="BB650" s="1728"/>
      <c r="BC650" s="1728">
        <f>IF(ISBLANK(INDEX(MO_IS_FirstRow,0,COLUMN())),0,ROUND(BC150-SUM(S150,T150,U150,V150),6)+ROUND(BC166-SUM(S166,T166,U166,V166),6))</f>
        <v>-2E-3</v>
      </c>
      <c r="BD650" s="1728">
        <f>IF(ISBLANK(INDEX(MO_IS_FirstRow,0,COLUMN())),0,ROUND(BD150-SUM(W150,X150,Y150,Z150),6)+ROUND(BD166-SUM(W166,X166,Y166,Z166),6))</f>
        <v>-1E-3</v>
      </c>
      <c r="BE650" s="1728">
        <f>IF(ISBLANK(INDEX(MO_IS_FirstRow,0,COLUMN())),0,ROUND(BE150-SUM(AA150,AB150,AC150,AD150),6)+ROUND(BE166-SUM(AA166,AB166,AC166,AD166),6))</f>
        <v>0</v>
      </c>
      <c r="BF650" s="1729">
        <f>IF(ISBLANK(INDEX(MO_IS_FirstRow,0,COLUMN())),0,ROUND(BF150-SUM(AE150,AF150,AG150,AH150),6)+ROUND(BF166-SUM(AE166,AF166,AG166,AH166),6))</f>
        <v>0</v>
      </c>
      <c r="BG650" s="1728">
        <f>IF(ISBLANK(INDEX(MO_IS_FirstRow,0,COLUMN())),0,ROUND(BG150-SUM(AI150,AJ150,AK150,AL150),6)+ROUND(BG166-SUM(AI166,AJ166,AK166,AL166),6))</f>
        <v>0</v>
      </c>
      <c r="BH650" s="1728">
        <f>IF(ISBLANK(INDEX(MO_IS_FirstRow,0,COLUMN())),0,ROUND(BH150-SUM(AM150,AN150,AO150,AP150),6)+ROUND(BH166-SUM(AM166,AN166,AO166,AP166),6))</f>
        <v>0</v>
      </c>
      <c r="BI650" s="1728"/>
      <c r="BJ650" s="1728"/>
      <c r="BK650" s="1728"/>
      <c r="BL650" s="1517"/>
    </row>
    <row r="651" spans="1:64" s="1518" customFormat="1" hidden="1" outlineLevel="1" x14ac:dyDescent="0.35">
      <c r="A651" s="1517" t="s">
        <v>1238</v>
      </c>
      <c r="B651" s="1958"/>
      <c r="C651" s="1728"/>
      <c r="D651" s="1728"/>
      <c r="E651" s="1728"/>
      <c r="F651" s="1728"/>
      <c r="G651" s="1728"/>
      <c r="H651" s="1728"/>
      <c r="I651" s="1728"/>
      <c r="J651" s="1728"/>
      <c r="K651" s="1728"/>
      <c r="L651" s="1728"/>
      <c r="M651" s="1728"/>
      <c r="N651" s="1728"/>
      <c r="O651" s="1728"/>
      <c r="P651" s="1728"/>
      <c r="Q651" s="1728"/>
      <c r="R651" s="1728">
        <f t="shared" ref="R651:AP651" si="445">ROUND(1-INDEX(MO_MA_COGS,0,COLUMN())-INDEX(MO_MA_SGA,0,COLUMN())-INDEX(MO_MA_EBITDA,0,COLUMN())-INDEX(MO_MA_RD,0,COLUMN()),6)</f>
        <v>0</v>
      </c>
      <c r="S651" s="1728">
        <f t="shared" si="445"/>
        <v>0</v>
      </c>
      <c r="T651" s="1728">
        <f t="shared" si="445"/>
        <v>0</v>
      </c>
      <c r="U651" s="1728">
        <f t="shared" si="445"/>
        <v>0</v>
      </c>
      <c r="V651" s="1728">
        <f t="shared" si="445"/>
        <v>0</v>
      </c>
      <c r="W651" s="1728">
        <f t="shared" si="445"/>
        <v>0</v>
      </c>
      <c r="X651" s="1728">
        <f t="shared" si="445"/>
        <v>0</v>
      </c>
      <c r="Y651" s="1728">
        <f t="shared" si="445"/>
        <v>0</v>
      </c>
      <c r="Z651" s="1728">
        <f t="shared" si="445"/>
        <v>0</v>
      </c>
      <c r="AA651" s="1728">
        <f t="shared" si="445"/>
        <v>0</v>
      </c>
      <c r="AB651" s="1728">
        <f t="shared" si="445"/>
        <v>0</v>
      </c>
      <c r="AC651" s="1728">
        <f t="shared" si="445"/>
        <v>0</v>
      </c>
      <c r="AD651" s="1728">
        <f t="shared" si="445"/>
        <v>0</v>
      </c>
      <c r="AE651" s="1728">
        <f t="shared" si="445"/>
        <v>0</v>
      </c>
      <c r="AF651" s="1728">
        <f t="shared" si="445"/>
        <v>0</v>
      </c>
      <c r="AG651" s="1728">
        <f t="shared" si="445"/>
        <v>0</v>
      </c>
      <c r="AH651" s="1728">
        <f t="shared" si="445"/>
        <v>0</v>
      </c>
      <c r="AI651" s="1728">
        <f t="shared" si="445"/>
        <v>0</v>
      </c>
      <c r="AJ651" s="1729">
        <f t="shared" si="445"/>
        <v>0</v>
      </c>
      <c r="AK651" s="1728">
        <f t="shared" si="445"/>
        <v>0</v>
      </c>
      <c r="AL651" s="1728">
        <f t="shared" si="445"/>
        <v>0</v>
      </c>
      <c r="AM651" s="1728">
        <f t="shared" si="445"/>
        <v>0</v>
      </c>
      <c r="AN651" s="1728">
        <f t="shared" si="445"/>
        <v>0</v>
      </c>
      <c r="AO651" s="1728">
        <f t="shared" si="445"/>
        <v>0</v>
      </c>
      <c r="AP651" s="1728">
        <f t="shared" si="445"/>
        <v>0</v>
      </c>
      <c r="AQ651" s="1728"/>
      <c r="AR651" s="1728"/>
      <c r="AS651" s="1728"/>
      <c r="AT651" s="1728"/>
      <c r="AU651" s="1728"/>
      <c r="AV651" s="1728"/>
      <c r="AW651" s="1728"/>
      <c r="AX651" s="1728"/>
      <c r="AY651" s="1728"/>
      <c r="AZ651" s="1728"/>
      <c r="BA651" s="1728"/>
      <c r="BB651" s="1728">
        <f t="shared" ref="BB651:BK651" si="446">ROUND(1-INDEX(MO_MA_COGS,0,COLUMN())-INDEX(MO_MA_SGA,0,COLUMN())-INDEX(MO_MA_EBITDA,0,COLUMN())-INDEX(MO_MA_RD,0,COLUMN()),6)</f>
        <v>0</v>
      </c>
      <c r="BC651" s="1728">
        <f t="shared" si="446"/>
        <v>0</v>
      </c>
      <c r="BD651" s="1728">
        <f t="shared" si="446"/>
        <v>0</v>
      </c>
      <c r="BE651" s="1728">
        <f t="shared" si="446"/>
        <v>0</v>
      </c>
      <c r="BF651" s="1729">
        <f t="shared" si="446"/>
        <v>0</v>
      </c>
      <c r="BG651" s="1728">
        <f t="shared" si="446"/>
        <v>0</v>
      </c>
      <c r="BH651" s="1728">
        <f t="shared" si="446"/>
        <v>0</v>
      </c>
      <c r="BI651" s="1728">
        <f t="shared" si="446"/>
        <v>0</v>
      </c>
      <c r="BJ651" s="1728">
        <f t="shared" si="446"/>
        <v>0</v>
      </c>
      <c r="BK651" s="1728">
        <f t="shared" si="446"/>
        <v>0</v>
      </c>
      <c r="BL651" s="1517"/>
    </row>
    <row r="652" spans="1:64" s="1518" customFormat="1" hidden="1" outlineLevel="1" x14ac:dyDescent="0.35">
      <c r="A652" s="1517" t="s">
        <v>1239</v>
      </c>
      <c r="B652" s="1958"/>
      <c r="C652" s="1728"/>
      <c r="D652" s="1728"/>
      <c r="E652" s="1728"/>
      <c r="F652" s="1728"/>
      <c r="G652" s="1728"/>
      <c r="H652" s="1728"/>
      <c r="I652" s="1728"/>
      <c r="J652" s="1728"/>
      <c r="K652" s="1728"/>
      <c r="L652" s="1728"/>
      <c r="M652" s="1728"/>
      <c r="N652" s="1728"/>
      <c r="O652" s="1728"/>
      <c r="P652" s="1728"/>
      <c r="Q652" s="1728"/>
      <c r="R652" s="1728">
        <f t="shared" ref="R652:AP652" si="447">IF(OR(INDEX(MO_CFSum_Acquisition,1,COLUMN())&gt;0,INDEX(MO_CFSum_Divestiture,1,COLUMN())&lt;0,INDEX(MO_CFSum_Capex,1,COLUMN())&gt;0,INDEX(MO_CFSum_Dividend,1,COLUMN())&gt;0),"CHECK",0)</f>
        <v>0</v>
      </c>
      <c r="S652" s="1728">
        <f t="shared" si="447"/>
        <v>0</v>
      </c>
      <c r="T652" s="1728">
        <f t="shared" si="447"/>
        <v>0</v>
      </c>
      <c r="U652" s="1728">
        <f t="shared" si="447"/>
        <v>0</v>
      </c>
      <c r="V652" s="1728">
        <f t="shared" si="447"/>
        <v>0</v>
      </c>
      <c r="W652" s="1728">
        <f t="shared" si="447"/>
        <v>0</v>
      </c>
      <c r="X652" s="1728">
        <f t="shared" si="447"/>
        <v>0</v>
      </c>
      <c r="Y652" s="1728">
        <f t="shared" si="447"/>
        <v>0</v>
      </c>
      <c r="Z652" s="1728">
        <f t="shared" si="447"/>
        <v>0</v>
      </c>
      <c r="AA652" s="1728">
        <f t="shared" si="447"/>
        <v>0</v>
      </c>
      <c r="AB652" s="1728">
        <f t="shared" si="447"/>
        <v>0</v>
      </c>
      <c r="AC652" s="1728">
        <f t="shared" si="447"/>
        <v>0</v>
      </c>
      <c r="AD652" s="1728">
        <f t="shared" si="447"/>
        <v>0</v>
      </c>
      <c r="AE652" s="1728">
        <f t="shared" si="447"/>
        <v>0</v>
      </c>
      <c r="AF652" s="1728" t="str">
        <f t="shared" si="447"/>
        <v>CHECK</v>
      </c>
      <c r="AG652" s="1728" t="str">
        <f t="shared" si="447"/>
        <v>CHECK</v>
      </c>
      <c r="AH652" s="1728">
        <f t="shared" si="447"/>
        <v>0</v>
      </c>
      <c r="AI652" s="1728">
        <f t="shared" si="447"/>
        <v>0</v>
      </c>
      <c r="AJ652" s="1729" t="str">
        <f t="shared" si="447"/>
        <v>CHECK</v>
      </c>
      <c r="AK652" s="1728">
        <f t="shared" ca="1" si="447"/>
        <v>0</v>
      </c>
      <c r="AL652" s="1728">
        <f t="shared" ca="1" si="447"/>
        <v>0</v>
      </c>
      <c r="AM652" s="1728">
        <f t="shared" ca="1" si="447"/>
        <v>0</v>
      </c>
      <c r="AN652" s="1728">
        <f t="shared" ca="1" si="447"/>
        <v>0</v>
      </c>
      <c r="AO652" s="1728">
        <f t="shared" ca="1" si="447"/>
        <v>0</v>
      </c>
      <c r="AP652" s="1728">
        <f t="shared" ca="1" si="447"/>
        <v>0</v>
      </c>
      <c r="AQ652" s="1728"/>
      <c r="AR652" s="1728"/>
      <c r="AS652" s="1728"/>
      <c r="AT652" s="1728"/>
      <c r="AU652" s="1728"/>
      <c r="AV652" s="1728"/>
      <c r="AW652" s="1728"/>
      <c r="AX652" s="1728"/>
      <c r="AY652" s="1728"/>
      <c r="AZ652" s="1728"/>
      <c r="BA652" s="1728"/>
      <c r="BB652" s="1728">
        <f t="shared" ref="BB652:BK652" si="448">IF(OR(INDEX(MO_CFSum_Acquisition,1,COLUMN())&gt;0,INDEX(MO_CFSum_Divestiture,1,COLUMN())&lt;0,INDEX(MO_CFSum_Capex,1,COLUMN())&gt;0,INDEX(MO_CFSum_Dividend,1,COLUMN())&gt;0),"CHECK",0)</f>
        <v>0</v>
      </c>
      <c r="BC652" s="1728">
        <f t="shared" si="448"/>
        <v>0</v>
      </c>
      <c r="BD652" s="1728">
        <f t="shared" si="448"/>
        <v>0</v>
      </c>
      <c r="BE652" s="1728">
        <f t="shared" si="448"/>
        <v>0</v>
      </c>
      <c r="BF652" s="1729">
        <f t="shared" si="448"/>
        <v>0</v>
      </c>
      <c r="BG652" s="1728">
        <f t="shared" ca="1" si="448"/>
        <v>0</v>
      </c>
      <c r="BH652" s="1728">
        <f t="shared" ca="1" si="448"/>
        <v>0</v>
      </c>
      <c r="BI652" s="1728">
        <f t="shared" ca="1" si="448"/>
        <v>0</v>
      </c>
      <c r="BJ652" s="1728">
        <f t="shared" ca="1" si="448"/>
        <v>0</v>
      </c>
      <c r="BK652" s="1728">
        <f t="shared" ca="1" si="448"/>
        <v>0</v>
      </c>
      <c r="BL652" s="1517"/>
    </row>
    <row r="653" spans="1:64" s="1518" customFormat="1" hidden="1" outlineLevel="1" x14ac:dyDescent="0.35">
      <c r="A653" s="1517" t="s">
        <v>1240</v>
      </c>
      <c r="B653" s="1958"/>
      <c r="C653" s="1728"/>
      <c r="D653" s="1728"/>
      <c r="E653" s="1728"/>
      <c r="F653" s="1728"/>
      <c r="G653" s="1728"/>
      <c r="H653" s="1728"/>
      <c r="I653" s="1728"/>
      <c r="J653" s="1728"/>
      <c r="K653" s="1728"/>
      <c r="L653" s="1728"/>
      <c r="M653" s="1728"/>
      <c r="N653" s="1728"/>
      <c r="O653" s="1728"/>
      <c r="P653" s="1728"/>
      <c r="Q653" s="1728"/>
      <c r="R653" s="1728"/>
      <c r="S653" s="1728"/>
      <c r="T653" s="1728"/>
      <c r="U653" s="1728"/>
      <c r="V653" s="1728"/>
      <c r="W653" s="1728"/>
      <c r="X653" s="1728"/>
      <c r="Y653" s="1728"/>
      <c r="Z653" s="1728"/>
      <c r="AA653" s="1728"/>
      <c r="AB653" s="1728"/>
      <c r="AC653" s="1728"/>
      <c r="AD653" s="1728"/>
      <c r="AE653" s="1728"/>
      <c r="AF653" s="1728"/>
      <c r="AG653" s="1728"/>
      <c r="AH653" s="1728"/>
      <c r="AI653" s="1728"/>
      <c r="AJ653" s="1729"/>
      <c r="AK653" s="1728"/>
      <c r="AL653" s="1728"/>
      <c r="AM653" s="1728"/>
      <c r="AN653" s="1728"/>
      <c r="AO653" s="1728"/>
      <c r="AP653" s="1728"/>
      <c r="AQ653" s="1728"/>
      <c r="AR653" s="1728"/>
      <c r="AS653" s="1728"/>
      <c r="AT653" s="1728"/>
      <c r="AU653" s="1728"/>
      <c r="AV653" s="1728"/>
      <c r="AW653" s="1728"/>
      <c r="AX653" s="1728"/>
      <c r="AY653" s="1728"/>
      <c r="AZ653" s="1728"/>
      <c r="BA653" s="1728"/>
      <c r="BB653" s="1728"/>
      <c r="BC653" s="1728">
        <f>ROUND(BC203-SUM(S203,T203,U203,V203),6)</f>
        <v>-6666.326</v>
      </c>
      <c r="BD653" s="1728">
        <f>ROUND(BD203-SUM(W203,X203,Y203,Z203),6)</f>
        <v>-1E-3</v>
      </c>
      <c r="BE653" s="1728">
        <f>ROUND(BE203-SUM(AA203,AB203,AC203,AD203),6)</f>
        <v>0</v>
      </c>
      <c r="BF653" s="1729">
        <f>ROUND(BF203-SUM(AE203,AF203,AG203,AH203),6)</f>
        <v>0</v>
      </c>
      <c r="BG653" s="1728">
        <f ca="1">ROUND(BG203-SUM(AI203,AJ203,AK203,AL203),6)</f>
        <v>0</v>
      </c>
      <c r="BH653" s="1728">
        <f ca="1">ROUND(BH203-SUM(AM203,AN203,AO203,AP203),6)</f>
        <v>0</v>
      </c>
      <c r="BI653" s="1728"/>
      <c r="BJ653" s="1728"/>
      <c r="BK653" s="1728"/>
      <c r="BL653" s="1517"/>
    </row>
    <row r="654" spans="1:64" s="1518" customFormat="1" hidden="1" outlineLevel="1" x14ac:dyDescent="0.35">
      <c r="A654" s="1517" t="s">
        <v>1241</v>
      </c>
      <c r="B654" s="1958"/>
      <c r="C654" s="1728"/>
      <c r="D654" s="1728"/>
      <c r="E654" s="1728"/>
      <c r="F654" s="1728"/>
      <c r="G654" s="1728"/>
      <c r="H654" s="1728"/>
      <c r="I654" s="1728"/>
      <c r="J654" s="1728"/>
      <c r="K654" s="1728"/>
      <c r="L654" s="1728"/>
      <c r="M654" s="1728"/>
      <c r="N654" s="1728"/>
      <c r="O654" s="1728"/>
      <c r="P654" s="1728"/>
      <c r="Q654" s="1728"/>
      <c r="R654" s="1728"/>
      <c r="S654" s="1728"/>
      <c r="T654" s="1728"/>
      <c r="U654" s="1728"/>
      <c r="V654" s="1728"/>
      <c r="W654" s="1728"/>
      <c r="X654" s="1728"/>
      <c r="Y654" s="1728"/>
      <c r="Z654" s="1728"/>
      <c r="AA654" s="1728"/>
      <c r="AB654" s="1728"/>
      <c r="AC654" s="1728"/>
      <c r="AD654" s="1728"/>
      <c r="AE654" s="1728"/>
      <c r="AF654" s="1728"/>
      <c r="AG654" s="1728"/>
      <c r="AH654" s="1728"/>
      <c r="AI654" s="1728"/>
      <c r="AJ654" s="1729"/>
      <c r="AK654" s="1728"/>
      <c r="AL654" s="1728"/>
      <c r="AM654" s="1728"/>
      <c r="AN654" s="1728"/>
      <c r="AO654" s="1728"/>
      <c r="AP654" s="1728"/>
      <c r="AQ654" s="1728"/>
      <c r="AR654" s="1728"/>
      <c r="AS654" s="1728"/>
      <c r="AT654" s="1728"/>
      <c r="AU654" s="1728"/>
      <c r="AV654" s="1728"/>
      <c r="AW654" s="1728"/>
      <c r="AX654" s="1728"/>
      <c r="AY654" s="1728"/>
      <c r="AZ654" s="1728"/>
      <c r="BA654" s="1728"/>
      <c r="BB654" s="1728"/>
      <c r="BC654" s="1728">
        <f>ROUND(SUM(S212,T212,U212,V212)-INDEX(MO_RIS_NI_NONGAAP_Diluted,1,COLUMN()),6)</f>
        <v>6666.326</v>
      </c>
      <c r="BD654" s="1728">
        <f>ROUND(SUM(W212,X212,Y212,Z212)-INDEX(MO_RIS_NI_NONGAAP_Diluted,1,COLUMN()),6)</f>
        <v>-1E-3</v>
      </c>
      <c r="BE654" s="1728">
        <f>ROUND(SUM(AA212,AB212,AC212,AD212)-INDEX(MO_RIS_NI_NONGAAP_Diluted,1,COLUMN()),6)</f>
        <v>0</v>
      </c>
      <c r="BF654" s="1729">
        <f>ROUND(SUM(AE212,AF212,AG212,AH212)-INDEX(MO_RIS_NI_NONGAAP_Diluted,1,COLUMN()),6)</f>
        <v>0</v>
      </c>
      <c r="BG654" s="1728">
        <f ca="1">ROUND(SUM(AI212,AJ212,AK212,AL212)-INDEX(MO_RIS_NI_NONGAAP_Diluted,1,COLUMN()),6)</f>
        <v>0</v>
      </c>
      <c r="BH654" s="1728">
        <f ca="1">ROUND(SUM(AM212,AN212,AO212,AP212)-INDEX(MO_RIS_NI_NONGAAP_Diluted,1,COLUMN()),6)</f>
        <v>0</v>
      </c>
      <c r="BI654" s="1728"/>
      <c r="BJ654" s="1728"/>
      <c r="BK654" s="1728"/>
      <c r="BL654" s="1517"/>
    </row>
    <row r="655" spans="1:64" s="1518" customFormat="1" hidden="1" outlineLevel="1" x14ac:dyDescent="0.35">
      <c r="A655" s="1517" t="s">
        <v>1242</v>
      </c>
      <c r="B655" s="1958"/>
      <c r="C655" s="1728"/>
      <c r="D655" s="1728"/>
      <c r="E655" s="1728"/>
      <c r="F655" s="1728"/>
      <c r="G655" s="1728"/>
      <c r="H655" s="1728"/>
      <c r="I655" s="1728"/>
      <c r="J655" s="1728"/>
      <c r="K655" s="1728"/>
      <c r="L655" s="1728"/>
      <c r="M655" s="1728"/>
      <c r="N655" s="1728"/>
      <c r="O655" s="1728"/>
      <c r="P655" s="1728"/>
      <c r="Q655" s="1728"/>
      <c r="R655" s="1728"/>
      <c r="S655" s="1728"/>
      <c r="T655" s="1728"/>
      <c r="U655" s="1728"/>
      <c r="V655" s="1728"/>
      <c r="W655" s="1728"/>
      <c r="X655" s="1728"/>
      <c r="Y655" s="1728"/>
      <c r="Z655" s="1728"/>
      <c r="AA655" s="1728"/>
      <c r="AB655" s="1728"/>
      <c r="AC655" s="1728"/>
      <c r="AD655" s="1728"/>
      <c r="AE655" s="1728"/>
      <c r="AF655" s="1728"/>
      <c r="AG655" s="1728"/>
      <c r="AH655" s="1728"/>
      <c r="AI655" s="1728"/>
      <c r="AJ655" s="1729"/>
      <c r="AK655" s="1728"/>
      <c r="AL655" s="1728"/>
      <c r="AM655" s="1728"/>
      <c r="AN655" s="1728"/>
      <c r="AO655" s="1728"/>
      <c r="AP655" s="1728"/>
      <c r="AQ655" s="1728"/>
      <c r="AR655" s="1728"/>
      <c r="AS655" s="1728"/>
      <c r="AT655" s="1728"/>
      <c r="AU655" s="1728"/>
      <c r="AV655" s="1728"/>
      <c r="AW655" s="1728"/>
      <c r="AX655" s="1728"/>
      <c r="AY655" s="1728"/>
      <c r="AZ655" s="1728"/>
      <c r="BA655" s="1728"/>
      <c r="BB655" s="1728"/>
      <c r="BC655" s="1728"/>
      <c r="BD655" s="1728">
        <f ca="1">ROUND(SUM(W507,X507,Y507,Z507)-SUM(OFFSET(INDEX(MO_CFS_CFO_BeforeWC,1,COLUMN()),ROW(INDEX(MO_SubSection_CFS_CFO,1,COLUMN()))-ROW(INDEX(MO_CFS_CFO_BeforeWC,1,COLUMN())),0,ROW(INDEX(MO_CFS_CFO_BeforeWC,1,COLUMN()))-ROW(INDEX(MO_SubSection_CFS_CFO,1,COLUMN())),1)),6)</f>
        <v>0</v>
      </c>
      <c r="BE655" s="1728">
        <f ca="1">ROUND(SUM(AA507,AB507,AC507,AD507)-SUM(OFFSET(INDEX(MO_CFS_CFO_BeforeWC,1,COLUMN()),ROW(INDEX(MO_SubSection_CFS_CFO,1,COLUMN()))-ROW(INDEX(MO_CFS_CFO_BeforeWC,1,COLUMN())),0,ROW(INDEX(MO_CFS_CFO_BeforeWC,1,COLUMN()))-ROW(INDEX(MO_SubSection_CFS_CFO,1,COLUMN())),1)),6)</f>
        <v>0</v>
      </c>
      <c r="BF655" s="1729">
        <f ca="1">ROUND(SUM(AE507,AF507,AG507,AH507)-SUM(OFFSET(INDEX(MO_CFS_CFO_BeforeWC,1,COLUMN()),ROW(INDEX(MO_SubSection_CFS_CFO,1,COLUMN()))-ROW(INDEX(MO_CFS_CFO_BeforeWC,1,COLUMN())),0,ROW(INDEX(MO_CFS_CFO_BeforeWC,1,COLUMN()))-ROW(INDEX(MO_SubSection_CFS_CFO,1,COLUMN())),1)),6)</f>
        <v>0</v>
      </c>
      <c r="BG655" s="1728">
        <f ca="1">ROUND(SUM(AI507,AJ507,AK507,AL507)-SUM(OFFSET(INDEX(MO_CFS_CFO_BeforeWC,1,COLUMN()),ROW(INDEX(MO_SubSection_CFS_CFO,1,COLUMN()))-ROW(INDEX(MO_CFS_CFO_BeforeWC,1,COLUMN())),0,ROW(INDEX(MO_CFS_CFO_BeforeWC,1,COLUMN()))-ROW(INDEX(MO_SubSection_CFS_CFO,1,COLUMN())),1)),6)</f>
        <v>0</v>
      </c>
      <c r="BH655" s="1728">
        <f ca="1">ROUND(SUM(AM507,AN507,AO507,AP507)-SUM(OFFSET(INDEX(MO_CFS_CFO_BeforeWC,1,COLUMN()),ROW(INDEX(MO_SubSection_CFS_CFO,1,COLUMN()))-ROW(INDEX(MO_CFS_CFO_BeforeWC,1,COLUMN())),0,ROW(INDEX(MO_CFS_CFO_BeforeWC,1,COLUMN()))-ROW(INDEX(MO_SubSection_CFS_CFO,1,COLUMN())),1)),6)</f>
        <v>0</v>
      </c>
      <c r="BI655" s="1728"/>
      <c r="BJ655" s="1728"/>
      <c r="BK655" s="1728"/>
      <c r="BL655" s="1517"/>
    </row>
    <row r="656" spans="1:64" s="1518" customFormat="1" hidden="1" outlineLevel="1" x14ac:dyDescent="0.35">
      <c r="A656" s="1517" t="s">
        <v>1243</v>
      </c>
      <c r="B656" s="1958"/>
      <c r="C656" s="1728"/>
      <c r="D656" s="1728"/>
      <c r="E656" s="1728"/>
      <c r="F656" s="1728"/>
      <c r="G656" s="1728"/>
      <c r="H656" s="1728"/>
      <c r="I656" s="1728"/>
      <c r="J656" s="1728"/>
      <c r="K656" s="1728"/>
      <c r="L656" s="1728"/>
      <c r="M656" s="1728"/>
      <c r="N656" s="1728"/>
      <c r="O656" s="1728"/>
      <c r="P656" s="1728"/>
      <c r="Q656" s="1728"/>
      <c r="R656" s="1728"/>
      <c r="S656" s="1728"/>
      <c r="T656" s="1728"/>
      <c r="U656" s="1728"/>
      <c r="V656" s="1728"/>
      <c r="W656" s="1728"/>
      <c r="X656" s="1728"/>
      <c r="Y656" s="1728"/>
      <c r="Z656" s="1728"/>
      <c r="AA656" s="1728"/>
      <c r="AB656" s="1728"/>
      <c r="AC656" s="1728"/>
      <c r="AD656" s="1728"/>
      <c r="AE656" s="1728"/>
      <c r="AF656" s="1728"/>
      <c r="AG656" s="1728"/>
      <c r="AH656" s="1728"/>
      <c r="AI656" s="1728"/>
      <c r="AJ656" s="1729"/>
      <c r="AK656" s="1728"/>
      <c r="AL656" s="1728"/>
      <c r="AM656" s="1728"/>
      <c r="AN656" s="1728"/>
      <c r="AO656" s="1728"/>
      <c r="AP656" s="1728"/>
      <c r="AQ656" s="1728"/>
      <c r="AR656" s="1728"/>
      <c r="AS656" s="1728"/>
      <c r="AT656" s="1728"/>
      <c r="AU656" s="1728"/>
      <c r="AV656" s="1728"/>
      <c r="AW656" s="1728"/>
      <c r="AX656" s="1728"/>
      <c r="AY656" s="1728"/>
      <c r="AZ656" s="1728"/>
      <c r="BA656" s="1728"/>
      <c r="BB656" s="1728"/>
      <c r="BC656" s="1728"/>
      <c r="BD656" s="1728">
        <f ca="1">ROUND(SUM(W516,X516,Y516,Z516)-SUM(OFFSET(INDEX(MO_CFS_CFO,1,COLUMN()),ROW(INDEX(MO_CFS_CFO_BeforeWC,1,COLUMN()))-ROW(INDEX(MO_CFS_CFO,1,COLUMN())),0,ROW(INDEX(MO_CFS_CFO,1,COLUMN()))-ROW(INDEX(MO_CFS_CFO_BeforeWC,1,COLUMN())),1)),6)</f>
        <v>0</v>
      </c>
      <c r="BE656" s="1728">
        <f ca="1">ROUND(SUM(AA516,AB516,AC516,AD516)-SUM(OFFSET(INDEX(MO_CFS_CFO,1,COLUMN()),ROW(INDEX(MO_CFS_CFO_BeforeWC,1,COLUMN()))-ROW(INDEX(MO_CFS_CFO,1,COLUMN())),0,ROW(INDEX(MO_CFS_CFO,1,COLUMN()))-ROW(INDEX(MO_CFS_CFO_BeforeWC,1,COLUMN())),1)),6)</f>
        <v>0</v>
      </c>
      <c r="BF656" s="1729">
        <f ca="1">ROUND(SUM(AE516,AF516,AG516,AH516)-SUM(OFFSET(INDEX(MO_CFS_CFO,1,COLUMN()),ROW(INDEX(MO_CFS_CFO_BeforeWC,1,COLUMN()))-ROW(INDEX(MO_CFS_CFO,1,COLUMN())),0,ROW(INDEX(MO_CFS_CFO,1,COLUMN()))-ROW(INDEX(MO_CFS_CFO_BeforeWC,1,COLUMN())),1)),6)</f>
        <v>0</v>
      </c>
      <c r="BG656" s="1728">
        <f ca="1">ROUND(SUM(AI516,AJ516,AK516,AL516)-SUM(OFFSET(INDEX(MO_CFS_CFO,1,COLUMN()),ROW(INDEX(MO_CFS_CFO_BeforeWC,1,COLUMN()))-ROW(INDEX(MO_CFS_CFO,1,COLUMN())),0,ROW(INDEX(MO_CFS_CFO,1,COLUMN()))-ROW(INDEX(MO_CFS_CFO_BeforeWC,1,COLUMN())),1)),6)</f>
        <v>0</v>
      </c>
      <c r="BH656" s="1728">
        <f ca="1">ROUND(SUM(AM516,AN516,AO516,AP516)-SUM(OFFSET(INDEX(MO_CFS_CFO,1,COLUMN()),ROW(INDEX(MO_CFS_CFO_BeforeWC,1,COLUMN()))-ROW(INDEX(MO_CFS_CFO,1,COLUMN())),0,ROW(INDEX(MO_CFS_CFO,1,COLUMN()))-ROW(INDEX(MO_CFS_CFO_BeforeWC,1,COLUMN())),1)),6)</f>
        <v>0</v>
      </c>
      <c r="BI656" s="1728"/>
      <c r="BJ656" s="1728"/>
      <c r="BK656" s="1728"/>
      <c r="BL656" s="1517"/>
    </row>
    <row r="657" spans="1:64" s="1518" customFormat="1" hidden="1" outlineLevel="1" x14ac:dyDescent="0.35">
      <c r="A657" s="1517" t="s">
        <v>1244</v>
      </c>
      <c r="B657" s="1958"/>
      <c r="C657" s="1728"/>
      <c r="D657" s="1728"/>
      <c r="E657" s="1728"/>
      <c r="F657" s="1728"/>
      <c r="G657" s="1728"/>
      <c r="H657" s="1728"/>
      <c r="I657" s="1728"/>
      <c r="J657" s="1728"/>
      <c r="K657" s="1728"/>
      <c r="L657" s="1728"/>
      <c r="M657" s="1728"/>
      <c r="N657" s="1728"/>
      <c r="O657" s="1728"/>
      <c r="P657" s="1728"/>
      <c r="Q657" s="1728"/>
      <c r="R657" s="1728"/>
      <c r="S657" s="1728"/>
      <c r="T657" s="1728"/>
      <c r="U657" s="1728"/>
      <c r="V657" s="1728"/>
      <c r="W657" s="1728"/>
      <c r="X657" s="1728"/>
      <c r="Y657" s="1728"/>
      <c r="Z657" s="1728"/>
      <c r="AA657" s="1728"/>
      <c r="AB657" s="1728"/>
      <c r="AC657" s="1728"/>
      <c r="AD657" s="1728"/>
      <c r="AE657" s="1728"/>
      <c r="AF657" s="1728"/>
      <c r="AG657" s="1728"/>
      <c r="AH657" s="1728"/>
      <c r="AI657" s="1728"/>
      <c r="AJ657" s="1729"/>
      <c r="AK657" s="1728"/>
      <c r="AL657" s="1728"/>
      <c r="AM657" s="1728"/>
      <c r="AN657" s="1728"/>
      <c r="AO657" s="1728"/>
      <c r="AP657" s="1728"/>
      <c r="AQ657" s="1728"/>
      <c r="AR657" s="1728"/>
      <c r="AS657" s="1728"/>
      <c r="AT657" s="1728"/>
      <c r="AU657" s="1728"/>
      <c r="AV657" s="1728"/>
      <c r="AW657" s="1728"/>
      <c r="AX657" s="1728"/>
      <c r="AY657" s="1728"/>
      <c r="AZ657" s="1728"/>
      <c r="BA657" s="1728"/>
      <c r="BB657" s="1728"/>
      <c r="BC657" s="1728"/>
      <c r="BD657" s="1728">
        <f ca="1">ROUND(SUM(W524,X524,Y524,Z524)-SUM(OFFSET(INDEX(MO_CFS_CFI,1,COLUMN()),ROW(INDEX(MO_SubSection_CFS_CFI,1,COLUMN()))-ROW(INDEX(MO_CFS_CFI,1,COLUMN())),0,ROW(INDEX(MO_CFS_CFI,1,COLUMN()))-ROW(INDEX(MO_SubSection_CFS_CFI,1,COLUMN())),1)),6)</f>
        <v>0</v>
      </c>
      <c r="BE657" s="1728">
        <f ca="1">ROUND(SUM(AA524,AB524,AC524,AD524)-SUM(OFFSET(INDEX(MO_CFS_CFI,1,COLUMN()),ROW(INDEX(MO_SubSection_CFS_CFI,1,COLUMN()))-ROW(INDEX(MO_CFS_CFI,1,COLUMN())),0,ROW(INDEX(MO_CFS_CFI,1,COLUMN()))-ROW(INDEX(MO_SubSection_CFS_CFI,1,COLUMN())),1)),6)</f>
        <v>0</v>
      </c>
      <c r="BF657" s="1729">
        <f ca="1">ROUND(SUM(AE524,AF524,AG524,AH524)-SUM(OFFSET(INDEX(MO_CFS_CFI,1,COLUMN()),ROW(INDEX(MO_SubSection_CFS_CFI,1,COLUMN()))-ROW(INDEX(MO_CFS_CFI,1,COLUMN())),0,ROW(INDEX(MO_CFS_CFI,1,COLUMN()))-ROW(INDEX(MO_SubSection_CFS_CFI,1,COLUMN())),1)),6)</f>
        <v>0</v>
      </c>
      <c r="BG657" s="1728">
        <f ca="1">ROUND(SUM(AI524,AJ524,AK524,AL524)-SUM(OFFSET(INDEX(MO_CFS_CFI,1,COLUMN()),ROW(INDEX(MO_SubSection_CFS_CFI,1,COLUMN()))-ROW(INDEX(MO_CFS_CFI,1,COLUMN())),0,ROW(INDEX(MO_CFS_CFI,1,COLUMN()))-ROW(INDEX(MO_SubSection_CFS_CFI,1,COLUMN())),1)),6)</f>
        <v>0</v>
      </c>
      <c r="BH657" s="1728">
        <f ca="1">ROUND(SUM(AM524,AN524,AO524,AP524)-SUM(OFFSET(INDEX(MO_CFS_CFI,1,COLUMN()),ROW(INDEX(MO_SubSection_CFS_CFI,1,COLUMN()))-ROW(INDEX(MO_CFS_CFI,1,COLUMN())),0,ROW(INDEX(MO_CFS_CFI,1,COLUMN()))-ROW(INDEX(MO_SubSection_CFS_CFI,1,COLUMN())),1)),6)</f>
        <v>0</v>
      </c>
      <c r="BI657" s="1728"/>
      <c r="BJ657" s="1728"/>
      <c r="BK657" s="1728"/>
      <c r="BL657" s="1517"/>
    </row>
    <row r="658" spans="1:64" s="1518" customFormat="1" hidden="1" outlineLevel="1" x14ac:dyDescent="0.35">
      <c r="A658" s="1517" t="s">
        <v>1245</v>
      </c>
      <c r="B658" s="1958"/>
      <c r="C658" s="1728"/>
      <c r="D658" s="1728"/>
      <c r="E658" s="1728"/>
      <c r="F658" s="1728"/>
      <c r="G658" s="1728"/>
      <c r="H658" s="1728"/>
      <c r="I658" s="1728"/>
      <c r="J658" s="1728"/>
      <c r="K658" s="1728"/>
      <c r="L658" s="1728"/>
      <c r="M658" s="1728"/>
      <c r="N658" s="1728"/>
      <c r="O658" s="1728"/>
      <c r="P658" s="1728"/>
      <c r="Q658" s="1728"/>
      <c r="R658" s="1728"/>
      <c r="S658" s="1728"/>
      <c r="T658" s="1728"/>
      <c r="U658" s="1728"/>
      <c r="V658" s="1728"/>
      <c r="W658" s="1728"/>
      <c r="X658" s="1728"/>
      <c r="Y658" s="1728"/>
      <c r="Z658" s="1728"/>
      <c r="AA658" s="1728"/>
      <c r="AB658" s="1728"/>
      <c r="AC658" s="1728"/>
      <c r="AD658" s="1728"/>
      <c r="AE658" s="1728"/>
      <c r="AF658" s="1728"/>
      <c r="AG658" s="1728"/>
      <c r="AH658" s="1728"/>
      <c r="AI658" s="1728"/>
      <c r="AJ658" s="1729"/>
      <c r="AK658" s="1728"/>
      <c r="AL658" s="1728"/>
      <c r="AM658" s="1728"/>
      <c r="AN658" s="1728"/>
      <c r="AO658" s="1728"/>
      <c r="AP658" s="1728"/>
      <c r="AQ658" s="1728"/>
      <c r="AR658" s="1728"/>
      <c r="AS658" s="1728"/>
      <c r="AT658" s="1728"/>
      <c r="AU658" s="1728"/>
      <c r="AV658" s="1728"/>
      <c r="AW658" s="1728"/>
      <c r="AX658" s="1728"/>
      <c r="AY658" s="1728"/>
      <c r="AZ658" s="1728"/>
      <c r="BA658" s="1728"/>
      <c r="BB658" s="1728"/>
      <c r="BC658" s="1728"/>
      <c r="BD658" s="1728">
        <f ca="1">ROUND(SUM(W544,X544,Y544,Z544)-SUM(OFFSET(INDEX(MO_CFS_CFF,1,COLUMN()),ROW(INDEX(MO_SubSection_CFS_CFF,1,COLUMN()))-ROW(INDEX(MO_CFS_CFF,1,COLUMN())),0,ROW(INDEX(MO_CFS_CFF,1,COLUMN()))-ROW(INDEX(MO_SubSection_CFS_CFF,1,COLUMN())),1)),6)</f>
        <v>0</v>
      </c>
      <c r="BE658" s="1728">
        <f ca="1">ROUND(SUM(AA544,AB544,AC544,AD544)-SUM(OFFSET(INDEX(MO_CFS_CFF,1,COLUMN()),ROW(INDEX(MO_SubSection_CFS_CFF,1,COLUMN()))-ROW(INDEX(MO_CFS_CFF,1,COLUMN())),0,ROW(INDEX(MO_CFS_CFF,1,COLUMN()))-ROW(INDEX(MO_SubSection_CFS_CFF,1,COLUMN())),1)),6)</f>
        <v>0</v>
      </c>
      <c r="BF658" s="1729">
        <f ca="1">ROUND(SUM(AE544,AF544,AG544,AH544)-SUM(OFFSET(INDEX(MO_CFS_CFF,1,COLUMN()),ROW(INDEX(MO_SubSection_CFS_CFF,1,COLUMN()))-ROW(INDEX(MO_CFS_CFF,1,COLUMN())),0,ROW(INDEX(MO_CFS_CFF,1,COLUMN()))-ROW(INDEX(MO_SubSection_CFS_CFF,1,COLUMN())),1)),6)</f>
        <v>0</v>
      </c>
      <c r="BG658" s="1728">
        <f ca="1">ROUND(SUM(AI544,AJ544,AK544,AL544)-SUM(OFFSET(INDEX(MO_CFS_CFF,1,COLUMN()),ROW(INDEX(MO_SubSection_CFS_CFF,1,COLUMN()))-ROW(INDEX(MO_CFS_CFF,1,COLUMN())),0,ROW(INDEX(MO_CFS_CFF,1,COLUMN()))-ROW(INDEX(MO_SubSection_CFS_CFF,1,COLUMN())),1)),6)</f>
        <v>0</v>
      </c>
      <c r="BH658" s="1728">
        <f ca="1">ROUND(SUM(AM544,AN544,AO544,AP544)-SUM(OFFSET(INDEX(MO_CFS_CFF,1,COLUMN()),ROW(INDEX(MO_SubSection_CFS_CFF,1,COLUMN()))-ROW(INDEX(MO_CFS_CFF,1,COLUMN())),0,ROW(INDEX(MO_CFS_CFF,1,COLUMN()))-ROW(INDEX(MO_SubSection_CFS_CFF,1,COLUMN())),1)),6)</f>
        <v>0</v>
      </c>
      <c r="BI658" s="1728"/>
      <c r="BJ658" s="1728"/>
      <c r="BK658" s="1728"/>
      <c r="BL658" s="1517"/>
    </row>
    <row r="659" spans="1:64" s="1518" customFormat="1" hidden="1" outlineLevel="1" x14ac:dyDescent="0.35">
      <c r="A659" s="1517" t="s">
        <v>1246</v>
      </c>
      <c r="B659" s="1958"/>
      <c r="C659" s="1728"/>
      <c r="D659" s="1728"/>
      <c r="E659" s="1728"/>
      <c r="F659" s="1728"/>
      <c r="G659" s="1728"/>
      <c r="H659" s="1728"/>
      <c r="I659" s="1728"/>
      <c r="J659" s="1728"/>
      <c r="K659" s="1728"/>
      <c r="L659" s="1728"/>
      <c r="M659" s="1728"/>
      <c r="N659" s="1728"/>
      <c r="O659" s="1728"/>
      <c r="P659" s="1728"/>
      <c r="Q659" s="1728"/>
      <c r="R659" s="1728"/>
      <c r="S659" s="1728"/>
      <c r="T659" s="1728"/>
      <c r="U659" s="1728"/>
      <c r="V659" s="1728"/>
      <c r="W659" s="1728"/>
      <c r="X659" s="1728"/>
      <c r="Y659" s="1728"/>
      <c r="Z659" s="1728"/>
      <c r="AA659" s="1728"/>
      <c r="AB659" s="1728"/>
      <c r="AC659" s="1728"/>
      <c r="AD659" s="1728"/>
      <c r="AE659" s="1728"/>
      <c r="AF659" s="1728"/>
      <c r="AG659" s="1728"/>
      <c r="AH659" s="1728"/>
      <c r="AI659" s="1728"/>
      <c r="AJ659" s="1729"/>
      <c r="AK659" s="1728"/>
      <c r="AL659" s="1728"/>
      <c r="AM659" s="1728"/>
      <c r="AN659" s="1728"/>
      <c r="AO659" s="1728"/>
      <c r="AP659" s="1728"/>
      <c r="AQ659" s="1728"/>
      <c r="AR659" s="1728"/>
      <c r="AS659" s="1728"/>
      <c r="AT659" s="1728"/>
      <c r="AU659" s="1728"/>
      <c r="AV659" s="1728"/>
      <c r="AW659" s="1728"/>
      <c r="AX659" s="1728"/>
      <c r="AY659" s="1728"/>
      <c r="AZ659" s="1728"/>
      <c r="BA659" s="1728"/>
      <c r="BB659" s="1728"/>
      <c r="BC659" s="1728"/>
      <c r="BD659" s="1728">
        <f>ROUND(SUM(INDEX(MO_CFSum_Acquisition,0,COLUMN()),INDEX(MO_CFSum_Capex,0,COLUMN()),INDEX(MO_CFSum_Divestiture,0,COLUMN()),INDEX(MO_CFSum_Dividend,0,COLUMN()))-SUM(W360,X360,Y360,Z360,W361,X361,Y361,Z361,W362,X362,Y362,Z362)-SUM(W358,X358,Y358,Z358),6)</f>
        <v>0</v>
      </c>
      <c r="BE659" s="1728">
        <f>ROUND(SUM(INDEX(MO_CFSum_Acquisition,0,COLUMN()),INDEX(MO_CFSum_Capex,0,COLUMN()),INDEX(MO_CFSum_Divestiture,0,COLUMN()),INDEX(MO_CFSum_Dividend,0,COLUMN()))-SUM(AA360,AB360,AC360,AD360,AA361,AB361,AC361,AD361,AA362,AB362,AC362,AD362)-SUM(AA358,AB358,AC358,AD358),6)</f>
        <v>0</v>
      </c>
      <c r="BF659" s="1729">
        <f>ROUND(SUM(INDEX(MO_CFSum_Acquisition,0,COLUMN()),INDEX(MO_CFSum_Capex,0,COLUMN()),INDEX(MO_CFSum_Divestiture,0,COLUMN()),INDEX(MO_CFSum_Dividend,0,COLUMN()))-SUM(AE360,AF360,AG360,AH360,AE361,AF361,AG361,AH361,AE362,AF362,AG362,AH362)-SUM(AE358,AF358,AG358,AH358),6)</f>
        <v>0</v>
      </c>
      <c r="BG659" s="1728">
        <f ca="1">ROUND(SUM(INDEX(MO_CFSum_Acquisition,0,COLUMN()),INDEX(MO_CFSum_Capex,0,COLUMN()),INDEX(MO_CFSum_Divestiture,0,COLUMN()),INDEX(MO_CFSum_Dividend,0,COLUMN()))-SUM(AI360,AJ360,AK360,AL360,AI361,AJ361,AK361,AL361,AI362,AJ362,AK362,AL362)-SUM(AI358,AJ358,AK358,AL358),6)</f>
        <v>0</v>
      </c>
      <c r="BH659" s="1728">
        <f ca="1">ROUND(SUM(INDEX(MO_CFSum_Acquisition,0,COLUMN()),INDEX(MO_CFSum_Capex,0,COLUMN()),INDEX(MO_CFSum_Divestiture,0,COLUMN()),INDEX(MO_CFSum_Dividend,0,COLUMN()))-SUM(AM360,AN360,AO360,AP360,AM361,AN361,AO361,AP361,AM362,AN362,AO362,AP362)-SUM(AM358,AN358,AO358,AP358),6)</f>
        <v>0</v>
      </c>
      <c r="BI659" s="1728"/>
      <c r="BJ659" s="1728"/>
      <c r="BK659" s="1728"/>
      <c r="BL659" s="1517"/>
    </row>
    <row r="660" spans="1:64" s="1518" customFormat="1" collapsed="1" x14ac:dyDescent="0.35">
      <c r="A660" s="1515"/>
      <c r="B660" s="1958"/>
      <c r="C660" s="1958"/>
      <c r="D660" s="1515"/>
      <c r="E660" s="1958"/>
      <c r="F660" s="1958"/>
      <c r="G660" s="1958"/>
      <c r="H660" s="1515"/>
      <c r="I660" s="1958"/>
      <c r="J660" s="1958"/>
      <c r="K660" s="1958"/>
      <c r="L660" s="1515"/>
      <c r="M660" s="1958"/>
      <c r="N660" s="1958"/>
      <c r="O660" s="1958"/>
      <c r="P660" s="1515"/>
      <c r="Q660" s="1958"/>
      <c r="R660" s="1958"/>
      <c r="S660" s="1958"/>
      <c r="T660" s="1515"/>
      <c r="U660" s="1958"/>
      <c r="V660" s="1958"/>
      <c r="W660" s="1958"/>
      <c r="X660" s="1515"/>
      <c r="Y660" s="1958"/>
      <c r="Z660" s="1958"/>
      <c r="AA660" s="1958"/>
      <c r="AB660" s="1515"/>
      <c r="AC660" s="1958"/>
      <c r="AD660" s="1958"/>
      <c r="AE660" s="1958"/>
      <c r="AF660" s="1515"/>
      <c r="AG660" s="1958"/>
      <c r="AH660" s="1958"/>
      <c r="AI660" s="1958"/>
      <c r="AJ660" s="1516"/>
      <c r="AK660" s="1515"/>
      <c r="AL660" s="1515"/>
      <c r="AM660" s="1515"/>
      <c r="AN660" s="1515"/>
      <c r="AO660" s="1515"/>
      <c r="AP660" s="1515"/>
      <c r="AQ660" s="1515"/>
      <c r="AR660" s="1958"/>
      <c r="AS660" s="1958"/>
      <c r="AT660" s="1958"/>
      <c r="AU660" s="1958"/>
      <c r="AV660" s="1958"/>
      <c r="AW660" s="1958"/>
      <c r="AX660" s="1958"/>
      <c r="AY660" s="1958"/>
      <c r="AZ660" s="1958"/>
      <c r="BA660" s="1958"/>
      <c r="BB660" s="1958"/>
      <c r="BC660" s="1958"/>
      <c r="BD660" s="1958"/>
      <c r="BE660" s="1958"/>
      <c r="BF660" s="1964"/>
      <c r="BG660" s="1515"/>
      <c r="BH660" s="1515"/>
      <c r="BI660" s="1515"/>
      <c r="BJ660" s="1515"/>
      <c r="BK660" s="1515"/>
      <c r="BL660" s="1517"/>
    </row>
    <row r="661" spans="1:64" s="1518" customFormat="1" x14ac:dyDescent="0.35">
      <c r="A661" s="2068" t="s">
        <v>1247</v>
      </c>
      <c r="B661" s="2068"/>
      <c r="C661" s="2068"/>
      <c r="D661" s="2068"/>
      <c r="E661" s="2068"/>
      <c r="F661" s="2068"/>
      <c r="G661" s="2068"/>
      <c r="H661" s="2068"/>
      <c r="I661" s="2068"/>
      <c r="J661" s="2068"/>
      <c r="K661" s="2068"/>
      <c r="L661" s="2068"/>
      <c r="M661" s="2068"/>
      <c r="N661" s="2068"/>
      <c r="O661" s="2068"/>
      <c r="P661" s="2068"/>
      <c r="Q661" s="2068"/>
      <c r="R661" s="2068"/>
      <c r="S661" s="2068"/>
      <c r="T661" s="2068"/>
      <c r="U661" s="2068"/>
      <c r="V661" s="2068"/>
      <c r="W661" s="2068"/>
      <c r="X661" s="2068"/>
      <c r="Y661" s="2068"/>
      <c r="Z661" s="2068"/>
      <c r="AA661" s="2068"/>
      <c r="AB661" s="2068"/>
      <c r="AC661" s="2068"/>
      <c r="AD661" s="2068"/>
      <c r="AE661" s="2068"/>
      <c r="AF661" s="2068"/>
      <c r="AG661" s="2068"/>
      <c r="AH661" s="2068"/>
      <c r="AI661" s="2068"/>
      <c r="AJ661" s="2068"/>
      <c r="AK661" s="2068"/>
      <c r="AL661" s="2068"/>
      <c r="AM661" s="2068"/>
      <c r="AN661" s="2068"/>
      <c r="AO661" s="2068"/>
      <c r="AP661" s="2068"/>
      <c r="AQ661" s="2068"/>
      <c r="AR661" s="2068"/>
      <c r="AS661" s="2068"/>
      <c r="AT661" s="2068"/>
      <c r="AU661" s="2068"/>
      <c r="AV661" s="2068"/>
      <c r="AW661" s="2068"/>
      <c r="AX661" s="2068"/>
      <c r="AY661" s="2068"/>
      <c r="AZ661" s="2068"/>
      <c r="BA661" s="2068"/>
      <c r="BB661" s="2068"/>
      <c r="BC661" s="2068"/>
      <c r="BD661" s="2068"/>
      <c r="BE661" s="2068"/>
      <c r="BF661" s="2068"/>
      <c r="BG661" s="2068"/>
      <c r="BH661" s="2068"/>
      <c r="BI661" s="2068"/>
      <c r="BJ661" s="2068"/>
      <c r="BK661" s="2068"/>
      <c r="BL661" s="1517"/>
    </row>
    <row r="662" spans="1:64" s="1518" customFormat="1" x14ac:dyDescent="0.35">
      <c r="A662" s="2070"/>
      <c r="B662" s="1515"/>
      <c r="C662" s="1515"/>
      <c r="D662" s="1515"/>
      <c r="E662" s="1515"/>
      <c r="F662" s="1515"/>
      <c r="G662" s="1515"/>
      <c r="H662" s="1515"/>
      <c r="I662" s="1515"/>
      <c r="J662" s="1515"/>
      <c r="K662" s="1515"/>
      <c r="L662" s="1515"/>
      <c r="M662" s="1515"/>
      <c r="N662" s="1515"/>
      <c r="O662" s="1515"/>
      <c r="P662" s="1515"/>
      <c r="Q662" s="1515"/>
      <c r="R662" s="1515"/>
      <c r="S662" s="1515"/>
      <c r="T662" s="1515"/>
      <c r="U662" s="1515"/>
      <c r="V662" s="1515"/>
      <c r="W662" s="1515"/>
      <c r="X662" s="1515"/>
      <c r="Y662" s="1515"/>
      <c r="Z662" s="1515"/>
      <c r="AA662" s="1515"/>
      <c r="AB662" s="1515"/>
      <c r="AC662" s="1515"/>
      <c r="AD662" s="1515"/>
      <c r="AE662" s="1515"/>
      <c r="AF662" s="1515"/>
      <c r="AG662" s="1515"/>
      <c r="AH662" s="1515"/>
      <c r="AI662" s="1515"/>
      <c r="AJ662" s="1515"/>
      <c r="AK662" s="1515"/>
      <c r="AL662" s="1515"/>
      <c r="AM662" s="1515"/>
      <c r="AN662" s="1515"/>
      <c r="AO662" s="1515"/>
      <c r="AP662" s="1515"/>
      <c r="AQ662" s="1515"/>
      <c r="AR662" s="2071"/>
      <c r="AS662" s="2071"/>
      <c r="AT662" s="1515"/>
      <c r="AU662" s="1515"/>
      <c r="AV662" s="1515"/>
      <c r="AW662" s="1515"/>
      <c r="AX662" s="1515"/>
      <c r="AY662" s="1515"/>
      <c r="AZ662" s="1515"/>
      <c r="BA662" s="1515"/>
      <c r="BB662" s="1515"/>
      <c r="BC662" s="1515"/>
      <c r="BD662" s="1515"/>
      <c r="BE662" s="1515"/>
      <c r="BF662" s="1515"/>
      <c r="BG662" s="1515"/>
      <c r="BH662" s="1515"/>
      <c r="BI662" s="1515"/>
      <c r="BJ662" s="1515"/>
      <c r="BK662" s="1515"/>
      <c r="BL662" s="1517"/>
    </row>
    <row r="663" spans="1:64" s="1631" customFormat="1" x14ac:dyDescent="0.35">
      <c r="A663" s="2072" t="s">
        <v>1248</v>
      </c>
      <c r="B663" s="1783"/>
      <c r="C663" s="1783"/>
      <c r="D663" s="1783"/>
      <c r="E663" s="1783"/>
      <c r="F663" s="1783"/>
      <c r="G663" s="1783"/>
      <c r="H663" s="1783"/>
      <c r="I663" s="1783"/>
      <c r="J663" s="1783"/>
      <c r="K663" s="1783"/>
      <c r="L663" s="1783"/>
      <c r="M663" s="1783"/>
      <c r="N663" s="1783"/>
      <c r="O663" s="1783"/>
      <c r="P663" s="1783"/>
      <c r="Q663" s="1783"/>
      <c r="R663" s="1783"/>
      <c r="S663" s="1783"/>
      <c r="T663" s="1783"/>
      <c r="U663" s="1783"/>
      <c r="V663" s="1783"/>
      <c r="W663" s="1783"/>
      <c r="X663" s="1783"/>
      <c r="Y663" s="1783"/>
      <c r="Z663" s="1783"/>
      <c r="AA663" s="1783"/>
      <c r="AB663" s="1783"/>
      <c r="AC663" s="1783"/>
      <c r="AD663" s="1783"/>
      <c r="AE663" s="1783"/>
      <c r="AF663" s="1783"/>
      <c r="AG663" s="1783"/>
      <c r="AH663" s="1783"/>
      <c r="AI663" s="1783"/>
      <c r="AJ663" s="1783"/>
      <c r="AK663" s="1783"/>
      <c r="AL663" s="1783"/>
      <c r="AM663" s="1783"/>
      <c r="AN663" s="1783"/>
      <c r="AO663" s="1783"/>
      <c r="AP663" s="1783"/>
      <c r="AQ663" s="1783"/>
      <c r="AR663" s="2073"/>
      <c r="AS663" s="2073"/>
      <c r="AT663" s="1783"/>
      <c r="AU663" s="1783"/>
      <c r="AV663" s="1783"/>
      <c r="AW663" s="1783"/>
      <c r="AX663" s="1783"/>
      <c r="AY663" s="1783"/>
      <c r="AZ663" s="1783"/>
      <c r="BA663" s="1783"/>
      <c r="BB663" s="1783"/>
      <c r="BC663" s="1783"/>
      <c r="BD663" s="1783"/>
      <c r="BE663" s="1783"/>
      <c r="BF663" s="1783"/>
      <c r="BG663" s="1783"/>
      <c r="BH663" s="1783"/>
      <c r="BI663" s="1783"/>
      <c r="BJ663" s="1783"/>
      <c r="BK663" s="1783"/>
      <c r="BL663" s="1630"/>
    </row>
    <row r="664" spans="1:64" s="1631" customFormat="1" x14ac:dyDescent="0.35">
      <c r="A664" s="2074" t="s">
        <v>1249</v>
      </c>
      <c r="B664" s="1783"/>
      <c r="C664" s="1783"/>
      <c r="D664" s="1783"/>
      <c r="E664" s="1783"/>
      <c r="F664" s="1783"/>
      <c r="G664" s="1783"/>
      <c r="H664" s="1783"/>
      <c r="I664" s="1783"/>
      <c r="J664" s="1783"/>
      <c r="K664" s="1783"/>
      <c r="L664" s="1783"/>
      <c r="M664" s="1783"/>
      <c r="N664" s="1783"/>
      <c r="O664" s="1783"/>
      <c r="P664" s="1783"/>
      <c r="Q664" s="1783"/>
      <c r="R664" s="1783"/>
      <c r="S664" s="1783"/>
      <c r="T664" s="1783"/>
      <c r="U664" s="1783"/>
      <c r="V664" s="1783"/>
      <c r="W664" s="1783"/>
      <c r="X664" s="1783"/>
      <c r="Y664" s="1783"/>
      <c r="Z664" s="1783"/>
      <c r="AA664" s="1783"/>
      <c r="AB664" s="1783"/>
      <c r="AC664" s="1783"/>
      <c r="AD664" s="1783"/>
      <c r="AE664" s="1783"/>
      <c r="AF664" s="1783"/>
      <c r="AG664" s="1783"/>
      <c r="AH664" s="1783"/>
      <c r="AI664" s="1783"/>
      <c r="AJ664" s="1783"/>
      <c r="AK664" s="1783"/>
      <c r="AL664" s="1783"/>
      <c r="AM664" s="1783"/>
      <c r="AN664" s="1783"/>
      <c r="AO664" s="1783"/>
      <c r="AP664" s="1783"/>
      <c r="AQ664" s="1783"/>
      <c r="AR664" s="2073"/>
      <c r="AS664" s="2073"/>
      <c r="AT664" s="1783"/>
      <c r="AU664" s="1783"/>
      <c r="AV664" s="1783"/>
      <c r="AW664" s="1783"/>
      <c r="AX664" s="1783"/>
      <c r="AY664" s="1783"/>
      <c r="AZ664" s="1783"/>
      <c r="BA664" s="1783"/>
      <c r="BB664" s="1783"/>
      <c r="BC664" s="1783"/>
      <c r="BD664" s="1783"/>
      <c r="BE664" s="1783"/>
      <c r="BF664" s="1783"/>
      <c r="BG664" s="1783"/>
      <c r="BH664" s="1783"/>
      <c r="BI664" s="1783"/>
      <c r="BJ664" s="1783"/>
      <c r="BK664" s="1783"/>
      <c r="BL664" s="1630"/>
    </row>
    <row r="665" spans="1:64" s="1631" customFormat="1" x14ac:dyDescent="0.35">
      <c r="A665" s="2075" t="s">
        <v>1250</v>
      </c>
      <c r="B665" s="1783"/>
      <c r="C665" s="1783"/>
      <c r="D665" s="1783"/>
      <c r="E665" s="1783"/>
      <c r="F665" s="1783"/>
      <c r="G665" s="1783"/>
      <c r="H665" s="1783"/>
      <c r="I665" s="1783"/>
      <c r="J665" s="1783"/>
      <c r="K665" s="1783"/>
      <c r="L665" s="1783"/>
      <c r="M665" s="1783"/>
      <c r="N665" s="1783"/>
      <c r="O665" s="1783"/>
      <c r="P665" s="1783"/>
      <c r="Q665" s="1783"/>
      <c r="R665" s="1783"/>
      <c r="S665" s="1783"/>
      <c r="T665" s="1783"/>
      <c r="U665" s="1783"/>
      <c r="V665" s="1783"/>
      <c r="W665" s="1783"/>
      <c r="X665" s="1783"/>
      <c r="Y665" s="1783"/>
      <c r="Z665" s="1783"/>
      <c r="AA665" s="1783"/>
      <c r="AB665" s="1783"/>
      <c r="AC665" s="1783"/>
      <c r="AD665" s="1783"/>
      <c r="AE665" s="1783"/>
      <c r="AF665" s="1783"/>
      <c r="AG665" s="1783"/>
      <c r="AH665" s="1783"/>
      <c r="AI665" s="1783"/>
      <c r="AJ665" s="1783"/>
      <c r="AK665" s="1783"/>
      <c r="AL665" s="1783"/>
      <c r="AM665" s="1783"/>
      <c r="AN665" s="1783"/>
      <c r="AO665" s="1783"/>
      <c r="AP665" s="1783"/>
      <c r="AQ665" s="1783"/>
      <c r="AR665" s="2073"/>
      <c r="AS665" s="2073"/>
      <c r="AT665" s="1783"/>
      <c r="AU665" s="1783"/>
      <c r="AV665" s="1783"/>
      <c r="AW665" s="1783"/>
      <c r="AX665" s="1783"/>
      <c r="AY665" s="1783"/>
      <c r="AZ665" s="1783"/>
      <c r="BA665" s="1783"/>
      <c r="BB665" s="1783"/>
      <c r="BC665" s="1783"/>
      <c r="BD665" s="1783"/>
      <c r="BE665" s="1783"/>
      <c r="BF665" s="1783"/>
      <c r="BG665" s="1783"/>
      <c r="BH665" s="1783"/>
      <c r="BI665" s="1783"/>
      <c r="BJ665" s="1783"/>
      <c r="BK665" s="1783"/>
      <c r="BL665" s="1630"/>
    </row>
    <row r="666" spans="1:64" s="1631" customFormat="1" x14ac:dyDescent="0.35">
      <c r="A666" s="2076" t="s">
        <v>1251</v>
      </c>
      <c r="B666" s="1783"/>
      <c r="C666" s="1783"/>
      <c r="D666" s="1783"/>
      <c r="E666" s="1783"/>
      <c r="F666" s="1783"/>
      <c r="G666" s="1783"/>
      <c r="H666" s="1783"/>
      <c r="I666" s="1783"/>
      <c r="J666" s="1783"/>
      <c r="K666" s="1783"/>
      <c r="L666" s="1783"/>
      <c r="M666" s="1783"/>
      <c r="N666" s="1783"/>
      <c r="O666" s="1783"/>
      <c r="P666" s="1783"/>
      <c r="Q666" s="1783"/>
      <c r="R666" s="1783"/>
      <c r="S666" s="1783"/>
      <c r="T666" s="1783"/>
      <c r="U666" s="1783"/>
      <c r="V666" s="1783"/>
      <c r="W666" s="1783"/>
      <c r="X666" s="1783"/>
      <c r="Y666" s="1783"/>
      <c r="Z666" s="1783"/>
      <c r="AA666" s="1783"/>
      <c r="AB666" s="1783"/>
      <c r="AC666" s="1783"/>
      <c r="AD666" s="1783"/>
      <c r="AE666" s="1783"/>
      <c r="AF666" s="1783"/>
      <c r="AG666" s="1783"/>
      <c r="AH666" s="1783"/>
      <c r="AI666" s="1783"/>
      <c r="AJ666" s="1783"/>
      <c r="AK666" s="1783"/>
      <c r="AL666" s="1783"/>
      <c r="AM666" s="1783"/>
      <c r="AN666" s="1783"/>
      <c r="AO666" s="1783"/>
      <c r="AP666" s="1783"/>
      <c r="AQ666" s="1783"/>
      <c r="AR666" s="2073"/>
      <c r="AS666" s="2073"/>
      <c r="AT666" s="1783"/>
      <c r="AU666" s="1783"/>
      <c r="AV666" s="1783"/>
      <c r="AW666" s="1783"/>
      <c r="AX666" s="1783"/>
      <c r="AY666" s="1783"/>
      <c r="AZ666" s="1783"/>
      <c r="BA666" s="1783"/>
      <c r="BB666" s="1783"/>
      <c r="BC666" s="1783"/>
      <c r="BD666" s="1783"/>
      <c r="BE666" s="1783"/>
      <c r="BF666" s="1783"/>
      <c r="BG666" s="1783"/>
      <c r="BH666" s="1783"/>
      <c r="BI666" s="1783"/>
      <c r="BJ666" s="1783"/>
      <c r="BK666" s="1783"/>
      <c r="BL666" s="1630"/>
    </row>
    <row r="667" spans="1:64" s="1631" customFormat="1" x14ac:dyDescent="0.35">
      <c r="A667" s="2077" t="s">
        <v>1252</v>
      </c>
      <c r="B667" s="1783"/>
      <c r="C667" s="1783"/>
      <c r="D667" s="1783"/>
      <c r="E667" s="1783"/>
      <c r="F667" s="1783"/>
      <c r="G667" s="1783"/>
      <c r="H667" s="1783"/>
      <c r="I667" s="1783"/>
      <c r="J667" s="1783"/>
      <c r="K667" s="1783"/>
      <c r="L667" s="1783"/>
      <c r="M667" s="1783"/>
      <c r="N667" s="1783"/>
      <c r="O667" s="1783"/>
      <c r="P667" s="1783"/>
      <c r="Q667" s="1783"/>
      <c r="R667" s="1783"/>
      <c r="S667" s="1783"/>
      <c r="T667" s="1783"/>
      <c r="U667" s="1783"/>
      <c r="V667" s="1783"/>
      <c r="W667" s="1783"/>
      <c r="X667" s="1783"/>
      <c r="Y667" s="1783"/>
      <c r="Z667" s="1783"/>
      <c r="AA667" s="1783"/>
      <c r="AB667" s="1783"/>
      <c r="AC667" s="1783"/>
      <c r="AD667" s="1783"/>
      <c r="AE667" s="1783"/>
      <c r="AF667" s="1783"/>
      <c r="AG667" s="1783"/>
      <c r="AH667" s="1783"/>
      <c r="AI667" s="1783"/>
      <c r="AJ667" s="1783"/>
      <c r="AK667" s="1783"/>
      <c r="AL667" s="1783"/>
      <c r="AM667" s="1783"/>
      <c r="AN667" s="1783"/>
      <c r="AO667" s="1783"/>
      <c r="AP667" s="1783"/>
      <c r="AQ667" s="1783"/>
      <c r="AR667" s="2073"/>
      <c r="AS667" s="2073"/>
      <c r="AT667" s="1783"/>
      <c r="AU667" s="1783"/>
      <c r="AV667" s="1783"/>
      <c r="AW667" s="1783"/>
      <c r="AX667" s="1783"/>
      <c r="AY667" s="1783"/>
      <c r="AZ667" s="1783"/>
      <c r="BA667" s="1783"/>
      <c r="BB667" s="1783"/>
      <c r="BC667" s="1783"/>
      <c r="BD667" s="1783"/>
      <c r="BE667" s="1783"/>
      <c r="BF667" s="1783"/>
      <c r="BG667" s="1783"/>
      <c r="BH667" s="1783"/>
      <c r="BI667" s="1783"/>
      <c r="BJ667" s="1783"/>
      <c r="BK667" s="1783"/>
      <c r="BL667" s="1630"/>
    </row>
    <row r="668" spans="1:64" s="1631" customFormat="1" x14ac:dyDescent="0.35">
      <c r="A668" s="2078" t="s">
        <v>1253</v>
      </c>
      <c r="B668" s="1783"/>
      <c r="C668" s="1783"/>
      <c r="D668" s="1783"/>
      <c r="E668" s="1783"/>
      <c r="F668" s="1783"/>
      <c r="G668" s="1783"/>
      <c r="H668" s="1783"/>
      <c r="I668" s="1783"/>
      <c r="J668" s="1783"/>
      <c r="K668" s="1783"/>
      <c r="L668" s="1783"/>
      <c r="M668" s="1783"/>
      <c r="N668" s="1783"/>
      <c r="O668" s="1783"/>
      <c r="P668" s="1783"/>
      <c r="Q668" s="1783"/>
      <c r="R668" s="1783"/>
      <c r="S668" s="1783"/>
      <c r="T668" s="1783"/>
      <c r="U668" s="1783"/>
      <c r="V668" s="1783"/>
      <c r="W668" s="1783"/>
      <c r="X668" s="1783"/>
      <c r="Y668" s="1783"/>
      <c r="Z668" s="1783"/>
      <c r="AA668" s="1783"/>
      <c r="AB668" s="1783"/>
      <c r="AC668" s="1783"/>
      <c r="AD668" s="1783"/>
      <c r="AE668" s="1783"/>
      <c r="AF668" s="1783"/>
      <c r="AG668" s="1783"/>
      <c r="AH668" s="1783"/>
      <c r="AI668" s="1783"/>
      <c r="AJ668" s="1783"/>
      <c r="AK668" s="1783"/>
      <c r="AL668" s="1783"/>
      <c r="AM668" s="1783"/>
      <c r="AN668" s="1783"/>
      <c r="AO668" s="1783"/>
      <c r="AP668" s="1783"/>
      <c r="AQ668" s="1783"/>
      <c r="AR668" s="2073"/>
      <c r="AS668" s="2073"/>
      <c r="AT668" s="1783"/>
      <c r="AU668" s="1783"/>
      <c r="AV668" s="1783"/>
      <c r="AW668" s="1783"/>
      <c r="AX668" s="1783"/>
      <c r="AY668" s="1783"/>
      <c r="AZ668" s="1783"/>
      <c r="BA668" s="1783"/>
      <c r="BB668" s="1783"/>
      <c r="BC668" s="1783"/>
      <c r="BD668" s="1783"/>
      <c r="BE668" s="1783"/>
      <c r="BF668" s="1783"/>
      <c r="BG668" s="1783"/>
      <c r="BH668" s="1783"/>
      <c r="BI668" s="1783"/>
      <c r="BJ668" s="1783"/>
      <c r="BK668" s="1783"/>
      <c r="BL668" s="1630"/>
    </row>
    <row r="669" spans="1:64" s="1631" customFormat="1" x14ac:dyDescent="0.35">
      <c r="A669" s="2070"/>
      <c r="B669" s="1783"/>
      <c r="C669" s="1783"/>
      <c r="D669" s="1783"/>
      <c r="E669" s="1783"/>
      <c r="F669" s="1783"/>
      <c r="G669" s="1783"/>
      <c r="H669" s="1783"/>
      <c r="I669" s="1783"/>
      <c r="J669" s="1783"/>
      <c r="K669" s="1783"/>
      <c r="L669" s="1783"/>
      <c r="M669" s="1783"/>
      <c r="N669" s="1783"/>
      <c r="O669" s="1783"/>
      <c r="P669" s="1783"/>
      <c r="Q669" s="1783"/>
      <c r="R669" s="1783"/>
      <c r="S669" s="1783"/>
      <c r="T669" s="1783"/>
      <c r="U669" s="1783"/>
      <c r="V669" s="1783"/>
      <c r="W669" s="1783"/>
      <c r="X669" s="1783"/>
      <c r="Y669" s="1783"/>
      <c r="Z669" s="1783"/>
      <c r="AA669" s="1783"/>
      <c r="AB669" s="1783"/>
      <c r="AC669" s="1783"/>
      <c r="AD669" s="1783"/>
      <c r="AE669" s="1783"/>
      <c r="AF669" s="1783"/>
      <c r="AG669" s="1783"/>
      <c r="AH669" s="1783"/>
      <c r="AI669" s="1783"/>
      <c r="AJ669" s="1783"/>
      <c r="AK669" s="1783"/>
      <c r="AL669" s="1783"/>
      <c r="AM669" s="1783"/>
      <c r="AN669" s="1783"/>
      <c r="AO669" s="1783"/>
      <c r="AP669" s="1783"/>
      <c r="AQ669" s="1783"/>
      <c r="AR669" s="2073"/>
      <c r="AS669" s="2073"/>
      <c r="AT669" s="1783"/>
      <c r="AU669" s="1783"/>
      <c r="AV669" s="1783"/>
      <c r="AW669" s="1783"/>
      <c r="AX669" s="1783"/>
      <c r="AY669" s="1783"/>
      <c r="AZ669" s="1783"/>
      <c r="BA669" s="1783"/>
      <c r="BB669" s="1783"/>
      <c r="BC669" s="1783"/>
      <c r="BD669" s="1783"/>
      <c r="BE669" s="1783"/>
      <c r="BF669" s="1783"/>
      <c r="BG669" s="1783"/>
      <c r="BH669" s="1783"/>
      <c r="BI669" s="1783"/>
      <c r="BJ669" s="1783"/>
      <c r="BK669" s="1783"/>
      <c r="BL669" s="1630"/>
    </row>
    <row r="670" spans="1:64" x14ac:dyDescent="0.35">
      <c r="A670" s="2079" t="s">
        <v>1254</v>
      </c>
      <c r="B670" s="2080"/>
      <c r="C670" s="1521"/>
      <c r="D670" s="1521"/>
      <c r="E670" s="1521"/>
      <c r="F670" s="1521"/>
      <c r="G670" s="1521"/>
      <c r="H670" s="1521"/>
      <c r="I670" s="1521"/>
      <c r="J670" s="1521"/>
      <c r="K670" s="1521"/>
      <c r="L670" s="1521"/>
      <c r="M670" s="1521"/>
      <c r="N670" s="1521"/>
      <c r="O670" s="1521"/>
      <c r="P670" s="1521"/>
      <c r="Q670" s="1521"/>
      <c r="R670" s="1521"/>
      <c r="S670" s="1521"/>
      <c r="T670" s="1521"/>
      <c r="U670" s="1521"/>
      <c r="V670" s="1521"/>
      <c r="W670" s="1521"/>
      <c r="X670" s="1521"/>
      <c r="Y670" s="1521"/>
      <c r="Z670" s="1521"/>
      <c r="AA670" s="1521"/>
      <c r="AB670" s="1521"/>
      <c r="AC670" s="1521"/>
      <c r="AD670" s="1521"/>
      <c r="AE670" s="1521"/>
      <c r="AF670" s="1521"/>
      <c r="AG670" s="1521"/>
      <c r="AH670" s="1521"/>
      <c r="AI670" s="1521"/>
      <c r="AJ670" s="1521"/>
      <c r="AK670" s="1521"/>
      <c r="AL670" s="1521"/>
      <c r="AM670" s="1521"/>
      <c r="AN670" s="1521"/>
      <c r="AO670" s="1521"/>
      <c r="AP670" s="1521"/>
      <c r="AQ670" s="1521"/>
      <c r="AR670" s="1521"/>
      <c r="AS670" s="1521"/>
      <c r="AT670" s="1521"/>
      <c r="AU670" s="1521"/>
      <c r="AV670" s="1521"/>
      <c r="AW670" s="1521"/>
      <c r="AX670" s="1521"/>
      <c r="AY670" s="1521"/>
      <c r="AZ670" s="1521"/>
      <c r="BA670" s="1521"/>
      <c r="BB670" s="1521"/>
      <c r="BC670" s="1521"/>
      <c r="BD670" s="1521"/>
      <c r="BE670" s="1521"/>
      <c r="BF670" s="1521"/>
      <c r="BG670" s="1521"/>
      <c r="BH670" s="1521"/>
      <c r="BI670" s="1521"/>
      <c r="BJ670" s="1521"/>
      <c r="BK670" s="1521"/>
      <c r="BL670" s="1526"/>
    </row>
    <row r="671" spans="1:64" s="1631" customFormat="1" x14ac:dyDescent="0.35">
      <c r="A671" s="2081" t="s">
        <v>1255</v>
      </c>
      <c r="B671" s="2082">
        <v>1</v>
      </c>
      <c r="C671" s="1783"/>
      <c r="D671" s="1783"/>
      <c r="E671" s="1783"/>
      <c r="F671" s="1783"/>
      <c r="G671" s="1783"/>
      <c r="H671" s="1783"/>
      <c r="I671" s="1783"/>
      <c r="J671" s="1783"/>
      <c r="K671" s="1783"/>
      <c r="L671" s="1783"/>
      <c r="M671" s="1783"/>
      <c r="N671" s="1783"/>
      <c r="O671" s="1783"/>
      <c r="P671" s="1783"/>
      <c r="Q671" s="1783"/>
      <c r="R671" s="1783"/>
      <c r="S671" s="1783"/>
      <c r="T671" s="1783"/>
      <c r="U671" s="1783"/>
      <c r="V671" s="1783"/>
      <c r="W671" s="1783"/>
      <c r="X671" s="1783"/>
      <c r="Y671" s="1783"/>
      <c r="Z671" s="1783"/>
      <c r="AA671" s="1783"/>
      <c r="AB671" s="1783"/>
      <c r="AC671" s="1783"/>
      <c r="AD671" s="1783"/>
      <c r="AE671" s="1783"/>
      <c r="AF671" s="1783"/>
      <c r="AG671" s="1783"/>
      <c r="AH671" s="1783"/>
      <c r="AI671" s="1783"/>
      <c r="AJ671" s="1783"/>
      <c r="AK671" s="1783"/>
      <c r="AL671" s="1783"/>
      <c r="AM671" s="1783"/>
      <c r="AN671" s="1783"/>
      <c r="AO671" s="1783"/>
      <c r="AP671" s="1783"/>
      <c r="AQ671" s="1783"/>
      <c r="AR671" s="1783"/>
      <c r="AS671" s="2073"/>
      <c r="AT671" s="1783"/>
      <c r="AU671" s="1783"/>
      <c r="AV671" s="1783"/>
      <c r="AW671" s="1783"/>
      <c r="AX671" s="1783"/>
      <c r="AY671" s="1783"/>
      <c r="AZ671" s="1783"/>
      <c r="BA671" s="1783"/>
      <c r="BB671" s="1783"/>
      <c r="BC671" s="1783"/>
      <c r="BD671" s="1783"/>
      <c r="BE671" s="1783"/>
      <c r="BF671" s="1783"/>
      <c r="BG671" s="1783"/>
      <c r="BH671" s="1783"/>
      <c r="BI671" s="1783"/>
      <c r="BJ671" s="1783"/>
      <c r="BK671" s="1783"/>
      <c r="BL671" s="1630"/>
    </row>
    <row r="672" spans="1:64" s="1631" customFormat="1" x14ac:dyDescent="0.35">
      <c r="A672" s="2081" t="s">
        <v>1256</v>
      </c>
      <c r="B672" s="2082">
        <v>2</v>
      </c>
      <c r="C672" s="1783"/>
      <c r="D672" s="1783"/>
      <c r="E672" s="1783"/>
      <c r="F672" s="1783"/>
      <c r="G672" s="1783"/>
      <c r="H672" s="1783"/>
      <c r="I672" s="1783"/>
      <c r="J672" s="1783"/>
      <c r="K672" s="1783"/>
      <c r="L672" s="1783"/>
      <c r="M672" s="1783"/>
      <c r="N672" s="1783"/>
      <c r="O672" s="1783"/>
      <c r="P672" s="1783"/>
      <c r="Q672" s="1783"/>
      <c r="R672" s="1783"/>
      <c r="S672" s="1783"/>
      <c r="T672" s="1783"/>
      <c r="U672" s="1783"/>
      <c r="V672" s="1783"/>
      <c r="W672" s="1783"/>
      <c r="X672" s="1783"/>
      <c r="Y672" s="1783"/>
      <c r="Z672" s="1783"/>
      <c r="AA672" s="1783"/>
      <c r="AB672" s="1783"/>
      <c r="AC672" s="1783"/>
      <c r="AD672" s="1783"/>
      <c r="AE672" s="1783"/>
      <c r="AF672" s="1783"/>
      <c r="AG672" s="1783"/>
      <c r="AH672" s="1783"/>
      <c r="AI672" s="1783"/>
      <c r="AJ672" s="1783"/>
      <c r="AK672" s="1783"/>
      <c r="AL672" s="1783"/>
      <c r="AM672" s="1783"/>
      <c r="AN672" s="1783"/>
      <c r="AO672" s="1783"/>
      <c r="AP672" s="1783"/>
      <c r="AQ672" s="1783"/>
      <c r="AR672" s="1783"/>
      <c r="AS672" s="2073"/>
      <c r="AT672" s="1783"/>
      <c r="AU672" s="1783"/>
      <c r="AV672" s="1783"/>
      <c r="AW672" s="1783"/>
      <c r="AX672" s="1783"/>
      <c r="AY672" s="1783"/>
      <c r="AZ672" s="1783"/>
      <c r="BA672" s="1783"/>
      <c r="BB672" s="1783"/>
      <c r="BC672" s="1783"/>
      <c r="BD672" s="1783"/>
      <c r="BE672" s="1783"/>
      <c r="BF672" s="1783"/>
      <c r="BG672" s="1783"/>
      <c r="BH672" s="1783"/>
      <c r="BI672" s="1783"/>
      <c r="BJ672" s="1783"/>
      <c r="BK672" s="1783"/>
      <c r="BL672" s="1630"/>
    </row>
    <row r="673" spans="1:64" s="1631" customFormat="1" x14ac:dyDescent="0.35">
      <c r="A673" s="2081" t="s">
        <v>1257</v>
      </c>
      <c r="B673" s="2082">
        <v>3</v>
      </c>
      <c r="C673" s="1783"/>
      <c r="D673" s="1783"/>
      <c r="E673" s="1783"/>
      <c r="F673" s="1783"/>
      <c r="G673" s="1783"/>
      <c r="H673" s="1783"/>
      <c r="I673" s="1783"/>
      <c r="J673" s="1783"/>
      <c r="K673" s="1783"/>
      <c r="L673" s="1783"/>
      <c r="M673" s="1783"/>
      <c r="N673" s="1783"/>
      <c r="O673" s="1783"/>
      <c r="P673" s="1783"/>
      <c r="Q673" s="1783"/>
      <c r="R673" s="1783"/>
      <c r="S673" s="1783"/>
      <c r="T673" s="1783"/>
      <c r="U673" s="1783"/>
      <c r="V673" s="1783"/>
      <c r="W673" s="1783"/>
      <c r="X673" s="1783"/>
      <c r="Y673" s="1783"/>
      <c r="Z673" s="1783"/>
      <c r="AA673" s="1783"/>
      <c r="AB673" s="1783"/>
      <c r="AC673" s="1783"/>
      <c r="AD673" s="1783"/>
      <c r="AE673" s="1783"/>
      <c r="AF673" s="1783"/>
      <c r="AG673" s="1783"/>
      <c r="AH673" s="1783"/>
      <c r="AI673" s="1783"/>
      <c r="AJ673" s="1783"/>
      <c r="AK673" s="1783"/>
      <c r="AL673" s="1783"/>
      <c r="AM673" s="1783"/>
      <c r="AN673" s="1783"/>
      <c r="AO673" s="1783"/>
      <c r="AP673" s="1783"/>
      <c r="AQ673" s="1783"/>
      <c r="AR673" s="1783"/>
      <c r="AS673" s="2073"/>
      <c r="AT673" s="1783"/>
      <c r="AU673" s="1783"/>
      <c r="AV673" s="1783"/>
      <c r="AW673" s="1783"/>
      <c r="AX673" s="1783"/>
      <c r="AY673" s="1783"/>
      <c r="AZ673" s="1783"/>
      <c r="BA673" s="1783"/>
      <c r="BB673" s="1783"/>
      <c r="BC673" s="1783"/>
      <c r="BD673" s="1783"/>
      <c r="BE673" s="1783"/>
      <c r="BF673" s="1783"/>
      <c r="BG673" s="1783"/>
      <c r="BH673" s="1783"/>
      <c r="BI673" s="1783"/>
      <c r="BJ673" s="1783"/>
      <c r="BK673" s="1783"/>
      <c r="BL673" s="1630"/>
    </row>
    <row r="674" spans="1:64" s="1631" customFormat="1" x14ac:dyDescent="0.35">
      <c r="A674" s="2083" t="s">
        <v>1158</v>
      </c>
      <c r="B674" s="2084">
        <v>4</v>
      </c>
      <c r="C674" s="1783"/>
      <c r="D674" s="1783"/>
      <c r="E674" s="1783"/>
      <c r="F674" s="1783"/>
      <c r="G674" s="1783"/>
      <c r="H674" s="1783"/>
      <c r="I674" s="1783"/>
      <c r="J674" s="1783"/>
      <c r="K674" s="1783"/>
      <c r="L674" s="1783"/>
      <c r="M674" s="1783"/>
      <c r="N674" s="1783"/>
      <c r="O674" s="1783"/>
      <c r="P674" s="1783"/>
      <c r="Q674" s="1783"/>
      <c r="R674" s="1783"/>
      <c r="S674" s="1783"/>
      <c r="T674" s="1783"/>
      <c r="U674" s="1783"/>
      <c r="V674" s="1783"/>
      <c r="W674" s="1783"/>
      <c r="X674" s="1783"/>
      <c r="Y674" s="1783"/>
      <c r="Z674" s="1783"/>
      <c r="AA674" s="1783"/>
      <c r="AB674" s="1783"/>
      <c r="AC674" s="1783"/>
      <c r="AD674" s="1783"/>
      <c r="AE674" s="1783"/>
      <c r="AF674" s="1783"/>
      <c r="AG674" s="1783"/>
      <c r="AH674" s="1783"/>
      <c r="AI674" s="1783"/>
      <c r="AJ674" s="1783"/>
      <c r="AK674" s="1783"/>
      <c r="AL674" s="1783"/>
      <c r="AM674" s="1783"/>
      <c r="AN674" s="1783"/>
      <c r="AO674" s="1783"/>
      <c r="AP674" s="1783"/>
      <c r="AQ674" s="1783"/>
      <c r="AR674" s="1783"/>
      <c r="AS674" s="2073"/>
      <c r="AT674" s="1783"/>
      <c r="AU674" s="1783"/>
      <c r="AV674" s="1783"/>
      <c r="AW674" s="1783"/>
      <c r="AX674" s="1783"/>
      <c r="AY674" s="1783"/>
      <c r="AZ674" s="1783"/>
      <c r="BA674" s="1783"/>
      <c r="BB674" s="1783"/>
      <c r="BC674" s="1783"/>
      <c r="BD674" s="1783"/>
      <c r="BE674" s="1783"/>
      <c r="BF674" s="1783"/>
      <c r="BG674" s="1783"/>
      <c r="BH674" s="1783"/>
      <c r="BI674" s="1783"/>
      <c r="BJ674" s="1783"/>
      <c r="BK674" s="1783"/>
      <c r="BL674" s="1630"/>
    </row>
    <row r="675" spans="1:64" s="1631" customFormat="1" x14ac:dyDescent="0.35">
      <c r="A675" s="2070"/>
      <c r="B675" s="1783"/>
      <c r="C675" s="1783"/>
      <c r="D675" s="1783"/>
      <c r="E675" s="1783"/>
      <c r="F675" s="1783"/>
      <c r="G675" s="1783"/>
      <c r="H675" s="1783"/>
      <c r="I675" s="1783"/>
      <c r="J675" s="1783"/>
      <c r="K675" s="1783"/>
      <c r="L675" s="1783"/>
      <c r="M675" s="1783"/>
      <c r="N675" s="1783"/>
      <c r="O675" s="1783"/>
      <c r="P675" s="1783"/>
      <c r="Q675" s="1783"/>
      <c r="R675" s="1783"/>
      <c r="S675" s="1783"/>
      <c r="T675" s="1783"/>
      <c r="U675" s="1783"/>
      <c r="V675" s="1783"/>
      <c r="W675" s="1783"/>
      <c r="X675" s="1783"/>
      <c r="Y675" s="1783"/>
      <c r="Z675" s="1783"/>
      <c r="AA675" s="1783"/>
      <c r="AB675" s="1783"/>
      <c r="AC675" s="1783"/>
      <c r="AD675" s="1783"/>
      <c r="AE675" s="1783"/>
      <c r="AF675" s="1783"/>
      <c r="AG675" s="1783"/>
      <c r="AH675" s="1783"/>
      <c r="AI675" s="1783"/>
      <c r="AJ675" s="1783"/>
      <c r="AK675" s="1783"/>
      <c r="AL675" s="1783"/>
      <c r="AM675" s="1783"/>
      <c r="AN675" s="1783"/>
      <c r="AO675" s="1783"/>
      <c r="AP675" s="1783"/>
      <c r="AQ675" s="1783"/>
      <c r="AR675" s="2073"/>
      <c r="AS675" s="2073"/>
      <c r="AT675" s="1783"/>
      <c r="AU675" s="1783"/>
      <c r="AV675" s="1783"/>
      <c r="AW675" s="1783"/>
      <c r="AX675" s="1783"/>
      <c r="AY675" s="1783"/>
      <c r="AZ675" s="1783"/>
      <c r="BA675" s="1783"/>
      <c r="BB675" s="1783"/>
      <c r="BC675" s="1783"/>
      <c r="BD675" s="1783"/>
      <c r="BE675" s="1783"/>
      <c r="BF675" s="1783"/>
      <c r="BG675" s="1783"/>
      <c r="BH675" s="1783"/>
      <c r="BI675" s="1783"/>
      <c r="BJ675" s="1783"/>
      <c r="BK675" s="1783"/>
      <c r="BL675" s="1630"/>
    </row>
    <row r="676" spans="1:64" s="1631" customFormat="1" x14ac:dyDescent="0.35">
      <c r="A676" s="2085" t="s">
        <v>1258</v>
      </c>
      <c r="B676" s="1783"/>
      <c r="C676" s="1783"/>
      <c r="D676" s="1783"/>
      <c r="E676" s="1783"/>
      <c r="F676" s="1783"/>
      <c r="G676" s="1783"/>
      <c r="H676" s="1783"/>
      <c r="I676" s="1783"/>
      <c r="J676" s="1783"/>
      <c r="K676" s="1783"/>
      <c r="L676" s="1783"/>
      <c r="M676" s="1783"/>
      <c r="N676" s="1783"/>
      <c r="O676" s="1783"/>
      <c r="P676" s="1783"/>
      <c r="Q676" s="1783"/>
      <c r="R676" s="1783"/>
      <c r="S676" s="1783"/>
      <c r="T676" s="1783"/>
      <c r="U676" s="1783"/>
      <c r="V676" s="1783"/>
      <c r="W676" s="1783"/>
      <c r="X676" s="1783"/>
      <c r="Y676" s="1783"/>
      <c r="Z676" s="1783"/>
      <c r="AA676" s="1783"/>
      <c r="AB676" s="1783"/>
      <c r="AC676" s="1783"/>
      <c r="AD676" s="1783"/>
      <c r="AE676" s="1783"/>
      <c r="AF676" s="1783"/>
      <c r="AG676" s="1783"/>
      <c r="AH676" s="1783"/>
      <c r="AI676" s="1783"/>
      <c r="AJ676" s="1783"/>
      <c r="AK676" s="1783"/>
      <c r="AL676" s="1783"/>
      <c r="AM676" s="1783"/>
      <c r="AN676" s="1783"/>
      <c r="AO676" s="1783"/>
      <c r="AP676" s="1783"/>
      <c r="AQ676" s="1783"/>
      <c r="AR676" s="2073"/>
      <c r="AS676" s="2073"/>
      <c r="AT676" s="1783"/>
      <c r="AU676" s="1783"/>
      <c r="AV676" s="1783"/>
      <c r="AW676" s="1783"/>
      <c r="AX676" s="1783"/>
      <c r="AY676" s="1783"/>
      <c r="AZ676" s="1783"/>
      <c r="BA676" s="1783"/>
      <c r="BB676" s="1783"/>
      <c r="BC676" s="1783"/>
      <c r="BD676" s="1783"/>
      <c r="BE676" s="1783"/>
      <c r="BF676" s="1783"/>
      <c r="BG676" s="1783"/>
      <c r="BH676" s="1783"/>
      <c r="BI676" s="1783"/>
      <c r="BJ676" s="1783"/>
      <c r="BK676" s="1783"/>
      <c r="BL676" s="1630"/>
    </row>
    <row r="677" spans="1:64" s="1631" customFormat="1" x14ac:dyDescent="0.35">
      <c r="A677" s="2086" t="str">
        <f>MO_RIS_REV</f>
        <v>Net Revenue</v>
      </c>
      <c r="B677" s="1783"/>
      <c r="C677" s="1783"/>
      <c r="D677" s="1783"/>
      <c r="E677" s="1783"/>
      <c r="F677" s="1783"/>
      <c r="G677" s="1783"/>
      <c r="H677" s="1783"/>
      <c r="I677" s="1783"/>
      <c r="J677" s="1783"/>
      <c r="K677" s="1783"/>
      <c r="L677" s="1783"/>
      <c r="M677" s="1783"/>
      <c r="N677" s="1783"/>
      <c r="O677" s="1783"/>
      <c r="P677" s="1783"/>
      <c r="Q677" s="1783"/>
      <c r="R677" s="1783"/>
      <c r="S677" s="1783"/>
      <c r="T677" s="1783"/>
      <c r="U677" s="1783"/>
      <c r="V677" s="1783"/>
      <c r="W677" s="1783"/>
      <c r="X677" s="1783"/>
      <c r="Y677" s="1783"/>
      <c r="Z677" s="1783"/>
      <c r="AA677" s="1783"/>
      <c r="AB677" s="1783"/>
      <c r="AC677" s="1783"/>
      <c r="AD677" s="1783"/>
      <c r="AE677" s="1783"/>
      <c r="AF677" s="1783"/>
      <c r="AG677" s="1783"/>
      <c r="AH677" s="1783"/>
      <c r="AI677" s="1783"/>
      <c r="AJ677" s="1783"/>
      <c r="AK677" s="1783"/>
      <c r="AL677" s="1783"/>
      <c r="AM677" s="1783"/>
      <c r="AN677" s="1783"/>
      <c r="AO677" s="1783"/>
      <c r="AP677" s="1783"/>
      <c r="AQ677" s="1783"/>
      <c r="AR677" s="2073"/>
      <c r="AS677" s="2073"/>
      <c r="AT677" s="1783"/>
      <c r="AU677" s="1783"/>
      <c r="AV677" s="1783"/>
      <c r="AW677" s="1783"/>
      <c r="AX677" s="1783"/>
      <c r="AY677" s="1783"/>
      <c r="AZ677" s="1783"/>
      <c r="BA677" s="1783"/>
      <c r="BB677" s="1783"/>
      <c r="BC677" s="1783"/>
      <c r="BD677" s="1783"/>
      <c r="BE677" s="1783"/>
      <c r="BF677" s="1783"/>
      <c r="BG677" s="1783"/>
      <c r="BH677" s="1783"/>
      <c r="BI677" s="1783"/>
      <c r="BJ677" s="1783"/>
      <c r="BK677" s="1783"/>
      <c r="BL677" s="1630"/>
    </row>
    <row r="678" spans="1:64" s="1631" customFormat="1" x14ac:dyDescent="0.35">
      <c r="A678" s="2086" t="str">
        <f>MO_RIS_EBITDA_Adj</f>
        <v>Adjusted EBITDA</v>
      </c>
      <c r="B678" s="1783"/>
      <c r="C678" s="1783"/>
      <c r="D678" s="1783"/>
      <c r="E678" s="1783"/>
      <c r="F678" s="1783"/>
      <c r="G678" s="1783"/>
      <c r="H678" s="1783"/>
      <c r="I678" s="1783"/>
      <c r="J678" s="1783"/>
      <c r="K678" s="1783"/>
      <c r="L678" s="1783"/>
      <c r="M678" s="1783"/>
      <c r="N678" s="1783"/>
      <c r="O678" s="1783"/>
      <c r="P678" s="1783"/>
      <c r="Q678" s="1783"/>
      <c r="R678" s="1783"/>
      <c r="S678" s="1783"/>
      <c r="T678" s="1783"/>
      <c r="U678" s="1783"/>
      <c r="V678" s="1783"/>
      <c r="W678" s="1783"/>
      <c r="X678" s="1783"/>
      <c r="Y678" s="1783"/>
      <c r="Z678" s="1783"/>
      <c r="AA678" s="1783"/>
      <c r="AB678" s="1783"/>
      <c r="AC678" s="1783"/>
      <c r="AD678" s="1783"/>
      <c r="AE678" s="1783"/>
      <c r="AF678" s="1783"/>
      <c r="AG678" s="1783"/>
      <c r="AH678" s="1783"/>
      <c r="AI678" s="1783"/>
      <c r="AJ678" s="1783"/>
      <c r="AK678" s="1783"/>
      <c r="AL678" s="1783"/>
      <c r="AM678" s="1783"/>
      <c r="AN678" s="1783"/>
      <c r="AO678" s="1783"/>
      <c r="AP678" s="1783"/>
      <c r="AQ678" s="1783"/>
      <c r="AR678" s="2073"/>
      <c r="AS678" s="2073"/>
      <c r="AT678" s="1783"/>
      <c r="AU678" s="1783"/>
      <c r="AV678" s="1783"/>
      <c r="AW678" s="1783"/>
      <c r="AX678" s="1783"/>
      <c r="AY678" s="1783"/>
      <c r="AZ678" s="1783"/>
      <c r="BA678" s="1783"/>
      <c r="BB678" s="1783"/>
      <c r="BC678" s="1783"/>
      <c r="BD678" s="1783"/>
      <c r="BE678" s="1783"/>
      <c r="BF678" s="1783"/>
      <c r="BG678" s="1783"/>
      <c r="BH678" s="1783"/>
      <c r="BI678" s="1783"/>
      <c r="BJ678" s="1783"/>
      <c r="BK678" s="1783"/>
      <c r="BL678" s="1630"/>
    </row>
    <row r="679" spans="1:64" s="1631" customFormat="1" x14ac:dyDescent="0.35">
      <c r="A679" s="2086" t="str">
        <f>MO_RIS_EPS_WAD_Adj</f>
        <v>Adjusted Earnings Per Share - WAD</v>
      </c>
      <c r="B679" s="1783"/>
      <c r="C679" s="1783"/>
      <c r="D679" s="1783"/>
      <c r="E679" s="1783"/>
      <c r="F679" s="1783"/>
      <c r="G679" s="1783"/>
      <c r="H679" s="1783"/>
      <c r="I679" s="1783"/>
      <c r="J679" s="1783"/>
      <c r="K679" s="1783"/>
      <c r="L679" s="1783"/>
      <c r="M679" s="1783"/>
      <c r="N679" s="1783"/>
      <c r="O679" s="1783"/>
      <c r="P679" s="1783"/>
      <c r="Q679" s="1783"/>
      <c r="R679" s="1783"/>
      <c r="S679" s="1783"/>
      <c r="T679" s="1783"/>
      <c r="U679" s="1783"/>
      <c r="V679" s="1783"/>
      <c r="W679" s="1783"/>
      <c r="X679" s="1783"/>
      <c r="Y679" s="1783"/>
      <c r="Z679" s="1783"/>
      <c r="AA679" s="1783"/>
      <c r="AB679" s="1783"/>
      <c r="AC679" s="1783"/>
      <c r="AD679" s="1783"/>
      <c r="AE679" s="1783"/>
      <c r="AF679" s="1783"/>
      <c r="AG679" s="1783"/>
      <c r="AH679" s="1783"/>
      <c r="AI679" s="1783"/>
      <c r="AJ679" s="1783"/>
      <c r="AK679" s="1783"/>
      <c r="AL679" s="1783"/>
      <c r="AM679" s="1783"/>
      <c r="AN679" s="1783"/>
      <c r="AO679" s="1783"/>
      <c r="AP679" s="1783"/>
      <c r="AQ679" s="1783"/>
      <c r="AR679" s="2073"/>
      <c r="AS679" s="2073"/>
      <c r="AT679" s="1783"/>
      <c r="AU679" s="1783"/>
      <c r="AV679" s="1783"/>
      <c r="AW679" s="1783"/>
      <c r="AX679" s="1783"/>
      <c r="AY679" s="1783"/>
      <c r="AZ679" s="1783"/>
      <c r="BA679" s="1783"/>
      <c r="BB679" s="1783"/>
      <c r="BC679" s="1783"/>
      <c r="BD679" s="1783"/>
      <c r="BE679" s="1783"/>
      <c r="BF679" s="1783"/>
      <c r="BG679" s="1783"/>
      <c r="BH679" s="1783"/>
      <c r="BI679" s="1783"/>
      <c r="BJ679" s="1783"/>
      <c r="BK679" s="1783"/>
      <c r="BL679" s="1630"/>
    </row>
    <row r="680" spans="1:64" s="1631" customFormat="1" x14ac:dyDescent="0.35">
      <c r="A680" s="2086" t="str">
        <f>MO_VA_EV_ToEBITDA</f>
        <v>EV/EBITDA - EoP</v>
      </c>
      <c r="B680" s="1783"/>
      <c r="C680" s="1783"/>
      <c r="D680" s="1783"/>
      <c r="E680" s="1783"/>
      <c r="F680" s="1783"/>
      <c r="G680" s="1783"/>
      <c r="H680" s="1783"/>
      <c r="I680" s="1783"/>
      <c r="J680" s="1783"/>
      <c r="K680" s="1783"/>
      <c r="L680" s="1783"/>
      <c r="M680" s="1783"/>
      <c r="N680" s="1783"/>
      <c r="O680" s="1783"/>
      <c r="P680" s="1783"/>
      <c r="Q680" s="1783"/>
      <c r="R680" s="1783"/>
      <c r="S680" s="1783"/>
      <c r="T680" s="1783"/>
      <c r="U680" s="1783"/>
      <c r="V680" s="1783"/>
      <c r="W680" s="1783"/>
      <c r="X680" s="1783"/>
      <c r="Y680" s="1783"/>
      <c r="Z680" s="1783"/>
      <c r="AA680" s="1783"/>
      <c r="AB680" s="1783"/>
      <c r="AC680" s="1783"/>
      <c r="AD680" s="1783"/>
      <c r="AE680" s="1783"/>
      <c r="AF680" s="1783"/>
      <c r="AG680" s="1783"/>
      <c r="AH680" s="1783"/>
      <c r="AI680" s="1783"/>
      <c r="AJ680" s="1783"/>
      <c r="AK680" s="1783"/>
      <c r="AL680" s="1783"/>
      <c r="AM680" s="1783"/>
      <c r="AN680" s="1783"/>
      <c r="AO680" s="1783"/>
      <c r="AP680" s="1783"/>
      <c r="AQ680" s="1783"/>
      <c r="AR680" s="2073"/>
      <c r="AS680" s="2073"/>
      <c r="AT680" s="1783"/>
      <c r="AU680" s="1783"/>
      <c r="AV680" s="1783"/>
      <c r="AW680" s="1783"/>
      <c r="AX680" s="1783"/>
      <c r="AY680" s="1783"/>
      <c r="AZ680" s="1783"/>
      <c r="BA680" s="1783"/>
      <c r="BB680" s="1783"/>
      <c r="BC680" s="1783"/>
      <c r="BD680" s="1783"/>
      <c r="BE680" s="1783"/>
      <c r="BF680" s="1783"/>
      <c r="BG680" s="1783"/>
      <c r="BH680" s="1783"/>
      <c r="BI680" s="1783"/>
      <c r="BJ680" s="1783"/>
      <c r="BK680" s="1783"/>
      <c r="BL680" s="1630"/>
    </row>
    <row r="681" spans="1:64" s="1631" customFormat="1" x14ac:dyDescent="0.35">
      <c r="A681" s="2086" t="str">
        <f>MO_VA_P_ToE</f>
        <v>P/E - EoP</v>
      </c>
      <c r="B681" s="1783"/>
      <c r="C681" s="1783"/>
      <c r="D681" s="1783"/>
      <c r="E681" s="1783"/>
      <c r="F681" s="1783"/>
      <c r="G681" s="1783"/>
      <c r="H681" s="1783"/>
      <c r="I681" s="1783"/>
      <c r="J681" s="1783"/>
      <c r="K681" s="1783"/>
      <c r="L681" s="1783"/>
      <c r="M681" s="1783"/>
      <c r="N681" s="1783"/>
      <c r="O681" s="1783"/>
      <c r="P681" s="1783"/>
      <c r="Q681" s="1783"/>
      <c r="R681" s="1783"/>
      <c r="S681" s="1783"/>
      <c r="T681" s="1783"/>
      <c r="U681" s="1783"/>
      <c r="V681" s="1783"/>
      <c r="W681" s="1783"/>
      <c r="X681" s="1783"/>
      <c r="Y681" s="1783"/>
      <c r="Z681" s="1783"/>
      <c r="AA681" s="1783"/>
      <c r="AB681" s="1783"/>
      <c r="AC681" s="1783"/>
      <c r="AD681" s="1783"/>
      <c r="AE681" s="1783"/>
      <c r="AF681" s="1783"/>
      <c r="AG681" s="1783"/>
      <c r="AH681" s="1783"/>
      <c r="AI681" s="1783"/>
      <c r="AJ681" s="1783"/>
      <c r="AK681" s="1783"/>
      <c r="AL681" s="1783"/>
      <c r="AM681" s="1783"/>
      <c r="AN681" s="1783"/>
      <c r="AO681" s="1783"/>
      <c r="AP681" s="1783"/>
      <c r="AQ681" s="1783"/>
      <c r="AR681" s="2073"/>
      <c r="AS681" s="2073"/>
      <c r="AT681" s="1783"/>
      <c r="AU681" s="1783"/>
      <c r="AV681" s="1783"/>
      <c r="AW681" s="1783"/>
      <c r="AX681" s="1783"/>
      <c r="AY681" s="1783"/>
      <c r="AZ681" s="1783"/>
      <c r="BA681" s="1783"/>
      <c r="BB681" s="1783"/>
      <c r="BC681" s="1783"/>
      <c r="BD681" s="1783"/>
      <c r="BE681" s="1783"/>
      <c r="BF681" s="1783"/>
      <c r="BG681" s="1783"/>
      <c r="BH681" s="1783"/>
      <c r="BI681" s="1783"/>
      <c r="BJ681" s="1783"/>
      <c r="BK681" s="1783"/>
      <c r="BL681" s="1630"/>
    </row>
    <row r="682" spans="1:64" s="1631" customFormat="1" x14ac:dyDescent="0.35">
      <c r="A682" s="2087"/>
      <c r="B682" s="1783"/>
      <c r="C682" s="1783"/>
      <c r="D682" s="1783"/>
      <c r="E682" s="1783"/>
      <c r="F682" s="1783"/>
      <c r="G682" s="1783"/>
      <c r="H682" s="1783"/>
      <c r="I682" s="1783"/>
      <c r="J682" s="1783"/>
      <c r="K682" s="1783"/>
      <c r="L682" s="1783"/>
      <c r="M682" s="1783"/>
      <c r="N682" s="1783"/>
      <c r="O682" s="1783"/>
      <c r="P682" s="1783"/>
      <c r="Q682" s="1783"/>
      <c r="R682" s="1783"/>
      <c r="S682" s="1783"/>
      <c r="T682" s="1783"/>
      <c r="U682" s="1783"/>
      <c r="V682" s="1783"/>
      <c r="W682" s="1783"/>
      <c r="X682" s="1783"/>
      <c r="Y682" s="1783"/>
      <c r="Z682" s="1783"/>
      <c r="AA682" s="1783"/>
      <c r="AB682" s="1783"/>
      <c r="AC682" s="1783"/>
      <c r="AD682" s="1783"/>
      <c r="AE682" s="1783"/>
      <c r="AF682" s="1783"/>
      <c r="AG682" s="1783"/>
      <c r="AH682" s="1783"/>
      <c r="AI682" s="1783"/>
      <c r="AJ682" s="1783"/>
      <c r="AK682" s="1783"/>
      <c r="AL682" s="1783"/>
      <c r="AM682" s="1783"/>
      <c r="AN682" s="1783"/>
      <c r="AO682" s="1783"/>
      <c r="AP682" s="1783"/>
      <c r="AQ682" s="1783"/>
      <c r="AR682" s="2073"/>
      <c r="AS682" s="2073"/>
      <c r="AT682" s="1783"/>
      <c r="AU682" s="1783"/>
      <c r="AV682" s="1783"/>
      <c r="AW682" s="1783"/>
      <c r="AX682" s="1783"/>
      <c r="AY682" s="1783"/>
      <c r="AZ682" s="1783"/>
      <c r="BA682" s="1783"/>
      <c r="BB682" s="1783"/>
      <c r="BC682" s="1783"/>
      <c r="BD682" s="1783"/>
      <c r="BE682" s="1783"/>
      <c r="BF682" s="1783"/>
      <c r="BG682" s="1783"/>
      <c r="BH682" s="1783"/>
      <c r="BI682" s="1783"/>
      <c r="BJ682" s="1783"/>
      <c r="BK682" s="1783"/>
      <c r="BL682" s="1630"/>
    </row>
    <row r="683" spans="1:64" s="1631" customFormat="1" x14ac:dyDescent="0.35">
      <c r="A683" s="2070"/>
      <c r="B683" s="1783"/>
      <c r="C683" s="1783"/>
      <c r="D683" s="1783"/>
      <c r="E683" s="1783"/>
      <c r="F683" s="1783"/>
      <c r="G683" s="1783"/>
      <c r="H683" s="1783"/>
      <c r="I683" s="1783"/>
      <c r="J683" s="1783"/>
      <c r="K683" s="1783"/>
      <c r="L683" s="1783"/>
      <c r="M683" s="1783"/>
      <c r="N683" s="1783"/>
      <c r="O683" s="1783"/>
      <c r="P683" s="1783"/>
      <c r="Q683" s="1783"/>
      <c r="R683" s="1783"/>
      <c r="S683" s="1783"/>
      <c r="T683" s="1783"/>
      <c r="U683" s="1783"/>
      <c r="V683" s="1783"/>
      <c r="W683" s="1783"/>
      <c r="X683" s="1783"/>
      <c r="Y683" s="1783"/>
      <c r="Z683" s="1783"/>
      <c r="AA683" s="1783"/>
      <c r="AB683" s="1783"/>
      <c r="AC683" s="1783"/>
      <c r="AD683" s="1783"/>
      <c r="AE683" s="1783"/>
      <c r="AF683" s="1783"/>
      <c r="AG683" s="1783"/>
      <c r="AH683" s="1783"/>
      <c r="AI683" s="1783"/>
      <c r="AJ683" s="1783"/>
      <c r="AK683" s="1783"/>
      <c r="AL683" s="1783"/>
      <c r="AM683" s="1783"/>
      <c r="AN683" s="1783"/>
      <c r="AO683" s="1783"/>
      <c r="AP683" s="1783"/>
      <c r="AQ683" s="1783"/>
      <c r="AR683" s="2073"/>
      <c r="AS683" s="2073"/>
      <c r="AT683" s="1783"/>
      <c r="AU683" s="1783"/>
      <c r="AV683" s="1783"/>
      <c r="AW683" s="1783"/>
      <c r="AX683" s="1783"/>
      <c r="AY683" s="1783"/>
      <c r="AZ683" s="1783"/>
      <c r="BA683" s="1783"/>
      <c r="BB683" s="1783"/>
      <c r="BC683" s="1783"/>
      <c r="BD683" s="1783"/>
      <c r="BE683" s="1783"/>
      <c r="BF683" s="1783"/>
      <c r="BG683" s="1783"/>
      <c r="BH683" s="1783"/>
      <c r="BI683" s="1783"/>
      <c r="BJ683" s="1783"/>
      <c r="BK683" s="1783"/>
      <c r="BL683" s="1630"/>
    </row>
    <row r="684" spans="1:64" s="1631" customFormat="1" x14ac:dyDescent="0.35">
      <c r="A684" s="2088" t="s">
        <v>1259</v>
      </c>
      <c r="B684" s="1783"/>
      <c r="C684" s="1783"/>
      <c r="D684" s="1783"/>
      <c r="E684" s="1783"/>
      <c r="F684" s="1783"/>
      <c r="G684" s="1783"/>
      <c r="H684" s="1783"/>
      <c r="I684" s="1783"/>
      <c r="J684" s="1783"/>
      <c r="K684" s="1783"/>
      <c r="L684" s="1783"/>
      <c r="M684" s="1783"/>
      <c r="N684" s="1783"/>
      <c r="O684" s="1783"/>
      <c r="P684" s="1783"/>
      <c r="Q684" s="1783"/>
      <c r="R684" s="1783"/>
      <c r="S684" s="1783"/>
      <c r="T684" s="1783"/>
      <c r="U684" s="1783"/>
      <c r="V684" s="1783"/>
      <c r="W684" s="1783"/>
      <c r="X684" s="1783"/>
      <c r="Y684" s="1783"/>
      <c r="Z684" s="1783"/>
      <c r="AA684" s="1783"/>
      <c r="AB684" s="1783"/>
      <c r="AC684" s="1783"/>
      <c r="AD684" s="1783"/>
      <c r="AE684" s="1783"/>
      <c r="AF684" s="1783"/>
      <c r="AG684" s="1783"/>
      <c r="AH684" s="1783"/>
      <c r="AI684" s="1783"/>
      <c r="AJ684" s="1783"/>
      <c r="AK684" s="1783"/>
      <c r="AL684" s="1783"/>
      <c r="AM684" s="1783"/>
      <c r="AN684" s="1783"/>
      <c r="AO684" s="1783"/>
      <c r="AP684" s="1783"/>
      <c r="AQ684" s="1783"/>
      <c r="AR684" s="2073"/>
      <c r="AS684" s="2073"/>
      <c r="AT684" s="1783"/>
      <c r="AU684" s="1783"/>
      <c r="AV684" s="1783"/>
      <c r="AW684" s="1783"/>
      <c r="AX684" s="1783"/>
      <c r="AY684" s="1783"/>
      <c r="AZ684" s="1783"/>
      <c r="BA684" s="1783"/>
      <c r="BB684" s="1783"/>
      <c r="BC684" s="1783"/>
      <c r="BD684" s="1783"/>
      <c r="BE684" s="1783"/>
      <c r="BF684" s="1783"/>
      <c r="BG684" s="1783"/>
      <c r="BH684" s="1783"/>
      <c r="BI684" s="1783"/>
      <c r="BJ684" s="1783"/>
      <c r="BK684" s="1783"/>
      <c r="BL684" s="1630"/>
    </row>
    <row r="685" spans="1:64" s="1631" customFormat="1" x14ac:dyDescent="0.35">
      <c r="A685" s="2089" t="s">
        <v>1260</v>
      </c>
      <c r="B685" s="1783"/>
      <c r="C685" s="1783"/>
      <c r="D685" s="1783"/>
      <c r="E685" s="1783"/>
      <c r="F685" s="1783"/>
      <c r="G685" s="1783"/>
      <c r="H685" s="1783"/>
      <c r="I685" s="1783"/>
      <c r="J685" s="1783"/>
      <c r="K685" s="1783"/>
      <c r="L685" s="1783"/>
      <c r="M685" s="1783"/>
      <c r="N685" s="1783"/>
      <c r="O685" s="1783"/>
      <c r="P685" s="1783"/>
      <c r="Q685" s="1783"/>
      <c r="R685" s="1783"/>
      <c r="S685" s="1783"/>
      <c r="T685" s="1783"/>
      <c r="U685" s="1783"/>
      <c r="V685" s="1783"/>
      <c r="W685" s="1783"/>
      <c r="X685" s="1783"/>
      <c r="Y685" s="1783"/>
      <c r="Z685" s="1783"/>
      <c r="AA685" s="1783"/>
      <c r="AB685" s="1783"/>
      <c r="AC685" s="1783"/>
      <c r="AD685" s="1783"/>
      <c r="AE685" s="1783"/>
      <c r="AF685" s="1783"/>
      <c r="AG685" s="1783"/>
      <c r="AH685" s="1783"/>
      <c r="AI685" s="1783"/>
      <c r="AJ685" s="1783"/>
      <c r="AK685" s="1783"/>
      <c r="AL685" s="1783"/>
      <c r="AM685" s="1783"/>
      <c r="AN685" s="1783"/>
      <c r="AO685" s="1783"/>
      <c r="AP685" s="1783"/>
      <c r="AQ685" s="1783"/>
      <c r="AR685" s="2073"/>
      <c r="AS685" s="2073"/>
      <c r="AT685" s="1783"/>
      <c r="AU685" s="1783"/>
      <c r="AV685" s="1783"/>
      <c r="AW685" s="1783"/>
      <c r="AX685" s="1783"/>
      <c r="AY685" s="1783"/>
      <c r="AZ685" s="1783"/>
      <c r="BA685" s="1783"/>
      <c r="BB685" s="1783"/>
      <c r="BC685" s="1783"/>
      <c r="BD685" s="1783"/>
      <c r="BE685" s="1783"/>
      <c r="BF685" s="1783"/>
      <c r="BG685" s="1783"/>
      <c r="BH685" s="1783"/>
      <c r="BI685" s="1783"/>
      <c r="BJ685" s="1783"/>
      <c r="BK685" s="1783"/>
      <c r="BL685" s="1630"/>
    </row>
    <row r="686" spans="1:64" s="1631" customFormat="1" x14ac:dyDescent="0.35">
      <c r="A686" s="2089" t="s">
        <v>1261</v>
      </c>
      <c r="B686" s="1783"/>
      <c r="C686" s="1783"/>
      <c r="D686" s="1783"/>
      <c r="E686" s="1783"/>
      <c r="F686" s="1783"/>
      <c r="G686" s="1783"/>
      <c r="H686" s="1783"/>
      <c r="I686" s="1783"/>
      <c r="J686" s="1783"/>
      <c r="K686" s="1783"/>
      <c r="L686" s="1783"/>
      <c r="M686" s="1783"/>
      <c r="N686" s="1783"/>
      <c r="O686" s="1783"/>
      <c r="P686" s="1783"/>
      <c r="Q686" s="1783"/>
      <c r="R686" s="1783"/>
      <c r="S686" s="1783"/>
      <c r="T686" s="1783"/>
      <c r="U686" s="1783"/>
      <c r="V686" s="1783"/>
      <c r="W686" s="1783"/>
      <c r="X686" s="1783"/>
      <c r="Y686" s="1783"/>
      <c r="Z686" s="1783"/>
      <c r="AA686" s="1783"/>
      <c r="AB686" s="1783"/>
      <c r="AC686" s="1783"/>
      <c r="AD686" s="1783"/>
      <c r="AE686" s="1783"/>
      <c r="AF686" s="1783"/>
      <c r="AG686" s="1783"/>
      <c r="AH686" s="1783"/>
      <c r="AI686" s="1783"/>
      <c r="AJ686" s="1783"/>
      <c r="AK686" s="1783"/>
      <c r="AL686" s="1783"/>
      <c r="AM686" s="1783"/>
      <c r="AN686" s="1783"/>
      <c r="AO686" s="1783"/>
      <c r="AP686" s="1783"/>
      <c r="AQ686" s="1783"/>
      <c r="AR686" s="2073"/>
      <c r="AS686" s="2073"/>
      <c r="AT686" s="1783"/>
      <c r="AU686" s="1783"/>
      <c r="AV686" s="1783"/>
      <c r="AW686" s="1783"/>
      <c r="AX686" s="1783"/>
      <c r="AY686" s="1783"/>
      <c r="AZ686" s="1783"/>
      <c r="BA686" s="1783"/>
      <c r="BB686" s="1783"/>
      <c r="BC686" s="1783"/>
      <c r="BD686" s="1783"/>
      <c r="BE686" s="1783"/>
      <c r="BF686" s="1783"/>
      <c r="BG686" s="1783"/>
      <c r="BH686" s="1783"/>
      <c r="BI686" s="1783"/>
      <c r="BJ686" s="1783"/>
      <c r="BK686" s="1783"/>
      <c r="BL686" s="1630"/>
    </row>
    <row r="687" spans="1:64" s="1631" customFormat="1" x14ac:dyDescent="0.35">
      <c r="A687" s="2089" t="s">
        <v>1262</v>
      </c>
      <c r="B687" s="1783"/>
      <c r="C687" s="1783"/>
      <c r="D687" s="1783"/>
      <c r="E687" s="1783"/>
      <c r="F687" s="1783"/>
      <c r="G687" s="1783"/>
      <c r="H687" s="1783"/>
      <c r="I687" s="1783"/>
      <c r="J687" s="1783"/>
      <c r="K687" s="1783"/>
      <c r="L687" s="1783"/>
      <c r="M687" s="1783"/>
      <c r="N687" s="1783"/>
      <c r="O687" s="1783"/>
      <c r="P687" s="1783"/>
      <c r="Q687" s="1783"/>
      <c r="R687" s="1783"/>
      <c r="S687" s="1783"/>
      <c r="T687" s="1783"/>
      <c r="U687" s="1783"/>
      <c r="V687" s="1783"/>
      <c r="W687" s="1783"/>
      <c r="X687" s="1783"/>
      <c r="Y687" s="1783"/>
      <c r="Z687" s="1783"/>
      <c r="AA687" s="1783"/>
      <c r="AB687" s="1783"/>
      <c r="AC687" s="1783"/>
      <c r="AD687" s="1783"/>
      <c r="AE687" s="1783"/>
      <c r="AF687" s="1783"/>
      <c r="AG687" s="1783"/>
      <c r="AH687" s="1783"/>
      <c r="AI687" s="1783"/>
      <c r="AJ687" s="1783"/>
      <c r="AK687" s="1783"/>
      <c r="AL687" s="1783"/>
      <c r="AM687" s="1783"/>
      <c r="AN687" s="1783"/>
      <c r="AO687" s="1783"/>
      <c r="AP687" s="1783"/>
      <c r="AQ687" s="1783"/>
      <c r="AR687" s="2073"/>
      <c r="AS687" s="2073"/>
      <c r="AT687" s="1783"/>
      <c r="AU687" s="1783"/>
      <c r="AV687" s="1783"/>
      <c r="AW687" s="1783"/>
      <c r="AX687" s="1783"/>
      <c r="AY687" s="1783"/>
      <c r="AZ687" s="1783"/>
      <c r="BA687" s="1783"/>
      <c r="BB687" s="1783"/>
      <c r="BC687" s="1783"/>
      <c r="BD687" s="1783"/>
      <c r="BE687" s="1783"/>
      <c r="BF687" s="1783"/>
      <c r="BG687" s="1783"/>
      <c r="BH687" s="1783"/>
      <c r="BI687" s="1783"/>
      <c r="BJ687" s="1783"/>
      <c r="BK687" s="1783"/>
      <c r="BL687" s="1630"/>
    </row>
    <row r="688" spans="1:64" s="1631" customFormat="1" x14ac:dyDescent="0.35">
      <c r="A688" s="2089" t="s">
        <v>1263</v>
      </c>
      <c r="B688" s="1783"/>
      <c r="C688" s="1783"/>
      <c r="D688" s="1783"/>
      <c r="E688" s="1783"/>
      <c r="F688" s="1783"/>
      <c r="G688" s="1783"/>
      <c r="H688" s="1783"/>
      <c r="I688" s="1783"/>
      <c r="J688" s="1783"/>
      <c r="K688" s="1783"/>
      <c r="L688" s="1783"/>
      <c r="M688" s="1783"/>
      <c r="N688" s="1783"/>
      <c r="O688" s="1783"/>
      <c r="P688" s="1783"/>
      <c r="Q688" s="1783"/>
      <c r="R688" s="1783"/>
      <c r="S688" s="1783"/>
      <c r="T688" s="1783"/>
      <c r="U688" s="1783"/>
      <c r="V688" s="1783"/>
      <c r="W688" s="1783"/>
      <c r="X688" s="1783"/>
      <c r="Y688" s="1783"/>
      <c r="Z688" s="1783"/>
      <c r="AA688" s="1783"/>
      <c r="AB688" s="1783"/>
      <c r="AC688" s="1783"/>
      <c r="AD688" s="1783"/>
      <c r="AE688" s="1783"/>
      <c r="AF688" s="1783"/>
      <c r="AG688" s="1783"/>
      <c r="AH688" s="1783"/>
      <c r="AI688" s="1783"/>
      <c r="AJ688" s="1783"/>
      <c r="AK688" s="1783"/>
      <c r="AL688" s="1783"/>
      <c r="AM688" s="1783"/>
      <c r="AN688" s="1783"/>
      <c r="AO688" s="1783"/>
      <c r="AP688" s="1783"/>
      <c r="AQ688" s="1783"/>
      <c r="AR688" s="2073"/>
      <c r="AS688" s="2073"/>
      <c r="AT688" s="1783"/>
      <c r="AU688" s="1783"/>
      <c r="AV688" s="1783"/>
      <c r="AW688" s="1783"/>
      <c r="AX688" s="1783"/>
      <c r="AY688" s="1783"/>
      <c r="AZ688" s="1783"/>
      <c r="BA688" s="1783"/>
      <c r="BB688" s="1783"/>
      <c r="BC688" s="1783"/>
      <c r="BD688" s="1783"/>
      <c r="BE688" s="1783"/>
      <c r="BF688" s="1783"/>
      <c r="BG688" s="1783"/>
      <c r="BH688" s="1783"/>
      <c r="BI688" s="1783"/>
      <c r="BJ688" s="1783"/>
      <c r="BK688" s="1783"/>
      <c r="BL688" s="1630"/>
    </row>
    <row r="689" spans="1:64" s="1631" customFormat="1" x14ac:dyDescent="0.35">
      <c r="A689" s="2089" t="s">
        <v>1264</v>
      </c>
      <c r="B689" s="1783"/>
      <c r="C689" s="1783"/>
      <c r="D689" s="1783"/>
      <c r="E689" s="1783"/>
      <c r="F689" s="1783"/>
      <c r="G689" s="1783"/>
      <c r="H689" s="1783"/>
      <c r="I689" s="1783"/>
      <c r="J689" s="1783"/>
      <c r="K689" s="1783"/>
      <c r="L689" s="1783"/>
      <c r="M689" s="1783"/>
      <c r="N689" s="1783"/>
      <c r="O689" s="1783"/>
      <c r="P689" s="1783"/>
      <c r="Q689" s="1783"/>
      <c r="R689" s="1783"/>
      <c r="S689" s="1783"/>
      <c r="T689" s="1783"/>
      <c r="U689" s="1783"/>
      <c r="V689" s="1783"/>
      <c r="W689" s="1783"/>
      <c r="X689" s="1783"/>
      <c r="Y689" s="1783"/>
      <c r="Z689" s="1783"/>
      <c r="AA689" s="1783"/>
      <c r="AB689" s="1783"/>
      <c r="AC689" s="1783"/>
      <c r="AD689" s="1783"/>
      <c r="AE689" s="1783"/>
      <c r="AF689" s="1783"/>
      <c r="AG689" s="1783"/>
      <c r="AH689" s="1783"/>
      <c r="AI689" s="1783"/>
      <c r="AJ689" s="1783"/>
      <c r="AK689" s="1783"/>
      <c r="AL689" s="1783"/>
      <c r="AM689" s="1783"/>
      <c r="AN689" s="1783"/>
      <c r="AO689" s="1783"/>
      <c r="AP689" s="1783"/>
      <c r="AQ689" s="1783"/>
      <c r="AR689" s="2073"/>
      <c r="AS689" s="2073"/>
      <c r="AT689" s="1783"/>
      <c r="AU689" s="1783"/>
      <c r="AV689" s="1783"/>
      <c r="AW689" s="1783"/>
      <c r="AX689" s="1783"/>
      <c r="AY689" s="1783"/>
      <c r="AZ689" s="1783"/>
      <c r="BA689" s="1783"/>
      <c r="BB689" s="1783"/>
      <c r="BC689" s="1783"/>
      <c r="BD689" s="1783"/>
      <c r="BE689" s="1783"/>
      <c r="BF689" s="1783"/>
      <c r="BG689" s="1783"/>
      <c r="BH689" s="1783"/>
      <c r="BI689" s="1783"/>
      <c r="BJ689" s="1783"/>
      <c r="BK689" s="1783"/>
      <c r="BL689" s="1630"/>
    </row>
    <row r="690" spans="1:64" s="1631" customFormat="1" x14ac:dyDescent="0.35">
      <c r="A690" s="2087"/>
      <c r="B690" s="1783"/>
      <c r="C690" s="1783"/>
      <c r="D690" s="1783"/>
      <c r="E690" s="1783"/>
      <c r="F690" s="1783"/>
      <c r="G690" s="1783"/>
      <c r="H690" s="1783"/>
      <c r="I690" s="1783"/>
      <c r="J690" s="1783"/>
      <c r="K690" s="1783"/>
      <c r="L690" s="1783"/>
      <c r="M690" s="1783"/>
      <c r="N690" s="1783"/>
      <c r="O690" s="1783"/>
      <c r="P690" s="1783"/>
      <c r="Q690" s="1783"/>
      <c r="R690" s="1783"/>
      <c r="S690" s="1783"/>
      <c r="T690" s="1783"/>
      <c r="U690" s="1783"/>
      <c r="V690" s="1783"/>
      <c r="W690" s="1783"/>
      <c r="X690" s="1783"/>
      <c r="Y690" s="1783"/>
      <c r="Z690" s="1783"/>
      <c r="AA690" s="1783"/>
      <c r="AB690" s="1783"/>
      <c r="AC690" s="1783"/>
      <c r="AD690" s="1783"/>
      <c r="AE690" s="1783"/>
      <c r="AF690" s="1783"/>
      <c r="AG690" s="1783"/>
      <c r="AH690" s="1783"/>
      <c r="AI690" s="1783"/>
      <c r="AJ690" s="1783"/>
      <c r="AK690" s="1783"/>
      <c r="AL690" s="1783"/>
      <c r="AM690" s="1783"/>
      <c r="AN690" s="1783"/>
      <c r="AO690" s="1783"/>
      <c r="AP690" s="1783"/>
      <c r="AQ690" s="1783"/>
      <c r="AR690" s="2073"/>
      <c r="AS690" s="2073"/>
      <c r="AT690" s="1783"/>
      <c r="AU690" s="1783"/>
      <c r="AV690" s="1783"/>
      <c r="AW690" s="1783"/>
      <c r="AX690" s="1783"/>
      <c r="AY690" s="1783"/>
      <c r="AZ690" s="1783"/>
      <c r="BA690" s="1783"/>
      <c r="BB690" s="1783"/>
      <c r="BC690" s="1783"/>
      <c r="BD690" s="1783"/>
      <c r="BE690" s="1783"/>
      <c r="BF690" s="1783"/>
      <c r="BG690" s="1783"/>
      <c r="BH690" s="1783"/>
      <c r="BI690" s="1783"/>
      <c r="BJ690" s="1783"/>
      <c r="BK690" s="1783"/>
      <c r="BL690" s="1630"/>
    </row>
    <row r="691" spans="1:64" s="1631" customFormat="1" x14ac:dyDescent="0.35">
      <c r="A691" s="2070"/>
      <c r="B691" s="1783"/>
      <c r="C691" s="1783"/>
      <c r="D691" s="1783"/>
      <c r="E691" s="1783"/>
      <c r="F691" s="1783"/>
      <c r="G691" s="1783"/>
      <c r="H691" s="1783"/>
      <c r="I691" s="1783"/>
      <c r="J691" s="1783"/>
      <c r="K691" s="1783"/>
      <c r="L691" s="1783"/>
      <c r="M691" s="1783"/>
      <c r="N691" s="1783"/>
      <c r="O691" s="1783"/>
      <c r="P691" s="1783"/>
      <c r="Q691" s="1783"/>
      <c r="R691" s="1783"/>
      <c r="S691" s="1783"/>
      <c r="T691" s="1783"/>
      <c r="U691" s="1783"/>
      <c r="V691" s="1783"/>
      <c r="W691" s="1783"/>
      <c r="X691" s="1783"/>
      <c r="Y691" s="1783"/>
      <c r="Z691" s="1783"/>
      <c r="AA691" s="1783"/>
      <c r="AB691" s="1783"/>
      <c r="AC691" s="1783"/>
      <c r="AD691" s="1783"/>
      <c r="AE691" s="1783"/>
      <c r="AF691" s="1783"/>
      <c r="AG691" s="1783"/>
      <c r="AH691" s="1783"/>
      <c r="AI691" s="1783"/>
      <c r="AJ691" s="1783"/>
      <c r="AK691" s="1783"/>
      <c r="AL691" s="1783"/>
      <c r="AM691" s="1783"/>
      <c r="AN691" s="1783"/>
      <c r="AO691" s="1783"/>
      <c r="AP691" s="1783"/>
      <c r="AQ691" s="1783"/>
      <c r="AR691" s="2073"/>
      <c r="AS691" s="2073"/>
      <c r="AT691" s="1783"/>
      <c r="AU691" s="1783"/>
      <c r="AV691" s="1783"/>
      <c r="AW691" s="1783"/>
      <c r="AX691" s="1783"/>
      <c r="AY691" s="1783"/>
      <c r="AZ691" s="1783"/>
      <c r="BA691" s="1783"/>
      <c r="BB691" s="1783"/>
      <c r="BC691" s="1783"/>
      <c r="BD691" s="1783"/>
      <c r="BE691" s="1783"/>
      <c r="BF691" s="1783"/>
      <c r="BG691" s="1783"/>
      <c r="BH691" s="1783"/>
      <c r="BI691" s="1783"/>
      <c r="BJ691" s="1783"/>
      <c r="BK691" s="1783"/>
      <c r="BL691" s="1630"/>
    </row>
    <row r="692" spans="1:64" s="1631" customFormat="1" x14ac:dyDescent="0.35">
      <c r="A692" s="2090" t="s">
        <v>1265</v>
      </c>
      <c r="B692" s="2091"/>
      <c r="C692" s="2091"/>
      <c r="D692" s="2091"/>
      <c r="E692" s="2091"/>
      <c r="F692" s="2091"/>
      <c r="G692" s="2091"/>
      <c r="H692" s="2091"/>
      <c r="I692" s="2091"/>
      <c r="J692" s="2091"/>
      <c r="K692" s="2091"/>
      <c r="L692" s="2091"/>
      <c r="M692" s="2091"/>
      <c r="N692" s="2091"/>
      <c r="O692" s="2091"/>
      <c r="P692" s="2091"/>
      <c r="Q692" s="2091"/>
      <c r="R692" s="2091"/>
      <c r="S692" s="2091"/>
      <c r="T692" s="2091"/>
      <c r="U692" s="2091"/>
      <c r="V692" s="2091"/>
      <c r="W692" s="2091"/>
      <c r="X692" s="2091"/>
      <c r="Y692" s="2091"/>
      <c r="Z692" s="2091"/>
      <c r="AA692" s="2091"/>
      <c r="AB692" s="2091"/>
      <c r="AC692" s="2091"/>
      <c r="AD692" s="2091"/>
      <c r="AE692" s="2091"/>
      <c r="AF692" s="2091"/>
      <c r="AG692" s="2091"/>
      <c r="AH692" s="2091"/>
      <c r="AI692" s="2091"/>
      <c r="AJ692" s="2091"/>
      <c r="AK692" s="2091"/>
      <c r="AL692" s="2091"/>
      <c r="AM692" s="2091"/>
      <c r="AN692" s="2091"/>
      <c r="AO692" s="2091"/>
      <c r="AP692" s="2091"/>
      <c r="AQ692" s="2091"/>
      <c r="AR692" s="2092"/>
      <c r="AS692" s="2092"/>
      <c r="AT692" s="2091"/>
      <c r="AU692" s="2091"/>
      <c r="AV692" s="2091"/>
      <c r="AW692" s="2091"/>
      <c r="AX692" s="2091"/>
      <c r="AY692" s="2091"/>
      <c r="AZ692" s="2091"/>
      <c r="BA692" s="2091"/>
      <c r="BB692" s="2091"/>
      <c r="BC692" s="2091"/>
      <c r="BD692" s="2091"/>
      <c r="BE692" s="2091"/>
      <c r="BF692" s="2091"/>
      <c r="BG692" s="2091"/>
      <c r="BH692" s="2091"/>
      <c r="BI692" s="2091"/>
      <c r="BJ692" s="2091"/>
      <c r="BK692" s="2093"/>
      <c r="BL692" s="1630"/>
    </row>
    <row r="693" spans="1:64" s="1631" customFormat="1" x14ac:dyDescent="0.35">
      <c r="A693" s="2094" t="s">
        <v>1266</v>
      </c>
      <c r="B693" s="1783"/>
      <c r="C693" s="2095"/>
      <c r="D693" s="2095"/>
      <c r="E693" s="2095"/>
      <c r="F693" s="2095"/>
      <c r="G693" s="2095"/>
      <c r="H693" s="2095"/>
      <c r="I693" s="2095"/>
      <c r="J693" s="2095"/>
      <c r="K693" s="2095"/>
      <c r="L693" s="2095"/>
      <c r="M693" s="2095"/>
      <c r="N693" s="2095"/>
      <c r="O693" s="2095"/>
      <c r="P693" s="2095"/>
      <c r="Q693" s="2095"/>
      <c r="R693" s="2095"/>
      <c r="S693" s="2095"/>
      <c r="T693" s="2095"/>
      <c r="U693" s="2095"/>
      <c r="V693" s="2095"/>
      <c r="W693" s="2095"/>
      <c r="X693" s="2095"/>
      <c r="Y693" s="2096">
        <v>44510</v>
      </c>
      <c r="Z693" s="2096">
        <v>44622</v>
      </c>
      <c r="AA693" s="2096">
        <v>44691</v>
      </c>
      <c r="AB693" s="2096">
        <v>44782</v>
      </c>
      <c r="AC693" s="2096">
        <v>44874</v>
      </c>
      <c r="AD693" s="2096">
        <v>44987</v>
      </c>
      <c r="AE693" s="2096">
        <v>45055</v>
      </c>
      <c r="AF693" s="2096">
        <v>45146</v>
      </c>
      <c r="AG693" s="2096">
        <v>45238</v>
      </c>
      <c r="AH693" s="2096">
        <v>45351</v>
      </c>
      <c r="AI693" s="2095"/>
      <c r="AJ693" s="2095"/>
      <c r="AK693" s="2095"/>
      <c r="AL693" s="2095"/>
      <c r="AM693" s="2095"/>
      <c r="AN693" s="2095"/>
      <c r="AO693" s="2095"/>
      <c r="AP693" s="2095"/>
      <c r="AQ693" s="2095"/>
      <c r="AR693" s="2097"/>
      <c r="AS693" s="2097"/>
      <c r="AT693" s="2095"/>
      <c r="AU693" s="2095"/>
      <c r="AV693" s="2095"/>
      <c r="AW693" s="2095"/>
      <c r="AX693" s="2095"/>
      <c r="AY693" s="2095"/>
      <c r="AZ693" s="2095"/>
      <c r="BA693" s="2095"/>
      <c r="BB693" s="2095"/>
      <c r="BC693" s="2095"/>
      <c r="BD693" s="2096">
        <v>44622</v>
      </c>
      <c r="BE693" s="2096">
        <v>44987</v>
      </c>
      <c r="BF693" s="2096">
        <v>45351</v>
      </c>
      <c r="BG693" s="2095"/>
      <c r="BH693" s="2095"/>
      <c r="BI693" s="2095"/>
      <c r="BJ693" s="2095"/>
      <c r="BK693" s="2098"/>
      <c r="BL693" s="1630"/>
    </row>
    <row r="694" spans="1:64" s="1631" customFormat="1" x14ac:dyDescent="0.35">
      <c r="A694" s="2094" t="s">
        <v>1267</v>
      </c>
      <c r="B694" s="1783"/>
      <c r="C694" s="2099"/>
      <c r="D694" s="2099"/>
      <c r="E694" s="2099"/>
      <c r="F694" s="2099"/>
      <c r="G694" s="2099"/>
      <c r="H694" s="2099"/>
      <c r="I694" s="2099"/>
      <c r="J694" s="2099"/>
      <c r="K694" s="2099"/>
      <c r="L694" s="2099"/>
      <c r="M694" s="2099"/>
      <c r="N694" s="2099"/>
      <c r="O694" s="2099"/>
      <c r="P694" s="2099"/>
      <c r="Q694" s="2099"/>
      <c r="R694" s="2099"/>
      <c r="S694" s="2099"/>
      <c r="T694" s="2099"/>
      <c r="U694" s="2099"/>
      <c r="V694" s="2099"/>
      <c r="W694" s="2099"/>
      <c r="X694" s="2099"/>
      <c r="Y694" s="2099" t="str">
        <f t="shared" ref="Y694:AJ694" si="449">Z$5</f>
        <v>Q4-2021</v>
      </c>
      <c r="Z694" s="2099" t="str">
        <f t="shared" si="449"/>
        <v>Q1-2022</v>
      </c>
      <c r="AA694" s="2099" t="str">
        <f t="shared" si="449"/>
        <v>Q2-2022</v>
      </c>
      <c r="AB694" s="2099" t="str">
        <f t="shared" si="449"/>
        <v>Q3-2022</v>
      </c>
      <c r="AC694" s="2099" t="str">
        <f t="shared" si="449"/>
        <v>Q4-2022</v>
      </c>
      <c r="AD694" s="2099" t="str">
        <f t="shared" si="449"/>
        <v>Q1-2023</v>
      </c>
      <c r="AE694" s="2099" t="str">
        <f t="shared" si="449"/>
        <v>Q2-2023</v>
      </c>
      <c r="AF694" s="2099" t="str">
        <f t="shared" si="449"/>
        <v>Q3-2023</v>
      </c>
      <c r="AG694" s="2099" t="str">
        <f t="shared" si="449"/>
        <v>Q4-2023</v>
      </c>
      <c r="AH694" s="2099" t="str">
        <f t="shared" si="449"/>
        <v>Q1-2024</v>
      </c>
      <c r="AI694" s="2099" t="str">
        <f t="shared" si="449"/>
        <v>Q2-2024</v>
      </c>
      <c r="AJ694" s="2099" t="str">
        <f t="shared" si="449"/>
        <v>Q3-2024</v>
      </c>
      <c r="AK694" s="2099"/>
      <c r="AL694" s="2099"/>
      <c r="AM694" s="2099"/>
      <c r="AN694" s="2099"/>
      <c r="AO694" s="2099"/>
      <c r="AP694" s="2099"/>
      <c r="AQ694" s="2099"/>
      <c r="AR694" s="2100"/>
      <c r="AS694" s="2100"/>
      <c r="AT694" s="2099"/>
      <c r="AU694" s="2099"/>
      <c r="AV694" s="2099"/>
      <c r="AW694" s="2099"/>
      <c r="AX694" s="2099"/>
      <c r="AY694" s="2099"/>
      <c r="AZ694" s="2099"/>
      <c r="BA694" s="2099"/>
      <c r="BB694" s="2099"/>
      <c r="BC694" s="2099"/>
      <c r="BD694" s="2099" t="str">
        <f>AA$5</f>
        <v>Q1-2022</v>
      </c>
      <c r="BE694" s="2099" t="str">
        <f>AE$5</f>
        <v>Q1-2023</v>
      </c>
      <c r="BF694" s="2099" t="str">
        <f>AI$5</f>
        <v>Q1-2024</v>
      </c>
      <c r="BG694" s="2099"/>
      <c r="BH694" s="2099"/>
      <c r="BI694" s="2099"/>
      <c r="BJ694" s="2099"/>
      <c r="BK694" s="2101"/>
      <c r="BL694" s="1630"/>
    </row>
    <row r="695" spans="1:64" s="1631" customFormat="1" x14ac:dyDescent="0.35">
      <c r="A695" s="2102"/>
      <c r="B695" s="1623"/>
      <c r="C695" s="1623"/>
      <c r="D695" s="1623"/>
      <c r="E695" s="1623"/>
      <c r="F695" s="1623"/>
      <c r="G695" s="1623"/>
      <c r="H695" s="1623"/>
      <c r="I695" s="1623"/>
      <c r="J695" s="1623"/>
      <c r="K695" s="1623"/>
      <c r="L695" s="1623"/>
      <c r="M695" s="1623"/>
      <c r="N695" s="1623"/>
      <c r="O695" s="1623"/>
      <c r="P695" s="1623"/>
      <c r="Q695" s="1623"/>
      <c r="R695" s="1623"/>
      <c r="S695" s="1623"/>
      <c r="T695" s="1623"/>
      <c r="U695" s="1623"/>
      <c r="V695" s="1623"/>
      <c r="W695" s="1623"/>
      <c r="X695" s="1623"/>
      <c r="Y695" s="1623"/>
      <c r="Z695" s="1623"/>
      <c r="AA695" s="1623"/>
      <c r="AB695" s="1623"/>
      <c r="AC695" s="1623"/>
      <c r="AD695" s="1623"/>
      <c r="AE695" s="1623"/>
      <c r="AF695" s="1623"/>
      <c r="AG695" s="1623"/>
      <c r="AH695" s="1623"/>
      <c r="AI695" s="1623"/>
      <c r="AJ695" s="1623"/>
      <c r="AK695" s="1623"/>
      <c r="AL695" s="1623"/>
      <c r="AM695" s="1623"/>
      <c r="AN695" s="1623"/>
      <c r="AO695" s="1623"/>
      <c r="AP695" s="1623"/>
      <c r="AQ695" s="1623"/>
      <c r="AR695" s="2103"/>
      <c r="AS695" s="2103"/>
      <c r="AT695" s="1623"/>
      <c r="AU695" s="1623"/>
      <c r="AV695" s="1623"/>
      <c r="AW695" s="1623"/>
      <c r="AX695" s="1623"/>
      <c r="AY695" s="1623"/>
      <c r="AZ695" s="1623"/>
      <c r="BA695" s="1623"/>
      <c r="BB695" s="1623"/>
      <c r="BC695" s="1623"/>
      <c r="BD695" s="1623"/>
      <c r="BE695" s="1623"/>
      <c r="BF695" s="1623"/>
      <c r="BG695" s="1623"/>
      <c r="BH695" s="1623"/>
      <c r="BI695" s="1623"/>
      <c r="BJ695" s="1623"/>
      <c r="BK695" s="2104"/>
      <c r="BL695" s="1630"/>
    </row>
    <row r="696" spans="1:64" s="1631" customFormat="1" x14ac:dyDescent="0.35">
      <c r="A696" s="2070"/>
      <c r="B696" s="1783"/>
      <c r="C696" s="1783"/>
      <c r="D696" s="1783"/>
      <c r="E696" s="1783"/>
      <c r="F696" s="1783"/>
      <c r="G696" s="1783"/>
      <c r="H696" s="1783"/>
      <c r="I696" s="1783"/>
      <c r="J696" s="1783"/>
      <c r="K696" s="1783"/>
      <c r="L696" s="1783"/>
      <c r="M696" s="1783"/>
      <c r="N696" s="1783"/>
      <c r="O696" s="1783"/>
      <c r="P696" s="1783"/>
      <c r="Q696" s="1783"/>
      <c r="R696" s="1783"/>
      <c r="S696" s="1783"/>
      <c r="T696" s="1783"/>
      <c r="U696" s="1783"/>
      <c r="V696" s="1783"/>
      <c r="W696" s="1783"/>
      <c r="X696" s="1783"/>
      <c r="Y696" s="1783"/>
      <c r="Z696" s="1783"/>
      <c r="AA696" s="1783"/>
      <c r="AB696" s="1783"/>
      <c r="AC696" s="1783"/>
      <c r="AD696" s="1783"/>
      <c r="AE696" s="1783"/>
      <c r="AF696" s="1783"/>
      <c r="AG696" s="1783"/>
      <c r="AH696" s="1783"/>
      <c r="AI696" s="1783"/>
      <c r="AJ696" s="1783"/>
      <c r="AK696" s="1783"/>
      <c r="AL696" s="1783"/>
      <c r="AM696" s="1783"/>
      <c r="AN696" s="1783"/>
      <c r="AO696" s="1783"/>
      <c r="AP696" s="1783"/>
      <c r="AQ696" s="1783"/>
      <c r="AR696" s="2073"/>
      <c r="AS696" s="2073"/>
      <c r="AT696" s="1783"/>
      <c r="AU696" s="1783"/>
      <c r="AV696" s="1783"/>
      <c r="AW696" s="1783"/>
      <c r="AX696" s="1783"/>
      <c r="AY696" s="1783"/>
      <c r="AZ696" s="1783"/>
      <c r="BA696" s="1783"/>
      <c r="BB696" s="1783"/>
      <c r="BC696" s="1783"/>
      <c r="BD696" s="1783"/>
      <c r="BE696" s="1783"/>
      <c r="BF696" s="1783"/>
      <c r="BG696" s="1783"/>
      <c r="BH696" s="1783"/>
      <c r="BI696" s="1783"/>
      <c r="BJ696" s="1783"/>
      <c r="BK696" s="1783"/>
      <c r="BL696" s="1630"/>
    </row>
    <row r="697" spans="1:64" s="1631" customFormat="1" x14ac:dyDescent="0.35">
      <c r="A697" s="2090" t="s">
        <v>1268</v>
      </c>
      <c r="B697" s="2091"/>
      <c r="C697" s="2091"/>
      <c r="D697" s="2091"/>
      <c r="E697" s="2091"/>
      <c r="F697" s="2091"/>
      <c r="G697" s="2091"/>
      <c r="H697" s="2091"/>
      <c r="I697" s="2091"/>
      <c r="J697" s="2091"/>
      <c r="K697" s="2091"/>
      <c r="L697" s="2091"/>
      <c r="M697" s="2091"/>
      <c r="N697" s="2091"/>
      <c r="O697" s="2091"/>
      <c r="P697" s="2091"/>
      <c r="Q697" s="2091"/>
      <c r="R697" s="2091"/>
      <c r="S697" s="2091"/>
      <c r="T697" s="2091"/>
      <c r="U697" s="2091"/>
      <c r="V697" s="2091"/>
      <c r="W697" s="2091"/>
      <c r="X697" s="2091"/>
      <c r="Y697" s="2091"/>
      <c r="Z697" s="2091"/>
      <c r="AA697" s="2091"/>
      <c r="AB697" s="2091"/>
      <c r="AC697" s="2091"/>
      <c r="AD697" s="2091"/>
      <c r="AE697" s="2091"/>
      <c r="AF697" s="2091"/>
      <c r="AG697" s="2091"/>
      <c r="AH697" s="2091"/>
      <c r="AI697" s="2091"/>
      <c r="AJ697" s="2091"/>
      <c r="AK697" s="2091"/>
      <c r="AL697" s="2091"/>
      <c r="AM697" s="2091"/>
      <c r="AN697" s="2091"/>
      <c r="AO697" s="2091"/>
      <c r="AP697" s="2091"/>
      <c r="AQ697" s="2091"/>
      <c r="AR697" s="2092"/>
      <c r="AS697" s="2092"/>
      <c r="AT697" s="2091"/>
      <c r="AU697" s="2091"/>
      <c r="AV697" s="2091"/>
      <c r="AW697" s="2091"/>
      <c r="AX697" s="2091"/>
      <c r="AY697" s="2091"/>
      <c r="AZ697" s="2091"/>
      <c r="BA697" s="2091"/>
      <c r="BB697" s="2091"/>
      <c r="BC697" s="2091"/>
      <c r="BD697" s="2091"/>
      <c r="BE697" s="2091"/>
      <c r="BF697" s="2091"/>
      <c r="BG697" s="2091"/>
      <c r="BH697" s="2091"/>
      <c r="BI697" s="2091"/>
      <c r="BJ697" s="2091"/>
      <c r="BK697" s="2093"/>
      <c r="BL697" s="1630"/>
    </row>
    <row r="698" spans="1:64" s="1631" customFormat="1" x14ac:dyDescent="0.35">
      <c r="A698" s="2094" t="s">
        <v>1266</v>
      </c>
      <c r="B698" s="1783"/>
      <c r="C698" s="2095"/>
      <c r="D698" s="2095"/>
      <c r="E698" s="2095"/>
      <c r="F698" s="2095"/>
      <c r="G698" s="2095"/>
      <c r="H698" s="2095"/>
      <c r="I698" s="2095"/>
      <c r="J698" s="2095"/>
      <c r="K698" s="2095"/>
      <c r="L698" s="2095"/>
      <c r="M698" s="2095"/>
      <c r="N698" s="2095"/>
      <c r="O698" s="2095"/>
      <c r="P698" s="2095"/>
      <c r="Q698" s="2095"/>
      <c r="R698" s="2095"/>
      <c r="S698" s="2095"/>
      <c r="T698" s="2095"/>
      <c r="U698" s="2095"/>
      <c r="V698" s="2095"/>
      <c r="W698" s="2095"/>
      <c r="X698" s="2095"/>
      <c r="Y698" s="2095">
        <f t="shared" ref="Y698:AJ698" si="450">Y693</f>
        <v>44510</v>
      </c>
      <c r="Z698" s="2095">
        <f t="shared" si="450"/>
        <v>44622</v>
      </c>
      <c r="AA698" s="2095">
        <f t="shared" si="450"/>
        <v>44691</v>
      </c>
      <c r="AB698" s="2095">
        <f t="shared" si="450"/>
        <v>44782</v>
      </c>
      <c r="AC698" s="2095">
        <f t="shared" si="450"/>
        <v>44874</v>
      </c>
      <c r="AD698" s="2095">
        <f t="shared" si="450"/>
        <v>44987</v>
      </c>
      <c r="AE698" s="2095">
        <f t="shared" si="450"/>
        <v>45055</v>
      </c>
      <c r="AF698" s="2095">
        <f t="shared" si="450"/>
        <v>45146</v>
      </c>
      <c r="AG698" s="2095">
        <f t="shared" si="450"/>
        <v>45238</v>
      </c>
      <c r="AH698" s="2095">
        <f t="shared" si="450"/>
        <v>45351</v>
      </c>
      <c r="AI698" s="2095">
        <f t="shared" si="450"/>
        <v>0</v>
      </c>
      <c r="AJ698" s="2095">
        <f t="shared" si="450"/>
        <v>0</v>
      </c>
      <c r="AK698" s="2095"/>
      <c r="AL698" s="2095"/>
      <c r="AM698" s="2095"/>
      <c r="AN698" s="2095"/>
      <c r="AO698" s="2095"/>
      <c r="AP698" s="2095"/>
      <c r="AQ698" s="2095"/>
      <c r="AR698" s="2097"/>
      <c r="AS698" s="2097"/>
      <c r="AT698" s="2095"/>
      <c r="AU698" s="2095"/>
      <c r="AV698" s="2095"/>
      <c r="AW698" s="2095"/>
      <c r="AX698" s="2095"/>
      <c r="AY698" s="2095"/>
      <c r="AZ698" s="2095"/>
      <c r="BA698" s="2095"/>
      <c r="BB698" s="2095"/>
      <c r="BC698" s="2095"/>
      <c r="BD698" s="2095">
        <f>BD693</f>
        <v>44622</v>
      </c>
      <c r="BE698" s="2095">
        <f>BE693</f>
        <v>44987</v>
      </c>
      <c r="BF698" s="2095">
        <f>BF693</f>
        <v>45351</v>
      </c>
      <c r="BG698" s="2095"/>
      <c r="BH698" s="2095"/>
      <c r="BI698" s="2095"/>
      <c r="BJ698" s="2095"/>
      <c r="BK698" s="2098"/>
      <c r="BL698" s="1630"/>
    </row>
    <row r="699" spans="1:64" s="1631" customFormat="1" x14ac:dyDescent="0.35">
      <c r="A699" s="2094" t="s">
        <v>1269</v>
      </c>
      <c r="B699" s="1783"/>
      <c r="C699" s="2099"/>
      <c r="D699" s="2099"/>
      <c r="E699" s="2099"/>
      <c r="F699" s="2099"/>
      <c r="G699" s="2099"/>
      <c r="H699" s="2099"/>
      <c r="I699" s="2099"/>
      <c r="J699" s="2099"/>
      <c r="K699" s="2099"/>
      <c r="L699" s="2099"/>
      <c r="M699" s="2099"/>
      <c r="N699" s="2099"/>
      <c r="O699" s="2099"/>
      <c r="P699" s="2099"/>
      <c r="Q699" s="2099"/>
      <c r="R699" s="2099"/>
      <c r="S699" s="2099"/>
      <c r="T699" s="2099"/>
      <c r="U699" s="2099"/>
      <c r="V699" s="2099"/>
      <c r="W699" s="2099"/>
      <c r="X699" s="2099"/>
      <c r="Y699" s="2099" t="str">
        <f>IF(Y700=Z700,"",Y700)</f>
        <v>FY2021</v>
      </c>
      <c r="Z699" s="2099" t="str">
        <f>IF(Z700=BD700,"",Z700)</f>
        <v/>
      </c>
      <c r="AA699" s="2099" t="str">
        <f>IF(AA700=AB700,"",AA700)</f>
        <v/>
      </c>
      <c r="AB699" s="2099" t="str">
        <f>IF(AB700=AC700,"",AB700)</f>
        <v/>
      </c>
      <c r="AC699" s="2099" t="str">
        <f>IF(AC700=AD700,"",AC700)</f>
        <v>FY2022</v>
      </c>
      <c r="AD699" s="2099" t="str">
        <f>IF(AD700=BE700,"",AD700)</f>
        <v/>
      </c>
      <c r="AE699" s="2099" t="str">
        <f>IF(AE700=AF700,"",AE700)</f>
        <v/>
      </c>
      <c r="AF699" s="2099" t="str">
        <f>IF(AF700=AG700,"",AF700)</f>
        <v/>
      </c>
      <c r="AG699" s="2099" t="str">
        <f>IF(AG700=AH700,"",AG700)</f>
        <v>FY2023</v>
      </c>
      <c r="AH699" s="2099" t="str">
        <f>IF(AH700=BF700,"",AH700)</f>
        <v/>
      </c>
      <c r="AI699" s="2099" t="str">
        <f>IF(AI700=AJ700,"",AI700)</f>
        <v/>
      </c>
      <c r="AJ699" s="2099" t="str">
        <f>IF(AJ700=AK700,"",AJ700)</f>
        <v>FY2024</v>
      </c>
      <c r="AK699" s="2099"/>
      <c r="AL699" s="2099"/>
      <c r="AM699" s="2099"/>
      <c r="AN699" s="2099"/>
      <c r="AO699" s="2099"/>
      <c r="AP699" s="2099"/>
      <c r="AQ699" s="2099"/>
      <c r="AR699" s="2100"/>
      <c r="AS699" s="2100"/>
      <c r="AT699" s="2099"/>
      <c r="AU699" s="2099"/>
      <c r="AV699" s="2099"/>
      <c r="AW699" s="2099"/>
      <c r="AX699" s="2099"/>
      <c r="AY699" s="2099"/>
      <c r="AZ699" s="2099"/>
      <c r="BA699" s="2099"/>
      <c r="BB699" s="2099"/>
      <c r="BC699" s="2099"/>
      <c r="BD699" s="2099" t="str">
        <f>IF(BD700=AA700,"",BD700)</f>
        <v/>
      </c>
      <c r="BE699" s="2099" t="str">
        <f>IF(BE700=AE700,"",BE700)</f>
        <v/>
      </c>
      <c r="BF699" s="2099" t="str">
        <f>IF(BF700=AI700,"",BF700)</f>
        <v/>
      </c>
      <c r="BG699" s="2099"/>
      <c r="BH699" s="2099"/>
      <c r="BI699" s="2099"/>
      <c r="BJ699" s="2099"/>
      <c r="BK699" s="2101"/>
      <c r="BL699" s="1630"/>
    </row>
    <row r="700" spans="1:64" s="1631" customFormat="1" x14ac:dyDescent="0.35">
      <c r="A700" s="2094" t="s">
        <v>1267</v>
      </c>
      <c r="B700" s="1783"/>
      <c r="C700" s="2099"/>
      <c r="D700" s="2099"/>
      <c r="E700" s="2099"/>
      <c r="F700" s="2099"/>
      <c r="G700" s="2099"/>
      <c r="H700" s="2099"/>
      <c r="I700" s="2099"/>
      <c r="J700" s="2099"/>
      <c r="K700" s="2099"/>
      <c r="L700" s="2099"/>
      <c r="M700" s="2099"/>
      <c r="N700" s="2099"/>
      <c r="O700" s="2099"/>
      <c r="P700" s="2099"/>
      <c r="Q700" s="2099"/>
      <c r="R700" s="2099"/>
      <c r="S700" s="2099"/>
      <c r="T700" s="2099"/>
      <c r="U700" s="2099"/>
      <c r="V700" s="2099"/>
      <c r="W700" s="2099"/>
      <c r="X700" s="2099"/>
      <c r="Y700" s="2099" t="str">
        <f>BD$5</f>
        <v>FY2021</v>
      </c>
      <c r="Z700" s="2099" t="str">
        <f>BE$5</f>
        <v>FY2022</v>
      </c>
      <c r="AA700" s="2099" t="str">
        <f>BE$5</f>
        <v>FY2022</v>
      </c>
      <c r="AB700" s="2099" t="str">
        <f>BE$5</f>
        <v>FY2022</v>
      </c>
      <c r="AC700" s="2099" t="str">
        <f>BE$5</f>
        <v>FY2022</v>
      </c>
      <c r="AD700" s="2099" t="str">
        <f>BF$5</f>
        <v>FY2023</v>
      </c>
      <c r="AE700" s="2099" t="str">
        <f>BF$5</f>
        <v>FY2023</v>
      </c>
      <c r="AF700" s="2099" t="str">
        <f>BF$5</f>
        <v>FY2023</v>
      </c>
      <c r="AG700" s="2099" t="str">
        <f>BF$5</f>
        <v>FY2023</v>
      </c>
      <c r="AH700" s="2099" t="str">
        <f>BG$5</f>
        <v>FY2024</v>
      </c>
      <c r="AI700" s="2099" t="str">
        <f>BG$5</f>
        <v>FY2024</v>
      </c>
      <c r="AJ700" s="2099" t="str">
        <f>BG$5</f>
        <v>FY2024</v>
      </c>
      <c r="AK700" s="2099"/>
      <c r="AL700" s="2099"/>
      <c r="AM700" s="2099"/>
      <c r="AN700" s="2099"/>
      <c r="AO700" s="2099"/>
      <c r="AP700" s="2099"/>
      <c r="AQ700" s="2099"/>
      <c r="AR700" s="2100"/>
      <c r="AS700" s="2100"/>
      <c r="AT700" s="2099"/>
      <c r="AU700" s="2099"/>
      <c r="AV700" s="2099"/>
      <c r="AW700" s="2099"/>
      <c r="AX700" s="2099"/>
      <c r="AY700" s="2099"/>
      <c r="AZ700" s="2099"/>
      <c r="BA700" s="2099"/>
      <c r="BB700" s="2099"/>
      <c r="BC700" s="2099"/>
      <c r="BD700" s="2099" t="str">
        <f>BE$5</f>
        <v>FY2022</v>
      </c>
      <c r="BE700" s="2099" t="str">
        <f>BF$5</f>
        <v>FY2023</v>
      </c>
      <c r="BF700" s="2099" t="str">
        <f>BG$5</f>
        <v>FY2024</v>
      </c>
      <c r="BG700" s="2099"/>
      <c r="BH700" s="2099"/>
      <c r="BI700" s="2099"/>
      <c r="BJ700" s="2099"/>
      <c r="BK700" s="2101"/>
      <c r="BL700" s="1630"/>
    </row>
    <row r="701" spans="1:64" s="1631" customFormat="1" x14ac:dyDescent="0.35">
      <c r="A701" s="2102"/>
      <c r="B701" s="1623"/>
      <c r="C701" s="1623"/>
      <c r="D701" s="1623"/>
      <c r="E701" s="1623"/>
      <c r="F701" s="1623"/>
      <c r="G701" s="1623"/>
      <c r="H701" s="1623"/>
      <c r="I701" s="1623"/>
      <c r="J701" s="1623"/>
      <c r="K701" s="1623"/>
      <c r="L701" s="1623"/>
      <c r="M701" s="1623"/>
      <c r="N701" s="1623"/>
      <c r="O701" s="1623"/>
      <c r="P701" s="1623"/>
      <c r="Q701" s="1623"/>
      <c r="R701" s="1623"/>
      <c r="S701" s="1623"/>
      <c r="T701" s="1623"/>
      <c r="U701" s="1623"/>
      <c r="V701" s="1623"/>
      <c r="W701" s="1623"/>
      <c r="X701" s="1623"/>
      <c r="Y701" s="1623"/>
      <c r="Z701" s="1623"/>
      <c r="AA701" s="1623"/>
      <c r="AB701" s="1623"/>
      <c r="AC701" s="1623"/>
      <c r="AD701" s="1623"/>
      <c r="AE701" s="1623"/>
      <c r="AF701" s="1623"/>
      <c r="AG701" s="1623"/>
      <c r="AH701" s="1623"/>
      <c r="AI701" s="1623"/>
      <c r="AJ701" s="1623"/>
      <c r="AK701" s="1623"/>
      <c r="AL701" s="1623"/>
      <c r="AM701" s="1623"/>
      <c r="AN701" s="1623"/>
      <c r="AO701" s="1623"/>
      <c r="AP701" s="1623"/>
      <c r="AQ701" s="1623"/>
      <c r="AR701" s="2103"/>
      <c r="AS701" s="2103"/>
      <c r="AT701" s="1623"/>
      <c r="AU701" s="1623"/>
      <c r="AV701" s="1623"/>
      <c r="AW701" s="1623"/>
      <c r="AX701" s="1623"/>
      <c r="AY701" s="1623"/>
      <c r="AZ701" s="1623"/>
      <c r="BA701" s="1623"/>
      <c r="BB701" s="1623"/>
      <c r="BC701" s="1623"/>
      <c r="BD701" s="1623"/>
      <c r="BE701" s="1623"/>
      <c r="BF701" s="1623"/>
      <c r="BG701" s="1623"/>
      <c r="BH701" s="1623"/>
      <c r="BI701" s="1623"/>
      <c r="BJ701" s="1623"/>
      <c r="BK701" s="2104"/>
      <c r="BL701" s="1630"/>
    </row>
    <row r="702" spans="1:64" s="1631" customFormat="1" x14ac:dyDescent="0.35">
      <c r="A702" s="2070"/>
      <c r="B702" s="1783"/>
      <c r="C702" s="1783"/>
      <c r="D702" s="1783"/>
      <c r="E702" s="1783"/>
      <c r="F702" s="1783"/>
      <c r="G702" s="1783"/>
      <c r="H702" s="1783"/>
      <c r="I702" s="1783"/>
      <c r="J702" s="1783"/>
      <c r="K702" s="1783"/>
      <c r="L702" s="1783"/>
      <c r="M702" s="1783"/>
      <c r="N702" s="1783"/>
      <c r="O702" s="1783"/>
      <c r="P702" s="1783"/>
      <c r="Q702" s="1783"/>
      <c r="R702" s="1783"/>
      <c r="S702" s="1783"/>
      <c r="T702" s="1783"/>
      <c r="U702" s="1783"/>
      <c r="V702" s="1783"/>
      <c r="W702" s="1783"/>
      <c r="X702" s="1783"/>
      <c r="Y702" s="1783"/>
      <c r="Z702" s="1783"/>
      <c r="AA702" s="1783"/>
      <c r="AB702" s="1783"/>
      <c r="AC702" s="1783"/>
      <c r="AD702" s="1783"/>
      <c r="AE702" s="1783"/>
      <c r="AF702" s="1783"/>
      <c r="AG702" s="1783"/>
      <c r="AH702" s="1783"/>
      <c r="AI702" s="1783"/>
      <c r="AJ702" s="1783"/>
      <c r="AK702" s="1783"/>
      <c r="AL702" s="1783"/>
      <c r="AM702" s="1783"/>
      <c r="AN702" s="1783"/>
      <c r="AO702" s="1783"/>
      <c r="AP702" s="1783"/>
      <c r="AQ702" s="1783"/>
      <c r="AR702" s="2073"/>
      <c r="AS702" s="2073"/>
      <c r="AT702" s="1783"/>
      <c r="AU702" s="1783"/>
      <c r="AV702" s="1783"/>
      <c r="AW702" s="1783"/>
      <c r="AX702" s="1783"/>
      <c r="AY702" s="1783"/>
      <c r="AZ702" s="1783"/>
      <c r="BA702" s="1783"/>
      <c r="BB702" s="1783"/>
      <c r="BC702" s="1783"/>
      <c r="BD702" s="1783"/>
      <c r="BE702" s="1783"/>
      <c r="BF702" s="1783"/>
      <c r="BG702" s="1783"/>
      <c r="BH702" s="1783"/>
      <c r="BI702" s="1783"/>
      <c r="BJ702" s="1783"/>
      <c r="BK702" s="1783"/>
      <c r="BL702" s="1630"/>
    </row>
    <row r="703" spans="1:64" s="1518" customFormat="1" x14ac:dyDescent="0.35">
      <c r="A703" s="2079" t="s">
        <v>1270</v>
      </c>
      <c r="B703" s="1601"/>
      <c r="C703" s="1601"/>
      <c r="D703" s="1601"/>
      <c r="E703" s="1601"/>
      <c r="F703" s="1601"/>
      <c r="G703" s="1601"/>
      <c r="H703" s="1601"/>
      <c r="I703" s="1601"/>
      <c r="J703" s="1601"/>
      <c r="K703" s="1601"/>
      <c r="L703" s="1601"/>
      <c r="M703" s="1601"/>
      <c r="N703" s="1601"/>
      <c r="O703" s="1601"/>
      <c r="P703" s="1601"/>
      <c r="Q703" s="1601"/>
      <c r="R703" s="1601"/>
      <c r="S703" s="1601"/>
      <c r="T703" s="1601"/>
      <c r="U703" s="1601"/>
      <c r="V703" s="1601"/>
      <c r="W703" s="1601"/>
      <c r="X703" s="1601"/>
      <c r="Y703" s="1601"/>
      <c r="Z703" s="1601"/>
      <c r="AA703" s="1601"/>
      <c r="AB703" s="1601"/>
      <c r="AC703" s="1601"/>
      <c r="AD703" s="1601"/>
      <c r="AE703" s="1601"/>
      <c r="AF703" s="1601"/>
      <c r="AG703" s="1601"/>
      <c r="AH703" s="1601"/>
      <c r="AI703" s="1601"/>
      <c r="AJ703" s="1601"/>
      <c r="AK703" s="1601" t="str">
        <f t="shared" ref="AK703:AP703" si="451">AK5</f>
        <v>Q3-2024</v>
      </c>
      <c r="AL703" s="1601" t="str">
        <f t="shared" si="451"/>
        <v>Q4-2024</v>
      </c>
      <c r="AM703" s="1601" t="str">
        <f t="shared" si="451"/>
        <v>Q1-2025</v>
      </c>
      <c r="AN703" s="1601" t="str">
        <f t="shared" si="451"/>
        <v>Q2-2025</v>
      </c>
      <c r="AO703" s="1601" t="str">
        <f t="shared" si="451"/>
        <v>Q3-2025</v>
      </c>
      <c r="AP703" s="1601" t="str">
        <f t="shared" si="451"/>
        <v>Q4-2025</v>
      </c>
      <c r="AQ703" s="1601"/>
      <c r="AR703" s="1601"/>
      <c r="AS703" s="1601"/>
      <c r="AT703" s="1601"/>
      <c r="AU703" s="1601"/>
      <c r="AV703" s="1601"/>
      <c r="AW703" s="1601"/>
      <c r="AX703" s="1601"/>
      <c r="AY703" s="1601"/>
      <c r="AZ703" s="1601"/>
      <c r="BA703" s="1601"/>
      <c r="BB703" s="1601"/>
      <c r="BC703" s="1601"/>
      <c r="BD703" s="1601"/>
      <c r="BE703" s="1601"/>
      <c r="BF703" s="1601"/>
      <c r="BG703" s="1601" t="str">
        <f>BG5</f>
        <v>FY2024</v>
      </c>
      <c r="BH703" s="1601" t="str">
        <f>BH5</f>
        <v>FY2025</v>
      </c>
      <c r="BI703" s="1601" t="str">
        <f>BI5</f>
        <v>FY2026</v>
      </c>
      <c r="BJ703" s="1601" t="str">
        <f>BJ5</f>
        <v>FY2027</v>
      </c>
      <c r="BK703" s="2105" t="str">
        <f>BK5</f>
        <v>FY2028</v>
      </c>
      <c r="BL703" s="1517"/>
    </row>
    <row r="704" spans="1:64" s="1518" customFormat="1" x14ac:dyDescent="0.35">
      <c r="A704" s="2106" t="s">
        <v>1271</v>
      </c>
      <c r="B704" s="1667"/>
      <c r="C704" s="1667"/>
      <c r="D704" s="1667"/>
      <c r="E704" s="1667"/>
      <c r="F704" s="1667"/>
      <c r="G704" s="1667"/>
      <c r="H704" s="1667"/>
      <c r="I704" s="1667"/>
      <c r="J704" s="1667"/>
      <c r="K704" s="1667"/>
      <c r="L704" s="1667"/>
      <c r="M704" s="1667"/>
      <c r="N704" s="1667"/>
      <c r="O704" s="1667"/>
      <c r="P704" s="1667"/>
      <c r="Q704" s="1667"/>
      <c r="R704" s="1667"/>
      <c r="S704" s="1667"/>
      <c r="T704" s="1667"/>
      <c r="U704" s="1667"/>
      <c r="V704" s="1667"/>
      <c r="W704" s="1667"/>
      <c r="X704" s="1667"/>
      <c r="Y704" s="1667"/>
      <c r="Z704" s="1667"/>
      <c r="AA704" s="1667"/>
      <c r="AB704" s="1667"/>
      <c r="AC704" s="1667"/>
      <c r="AD704" s="1667"/>
      <c r="AE704" s="1667"/>
      <c r="AF704" s="1667"/>
      <c r="AG704" s="1667"/>
      <c r="AH704" s="1667"/>
      <c r="AI704" s="1667"/>
      <c r="AJ704" s="1667"/>
      <c r="AK704" s="1667" t="str">
        <f t="shared" ref="AK704:AP704" ca="1" si="452">IF(MO.DataSourceIndex=3,IF(LEFT(INDIRECT(ADDRESS(ROW()-1,COLUMN())),2)="FY","ANNUAL",IF(LEFT(INDIRECT(ADDRESS(ROW()-1,COLUMN())),1)="Q","QUARTERLY","")),IF(LEFT(INDIRECT(ADDRESS(ROW()-1,COLUMN())),2)="FY","FY",IF(LEFT(INDIRECT(ADDRESS(ROW()-1,COLUMN())),1)="Q","FQ","FH")))</f>
        <v>FQ</v>
      </c>
      <c r="AL704" s="1667" t="str">
        <f t="shared" ca="1" si="452"/>
        <v>FQ</v>
      </c>
      <c r="AM704" s="1667" t="str">
        <f t="shared" ca="1" si="452"/>
        <v>FQ</v>
      </c>
      <c r="AN704" s="1667" t="str">
        <f t="shared" ca="1" si="452"/>
        <v>FQ</v>
      </c>
      <c r="AO704" s="1667" t="str">
        <f t="shared" ca="1" si="452"/>
        <v>FQ</v>
      </c>
      <c r="AP704" s="1667" t="str">
        <f t="shared" ca="1" si="452"/>
        <v>FQ</v>
      </c>
      <c r="AQ704" s="1667"/>
      <c r="AR704" s="1667"/>
      <c r="AS704" s="1667"/>
      <c r="AT704" s="1667"/>
      <c r="AU704" s="1667"/>
      <c r="AV704" s="1667"/>
      <c r="AW704" s="1667"/>
      <c r="AX704" s="1667"/>
      <c r="AY704" s="1667"/>
      <c r="AZ704" s="1667"/>
      <c r="BA704" s="1667"/>
      <c r="BB704" s="1667"/>
      <c r="BC704" s="1667"/>
      <c r="BD704" s="1667"/>
      <c r="BE704" s="1667"/>
      <c r="BF704" s="1667"/>
      <c r="BG704" s="1667" t="str">
        <f ca="1">IF(MO.DataSourceIndex=3,IF(LEFT(INDIRECT(ADDRESS(ROW()-1,COLUMN())),2)="FY","ANNUAL",IF(LEFT(INDIRECT(ADDRESS(ROW()-1,COLUMN())),1)="Q","QUARTERLY","")),IF(LEFT(INDIRECT(ADDRESS(ROW()-1,COLUMN())),2)="FY","FY",IF(LEFT(INDIRECT(ADDRESS(ROW()-1,COLUMN())),1)="Q","FQ","FH")))</f>
        <v>FY</v>
      </c>
      <c r="BH704" s="1667" t="str">
        <f ca="1">IF(MO.DataSourceIndex=3,IF(LEFT(INDIRECT(ADDRESS(ROW()-1,COLUMN())),2)="FY","ANNUAL",IF(LEFT(INDIRECT(ADDRESS(ROW()-1,COLUMN())),1)="Q","QUARTERLY","")),IF(LEFT(INDIRECT(ADDRESS(ROW()-1,COLUMN())),2)="FY","FY",IF(LEFT(INDIRECT(ADDRESS(ROW()-1,COLUMN())),1)="Q","FQ","FH")))</f>
        <v>FY</v>
      </c>
      <c r="BI704" s="1667" t="str">
        <f ca="1">IF(MO.DataSourceIndex=3,IF(LEFT(INDIRECT(ADDRESS(ROW()-1,COLUMN())),2)="FY","ANNUAL",IF(LEFT(INDIRECT(ADDRESS(ROW()-1,COLUMN())),1)="Q","QUARTERLY","")),IF(LEFT(INDIRECT(ADDRESS(ROW()-1,COLUMN())),2)="FY","FY",IF(LEFT(INDIRECT(ADDRESS(ROW()-1,COLUMN())),1)="Q","FQ","FH")))</f>
        <v>FY</v>
      </c>
      <c r="BJ704" s="1667" t="str">
        <f ca="1">IF(MO.DataSourceIndex=3,IF(LEFT(INDIRECT(ADDRESS(ROW()-1,COLUMN())),2)="FY","ANNUAL",IF(LEFT(INDIRECT(ADDRESS(ROW()-1,COLUMN())),1)="Q","QUARTERLY","")),IF(LEFT(INDIRECT(ADDRESS(ROW()-1,COLUMN())),2)="FY","FY",IF(LEFT(INDIRECT(ADDRESS(ROW()-1,COLUMN())),1)="Q","FQ","FH")))</f>
        <v>FY</v>
      </c>
      <c r="BK704" s="2107" t="str">
        <f ca="1">IF(MO.DataSourceIndex=3,IF(LEFT(INDIRECT(ADDRESS(ROW()-1,COLUMN())),2)="FY","ANNUAL",IF(LEFT(INDIRECT(ADDRESS(ROW()-1,COLUMN())),1)="Q","QUARTERLY","")),IF(LEFT(INDIRECT(ADDRESS(ROW()-1,COLUMN())),2)="FY","FY",IF(LEFT(INDIRECT(ADDRESS(ROW()-1,COLUMN())),1)="Q","FQ","FH")))</f>
        <v>FY</v>
      </c>
      <c r="BL704" s="1517"/>
    </row>
    <row r="705" spans="1:64" s="1518" customFormat="1" x14ac:dyDescent="0.35">
      <c r="A705" s="2106" t="s">
        <v>700</v>
      </c>
      <c r="B705" s="1667"/>
      <c r="C705" s="1667"/>
      <c r="D705" s="1667"/>
      <c r="E705" s="1667"/>
      <c r="F705" s="1667"/>
      <c r="G705" s="1667"/>
      <c r="H705" s="1667"/>
      <c r="I705" s="1667"/>
      <c r="J705" s="1667"/>
      <c r="K705" s="1667"/>
      <c r="L705" s="1667"/>
      <c r="M705" s="1667"/>
      <c r="N705" s="1667"/>
      <c r="O705" s="1667"/>
      <c r="P705" s="1667"/>
      <c r="Q705" s="1667"/>
      <c r="R705" s="1667"/>
      <c r="S705" s="1667"/>
      <c r="T705" s="1667"/>
      <c r="U705" s="1667"/>
      <c r="V705" s="1667"/>
      <c r="W705" s="1667"/>
      <c r="X705" s="1667"/>
      <c r="Y705" s="1667"/>
      <c r="Z705" s="1667"/>
      <c r="AA705" s="1667"/>
      <c r="AB705" s="1667"/>
      <c r="AC705" s="1667"/>
      <c r="AD705" s="1667"/>
      <c r="AE705" s="1667"/>
      <c r="AF705" s="1667"/>
      <c r="AG705" s="1667"/>
      <c r="AH705" s="1667"/>
      <c r="AI705" s="1667"/>
      <c r="AJ705" s="1667"/>
      <c r="AK705" s="1667">
        <f t="shared" ref="AK705:AP705" ca="1" si="453">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AL705" s="1667">
        <f t="shared" ca="1" si="453"/>
        <v>2</v>
      </c>
      <c r="AM705" s="1667">
        <f t="shared" ca="1" si="453"/>
        <v>3</v>
      </c>
      <c r="AN705" s="1667">
        <f t="shared" ca="1" si="453"/>
        <v>4</v>
      </c>
      <c r="AO705" s="1667">
        <f t="shared" ca="1" si="453"/>
        <v>5</v>
      </c>
      <c r="AP705" s="1667">
        <f t="shared" ca="1" si="453"/>
        <v>6</v>
      </c>
      <c r="AQ705" s="1667"/>
      <c r="AR705" s="1667"/>
      <c r="AS705" s="1667"/>
      <c r="AT705" s="1667"/>
      <c r="AU705" s="1667"/>
      <c r="AV705" s="1667"/>
      <c r="AW705" s="1667"/>
      <c r="AX705" s="1667"/>
      <c r="AY705" s="1667"/>
      <c r="AZ705" s="1667"/>
      <c r="BA705" s="1667"/>
      <c r="BB705" s="1667"/>
      <c r="BC705" s="1667"/>
      <c r="BD705" s="1667"/>
      <c r="BE705" s="1667"/>
      <c r="BF705" s="1667"/>
      <c r="BG705" s="1667">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BH705" s="1667">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2</v>
      </c>
      <c r="BI705" s="1667">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3</v>
      </c>
      <c r="BJ705" s="1667">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4</v>
      </c>
      <c r="BK705" s="2107">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5</v>
      </c>
      <c r="BL705" s="1517"/>
    </row>
    <row r="706" spans="1:64" s="1518" customFormat="1" x14ac:dyDescent="0.35">
      <c r="A706" s="2081" t="str">
        <f>A110</f>
        <v>Consensus Estimates - Gross Margin, %</v>
      </c>
      <c r="B706" s="1515"/>
      <c r="C706" s="1515"/>
      <c r="D706" s="1515"/>
      <c r="E706" s="1515"/>
      <c r="F706" s="1515"/>
      <c r="G706" s="1515"/>
      <c r="H706" s="1515"/>
      <c r="I706" s="1515"/>
      <c r="J706" s="1515"/>
      <c r="K706" s="1515"/>
      <c r="L706" s="1515"/>
      <c r="M706" s="1515"/>
      <c r="N706" s="1515"/>
      <c r="O706" s="1515"/>
      <c r="P706" s="1515"/>
      <c r="Q706" s="1515"/>
      <c r="R706" s="1515"/>
      <c r="S706" s="1515"/>
      <c r="T706" s="1515"/>
      <c r="U706" s="1515"/>
      <c r="V706" s="1515"/>
      <c r="W706" s="1515"/>
      <c r="X706" s="1515"/>
      <c r="Y706" s="1515"/>
      <c r="Z706" s="1515"/>
      <c r="AA706" s="1515"/>
      <c r="AB706" s="1515"/>
      <c r="AC706" s="1515"/>
      <c r="AD706" s="1515"/>
      <c r="AE706" s="1515"/>
      <c r="AF706" s="1515"/>
      <c r="AG706" s="1515"/>
      <c r="AH706" s="1515"/>
      <c r="AI706" s="1515"/>
      <c r="AJ706" s="1515"/>
      <c r="AK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L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M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N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O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P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Q706" s="1515"/>
      <c r="AR706" s="1515"/>
      <c r="AS706" s="2071"/>
      <c r="AT706" s="2071"/>
      <c r="AU706" s="2071"/>
      <c r="AV706" s="2071"/>
      <c r="AW706" s="1515"/>
      <c r="AX706" s="1515"/>
      <c r="AY706" s="1515"/>
      <c r="AZ706" s="1515"/>
      <c r="BA706" s="1515"/>
      <c r="BB706" s="1515"/>
      <c r="BC706" s="1515"/>
      <c r="BD706" s="1515"/>
      <c r="BE706" s="1515"/>
      <c r="BF706" s="1515"/>
      <c r="BG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H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I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J706" s="1515"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K706" s="2108"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L706" s="1517"/>
    </row>
    <row r="707" spans="1:64" s="1518" customFormat="1" x14ac:dyDescent="0.35">
      <c r="A707" s="2081" t="str">
        <f>$A$178</f>
        <v>Consensus Estimates - Net Revenue</v>
      </c>
      <c r="B707" s="1515"/>
      <c r="C707" s="1515"/>
      <c r="D707" s="1515"/>
      <c r="E707" s="1515"/>
      <c r="F707" s="1515"/>
      <c r="G707" s="1515"/>
      <c r="H707" s="1515"/>
      <c r="I707" s="1515"/>
      <c r="J707" s="1515"/>
      <c r="K707" s="1515"/>
      <c r="L707" s="1515"/>
      <c r="M707" s="1515"/>
      <c r="N707" s="1515"/>
      <c r="O707" s="1515"/>
      <c r="P707" s="1515"/>
      <c r="Q707" s="1515"/>
      <c r="R707" s="1515"/>
      <c r="S707" s="1515"/>
      <c r="T707" s="1515"/>
      <c r="U707" s="1515"/>
      <c r="V707" s="1515"/>
      <c r="W707" s="1515"/>
      <c r="X707" s="1515"/>
      <c r="Y707" s="1515"/>
      <c r="Z707" s="1515"/>
      <c r="AA707" s="1515"/>
      <c r="AB707" s="1515"/>
      <c r="AC707" s="1515"/>
      <c r="AD707" s="1515"/>
      <c r="AE707" s="1515"/>
      <c r="AF707" s="1515"/>
      <c r="AG707" s="1515"/>
      <c r="AH707" s="1515"/>
      <c r="AI707" s="1515"/>
      <c r="AJ707" s="1515"/>
      <c r="AK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L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M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N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O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P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Q707" s="1515"/>
      <c r="AR707" s="1515"/>
      <c r="AS707" s="2071"/>
      <c r="AT707" s="2071"/>
      <c r="AU707" s="2071"/>
      <c r="AV707" s="2071"/>
      <c r="AW707" s="1515"/>
      <c r="AX707" s="1515"/>
      <c r="AY707" s="1515"/>
      <c r="AZ707" s="1515"/>
      <c r="BA707" s="1515"/>
      <c r="BB707" s="1515"/>
      <c r="BC707" s="1515"/>
      <c r="BD707" s="1515"/>
      <c r="BE707" s="1515"/>
      <c r="BF707" s="1515"/>
      <c r="BG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H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I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J707" s="1515"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K707" s="2108"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L707" s="1517"/>
    </row>
    <row r="708" spans="1:64" s="1518" customFormat="1" x14ac:dyDescent="0.35">
      <c r="A708" s="2081" t="str">
        <f>$A$187</f>
        <v>Consensus Estimates - Adjusted EBITDA</v>
      </c>
      <c r="B708" s="1515"/>
      <c r="C708" s="1515"/>
      <c r="D708" s="1515"/>
      <c r="E708" s="1515"/>
      <c r="F708" s="1515"/>
      <c r="G708" s="1515"/>
      <c r="H708" s="1515"/>
      <c r="I708" s="1515"/>
      <c r="J708" s="1515"/>
      <c r="K708" s="1515"/>
      <c r="L708" s="1515"/>
      <c r="M708" s="1515"/>
      <c r="N708" s="1515"/>
      <c r="O708" s="1515"/>
      <c r="P708" s="1515"/>
      <c r="Q708" s="1515"/>
      <c r="R708" s="1515"/>
      <c r="S708" s="1515"/>
      <c r="T708" s="1515"/>
      <c r="U708" s="1515"/>
      <c r="V708" s="1515"/>
      <c r="W708" s="1515"/>
      <c r="X708" s="1515"/>
      <c r="Y708" s="1515"/>
      <c r="Z708" s="1515"/>
      <c r="AA708" s="1515"/>
      <c r="AB708" s="1515"/>
      <c r="AC708" s="1515"/>
      <c r="AD708" s="1515"/>
      <c r="AE708" s="1515"/>
      <c r="AF708" s="1515"/>
      <c r="AG708" s="1515"/>
      <c r="AH708" s="1515"/>
      <c r="AI708" s="1515"/>
      <c r="AJ708" s="1515"/>
      <c r="AK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L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M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N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O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P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Q708" s="1515"/>
      <c r="AR708" s="1515"/>
      <c r="AS708" s="2071"/>
      <c r="AT708" s="2071"/>
      <c r="AU708" s="2071"/>
      <c r="AV708" s="2071"/>
      <c r="AW708" s="1515"/>
      <c r="AX708" s="1515"/>
      <c r="AY708" s="1515"/>
      <c r="AZ708" s="1515"/>
      <c r="BA708" s="1515"/>
      <c r="BB708" s="1515"/>
      <c r="BC708" s="1515"/>
      <c r="BD708" s="1515"/>
      <c r="BE708" s="1515"/>
      <c r="BF708" s="1515"/>
      <c r="BG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H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I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J708" s="1515"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K708" s="2108"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L708" s="1517"/>
    </row>
    <row r="709" spans="1:64" s="1518" customFormat="1" x14ac:dyDescent="0.35">
      <c r="A709" s="2081" t="str">
        <f>$A$220</f>
        <v>Consensus Estimates - Adjusted Earnings Per Share - WAD</v>
      </c>
      <c r="B709" s="1515"/>
      <c r="C709" s="1515"/>
      <c r="D709" s="1515"/>
      <c r="E709" s="1515"/>
      <c r="F709" s="1515"/>
      <c r="G709" s="1515"/>
      <c r="H709" s="1515"/>
      <c r="I709" s="1515"/>
      <c r="J709" s="1515"/>
      <c r="K709" s="1515"/>
      <c r="L709" s="1515"/>
      <c r="M709" s="1515"/>
      <c r="N709" s="1515"/>
      <c r="O709" s="1515"/>
      <c r="P709" s="1515"/>
      <c r="Q709" s="1515"/>
      <c r="R709" s="1515"/>
      <c r="S709" s="1515"/>
      <c r="T709" s="1515"/>
      <c r="U709" s="1515"/>
      <c r="V709" s="1515"/>
      <c r="W709" s="1515"/>
      <c r="X709" s="1515"/>
      <c r="Y709" s="1515"/>
      <c r="Z709" s="1515"/>
      <c r="AA709" s="1515"/>
      <c r="AB709" s="1515"/>
      <c r="AC709" s="1515"/>
      <c r="AD709" s="1515"/>
      <c r="AE709" s="1515"/>
      <c r="AF709" s="1515"/>
      <c r="AG709" s="1515"/>
      <c r="AH709" s="1515"/>
      <c r="AI709" s="1515"/>
      <c r="AJ709" s="1515"/>
      <c r="AK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L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M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N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O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P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Q709" s="1515"/>
      <c r="AR709" s="1515"/>
      <c r="AS709" s="2109"/>
      <c r="AT709" s="2109"/>
      <c r="AU709" s="2109"/>
      <c r="AV709" s="2109"/>
      <c r="AW709" s="1515"/>
      <c r="AX709" s="1515"/>
      <c r="AY709" s="1515"/>
      <c r="AZ709" s="1515"/>
      <c r="BA709" s="1515"/>
      <c r="BB709" s="1515"/>
      <c r="BC709" s="1515"/>
      <c r="BD709" s="1515"/>
      <c r="BE709" s="1515"/>
      <c r="BF709" s="1515"/>
      <c r="BG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H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I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J709" s="1515"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K709" s="2108"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L709" s="1517"/>
    </row>
    <row r="710" spans="1:64" s="1518" customFormat="1" x14ac:dyDescent="0.35">
      <c r="A710" s="2081" t="str">
        <f>$A$357</f>
        <v>Consensus Estimates - Cash Flow Per Diluted Share</v>
      </c>
      <c r="B710" s="1515"/>
      <c r="C710" s="1515"/>
      <c r="D710" s="1515"/>
      <c r="E710" s="1515"/>
      <c r="F710" s="1515"/>
      <c r="G710" s="1515"/>
      <c r="H710" s="1515"/>
      <c r="I710" s="1515"/>
      <c r="J710" s="1515"/>
      <c r="K710" s="1515"/>
      <c r="L710" s="1515"/>
      <c r="M710" s="1515"/>
      <c r="N710" s="1515"/>
      <c r="O710" s="1515"/>
      <c r="P710" s="1515"/>
      <c r="Q710" s="1515"/>
      <c r="R710" s="1515"/>
      <c r="S710" s="1515"/>
      <c r="T710" s="1515"/>
      <c r="U710" s="1515"/>
      <c r="V710" s="1515"/>
      <c r="W710" s="1515"/>
      <c r="X710" s="1515"/>
      <c r="Y710" s="1515"/>
      <c r="Z710" s="1515"/>
      <c r="AA710" s="1515"/>
      <c r="AB710" s="1515"/>
      <c r="AC710" s="1515"/>
      <c r="AD710" s="1515"/>
      <c r="AE710" s="1515"/>
      <c r="AF710" s="1515"/>
      <c r="AG710" s="1515"/>
      <c r="AH710" s="1515"/>
      <c r="AI710" s="1515"/>
      <c r="AJ710" s="1515"/>
      <c r="AK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L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M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N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O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P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Q710" s="1515"/>
      <c r="AR710" s="1515"/>
      <c r="AS710" s="2109"/>
      <c r="AT710" s="2109"/>
      <c r="AU710" s="2109"/>
      <c r="AV710" s="2109"/>
      <c r="AW710" s="1515"/>
      <c r="AX710" s="1515"/>
      <c r="AY710" s="1515"/>
      <c r="AZ710" s="1515"/>
      <c r="BA710" s="1515"/>
      <c r="BB710" s="1515"/>
      <c r="BC710" s="1515"/>
      <c r="BD710" s="1515"/>
      <c r="BE710" s="1515"/>
      <c r="BF710" s="1515"/>
      <c r="BG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H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I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J710" s="1515"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K710" s="2108"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L710" s="1517"/>
    </row>
    <row r="711" spans="1:64" s="1518" customFormat="1" x14ac:dyDescent="0.35">
      <c r="A711" s="2081" t="str">
        <f>A359</f>
        <v>Consensus Estimates - Capex</v>
      </c>
      <c r="B711" s="1515"/>
      <c r="C711" s="1515"/>
      <c r="D711" s="1515"/>
      <c r="E711" s="1515"/>
      <c r="F711" s="1515"/>
      <c r="G711" s="1515"/>
      <c r="H711" s="1515"/>
      <c r="I711" s="1515"/>
      <c r="J711" s="1515"/>
      <c r="K711" s="1515"/>
      <c r="L711" s="1515"/>
      <c r="M711" s="1515"/>
      <c r="N711" s="1515"/>
      <c r="O711" s="1515"/>
      <c r="P711" s="1515"/>
      <c r="Q711" s="1515"/>
      <c r="R711" s="1515"/>
      <c r="S711" s="1515"/>
      <c r="T711" s="1515"/>
      <c r="U711" s="1515"/>
      <c r="V711" s="1515"/>
      <c r="W711" s="1515"/>
      <c r="X711" s="1515"/>
      <c r="Y711" s="1515"/>
      <c r="Z711" s="1515"/>
      <c r="AA711" s="1515"/>
      <c r="AB711" s="1515"/>
      <c r="AC711" s="1515"/>
      <c r="AD711" s="1515"/>
      <c r="AE711" s="1515"/>
      <c r="AF711" s="1515"/>
      <c r="AG711" s="1515"/>
      <c r="AH711" s="1515"/>
      <c r="AI711" s="1515"/>
      <c r="AJ711" s="1515"/>
      <c r="AK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L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M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N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O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P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Q711" s="1515"/>
      <c r="AR711" s="1515"/>
      <c r="AS711" s="2071"/>
      <c r="AT711" s="2071"/>
      <c r="AU711" s="2071"/>
      <c r="AV711" s="2071"/>
      <c r="AW711" s="1515"/>
      <c r="AX711" s="1515"/>
      <c r="AY711" s="1515"/>
      <c r="AZ711" s="1515"/>
      <c r="BA711" s="1515"/>
      <c r="BB711" s="1515"/>
      <c r="BC711" s="1515"/>
      <c r="BD711" s="1515"/>
      <c r="BE711" s="1515"/>
      <c r="BF711" s="1515"/>
      <c r="BG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H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I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J711" s="1515"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K711" s="2108"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L711" s="1517"/>
    </row>
    <row r="712" spans="1:64" s="1518" customFormat="1" x14ac:dyDescent="0.35">
      <c r="A712" s="2083"/>
      <c r="B712" s="1681"/>
      <c r="C712" s="1681"/>
      <c r="D712" s="1681"/>
      <c r="E712" s="1681"/>
      <c r="F712" s="1681"/>
      <c r="G712" s="1681"/>
      <c r="H712" s="1681"/>
      <c r="I712" s="1681"/>
      <c r="J712" s="1681"/>
      <c r="K712" s="1681"/>
      <c r="L712" s="1681"/>
      <c r="M712" s="1681"/>
      <c r="N712" s="1681"/>
      <c r="O712" s="1681"/>
      <c r="P712" s="1681"/>
      <c r="Q712" s="1681"/>
      <c r="R712" s="1681"/>
      <c r="S712" s="1681"/>
      <c r="T712" s="1681"/>
      <c r="U712" s="1681"/>
      <c r="V712" s="1681"/>
      <c r="W712" s="1681"/>
      <c r="X712" s="1681"/>
      <c r="Y712" s="1681"/>
      <c r="Z712" s="1681"/>
      <c r="AA712" s="1681"/>
      <c r="AB712" s="1681"/>
      <c r="AC712" s="1681"/>
      <c r="AD712" s="1681"/>
      <c r="AE712" s="1681"/>
      <c r="AF712" s="1681"/>
      <c r="AG712" s="1681"/>
      <c r="AH712" s="1681"/>
      <c r="AI712" s="1681"/>
      <c r="AJ712" s="1681"/>
      <c r="AK712" s="1681"/>
      <c r="AL712" s="1681"/>
      <c r="AM712" s="1681"/>
      <c r="AN712" s="1681"/>
      <c r="AO712" s="1681"/>
      <c r="AP712" s="1681"/>
      <c r="AQ712" s="1681"/>
      <c r="AR712" s="2110"/>
      <c r="AS712" s="2110"/>
      <c r="AT712" s="1681"/>
      <c r="AU712" s="1681"/>
      <c r="AV712" s="1681"/>
      <c r="AW712" s="1681"/>
      <c r="AX712" s="1681"/>
      <c r="AY712" s="1681"/>
      <c r="AZ712" s="1681"/>
      <c r="BA712" s="1681"/>
      <c r="BB712" s="1681"/>
      <c r="BC712" s="1681"/>
      <c r="BD712" s="1681"/>
      <c r="BE712" s="1681"/>
      <c r="BF712" s="1681"/>
      <c r="BG712" s="1681"/>
      <c r="BH712" s="1681"/>
      <c r="BI712" s="1681"/>
      <c r="BJ712" s="1681"/>
      <c r="BK712" s="2111"/>
      <c r="BL712" s="1517"/>
    </row>
    <row r="713" spans="1:64" s="1518" customFormat="1" x14ac:dyDescent="0.35">
      <c r="A713" s="2070"/>
      <c r="B713" s="1515"/>
      <c r="C713" s="1515"/>
      <c r="D713" s="1515"/>
      <c r="E713" s="1515"/>
      <c r="F713" s="1515"/>
      <c r="G713" s="1515"/>
      <c r="H713" s="1515"/>
      <c r="I713" s="1515"/>
      <c r="J713" s="1515"/>
      <c r="K713" s="1515"/>
      <c r="L713" s="1515"/>
      <c r="M713" s="1515"/>
      <c r="N713" s="1515"/>
      <c r="O713" s="1515"/>
      <c r="P713" s="1515"/>
      <c r="Q713" s="1515"/>
      <c r="R713" s="1515"/>
      <c r="S713" s="1515"/>
      <c r="T713" s="1515"/>
      <c r="U713" s="1515"/>
      <c r="V713" s="1515"/>
      <c r="W713" s="1515"/>
      <c r="X713" s="1515"/>
      <c r="Y713" s="1515"/>
      <c r="Z713" s="1515"/>
      <c r="AA713" s="1515"/>
      <c r="AB713" s="1515"/>
      <c r="AC713" s="1515"/>
      <c r="AD713" s="1515"/>
      <c r="AE713" s="1515"/>
      <c r="AF713" s="1515"/>
      <c r="AG713" s="1515"/>
      <c r="AH713" s="1515"/>
      <c r="AI713" s="1515"/>
      <c r="AJ713" s="1515"/>
      <c r="AK713" s="1515"/>
      <c r="AL713" s="1515"/>
      <c r="AM713" s="1515"/>
      <c r="AN713" s="1515"/>
      <c r="AO713" s="1515"/>
      <c r="AP713" s="1515"/>
      <c r="AQ713" s="1515"/>
      <c r="AR713" s="2071"/>
      <c r="AS713" s="2071"/>
      <c r="AT713" s="1515"/>
      <c r="AU713" s="1515"/>
      <c r="AV713" s="1515"/>
      <c r="AW713" s="1515"/>
      <c r="AX713" s="1515"/>
      <c r="AY713" s="1515"/>
      <c r="AZ713" s="1515"/>
      <c r="BA713" s="1515"/>
      <c r="BB713" s="1515"/>
      <c r="BC713" s="1515"/>
      <c r="BD713" s="1515"/>
      <c r="BE713" s="1515"/>
      <c r="BF713" s="1515"/>
      <c r="BG713" s="1515"/>
      <c r="BH713" s="1515"/>
      <c r="BI713" s="1515"/>
      <c r="BJ713" s="1515"/>
      <c r="BK713" s="1515"/>
      <c r="BL713" s="1517"/>
    </row>
    <row r="714" spans="1:64" s="1518" customFormat="1" x14ac:dyDescent="0.35">
      <c r="A714" s="2112" t="s">
        <v>1272</v>
      </c>
      <c r="B714" s="1819"/>
      <c r="C714" s="1819"/>
      <c r="D714" s="1819"/>
      <c r="E714" s="1819"/>
      <c r="F714" s="1819"/>
      <c r="G714" s="1819"/>
      <c r="H714" s="1819"/>
      <c r="I714" s="1819"/>
      <c r="J714" s="1819"/>
      <c r="K714" s="1819"/>
      <c r="L714" s="1819"/>
      <c r="M714" s="1819"/>
      <c r="N714" s="1819"/>
      <c r="O714" s="1819"/>
      <c r="P714" s="1819"/>
      <c r="Q714" s="1819"/>
      <c r="R714" s="1819"/>
      <c r="S714" s="1819"/>
      <c r="T714" s="1819"/>
      <c r="U714" s="1819"/>
      <c r="V714" s="1819"/>
      <c r="W714" s="1819"/>
      <c r="X714" s="1819"/>
      <c r="Y714" s="1819"/>
      <c r="Z714" s="1819"/>
      <c r="AA714" s="1819"/>
      <c r="AB714" s="1819"/>
      <c r="AC714" s="1819"/>
      <c r="AD714" s="1819"/>
      <c r="AE714" s="1819"/>
      <c r="AF714" s="1819"/>
      <c r="AG714" s="1819"/>
      <c r="AH714" s="1819"/>
      <c r="AI714" s="1819"/>
      <c r="AJ714" s="1819"/>
      <c r="AK714" s="1819"/>
      <c r="AL714" s="1819"/>
      <c r="AM714" s="1819"/>
      <c r="AN714" s="1819"/>
      <c r="AO714" s="1819"/>
      <c r="AP714" s="1819"/>
      <c r="AQ714" s="1819"/>
      <c r="AR714" s="2113"/>
      <c r="AS714" s="2113"/>
      <c r="AT714" s="1819"/>
      <c r="AU714" s="1819"/>
      <c r="AV714" s="1819"/>
      <c r="AW714" s="1819"/>
      <c r="AX714" s="1819"/>
      <c r="AY714" s="1819"/>
      <c r="AZ714" s="1819"/>
      <c r="BA714" s="1819"/>
      <c r="BB714" s="1819"/>
      <c r="BC714" s="1819"/>
      <c r="BD714" s="1819"/>
      <c r="BE714" s="1819"/>
      <c r="BF714" s="1819"/>
      <c r="BG714" s="1819"/>
      <c r="BH714" s="1819"/>
      <c r="BI714" s="1819"/>
      <c r="BJ714" s="1819"/>
      <c r="BK714" s="2114"/>
      <c r="BL714" s="1517"/>
    </row>
    <row r="715" spans="1:64" s="1518" customFormat="1" x14ac:dyDescent="0.35">
      <c r="A715" s="2115" t="s">
        <v>1273</v>
      </c>
      <c r="B715" s="1515"/>
      <c r="C715" s="2116">
        <f t="shared" ref="C715:AP715" si="454">INDEX(MO_Common_QEndDate,0,COLUMN())-INDEX(MO_Common_FPDays,0,COLUMN())+1</f>
        <v>42370</v>
      </c>
      <c r="D715" s="2116">
        <f t="shared" si="454"/>
        <v>42461</v>
      </c>
      <c r="E715" s="2116">
        <f t="shared" si="454"/>
        <v>42552</v>
      </c>
      <c r="F715" s="2116">
        <f t="shared" si="454"/>
        <v>42644</v>
      </c>
      <c r="G715" s="2116">
        <f t="shared" si="454"/>
        <v>42736</v>
      </c>
      <c r="H715" s="2116">
        <f t="shared" si="454"/>
        <v>42826</v>
      </c>
      <c r="I715" s="2116">
        <f t="shared" si="454"/>
        <v>42917</v>
      </c>
      <c r="J715" s="2116">
        <f t="shared" si="454"/>
        <v>43009</v>
      </c>
      <c r="K715" s="2116">
        <f t="shared" si="454"/>
        <v>43101</v>
      </c>
      <c r="L715" s="2116">
        <f t="shared" si="454"/>
        <v>43191</v>
      </c>
      <c r="M715" s="2116">
        <f t="shared" si="454"/>
        <v>43282</v>
      </c>
      <c r="N715" s="2116">
        <f t="shared" si="454"/>
        <v>43374</v>
      </c>
      <c r="O715" s="2116">
        <f t="shared" si="454"/>
        <v>43466</v>
      </c>
      <c r="P715" s="2116">
        <f t="shared" si="454"/>
        <v>43556</v>
      </c>
      <c r="Q715" s="2116">
        <f t="shared" si="454"/>
        <v>43647</v>
      </c>
      <c r="R715" s="2116">
        <f t="shared" si="454"/>
        <v>43739</v>
      </c>
      <c r="S715" s="2116">
        <f t="shared" si="454"/>
        <v>43831</v>
      </c>
      <c r="T715" s="2116">
        <f t="shared" si="454"/>
        <v>43922</v>
      </c>
      <c r="U715" s="2116">
        <f t="shared" si="454"/>
        <v>44013</v>
      </c>
      <c r="V715" s="2116">
        <f t="shared" si="454"/>
        <v>44105</v>
      </c>
      <c r="W715" s="2116">
        <f t="shared" si="454"/>
        <v>44197</v>
      </c>
      <c r="X715" s="2116">
        <f t="shared" si="454"/>
        <v>44287</v>
      </c>
      <c r="Y715" s="2116">
        <f t="shared" si="454"/>
        <v>44378</v>
      </c>
      <c r="Z715" s="2116">
        <f t="shared" si="454"/>
        <v>44470</v>
      </c>
      <c r="AA715" s="2116">
        <f t="shared" si="454"/>
        <v>44562</v>
      </c>
      <c r="AB715" s="2116">
        <f t="shared" si="454"/>
        <v>44652</v>
      </c>
      <c r="AC715" s="2116">
        <f t="shared" si="454"/>
        <v>44743</v>
      </c>
      <c r="AD715" s="2116">
        <f t="shared" si="454"/>
        <v>44835</v>
      </c>
      <c r="AE715" s="2116">
        <f t="shared" si="454"/>
        <v>44927</v>
      </c>
      <c r="AF715" s="2116">
        <f t="shared" si="454"/>
        <v>45017</v>
      </c>
      <c r="AG715" s="2116">
        <f t="shared" si="454"/>
        <v>45108</v>
      </c>
      <c r="AH715" s="2116">
        <f t="shared" si="454"/>
        <v>45200</v>
      </c>
      <c r="AI715" s="2116">
        <f t="shared" si="454"/>
        <v>45292</v>
      </c>
      <c r="AJ715" s="2116">
        <f t="shared" si="454"/>
        <v>45383</v>
      </c>
      <c r="AK715" s="2117">
        <f t="shared" si="454"/>
        <v>45474</v>
      </c>
      <c r="AL715" s="2117">
        <f t="shared" si="454"/>
        <v>45566</v>
      </c>
      <c r="AM715" s="2117">
        <f t="shared" si="454"/>
        <v>45658</v>
      </c>
      <c r="AN715" s="2117">
        <f t="shared" si="454"/>
        <v>45748</v>
      </c>
      <c r="AO715" s="2117">
        <f t="shared" si="454"/>
        <v>45839</v>
      </c>
      <c r="AP715" s="2117">
        <f t="shared" si="454"/>
        <v>45931</v>
      </c>
      <c r="AQ715" s="2117"/>
      <c r="AR715" s="2118">
        <f t="shared" ref="AR715:BK715" si="455">INDEX(MO_Common_QEndDate,0,COLUMN())-INDEX(MO_Common_FPDays,0,COLUMN())+1</f>
        <v>39814</v>
      </c>
      <c r="AS715" s="2118">
        <f t="shared" si="455"/>
        <v>40179</v>
      </c>
      <c r="AT715" s="2116">
        <f t="shared" si="455"/>
        <v>40544</v>
      </c>
      <c r="AU715" s="2116">
        <f t="shared" si="455"/>
        <v>40909</v>
      </c>
      <c r="AV715" s="2116">
        <f t="shared" si="455"/>
        <v>41275</v>
      </c>
      <c r="AW715" s="2116">
        <f t="shared" si="455"/>
        <v>41640</v>
      </c>
      <c r="AX715" s="2116">
        <f t="shared" si="455"/>
        <v>42005</v>
      </c>
      <c r="AY715" s="2116">
        <f t="shared" si="455"/>
        <v>42370</v>
      </c>
      <c r="AZ715" s="2116">
        <f t="shared" si="455"/>
        <v>42736</v>
      </c>
      <c r="BA715" s="2116">
        <f t="shared" si="455"/>
        <v>43101</v>
      </c>
      <c r="BB715" s="2116">
        <f t="shared" si="455"/>
        <v>43466</v>
      </c>
      <c r="BC715" s="2116">
        <f t="shared" si="455"/>
        <v>43831</v>
      </c>
      <c r="BD715" s="2116">
        <f t="shared" si="455"/>
        <v>44197</v>
      </c>
      <c r="BE715" s="2116">
        <f t="shared" si="455"/>
        <v>44562</v>
      </c>
      <c r="BF715" s="2116">
        <f t="shared" si="455"/>
        <v>44927</v>
      </c>
      <c r="BG715" s="2117">
        <f t="shared" si="455"/>
        <v>45292</v>
      </c>
      <c r="BH715" s="2117">
        <f t="shared" si="455"/>
        <v>45658</v>
      </c>
      <c r="BI715" s="2117">
        <f t="shared" si="455"/>
        <v>46023</v>
      </c>
      <c r="BJ715" s="2117">
        <f t="shared" si="455"/>
        <v>46388</v>
      </c>
      <c r="BK715" s="2119">
        <f t="shared" si="455"/>
        <v>46753</v>
      </c>
      <c r="BL715" s="1517"/>
    </row>
    <row r="716" spans="1:64" s="1518" customFormat="1" x14ac:dyDescent="0.35">
      <c r="A716" s="2115" t="s">
        <v>1274</v>
      </c>
      <c r="B716" s="1515"/>
      <c r="C716" s="2116" t="b">
        <f>TRUE</f>
        <v>1</v>
      </c>
      <c r="D716" s="2116" t="b">
        <f>TRUE</f>
        <v>1</v>
      </c>
      <c r="E716" s="2116" t="b">
        <f>TRUE</f>
        <v>1</v>
      </c>
      <c r="F716" s="2116" t="b">
        <f>TRUE</f>
        <v>1</v>
      </c>
      <c r="G716" s="2116" t="b">
        <f>TRUE</f>
        <v>1</v>
      </c>
      <c r="H716" s="2116" t="b">
        <f>TRUE</f>
        <v>1</v>
      </c>
      <c r="I716" s="2116" t="b">
        <f>TRUE</f>
        <v>1</v>
      </c>
      <c r="J716" s="2116" t="b">
        <f>TRUE</f>
        <v>1</v>
      </c>
      <c r="K716" s="2116" t="b">
        <f>TRUE</f>
        <v>1</v>
      </c>
      <c r="L716" s="2116" t="b">
        <f>TRUE</f>
        <v>1</v>
      </c>
      <c r="M716" s="2116" t="b">
        <f>TRUE</f>
        <v>1</v>
      </c>
      <c r="N716" s="2116" t="b">
        <f>TRUE</f>
        <v>1</v>
      </c>
      <c r="O716" s="2116" t="b">
        <f>TRUE</f>
        <v>1</v>
      </c>
      <c r="P716" s="2116" t="b">
        <f>TRUE</f>
        <v>1</v>
      </c>
      <c r="Q716" s="2116" t="b">
        <f>TRUE</f>
        <v>1</v>
      </c>
      <c r="R716" s="2116" t="b">
        <f>TRUE</f>
        <v>1</v>
      </c>
      <c r="S716" s="2116" t="b">
        <f>TRUE</f>
        <v>1</v>
      </c>
      <c r="T716" s="2116" t="b">
        <f>TRUE</f>
        <v>1</v>
      </c>
      <c r="U716" s="2116" t="b">
        <f>TRUE</f>
        <v>1</v>
      </c>
      <c r="V716" s="2116" t="b">
        <f>TRUE</f>
        <v>1</v>
      </c>
      <c r="W716" s="2116" t="b">
        <f>TRUE</f>
        <v>1</v>
      </c>
      <c r="X716" s="2116" t="b">
        <f>TRUE</f>
        <v>1</v>
      </c>
      <c r="Y716" s="2116" t="b">
        <f>TRUE</f>
        <v>1</v>
      </c>
      <c r="Z716" s="2116" t="b">
        <f>TRUE</f>
        <v>1</v>
      </c>
      <c r="AA716" s="2116" t="b">
        <f>TRUE</f>
        <v>1</v>
      </c>
      <c r="AB716" s="2116" t="b">
        <f>TRUE</f>
        <v>1</v>
      </c>
      <c r="AC716" s="2116" t="b">
        <f>TRUE</f>
        <v>1</v>
      </c>
      <c r="AD716" s="2116" t="b">
        <f>TRUE</f>
        <v>1</v>
      </c>
      <c r="AE716" s="2116" t="b">
        <f>TRUE</f>
        <v>1</v>
      </c>
      <c r="AF716" s="2116" t="b">
        <f>TRUE</f>
        <v>1</v>
      </c>
      <c r="AG716" s="2116" t="b">
        <f>TRUE</f>
        <v>1</v>
      </c>
      <c r="AH716" s="2116" t="b">
        <f>TRUE</f>
        <v>1</v>
      </c>
      <c r="AI716" s="2116" t="b">
        <f>TRUE</f>
        <v>1</v>
      </c>
      <c r="AJ716" s="2116" t="b">
        <f>TRUE</f>
        <v>1</v>
      </c>
      <c r="AK716" s="2117" t="b">
        <f>FALSE</f>
        <v>0</v>
      </c>
      <c r="AL716" s="2117" t="b">
        <f>FALSE</f>
        <v>0</v>
      </c>
      <c r="AM716" s="2117" t="b">
        <f>FALSE</f>
        <v>0</v>
      </c>
      <c r="AN716" s="2117" t="b">
        <f>FALSE</f>
        <v>0</v>
      </c>
      <c r="AO716" s="2117" t="b">
        <f>FALSE</f>
        <v>0</v>
      </c>
      <c r="AP716" s="2117" t="b">
        <f>FALSE</f>
        <v>0</v>
      </c>
      <c r="AQ716" s="2117"/>
      <c r="AR716" s="2118" t="b">
        <f>TRUE</f>
        <v>1</v>
      </c>
      <c r="AS716" s="2118" t="b">
        <f>TRUE</f>
        <v>1</v>
      </c>
      <c r="AT716" s="2116" t="b">
        <f>TRUE</f>
        <v>1</v>
      </c>
      <c r="AU716" s="2116" t="b">
        <f>TRUE</f>
        <v>1</v>
      </c>
      <c r="AV716" s="2116" t="b">
        <f>TRUE</f>
        <v>1</v>
      </c>
      <c r="AW716" s="2116" t="b">
        <f>TRUE</f>
        <v>1</v>
      </c>
      <c r="AX716" s="2116" t="b">
        <f>TRUE</f>
        <v>1</v>
      </c>
      <c r="AY716" s="2116" t="b">
        <f>TRUE</f>
        <v>1</v>
      </c>
      <c r="AZ716" s="2116" t="b">
        <f>TRUE</f>
        <v>1</v>
      </c>
      <c r="BA716" s="2116" t="b">
        <f>TRUE</f>
        <v>1</v>
      </c>
      <c r="BB716" s="2116" t="b">
        <f>TRUE</f>
        <v>1</v>
      </c>
      <c r="BC716" s="2116" t="b">
        <f>TRUE</f>
        <v>1</v>
      </c>
      <c r="BD716" s="2116" t="b">
        <f>TRUE</f>
        <v>1</v>
      </c>
      <c r="BE716" s="2116" t="b">
        <f>TRUE</f>
        <v>1</v>
      </c>
      <c r="BF716" s="2116" t="b">
        <f>TRUE</f>
        <v>1</v>
      </c>
      <c r="BG716" s="2117" t="b">
        <f>FALSE</f>
        <v>0</v>
      </c>
      <c r="BH716" s="2117" t="b">
        <f>FALSE</f>
        <v>0</v>
      </c>
      <c r="BI716" s="2117" t="b">
        <f>FALSE</f>
        <v>0</v>
      </c>
      <c r="BJ716" s="2117" t="b">
        <f>FALSE</f>
        <v>0</v>
      </c>
      <c r="BK716" s="2119" t="b">
        <f>FALSE</f>
        <v>0</v>
      </c>
      <c r="BL716" s="1517"/>
    </row>
    <row r="717" spans="1:64" s="2008" customFormat="1" x14ac:dyDescent="0.35">
      <c r="A717" s="2120" t="str">
        <f ca="1">"Stock High: "&amp;IF(OR(MO.RealTimeStockPriceToggle=FALSE,VLOOKUP(MO.DataSourceName,MO_SPT_StockHigh_Sources,COLUMN()+2,FALSE)="N/A"),"Real-Time Off Source",MO.DataSourceName)</f>
        <v>Stock High: Real-Time Off Source</v>
      </c>
      <c r="B717" s="1832"/>
      <c r="C717" s="1848">
        <f t="shared" ref="C717:AP717" ca="1" si="456">IF(OR(MO.RealTimeStockPriceToggle=FALSE,VLOOKUP(MO.DataSourceName,MO_SPT_StockHigh_Sources,COLUMN(),FALSE)="N/A"),VLOOKUP("Real-Time Off Source",MO_SPT_StockHigh_Sources,COLUMN(),FALSE),VLOOKUP(MO.DataSourceName,MO_SPT_StockHigh_Sources,COLUMN(),FALSE))</f>
        <v>0</v>
      </c>
      <c r="D717" s="1848">
        <f t="shared" ca="1" si="456"/>
        <v>0</v>
      </c>
      <c r="E717" s="1848">
        <f t="shared" ca="1" si="456"/>
        <v>0</v>
      </c>
      <c r="F717" s="1848">
        <f t="shared" ca="1" si="456"/>
        <v>0</v>
      </c>
      <c r="G717" s="1848">
        <f t="shared" ca="1" si="456"/>
        <v>0</v>
      </c>
      <c r="H717" s="1848">
        <f t="shared" ca="1" si="456"/>
        <v>0</v>
      </c>
      <c r="I717" s="1848">
        <f t="shared" ca="1" si="456"/>
        <v>0</v>
      </c>
      <c r="J717" s="1848">
        <f t="shared" ca="1" si="456"/>
        <v>0</v>
      </c>
      <c r="K717" s="1848">
        <f t="shared" ca="1" si="456"/>
        <v>0</v>
      </c>
      <c r="L717" s="1848">
        <f t="shared" ca="1" si="456"/>
        <v>0</v>
      </c>
      <c r="M717" s="1848">
        <f t="shared" ca="1" si="456"/>
        <v>0</v>
      </c>
      <c r="N717" s="1848">
        <f t="shared" ca="1" si="456"/>
        <v>0</v>
      </c>
      <c r="O717" s="1848">
        <f t="shared" ca="1" si="456"/>
        <v>0</v>
      </c>
      <c r="P717" s="1848">
        <f t="shared" ca="1" si="456"/>
        <v>0</v>
      </c>
      <c r="Q717" s="1848">
        <f t="shared" ca="1" si="456"/>
        <v>0</v>
      </c>
      <c r="R717" s="1848">
        <f t="shared" ca="1" si="456"/>
        <v>0</v>
      </c>
      <c r="S717" s="1848">
        <f t="shared" ca="1" si="456"/>
        <v>0</v>
      </c>
      <c r="T717" s="1848">
        <f t="shared" ca="1" si="456"/>
        <v>0</v>
      </c>
      <c r="U717" s="1848">
        <f t="shared" ca="1" si="456"/>
        <v>0</v>
      </c>
      <c r="V717" s="1848">
        <f t="shared" ca="1" si="456"/>
        <v>0</v>
      </c>
      <c r="W717" s="1848">
        <f t="shared" ca="1" si="456"/>
        <v>0</v>
      </c>
      <c r="X717" s="1848">
        <f t="shared" ca="1" si="456"/>
        <v>0</v>
      </c>
      <c r="Y717" s="1848">
        <f t="shared" ca="1" si="456"/>
        <v>26.9</v>
      </c>
      <c r="Z717" s="1848">
        <f t="shared" ca="1" si="456"/>
        <v>26.91</v>
      </c>
      <c r="AA717" s="1848">
        <f t="shared" ca="1" si="456"/>
        <v>26.43</v>
      </c>
      <c r="AB717" s="1848">
        <f t="shared" ca="1" si="456"/>
        <v>27.5</v>
      </c>
      <c r="AC717" s="1848">
        <f t="shared" ca="1" si="456"/>
        <v>23.05</v>
      </c>
      <c r="AD717" s="1848">
        <f t="shared" ca="1" si="456"/>
        <v>20.3</v>
      </c>
      <c r="AE717" s="1848">
        <f t="shared" ca="1" si="456"/>
        <v>15.71</v>
      </c>
      <c r="AF717" s="1848">
        <f t="shared" ca="1" si="456"/>
        <v>15.13</v>
      </c>
      <c r="AG717" s="1848">
        <f t="shared" ca="1" si="456"/>
        <v>14.32</v>
      </c>
      <c r="AH717" s="1848">
        <f t="shared" ca="1" si="456"/>
        <v>13.97</v>
      </c>
      <c r="AI717" s="1848">
        <f t="shared" ca="1" si="456"/>
        <v>16.440000000000001</v>
      </c>
      <c r="AJ717" s="1848">
        <f t="shared" ca="1" si="456"/>
        <v>16.059999999999999</v>
      </c>
      <c r="AK717" s="1832">
        <f t="shared" ca="1" si="456"/>
        <v>0</v>
      </c>
      <c r="AL717" s="1832">
        <f t="shared" ca="1" si="456"/>
        <v>0</v>
      </c>
      <c r="AM717" s="1832">
        <f t="shared" ca="1" si="456"/>
        <v>0</v>
      </c>
      <c r="AN717" s="1832">
        <f t="shared" ca="1" si="456"/>
        <v>0</v>
      </c>
      <c r="AO717" s="1832">
        <f t="shared" ca="1" si="456"/>
        <v>0</v>
      </c>
      <c r="AP717" s="1832">
        <f t="shared" ca="1" si="456"/>
        <v>0</v>
      </c>
      <c r="AQ717" s="1832"/>
      <c r="AR717" s="2121">
        <f t="shared" ref="AR717:BK717" ca="1" si="457">IF(OR(MO.RealTimeStockPriceToggle=FALSE,VLOOKUP(MO.DataSourceName,MO_SPT_StockHigh_Sources,COLUMN(),FALSE)="N/A"),VLOOKUP("Real-Time Off Source",MO_SPT_StockHigh_Sources,COLUMN(),FALSE),VLOOKUP(MO.DataSourceName,MO_SPT_StockHigh_Sources,COLUMN(),FALSE))</f>
        <v>0</v>
      </c>
      <c r="AS717" s="2121">
        <f t="shared" ca="1" si="457"/>
        <v>0</v>
      </c>
      <c r="AT717" s="1848">
        <f t="shared" ca="1" si="457"/>
        <v>0</v>
      </c>
      <c r="AU717" s="1848">
        <f t="shared" ca="1" si="457"/>
        <v>0</v>
      </c>
      <c r="AV717" s="1848">
        <f t="shared" ca="1" si="457"/>
        <v>0</v>
      </c>
      <c r="AW717" s="1848">
        <f t="shared" ca="1" si="457"/>
        <v>0</v>
      </c>
      <c r="AX717" s="1848">
        <f t="shared" ca="1" si="457"/>
        <v>0</v>
      </c>
      <c r="AY717" s="1848">
        <f t="shared" ca="1" si="457"/>
        <v>0</v>
      </c>
      <c r="AZ717" s="1848">
        <f t="shared" ca="1" si="457"/>
        <v>0</v>
      </c>
      <c r="BA717" s="1848">
        <f t="shared" ca="1" si="457"/>
        <v>0</v>
      </c>
      <c r="BB717" s="1848">
        <f t="shared" ca="1" si="457"/>
        <v>0</v>
      </c>
      <c r="BC717" s="1848">
        <f t="shared" ca="1" si="457"/>
        <v>0</v>
      </c>
      <c r="BD717" s="1848">
        <f t="shared" ca="1" si="457"/>
        <v>26.91</v>
      </c>
      <c r="BE717" s="1848">
        <f t="shared" ca="1" si="457"/>
        <v>27.5</v>
      </c>
      <c r="BF717" s="1848">
        <f t="shared" ca="1" si="457"/>
        <v>15.71</v>
      </c>
      <c r="BG717" s="1832">
        <f t="shared" ca="1" si="457"/>
        <v>0</v>
      </c>
      <c r="BH717" s="1832">
        <f t="shared" ca="1" si="457"/>
        <v>0</v>
      </c>
      <c r="BI717" s="1832">
        <f t="shared" ca="1" si="457"/>
        <v>0</v>
      </c>
      <c r="BJ717" s="1832">
        <f t="shared" ca="1" si="457"/>
        <v>0</v>
      </c>
      <c r="BK717" s="2122">
        <f t="shared" ca="1" si="457"/>
        <v>0</v>
      </c>
      <c r="BL717" s="1848"/>
    </row>
    <row r="718" spans="1:64" s="2008" customFormat="1" hidden="1" outlineLevel="1" x14ac:dyDescent="0.35">
      <c r="A718" s="2123" t="s">
        <v>1275</v>
      </c>
      <c r="B718" s="1832"/>
      <c r="C718" s="2124">
        <v>0</v>
      </c>
      <c r="D718" s="2124">
        <v>0</v>
      </c>
      <c r="E718" s="2124">
        <v>0</v>
      </c>
      <c r="F718" s="2124">
        <v>0</v>
      </c>
      <c r="G718" s="2124">
        <v>0</v>
      </c>
      <c r="H718" s="2124">
        <v>0</v>
      </c>
      <c r="I718" s="2124">
        <v>0</v>
      </c>
      <c r="J718" s="2124">
        <v>0</v>
      </c>
      <c r="K718" s="2124">
        <v>0</v>
      </c>
      <c r="L718" s="2124">
        <v>0</v>
      </c>
      <c r="M718" s="2124">
        <v>0</v>
      </c>
      <c r="N718" s="2124">
        <v>0</v>
      </c>
      <c r="O718" s="2124">
        <v>0</v>
      </c>
      <c r="P718" s="2124">
        <v>0</v>
      </c>
      <c r="Q718" s="2124">
        <v>0</v>
      </c>
      <c r="R718" s="2124">
        <v>0</v>
      </c>
      <c r="S718" s="2124">
        <v>0</v>
      </c>
      <c r="T718" s="2124">
        <v>0</v>
      </c>
      <c r="U718" s="2124">
        <v>0</v>
      </c>
      <c r="V718" s="2124">
        <v>0</v>
      </c>
      <c r="W718" s="2124">
        <v>0</v>
      </c>
      <c r="X718" s="2124">
        <v>0</v>
      </c>
      <c r="Y718" s="2124">
        <v>26.9</v>
      </c>
      <c r="Z718" s="2124">
        <v>26.91</v>
      </c>
      <c r="AA718" s="2124">
        <v>26.43</v>
      </c>
      <c r="AB718" s="2124">
        <v>27.5</v>
      </c>
      <c r="AC718" s="2124">
        <v>23.05</v>
      </c>
      <c r="AD718" s="2124">
        <v>20.3</v>
      </c>
      <c r="AE718" s="2124">
        <v>15.71</v>
      </c>
      <c r="AF718" s="2124">
        <v>15.13</v>
      </c>
      <c r="AG718" s="2124">
        <v>14.32</v>
      </c>
      <c r="AH718" s="2124">
        <v>13.97</v>
      </c>
      <c r="AI718" s="2124">
        <v>16.440000000000001</v>
      </c>
      <c r="AJ718" s="2124">
        <v>16.059999999999999</v>
      </c>
      <c r="AK718" s="1832"/>
      <c r="AL718" s="1832"/>
      <c r="AM718" s="1832"/>
      <c r="AN718" s="1832"/>
      <c r="AO718" s="1832"/>
      <c r="AP718" s="1832"/>
      <c r="AQ718" s="1832"/>
      <c r="AR718" s="2125">
        <v>0</v>
      </c>
      <c r="AS718" s="2125">
        <v>0</v>
      </c>
      <c r="AT718" s="2124">
        <v>0</v>
      </c>
      <c r="AU718" s="2124">
        <v>0</v>
      </c>
      <c r="AV718" s="2124">
        <v>0</v>
      </c>
      <c r="AW718" s="2124">
        <v>0</v>
      </c>
      <c r="AX718" s="2124">
        <v>0</v>
      </c>
      <c r="AY718" s="2124">
        <v>0</v>
      </c>
      <c r="AZ718" s="2124">
        <v>0</v>
      </c>
      <c r="BA718" s="2124">
        <v>0</v>
      </c>
      <c r="BB718" s="2124">
        <v>0</v>
      </c>
      <c r="BC718" s="2124">
        <v>0</v>
      </c>
      <c r="BD718" s="2124">
        <v>26.91</v>
      </c>
      <c r="BE718" s="2124">
        <v>27.5</v>
      </c>
      <c r="BF718" s="2124">
        <v>15.71</v>
      </c>
      <c r="BG718" s="1832"/>
      <c r="BH718" s="1832"/>
      <c r="BI718" s="1832"/>
      <c r="BJ718" s="1832"/>
      <c r="BK718" s="2122"/>
      <c r="BL718" s="1848"/>
    </row>
    <row r="719" spans="1:64" s="2008" customFormat="1" hidden="1" outlineLevel="1" x14ac:dyDescent="0.35">
      <c r="A719" s="2123" t="s">
        <v>1276</v>
      </c>
      <c r="B719" s="1832"/>
      <c r="C719" s="1848" t="str">
        <f ca="1">IFERROR(BDP(MO.Ticker.Bloomberg&amp;" Equity","INTERVAL_HIGH","MARKET_DATA_OVERRIDE=PX_LAST","START_DATE_OVERRIDE",TEXT(INDEX(MO_SNA_FPStartDate,0,COLUMN()),"YYYYMMDD"),"END_DATE_OVERRIDE",TEXT(INDEX(MO_Common_QEndDate,0,COLUMN()),"YYYYMMDD")),"N/A")</f>
        <v>N/A</v>
      </c>
      <c r="D719" s="1848" t="str">
        <f ca="1">IFERROR(BDP(MO.Ticker.Bloomberg&amp;" Equity","INTERVAL_HIGH","MARKET_DATA_OVERRIDE=PX_LAST","START_DATE_OVERRIDE",TEXT(INDEX(MO_SNA_FPStartDate,0,COLUMN()),"YYYYMMDD"),"END_DATE_OVERRIDE",TEXT(INDEX(MO_Common_QEndDate,0,COLUMN()),"YYYYMMDD")),"N/A")</f>
        <v>N/A</v>
      </c>
      <c r="E719" s="1848" t="str">
        <f ca="1">IFERROR(BDP(MO.Ticker.Bloomberg&amp;" Equity","INTERVAL_HIGH","MARKET_DATA_OVERRIDE=PX_LAST","START_DATE_OVERRIDE",TEXT(INDEX(MO_SNA_FPStartDate,0,COLUMN()),"YYYYMMDD"),"END_DATE_OVERRIDE",TEXT(INDEX(MO_Common_QEndDate,0,COLUMN()),"YYYYMMDD")),"N/A")</f>
        <v>N/A</v>
      </c>
      <c r="F719" s="1848" t="str">
        <f ca="1">IFERROR(BDP(MO.Ticker.Bloomberg&amp;" Equity","INTERVAL_HIGH","MARKET_DATA_OVERRIDE=PX_LAST","START_DATE_OVERRIDE",TEXT(INDEX(MO_SNA_FPStartDate,0,COLUMN()),"YYYYMMDD"),"END_DATE_OVERRIDE",TEXT(INDEX(MO_Common_QEndDate,0,COLUMN()),"YYYYMMDD")),"N/A")</f>
        <v>N/A</v>
      </c>
      <c r="G719" s="1848" t="str">
        <f ca="1">IFERROR(BDP(MO.Ticker.Bloomberg&amp;" Equity","INTERVAL_HIGH","MARKET_DATA_OVERRIDE=PX_LAST","START_DATE_OVERRIDE",TEXT(INDEX(MO_SNA_FPStartDate,0,COLUMN()),"YYYYMMDD"),"END_DATE_OVERRIDE",TEXT(INDEX(MO_Common_QEndDate,0,COLUMN()),"YYYYMMDD")),"N/A")</f>
        <v>N/A</v>
      </c>
      <c r="H719" s="1848" t="str">
        <f ca="1">IFERROR(BDP(MO.Ticker.Bloomberg&amp;" Equity","INTERVAL_HIGH","MARKET_DATA_OVERRIDE=PX_LAST","START_DATE_OVERRIDE",TEXT(INDEX(MO_SNA_FPStartDate,0,COLUMN()),"YYYYMMDD"),"END_DATE_OVERRIDE",TEXT(INDEX(MO_Common_QEndDate,0,COLUMN()),"YYYYMMDD")),"N/A")</f>
        <v>N/A</v>
      </c>
      <c r="I719" s="1848" t="str">
        <f ca="1">IFERROR(BDP(MO.Ticker.Bloomberg&amp;" Equity","INTERVAL_HIGH","MARKET_DATA_OVERRIDE=PX_LAST","START_DATE_OVERRIDE",TEXT(INDEX(MO_SNA_FPStartDate,0,COLUMN()),"YYYYMMDD"),"END_DATE_OVERRIDE",TEXT(INDEX(MO_Common_QEndDate,0,COLUMN()),"YYYYMMDD")),"N/A")</f>
        <v>N/A</v>
      </c>
      <c r="J719" s="1848" t="str">
        <f ca="1">IFERROR(BDP(MO.Ticker.Bloomberg&amp;" Equity","INTERVAL_HIGH","MARKET_DATA_OVERRIDE=PX_LAST","START_DATE_OVERRIDE",TEXT(INDEX(MO_SNA_FPStartDate,0,COLUMN()),"YYYYMMDD"),"END_DATE_OVERRIDE",TEXT(INDEX(MO_Common_QEndDate,0,COLUMN()),"YYYYMMDD")),"N/A")</f>
        <v>N/A</v>
      </c>
      <c r="K719" s="1848" t="str">
        <f ca="1">IFERROR(BDP(MO.Ticker.Bloomberg&amp;" Equity","INTERVAL_HIGH","MARKET_DATA_OVERRIDE=PX_LAST","START_DATE_OVERRIDE",TEXT(INDEX(MO_SNA_FPStartDate,0,COLUMN()),"YYYYMMDD"),"END_DATE_OVERRIDE",TEXT(INDEX(MO_Common_QEndDate,0,COLUMN()),"YYYYMMDD")),"N/A")</f>
        <v>N/A</v>
      </c>
      <c r="L719" s="1848" t="str">
        <f ca="1">IFERROR(BDP(MO.Ticker.Bloomberg&amp;" Equity","INTERVAL_HIGH","MARKET_DATA_OVERRIDE=PX_LAST","START_DATE_OVERRIDE",TEXT(INDEX(MO_SNA_FPStartDate,0,COLUMN()),"YYYYMMDD"),"END_DATE_OVERRIDE",TEXT(INDEX(MO_Common_QEndDate,0,COLUMN()),"YYYYMMDD")),"N/A")</f>
        <v>N/A</v>
      </c>
      <c r="M719" s="1848" t="str">
        <f ca="1">IFERROR(BDP(MO.Ticker.Bloomberg&amp;" Equity","INTERVAL_HIGH","MARKET_DATA_OVERRIDE=PX_LAST","START_DATE_OVERRIDE",TEXT(INDEX(MO_SNA_FPStartDate,0,COLUMN()),"YYYYMMDD"),"END_DATE_OVERRIDE",TEXT(INDEX(MO_Common_QEndDate,0,COLUMN()),"YYYYMMDD")),"N/A")</f>
        <v>N/A</v>
      </c>
      <c r="N719" s="1848" t="str">
        <f ca="1">IFERROR(BDP(MO.Ticker.Bloomberg&amp;" Equity","INTERVAL_HIGH","MARKET_DATA_OVERRIDE=PX_LAST","START_DATE_OVERRIDE",TEXT(INDEX(MO_SNA_FPStartDate,0,COLUMN()),"YYYYMMDD"),"END_DATE_OVERRIDE",TEXT(INDEX(MO_Common_QEndDate,0,COLUMN()),"YYYYMMDD")),"N/A")</f>
        <v>N/A</v>
      </c>
      <c r="O719" s="1848" t="str">
        <f ca="1">IFERROR(BDP(MO.Ticker.Bloomberg&amp;" Equity","INTERVAL_HIGH","MARKET_DATA_OVERRIDE=PX_LAST","START_DATE_OVERRIDE",TEXT(INDEX(MO_SNA_FPStartDate,0,COLUMN()),"YYYYMMDD"),"END_DATE_OVERRIDE",TEXT(INDEX(MO_Common_QEndDate,0,COLUMN()),"YYYYMMDD")),"N/A")</f>
        <v>N/A</v>
      </c>
      <c r="P719" s="1848" t="str">
        <f ca="1">IFERROR(BDP(MO.Ticker.Bloomberg&amp;" Equity","INTERVAL_HIGH","MARKET_DATA_OVERRIDE=PX_LAST","START_DATE_OVERRIDE",TEXT(INDEX(MO_SNA_FPStartDate,0,COLUMN()),"YYYYMMDD"),"END_DATE_OVERRIDE",TEXT(INDEX(MO_Common_QEndDate,0,COLUMN()),"YYYYMMDD")),"N/A")</f>
        <v>N/A</v>
      </c>
      <c r="Q719" s="1848" t="str">
        <f ca="1">IFERROR(BDP(MO.Ticker.Bloomberg&amp;" Equity","INTERVAL_HIGH","MARKET_DATA_OVERRIDE=PX_LAST","START_DATE_OVERRIDE",TEXT(INDEX(MO_SNA_FPStartDate,0,COLUMN()),"YYYYMMDD"),"END_DATE_OVERRIDE",TEXT(INDEX(MO_Common_QEndDate,0,COLUMN()),"YYYYMMDD")),"N/A")</f>
        <v>N/A</v>
      </c>
      <c r="R719" s="1848" t="str">
        <f ca="1">IFERROR(BDP(MO.Ticker.Bloomberg&amp;" Equity","INTERVAL_HIGH","MARKET_DATA_OVERRIDE=PX_LAST","START_DATE_OVERRIDE",TEXT(INDEX(MO_SNA_FPStartDate,0,COLUMN()),"YYYYMMDD"),"END_DATE_OVERRIDE",TEXT(INDEX(MO_Common_QEndDate,0,COLUMN()),"YYYYMMDD")),"N/A")</f>
        <v>N/A</v>
      </c>
      <c r="S719" s="1848" t="str">
        <f ca="1">IFERROR(BDP(MO.Ticker.Bloomberg&amp;" Equity","INTERVAL_HIGH","MARKET_DATA_OVERRIDE=PX_LAST","START_DATE_OVERRIDE",TEXT(INDEX(MO_SNA_FPStartDate,0,COLUMN()),"YYYYMMDD"),"END_DATE_OVERRIDE",TEXT(INDEX(MO_Common_QEndDate,0,COLUMN()),"YYYYMMDD")),"N/A")</f>
        <v>N/A</v>
      </c>
      <c r="T719" s="1848" t="str">
        <f ca="1">IFERROR(BDP(MO.Ticker.Bloomberg&amp;" Equity","INTERVAL_HIGH","MARKET_DATA_OVERRIDE=PX_LAST","START_DATE_OVERRIDE",TEXT(INDEX(MO_SNA_FPStartDate,0,COLUMN()),"YYYYMMDD"),"END_DATE_OVERRIDE",TEXT(INDEX(MO_Common_QEndDate,0,COLUMN()),"YYYYMMDD")),"N/A")</f>
        <v>N/A</v>
      </c>
      <c r="U719" s="1848" t="str">
        <f ca="1">IFERROR(BDP(MO.Ticker.Bloomberg&amp;" Equity","INTERVAL_HIGH","MARKET_DATA_OVERRIDE=PX_LAST","START_DATE_OVERRIDE",TEXT(INDEX(MO_SNA_FPStartDate,0,COLUMN()),"YYYYMMDD"),"END_DATE_OVERRIDE",TEXT(INDEX(MO_Common_QEndDate,0,COLUMN()),"YYYYMMDD")),"N/A")</f>
        <v>N/A</v>
      </c>
      <c r="V719" s="1848" t="str">
        <f ca="1">IFERROR(BDP(MO.Ticker.Bloomberg&amp;" Equity","INTERVAL_HIGH","MARKET_DATA_OVERRIDE=PX_LAST","START_DATE_OVERRIDE",TEXT(INDEX(MO_SNA_FPStartDate,0,COLUMN()),"YYYYMMDD"),"END_DATE_OVERRIDE",TEXT(INDEX(MO_Common_QEndDate,0,COLUMN()),"YYYYMMDD")),"N/A")</f>
        <v>N/A</v>
      </c>
      <c r="W719" s="1848" t="str">
        <f ca="1">IFERROR(BDP(MO.Ticker.Bloomberg&amp;" Equity","INTERVAL_HIGH","MARKET_DATA_OVERRIDE=PX_LAST","START_DATE_OVERRIDE",TEXT(INDEX(MO_SNA_FPStartDate,0,COLUMN()),"YYYYMMDD"),"END_DATE_OVERRIDE",TEXT(INDEX(MO_Common_QEndDate,0,COLUMN()),"YYYYMMDD")),"N/A")</f>
        <v>N/A</v>
      </c>
      <c r="X719" s="1848" t="str">
        <f ca="1">IFERROR(BDP(MO.Ticker.Bloomberg&amp;" Equity","INTERVAL_HIGH","MARKET_DATA_OVERRIDE=PX_LAST","START_DATE_OVERRIDE",TEXT(INDEX(MO_SNA_FPStartDate,0,COLUMN()),"YYYYMMDD"),"END_DATE_OVERRIDE",TEXT(INDEX(MO_Common_QEndDate,0,COLUMN()),"YYYYMMDD")),"N/A")</f>
        <v>N/A</v>
      </c>
      <c r="Y719" s="1848" t="str">
        <f ca="1">IFERROR(BDP(MO.Ticker.Bloomberg&amp;" Equity","INTERVAL_HIGH","MARKET_DATA_OVERRIDE=PX_LAST","START_DATE_OVERRIDE",TEXT(INDEX(MO_SNA_FPStartDate,0,COLUMN()),"YYYYMMDD"),"END_DATE_OVERRIDE",TEXT(INDEX(MO_Common_QEndDate,0,COLUMN()),"YYYYMMDD")),"N/A")</f>
        <v>N/A</v>
      </c>
      <c r="Z719" s="1848" t="str">
        <f ca="1">IFERROR(BDP(MO.Ticker.Bloomberg&amp;" Equity","INTERVAL_HIGH","MARKET_DATA_OVERRIDE=PX_LAST","START_DATE_OVERRIDE",TEXT(INDEX(MO_SNA_FPStartDate,0,COLUMN()),"YYYYMMDD"),"END_DATE_OVERRIDE",TEXT(INDEX(MO_Common_QEndDate,0,COLUMN()),"YYYYMMDD")),"N/A")</f>
        <v>N/A</v>
      </c>
      <c r="AA719" s="1848" t="str">
        <f ca="1">IFERROR(BDP(MO.Ticker.Bloomberg&amp;" Equity","INTERVAL_HIGH","MARKET_DATA_OVERRIDE=PX_LAST","START_DATE_OVERRIDE",TEXT(INDEX(MO_SNA_FPStartDate,0,COLUMN()),"YYYYMMDD"),"END_DATE_OVERRIDE",TEXT(INDEX(MO_Common_QEndDate,0,COLUMN()),"YYYYMMDD")),"N/A")</f>
        <v>N/A</v>
      </c>
      <c r="AB719" s="1848" t="str">
        <f ca="1">IFERROR(BDP(MO.Ticker.Bloomberg&amp;" Equity","INTERVAL_HIGH","MARKET_DATA_OVERRIDE=PX_LAST","START_DATE_OVERRIDE",TEXT(INDEX(MO_SNA_FPStartDate,0,COLUMN()),"YYYYMMDD"),"END_DATE_OVERRIDE",TEXT(INDEX(MO_Common_QEndDate,0,COLUMN()),"YYYYMMDD")),"N/A")</f>
        <v>N/A</v>
      </c>
      <c r="AC719" s="1848" t="str">
        <f ca="1">IFERROR(BDP(MO.Ticker.Bloomberg&amp;" Equity","INTERVAL_HIGH","MARKET_DATA_OVERRIDE=PX_LAST","START_DATE_OVERRIDE",TEXT(INDEX(MO_SNA_FPStartDate,0,COLUMN()),"YYYYMMDD"),"END_DATE_OVERRIDE",TEXT(INDEX(MO_Common_QEndDate,0,COLUMN()),"YYYYMMDD")),"N/A")</f>
        <v>N/A</v>
      </c>
      <c r="AD719" s="1848" t="str">
        <f ca="1">IFERROR(BDP(MO.Ticker.Bloomberg&amp;" Equity","INTERVAL_HIGH","MARKET_DATA_OVERRIDE=PX_LAST","START_DATE_OVERRIDE",TEXT(INDEX(MO_SNA_FPStartDate,0,COLUMN()),"YYYYMMDD"),"END_DATE_OVERRIDE",TEXT(INDEX(MO_Common_QEndDate,0,COLUMN()),"YYYYMMDD")),"N/A")</f>
        <v>N/A</v>
      </c>
      <c r="AE719" s="1848" t="str">
        <f ca="1">IFERROR(BDP(MO.Ticker.Bloomberg&amp;" Equity","INTERVAL_HIGH","MARKET_DATA_OVERRIDE=PX_LAST","START_DATE_OVERRIDE",TEXT(INDEX(MO_SNA_FPStartDate,0,COLUMN()),"YYYYMMDD"),"END_DATE_OVERRIDE",TEXT(INDEX(MO_Common_QEndDate,0,COLUMN()),"YYYYMMDD")),"N/A")</f>
        <v>N/A</v>
      </c>
      <c r="AF719" s="1848" t="str">
        <f ca="1">IFERROR(BDP(MO.Ticker.Bloomberg&amp;" Equity","INTERVAL_HIGH","MARKET_DATA_OVERRIDE=PX_LAST","START_DATE_OVERRIDE",TEXT(INDEX(MO_SNA_FPStartDate,0,COLUMN()),"YYYYMMDD"),"END_DATE_OVERRIDE",TEXT(INDEX(MO_Common_QEndDate,0,COLUMN()),"YYYYMMDD")),"N/A")</f>
        <v>N/A</v>
      </c>
      <c r="AG719" s="1848" t="str">
        <f ca="1">IFERROR(BDP(MO.Ticker.Bloomberg&amp;" Equity","INTERVAL_HIGH","MARKET_DATA_OVERRIDE=PX_LAST","START_DATE_OVERRIDE",TEXT(INDEX(MO_SNA_FPStartDate,0,COLUMN()),"YYYYMMDD"),"END_DATE_OVERRIDE",TEXT(INDEX(MO_Common_QEndDate,0,COLUMN()),"YYYYMMDD")),"N/A")</f>
        <v>N/A</v>
      </c>
      <c r="AH719" s="1848" t="str">
        <f ca="1">IFERROR(BDP(MO.Ticker.Bloomberg&amp;" Equity","INTERVAL_HIGH","MARKET_DATA_OVERRIDE=PX_LAST","START_DATE_OVERRIDE",TEXT(INDEX(MO_SNA_FPStartDate,0,COLUMN()),"YYYYMMDD"),"END_DATE_OVERRIDE",TEXT(INDEX(MO_Common_QEndDate,0,COLUMN()),"YYYYMMDD")),"N/A")</f>
        <v>N/A</v>
      </c>
      <c r="AI719" s="1848" t="str">
        <f ca="1">IFERROR(BDP(MO.Ticker.Bloomberg&amp;" Equity","INTERVAL_HIGH","MARKET_DATA_OVERRIDE=PX_LAST","START_DATE_OVERRIDE",TEXT(INDEX(MO_SNA_FPStartDate,0,COLUMN()),"YYYYMMDD"),"END_DATE_OVERRIDE",TEXT(INDEX(MO_Common_QEndDate,0,COLUMN()),"YYYYMMDD")),"N/A")</f>
        <v>N/A</v>
      </c>
      <c r="AJ719" s="1848" t="str">
        <f ca="1">IFERROR(BDP(MO.Ticker.Bloomberg&amp;" Equity","INTERVAL_HIGH","MARKET_DATA_OVERRIDE=PX_LAST","START_DATE_OVERRIDE",TEXT(INDEX(MO_SNA_FPStartDate,0,COLUMN()),"YYYYMMDD"),"END_DATE_OVERRIDE",TEXT(INDEX(MO_Common_QEndDate,0,COLUMN()),"YYYYMMDD")),"N/A")</f>
        <v>N/A</v>
      </c>
      <c r="AK719" s="1832" t="str">
        <f ca="1">IFERROR(BDP(MO.Ticker.Bloomberg&amp;" Equity","INTERVAL_HIGH","MARKET_DATA_OVERRIDE=PX_LAST","START_DATE_OVERRIDE",TEXT(INDEX(MO_SNA_FPStartDate,0,COLUMN()),"YYYYMMDD"),"END_DATE_OVERRIDE",TEXT(INDEX(MO_Common_QEndDate,0,COLUMN()),"YYYYMMDD")),"N/A")</f>
        <v>N/A</v>
      </c>
      <c r="AL719" s="1832" t="str">
        <f ca="1">IFERROR(BDP(MO.Ticker.Bloomberg&amp;" Equity","INTERVAL_HIGH","MARKET_DATA_OVERRIDE=PX_LAST","START_DATE_OVERRIDE",TEXT(INDEX(MO_SNA_FPStartDate,0,COLUMN()),"YYYYMMDD"),"END_DATE_OVERRIDE",TEXT(INDEX(MO_Common_QEndDate,0,COLUMN()),"YYYYMMDD")),"N/A")</f>
        <v>N/A</v>
      </c>
      <c r="AM719" s="1832" t="str">
        <f ca="1">IFERROR(BDP(MO.Ticker.Bloomberg&amp;" Equity","INTERVAL_HIGH","MARKET_DATA_OVERRIDE=PX_LAST","START_DATE_OVERRIDE",TEXT(INDEX(MO_SNA_FPStartDate,0,COLUMN()),"YYYYMMDD"),"END_DATE_OVERRIDE",TEXT(INDEX(MO_Common_QEndDate,0,COLUMN()),"YYYYMMDD")),"N/A")</f>
        <v>N/A</v>
      </c>
      <c r="AN719" s="1832" t="str">
        <f ca="1">IFERROR(BDP(MO.Ticker.Bloomberg&amp;" Equity","INTERVAL_HIGH","MARKET_DATA_OVERRIDE=PX_LAST","START_DATE_OVERRIDE",TEXT(INDEX(MO_SNA_FPStartDate,0,COLUMN()),"YYYYMMDD"),"END_DATE_OVERRIDE",TEXT(INDEX(MO_Common_QEndDate,0,COLUMN()),"YYYYMMDD")),"N/A")</f>
        <v>N/A</v>
      </c>
      <c r="AO719" s="1832" t="str">
        <f ca="1">IFERROR(BDP(MO.Ticker.Bloomberg&amp;" Equity","INTERVAL_HIGH","MARKET_DATA_OVERRIDE=PX_LAST","START_DATE_OVERRIDE",TEXT(INDEX(MO_SNA_FPStartDate,0,COLUMN()),"YYYYMMDD"),"END_DATE_OVERRIDE",TEXT(INDEX(MO_Common_QEndDate,0,COLUMN()),"YYYYMMDD")),"N/A")</f>
        <v>N/A</v>
      </c>
      <c r="AP719" s="1832" t="str">
        <f ca="1">IFERROR(BDP(MO.Ticker.Bloomberg&amp;" Equity","INTERVAL_HIGH","MARKET_DATA_OVERRIDE=PX_LAST","START_DATE_OVERRIDE",TEXT(INDEX(MO_SNA_FPStartDate,0,COLUMN()),"YYYYMMDD"),"END_DATE_OVERRIDE",TEXT(INDEX(MO_Common_QEndDate,0,COLUMN()),"YYYYMMDD")),"N/A")</f>
        <v>N/A</v>
      </c>
      <c r="AQ719" s="1832"/>
      <c r="AR719" s="2121" t="str">
        <f ca="1">IFERROR(BDP(MO.Ticker.Bloomberg&amp;" Equity","INTERVAL_HIGH","MARKET_DATA_OVERRIDE=PX_LAST","START_DATE_OVERRIDE",TEXT(INDEX(MO_SNA_FPStartDate,0,COLUMN()),"YYYYMMDD"),"END_DATE_OVERRIDE",TEXT(INDEX(MO_Common_QEndDate,0,COLUMN()),"YYYYMMDD")),"N/A")</f>
        <v>N/A</v>
      </c>
      <c r="AS719" s="2121" t="str">
        <f ca="1">IFERROR(BDP(MO.Ticker.Bloomberg&amp;" Equity","INTERVAL_HIGH","MARKET_DATA_OVERRIDE=PX_LAST","START_DATE_OVERRIDE",TEXT(INDEX(MO_SNA_FPStartDate,0,COLUMN()),"YYYYMMDD"),"END_DATE_OVERRIDE",TEXT(INDEX(MO_Common_QEndDate,0,COLUMN()),"YYYYMMDD")),"N/A")</f>
        <v>N/A</v>
      </c>
      <c r="AT719" s="1848" t="str">
        <f ca="1">IFERROR(BDP(MO.Ticker.Bloomberg&amp;" Equity","INTERVAL_HIGH","MARKET_DATA_OVERRIDE=PX_LAST","START_DATE_OVERRIDE",TEXT(INDEX(MO_SNA_FPStartDate,0,COLUMN()),"YYYYMMDD"),"END_DATE_OVERRIDE",TEXT(INDEX(MO_Common_QEndDate,0,COLUMN()),"YYYYMMDD")),"N/A")</f>
        <v>N/A</v>
      </c>
      <c r="AU719" s="1848" t="str">
        <f ca="1">IFERROR(BDP(MO.Ticker.Bloomberg&amp;" Equity","INTERVAL_HIGH","MARKET_DATA_OVERRIDE=PX_LAST","START_DATE_OVERRIDE",TEXT(INDEX(MO_SNA_FPStartDate,0,COLUMN()),"YYYYMMDD"),"END_DATE_OVERRIDE",TEXT(INDEX(MO_Common_QEndDate,0,COLUMN()),"YYYYMMDD")),"N/A")</f>
        <v>N/A</v>
      </c>
      <c r="AV719" s="1848" t="str">
        <f ca="1">IFERROR(BDP(MO.Ticker.Bloomberg&amp;" Equity","INTERVAL_HIGH","MARKET_DATA_OVERRIDE=PX_LAST","START_DATE_OVERRIDE",TEXT(INDEX(MO_SNA_FPStartDate,0,COLUMN()),"YYYYMMDD"),"END_DATE_OVERRIDE",TEXT(INDEX(MO_Common_QEndDate,0,COLUMN()),"YYYYMMDD")),"N/A")</f>
        <v>N/A</v>
      </c>
      <c r="AW719" s="1848" t="str">
        <f ca="1">IFERROR(BDP(MO.Ticker.Bloomberg&amp;" Equity","INTERVAL_HIGH","MARKET_DATA_OVERRIDE=PX_LAST","START_DATE_OVERRIDE",TEXT(INDEX(MO_SNA_FPStartDate,0,COLUMN()),"YYYYMMDD"),"END_DATE_OVERRIDE",TEXT(INDEX(MO_Common_QEndDate,0,COLUMN()),"YYYYMMDD")),"N/A")</f>
        <v>N/A</v>
      </c>
      <c r="AX719" s="1848" t="str">
        <f ca="1">IFERROR(BDP(MO.Ticker.Bloomberg&amp;" Equity","INTERVAL_HIGH","MARKET_DATA_OVERRIDE=PX_LAST","START_DATE_OVERRIDE",TEXT(INDEX(MO_SNA_FPStartDate,0,COLUMN()),"YYYYMMDD"),"END_DATE_OVERRIDE",TEXT(INDEX(MO_Common_QEndDate,0,COLUMN()),"YYYYMMDD")),"N/A")</f>
        <v>N/A</v>
      </c>
      <c r="AY719" s="1848" t="str">
        <f ca="1">IFERROR(BDP(MO.Ticker.Bloomberg&amp;" Equity","INTERVAL_HIGH","MARKET_DATA_OVERRIDE=PX_LAST","START_DATE_OVERRIDE",TEXT(INDEX(MO_SNA_FPStartDate,0,COLUMN()),"YYYYMMDD"),"END_DATE_OVERRIDE",TEXT(INDEX(MO_Common_QEndDate,0,COLUMN()),"YYYYMMDD")),"N/A")</f>
        <v>N/A</v>
      </c>
      <c r="AZ719" s="1848" t="str">
        <f ca="1">IFERROR(BDP(MO.Ticker.Bloomberg&amp;" Equity","INTERVAL_HIGH","MARKET_DATA_OVERRIDE=PX_LAST","START_DATE_OVERRIDE",TEXT(INDEX(MO_SNA_FPStartDate,0,COLUMN()),"YYYYMMDD"),"END_DATE_OVERRIDE",TEXT(INDEX(MO_Common_QEndDate,0,COLUMN()),"YYYYMMDD")),"N/A")</f>
        <v>N/A</v>
      </c>
      <c r="BA719" s="1848" t="str">
        <f ca="1">IFERROR(BDP(MO.Ticker.Bloomberg&amp;" Equity","INTERVAL_HIGH","MARKET_DATA_OVERRIDE=PX_LAST","START_DATE_OVERRIDE",TEXT(INDEX(MO_SNA_FPStartDate,0,COLUMN()),"YYYYMMDD"),"END_DATE_OVERRIDE",TEXT(INDEX(MO_Common_QEndDate,0,COLUMN()),"YYYYMMDD")),"N/A")</f>
        <v>N/A</v>
      </c>
      <c r="BB719" s="1848" t="str">
        <f ca="1">IFERROR(BDP(MO.Ticker.Bloomberg&amp;" Equity","INTERVAL_HIGH","MARKET_DATA_OVERRIDE=PX_LAST","START_DATE_OVERRIDE",TEXT(INDEX(MO_SNA_FPStartDate,0,COLUMN()),"YYYYMMDD"),"END_DATE_OVERRIDE",TEXT(INDEX(MO_Common_QEndDate,0,COLUMN()),"YYYYMMDD")),"N/A")</f>
        <v>N/A</v>
      </c>
      <c r="BC719" s="1848" t="str">
        <f ca="1">IFERROR(BDP(MO.Ticker.Bloomberg&amp;" Equity","INTERVAL_HIGH","MARKET_DATA_OVERRIDE=PX_LAST","START_DATE_OVERRIDE",TEXT(INDEX(MO_SNA_FPStartDate,0,COLUMN()),"YYYYMMDD"),"END_DATE_OVERRIDE",TEXT(INDEX(MO_Common_QEndDate,0,COLUMN()),"YYYYMMDD")),"N/A")</f>
        <v>N/A</v>
      </c>
      <c r="BD719" s="1848" t="str">
        <f ca="1">IFERROR(BDP(MO.Ticker.Bloomberg&amp;" Equity","INTERVAL_HIGH","MARKET_DATA_OVERRIDE=PX_LAST","START_DATE_OVERRIDE",TEXT(INDEX(MO_SNA_FPStartDate,0,COLUMN()),"YYYYMMDD"),"END_DATE_OVERRIDE",TEXT(INDEX(MO_Common_QEndDate,0,COLUMN()),"YYYYMMDD")),"N/A")</f>
        <v>N/A</v>
      </c>
      <c r="BE719" s="1848" t="str">
        <f ca="1">IFERROR(BDP(MO.Ticker.Bloomberg&amp;" Equity","INTERVAL_HIGH","MARKET_DATA_OVERRIDE=PX_LAST","START_DATE_OVERRIDE",TEXT(INDEX(MO_SNA_FPStartDate,0,COLUMN()),"YYYYMMDD"),"END_DATE_OVERRIDE",TEXT(INDEX(MO_Common_QEndDate,0,COLUMN()),"YYYYMMDD")),"N/A")</f>
        <v>N/A</v>
      </c>
      <c r="BF719" s="1848" t="str">
        <f ca="1">IFERROR(BDP(MO.Ticker.Bloomberg&amp;" Equity","INTERVAL_HIGH","MARKET_DATA_OVERRIDE=PX_LAST","START_DATE_OVERRIDE",TEXT(INDEX(MO_SNA_FPStartDate,0,COLUMN()),"YYYYMMDD"),"END_DATE_OVERRIDE",TEXT(INDEX(MO_Common_QEndDate,0,COLUMN()),"YYYYMMDD")),"N/A")</f>
        <v>N/A</v>
      </c>
      <c r="BG719" s="1832" t="str">
        <f ca="1">IFERROR(BDP(MO.Ticker.Bloomberg&amp;" Equity","INTERVAL_HIGH","MARKET_DATA_OVERRIDE=PX_LAST","START_DATE_OVERRIDE",TEXT(INDEX(MO_SNA_FPStartDate,0,COLUMN()),"YYYYMMDD"),"END_DATE_OVERRIDE",TEXT(INDEX(MO_Common_QEndDate,0,COLUMN()),"YYYYMMDD")),"N/A")</f>
        <v>N/A</v>
      </c>
      <c r="BH719" s="1832" t="str">
        <f ca="1">IFERROR(BDP(MO.Ticker.Bloomberg&amp;" Equity","INTERVAL_HIGH","MARKET_DATA_OVERRIDE=PX_LAST","START_DATE_OVERRIDE",TEXT(INDEX(MO_SNA_FPStartDate,0,COLUMN()),"YYYYMMDD"),"END_DATE_OVERRIDE",TEXT(INDEX(MO_Common_QEndDate,0,COLUMN()),"YYYYMMDD")),"N/A")</f>
        <v>N/A</v>
      </c>
      <c r="BI719" s="1832" t="str">
        <f ca="1">IFERROR(BDP(MO.Ticker.Bloomberg&amp;" Equity","INTERVAL_HIGH","MARKET_DATA_OVERRIDE=PX_LAST","START_DATE_OVERRIDE",TEXT(INDEX(MO_SNA_FPStartDate,0,COLUMN()),"YYYYMMDD"),"END_DATE_OVERRIDE",TEXT(INDEX(MO_Common_QEndDate,0,COLUMN()),"YYYYMMDD")),"N/A")</f>
        <v>N/A</v>
      </c>
      <c r="BJ719" s="1832" t="str">
        <f ca="1">IFERROR(BDP(MO.Ticker.Bloomberg&amp;" Equity","INTERVAL_HIGH","MARKET_DATA_OVERRIDE=PX_LAST","START_DATE_OVERRIDE",TEXT(INDEX(MO_SNA_FPStartDate,0,COLUMN()),"YYYYMMDD"),"END_DATE_OVERRIDE",TEXT(INDEX(MO_Common_QEndDate,0,COLUMN()),"YYYYMMDD")),"N/A")</f>
        <v>N/A</v>
      </c>
      <c r="BK719" s="2122" t="str">
        <f ca="1">IFERROR(BDP(MO.Ticker.Bloomberg&amp;" Equity","INTERVAL_HIGH","MARKET_DATA_OVERRIDE=PX_LAST","START_DATE_OVERRIDE",TEXT(INDEX(MO_SNA_FPStartDate,0,COLUMN()),"YYYYMMDD"),"END_DATE_OVERRIDE",TEXT(INDEX(MO_Common_QEndDate,0,COLUMN()),"YYYYMMDD")),"N/A")</f>
        <v>N/A</v>
      </c>
      <c r="BL719" s="1848"/>
    </row>
    <row r="720" spans="1:64" s="2008" customFormat="1" hidden="1" outlineLevel="1" x14ac:dyDescent="0.35">
      <c r="A720" s="2123" t="s">
        <v>1277</v>
      </c>
      <c r="B720" s="1832"/>
      <c r="C720" s="1848" t="str">
        <f>IFERROR(_xll.ciqfunctions.udf.CIQHI(MO.Ticker.CapIQ,"IQ_LASTSALEPRICE",INDEX(MO_SNA_FPStartDate,0,COLUMN()),INDEX(MO_Common_QEndDate,0,COLUMN())),"N/A")</f>
        <v>(Invalid Identifier)</v>
      </c>
      <c r="D720" s="1848" t="str">
        <f>IFERROR(_xll.ciqfunctions.udf.CIQHI(MO.Ticker.CapIQ,"IQ_LASTSALEPRICE",INDEX(MO_SNA_FPStartDate,0,COLUMN()),INDEX(MO_Common_QEndDate,0,COLUMN())),"N/A")</f>
        <v>(Invalid Identifier)</v>
      </c>
      <c r="E720" s="1848" t="str">
        <f>IFERROR(_xll.ciqfunctions.udf.CIQHI(MO.Ticker.CapIQ,"IQ_LASTSALEPRICE",INDEX(MO_SNA_FPStartDate,0,COLUMN()),INDEX(MO_Common_QEndDate,0,COLUMN())),"N/A")</f>
        <v>(Invalid Identifier)</v>
      </c>
      <c r="F720" s="1848" t="str">
        <f>IFERROR(_xll.ciqfunctions.udf.CIQHI(MO.Ticker.CapIQ,"IQ_LASTSALEPRICE",INDEX(MO_SNA_FPStartDate,0,COLUMN()),INDEX(MO_Common_QEndDate,0,COLUMN())),"N/A")</f>
        <v>(Invalid Identifier)</v>
      </c>
      <c r="G720" s="1848" t="str">
        <f>IFERROR(_xll.ciqfunctions.udf.CIQHI(MO.Ticker.CapIQ,"IQ_LASTSALEPRICE",INDEX(MO_SNA_FPStartDate,0,COLUMN()),INDEX(MO_Common_QEndDate,0,COLUMN())),"N/A")</f>
        <v>(Invalid Identifier)</v>
      </c>
      <c r="H720" s="1848" t="str">
        <f>IFERROR(_xll.ciqfunctions.udf.CIQHI(MO.Ticker.CapIQ,"IQ_LASTSALEPRICE",INDEX(MO_SNA_FPStartDate,0,COLUMN()),INDEX(MO_Common_QEndDate,0,COLUMN())),"N/A")</f>
        <v>(Invalid Identifier)</v>
      </c>
      <c r="I720" s="1848" t="str">
        <f>IFERROR(_xll.ciqfunctions.udf.CIQHI(MO.Ticker.CapIQ,"IQ_LASTSALEPRICE",INDEX(MO_SNA_FPStartDate,0,COLUMN()),INDEX(MO_Common_QEndDate,0,COLUMN())),"N/A")</f>
        <v>(Invalid Identifier)</v>
      </c>
      <c r="J720" s="1848" t="str">
        <f>IFERROR(_xll.ciqfunctions.udf.CIQHI(MO.Ticker.CapIQ,"IQ_LASTSALEPRICE",INDEX(MO_SNA_FPStartDate,0,COLUMN()),INDEX(MO_Common_QEndDate,0,COLUMN())),"N/A")</f>
        <v>(Invalid Identifier)</v>
      </c>
      <c r="K720" s="1848" t="str">
        <f>IFERROR(_xll.ciqfunctions.udf.CIQHI(MO.Ticker.CapIQ,"IQ_LASTSALEPRICE",INDEX(MO_SNA_FPStartDate,0,COLUMN()),INDEX(MO_Common_QEndDate,0,COLUMN())),"N/A")</f>
        <v>(Invalid Identifier)</v>
      </c>
      <c r="L720" s="1848" t="str">
        <f>IFERROR(_xll.ciqfunctions.udf.CIQHI(MO.Ticker.CapIQ,"IQ_LASTSALEPRICE",INDEX(MO_SNA_FPStartDate,0,COLUMN()),INDEX(MO_Common_QEndDate,0,COLUMN())),"N/A")</f>
        <v>(Invalid Identifier)</v>
      </c>
      <c r="M720" s="1848" t="str">
        <f>IFERROR(_xll.ciqfunctions.udf.CIQHI(MO.Ticker.CapIQ,"IQ_LASTSALEPRICE",INDEX(MO_SNA_FPStartDate,0,COLUMN()),INDEX(MO_Common_QEndDate,0,COLUMN())),"N/A")</f>
        <v>(Invalid Identifier)</v>
      </c>
      <c r="N720" s="1848" t="str">
        <f>IFERROR(_xll.ciqfunctions.udf.CIQHI(MO.Ticker.CapIQ,"IQ_LASTSALEPRICE",INDEX(MO_SNA_FPStartDate,0,COLUMN()),INDEX(MO_Common_QEndDate,0,COLUMN())),"N/A")</f>
        <v>(Invalid Identifier)</v>
      </c>
      <c r="O720" s="1848" t="str">
        <f>IFERROR(_xll.ciqfunctions.udf.CIQHI(MO.Ticker.CapIQ,"IQ_LASTSALEPRICE",INDEX(MO_SNA_FPStartDate,0,COLUMN()),INDEX(MO_Common_QEndDate,0,COLUMN())),"N/A")</f>
        <v>(Invalid Identifier)</v>
      </c>
      <c r="P720" s="1848" t="str">
        <f>IFERROR(_xll.ciqfunctions.udf.CIQHI(MO.Ticker.CapIQ,"IQ_LASTSALEPRICE",INDEX(MO_SNA_FPStartDate,0,COLUMN()),INDEX(MO_Common_QEndDate,0,COLUMN())),"N/A")</f>
        <v>(Invalid Identifier)</v>
      </c>
      <c r="Q720" s="1848" t="str">
        <f>IFERROR(_xll.ciqfunctions.udf.CIQHI(MO.Ticker.CapIQ,"IQ_LASTSALEPRICE",INDEX(MO_SNA_FPStartDate,0,COLUMN()),INDEX(MO_Common_QEndDate,0,COLUMN())),"N/A")</f>
        <v>(Invalid Identifier)</v>
      </c>
      <c r="R720" s="1848" t="str">
        <f>IFERROR(_xll.ciqfunctions.udf.CIQHI(MO.Ticker.CapIQ,"IQ_LASTSALEPRICE",INDEX(MO_SNA_FPStartDate,0,COLUMN()),INDEX(MO_Common_QEndDate,0,COLUMN())),"N/A")</f>
        <v>(Invalid Identifier)</v>
      </c>
      <c r="S720" s="1848" t="str">
        <f>IFERROR(_xll.ciqfunctions.udf.CIQHI(MO.Ticker.CapIQ,"IQ_LASTSALEPRICE",INDEX(MO_SNA_FPStartDate,0,COLUMN()),INDEX(MO_Common_QEndDate,0,COLUMN())),"N/A")</f>
        <v>(Invalid Identifier)</v>
      </c>
      <c r="T720" s="1848" t="str">
        <f>IFERROR(_xll.ciqfunctions.udf.CIQHI(MO.Ticker.CapIQ,"IQ_LASTSALEPRICE",INDEX(MO_SNA_FPStartDate,0,COLUMN()),INDEX(MO_Common_QEndDate,0,COLUMN())),"N/A")</f>
        <v>(Invalid Identifier)</v>
      </c>
      <c r="U720" s="1848" t="str">
        <f>IFERROR(_xll.ciqfunctions.udf.CIQHI(MO.Ticker.CapIQ,"IQ_LASTSALEPRICE",INDEX(MO_SNA_FPStartDate,0,COLUMN()),INDEX(MO_Common_QEndDate,0,COLUMN())),"N/A")</f>
        <v>(Invalid Identifier)</v>
      </c>
      <c r="V720" s="1848" t="str">
        <f>IFERROR(_xll.ciqfunctions.udf.CIQHI(MO.Ticker.CapIQ,"IQ_LASTSALEPRICE",INDEX(MO_SNA_FPStartDate,0,COLUMN()),INDEX(MO_Common_QEndDate,0,COLUMN())),"N/A")</f>
        <v>(Invalid Identifier)</v>
      </c>
      <c r="W720" s="1848" t="str">
        <f>IFERROR(_xll.ciqfunctions.udf.CIQHI(MO.Ticker.CapIQ,"IQ_LASTSALEPRICE",INDEX(MO_SNA_FPStartDate,0,COLUMN()),INDEX(MO_Common_QEndDate,0,COLUMN())),"N/A")</f>
        <v>(Invalid Identifier)</v>
      </c>
      <c r="X720" s="1848" t="str">
        <f>IFERROR(_xll.ciqfunctions.udf.CIQHI(MO.Ticker.CapIQ,"IQ_LASTSALEPRICE",INDEX(MO_SNA_FPStartDate,0,COLUMN()),INDEX(MO_Common_QEndDate,0,COLUMN())),"N/A")</f>
        <v>(Invalid Identifier)</v>
      </c>
      <c r="Y720" s="1848" t="str">
        <f>IFERROR(_xll.ciqfunctions.udf.CIQHI(MO.Ticker.CapIQ,"IQ_LASTSALEPRICE",INDEX(MO_SNA_FPStartDate,0,COLUMN()),INDEX(MO_Common_QEndDate,0,COLUMN())),"N/A")</f>
        <v>(Invalid Identifier)</v>
      </c>
      <c r="Z720" s="1848" t="str">
        <f>IFERROR(_xll.ciqfunctions.udf.CIQHI(MO.Ticker.CapIQ,"IQ_LASTSALEPRICE",INDEX(MO_SNA_FPStartDate,0,COLUMN()),INDEX(MO_Common_QEndDate,0,COLUMN())),"N/A")</f>
        <v>(Invalid Identifier)</v>
      </c>
      <c r="AA720" s="1848" t="str">
        <f>IFERROR(_xll.ciqfunctions.udf.CIQHI(MO.Ticker.CapIQ,"IQ_LASTSALEPRICE",INDEX(MO_SNA_FPStartDate,0,COLUMN()),INDEX(MO_Common_QEndDate,0,COLUMN())),"N/A")</f>
        <v>(Invalid Identifier)</v>
      </c>
      <c r="AB720" s="1848" t="str">
        <f>IFERROR(_xll.ciqfunctions.udf.CIQHI(MO.Ticker.CapIQ,"IQ_LASTSALEPRICE",INDEX(MO_SNA_FPStartDate,0,COLUMN()),INDEX(MO_Common_QEndDate,0,COLUMN())),"N/A")</f>
        <v>(Invalid Identifier)</v>
      </c>
      <c r="AC720" s="1848" t="str">
        <f>IFERROR(_xll.ciqfunctions.udf.CIQHI(MO.Ticker.CapIQ,"IQ_LASTSALEPRICE",INDEX(MO_SNA_FPStartDate,0,COLUMN()),INDEX(MO_Common_QEndDate,0,COLUMN())),"N/A")</f>
        <v>(Invalid Identifier)</v>
      </c>
      <c r="AD720" s="1848" t="str">
        <f>IFERROR(_xll.ciqfunctions.udf.CIQHI(MO.Ticker.CapIQ,"IQ_LASTSALEPRICE",INDEX(MO_SNA_FPStartDate,0,COLUMN()),INDEX(MO_Common_QEndDate,0,COLUMN())),"N/A")</f>
        <v>(Invalid Identifier)</v>
      </c>
      <c r="AE720" s="1848" t="str">
        <f>IFERROR(_xll.ciqfunctions.udf.CIQHI(MO.Ticker.CapIQ,"IQ_LASTSALEPRICE",INDEX(MO_SNA_FPStartDate,0,COLUMN()),INDEX(MO_Common_QEndDate,0,COLUMN())),"N/A")</f>
        <v>(Invalid Identifier)</v>
      </c>
      <c r="AF720" s="1848" t="str">
        <f>IFERROR(_xll.ciqfunctions.udf.CIQHI(MO.Ticker.CapIQ,"IQ_LASTSALEPRICE",INDEX(MO_SNA_FPStartDate,0,COLUMN()),INDEX(MO_Common_QEndDate,0,COLUMN())),"N/A")</f>
        <v>(Invalid Identifier)</v>
      </c>
      <c r="AG720" s="1848" t="str">
        <f>IFERROR(_xll.ciqfunctions.udf.CIQHI(MO.Ticker.CapIQ,"IQ_LASTSALEPRICE",INDEX(MO_SNA_FPStartDate,0,COLUMN()),INDEX(MO_Common_QEndDate,0,COLUMN())),"N/A")</f>
        <v>(Invalid Identifier)</v>
      </c>
      <c r="AH720" s="1848" t="str">
        <f>IFERROR(_xll.ciqfunctions.udf.CIQHI(MO.Ticker.CapIQ,"IQ_LASTSALEPRICE",INDEX(MO_SNA_FPStartDate,0,COLUMN()),INDEX(MO_Common_QEndDate,0,COLUMN())),"N/A")</f>
        <v>(Invalid Identifier)</v>
      </c>
      <c r="AI720" s="1848" t="str">
        <f>IFERROR(_xll.ciqfunctions.udf.CIQHI(MO.Ticker.CapIQ,"IQ_LASTSALEPRICE",INDEX(MO_SNA_FPStartDate,0,COLUMN()),INDEX(MO_Common_QEndDate,0,COLUMN())),"N/A")</f>
        <v>(Invalid Identifier)</v>
      </c>
      <c r="AJ720" s="1848" t="str">
        <f>IFERROR(_xll.ciqfunctions.udf.CIQHI(MO.Ticker.CapIQ,"IQ_LASTSALEPRICE",INDEX(MO_SNA_FPStartDate,0,COLUMN()),INDEX(MO_Common_QEndDate,0,COLUMN())),"N/A")</f>
        <v>(Invalid Identifier)</v>
      </c>
      <c r="AK720" s="1832" t="str">
        <f>IFERROR(_xll.ciqfunctions.udf.CIQHI(MO.Ticker.CapIQ,"IQ_LASTSALEPRICE",INDEX(MO_SNA_FPStartDate,0,COLUMN()),INDEX(MO_Common_QEndDate,0,COLUMN())),"N/A")</f>
        <v>(Invalid Identifier)</v>
      </c>
      <c r="AL720" s="1832" t="str">
        <f>IFERROR(_xll.ciqfunctions.udf.CIQHI(MO.Ticker.CapIQ,"IQ_LASTSALEPRICE",INDEX(MO_SNA_FPStartDate,0,COLUMN()),INDEX(MO_Common_QEndDate,0,COLUMN())),"N/A")</f>
        <v>(Invalid Identifier)</v>
      </c>
      <c r="AM720" s="1832" t="str">
        <f>IFERROR(_xll.ciqfunctions.udf.CIQHI(MO.Ticker.CapIQ,"IQ_LASTSALEPRICE",INDEX(MO_SNA_FPStartDate,0,COLUMN()),INDEX(MO_Common_QEndDate,0,COLUMN())),"N/A")</f>
        <v>(Invalid Identifier)</v>
      </c>
      <c r="AN720" s="1832" t="str">
        <f>IFERROR(_xll.ciqfunctions.udf.CIQHI(MO.Ticker.CapIQ,"IQ_LASTSALEPRICE",INDEX(MO_SNA_FPStartDate,0,COLUMN()),INDEX(MO_Common_QEndDate,0,COLUMN())),"N/A")</f>
        <v>(Invalid Identifier)</v>
      </c>
      <c r="AO720" s="1832" t="str">
        <f>IFERROR(_xll.ciqfunctions.udf.CIQHI(MO.Ticker.CapIQ,"IQ_LASTSALEPRICE",INDEX(MO_SNA_FPStartDate,0,COLUMN()),INDEX(MO_Common_QEndDate,0,COLUMN())),"N/A")</f>
        <v>(Invalid Identifier)</v>
      </c>
      <c r="AP720" s="1832" t="str">
        <f>IFERROR(_xll.ciqfunctions.udf.CIQHI(MO.Ticker.CapIQ,"IQ_LASTSALEPRICE",INDEX(MO_SNA_FPStartDate,0,COLUMN()),INDEX(MO_Common_QEndDate,0,COLUMN())),"N/A")</f>
        <v>(Invalid Identifier)</v>
      </c>
      <c r="AQ720" s="1832"/>
      <c r="AR720" s="2121" t="str">
        <f>IFERROR(_xll.ciqfunctions.udf.CIQHI(MO.Ticker.CapIQ,"IQ_LASTSALEPRICE",INDEX(MO_SNA_FPStartDate,0,COLUMN()),INDEX(MO_Common_QEndDate,0,COLUMN())),"N/A")</f>
        <v>(Invalid Identifier)</v>
      </c>
      <c r="AS720" s="2121" t="str">
        <f>IFERROR(_xll.ciqfunctions.udf.CIQHI(MO.Ticker.CapIQ,"IQ_LASTSALEPRICE",INDEX(MO_SNA_FPStartDate,0,COLUMN()),INDEX(MO_Common_QEndDate,0,COLUMN())),"N/A")</f>
        <v>(Invalid Identifier)</v>
      </c>
      <c r="AT720" s="1848" t="str">
        <f>IFERROR(_xll.ciqfunctions.udf.CIQHI(MO.Ticker.CapIQ,"IQ_LASTSALEPRICE",INDEX(MO_SNA_FPStartDate,0,COLUMN()),INDEX(MO_Common_QEndDate,0,COLUMN())),"N/A")</f>
        <v>(Invalid Identifier)</v>
      </c>
      <c r="AU720" s="1848" t="str">
        <f>IFERROR(_xll.ciqfunctions.udf.CIQHI(MO.Ticker.CapIQ,"IQ_LASTSALEPRICE",INDEX(MO_SNA_FPStartDate,0,COLUMN()),INDEX(MO_Common_QEndDate,0,COLUMN())),"N/A")</f>
        <v>(Invalid Identifier)</v>
      </c>
      <c r="AV720" s="1848" t="str">
        <f>IFERROR(_xll.ciqfunctions.udf.CIQHI(MO.Ticker.CapIQ,"IQ_LASTSALEPRICE",INDEX(MO_SNA_FPStartDate,0,COLUMN()),INDEX(MO_Common_QEndDate,0,COLUMN())),"N/A")</f>
        <v>(Invalid Identifier)</v>
      </c>
      <c r="AW720" s="1848" t="str">
        <f>IFERROR(_xll.ciqfunctions.udf.CIQHI(MO.Ticker.CapIQ,"IQ_LASTSALEPRICE",INDEX(MO_SNA_FPStartDate,0,COLUMN()),INDEX(MO_Common_QEndDate,0,COLUMN())),"N/A")</f>
        <v>(Invalid Identifier)</v>
      </c>
      <c r="AX720" s="1848" t="str">
        <f>IFERROR(_xll.ciqfunctions.udf.CIQHI(MO.Ticker.CapIQ,"IQ_LASTSALEPRICE",INDEX(MO_SNA_FPStartDate,0,COLUMN()),INDEX(MO_Common_QEndDate,0,COLUMN())),"N/A")</f>
        <v>(Invalid Identifier)</v>
      </c>
      <c r="AY720" s="1848" t="str">
        <f>IFERROR(_xll.ciqfunctions.udf.CIQHI(MO.Ticker.CapIQ,"IQ_LASTSALEPRICE",INDEX(MO_SNA_FPStartDate,0,COLUMN()),INDEX(MO_Common_QEndDate,0,COLUMN())),"N/A")</f>
        <v>(Invalid Identifier)</v>
      </c>
      <c r="AZ720" s="1848" t="str">
        <f>IFERROR(_xll.ciqfunctions.udf.CIQHI(MO.Ticker.CapIQ,"IQ_LASTSALEPRICE",INDEX(MO_SNA_FPStartDate,0,COLUMN()),INDEX(MO_Common_QEndDate,0,COLUMN())),"N/A")</f>
        <v>(Invalid Identifier)</v>
      </c>
      <c r="BA720" s="1848" t="str">
        <f>IFERROR(_xll.ciqfunctions.udf.CIQHI(MO.Ticker.CapIQ,"IQ_LASTSALEPRICE",INDEX(MO_SNA_FPStartDate,0,COLUMN()),INDEX(MO_Common_QEndDate,0,COLUMN())),"N/A")</f>
        <v>(Invalid Identifier)</v>
      </c>
      <c r="BB720" s="1848" t="str">
        <f>IFERROR(_xll.ciqfunctions.udf.CIQHI(MO.Ticker.CapIQ,"IQ_LASTSALEPRICE",INDEX(MO_SNA_FPStartDate,0,COLUMN()),INDEX(MO_Common_QEndDate,0,COLUMN())),"N/A")</f>
        <v>(Invalid Identifier)</v>
      </c>
      <c r="BC720" s="1848" t="str">
        <f>IFERROR(_xll.ciqfunctions.udf.CIQHI(MO.Ticker.CapIQ,"IQ_LASTSALEPRICE",INDEX(MO_SNA_FPStartDate,0,COLUMN()),INDEX(MO_Common_QEndDate,0,COLUMN())),"N/A")</f>
        <v>(Invalid Identifier)</v>
      </c>
      <c r="BD720" s="1848" t="str">
        <f>IFERROR(_xll.ciqfunctions.udf.CIQHI(MO.Ticker.CapIQ,"IQ_LASTSALEPRICE",INDEX(MO_SNA_FPStartDate,0,COLUMN()),INDEX(MO_Common_QEndDate,0,COLUMN())),"N/A")</f>
        <v>(Invalid Identifier)</v>
      </c>
      <c r="BE720" s="1848" t="str">
        <f>IFERROR(_xll.ciqfunctions.udf.CIQHI(MO.Ticker.CapIQ,"IQ_LASTSALEPRICE",INDEX(MO_SNA_FPStartDate,0,COLUMN()),INDEX(MO_Common_QEndDate,0,COLUMN())),"N/A")</f>
        <v>(Invalid Identifier)</v>
      </c>
      <c r="BF720" s="1848" t="str">
        <f>IFERROR(_xll.ciqfunctions.udf.CIQHI(MO.Ticker.CapIQ,"IQ_LASTSALEPRICE",INDEX(MO_SNA_FPStartDate,0,COLUMN()),INDEX(MO_Common_QEndDate,0,COLUMN())),"N/A")</f>
        <v>(Invalid Identifier)</v>
      </c>
      <c r="BG720" s="1832" t="str">
        <f>IFERROR(_xll.ciqfunctions.udf.CIQHI(MO.Ticker.CapIQ,"IQ_LASTSALEPRICE",INDEX(MO_SNA_FPStartDate,0,COLUMN()),INDEX(MO_Common_QEndDate,0,COLUMN())),"N/A")</f>
        <v>(Invalid Identifier)</v>
      </c>
      <c r="BH720" s="1832" t="str">
        <f>IFERROR(_xll.ciqfunctions.udf.CIQHI(MO.Ticker.CapIQ,"IQ_LASTSALEPRICE",INDEX(MO_SNA_FPStartDate,0,COLUMN()),INDEX(MO_Common_QEndDate,0,COLUMN())),"N/A")</f>
        <v>(Invalid Identifier)</v>
      </c>
      <c r="BI720" s="1832" t="str">
        <f>IFERROR(_xll.ciqfunctions.udf.CIQHI(MO.Ticker.CapIQ,"IQ_LASTSALEPRICE",INDEX(MO_SNA_FPStartDate,0,COLUMN()),INDEX(MO_Common_QEndDate,0,COLUMN())),"N/A")</f>
        <v>(Invalid Identifier)</v>
      </c>
      <c r="BJ720" s="1832" t="str">
        <f>IFERROR(_xll.ciqfunctions.udf.CIQHI(MO.Ticker.CapIQ,"IQ_LASTSALEPRICE",INDEX(MO_SNA_FPStartDate,0,COLUMN()),INDEX(MO_Common_QEndDate,0,COLUMN())),"N/A")</f>
        <v>(Invalid Identifier)</v>
      </c>
      <c r="BK720" s="2122" t="str">
        <f>IFERROR(_xll.ciqfunctions.udf.CIQHI(MO.Ticker.CapIQ,"IQ_LASTSALEPRICE",INDEX(MO_SNA_FPStartDate,0,COLUMN()),INDEX(MO_Common_QEndDate,0,COLUMN())),"N/A")</f>
        <v>(Invalid Identifier)</v>
      </c>
      <c r="BL720" s="1848"/>
    </row>
    <row r="721" spans="1:64" s="2008" customFormat="1" hidden="1" outlineLevel="1" x14ac:dyDescent="0.35">
      <c r="A721" s="2123" t="s">
        <v>1278</v>
      </c>
      <c r="B721" s="1832"/>
      <c r="C721" s="1848" t="str">
        <f ca="1">IFERROR(FDS(MO.Ticker.FactSet,"P_PRICE_HIGH"&amp;"("&amp;INDEX(MO_SNA_FPStartDate,0,COLUMN())&amp;","&amp;INDEX(MO_Common_QEndDate,0,COLUMN())&amp;",,,,""PRICE"",""CLOSE"")"),"N/A")</f>
        <v>N/A</v>
      </c>
      <c r="D721" s="1848" t="str">
        <f ca="1">IFERROR(FDS(MO.Ticker.FactSet,"P_PRICE_HIGH"&amp;"("&amp;INDEX(MO_SNA_FPStartDate,0,COLUMN())&amp;","&amp;INDEX(MO_Common_QEndDate,0,COLUMN())&amp;",,,,""PRICE"",""CLOSE"")"),"N/A")</f>
        <v>N/A</v>
      </c>
      <c r="E721" s="1848" t="str">
        <f ca="1">IFERROR(FDS(MO.Ticker.FactSet,"P_PRICE_HIGH"&amp;"("&amp;INDEX(MO_SNA_FPStartDate,0,COLUMN())&amp;","&amp;INDEX(MO_Common_QEndDate,0,COLUMN())&amp;",,,,""PRICE"",""CLOSE"")"),"N/A")</f>
        <v>N/A</v>
      </c>
      <c r="F721" s="1848" t="str">
        <f ca="1">IFERROR(FDS(MO.Ticker.FactSet,"P_PRICE_HIGH"&amp;"("&amp;INDEX(MO_SNA_FPStartDate,0,COLUMN())&amp;","&amp;INDEX(MO_Common_QEndDate,0,COLUMN())&amp;",,,,""PRICE"",""CLOSE"")"),"N/A")</f>
        <v>N/A</v>
      </c>
      <c r="G721" s="1848" t="str">
        <f ca="1">IFERROR(FDS(MO.Ticker.FactSet,"P_PRICE_HIGH"&amp;"("&amp;INDEX(MO_SNA_FPStartDate,0,COLUMN())&amp;","&amp;INDEX(MO_Common_QEndDate,0,COLUMN())&amp;",,,,""PRICE"",""CLOSE"")"),"N/A")</f>
        <v>N/A</v>
      </c>
      <c r="H721" s="1848" t="str">
        <f ca="1">IFERROR(FDS(MO.Ticker.FactSet,"P_PRICE_HIGH"&amp;"("&amp;INDEX(MO_SNA_FPStartDate,0,COLUMN())&amp;","&amp;INDEX(MO_Common_QEndDate,0,COLUMN())&amp;",,,,""PRICE"",""CLOSE"")"),"N/A")</f>
        <v>N/A</v>
      </c>
      <c r="I721" s="1848" t="str">
        <f ca="1">IFERROR(FDS(MO.Ticker.FactSet,"P_PRICE_HIGH"&amp;"("&amp;INDEX(MO_SNA_FPStartDate,0,COLUMN())&amp;","&amp;INDEX(MO_Common_QEndDate,0,COLUMN())&amp;",,,,""PRICE"",""CLOSE"")"),"N/A")</f>
        <v>N/A</v>
      </c>
      <c r="J721" s="1848" t="str">
        <f ca="1">IFERROR(FDS(MO.Ticker.FactSet,"P_PRICE_HIGH"&amp;"("&amp;INDEX(MO_SNA_FPStartDate,0,COLUMN())&amp;","&amp;INDEX(MO_Common_QEndDate,0,COLUMN())&amp;",,,,""PRICE"",""CLOSE"")"),"N/A")</f>
        <v>N/A</v>
      </c>
      <c r="K721" s="1848" t="str">
        <f ca="1">IFERROR(FDS(MO.Ticker.FactSet,"P_PRICE_HIGH"&amp;"("&amp;INDEX(MO_SNA_FPStartDate,0,COLUMN())&amp;","&amp;INDEX(MO_Common_QEndDate,0,COLUMN())&amp;",,,,""PRICE"",""CLOSE"")"),"N/A")</f>
        <v>N/A</v>
      </c>
      <c r="L721" s="1848" t="str">
        <f ca="1">IFERROR(FDS(MO.Ticker.FactSet,"P_PRICE_HIGH"&amp;"("&amp;INDEX(MO_SNA_FPStartDate,0,COLUMN())&amp;","&amp;INDEX(MO_Common_QEndDate,0,COLUMN())&amp;",,,,""PRICE"",""CLOSE"")"),"N/A")</f>
        <v>N/A</v>
      </c>
      <c r="M721" s="1848" t="str">
        <f ca="1">IFERROR(FDS(MO.Ticker.FactSet,"P_PRICE_HIGH"&amp;"("&amp;INDEX(MO_SNA_FPStartDate,0,COLUMN())&amp;","&amp;INDEX(MO_Common_QEndDate,0,COLUMN())&amp;",,,,""PRICE"",""CLOSE"")"),"N/A")</f>
        <v>N/A</v>
      </c>
      <c r="N721" s="1848" t="str">
        <f ca="1">IFERROR(FDS(MO.Ticker.FactSet,"P_PRICE_HIGH"&amp;"("&amp;INDEX(MO_SNA_FPStartDate,0,COLUMN())&amp;","&amp;INDEX(MO_Common_QEndDate,0,COLUMN())&amp;",,,,""PRICE"",""CLOSE"")"),"N/A")</f>
        <v>N/A</v>
      </c>
      <c r="O721" s="1848" t="str">
        <f ca="1">IFERROR(FDS(MO.Ticker.FactSet,"P_PRICE_HIGH"&amp;"("&amp;INDEX(MO_SNA_FPStartDate,0,COLUMN())&amp;","&amp;INDEX(MO_Common_QEndDate,0,COLUMN())&amp;",,,,""PRICE"",""CLOSE"")"),"N/A")</f>
        <v>N/A</v>
      </c>
      <c r="P721" s="1848" t="str">
        <f ca="1">IFERROR(FDS(MO.Ticker.FactSet,"P_PRICE_HIGH"&amp;"("&amp;INDEX(MO_SNA_FPStartDate,0,COLUMN())&amp;","&amp;INDEX(MO_Common_QEndDate,0,COLUMN())&amp;",,,,""PRICE"",""CLOSE"")"),"N/A")</f>
        <v>N/A</v>
      </c>
      <c r="Q721" s="1848" t="str">
        <f ca="1">IFERROR(FDS(MO.Ticker.FactSet,"P_PRICE_HIGH"&amp;"("&amp;INDEX(MO_SNA_FPStartDate,0,COLUMN())&amp;","&amp;INDEX(MO_Common_QEndDate,0,COLUMN())&amp;",,,,""PRICE"",""CLOSE"")"),"N/A")</f>
        <v>N/A</v>
      </c>
      <c r="R721" s="1848" t="str">
        <f ca="1">IFERROR(FDS(MO.Ticker.FactSet,"P_PRICE_HIGH"&amp;"("&amp;INDEX(MO_SNA_FPStartDate,0,COLUMN())&amp;","&amp;INDEX(MO_Common_QEndDate,0,COLUMN())&amp;",,,,""PRICE"",""CLOSE"")"),"N/A")</f>
        <v>N/A</v>
      </c>
      <c r="S721" s="1848" t="str">
        <f ca="1">IFERROR(FDS(MO.Ticker.FactSet,"P_PRICE_HIGH"&amp;"("&amp;INDEX(MO_SNA_FPStartDate,0,COLUMN())&amp;","&amp;INDEX(MO_Common_QEndDate,0,COLUMN())&amp;",,,,""PRICE"",""CLOSE"")"),"N/A")</f>
        <v>N/A</v>
      </c>
      <c r="T721" s="1848" t="str">
        <f ca="1">IFERROR(FDS(MO.Ticker.FactSet,"P_PRICE_HIGH"&amp;"("&amp;INDEX(MO_SNA_FPStartDate,0,COLUMN())&amp;","&amp;INDEX(MO_Common_QEndDate,0,COLUMN())&amp;",,,,""PRICE"",""CLOSE"")"),"N/A")</f>
        <v>N/A</v>
      </c>
      <c r="U721" s="1848" t="str">
        <f ca="1">IFERROR(FDS(MO.Ticker.FactSet,"P_PRICE_HIGH"&amp;"("&amp;INDEX(MO_SNA_FPStartDate,0,COLUMN())&amp;","&amp;INDEX(MO_Common_QEndDate,0,COLUMN())&amp;",,,,""PRICE"",""CLOSE"")"),"N/A")</f>
        <v>N/A</v>
      </c>
      <c r="V721" s="1848" t="str">
        <f ca="1">IFERROR(FDS(MO.Ticker.FactSet,"P_PRICE_HIGH"&amp;"("&amp;INDEX(MO_SNA_FPStartDate,0,COLUMN())&amp;","&amp;INDEX(MO_Common_QEndDate,0,COLUMN())&amp;",,,,""PRICE"",""CLOSE"")"),"N/A")</f>
        <v>N/A</v>
      </c>
      <c r="W721" s="1848" t="str">
        <f ca="1">IFERROR(FDS(MO.Ticker.FactSet,"P_PRICE_HIGH"&amp;"("&amp;INDEX(MO_SNA_FPStartDate,0,COLUMN())&amp;","&amp;INDEX(MO_Common_QEndDate,0,COLUMN())&amp;",,,,""PRICE"",""CLOSE"")"),"N/A")</f>
        <v>N/A</v>
      </c>
      <c r="X721" s="1848" t="str">
        <f ca="1">IFERROR(FDS(MO.Ticker.FactSet,"P_PRICE_HIGH"&amp;"("&amp;INDEX(MO_SNA_FPStartDate,0,COLUMN())&amp;","&amp;INDEX(MO_Common_QEndDate,0,COLUMN())&amp;",,,,""PRICE"",""CLOSE"")"),"N/A")</f>
        <v>N/A</v>
      </c>
      <c r="Y721" s="1848" t="str">
        <f ca="1">IFERROR(FDS(MO.Ticker.FactSet,"P_PRICE_HIGH"&amp;"("&amp;INDEX(MO_SNA_FPStartDate,0,COLUMN())&amp;","&amp;INDEX(MO_Common_QEndDate,0,COLUMN())&amp;",,,,""PRICE"",""CLOSE"")"),"N/A")</f>
        <v>N/A</v>
      </c>
      <c r="Z721" s="1848" t="str">
        <f ca="1">IFERROR(FDS(MO.Ticker.FactSet,"P_PRICE_HIGH"&amp;"("&amp;INDEX(MO_SNA_FPStartDate,0,COLUMN())&amp;","&amp;INDEX(MO_Common_QEndDate,0,COLUMN())&amp;",,,,""PRICE"",""CLOSE"")"),"N/A")</f>
        <v>N/A</v>
      </c>
      <c r="AA721" s="1848" t="str">
        <f ca="1">IFERROR(FDS(MO.Ticker.FactSet,"P_PRICE_HIGH"&amp;"("&amp;INDEX(MO_SNA_FPStartDate,0,COLUMN())&amp;","&amp;INDEX(MO_Common_QEndDate,0,COLUMN())&amp;",,,,""PRICE"",""CLOSE"")"),"N/A")</f>
        <v>N/A</v>
      </c>
      <c r="AB721" s="1848" t="str">
        <f ca="1">IFERROR(FDS(MO.Ticker.FactSet,"P_PRICE_HIGH"&amp;"("&amp;INDEX(MO_SNA_FPStartDate,0,COLUMN())&amp;","&amp;INDEX(MO_Common_QEndDate,0,COLUMN())&amp;",,,,""PRICE"",""CLOSE"")"),"N/A")</f>
        <v>N/A</v>
      </c>
      <c r="AC721" s="1848" t="str">
        <f ca="1">IFERROR(FDS(MO.Ticker.FactSet,"P_PRICE_HIGH"&amp;"("&amp;INDEX(MO_SNA_FPStartDate,0,COLUMN())&amp;","&amp;INDEX(MO_Common_QEndDate,0,COLUMN())&amp;",,,,""PRICE"",""CLOSE"")"),"N/A")</f>
        <v>N/A</v>
      </c>
      <c r="AD721" s="1848" t="str">
        <f ca="1">IFERROR(FDS(MO.Ticker.FactSet,"P_PRICE_HIGH"&amp;"("&amp;INDEX(MO_SNA_FPStartDate,0,COLUMN())&amp;","&amp;INDEX(MO_Common_QEndDate,0,COLUMN())&amp;",,,,""PRICE"",""CLOSE"")"),"N/A")</f>
        <v>N/A</v>
      </c>
      <c r="AE721" s="1848" t="str">
        <f ca="1">IFERROR(FDS(MO.Ticker.FactSet,"P_PRICE_HIGH"&amp;"("&amp;INDEX(MO_SNA_FPStartDate,0,COLUMN())&amp;","&amp;INDEX(MO_Common_QEndDate,0,COLUMN())&amp;",,,,""PRICE"",""CLOSE"")"),"N/A")</f>
        <v>N/A</v>
      </c>
      <c r="AF721" s="1848" t="str">
        <f ca="1">IFERROR(FDS(MO.Ticker.FactSet,"P_PRICE_HIGH"&amp;"("&amp;INDEX(MO_SNA_FPStartDate,0,COLUMN())&amp;","&amp;INDEX(MO_Common_QEndDate,0,COLUMN())&amp;",,,,""PRICE"",""CLOSE"")"),"N/A")</f>
        <v>N/A</v>
      </c>
      <c r="AG721" s="1848" t="str">
        <f ca="1">IFERROR(FDS(MO.Ticker.FactSet,"P_PRICE_HIGH"&amp;"("&amp;INDEX(MO_SNA_FPStartDate,0,COLUMN())&amp;","&amp;INDEX(MO_Common_QEndDate,0,COLUMN())&amp;",,,,""PRICE"",""CLOSE"")"),"N/A")</f>
        <v>N/A</v>
      </c>
      <c r="AH721" s="1848" t="str">
        <f ca="1">IFERROR(FDS(MO.Ticker.FactSet,"P_PRICE_HIGH"&amp;"("&amp;INDEX(MO_SNA_FPStartDate,0,COLUMN())&amp;","&amp;INDEX(MO_Common_QEndDate,0,COLUMN())&amp;",,,,""PRICE"",""CLOSE"")"),"N/A")</f>
        <v>N/A</v>
      </c>
      <c r="AI721" s="1848" t="str">
        <f ca="1">IFERROR(FDS(MO.Ticker.FactSet,"P_PRICE_HIGH"&amp;"("&amp;INDEX(MO_SNA_FPStartDate,0,COLUMN())&amp;","&amp;INDEX(MO_Common_QEndDate,0,COLUMN())&amp;",,,,""PRICE"",""CLOSE"")"),"N/A")</f>
        <v>N/A</v>
      </c>
      <c r="AJ721" s="1848" t="str">
        <f ca="1">IFERROR(FDS(MO.Ticker.FactSet,"P_PRICE_HIGH"&amp;"("&amp;INDEX(MO_SNA_FPStartDate,0,COLUMN())&amp;","&amp;INDEX(MO_Common_QEndDate,0,COLUMN())&amp;",,,,""PRICE"",""CLOSE"")"),"N/A")</f>
        <v>N/A</v>
      </c>
      <c r="AK721" s="1832" t="str">
        <f ca="1">IFERROR(FDS(MO.Ticker.FactSet,"P_PRICE_HIGH"&amp;"("&amp;INDEX(MO_SNA_FPStartDate,0,COLUMN())&amp;","&amp;INDEX(MO_Common_QEndDate,0,COLUMN())&amp;",,,,""PRICE"",""CLOSE"")"),"N/A")</f>
        <v>N/A</v>
      </c>
      <c r="AL721" s="1832" t="str">
        <f ca="1">IFERROR(FDS(MO.Ticker.FactSet,"P_PRICE_HIGH"&amp;"("&amp;INDEX(MO_SNA_FPStartDate,0,COLUMN())&amp;","&amp;INDEX(MO_Common_QEndDate,0,COLUMN())&amp;",,,,""PRICE"",""CLOSE"")"),"N/A")</f>
        <v>N/A</v>
      </c>
      <c r="AM721" s="1832" t="str">
        <f ca="1">IFERROR(FDS(MO.Ticker.FactSet,"P_PRICE_HIGH"&amp;"("&amp;INDEX(MO_SNA_FPStartDate,0,COLUMN())&amp;","&amp;INDEX(MO_Common_QEndDate,0,COLUMN())&amp;",,,,""PRICE"",""CLOSE"")"),"N/A")</f>
        <v>N/A</v>
      </c>
      <c r="AN721" s="1832" t="str">
        <f ca="1">IFERROR(FDS(MO.Ticker.FactSet,"P_PRICE_HIGH"&amp;"("&amp;INDEX(MO_SNA_FPStartDate,0,COLUMN())&amp;","&amp;INDEX(MO_Common_QEndDate,0,COLUMN())&amp;",,,,""PRICE"",""CLOSE"")"),"N/A")</f>
        <v>N/A</v>
      </c>
      <c r="AO721" s="1832" t="str">
        <f ca="1">IFERROR(FDS(MO.Ticker.FactSet,"P_PRICE_HIGH"&amp;"("&amp;INDEX(MO_SNA_FPStartDate,0,COLUMN())&amp;","&amp;INDEX(MO_Common_QEndDate,0,COLUMN())&amp;",,,,""PRICE"",""CLOSE"")"),"N/A")</f>
        <v>N/A</v>
      </c>
      <c r="AP721" s="1832" t="str">
        <f ca="1">IFERROR(FDS(MO.Ticker.FactSet,"P_PRICE_HIGH"&amp;"("&amp;INDEX(MO_SNA_FPStartDate,0,COLUMN())&amp;","&amp;INDEX(MO_Common_QEndDate,0,COLUMN())&amp;",,,,""PRICE"",""CLOSE"")"),"N/A")</f>
        <v>N/A</v>
      </c>
      <c r="AQ721" s="1832"/>
      <c r="AR721" s="2121" t="str">
        <f ca="1">IFERROR(FDS(MO.Ticker.FactSet,"P_PRICE_HIGH"&amp;"("&amp;INDEX(MO_SNA_FPStartDate,0,COLUMN())&amp;","&amp;INDEX(MO_Common_QEndDate,0,COLUMN())&amp;",,,,""PRICE"",""CLOSE"")"),"N/A")</f>
        <v>N/A</v>
      </c>
      <c r="AS721" s="2121" t="str">
        <f ca="1">IFERROR(FDS(MO.Ticker.FactSet,"P_PRICE_HIGH"&amp;"("&amp;INDEX(MO_SNA_FPStartDate,0,COLUMN())&amp;","&amp;INDEX(MO_Common_QEndDate,0,COLUMN())&amp;",,,,""PRICE"",""CLOSE"")"),"N/A")</f>
        <v>N/A</v>
      </c>
      <c r="AT721" s="1848" t="str">
        <f ca="1">IFERROR(FDS(MO.Ticker.FactSet,"P_PRICE_HIGH"&amp;"("&amp;INDEX(MO_SNA_FPStartDate,0,COLUMN())&amp;","&amp;INDEX(MO_Common_QEndDate,0,COLUMN())&amp;",,,,""PRICE"",""CLOSE"")"),"N/A")</f>
        <v>N/A</v>
      </c>
      <c r="AU721" s="1848" t="str">
        <f ca="1">IFERROR(FDS(MO.Ticker.FactSet,"P_PRICE_HIGH"&amp;"("&amp;INDEX(MO_SNA_FPStartDate,0,COLUMN())&amp;","&amp;INDEX(MO_Common_QEndDate,0,COLUMN())&amp;",,,,""PRICE"",""CLOSE"")"),"N/A")</f>
        <v>N/A</v>
      </c>
      <c r="AV721" s="1848" t="str">
        <f ca="1">IFERROR(FDS(MO.Ticker.FactSet,"P_PRICE_HIGH"&amp;"("&amp;INDEX(MO_SNA_FPStartDate,0,COLUMN())&amp;","&amp;INDEX(MO_Common_QEndDate,0,COLUMN())&amp;",,,,""PRICE"",""CLOSE"")"),"N/A")</f>
        <v>N/A</v>
      </c>
      <c r="AW721" s="1848" t="str">
        <f ca="1">IFERROR(FDS(MO.Ticker.FactSet,"P_PRICE_HIGH"&amp;"("&amp;INDEX(MO_SNA_FPStartDate,0,COLUMN())&amp;","&amp;INDEX(MO_Common_QEndDate,0,COLUMN())&amp;",,,,""PRICE"",""CLOSE"")"),"N/A")</f>
        <v>N/A</v>
      </c>
      <c r="AX721" s="1848" t="str">
        <f ca="1">IFERROR(FDS(MO.Ticker.FactSet,"P_PRICE_HIGH"&amp;"("&amp;INDEX(MO_SNA_FPStartDate,0,COLUMN())&amp;","&amp;INDEX(MO_Common_QEndDate,0,COLUMN())&amp;",,,,""PRICE"",""CLOSE"")"),"N/A")</f>
        <v>N/A</v>
      </c>
      <c r="AY721" s="1848" t="str">
        <f ca="1">IFERROR(FDS(MO.Ticker.FactSet,"P_PRICE_HIGH"&amp;"("&amp;INDEX(MO_SNA_FPStartDate,0,COLUMN())&amp;","&amp;INDEX(MO_Common_QEndDate,0,COLUMN())&amp;",,,,""PRICE"",""CLOSE"")"),"N/A")</f>
        <v>N/A</v>
      </c>
      <c r="AZ721" s="1848" t="str">
        <f ca="1">IFERROR(FDS(MO.Ticker.FactSet,"P_PRICE_HIGH"&amp;"("&amp;INDEX(MO_SNA_FPStartDate,0,COLUMN())&amp;","&amp;INDEX(MO_Common_QEndDate,0,COLUMN())&amp;",,,,""PRICE"",""CLOSE"")"),"N/A")</f>
        <v>N/A</v>
      </c>
      <c r="BA721" s="1848" t="str">
        <f ca="1">IFERROR(FDS(MO.Ticker.FactSet,"P_PRICE_HIGH"&amp;"("&amp;INDEX(MO_SNA_FPStartDate,0,COLUMN())&amp;","&amp;INDEX(MO_Common_QEndDate,0,COLUMN())&amp;",,,,""PRICE"",""CLOSE"")"),"N/A")</f>
        <v>N/A</v>
      </c>
      <c r="BB721" s="1848" t="str">
        <f ca="1">IFERROR(FDS(MO.Ticker.FactSet,"P_PRICE_HIGH"&amp;"("&amp;INDEX(MO_SNA_FPStartDate,0,COLUMN())&amp;","&amp;INDEX(MO_Common_QEndDate,0,COLUMN())&amp;",,,,""PRICE"",""CLOSE"")"),"N/A")</f>
        <v>N/A</v>
      </c>
      <c r="BC721" s="1848" t="str">
        <f ca="1">IFERROR(FDS(MO.Ticker.FactSet,"P_PRICE_HIGH"&amp;"("&amp;INDEX(MO_SNA_FPStartDate,0,COLUMN())&amp;","&amp;INDEX(MO_Common_QEndDate,0,COLUMN())&amp;",,,,""PRICE"",""CLOSE"")"),"N/A")</f>
        <v>N/A</v>
      </c>
      <c r="BD721" s="1848" t="str">
        <f ca="1">IFERROR(FDS(MO.Ticker.FactSet,"P_PRICE_HIGH"&amp;"("&amp;INDEX(MO_SNA_FPStartDate,0,COLUMN())&amp;","&amp;INDEX(MO_Common_QEndDate,0,COLUMN())&amp;",,,,""PRICE"",""CLOSE"")"),"N/A")</f>
        <v>N/A</v>
      </c>
      <c r="BE721" s="1848" t="str">
        <f ca="1">IFERROR(FDS(MO.Ticker.FactSet,"P_PRICE_HIGH"&amp;"("&amp;INDEX(MO_SNA_FPStartDate,0,COLUMN())&amp;","&amp;INDEX(MO_Common_QEndDate,0,COLUMN())&amp;",,,,""PRICE"",""CLOSE"")"),"N/A")</f>
        <v>N/A</v>
      </c>
      <c r="BF721" s="1848" t="str">
        <f ca="1">IFERROR(FDS(MO.Ticker.FactSet,"P_PRICE_HIGH"&amp;"("&amp;INDEX(MO_SNA_FPStartDate,0,COLUMN())&amp;","&amp;INDEX(MO_Common_QEndDate,0,COLUMN())&amp;",,,,""PRICE"",""CLOSE"")"),"N/A")</f>
        <v>N/A</v>
      </c>
      <c r="BG721" s="1832" t="str">
        <f ca="1">IFERROR(FDS(MO.Ticker.FactSet,"P_PRICE_HIGH"&amp;"("&amp;INDEX(MO_SNA_FPStartDate,0,COLUMN())&amp;","&amp;INDEX(MO_Common_QEndDate,0,COLUMN())&amp;",,,,""PRICE"",""CLOSE"")"),"N/A")</f>
        <v>N/A</v>
      </c>
      <c r="BH721" s="1832" t="str">
        <f ca="1">IFERROR(FDS(MO.Ticker.FactSet,"P_PRICE_HIGH"&amp;"("&amp;INDEX(MO_SNA_FPStartDate,0,COLUMN())&amp;","&amp;INDEX(MO_Common_QEndDate,0,COLUMN())&amp;",,,,""PRICE"",""CLOSE"")"),"N/A")</f>
        <v>N/A</v>
      </c>
      <c r="BI721" s="1832" t="str">
        <f ca="1">IFERROR(FDS(MO.Ticker.FactSet,"P_PRICE_HIGH"&amp;"("&amp;INDEX(MO_SNA_FPStartDate,0,COLUMN())&amp;","&amp;INDEX(MO_Common_QEndDate,0,COLUMN())&amp;",,,,""PRICE"",""CLOSE"")"),"N/A")</f>
        <v>N/A</v>
      </c>
      <c r="BJ721" s="1832" t="str">
        <f ca="1">IFERROR(FDS(MO.Ticker.FactSet,"P_PRICE_HIGH"&amp;"("&amp;INDEX(MO_SNA_FPStartDate,0,COLUMN())&amp;","&amp;INDEX(MO_Common_QEndDate,0,COLUMN())&amp;",,,,""PRICE"",""CLOSE"")"),"N/A")</f>
        <v>N/A</v>
      </c>
      <c r="BK721" s="2122" t="str">
        <f ca="1">IFERROR(FDS(MO.Ticker.FactSet,"P_PRICE_HIGH"&amp;"("&amp;INDEX(MO_SNA_FPStartDate,0,COLUMN())&amp;","&amp;INDEX(MO_Common_QEndDate,0,COLUMN())&amp;",,,,""PRICE"",""CLOSE"")"),"N/A")</f>
        <v>N/A</v>
      </c>
      <c r="BL721" s="1848"/>
    </row>
    <row r="722" spans="1:64" s="2008" customFormat="1" hidden="1" outlineLevel="1" x14ac:dyDescent="0.35">
      <c r="A722" s="2123" t="s">
        <v>1279</v>
      </c>
      <c r="B722" s="1832"/>
      <c r="C722" s="1848" t="str">
        <f ca="1">IFERROR(_xll.TR(MO.Ticker.Thomson,"MAX(TR.Pricehigh)","sdate:#1 edate:#2",,INDEX(MO_SNA_FPStartDate,0,COLUMN()),INDEX(MO_Common_QEndDate,0,COLUMN())),"N/A")</f>
        <v>N/A</v>
      </c>
      <c r="D722" s="1848" t="str">
        <f ca="1">IFERROR(_xll.TR(MO.Ticker.Thomson,"MAX(TR.Pricehigh)","sdate:#1 edate:#2",,INDEX(MO_SNA_FPStartDate,0,COLUMN()),INDEX(MO_Common_QEndDate,0,COLUMN())),"N/A")</f>
        <v>N/A</v>
      </c>
      <c r="E722" s="1848" t="str">
        <f ca="1">IFERROR(_xll.TR(MO.Ticker.Thomson,"MAX(TR.Pricehigh)","sdate:#1 edate:#2",,INDEX(MO_SNA_FPStartDate,0,COLUMN()),INDEX(MO_Common_QEndDate,0,COLUMN())),"N/A")</f>
        <v>N/A</v>
      </c>
      <c r="F722" s="1848" t="str">
        <f ca="1">IFERROR(_xll.TR(MO.Ticker.Thomson,"MAX(TR.Pricehigh)","sdate:#1 edate:#2",,INDEX(MO_SNA_FPStartDate,0,COLUMN()),INDEX(MO_Common_QEndDate,0,COLUMN())),"N/A")</f>
        <v>N/A</v>
      </c>
      <c r="G722" s="1848" t="str">
        <f ca="1">IFERROR(_xll.TR(MO.Ticker.Thomson,"MAX(TR.Pricehigh)","sdate:#1 edate:#2",,INDEX(MO_SNA_FPStartDate,0,COLUMN()),INDEX(MO_Common_QEndDate,0,COLUMN())),"N/A")</f>
        <v>N/A</v>
      </c>
      <c r="H722" s="1848" t="str">
        <f ca="1">IFERROR(_xll.TR(MO.Ticker.Thomson,"MAX(TR.Pricehigh)","sdate:#1 edate:#2",,INDEX(MO_SNA_FPStartDate,0,COLUMN()),INDEX(MO_Common_QEndDate,0,COLUMN())),"N/A")</f>
        <v>N/A</v>
      </c>
      <c r="I722" s="1848" t="str">
        <f ca="1">IFERROR(_xll.TR(MO.Ticker.Thomson,"MAX(TR.Pricehigh)","sdate:#1 edate:#2",,INDEX(MO_SNA_FPStartDate,0,COLUMN()),INDEX(MO_Common_QEndDate,0,COLUMN())),"N/A")</f>
        <v>N/A</v>
      </c>
      <c r="J722" s="1848" t="str">
        <f ca="1">IFERROR(_xll.TR(MO.Ticker.Thomson,"MAX(TR.Pricehigh)","sdate:#1 edate:#2",,INDEX(MO_SNA_FPStartDate,0,COLUMN()),INDEX(MO_Common_QEndDate,0,COLUMN())),"N/A")</f>
        <v>N/A</v>
      </c>
      <c r="K722" s="1848" t="str">
        <f ca="1">IFERROR(_xll.TR(MO.Ticker.Thomson,"MAX(TR.Pricehigh)","sdate:#1 edate:#2",,INDEX(MO_SNA_FPStartDate,0,COLUMN()),INDEX(MO_Common_QEndDate,0,COLUMN())),"N/A")</f>
        <v>N/A</v>
      </c>
      <c r="L722" s="1848" t="str">
        <f ca="1">IFERROR(_xll.TR(MO.Ticker.Thomson,"MAX(TR.Pricehigh)","sdate:#1 edate:#2",,INDEX(MO_SNA_FPStartDate,0,COLUMN()),INDEX(MO_Common_QEndDate,0,COLUMN())),"N/A")</f>
        <v>N/A</v>
      </c>
      <c r="M722" s="1848" t="str">
        <f ca="1">IFERROR(_xll.TR(MO.Ticker.Thomson,"MAX(TR.Pricehigh)","sdate:#1 edate:#2",,INDEX(MO_SNA_FPStartDate,0,COLUMN()),INDEX(MO_Common_QEndDate,0,COLUMN())),"N/A")</f>
        <v>N/A</v>
      </c>
      <c r="N722" s="1848" t="str">
        <f ca="1">IFERROR(_xll.TR(MO.Ticker.Thomson,"MAX(TR.Pricehigh)","sdate:#1 edate:#2",,INDEX(MO_SNA_FPStartDate,0,COLUMN()),INDEX(MO_Common_QEndDate,0,COLUMN())),"N/A")</f>
        <v>N/A</v>
      </c>
      <c r="O722" s="1848" t="str">
        <f ca="1">IFERROR(_xll.TR(MO.Ticker.Thomson,"MAX(TR.Pricehigh)","sdate:#1 edate:#2",,INDEX(MO_SNA_FPStartDate,0,COLUMN()),INDEX(MO_Common_QEndDate,0,COLUMN())),"N/A")</f>
        <v>N/A</v>
      </c>
      <c r="P722" s="1848" t="str">
        <f ca="1">IFERROR(_xll.TR(MO.Ticker.Thomson,"MAX(TR.Pricehigh)","sdate:#1 edate:#2",,INDEX(MO_SNA_FPStartDate,0,COLUMN()),INDEX(MO_Common_QEndDate,0,COLUMN())),"N/A")</f>
        <v>N/A</v>
      </c>
      <c r="Q722" s="1848" t="str">
        <f ca="1">IFERROR(_xll.TR(MO.Ticker.Thomson,"MAX(TR.Pricehigh)","sdate:#1 edate:#2",,INDEX(MO_SNA_FPStartDate,0,COLUMN()),INDEX(MO_Common_QEndDate,0,COLUMN())),"N/A")</f>
        <v>N/A</v>
      </c>
      <c r="R722" s="1848" t="str">
        <f ca="1">IFERROR(_xll.TR(MO.Ticker.Thomson,"MAX(TR.Pricehigh)","sdate:#1 edate:#2",,INDEX(MO_SNA_FPStartDate,0,COLUMN()),INDEX(MO_Common_QEndDate,0,COLUMN())),"N/A")</f>
        <v>N/A</v>
      </c>
      <c r="S722" s="1848" t="str">
        <f ca="1">IFERROR(_xll.TR(MO.Ticker.Thomson,"MAX(TR.Pricehigh)","sdate:#1 edate:#2",,INDEX(MO_SNA_FPStartDate,0,COLUMN()),INDEX(MO_Common_QEndDate,0,COLUMN())),"N/A")</f>
        <v>N/A</v>
      </c>
      <c r="T722" s="1848" t="str">
        <f ca="1">IFERROR(_xll.TR(MO.Ticker.Thomson,"MAX(TR.Pricehigh)","sdate:#1 edate:#2",,INDEX(MO_SNA_FPStartDate,0,COLUMN()),INDEX(MO_Common_QEndDate,0,COLUMN())),"N/A")</f>
        <v>N/A</v>
      </c>
      <c r="U722" s="1848" t="str">
        <f ca="1">IFERROR(_xll.TR(MO.Ticker.Thomson,"MAX(TR.Pricehigh)","sdate:#1 edate:#2",,INDEX(MO_SNA_FPStartDate,0,COLUMN()),INDEX(MO_Common_QEndDate,0,COLUMN())),"N/A")</f>
        <v>N/A</v>
      </c>
      <c r="V722" s="1848" t="str">
        <f ca="1">IFERROR(_xll.TR(MO.Ticker.Thomson,"MAX(TR.Pricehigh)","sdate:#1 edate:#2",,INDEX(MO_SNA_FPStartDate,0,COLUMN()),INDEX(MO_Common_QEndDate,0,COLUMN())),"N/A")</f>
        <v>N/A</v>
      </c>
      <c r="W722" s="1848" t="str">
        <f ca="1">IFERROR(_xll.TR(MO.Ticker.Thomson,"MAX(TR.Pricehigh)","sdate:#1 edate:#2",,INDEX(MO_SNA_FPStartDate,0,COLUMN()),INDEX(MO_Common_QEndDate,0,COLUMN())),"N/A")</f>
        <v>N/A</v>
      </c>
      <c r="X722" s="1848" t="str">
        <f ca="1">IFERROR(_xll.TR(MO.Ticker.Thomson,"MAX(TR.Pricehigh)","sdate:#1 edate:#2",,INDEX(MO_SNA_FPStartDate,0,COLUMN()),INDEX(MO_Common_QEndDate,0,COLUMN())),"N/A")</f>
        <v>N/A</v>
      </c>
      <c r="Y722" s="1848" t="str">
        <f ca="1">IFERROR(_xll.TR(MO.Ticker.Thomson,"MAX(TR.Pricehigh)","sdate:#1 edate:#2",,INDEX(MO_SNA_FPStartDate,0,COLUMN()),INDEX(MO_Common_QEndDate,0,COLUMN())),"N/A")</f>
        <v>N/A</v>
      </c>
      <c r="Z722" s="1848" t="str">
        <f ca="1">IFERROR(_xll.TR(MO.Ticker.Thomson,"MAX(TR.Pricehigh)","sdate:#1 edate:#2",,INDEX(MO_SNA_FPStartDate,0,COLUMN()),INDEX(MO_Common_QEndDate,0,COLUMN())),"N/A")</f>
        <v>N/A</v>
      </c>
      <c r="AA722" s="1848" t="str">
        <f ca="1">IFERROR(_xll.TR(MO.Ticker.Thomson,"MAX(TR.Pricehigh)","sdate:#1 edate:#2",,INDEX(MO_SNA_FPStartDate,0,COLUMN()),INDEX(MO_Common_QEndDate,0,COLUMN())),"N/A")</f>
        <v>N/A</v>
      </c>
      <c r="AB722" s="1848" t="str">
        <f ca="1">IFERROR(_xll.TR(MO.Ticker.Thomson,"MAX(TR.Pricehigh)","sdate:#1 edate:#2",,INDEX(MO_SNA_FPStartDate,0,COLUMN()),INDEX(MO_Common_QEndDate,0,COLUMN())),"N/A")</f>
        <v>N/A</v>
      </c>
      <c r="AC722" s="1848" t="str">
        <f ca="1">IFERROR(_xll.TR(MO.Ticker.Thomson,"MAX(TR.Pricehigh)","sdate:#1 edate:#2",,INDEX(MO_SNA_FPStartDate,0,COLUMN()),INDEX(MO_Common_QEndDate,0,COLUMN())),"N/A")</f>
        <v>N/A</v>
      </c>
      <c r="AD722" s="1848" t="str">
        <f ca="1">IFERROR(_xll.TR(MO.Ticker.Thomson,"MAX(TR.Pricehigh)","sdate:#1 edate:#2",,INDEX(MO_SNA_FPStartDate,0,COLUMN()),INDEX(MO_Common_QEndDate,0,COLUMN())),"N/A")</f>
        <v>N/A</v>
      </c>
      <c r="AE722" s="1848" t="str">
        <f ca="1">IFERROR(_xll.TR(MO.Ticker.Thomson,"MAX(TR.Pricehigh)","sdate:#1 edate:#2",,INDEX(MO_SNA_FPStartDate,0,COLUMN()),INDEX(MO_Common_QEndDate,0,COLUMN())),"N/A")</f>
        <v>N/A</v>
      </c>
      <c r="AF722" s="1848" t="str">
        <f ca="1">IFERROR(_xll.TR(MO.Ticker.Thomson,"MAX(TR.Pricehigh)","sdate:#1 edate:#2",,INDEX(MO_SNA_FPStartDate,0,COLUMN()),INDEX(MO_Common_QEndDate,0,COLUMN())),"N/A")</f>
        <v>N/A</v>
      </c>
      <c r="AG722" s="1848" t="str">
        <f ca="1">IFERROR(_xll.TR(MO.Ticker.Thomson,"MAX(TR.Pricehigh)","sdate:#1 edate:#2",,INDEX(MO_SNA_FPStartDate,0,COLUMN()),INDEX(MO_Common_QEndDate,0,COLUMN())),"N/A")</f>
        <v>N/A</v>
      </c>
      <c r="AH722" s="1848" t="str">
        <f ca="1">IFERROR(_xll.TR(MO.Ticker.Thomson,"MAX(TR.Pricehigh)","sdate:#1 edate:#2",,INDEX(MO_SNA_FPStartDate,0,COLUMN()),INDEX(MO_Common_QEndDate,0,COLUMN())),"N/A")</f>
        <v>N/A</v>
      </c>
      <c r="AI722" s="1848" t="str">
        <f ca="1">IFERROR(_xll.TR(MO.Ticker.Thomson,"MAX(TR.Pricehigh)","sdate:#1 edate:#2",,INDEX(MO_SNA_FPStartDate,0,COLUMN()),INDEX(MO_Common_QEndDate,0,COLUMN())),"N/A")</f>
        <v>N/A</v>
      </c>
      <c r="AJ722" s="1848" t="str">
        <f ca="1">IFERROR(_xll.TR(MO.Ticker.Thomson,"MAX(TR.Pricehigh)","sdate:#1 edate:#2",,INDEX(MO_SNA_FPStartDate,0,COLUMN()),INDEX(MO_Common_QEndDate,0,COLUMN())),"N/A")</f>
        <v>N/A</v>
      </c>
      <c r="AK722" s="1832" t="str">
        <f ca="1">IFERROR(_xll.TR(MO.Ticker.Thomson,"MAX(TR.Pricehigh)","sdate:#1 edate:#2",,INDEX(MO_SNA_FPStartDate,0,COLUMN()),INDEX(MO_Common_QEndDate,0,COLUMN())),"N/A")</f>
        <v>N/A</v>
      </c>
      <c r="AL722" s="1832" t="str">
        <f ca="1">IFERROR(_xll.TR(MO.Ticker.Thomson,"MAX(TR.Pricehigh)","sdate:#1 edate:#2",,INDEX(MO_SNA_FPStartDate,0,COLUMN()),INDEX(MO_Common_QEndDate,0,COLUMN())),"N/A")</f>
        <v>N/A</v>
      </c>
      <c r="AM722" s="1832" t="str">
        <f ca="1">IFERROR(_xll.TR(MO.Ticker.Thomson,"MAX(TR.Pricehigh)","sdate:#1 edate:#2",,INDEX(MO_SNA_FPStartDate,0,COLUMN()),INDEX(MO_Common_QEndDate,0,COLUMN())),"N/A")</f>
        <v>N/A</v>
      </c>
      <c r="AN722" s="1832" t="str">
        <f ca="1">IFERROR(_xll.TR(MO.Ticker.Thomson,"MAX(TR.Pricehigh)","sdate:#1 edate:#2",,INDEX(MO_SNA_FPStartDate,0,COLUMN()),INDEX(MO_Common_QEndDate,0,COLUMN())),"N/A")</f>
        <v>N/A</v>
      </c>
      <c r="AO722" s="1832" t="str">
        <f ca="1">IFERROR(_xll.TR(MO.Ticker.Thomson,"MAX(TR.Pricehigh)","sdate:#1 edate:#2",,INDEX(MO_SNA_FPStartDate,0,COLUMN()),INDEX(MO_Common_QEndDate,0,COLUMN())),"N/A")</f>
        <v>N/A</v>
      </c>
      <c r="AP722" s="1832" t="str">
        <f ca="1">IFERROR(_xll.TR(MO.Ticker.Thomson,"MAX(TR.Pricehigh)","sdate:#1 edate:#2",,INDEX(MO_SNA_FPStartDate,0,COLUMN()),INDEX(MO_Common_QEndDate,0,COLUMN())),"N/A")</f>
        <v>N/A</v>
      </c>
      <c r="AQ722" s="1832"/>
      <c r="AR722" s="2121" t="str">
        <f ca="1">IFERROR(_xll.TR(MO.Ticker.Thomson,"MAX(TR.Pricehigh)","sdate:#1 edate:#2",,INDEX(MO_SNA_FPStartDate,0,COLUMN()),INDEX(MO_Common_QEndDate,0,COLUMN())),"N/A")</f>
        <v>N/A</v>
      </c>
      <c r="AS722" s="2121" t="str">
        <f ca="1">IFERROR(_xll.TR(MO.Ticker.Thomson,"MAX(TR.Pricehigh)","sdate:#1 edate:#2",,INDEX(MO_SNA_FPStartDate,0,COLUMN()),INDEX(MO_Common_QEndDate,0,COLUMN())),"N/A")</f>
        <v>N/A</v>
      </c>
      <c r="AT722" s="1848" t="str">
        <f ca="1">IFERROR(_xll.TR(MO.Ticker.Thomson,"MAX(TR.Pricehigh)","sdate:#1 edate:#2",,INDEX(MO_SNA_FPStartDate,0,COLUMN()),INDEX(MO_Common_QEndDate,0,COLUMN())),"N/A")</f>
        <v>N/A</v>
      </c>
      <c r="AU722" s="1848" t="str">
        <f ca="1">IFERROR(_xll.TR(MO.Ticker.Thomson,"MAX(TR.Pricehigh)","sdate:#1 edate:#2",,INDEX(MO_SNA_FPStartDate,0,COLUMN()),INDEX(MO_Common_QEndDate,0,COLUMN())),"N/A")</f>
        <v>N/A</v>
      </c>
      <c r="AV722" s="1848" t="str">
        <f ca="1">IFERROR(_xll.TR(MO.Ticker.Thomson,"MAX(TR.Pricehigh)","sdate:#1 edate:#2",,INDEX(MO_SNA_FPStartDate,0,COLUMN()),INDEX(MO_Common_QEndDate,0,COLUMN())),"N/A")</f>
        <v>N/A</v>
      </c>
      <c r="AW722" s="1848" t="str">
        <f ca="1">IFERROR(_xll.TR(MO.Ticker.Thomson,"MAX(TR.Pricehigh)","sdate:#1 edate:#2",,INDEX(MO_SNA_FPStartDate,0,COLUMN()),INDEX(MO_Common_QEndDate,0,COLUMN())),"N/A")</f>
        <v>N/A</v>
      </c>
      <c r="AX722" s="1848" t="str">
        <f ca="1">IFERROR(_xll.TR(MO.Ticker.Thomson,"MAX(TR.Pricehigh)","sdate:#1 edate:#2",,INDEX(MO_SNA_FPStartDate,0,COLUMN()),INDEX(MO_Common_QEndDate,0,COLUMN())),"N/A")</f>
        <v>N/A</v>
      </c>
      <c r="AY722" s="1848" t="str">
        <f ca="1">IFERROR(_xll.TR(MO.Ticker.Thomson,"MAX(TR.Pricehigh)","sdate:#1 edate:#2",,INDEX(MO_SNA_FPStartDate,0,COLUMN()),INDEX(MO_Common_QEndDate,0,COLUMN())),"N/A")</f>
        <v>N/A</v>
      </c>
      <c r="AZ722" s="1848" t="str">
        <f ca="1">IFERROR(_xll.TR(MO.Ticker.Thomson,"MAX(TR.Pricehigh)","sdate:#1 edate:#2",,INDEX(MO_SNA_FPStartDate,0,COLUMN()),INDEX(MO_Common_QEndDate,0,COLUMN())),"N/A")</f>
        <v>N/A</v>
      </c>
      <c r="BA722" s="1848" t="str">
        <f ca="1">IFERROR(_xll.TR(MO.Ticker.Thomson,"MAX(TR.Pricehigh)","sdate:#1 edate:#2",,INDEX(MO_SNA_FPStartDate,0,COLUMN()),INDEX(MO_Common_QEndDate,0,COLUMN())),"N/A")</f>
        <v>N/A</v>
      </c>
      <c r="BB722" s="1848" t="str">
        <f ca="1">IFERROR(_xll.TR(MO.Ticker.Thomson,"MAX(TR.Pricehigh)","sdate:#1 edate:#2",,INDEX(MO_SNA_FPStartDate,0,COLUMN()),INDEX(MO_Common_QEndDate,0,COLUMN())),"N/A")</f>
        <v>N/A</v>
      </c>
      <c r="BC722" s="1848" t="str">
        <f ca="1">IFERROR(_xll.TR(MO.Ticker.Thomson,"MAX(TR.Pricehigh)","sdate:#1 edate:#2",,INDEX(MO_SNA_FPStartDate,0,COLUMN()),INDEX(MO_Common_QEndDate,0,COLUMN())),"N/A")</f>
        <v>N/A</v>
      </c>
      <c r="BD722" s="1848" t="str">
        <f ca="1">IFERROR(_xll.TR(MO.Ticker.Thomson,"MAX(TR.Pricehigh)","sdate:#1 edate:#2",,INDEX(MO_SNA_FPStartDate,0,COLUMN()),INDEX(MO_Common_QEndDate,0,COLUMN())),"N/A")</f>
        <v>N/A</v>
      </c>
      <c r="BE722" s="1848" t="str">
        <f ca="1">IFERROR(_xll.TR(MO.Ticker.Thomson,"MAX(TR.Pricehigh)","sdate:#1 edate:#2",,INDEX(MO_SNA_FPStartDate,0,COLUMN()),INDEX(MO_Common_QEndDate,0,COLUMN())),"N/A")</f>
        <v>N/A</v>
      </c>
      <c r="BF722" s="1848" t="str">
        <f ca="1">IFERROR(_xll.TR(MO.Ticker.Thomson,"MAX(TR.Pricehigh)","sdate:#1 edate:#2",,INDEX(MO_SNA_FPStartDate,0,COLUMN()),INDEX(MO_Common_QEndDate,0,COLUMN())),"N/A")</f>
        <v>N/A</v>
      </c>
      <c r="BG722" s="1832" t="str">
        <f ca="1">IFERROR(_xll.TR(MO.Ticker.Thomson,"MAX(TR.Pricehigh)","sdate:#1 edate:#2",,INDEX(MO_SNA_FPStartDate,0,COLUMN()),INDEX(MO_Common_QEndDate,0,COLUMN())),"N/A")</f>
        <v>N/A</v>
      </c>
      <c r="BH722" s="1832" t="str">
        <f ca="1">IFERROR(_xll.TR(MO.Ticker.Thomson,"MAX(TR.Pricehigh)","sdate:#1 edate:#2",,INDEX(MO_SNA_FPStartDate,0,COLUMN()),INDEX(MO_Common_QEndDate,0,COLUMN())),"N/A")</f>
        <v>N/A</v>
      </c>
      <c r="BI722" s="1832" t="str">
        <f ca="1">IFERROR(_xll.TR(MO.Ticker.Thomson,"MAX(TR.Pricehigh)","sdate:#1 edate:#2",,INDEX(MO_SNA_FPStartDate,0,COLUMN()),INDEX(MO_Common_QEndDate,0,COLUMN())),"N/A")</f>
        <v>N/A</v>
      </c>
      <c r="BJ722" s="1832" t="str">
        <f ca="1">IFERROR(_xll.TR(MO.Ticker.Thomson,"MAX(TR.Pricehigh)","sdate:#1 edate:#2",,INDEX(MO_SNA_FPStartDate,0,COLUMN()),INDEX(MO_Common_QEndDate,0,COLUMN())),"N/A")</f>
        <v>N/A</v>
      </c>
      <c r="BK722" s="2122" t="str">
        <f ca="1">IFERROR(_xll.TR(MO.Ticker.Thomson,"MAX(TR.Pricehigh)","sdate:#1 edate:#2",,INDEX(MO_SNA_FPStartDate,0,COLUMN()),INDEX(MO_Common_QEndDate,0,COLUMN())),"N/A")</f>
        <v>N/A</v>
      </c>
      <c r="BL722" s="1848"/>
    </row>
    <row r="723" spans="1:64" s="1518" customFormat="1" hidden="1" outlineLevel="1" x14ac:dyDescent="0.35">
      <c r="A723" s="2126"/>
      <c r="B723" s="1515"/>
      <c r="C723" s="1515"/>
      <c r="D723" s="1515"/>
      <c r="E723" s="1515"/>
      <c r="F723" s="1515"/>
      <c r="G723" s="1515"/>
      <c r="H723" s="1515"/>
      <c r="I723" s="1515"/>
      <c r="J723" s="1515"/>
      <c r="K723" s="1515"/>
      <c r="L723" s="1515"/>
      <c r="M723" s="1515"/>
      <c r="N723" s="1515"/>
      <c r="O723" s="1515"/>
      <c r="P723" s="1515"/>
      <c r="Q723" s="1515"/>
      <c r="R723" s="1515"/>
      <c r="S723" s="1515"/>
      <c r="T723" s="1515"/>
      <c r="U723" s="1515"/>
      <c r="V723" s="1515"/>
      <c r="W723" s="1515"/>
      <c r="X723" s="1515"/>
      <c r="Y723" s="1515"/>
      <c r="Z723" s="1515"/>
      <c r="AA723" s="1515"/>
      <c r="AB723" s="1515"/>
      <c r="AC723" s="1515"/>
      <c r="AD723" s="1515"/>
      <c r="AE723" s="1515"/>
      <c r="AF723" s="1515"/>
      <c r="AG723" s="1515"/>
      <c r="AH723" s="1515"/>
      <c r="AI723" s="1515"/>
      <c r="AJ723" s="1515"/>
      <c r="AK723" s="1515"/>
      <c r="AL723" s="1515"/>
      <c r="AM723" s="1515"/>
      <c r="AN723" s="1515"/>
      <c r="AO723" s="1515"/>
      <c r="AP723" s="1515"/>
      <c r="AQ723" s="1515"/>
      <c r="AR723" s="2071"/>
      <c r="AS723" s="2071"/>
      <c r="AT723" s="1515"/>
      <c r="AU723" s="1515"/>
      <c r="AV723" s="1515"/>
      <c r="AW723" s="1515"/>
      <c r="AX723" s="1515"/>
      <c r="AY723" s="1515"/>
      <c r="AZ723" s="1515"/>
      <c r="BA723" s="1515"/>
      <c r="BB723" s="1515"/>
      <c r="BC723" s="1515"/>
      <c r="BD723" s="1515"/>
      <c r="BE723" s="1515"/>
      <c r="BF723" s="1515"/>
      <c r="BG723" s="1515"/>
      <c r="BH723" s="1515"/>
      <c r="BI723" s="1515"/>
      <c r="BJ723" s="1515"/>
      <c r="BK723" s="2127"/>
      <c r="BL723" s="1517"/>
    </row>
    <row r="724" spans="1:64" s="2008" customFormat="1" collapsed="1" x14ac:dyDescent="0.35">
      <c r="A724" s="2120" t="str">
        <f ca="1">"Stock Low: "&amp;IF(OR(MO.RealTimeStockPriceToggle=FALSE,VLOOKUP(MO.DataSourceName,MO_SPT_StockLow_Sources,COLUMN()+2,FALSE)="N/A"),"Real-Time Off Source",MO.DataSourceName)</f>
        <v>Stock Low: Real-Time Off Source</v>
      </c>
      <c r="B724" s="1832"/>
      <c r="C724" s="1848">
        <f t="shared" ref="C724:AP724" ca="1" si="458">IF(OR(MO.RealTimeStockPriceToggle=FALSE,VLOOKUP(MO.DataSourceName,MO_SPT_StockLow_Sources,COLUMN(),FALSE)="N/A"),VLOOKUP("Real-Time Off Source",MO_SPT_StockLow_Sources,COLUMN(),FALSE),VLOOKUP(MO.DataSourceName,MO_SPT_StockLow_Sources,COLUMN(),FALSE))</f>
        <v>0</v>
      </c>
      <c r="D724" s="1848">
        <f t="shared" ca="1" si="458"/>
        <v>0</v>
      </c>
      <c r="E724" s="1848">
        <f t="shared" ca="1" si="458"/>
        <v>0</v>
      </c>
      <c r="F724" s="1848">
        <f t="shared" ca="1" si="458"/>
        <v>0</v>
      </c>
      <c r="G724" s="1848">
        <f t="shared" ca="1" si="458"/>
        <v>0</v>
      </c>
      <c r="H724" s="1848">
        <f t="shared" ca="1" si="458"/>
        <v>0</v>
      </c>
      <c r="I724" s="1848">
        <f t="shared" ca="1" si="458"/>
        <v>0</v>
      </c>
      <c r="J724" s="1848">
        <f t="shared" ca="1" si="458"/>
        <v>0</v>
      </c>
      <c r="K724" s="1848">
        <f t="shared" ca="1" si="458"/>
        <v>0</v>
      </c>
      <c r="L724" s="1848">
        <f t="shared" ca="1" si="458"/>
        <v>0</v>
      </c>
      <c r="M724" s="1848">
        <f t="shared" ca="1" si="458"/>
        <v>0</v>
      </c>
      <c r="N724" s="1848">
        <f t="shared" ca="1" si="458"/>
        <v>0</v>
      </c>
      <c r="O724" s="1848">
        <f t="shared" ca="1" si="458"/>
        <v>0</v>
      </c>
      <c r="P724" s="1848">
        <f t="shared" ca="1" si="458"/>
        <v>0</v>
      </c>
      <c r="Q724" s="1848">
        <f t="shared" ca="1" si="458"/>
        <v>0</v>
      </c>
      <c r="R724" s="1848">
        <f t="shared" ca="1" si="458"/>
        <v>0</v>
      </c>
      <c r="S724" s="1848">
        <f t="shared" ca="1" si="458"/>
        <v>0</v>
      </c>
      <c r="T724" s="1848">
        <f t="shared" ca="1" si="458"/>
        <v>0</v>
      </c>
      <c r="U724" s="1848">
        <f t="shared" ca="1" si="458"/>
        <v>0</v>
      </c>
      <c r="V724" s="1848">
        <f t="shared" ca="1" si="458"/>
        <v>0</v>
      </c>
      <c r="W724" s="1848">
        <f t="shared" ca="1" si="458"/>
        <v>0</v>
      </c>
      <c r="X724" s="1848">
        <f t="shared" ca="1" si="458"/>
        <v>0</v>
      </c>
      <c r="Y724" s="1848">
        <f t="shared" ca="1" si="458"/>
        <v>25.42</v>
      </c>
      <c r="Z724" s="1848">
        <f t="shared" ca="1" si="458"/>
        <v>19.38</v>
      </c>
      <c r="AA724" s="1848">
        <f t="shared" ca="1" si="458"/>
        <v>18.149999999999999</v>
      </c>
      <c r="AB724" s="1848">
        <f t="shared" ca="1" si="458"/>
        <v>15.25</v>
      </c>
      <c r="AC724" s="1848">
        <f t="shared" ca="1" si="458"/>
        <v>16.190000000000001</v>
      </c>
      <c r="AD724" s="1848">
        <f t="shared" ca="1" si="458"/>
        <v>12.26</v>
      </c>
      <c r="AE724" s="1848">
        <f t="shared" ca="1" si="458"/>
        <v>10.87</v>
      </c>
      <c r="AF724" s="1848">
        <f t="shared" ca="1" si="458"/>
        <v>10.8</v>
      </c>
      <c r="AG724" s="1848">
        <f t="shared" ca="1" si="458"/>
        <v>11.01</v>
      </c>
      <c r="AH724" s="1848">
        <f t="shared" ca="1" si="458"/>
        <v>10.81</v>
      </c>
      <c r="AI724" s="1848">
        <f t="shared" ca="1" si="458"/>
        <v>12.42</v>
      </c>
      <c r="AJ724" s="1848">
        <f t="shared" ca="1" si="458"/>
        <v>14.5</v>
      </c>
      <c r="AK724" s="1832">
        <f t="shared" ca="1" si="458"/>
        <v>0</v>
      </c>
      <c r="AL724" s="1832">
        <f t="shared" ca="1" si="458"/>
        <v>0</v>
      </c>
      <c r="AM724" s="1832">
        <f t="shared" ca="1" si="458"/>
        <v>0</v>
      </c>
      <c r="AN724" s="1832">
        <f t="shared" ca="1" si="458"/>
        <v>0</v>
      </c>
      <c r="AO724" s="1832">
        <f t="shared" ca="1" si="458"/>
        <v>0</v>
      </c>
      <c r="AP724" s="1832">
        <f t="shared" ca="1" si="458"/>
        <v>0</v>
      </c>
      <c r="AQ724" s="1832"/>
      <c r="AR724" s="2121">
        <f t="shared" ref="AR724:BK724" ca="1" si="459">IF(OR(MO.RealTimeStockPriceToggle=FALSE,VLOOKUP(MO.DataSourceName,MO_SPT_StockLow_Sources,COLUMN(),FALSE)="N/A"),VLOOKUP("Real-Time Off Source",MO_SPT_StockLow_Sources,COLUMN(),FALSE),VLOOKUP(MO.DataSourceName,MO_SPT_StockLow_Sources,COLUMN(),FALSE))</f>
        <v>0</v>
      </c>
      <c r="AS724" s="2121">
        <f t="shared" ca="1" si="459"/>
        <v>0</v>
      </c>
      <c r="AT724" s="1848">
        <f t="shared" ca="1" si="459"/>
        <v>0</v>
      </c>
      <c r="AU724" s="1848">
        <f t="shared" ca="1" si="459"/>
        <v>0</v>
      </c>
      <c r="AV724" s="1848">
        <f t="shared" ca="1" si="459"/>
        <v>0</v>
      </c>
      <c r="AW724" s="1848">
        <f t="shared" ca="1" si="459"/>
        <v>0</v>
      </c>
      <c r="AX724" s="1848">
        <f t="shared" ca="1" si="459"/>
        <v>0</v>
      </c>
      <c r="AY724" s="1848">
        <f t="shared" ca="1" si="459"/>
        <v>0</v>
      </c>
      <c r="AZ724" s="1848">
        <f t="shared" ca="1" si="459"/>
        <v>0</v>
      </c>
      <c r="BA724" s="1848">
        <f t="shared" ca="1" si="459"/>
        <v>0</v>
      </c>
      <c r="BB724" s="1848">
        <f t="shared" ca="1" si="459"/>
        <v>0</v>
      </c>
      <c r="BC724" s="1848">
        <f t="shared" ca="1" si="459"/>
        <v>0</v>
      </c>
      <c r="BD724" s="1848">
        <f t="shared" ca="1" si="459"/>
        <v>19.38</v>
      </c>
      <c r="BE724" s="1848">
        <f t="shared" ca="1" si="459"/>
        <v>12.26</v>
      </c>
      <c r="BF724" s="1848">
        <f t="shared" ca="1" si="459"/>
        <v>10.8</v>
      </c>
      <c r="BG724" s="1832">
        <f t="shared" ca="1" si="459"/>
        <v>0</v>
      </c>
      <c r="BH724" s="1832">
        <f t="shared" ca="1" si="459"/>
        <v>0</v>
      </c>
      <c r="BI724" s="1832">
        <f t="shared" ca="1" si="459"/>
        <v>0</v>
      </c>
      <c r="BJ724" s="1832">
        <f t="shared" ca="1" si="459"/>
        <v>0</v>
      </c>
      <c r="BK724" s="2122">
        <f t="shared" ca="1" si="459"/>
        <v>0</v>
      </c>
      <c r="BL724" s="1848"/>
    </row>
    <row r="725" spans="1:64" s="2008" customFormat="1" hidden="1" outlineLevel="1" x14ac:dyDescent="0.35">
      <c r="A725" s="2123" t="s">
        <v>1275</v>
      </c>
      <c r="B725" s="1832"/>
      <c r="C725" s="2124">
        <v>0</v>
      </c>
      <c r="D725" s="2124">
        <v>0</v>
      </c>
      <c r="E725" s="2124">
        <v>0</v>
      </c>
      <c r="F725" s="2124">
        <v>0</v>
      </c>
      <c r="G725" s="2124">
        <v>0</v>
      </c>
      <c r="H725" s="2124">
        <v>0</v>
      </c>
      <c r="I725" s="2124">
        <v>0</v>
      </c>
      <c r="J725" s="2124">
        <v>0</v>
      </c>
      <c r="K725" s="2124">
        <v>0</v>
      </c>
      <c r="L725" s="2124">
        <v>0</v>
      </c>
      <c r="M725" s="2124">
        <v>0</v>
      </c>
      <c r="N725" s="2124">
        <v>0</v>
      </c>
      <c r="O725" s="2124">
        <v>0</v>
      </c>
      <c r="P725" s="2124">
        <v>0</v>
      </c>
      <c r="Q725" s="2124">
        <v>0</v>
      </c>
      <c r="R725" s="2124">
        <v>0</v>
      </c>
      <c r="S725" s="2124">
        <v>0</v>
      </c>
      <c r="T725" s="2124">
        <v>0</v>
      </c>
      <c r="U725" s="2124">
        <v>0</v>
      </c>
      <c r="V725" s="2124">
        <v>0</v>
      </c>
      <c r="W725" s="2124">
        <v>0</v>
      </c>
      <c r="X725" s="2124">
        <v>0</v>
      </c>
      <c r="Y725" s="2124">
        <v>25.42</v>
      </c>
      <c r="Z725" s="2124">
        <v>19.38</v>
      </c>
      <c r="AA725" s="2124">
        <v>18.149999999999999</v>
      </c>
      <c r="AB725" s="2124">
        <v>15.25</v>
      </c>
      <c r="AC725" s="2124">
        <v>16.190000000000001</v>
      </c>
      <c r="AD725" s="2124">
        <v>12.26</v>
      </c>
      <c r="AE725" s="2124">
        <v>10.87</v>
      </c>
      <c r="AF725" s="2124">
        <v>10.8</v>
      </c>
      <c r="AG725" s="2124">
        <v>11.01</v>
      </c>
      <c r="AH725" s="2124">
        <v>10.81</v>
      </c>
      <c r="AI725" s="2124">
        <v>12.42</v>
      </c>
      <c r="AJ725" s="2124">
        <v>14.5</v>
      </c>
      <c r="AK725" s="1832"/>
      <c r="AL725" s="1832"/>
      <c r="AM725" s="1832"/>
      <c r="AN725" s="1832"/>
      <c r="AO725" s="1832"/>
      <c r="AP725" s="1832"/>
      <c r="AQ725" s="1832"/>
      <c r="AR725" s="2125">
        <v>0</v>
      </c>
      <c r="AS725" s="2125">
        <v>0</v>
      </c>
      <c r="AT725" s="2124">
        <v>0</v>
      </c>
      <c r="AU725" s="2124">
        <v>0</v>
      </c>
      <c r="AV725" s="2124">
        <v>0</v>
      </c>
      <c r="AW725" s="2124">
        <v>0</v>
      </c>
      <c r="AX725" s="2124">
        <v>0</v>
      </c>
      <c r="AY725" s="2124">
        <v>0</v>
      </c>
      <c r="AZ725" s="2124">
        <v>0</v>
      </c>
      <c r="BA725" s="2124">
        <v>0</v>
      </c>
      <c r="BB725" s="2124">
        <v>0</v>
      </c>
      <c r="BC725" s="2124">
        <v>0</v>
      </c>
      <c r="BD725" s="2124">
        <v>19.38</v>
      </c>
      <c r="BE725" s="2124">
        <v>12.26</v>
      </c>
      <c r="BF725" s="2124">
        <v>10.8</v>
      </c>
      <c r="BG725" s="1832"/>
      <c r="BH725" s="1832"/>
      <c r="BI725" s="1832"/>
      <c r="BJ725" s="1832"/>
      <c r="BK725" s="2122"/>
      <c r="BL725" s="1848"/>
    </row>
    <row r="726" spans="1:64" s="2008" customFormat="1" hidden="1" outlineLevel="1" x14ac:dyDescent="0.35">
      <c r="A726" s="2123" t="s">
        <v>1276</v>
      </c>
      <c r="B726" s="1832"/>
      <c r="C726" s="1848" t="str">
        <f ca="1">IFERROR(BDP(MO.Ticker.Bloomberg&amp;" Equity","INTERVAL_LOW","MARKET_DATA_OVERRIDE=PX_LAST","START_DATE_OVERRIDE",TEXT(INDEX(MO_SNA_FPStartDate,0,COLUMN()),"YYYYMMDD"),"END_DATE_OVERRIDE",TEXT(INDEX(MO_Common_QEndDate,0,COLUMN()),"YYYYMMDD")),"N/A")</f>
        <v>N/A</v>
      </c>
      <c r="D726" s="1848" t="str">
        <f ca="1">IFERROR(BDP(MO.Ticker.Bloomberg&amp;" Equity","INTERVAL_LOW","MARKET_DATA_OVERRIDE=PX_LAST","START_DATE_OVERRIDE",TEXT(INDEX(MO_SNA_FPStartDate,0,COLUMN()),"YYYYMMDD"),"END_DATE_OVERRIDE",TEXT(INDEX(MO_Common_QEndDate,0,COLUMN()),"YYYYMMDD")),"N/A")</f>
        <v>N/A</v>
      </c>
      <c r="E726" s="1848" t="str">
        <f ca="1">IFERROR(BDP(MO.Ticker.Bloomberg&amp;" Equity","INTERVAL_LOW","MARKET_DATA_OVERRIDE=PX_LAST","START_DATE_OVERRIDE",TEXT(INDEX(MO_SNA_FPStartDate,0,COLUMN()),"YYYYMMDD"),"END_DATE_OVERRIDE",TEXT(INDEX(MO_Common_QEndDate,0,COLUMN()),"YYYYMMDD")),"N/A")</f>
        <v>N/A</v>
      </c>
      <c r="F726" s="1848" t="str">
        <f ca="1">IFERROR(BDP(MO.Ticker.Bloomberg&amp;" Equity","INTERVAL_LOW","MARKET_DATA_OVERRIDE=PX_LAST","START_DATE_OVERRIDE",TEXT(INDEX(MO_SNA_FPStartDate,0,COLUMN()),"YYYYMMDD"),"END_DATE_OVERRIDE",TEXT(INDEX(MO_Common_QEndDate,0,COLUMN()),"YYYYMMDD")),"N/A")</f>
        <v>N/A</v>
      </c>
      <c r="G726" s="1848" t="str">
        <f ca="1">IFERROR(BDP(MO.Ticker.Bloomberg&amp;" Equity","INTERVAL_LOW","MARKET_DATA_OVERRIDE=PX_LAST","START_DATE_OVERRIDE",TEXT(INDEX(MO_SNA_FPStartDate,0,COLUMN()),"YYYYMMDD"),"END_DATE_OVERRIDE",TEXT(INDEX(MO_Common_QEndDate,0,COLUMN()),"YYYYMMDD")),"N/A")</f>
        <v>N/A</v>
      </c>
      <c r="H726" s="1848" t="str">
        <f ca="1">IFERROR(BDP(MO.Ticker.Bloomberg&amp;" Equity","INTERVAL_LOW","MARKET_DATA_OVERRIDE=PX_LAST","START_DATE_OVERRIDE",TEXT(INDEX(MO_SNA_FPStartDate,0,COLUMN()),"YYYYMMDD"),"END_DATE_OVERRIDE",TEXT(INDEX(MO_Common_QEndDate,0,COLUMN()),"YYYYMMDD")),"N/A")</f>
        <v>N/A</v>
      </c>
      <c r="I726" s="1848" t="str">
        <f ca="1">IFERROR(BDP(MO.Ticker.Bloomberg&amp;" Equity","INTERVAL_LOW","MARKET_DATA_OVERRIDE=PX_LAST","START_DATE_OVERRIDE",TEXT(INDEX(MO_SNA_FPStartDate,0,COLUMN()),"YYYYMMDD"),"END_DATE_OVERRIDE",TEXT(INDEX(MO_Common_QEndDate,0,COLUMN()),"YYYYMMDD")),"N/A")</f>
        <v>N/A</v>
      </c>
      <c r="J726" s="1848" t="str">
        <f ca="1">IFERROR(BDP(MO.Ticker.Bloomberg&amp;" Equity","INTERVAL_LOW","MARKET_DATA_OVERRIDE=PX_LAST","START_DATE_OVERRIDE",TEXT(INDEX(MO_SNA_FPStartDate,0,COLUMN()),"YYYYMMDD"),"END_DATE_OVERRIDE",TEXT(INDEX(MO_Common_QEndDate,0,COLUMN()),"YYYYMMDD")),"N/A")</f>
        <v>N/A</v>
      </c>
      <c r="K726" s="1848" t="str">
        <f ca="1">IFERROR(BDP(MO.Ticker.Bloomberg&amp;" Equity","INTERVAL_LOW","MARKET_DATA_OVERRIDE=PX_LAST","START_DATE_OVERRIDE",TEXT(INDEX(MO_SNA_FPStartDate,0,COLUMN()),"YYYYMMDD"),"END_DATE_OVERRIDE",TEXT(INDEX(MO_Common_QEndDate,0,COLUMN()),"YYYYMMDD")),"N/A")</f>
        <v>N/A</v>
      </c>
      <c r="L726" s="1848" t="str">
        <f ca="1">IFERROR(BDP(MO.Ticker.Bloomberg&amp;" Equity","INTERVAL_LOW","MARKET_DATA_OVERRIDE=PX_LAST","START_DATE_OVERRIDE",TEXT(INDEX(MO_SNA_FPStartDate,0,COLUMN()),"YYYYMMDD"),"END_DATE_OVERRIDE",TEXT(INDEX(MO_Common_QEndDate,0,COLUMN()),"YYYYMMDD")),"N/A")</f>
        <v>N/A</v>
      </c>
      <c r="M726" s="1848" t="str">
        <f ca="1">IFERROR(BDP(MO.Ticker.Bloomberg&amp;" Equity","INTERVAL_LOW","MARKET_DATA_OVERRIDE=PX_LAST","START_DATE_OVERRIDE",TEXT(INDEX(MO_SNA_FPStartDate,0,COLUMN()),"YYYYMMDD"),"END_DATE_OVERRIDE",TEXT(INDEX(MO_Common_QEndDate,0,COLUMN()),"YYYYMMDD")),"N/A")</f>
        <v>N/A</v>
      </c>
      <c r="N726" s="1848" t="str">
        <f ca="1">IFERROR(BDP(MO.Ticker.Bloomberg&amp;" Equity","INTERVAL_LOW","MARKET_DATA_OVERRIDE=PX_LAST","START_DATE_OVERRIDE",TEXT(INDEX(MO_SNA_FPStartDate,0,COLUMN()),"YYYYMMDD"),"END_DATE_OVERRIDE",TEXT(INDEX(MO_Common_QEndDate,0,COLUMN()),"YYYYMMDD")),"N/A")</f>
        <v>N/A</v>
      </c>
      <c r="O726" s="1848" t="str">
        <f ca="1">IFERROR(BDP(MO.Ticker.Bloomberg&amp;" Equity","INTERVAL_LOW","MARKET_DATA_OVERRIDE=PX_LAST","START_DATE_OVERRIDE",TEXT(INDEX(MO_SNA_FPStartDate,0,COLUMN()),"YYYYMMDD"),"END_DATE_OVERRIDE",TEXT(INDEX(MO_Common_QEndDate,0,COLUMN()),"YYYYMMDD")),"N/A")</f>
        <v>N/A</v>
      </c>
      <c r="P726" s="1848" t="str">
        <f ca="1">IFERROR(BDP(MO.Ticker.Bloomberg&amp;" Equity","INTERVAL_LOW","MARKET_DATA_OVERRIDE=PX_LAST","START_DATE_OVERRIDE",TEXT(INDEX(MO_SNA_FPStartDate,0,COLUMN()),"YYYYMMDD"),"END_DATE_OVERRIDE",TEXT(INDEX(MO_Common_QEndDate,0,COLUMN()),"YYYYMMDD")),"N/A")</f>
        <v>N/A</v>
      </c>
      <c r="Q726" s="1848" t="str">
        <f ca="1">IFERROR(BDP(MO.Ticker.Bloomberg&amp;" Equity","INTERVAL_LOW","MARKET_DATA_OVERRIDE=PX_LAST","START_DATE_OVERRIDE",TEXT(INDEX(MO_SNA_FPStartDate,0,COLUMN()),"YYYYMMDD"),"END_DATE_OVERRIDE",TEXT(INDEX(MO_Common_QEndDate,0,COLUMN()),"YYYYMMDD")),"N/A")</f>
        <v>N/A</v>
      </c>
      <c r="R726" s="1848" t="str">
        <f ca="1">IFERROR(BDP(MO.Ticker.Bloomberg&amp;" Equity","INTERVAL_LOW","MARKET_DATA_OVERRIDE=PX_LAST","START_DATE_OVERRIDE",TEXT(INDEX(MO_SNA_FPStartDate,0,COLUMN()),"YYYYMMDD"),"END_DATE_OVERRIDE",TEXT(INDEX(MO_Common_QEndDate,0,COLUMN()),"YYYYMMDD")),"N/A")</f>
        <v>N/A</v>
      </c>
      <c r="S726" s="1848" t="str">
        <f ca="1">IFERROR(BDP(MO.Ticker.Bloomberg&amp;" Equity","INTERVAL_LOW","MARKET_DATA_OVERRIDE=PX_LAST","START_DATE_OVERRIDE",TEXT(INDEX(MO_SNA_FPStartDate,0,COLUMN()),"YYYYMMDD"),"END_DATE_OVERRIDE",TEXT(INDEX(MO_Common_QEndDate,0,COLUMN()),"YYYYMMDD")),"N/A")</f>
        <v>N/A</v>
      </c>
      <c r="T726" s="1848" t="str">
        <f ca="1">IFERROR(BDP(MO.Ticker.Bloomberg&amp;" Equity","INTERVAL_LOW","MARKET_DATA_OVERRIDE=PX_LAST","START_DATE_OVERRIDE",TEXT(INDEX(MO_SNA_FPStartDate,0,COLUMN()),"YYYYMMDD"),"END_DATE_OVERRIDE",TEXT(INDEX(MO_Common_QEndDate,0,COLUMN()),"YYYYMMDD")),"N/A")</f>
        <v>N/A</v>
      </c>
      <c r="U726" s="1848" t="str">
        <f ca="1">IFERROR(BDP(MO.Ticker.Bloomberg&amp;" Equity","INTERVAL_LOW","MARKET_DATA_OVERRIDE=PX_LAST","START_DATE_OVERRIDE",TEXT(INDEX(MO_SNA_FPStartDate,0,COLUMN()),"YYYYMMDD"),"END_DATE_OVERRIDE",TEXT(INDEX(MO_Common_QEndDate,0,COLUMN()),"YYYYMMDD")),"N/A")</f>
        <v>N/A</v>
      </c>
      <c r="V726" s="1848" t="str">
        <f ca="1">IFERROR(BDP(MO.Ticker.Bloomberg&amp;" Equity","INTERVAL_LOW","MARKET_DATA_OVERRIDE=PX_LAST","START_DATE_OVERRIDE",TEXT(INDEX(MO_SNA_FPStartDate,0,COLUMN()),"YYYYMMDD"),"END_DATE_OVERRIDE",TEXT(INDEX(MO_Common_QEndDate,0,COLUMN()),"YYYYMMDD")),"N/A")</f>
        <v>N/A</v>
      </c>
      <c r="W726" s="1848" t="str">
        <f ca="1">IFERROR(BDP(MO.Ticker.Bloomberg&amp;" Equity","INTERVAL_LOW","MARKET_DATA_OVERRIDE=PX_LAST","START_DATE_OVERRIDE",TEXT(INDEX(MO_SNA_FPStartDate,0,COLUMN()),"YYYYMMDD"),"END_DATE_OVERRIDE",TEXT(INDEX(MO_Common_QEndDate,0,COLUMN()),"YYYYMMDD")),"N/A")</f>
        <v>N/A</v>
      </c>
      <c r="X726" s="1848" t="str">
        <f ca="1">IFERROR(BDP(MO.Ticker.Bloomberg&amp;" Equity","INTERVAL_LOW","MARKET_DATA_OVERRIDE=PX_LAST","START_DATE_OVERRIDE",TEXT(INDEX(MO_SNA_FPStartDate,0,COLUMN()),"YYYYMMDD"),"END_DATE_OVERRIDE",TEXT(INDEX(MO_Common_QEndDate,0,COLUMN()),"YYYYMMDD")),"N/A")</f>
        <v>N/A</v>
      </c>
      <c r="Y726" s="1848" t="str">
        <f ca="1">IFERROR(BDP(MO.Ticker.Bloomberg&amp;" Equity","INTERVAL_LOW","MARKET_DATA_OVERRIDE=PX_LAST","START_DATE_OVERRIDE",TEXT(INDEX(MO_SNA_FPStartDate,0,COLUMN()),"YYYYMMDD"),"END_DATE_OVERRIDE",TEXT(INDEX(MO_Common_QEndDate,0,COLUMN()),"YYYYMMDD")),"N/A")</f>
        <v>N/A</v>
      </c>
      <c r="Z726" s="1848" t="str">
        <f ca="1">IFERROR(BDP(MO.Ticker.Bloomberg&amp;" Equity","INTERVAL_LOW","MARKET_DATA_OVERRIDE=PX_LAST","START_DATE_OVERRIDE",TEXT(INDEX(MO_SNA_FPStartDate,0,COLUMN()),"YYYYMMDD"),"END_DATE_OVERRIDE",TEXT(INDEX(MO_Common_QEndDate,0,COLUMN()),"YYYYMMDD")),"N/A")</f>
        <v>N/A</v>
      </c>
      <c r="AA726" s="1848" t="str">
        <f ca="1">IFERROR(BDP(MO.Ticker.Bloomberg&amp;" Equity","INTERVAL_LOW","MARKET_DATA_OVERRIDE=PX_LAST","START_DATE_OVERRIDE",TEXT(INDEX(MO_SNA_FPStartDate,0,COLUMN()),"YYYYMMDD"),"END_DATE_OVERRIDE",TEXT(INDEX(MO_Common_QEndDate,0,COLUMN()),"YYYYMMDD")),"N/A")</f>
        <v>N/A</v>
      </c>
      <c r="AB726" s="1848" t="str">
        <f ca="1">IFERROR(BDP(MO.Ticker.Bloomberg&amp;" Equity","INTERVAL_LOW","MARKET_DATA_OVERRIDE=PX_LAST","START_DATE_OVERRIDE",TEXT(INDEX(MO_SNA_FPStartDate,0,COLUMN()),"YYYYMMDD"),"END_DATE_OVERRIDE",TEXT(INDEX(MO_Common_QEndDate,0,COLUMN()),"YYYYMMDD")),"N/A")</f>
        <v>N/A</v>
      </c>
      <c r="AC726" s="1848" t="str">
        <f ca="1">IFERROR(BDP(MO.Ticker.Bloomberg&amp;" Equity","INTERVAL_LOW","MARKET_DATA_OVERRIDE=PX_LAST","START_DATE_OVERRIDE",TEXT(INDEX(MO_SNA_FPStartDate,0,COLUMN()),"YYYYMMDD"),"END_DATE_OVERRIDE",TEXT(INDEX(MO_Common_QEndDate,0,COLUMN()),"YYYYMMDD")),"N/A")</f>
        <v>N/A</v>
      </c>
      <c r="AD726" s="1848" t="str">
        <f ca="1">IFERROR(BDP(MO.Ticker.Bloomberg&amp;" Equity","INTERVAL_LOW","MARKET_DATA_OVERRIDE=PX_LAST","START_DATE_OVERRIDE",TEXT(INDEX(MO_SNA_FPStartDate,0,COLUMN()),"YYYYMMDD"),"END_DATE_OVERRIDE",TEXT(INDEX(MO_Common_QEndDate,0,COLUMN()),"YYYYMMDD")),"N/A")</f>
        <v>N/A</v>
      </c>
      <c r="AE726" s="1848" t="str">
        <f ca="1">IFERROR(BDP(MO.Ticker.Bloomberg&amp;" Equity","INTERVAL_LOW","MARKET_DATA_OVERRIDE=PX_LAST","START_DATE_OVERRIDE",TEXT(INDEX(MO_SNA_FPStartDate,0,COLUMN()),"YYYYMMDD"),"END_DATE_OVERRIDE",TEXT(INDEX(MO_Common_QEndDate,0,COLUMN()),"YYYYMMDD")),"N/A")</f>
        <v>N/A</v>
      </c>
      <c r="AF726" s="1848" t="str">
        <f ca="1">IFERROR(BDP(MO.Ticker.Bloomberg&amp;" Equity","INTERVAL_LOW","MARKET_DATA_OVERRIDE=PX_LAST","START_DATE_OVERRIDE",TEXT(INDEX(MO_SNA_FPStartDate,0,COLUMN()),"YYYYMMDD"),"END_DATE_OVERRIDE",TEXT(INDEX(MO_Common_QEndDate,0,COLUMN()),"YYYYMMDD")),"N/A")</f>
        <v>N/A</v>
      </c>
      <c r="AG726" s="1848" t="str">
        <f ca="1">IFERROR(BDP(MO.Ticker.Bloomberg&amp;" Equity","INTERVAL_LOW","MARKET_DATA_OVERRIDE=PX_LAST","START_DATE_OVERRIDE",TEXT(INDEX(MO_SNA_FPStartDate,0,COLUMN()),"YYYYMMDD"),"END_DATE_OVERRIDE",TEXT(INDEX(MO_Common_QEndDate,0,COLUMN()),"YYYYMMDD")),"N/A")</f>
        <v>N/A</v>
      </c>
      <c r="AH726" s="1848" t="str">
        <f ca="1">IFERROR(BDP(MO.Ticker.Bloomberg&amp;" Equity","INTERVAL_LOW","MARKET_DATA_OVERRIDE=PX_LAST","START_DATE_OVERRIDE",TEXT(INDEX(MO_SNA_FPStartDate,0,COLUMN()),"YYYYMMDD"),"END_DATE_OVERRIDE",TEXT(INDEX(MO_Common_QEndDate,0,COLUMN()),"YYYYMMDD")),"N/A")</f>
        <v>N/A</v>
      </c>
      <c r="AI726" s="1848" t="str">
        <f ca="1">IFERROR(BDP(MO.Ticker.Bloomberg&amp;" Equity","INTERVAL_LOW","MARKET_DATA_OVERRIDE=PX_LAST","START_DATE_OVERRIDE",TEXT(INDEX(MO_SNA_FPStartDate,0,COLUMN()),"YYYYMMDD"),"END_DATE_OVERRIDE",TEXT(INDEX(MO_Common_QEndDate,0,COLUMN()),"YYYYMMDD")),"N/A")</f>
        <v>N/A</v>
      </c>
      <c r="AJ726" s="1848" t="str">
        <f ca="1">IFERROR(BDP(MO.Ticker.Bloomberg&amp;" Equity","INTERVAL_LOW","MARKET_DATA_OVERRIDE=PX_LAST","START_DATE_OVERRIDE",TEXT(INDEX(MO_SNA_FPStartDate,0,COLUMN()),"YYYYMMDD"),"END_DATE_OVERRIDE",TEXT(INDEX(MO_Common_QEndDate,0,COLUMN()),"YYYYMMDD")),"N/A")</f>
        <v>N/A</v>
      </c>
      <c r="AK726" s="1832" t="str">
        <f ca="1">IFERROR(BDP(MO.Ticker.Bloomberg&amp;" Equity","INTERVAL_LOW","MARKET_DATA_OVERRIDE=PX_LAST","START_DATE_OVERRIDE",TEXT(INDEX(MO_SNA_FPStartDate,0,COLUMN()),"YYYYMMDD"),"END_DATE_OVERRIDE",TEXT(INDEX(MO_Common_QEndDate,0,COLUMN()),"YYYYMMDD")),"N/A")</f>
        <v>N/A</v>
      </c>
      <c r="AL726" s="1832" t="str">
        <f ca="1">IFERROR(BDP(MO.Ticker.Bloomberg&amp;" Equity","INTERVAL_LOW","MARKET_DATA_OVERRIDE=PX_LAST","START_DATE_OVERRIDE",TEXT(INDEX(MO_SNA_FPStartDate,0,COLUMN()),"YYYYMMDD"),"END_DATE_OVERRIDE",TEXT(INDEX(MO_Common_QEndDate,0,COLUMN()),"YYYYMMDD")),"N/A")</f>
        <v>N/A</v>
      </c>
      <c r="AM726" s="1832" t="str">
        <f ca="1">IFERROR(BDP(MO.Ticker.Bloomberg&amp;" Equity","INTERVAL_LOW","MARKET_DATA_OVERRIDE=PX_LAST","START_DATE_OVERRIDE",TEXT(INDEX(MO_SNA_FPStartDate,0,COLUMN()),"YYYYMMDD"),"END_DATE_OVERRIDE",TEXT(INDEX(MO_Common_QEndDate,0,COLUMN()),"YYYYMMDD")),"N/A")</f>
        <v>N/A</v>
      </c>
      <c r="AN726" s="1832" t="str">
        <f ca="1">IFERROR(BDP(MO.Ticker.Bloomberg&amp;" Equity","INTERVAL_LOW","MARKET_DATA_OVERRIDE=PX_LAST","START_DATE_OVERRIDE",TEXT(INDEX(MO_SNA_FPStartDate,0,COLUMN()),"YYYYMMDD"),"END_DATE_OVERRIDE",TEXT(INDEX(MO_Common_QEndDate,0,COLUMN()),"YYYYMMDD")),"N/A")</f>
        <v>N/A</v>
      </c>
      <c r="AO726" s="1832" t="str">
        <f ca="1">IFERROR(BDP(MO.Ticker.Bloomberg&amp;" Equity","INTERVAL_LOW","MARKET_DATA_OVERRIDE=PX_LAST","START_DATE_OVERRIDE",TEXT(INDEX(MO_SNA_FPStartDate,0,COLUMN()),"YYYYMMDD"),"END_DATE_OVERRIDE",TEXT(INDEX(MO_Common_QEndDate,0,COLUMN()),"YYYYMMDD")),"N/A")</f>
        <v>N/A</v>
      </c>
      <c r="AP726" s="1832" t="str">
        <f ca="1">IFERROR(BDP(MO.Ticker.Bloomberg&amp;" Equity","INTERVAL_LOW","MARKET_DATA_OVERRIDE=PX_LAST","START_DATE_OVERRIDE",TEXT(INDEX(MO_SNA_FPStartDate,0,COLUMN()),"YYYYMMDD"),"END_DATE_OVERRIDE",TEXT(INDEX(MO_Common_QEndDate,0,COLUMN()),"YYYYMMDD")),"N/A")</f>
        <v>N/A</v>
      </c>
      <c r="AQ726" s="1832"/>
      <c r="AR726" s="2121" t="str">
        <f ca="1">IFERROR(BDP(MO.Ticker.Bloomberg&amp;" Equity","INTERVAL_LOW","MARKET_DATA_OVERRIDE=PX_LAST","START_DATE_OVERRIDE",TEXT(INDEX(MO_SNA_FPStartDate,0,COLUMN()),"YYYYMMDD"),"END_DATE_OVERRIDE",TEXT(INDEX(MO_Common_QEndDate,0,COLUMN()),"YYYYMMDD")),"N/A")</f>
        <v>N/A</v>
      </c>
      <c r="AS726" s="2121" t="str">
        <f ca="1">IFERROR(BDP(MO.Ticker.Bloomberg&amp;" Equity","INTERVAL_LOW","MARKET_DATA_OVERRIDE=PX_LAST","START_DATE_OVERRIDE",TEXT(INDEX(MO_SNA_FPStartDate,0,COLUMN()),"YYYYMMDD"),"END_DATE_OVERRIDE",TEXT(INDEX(MO_Common_QEndDate,0,COLUMN()),"YYYYMMDD")),"N/A")</f>
        <v>N/A</v>
      </c>
      <c r="AT726" s="1848" t="str">
        <f ca="1">IFERROR(BDP(MO.Ticker.Bloomberg&amp;" Equity","INTERVAL_LOW","MARKET_DATA_OVERRIDE=PX_LAST","START_DATE_OVERRIDE",TEXT(INDEX(MO_SNA_FPStartDate,0,COLUMN()),"YYYYMMDD"),"END_DATE_OVERRIDE",TEXT(INDEX(MO_Common_QEndDate,0,COLUMN()),"YYYYMMDD")),"N/A")</f>
        <v>N/A</v>
      </c>
      <c r="AU726" s="1848" t="str">
        <f ca="1">IFERROR(BDP(MO.Ticker.Bloomberg&amp;" Equity","INTERVAL_LOW","MARKET_DATA_OVERRIDE=PX_LAST","START_DATE_OVERRIDE",TEXT(INDEX(MO_SNA_FPStartDate,0,COLUMN()),"YYYYMMDD"),"END_DATE_OVERRIDE",TEXT(INDEX(MO_Common_QEndDate,0,COLUMN()),"YYYYMMDD")),"N/A")</f>
        <v>N/A</v>
      </c>
      <c r="AV726" s="1848" t="str">
        <f ca="1">IFERROR(BDP(MO.Ticker.Bloomberg&amp;" Equity","INTERVAL_LOW","MARKET_DATA_OVERRIDE=PX_LAST","START_DATE_OVERRIDE",TEXT(INDEX(MO_SNA_FPStartDate,0,COLUMN()),"YYYYMMDD"),"END_DATE_OVERRIDE",TEXT(INDEX(MO_Common_QEndDate,0,COLUMN()),"YYYYMMDD")),"N/A")</f>
        <v>N/A</v>
      </c>
      <c r="AW726" s="1848" t="str">
        <f ca="1">IFERROR(BDP(MO.Ticker.Bloomberg&amp;" Equity","INTERVAL_LOW","MARKET_DATA_OVERRIDE=PX_LAST","START_DATE_OVERRIDE",TEXT(INDEX(MO_SNA_FPStartDate,0,COLUMN()),"YYYYMMDD"),"END_DATE_OVERRIDE",TEXT(INDEX(MO_Common_QEndDate,0,COLUMN()),"YYYYMMDD")),"N/A")</f>
        <v>N/A</v>
      </c>
      <c r="AX726" s="1848" t="str">
        <f ca="1">IFERROR(BDP(MO.Ticker.Bloomberg&amp;" Equity","INTERVAL_LOW","MARKET_DATA_OVERRIDE=PX_LAST","START_DATE_OVERRIDE",TEXT(INDEX(MO_SNA_FPStartDate,0,COLUMN()),"YYYYMMDD"),"END_DATE_OVERRIDE",TEXT(INDEX(MO_Common_QEndDate,0,COLUMN()),"YYYYMMDD")),"N/A")</f>
        <v>N/A</v>
      </c>
      <c r="AY726" s="1848" t="str">
        <f ca="1">IFERROR(BDP(MO.Ticker.Bloomberg&amp;" Equity","INTERVAL_LOW","MARKET_DATA_OVERRIDE=PX_LAST","START_DATE_OVERRIDE",TEXT(INDEX(MO_SNA_FPStartDate,0,COLUMN()),"YYYYMMDD"),"END_DATE_OVERRIDE",TEXT(INDEX(MO_Common_QEndDate,0,COLUMN()),"YYYYMMDD")),"N/A")</f>
        <v>N/A</v>
      </c>
      <c r="AZ726" s="1848" t="str">
        <f ca="1">IFERROR(BDP(MO.Ticker.Bloomberg&amp;" Equity","INTERVAL_LOW","MARKET_DATA_OVERRIDE=PX_LAST","START_DATE_OVERRIDE",TEXT(INDEX(MO_SNA_FPStartDate,0,COLUMN()),"YYYYMMDD"),"END_DATE_OVERRIDE",TEXT(INDEX(MO_Common_QEndDate,0,COLUMN()),"YYYYMMDD")),"N/A")</f>
        <v>N/A</v>
      </c>
      <c r="BA726" s="1848" t="str">
        <f ca="1">IFERROR(BDP(MO.Ticker.Bloomberg&amp;" Equity","INTERVAL_LOW","MARKET_DATA_OVERRIDE=PX_LAST","START_DATE_OVERRIDE",TEXT(INDEX(MO_SNA_FPStartDate,0,COLUMN()),"YYYYMMDD"),"END_DATE_OVERRIDE",TEXT(INDEX(MO_Common_QEndDate,0,COLUMN()),"YYYYMMDD")),"N/A")</f>
        <v>N/A</v>
      </c>
      <c r="BB726" s="1848" t="str">
        <f ca="1">IFERROR(BDP(MO.Ticker.Bloomberg&amp;" Equity","INTERVAL_LOW","MARKET_DATA_OVERRIDE=PX_LAST","START_DATE_OVERRIDE",TEXT(INDEX(MO_SNA_FPStartDate,0,COLUMN()),"YYYYMMDD"),"END_DATE_OVERRIDE",TEXT(INDEX(MO_Common_QEndDate,0,COLUMN()),"YYYYMMDD")),"N/A")</f>
        <v>N/A</v>
      </c>
      <c r="BC726" s="1848" t="str">
        <f ca="1">IFERROR(BDP(MO.Ticker.Bloomberg&amp;" Equity","INTERVAL_LOW","MARKET_DATA_OVERRIDE=PX_LAST","START_DATE_OVERRIDE",TEXT(INDEX(MO_SNA_FPStartDate,0,COLUMN()),"YYYYMMDD"),"END_DATE_OVERRIDE",TEXT(INDEX(MO_Common_QEndDate,0,COLUMN()),"YYYYMMDD")),"N/A")</f>
        <v>N/A</v>
      </c>
      <c r="BD726" s="1848" t="str">
        <f ca="1">IFERROR(BDP(MO.Ticker.Bloomberg&amp;" Equity","INTERVAL_LOW","MARKET_DATA_OVERRIDE=PX_LAST","START_DATE_OVERRIDE",TEXT(INDEX(MO_SNA_FPStartDate,0,COLUMN()),"YYYYMMDD"),"END_DATE_OVERRIDE",TEXT(INDEX(MO_Common_QEndDate,0,COLUMN()),"YYYYMMDD")),"N/A")</f>
        <v>N/A</v>
      </c>
      <c r="BE726" s="1848" t="str">
        <f ca="1">IFERROR(BDP(MO.Ticker.Bloomberg&amp;" Equity","INTERVAL_LOW","MARKET_DATA_OVERRIDE=PX_LAST","START_DATE_OVERRIDE",TEXT(INDEX(MO_SNA_FPStartDate,0,COLUMN()),"YYYYMMDD"),"END_DATE_OVERRIDE",TEXT(INDEX(MO_Common_QEndDate,0,COLUMN()),"YYYYMMDD")),"N/A")</f>
        <v>N/A</v>
      </c>
      <c r="BF726" s="1848" t="str">
        <f ca="1">IFERROR(BDP(MO.Ticker.Bloomberg&amp;" Equity","INTERVAL_LOW","MARKET_DATA_OVERRIDE=PX_LAST","START_DATE_OVERRIDE",TEXT(INDEX(MO_SNA_FPStartDate,0,COLUMN()),"YYYYMMDD"),"END_DATE_OVERRIDE",TEXT(INDEX(MO_Common_QEndDate,0,COLUMN()),"YYYYMMDD")),"N/A")</f>
        <v>N/A</v>
      </c>
      <c r="BG726" s="1832" t="str">
        <f ca="1">IFERROR(BDP(MO.Ticker.Bloomberg&amp;" Equity","INTERVAL_LOW","MARKET_DATA_OVERRIDE=PX_LAST","START_DATE_OVERRIDE",TEXT(INDEX(MO_SNA_FPStartDate,0,COLUMN()),"YYYYMMDD"),"END_DATE_OVERRIDE",TEXT(INDEX(MO_Common_QEndDate,0,COLUMN()),"YYYYMMDD")),"N/A")</f>
        <v>N/A</v>
      </c>
      <c r="BH726" s="1832" t="str">
        <f ca="1">IFERROR(BDP(MO.Ticker.Bloomberg&amp;" Equity","INTERVAL_LOW","MARKET_DATA_OVERRIDE=PX_LAST","START_DATE_OVERRIDE",TEXT(INDEX(MO_SNA_FPStartDate,0,COLUMN()),"YYYYMMDD"),"END_DATE_OVERRIDE",TEXT(INDEX(MO_Common_QEndDate,0,COLUMN()),"YYYYMMDD")),"N/A")</f>
        <v>N/A</v>
      </c>
      <c r="BI726" s="1832" t="str">
        <f ca="1">IFERROR(BDP(MO.Ticker.Bloomberg&amp;" Equity","INTERVAL_LOW","MARKET_DATA_OVERRIDE=PX_LAST","START_DATE_OVERRIDE",TEXT(INDEX(MO_SNA_FPStartDate,0,COLUMN()),"YYYYMMDD"),"END_DATE_OVERRIDE",TEXT(INDEX(MO_Common_QEndDate,0,COLUMN()),"YYYYMMDD")),"N/A")</f>
        <v>N/A</v>
      </c>
      <c r="BJ726" s="1832" t="str">
        <f ca="1">IFERROR(BDP(MO.Ticker.Bloomberg&amp;" Equity","INTERVAL_LOW","MARKET_DATA_OVERRIDE=PX_LAST","START_DATE_OVERRIDE",TEXT(INDEX(MO_SNA_FPStartDate,0,COLUMN()),"YYYYMMDD"),"END_DATE_OVERRIDE",TEXT(INDEX(MO_Common_QEndDate,0,COLUMN()),"YYYYMMDD")),"N/A")</f>
        <v>N/A</v>
      </c>
      <c r="BK726" s="2122" t="str">
        <f ca="1">IFERROR(BDP(MO.Ticker.Bloomberg&amp;" Equity","INTERVAL_LOW","MARKET_DATA_OVERRIDE=PX_LAST","START_DATE_OVERRIDE",TEXT(INDEX(MO_SNA_FPStartDate,0,COLUMN()),"YYYYMMDD"),"END_DATE_OVERRIDE",TEXT(INDEX(MO_Common_QEndDate,0,COLUMN()),"YYYYMMDD")),"N/A")</f>
        <v>N/A</v>
      </c>
      <c r="BL726" s="1848"/>
    </row>
    <row r="727" spans="1:64" s="2008" customFormat="1" hidden="1" outlineLevel="1" x14ac:dyDescent="0.35">
      <c r="A727" s="2123" t="s">
        <v>1277</v>
      </c>
      <c r="B727" s="1832"/>
      <c r="C727" s="1848" t="str">
        <f>IFERROR(_xll.ciqfunctions.udf.CIQLO(MO.Ticker.CapIQ,"IQ_LASTSALEPRICE",INDEX(MO_SNA_FPStartDate,0,COLUMN()),INDEX(MO_Common_QEndDate,0,COLUMN())),"N/A")</f>
        <v>(Invalid Identifier)</v>
      </c>
      <c r="D727" s="1848" t="str">
        <f>IFERROR(_xll.ciqfunctions.udf.CIQLO(MO.Ticker.CapIQ,"IQ_LASTSALEPRICE",INDEX(MO_SNA_FPStartDate,0,COLUMN()),INDEX(MO_Common_QEndDate,0,COLUMN())),"N/A")</f>
        <v>(Invalid Identifier)</v>
      </c>
      <c r="E727" s="1848" t="str">
        <f>IFERROR(_xll.ciqfunctions.udf.CIQLO(MO.Ticker.CapIQ,"IQ_LASTSALEPRICE",INDEX(MO_SNA_FPStartDate,0,COLUMN()),INDEX(MO_Common_QEndDate,0,COLUMN())),"N/A")</f>
        <v>(Invalid Identifier)</v>
      </c>
      <c r="F727" s="1848" t="str">
        <f>IFERROR(_xll.ciqfunctions.udf.CIQLO(MO.Ticker.CapIQ,"IQ_LASTSALEPRICE",INDEX(MO_SNA_FPStartDate,0,COLUMN()),INDEX(MO_Common_QEndDate,0,COLUMN())),"N/A")</f>
        <v>(Invalid Identifier)</v>
      </c>
      <c r="G727" s="1848" t="str">
        <f>IFERROR(_xll.ciqfunctions.udf.CIQLO(MO.Ticker.CapIQ,"IQ_LASTSALEPRICE",INDEX(MO_SNA_FPStartDate,0,COLUMN()),INDEX(MO_Common_QEndDate,0,COLUMN())),"N/A")</f>
        <v>(Invalid Identifier)</v>
      </c>
      <c r="H727" s="1848" t="str">
        <f>IFERROR(_xll.ciqfunctions.udf.CIQLO(MO.Ticker.CapIQ,"IQ_LASTSALEPRICE",INDEX(MO_SNA_FPStartDate,0,COLUMN()),INDEX(MO_Common_QEndDate,0,COLUMN())),"N/A")</f>
        <v>(Invalid Identifier)</v>
      </c>
      <c r="I727" s="1848" t="str">
        <f>IFERROR(_xll.ciqfunctions.udf.CIQLO(MO.Ticker.CapIQ,"IQ_LASTSALEPRICE",INDEX(MO_SNA_FPStartDate,0,COLUMN()),INDEX(MO_Common_QEndDate,0,COLUMN())),"N/A")</f>
        <v>(Invalid Identifier)</v>
      </c>
      <c r="J727" s="1848" t="str">
        <f>IFERROR(_xll.ciqfunctions.udf.CIQLO(MO.Ticker.CapIQ,"IQ_LASTSALEPRICE",INDEX(MO_SNA_FPStartDate,0,COLUMN()),INDEX(MO_Common_QEndDate,0,COLUMN())),"N/A")</f>
        <v>(Invalid Identifier)</v>
      </c>
      <c r="K727" s="1848" t="str">
        <f>IFERROR(_xll.ciqfunctions.udf.CIQLO(MO.Ticker.CapIQ,"IQ_LASTSALEPRICE",INDEX(MO_SNA_FPStartDate,0,COLUMN()),INDEX(MO_Common_QEndDate,0,COLUMN())),"N/A")</f>
        <v>(Invalid Identifier)</v>
      </c>
      <c r="L727" s="1848" t="str">
        <f>IFERROR(_xll.ciqfunctions.udf.CIQLO(MO.Ticker.CapIQ,"IQ_LASTSALEPRICE",INDEX(MO_SNA_FPStartDate,0,COLUMN()),INDEX(MO_Common_QEndDate,0,COLUMN())),"N/A")</f>
        <v>(Invalid Identifier)</v>
      </c>
      <c r="M727" s="1848" t="str">
        <f>IFERROR(_xll.ciqfunctions.udf.CIQLO(MO.Ticker.CapIQ,"IQ_LASTSALEPRICE",INDEX(MO_SNA_FPStartDate,0,COLUMN()),INDEX(MO_Common_QEndDate,0,COLUMN())),"N/A")</f>
        <v>(Invalid Identifier)</v>
      </c>
      <c r="N727" s="1848" t="str">
        <f>IFERROR(_xll.ciqfunctions.udf.CIQLO(MO.Ticker.CapIQ,"IQ_LASTSALEPRICE",INDEX(MO_SNA_FPStartDate,0,COLUMN()),INDEX(MO_Common_QEndDate,0,COLUMN())),"N/A")</f>
        <v>(Invalid Identifier)</v>
      </c>
      <c r="O727" s="1848" t="str">
        <f>IFERROR(_xll.ciqfunctions.udf.CIQLO(MO.Ticker.CapIQ,"IQ_LASTSALEPRICE",INDEX(MO_SNA_FPStartDate,0,COLUMN()),INDEX(MO_Common_QEndDate,0,COLUMN())),"N/A")</f>
        <v>(Invalid Identifier)</v>
      </c>
      <c r="P727" s="1848" t="str">
        <f>IFERROR(_xll.ciqfunctions.udf.CIQLO(MO.Ticker.CapIQ,"IQ_LASTSALEPRICE",INDEX(MO_SNA_FPStartDate,0,COLUMN()),INDEX(MO_Common_QEndDate,0,COLUMN())),"N/A")</f>
        <v>(Invalid Identifier)</v>
      </c>
      <c r="Q727" s="1848" t="str">
        <f>IFERROR(_xll.ciqfunctions.udf.CIQLO(MO.Ticker.CapIQ,"IQ_LASTSALEPRICE",INDEX(MO_SNA_FPStartDate,0,COLUMN()),INDEX(MO_Common_QEndDate,0,COLUMN())),"N/A")</f>
        <v>(Invalid Identifier)</v>
      </c>
      <c r="R727" s="1848" t="str">
        <f>IFERROR(_xll.ciqfunctions.udf.CIQLO(MO.Ticker.CapIQ,"IQ_LASTSALEPRICE",INDEX(MO_SNA_FPStartDate,0,COLUMN()),INDEX(MO_Common_QEndDate,0,COLUMN())),"N/A")</f>
        <v>(Invalid Identifier)</v>
      </c>
      <c r="S727" s="1848" t="str">
        <f>IFERROR(_xll.ciqfunctions.udf.CIQLO(MO.Ticker.CapIQ,"IQ_LASTSALEPRICE",INDEX(MO_SNA_FPStartDate,0,COLUMN()),INDEX(MO_Common_QEndDate,0,COLUMN())),"N/A")</f>
        <v>(Invalid Identifier)</v>
      </c>
      <c r="T727" s="1848" t="str">
        <f>IFERROR(_xll.ciqfunctions.udf.CIQLO(MO.Ticker.CapIQ,"IQ_LASTSALEPRICE",INDEX(MO_SNA_FPStartDate,0,COLUMN()),INDEX(MO_Common_QEndDate,0,COLUMN())),"N/A")</f>
        <v>(Invalid Identifier)</v>
      </c>
      <c r="U727" s="1848" t="str">
        <f>IFERROR(_xll.ciqfunctions.udf.CIQLO(MO.Ticker.CapIQ,"IQ_LASTSALEPRICE",INDEX(MO_SNA_FPStartDate,0,COLUMN()),INDEX(MO_Common_QEndDate,0,COLUMN())),"N/A")</f>
        <v>(Invalid Identifier)</v>
      </c>
      <c r="V727" s="1848" t="str">
        <f>IFERROR(_xll.ciqfunctions.udf.CIQLO(MO.Ticker.CapIQ,"IQ_LASTSALEPRICE",INDEX(MO_SNA_FPStartDate,0,COLUMN()),INDEX(MO_Common_QEndDate,0,COLUMN())),"N/A")</f>
        <v>(Invalid Identifier)</v>
      </c>
      <c r="W727" s="1848" t="str">
        <f>IFERROR(_xll.ciqfunctions.udf.CIQLO(MO.Ticker.CapIQ,"IQ_LASTSALEPRICE",INDEX(MO_SNA_FPStartDate,0,COLUMN()),INDEX(MO_Common_QEndDate,0,COLUMN())),"N/A")</f>
        <v>(Invalid Identifier)</v>
      </c>
      <c r="X727" s="1848" t="str">
        <f>IFERROR(_xll.ciqfunctions.udf.CIQLO(MO.Ticker.CapIQ,"IQ_LASTSALEPRICE",INDEX(MO_SNA_FPStartDate,0,COLUMN()),INDEX(MO_Common_QEndDate,0,COLUMN())),"N/A")</f>
        <v>(Invalid Identifier)</v>
      </c>
      <c r="Y727" s="1848" t="str">
        <f>IFERROR(_xll.ciqfunctions.udf.CIQLO(MO.Ticker.CapIQ,"IQ_LASTSALEPRICE",INDEX(MO_SNA_FPStartDate,0,COLUMN()),INDEX(MO_Common_QEndDate,0,COLUMN())),"N/A")</f>
        <v>(Invalid Identifier)</v>
      </c>
      <c r="Z727" s="1848" t="str">
        <f>IFERROR(_xll.ciqfunctions.udf.CIQLO(MO.Ticker.CapIQ,"IQ_LASTSALEPRICE",INDEX(MO_SNA_FPStartDate,0,COLUMN()),INDEX(MO_Common_QEndDate,0,COLUMN())),"N/A")</f>
        <v>(Invalid Identifier)</v>
      </c>
      <c r="AA727" s="1848" t="str">
        <f>IFERROR(_xll.ciqfunctions.udf.CIQLO(MO.Ticker.CapIQ,"IQ_LASTSALEPRICE",INDEX(MO_SNA_FPStartDate,0,COLUMN()),INDEX(MO_Common_QEndDate,0,COLUMN())),"N/A")</f>
        <v>(Invalid Identifier)</v>
      </c>
      <c r="AB727" s="1848" t="str">
        <f>IFERROR(_xll.ciqfunctions.udf.CIQLO(MO.Ticker.CapIQ,"IQ_LASTSALEPRICE",INDEX(MO_SNA_FPStartDate,0,COLUMN()),INDEX(MO_Common_QEndDate,0,COLUMN())),"N/A")</f>
        <v>(Invalid Identifier)</v>
      </c>
      <c r="AC727" s="1848" t="str">
        <f>IFERROR(_xll.ciqfunctions.udf.CIQLO(MO.Ticker.CapIQ,"IQ_LASTSALEPRICE",INDEX(MO_SNA_FPStartDate,0,COLUMN()),INDEX(MO_Common_QEndDate,0,COLUMN())),"N/A")</f>
        <v>(Invalid Identifier)</v>
      </c>
      <c r="AD727" s="1848" t="str">
        <f>IFERROR(_xll.ciqfunctions.udf.CIQLO(MO.Ticker.CapIQ,"IQ_LASTSALEPRICE",INDEX(MO_SNA_FPStartDate,0,COLUMN()),INDEX(MO_Common_QEndDate,0,COLUMN())),"N/A")</f>
        <v>(Invalid Identifier)</v>
      </c>
      <c r="AE727" s="1848" t="str">
        <f>IFERROR(_xll.ciqfunctions.udf.CIQLO(MO.Ticker.CapIQ,"IQ_LASTSALEPRICE",INDEX(MO_SNA_FPStartDate,0,COLUMN()),INDEX(MO_Common_QEndDate,0,COLUMN())),"N/A")</f>
        <v>(Invalid Identifier)</v>
      </c>
      <c r="AF727" s="1848" t="str">
        <f>IFERROR(_xll.ciqfunctions.udf.CIQLO(MO.Ticker.CapIQ,"IQ_LASTSALEPRICE",INDEX(MO_SNA_FPStartDate,0,COLUMN()),INDEX(MO_Common_QEndDate,0,COLUMN())),"N/A")</f>
        <v>(Invalid Identifier)</v>
      </c>
      <c r="AG727" s="1848" t="str">
        <f>IFERROR(_xll.ciqfunctions.udf.CIQLO(MO.Ticker.CapIQ,"IQ_LASTSALEPRICE",INDEX(MO_SNA_FPStartDate,0,COLUMN()),INDEX(MO_Common_QEndDate,0,COLUMN())),"N/A")</f>
        <v>(Invalid Identifier)</v>
      </c>
      <c r="AH727" s="1848" t="str">
        <f>IFERROR(_xll.ciqfunctions.udf.CIQLO(MO.Ticker.CapIQ,"IQ_LASTSALEPRICE",INDEX(MO_SNA_FPStartDate,0,COLUMN()),INDEX(MO_Common_QEndDate,0,COLUMN())),"N/A")</f>
        <v>(Invalid Identifier)</v>
      </c>
      <c r="AI727" s="1848" t="str">
        <f>IFERROR(_xll.ciqfunctions.udf.CIQLO(MO.Ticker.CapIQ,"IQ_LASTSALEPRICE",INDEX(MO_SNA_FPStartDate,0,COLUMN()),INDEX(MO_Common_QEndDate,0,COLUMN())),"N/A")</f>
        <v>(Invalid Identifier)</v>
      </c>
      <c r="AJ727" s="1848" t="str">
        <f>IFERROR(_xll.ciqfunctions.udf.CIQLO(MO.Ticker.CapIQ,"IQ_LASTSALEPRICE",INDEX(MO_SNA_FPStartDate,0,COLUMN()),INDEX(MO_Common_QEndDate,0,COLUMN())),"N/A")</f>
        <v>(Invalid Identifier)</v>
      </c>
      <c r="AK727" s="1832" t="str">
        <f>IFERROR(_xll.ciqfunctions.udf.CIQLO(MO.Ticker.CapIQ,"IQ_LASTSALEPRICE",INDEX(MO_SNA_FPStartDate,0,COLUMN()),INDEX(MO_Common_QEndDate,0,COLUMN())),"N/A")</f>
        <v>(Invalid Identifier)</v>
      </c>
      <c r="AL727" s="1832" t="str">
        <f>IFERROR(_xll.ciqfunctions.udf.CIQLO(MO.Ticker.CapIQ,"IQ_LASTSALEPRICE",INDEX(MO_SNA_FPStartDate,0,COLUMN()),INDEX(MO_Common_QEndDate,0,COLUMN())),"N/A")</f>
        <v>(Invalid Identifier)</v>
      </c>
      <c r="AM727" s="1832" t="str">
        <f>IFERROR(_xll.ciqfunctions.udf.CIQLO(MO.Ticker.CapIQ,"IQ_LASTSALEPRICE",INDEX(MO_SNA_FPStartDate,0,COLUMN()),INDEX(MO_Common_QEndDate,0,COLUMN())),"N/A")</f>
        <v>(Invalid Identifier)</v>
      </c>
      <c r="AN727" s="1832" t="str">
        <f>IFERROR(_xll.ciqfunctions.udf.CIQLO(MO.Ticker.CapIQ,"IQ_LASTSALEPRICE",INDEX(MO_SNA_FPStartDate,0,COLUMN()),INDEX(MO_Common_QEndDate,0,COLUMN())),"N/A")</f>
        <v>(Invalid Identifier)</v>
      </c>
      <c r="AO727" s="1832" t="str">
        <f>IFERROR(_xll.ciqfunctions.udf.CIQLO(MO.Ticker.CapIQ,"IQ_LASTSALEPRICE",INDEX(MO_SNA_FPStartDate,0,COLUMN()),INDEX(MO_Common_QEndDate,0,COLUMN())),"N/A")</f>
        <v>(Invalid Identifier)</v>
      </c>
      <c r="AP727" s="1832" t="str">
        <f>IFERROR(_xll.ciqfunctions.udf.CIQLO(MO.Ticker.CapIQ,"IQ_LASTSALEPRICE",INDEX(MO_SNA_FPStartDate,0,COLUMN()),INDEX(MO_Common_QEndDate,0,COLUMN())),"N/A")</f>
        <v>(Invalid Identifier)</v>
      </c>
      <c r="AQ727" s="1832"/>
      <c r="AR727" s="2121" t="str">
        <f>IFERROR(_xll.ciqfunctions.udf.CIQLO(MO.Ticker.CapIQ,"IQ_LASTSALEPRICE",INDEX(MO_SNA_FPStartDate,0,COLUMN()),INDEX(MO_Common_QEndDate,0,COLUMN())),"N/A")</f>
        <v>(Invalid Identifier)</v>
      </c>
      <c r="AS727" s="2121" t="str">
        <f>IFERROR(_xll.ciqfunctions.udf.CIQLO(MO.Ticker.CapIQ,"IQ_LASTSALEPRICE",INDEX(MO_SNA_FPStartDate,0,COLUMN()),INDEX(MO_Common_QEndDate,0,COLUMN())),"N/A")</f>
        <v>(Invalid Identifier)</v>
      </c>
      <c r="AT727" s="1848" t="str">
        <f>IFERROR(_xll.ciqfunctions.udf.CIQLO(MO.Ticker.CapIQ,"IQ_LASTSALEPRICE",INDEX(MO_SNA_FPStartDate,0,COLUMN()),INDEX(MO_Common_QEndDate,0,COLUMN())),"N/A")</f>
        <v>(Invalid Identifier)</v>
      </c>
      <c r="AU727" s="1848" t="str">
        <f>IFERROR(_xll.ciqfunctions.udf.CIQLO(MO.Ticker.CapIQ,"IQ_LASTSALEPRICE",INDEX(MO_SNA_FPStartDate,0,COLUMN()),INDEX(MO_Common_QEndDate,0,COLUMN())),"N/A")</f>
        <v>(Invalid Identifier)</v>
      </c>
      <c r="AV727" s="1848" t="str">
        <f>IFERROR(_xll.ciqfunctions.udf.CIQLO(MO.Ticker.CapIQ,"IQ_LASTSALEPRICE",INDEX(MO_SNA_FPStartDate,0,COLUMN()),INDEX(MO_Common_QEndDate,0,COLUMN())),"N/A")</f>
        <v>(Invalid Identifier)</v>
      </c>
      <c r="AW727" s="1848" t="str">
        <f>IFERROR(_xll.ciqfunctions.udf.CIQLO(MO.Ticker.CapIQ,"IQ_LASTSALEPRICE",INDEX(MO_SNA_FPStartDate,0,COLUMN()),INDEX(MO_Common_QEndDate,0,COLUMN())),"N/A")</f>
        <v>(Invalid Identifier)</v>
      </c>
      <c r="AX727" s="1848" t="str">
        <f>IFERROR(_xll.ciqfunctions.udf.CIQLO(MO.Ticker.CapIQ,"IQ_LASTSALEPRICE",INDEX(MO_SNA_FPStartDate,0,COLUMN()),INDEX(MO_Common_QEndDate,0,COLUMN())),"N/A")</f>
        <v>(Invalid Identifier)</v>
      </c>
      <c r="AY727" s="1848" t="str">
        <f>IFERROR(_xll.ciqfunctions.udf.CIQLO(MO.Ticker.CapIQ,"IQ_LASTSALEPRICE",INDEX(MO_SNA_FPStartDate,0,COLUMN()),INDEX(MO_Common_QEndDate,0,COLUMN())),"N/A")</f>
        <v>(Invalid Identifier)</v>
      </c>
      <c r="AZ727" s="1848" t="str">
        <f>IFERROR(_xll.ciqfunctions.udf.CIQLO(MO.Ticker.CapIQ,"IQ_LASTSALEPRICE",INDEX(MO_SNA_FPStartDate,0,COLUMN()),INDEX(MO_Common_QEndDate,0,COLUMN())),"N/A")</f>
        <v>(Invalid Identifier)</v>
      </c>
      <c r="BA727" s="1848" t="str">
        <f>IFERROR(_xll.ciqfunctions.udf.CIQLO(MO.Ticker.CapIQ,"IQ_LASTSALEPRICE",INDEX(MO_SNA_FPStartDate,0,COLUMN()),INDEX(MO_Common_QEndDate,0,COLUMN())),"N/A")</f>
        <v>(Invalid Identifier)</v>
      </c>
      <c r="BB727" s="1848" t="str">
        <f>IFERROR(_xll.ciqfunctions.udf.CIQLO(MO.Ticker.CapIQ,"IQ_LASTSALEPRICE",INDEX(MO_SNA_FPStartDate,0,COLUMN()),INDEX(MO_Common_QEndDate,0,COLUMN())),"N/A")</f>
        <v>(Invalid Identifier)</v>
      </c>
      <c r="BC727" s="1848" t="str">
        <f>IFERROR(_xll.ciqfunctions.udf.CIQLO(MO.Ticker.CapIQ,"IQ_LASTSALEPRICE",INDEX(MO_SNA_FPStartDate,0,COLUMN()),INDEX(MO_Common_QEndDate,0,COLUMN())),"N/A")</f>
        <v>(Invalid Identifier)</v>
      </c>
      <c r="BD727" s="1848" t="str">
        <f>IFERROR(_xll.ciqfunctions.udf.CIQLO(MO.Ticker.CapIQ,"IQ_LASTSALEPRICE",INDEX(MO_SNA_FPStartDate,0,COLUMN()),INDEX(MO_Common_QEndDate,0,COLUMN())),"N/A")</f>
        <v>(Invalid Identifier)</v>
      </c>
      <c r="BE727" s="1848" t="str">
        <f>IFERROR(_xll.ciqfunctions.udf.CIQLO(MO.Ticker.CapIQ,"IQ_LASTSALEPRICE",INDEX(MO_SNA_FPStartDate,0,COLUMN()),INDEX(MO_Common_QEndDate,0,COLUMN())),"N/A")</f>
        <v>(Invalid Identifier)</v>
      </c>
      <c r="BF727" s="1848" t="str">
        <f>IFERROR(_xll.ciqfunctions.udf.CIQLO(MO.Ticker.CapIQ,"IQ_LASTSALEPRICE",INDEX(MO_SNA_FPStartDate,0,COLUMN()),INDEX(MO_Common_QEndDate,0,COLUMN())),"N/A")</f>
        <v>(Invalid Identifier)</v>
      </c>
      <c r="BG727" s="1832" t="str">
        <f>IFERROR(_xll.ciqfunctions.udf.CIQLO(MO.Ticker.CapIQ,"IQ_LASTSALEPRICE",INDEX(MO_SNA_FPStartDate,0,COLUMN()),INDEX(MO_Common_QEndDate,0,COLUMN())),"N/A")</f>
        <v>(Invalid Identifier)</v>
      </c>
      <c r="BH727" s="1832" t="str">
        <f>IFERROR(_xll.ciqfunctions.udf.CIQLO(MO.Ticker.CapIQ,"IQ_LASTSALEPRICE",INDEX(MO_SNA_FPStartDate,0,COLUMN()),INDEX(MO_Common_QEndDate,0,COLUMN())),"N/A")</f>
        <v>(Invalid Identifier)</v>
      </c>
      <c r="BI727" s="1832" t="str">
        <f>IFERROR(_xll.ciqfunctions.udf.CIQLO(MO.Ticker.CapIQ,"IQ_LASTSALEPRICE",INDEX(MO_SNA_FPStartDate,0,COLUMN()),INDEX(MO_Common_QEndDate,0,COLUMN())),"N/A")</f>
        <v>(Invalid Identifier)</v>
      </c>
      <c r="BJ727" s="1832" t="str">
        <f>IFERROR(_xll.ciqfunctions.udf.CIQLO(MO.Ticker.CapIQ,"IQ_LASTSALEPRICE",INDEX(MO_SNA_FPStartDate,0,COLUMN()),INDEX(MO_Common_QEndDate,0,COLUMN())),"N/A")</f>
        <v>(Invalid Identifier)</v>
      </c>
      <c r="BK727" s="2122" t="str">
        <f>IFERROR(_xll.ciqfunctions.udf.CIQLO(MO.Ticker.CapIQ,"IQ_LASTSALEPRICE",INDEX(MO_SNA_FPStartDate,0,COLUMN()),INDEX(MO_Common_QEndDate,0,COLUMN())),"N/A")</f>
        <v>(Invalid Identifier)</v>
      </c>
      <c r="BL727" s="1848"/>
    </row>
    <row r="728" spans="1:64" s="2008" customFormat="1" hidden="1" outlineLevel="1" x14ac:dyDescent="0.35">
      <c r="A728" s="2123" t="s">
        <v>1278</v>
      </c>
      <c r="B728" s="1832"/>
      <c r="C728" s="1848" t="str">
        <f ca="1">IFERROR(FDS(MO.Ticker.FactSet,"P_PRICE_LOW"&amp;"("&amp;INDEX(MO_SNA_FPStartDate,0,COLUMN())&amp;","&amp;INDEX(MO_Common_QEndDate,0,COLUMN())&amp;",,,,""PRICE"",""CLOSE"")"),"N/A")</f>
        <v>N/A</v>
      </c>
      <c r="D728" s="1848" t="str">
        <f ca="1">IFERROR(FDS(MO.Ticker.FactSet,"P_PRICE_LOW"&amp;"("&amp;INDEX(MO_SNA_FPStartDate,0,COLUMN())&amp;","&amp;INDEX(MO_Common_QEndDate,0,COLUMN())&amp;",,,,""PRICE"",""CLOSE"")"),"N/A")</f>
        <v>N/A</v>
      </c>
      <c r="E728" s="1848" t="str">
        <f ca="1">IFERROR(FDS(MO.Ticker.FactSet,"P_PRICE_LOW"&amp;"("&amp;INDEX(MO_SNA_FPStartDate,0,COLUMN())&amp;","&amp;INDEX(MO_Common_QEndDate,0,COLUMN())&amp;",,,,""PRICE"",""CLOSE"")"),"N/A")</f>
        <v>N/A</v>
      </c>
      <c r="F728" s="1848" t="str">
        <f ca="1">IFERROR(FDS(MO.Ticker.FactSet,"P_PRICE_LOW"&amp;"("&amp;INDEX(MO_SNA_FPStartDate,0,COLUMN())&amp;","&amp;INDEX(MO_Common_QEndDate,0,COLUMN())&amp;",,,,""PRICE"",""CLOSE"")"),"N/A")</f>
        <v>N/A</v>
      </c>
      <c r="G728" s="1848" t="str">
        <f ca="1">IFERROR(FDS(MO.Ticker.FactSet,"P_PRICE_LOW"&amp;"("&amp;INDEX(MO_SNA_FPStartDate,0,COLUMN())&amp;","&amp;INDEX(MO_Common_QEndDate,0,COLUMN())&amp;",,,,""PRICE"",""CLOSE"")"),"N/A")</f>
        <v>N/A</v>
      </c>
      <c r="H728" s="1848" t="str">
        <f ca="1">IFERROR(FDS(MO.Ticker.FactSet,"P_PRICE_LOW"&amp;"("&amp;INDEX(MO_SNA_FPStartDate,0,COLUMN())&amp;","&amp;INDEX(MO_Common_QEndDate,0,COLUMN())&amp;",,,,""PRICE"",""CLOSE"")"),"N/A")</f>
        <v>N/A</v>
      </c>
      <c r="I728" s="1848" t="str">
        <f ca="1">IFERROR(FDS(MO.Ticker.FactSet,"P_PRICE_LOW"&amp;"("&amp;INDEX(MO_SNA_FPStartDate,0,COLUMN())&amp;","&amp;INDEX(MO_Common_QEndDate,0,COLUMN())&amp;",,,,""PRICE"",""CLOSE"")"),"N/A")</f>
        <v>N/A</v>
      </c>
      <c r="J728" s="1848" t="str">
        <f ca="1">IFERROR(FDS(MO.Ticker.FactSet,"P_PRICE_LOW"&amp;"("&amp;INDEX(MO_SNA_FPStartDate,0,COLUMN())&amp;","&amp;INDEX(MO_Common_QEndDate,0,COLUMN())&amp;",,,,""PRICE"",""CLOSE"")"),"N/A")</f>
        <v>N/A</v>
      </c>
      <c r="K728" s="1848" t="str">
        <f ca="1">IFERROR(FDS(MO.Ticker.FactSet,"P_PRICE_LOW"&amp;"("&amp;INDEX(MO_SNA_FPStartDate,0,COLUMN())&amp;","&amp;INDEX(MO_Common_QEndDate,0,COLUMN())&amp;",,,,""PRICE"",""CLOSE"")"),"N/A")</f>
        <v>N/A</v>
      </c>
      <c r="L728" s="1848" t="str">
        <f ca="1">IFERROR(FDS(MO.Ticker.FactSet,"P_PRICE_LOW"&amp;"("&amp;INDEX(MO_SNA_FPStartDate,0,COLUMN())&amp;","&amp;INDEX(MO_Common_QEndDate,0,COLUMN())&amp;",,,,""PRICE"",""CLOSE"")"),"N/A")</f>
        <v>N/A</v>
      </c>
      <c r="M728" s="1848" t="str">
        <f ca="1">IFERROR(FDS(MO.Ticker.FactSet,"P_PRICE_LOW"&amp;"("&amp;INDEX(MO_SNA_FPStartDate,0,COLUMN())&amp;","&amp;INDEX(MO_Common_QEndDate,0,COLUMN())&amp;",,,,""PRICE"",""CLOSE"")"),"N/A")</f>
        <v>N/A</v>
      </c>
      <c r="N728" s="1848" t="str">
        <f ca="1">IFERROR(FDS(MO.Ticker.FactSet,"P_PRICE_LOW"&amp;"("&amp;INDEX(MO_SNA_FPStartDate,0,COLUMN())&amp;","&amp;INDEX(MO_Common_QEndDate,0,COLUMN())&amp;",,,,""PRICE"",""CLOSE"")"),"N/A")</f>
        <v>N/A</v>
      </c>
      <c r="O728" s="1848" t="str">
        <f ca="1">IFERROR(FDS(MO.Ticker.FactSet,"P_PRICE_LOW"&amp;"("&amp;INDEX(MO_SNA_FPStartDate,0,COLUMN())&amp;","&amp;INDEX(MO_Common_QEndDate,0,COLUMN())&amp;",,,,""PRICE"",""CLOSE"")"),"N/A")</f>
        <v>N/A</v>
      </c>
      <c r="P728" s="1848" t="str">
        <f ca="1">IFERROR(FDS(MO.Ticker.FactSet,"P_PRICE_LOW"&amp;"("&amp;INDEX(MO_SNA_FPStartDate,0,COLUMN())&amp;","&amp;INDEX(MO_Common_QEndDate,0,COLUMN())&amp;",,,,""PRICE"",""CLOSE"")"),"N/A")</f>
        <v>N/A</v>
      </c>
      <c r="Q728" s="1848" t="str">
        <f ca="1">IFERROR(FDS(MO.Ticker.FactSet,"P_PRICE_LOW"&amp;"("&amp;INDEX(MO_SNA_FPStartDate,0,COLUMN())&amp;","&amp;INDEX(MO_Common_QEndDate,0,COLUMN())&amp;",,,,""PRICE"",""CLOSE"")"),"N/A")</f>
        <v>N/A</v>
      </c>
      <c r="R728" s="1848" t="str">
        <f ca="1">IFERROR(FDS(MO.Ticker.FactSet,"P_PRICE_LOW"&amp;"("&amp;INDEX(MO_SNA_FPStartDate,0,COLUMN())&amp;","&amp;INDEX(MO_Common_QEndDate,0,COLUMN())&amp;",,,,""PRICE"",""CLOSE"")"),"N/A")</f>
        <v>N/A</v>
      </c>
      <c r="S728" s="1848" t="str">
        <f ca="1">IFERROR(FDS(MO.Ticker.FactSet,"P_PRICE_LOW"&amp;"("&amp;INDEX(MO_SNA_FPStartDate,0,COLUMN())&amp;","&amp;INDEX(MO_Common_QEndDate,0,COLUMN())&amp;",,,,""PRICE"",""CLOSE"")"),"N/A")</f>
        <v>N/A</v>
      </c>
      <c r="T728" s="1848" t="str">
        <f ca="1">IFERROR(FDS(MO.Ticker.FactSet,"P_PRICE_LOW"&amp;"("&amp;INDEX(MO_SNA_FPStartDate,0,COLUMN())&amp;","&amp;INDEX(MO_Common_QEndDate,0,COLUMN())&amp;",,,,""PRICE"",""CLOSE"")"),"N/A")</f>
        <v>N/A</v>
      </c>
      <c r="U728" s="1848" t="str">
        <f ca="1">IFERROR(FDS(MO.Ticker.FactSet,"P_PRICE_LOW"&amp;"("&amp;INDEX(MO_SNA_FPStartDate,0,COLUMN())&amp;","&amp;INDEX(MO_Common_QEndDate,0,COLUMN())&amp;",,,,""PRICE"",""CLOSE"")"),"N/A")</f>
        <v>N/A</v>
      </c>
      <c r="V728" s="1848" t="str">
        <f ca="1">IFERROR(FDS(MO.Ticker.FactSet,"P_PRICE_LOW"&amp;"("&amp;INDEX(MO_SNA_FPStartDate,0,COLUMN())&amp;","&amp;INDEX(MO_Common_QEndDate,0,COLUMN())&amp;",,,,""PRICE"",""CLOSE"")"),"N/A")</f>
        <v>N/A</v>
      </c>
      <c r="W728" s="1848" t="str">
        <f ca="1">IFERROR(FDS(MO.Ticker.FactSet,"P_PRICE_LOW"&amp;"("&amp;INDEX(MO_SNA_FPStartDate,0,COLUMN())&amp;","&amp;INDEX(MO_Common_QEndDate,0,COLUMN())&amp;",,,,""PRICE"",""CLOSE"")"),"N/A")</f>
        <v>N/A</v>
      </c>
      <c r="X728" s="1848" t="str">
        <f ca="1">IFERROR(FDS(MO.Ticker.FactSet,"P_PRICE_LOW"&amp;"("&amp;INDEX(MO_SNA_FPStartDate,0,COLUMN())&amp;","&amp;INDEX(MO_Common_QEndDate,0,COLUMN())&amp;",,,,""PRICE"",""CLOSE"")"),"N/A")</f>
        <v>N/A</v>
      </c>
      <c r="Y728" s="1848" t="str">
        <f ca="1">IFERROR(FDS(MO.Ticker.FactSet,"P_PRICE_LOW"&amp;"("&amp;INDEX(MO_SNA_FPStartDate,0,COLUMN())&amp;","&amp;INDEX(MO_Common_QEndDate,0,COLUMN())&amp;",,,,""PRICE"",""CLOSE"")"),"N/A")</f>
        <v>N/A</v>
      </c>
      <c r="Z728" s="1848" t="str">
        <f ca="1">IFERROR(FDS(MO.Ticker.FactSet,"P_PRICE_LOW"&amp;"("&amp;INDEX(MO_SNA_FPStartDate,0,COLUMN())&amp;","&amp;INDEX(MO_Common_QEndDate,0,COLUMN())&amp;",,,,""PRICE"",""CLOSE"")"),"N/A")</f>
        <v>N/A</v>
      </c>
      <c r="AA728" s="1848" t="str">
        <f ca="1">IFERROR(FDS(MO.Ticker.FactSet,"P_PRICE_LOW"&amp;"("&amp;INDEX(MO_SNA_FPStartDate,0,COLUMN())&amp;","&amp;INDEX(MO_Common_QEndDate,0,COLUMN())&amp;",,,,""PRICE"",""CLOSE"")"),"N/A")</f>
        <v>N/A</v>
      </c>
      <c r="AB728" s="1848" t="str">
        <f ca="1">IFERROR(FDS(MO.Ticker.FactSet,"P_PRICE_LOW"&amp;"("&amp;INDEX(MO_SNA_FPStartDate,0,COLUMN())&amp;","&amp;INDEX(MO_Common_QEndDate,0,COLUMN())&amp;",,,,""PRICE"",""CLOSE"")"),"N/A")</f>
        <v>N/A</v>
      </c>
      <c r="AC728" s="1848" t="str">
        <f ca="1">IFERROR(FDS(MO.Ticker.FactSet,"P_PRICE_LOW"&amp;"("&amp;INDEX(MO_SNA_FPStartDate,0,COLUMN())&amp;","&amp;INDEX(MO_Common_QEndDate,0,COLUMN())&amp;",,,,""PRICE"",""CLOSE"")"),"N/A")</f>
        <v>N/A</v>
      </c>
      <c r="AD728" s="1848" t="str">
        <f ca="1">IFERROR(FDS(MO.Ticker.FactSet,"P_PRICE_LOW"&amp;"("&amp;INDEX(MO_SNA_FPStartDate,0,COLUMN())&amp;","&amp;INDEX(MO_Common_QEndDate,0,COLUMN())&amp;",,,,""PRICE"",""CLOSE"")"),"N/A")</f>
        <v>N/A</v>
      </c>
      <c r="AE728" s="1848" t="str">
        <f ca="1">IFERROR(FDS(MO.Ticker.FactSet,"P_PRICE_LOW"&amp;"("&amp;INDEX(MO_SNA_FPStartDate,0,COLUMN())&amp;","&amp;INDEX(MO_Common_QEndDate,0,COLUMN())&amp;",,,,""PRICE"",""CLOSE"")"),"N/A")</f>
        <v>N/A</v>
      </c>
      <c r="AF728" s="1848" t="str">
        <f ca="1">IFERROR(FDS(MO.Ticker.FactSet,"P_PRICE_LOW"&amp;"("&amp;INDEX(MO_SNA_FPStartDate,0,COLUMN())&amp;","&amp;INDEX(MO_Common_QEndDate,0,COLUMN())&amp;",,,,""PRICE"",""CLOSE"")"),"N/A")</f>
        <v>N/A</v>
      </c>
      <c r="AG728" s="1848" t="str">
        <f ca="1">IFERROR(FDS(MO.Ticker.FactSet,"P_PRICE_LOW"&amp;"("&amp;INDEX(MO_SNA_FPStartDate,0,COLUMN())&amp;","&amp;INDEX(MO_Common_QEndDate,0,COLUMN())&amp;",,,,""PRICE"",""CLOSE"")"),"N/A")</f>
        <v>N/A</v>
      </c>
      <c r="AH728" s="1848" t="str">
        <f ca="1">IFERROR(FDS(MO.Ticker.FactSet,"P_PRICE_LOW"&amp;"("&amp;INDEX(MO_SNA_FPStartDate,0,COLUMN())&amp;","&amp;INDEX(MO_Common_QEndDate,0,COLUMN())&amp;",,,,""PRICE"",""CLOSE"")"),"N/A")</f>
        <v>N/A</v>
      </c>
      <c r="AI728" s="1848" t="str">
        <f ca="1">IFERROR(FDS(MO.Ticker.FactSet,"P_PRICE_LOW"&amp;"("&amp;INDEX(MO_SNA_FPStartDate,0,COLUMN())&amp;","&amp;INDEX(MO_Common_QEndDate,0,COLUMN())&amp;",,,,""PRICE"",""CLOSE"")"),"N/A")</f>
        <v>N/A</v>
      </c>
      <c r="AJ728" s="1848" t="str">
        <f ca="1">IFERROR(FDS(MO.Ticker.FactSet,"P_PRICE_LOW"&amp;"("&amp;INDEX(MO_SNA_FPStartDate,0,COLUMN())&amp;","&amp;INDEX(MO_Common_QEndDate,0,COLUMN())&amp;",,,,""PRICE"",""CLOSE"")"),"N/A")</f>
        <v>N/A</v>
      </c>
      <c r="AK728" s="1832" t="str">
        <f ca="1">IFERROR(FDS(MO.Ticker.FactSet,"P_PRICE_LOW"&amp;"("&amp;INDEX(MO_SNA_FPStartDate,0,COLUMN())&amp;","&amp;INDEX(MO_Common_QEndDate,0,COLUMN())&amp;",,,,""PRICE"",""CLOSE"")"),"N/A")</f>
        <v>N/A</v>
      </c>
      <c r="AL728" s="1832" t="str">
        <f ca="1">IFERROR(FDS(MO.Ticker.FactSet,"P_PRICE_LOW"&amp;"("&amp;INDEX(MO_SNA_FPStartDate,0,COLUMN())&amp;","&amp;INDEX(MO_Common_QEndDate,0,COLUMN())&amp;",,,,""PRICE"",""CLOSE"")"),"N/A")</f>
        <v>N/A</v>
      </c>
      <c r="AM728" s="1832" t="str">
        <f ca="1">IFERROR(FDS(MO.Ticker.FactSet,"P_PRICE_LOW"&amp;"("&amp;INDEX(MO_SNA_FPStartDate,0,COLUMN())&amp;","&amp;INDEX(MO_Common_QEndDate,0,COLUMN())&amp;",,,,""PRICE"",""CLOSE"")"),"N/A")</f>
        <v>N/A</v>
      </c>
      <c r="AN728" s="1832" t="str">
        <f ca="1">IFERROR(FDS(MO.Ticker.FactSet,"P_PRICE_LOW"&amp;"("&amp;INDEX(MO_SNA_FPStartDate,0,COLUMN())&amp;","&amp;INDEX(MO_Common_QEndDate,0,COLUMN())&amp;",,,,""PRICE"",""CLOSE"")"),"N/A")</f>
        <v>N/A</v>
      </c>
      <c r="AO728" s="1832" t="str">
        <f ca="1">IFERROR(FDS(MO.Ticker.FactSet,"P_PRICE_LOW"&amp;"("&amp;INDEX(MO_SNA_FPStartDate,0,COLUMN())&amp;","&amp;INDEX(MO_Common_QEndDate,0,COLUMN())&amp;",,,,""PRICE"",""CLOSE"")"),"N/A")</f>
        <v>N/A</v>
      </c>
      <c r="AP728" s="1832" t="str">
        <f ca="1">IFERROR(FDS(MO.Ticker.FactSet,"P_PRICE_LOW"&amp;"("&amp;INDEX(MO_SNA_FPStartDate,0,COLUMN())&amp;","&amp;INDEX(MO_Common_QEndDate,0,COLUMN())&amp;",,,,""PRICE"",""CLOSE"")"),"N/A")</f>
        <v>N/A</v>
      </c>
      <c r="AQ728" s="1832"/>
      <c r="AR728" s="2121" t="str">
        <f ca="1">IFERROR(FDS(MO.Ticker.FactSet,"P_PRICE_LOW"&amp;"("&amp;INDEX(MO_SNA_FPStartDate,0,COLUMN())&amp;","&amp;INDEX(MO_Common_QEndDate,0,COLUMN())&amp;",,,,""PRICE"",""CLOSE"")"),"N/A")</f>
        <v>N/A</v>
      </c>
      <c r="AS728" s="2121" t="str">
        <f ca="1">IFERROR(FDS(MO.Ticker.FactSet,"P_PRICE_LOW"&amp;"("&amp;INDEX(MO_SNA_FPStartDate,0,COLUMN())&amp;","&amp;INDEX(MO_Common_QEndDate,0,COLUMN())&amp;",,,,""PRICE"",""CLOSE"")"),"N/A")</f>
        <v>N/A</v>
      </c>
      <c r="AT728" s="1848" t="str">
        <f ca="1">IFERROR(FDS(MO.Ticker.FactSet,"P_PRICE_LOW"&amp;"("&amp;INDEX(MO_SNA_FPStartDate,0,COLUMN())&amp;","&amp;INDEX(MO_Common_QEndDate,0,COLUMN())&amp;",,,,""PRICE"",""CLOSE"")"),"N/A")</f>
        <v>N/A</v>
      </c>
      <c r="AU728" s="1848" t="str">
        <f ca="1">IFERROR(FDS(MO.Ticker.FactSet,"P_PRICE_LOW"&amp;"("&amp;INDEX(MO_SNA_FPStartDate,0,COLUMN())&amp;","&amp;INDEX(MO_Common_QEndDate,0,COLUMN())&amp;",,,,""PRICE"",""CLOSE"")"),"N/A")</f>
        <v>N/A</v>
      </c>
      <c r="AV728" s="1848" t="str">
        <f ca="1">IFERROR(FDS(MO.Ticker.FactSet,"P_PRICE_LOW"&amp;"("&amp;INDEX(MO_SNA_FPStartDate,0,COLUMN())&amp;","&amp;INDEX(MO_Common_QEndDate,0,COLUMN())&amp;",,,,""PRICE"",""CLOSE"")"),"N/A")</f>
        <v>N/A</v>
      </c>
      <c r="AW728" s="1848" t="str">
        <f ca="1">IFERROR(FDS(MO.Ticker.FactSet,"P_PRICE_LOW"&amp;"("&amp;INDEX(MO_SNA_FPStartDate,0,COLUMN())&amp;","&amp;INDEX(MO_Common_QEndDate,0,COLUMN())&amp;",,,,""PRICE"",""CLOSE"")"),"N/A")</f>
        <v>N/A</v>
      </c>
      <c r="AX728" s="1848" t="str">
        <f ca="1">IFERROR(FDS(MO.Ticker.FactSet,"P_PRICE_LOW"&amp;"("&amp;INDEX(MO_SNA_FPStartDate,0,COLUMN())&amp;","&amp;INDEX(MO_Common_QEndDate,0,COLUMN())&amp;",,,,""PRICE"",""CLOSE"")"),"N/A")</f>
        <v>N/A</v>
      </c>
      <c r="AY728" s="1848" t="str">
        <f ca="1">IFERROR(FDS(MO.Ticker.FactSet,"P_PRICE_LOW"&amp;"("&amp;INDEX(MO_SNA_FPStartDate,0,COLUMN())&amp;","&amp;INDEX(MO_Common_QEndDate,0,COLUMN())&amp;",,,,""PRICE"",""CLOSE"")"),"N/A")</f>
        <v>N/A</v>
      </c>
      <c r="AZ728" s="1848" t="str">
        <f ca="1">IFERROR(FDS(MO.Ticker.FactSet,"P_PRICE_LOW"&amp;"("&amp;INDEX(MO_SNA_FPStartDate,0,COLUMN())&amp;","&amp;INDEX(MO_Common_QEndDate,0,COLUMN())&amp;",,,,""PRICE"",""CLOSE"")"),"N/A")</f>
        <v>N/A</v>
      </c>
      <c r="BA728" s="1848" t="str">
        <f ca="1">IFERROR(FDS(MO.Ticker.FactSet,"P_PRICE_LOW"&amp;"("&amp;INDEX(MO_SNA_FPStartDate,0,COLUMN())&amp;","&amp;INDEX(MO_Common_QEndDate,0,COLUMN())&amp;",,,,""PRICE"",""CLOSE"")"),"N/A")</f>
        <v>N/A</v>
      </c>
      <c r="BB728" s="1848" t="str">
        <f ca="1">IFERROR(FDS(MO.Ticker.FactSet,"P_PRICE_LOW"&amp;"("&amp;INDEX(MO_SNA_FPStartDate,0,COLUMN())&amp;","&amp;INDEX(MO_Common_QEndDate,0,COLUMN())&amp;",,,,""PRICE"",""CLOSE"")"),"N/A")</f>
        <v>N/A</v>
      </c>
      <c r="BC728" s="1848" t="str">
        <f ca="1">IFERROR(FDS(MO.Ticker.FactSet,"P_PRICE_LOW"&amp;"("&amp;INDEX(MO_SNA_FPStartDate,0,COLUMN())&amp;","&amp;INDEX(MO_Common_QEndDate,0,COLUMN())&amp;",,,,""PRICE"",""CLOSE"")"),"N/A")</f>
        <v>N/A</v>
      </c>
      <c r="BD728" s="1848" t="str">
        <f ca="1">IFERROR(FDS(MO.Ticker.FactSet,"P_PRICE_LOW"&amp;"("&amp;INDEX(MO_SNA_FPStartDate,0,COLUMN())&amp;","&amp;INDEX(MO_Common_QEndDate,0,COLUMN())&amp;",,,,""PRICE"",""CLOSE"")"),"N/A")</f>
        <v>N/A</v>
      </c>
      <c r="BE728" s="1848" t="str">
        <f ca="1">IFERROR(FDS(MO.Ticker.FactSet,"P_PRICE_LOW"&amp;"("&amp;INDEX(MO_SNA_FPStartDate,0,COLUMN())&amp;","&amp;INDEX(MO_Common_QEndDate,0,COLUMN())&amp;",,,,""PRICE"",""CLOSE"")"),"N/A")</f>
        <v>N/A</v>
      </c>
      <c r="BF728" s="1848" t="str">
        <f ca="1">IFERROR(FDS(MO.Ticker.FactSet,"P_PRICE_LOW"&amp;"("&amp;INDEX(MO_SNA_FPStartDate,0,COLUMN())&amp;","&amp;INDEX(MO_Common_QEndDate,0,COLUMN())&amp;",,,,""PRICE"",""CLOSE"")"),"N/A")</f>
        <v>N/A</v>
      </c>
      <c r="BG728" s="1832" t="str">
        <f ca="1">IFERROR(FDS(MO.Ticker.FactSet,"P_PRICE_LOW"&amp;"("&amp;INDEX(MO_SNA_FPStartDate,0,COLUMN())&amp;","&amp;INDEX(MO_Common_QEndDate,0,COLUMN())&amp;",,,,""PRICE"",""CLOSE"")"),"N/A")</f>
        <v>N/A</v>
      </c>
      <c r="BH728" s="1832" t="str">
        <f ca="1">IFERROR(FDS(MO.Ticker.FactSet,"P_PRICE_LOW"&amp;"("&amp;INDEX(MO_SNA_FPStartDate,0,COLUMN())&amp;","&amp;INDEX(MO_Common_QEndDate,0,COLUMN())&amp;",,,,""PRICE"",""CLOSE"")"),"N/A")</f>
        <v>N/A</v>
      </c>
      <c r="BI728" s="1832" t="str">
        <f ca="1">IFERROR(FDS(MO.Ticker.FactSet,"P_PRICE_LOW"&amp;"("&amp;INDEX(MO_SNA_FPStartDate,0,COLUMN())&amp;","&amp;INDEX(MO_Common_QEndDate,0,COLUMN())&amp;",,,,""PRICE"",""CLOSE"")"),"N/A")</f>
        <v>N/A</v>
      </c>
      <c r="BJ728" s="1832" t="str">
        <f ca="1">IFERROR(FDS(MO.Ticker.FactSet,"P_PRICE_LOW"&amp;"("&amp;INDEX(MO_SNA_FPStartDate,0,COLUMN())&amp;","&amp;INDEX(MO_Common_QEndDate,0,COLUMN())&amp;",,,,""PRICE"",""CLOSE"")"),"N/A")</f>
        <v>N/A</v>
      </c>
      <c r="BK728" s="2122" t="str">
        <f ca="1">IFERROR(FDS(MO.Ticker.FactSet,"P_PRICE_LOW"&amp;"("&amp;INDEX(MO_SNA_FPStartDate,0,COLUMN())&amp;","&amp;INDEX(MO_Common_QEndDate,0,COLUMN())&amp;",,,,""PRICE"",""CLOSE"")"),"N/A")</f>
        <v>N/A</v>
      </c>
      <c r="BL728" s="1848"/>
    </row>
    <row r="729" spans="1:64" s="2008" customFormat="1" hidden="1" outlineLevel="1" x14ac:dyDescent="0.35">
      <c r="A729" s="2123" t="s">
        <v>1279</v>
      </c>
      <c r="B729" s="1832"/>
      <c r="C729" s="1848" t="str">
        <f ca="1">IFERROR(_xll.TR(MO.Ticker.Thomson,"Min(TR.PriceLow)","sdate:#1 edate:#2",,INDEX(MO_SNA_FPStartDate,0,COLUMN()),INDEX(MO_Common_QEndDate,0,COLUMN())),"N/A")</f>
        <v>N/A</v>
      </c>
      <c r="D729" s="1848" t="str">
        <f ca="1">IFERROR(_xll.TR(MO.Ticker.Thomson,"Min(TR.PriceLow)","sdate:#1 edate:#2",,INDEX(MO_SNA_FPStartDate,0,COLUMN()),INDEX(MO_Common_QEndDate,0,COLUMN())),"N/A")</f>
        <v>N/A</v>
      </c>
      <c r="E729" s="1848" t="str">
        <f ca="1">IFERROR(_xll.TR(MO.Ticker.Thomson,"Min(TR.PriceLow)","sdate:#1 edate:#2",,INDEX(MO_SNA_FPStartDate,0,COLUMN()),INDEX(MO_Common_QEndDate,0,COLUMN())),"N/A")</f>
        <v>N/A</v>
      </c>
      <c r="F729" s="1848" t="str">
        <f ca="1">IFERROR(_xll.TR(MO.Ticker.Thomson,"Min(TR.PriceLow)","sdate:#1 edate:#2",,INDEX(MO_SNA_FPStartDate,0,COLUMN()),INDEX(MO_Common_QEndDate,0,COLUMN())),"N/A")</f>
        <v>N/A</v>
      </c>
      <c r="G729" s="1848" t="str">
        <f ca="1">IFERROR(_xll.TR(MO.Ticker.Thomson,"Min(TR.PriceLow)","sdate:#1 edate:#2",,INDEX(MO_SNA_FPStartDate,0,COLUMN()),INDEX(MO_Common_QEndDate,0,COLUMN())),"N/A")</f>
        <v>N/A</v>
      </c>
      <c r="H729" s="1848" t="str">
        <f ca="1">IFERROR(_xll.TR(MO.Ticker.Thomson,"Min(TR.PriceLow)","sdate:#1 edate:#2",,INDEX(MO_SNA_FPStartDate,0,COLUMN()),INDEX(MO_Common_QEndDate,0,COLUMN())),"N/A")</f>
        <v>N/A</v>
      </c>
      <c r="I729" s="1848" t="str">
        <f ca="1">IFERROR(_xll.TR(MO.Ticker.Thomson,"Min(TR.PriceLow)","sdate:#1 edate:#2",,INDEX(MO_SNA_FPStartDate,0,COLUMN()),INDEX(MO_Common_QEndDate,0,COLUMN())),"N/A")</f>
        <v>N/A</v>
      </c>
      <c r="J729" s="1848" t="str">
        <f ca="1">IFERROR(_xll.TR(MO.Ticker.Thomson,"Min(TR.PriceLow)","sdate:#1 edate:#2",,INDEX(MO_SNA_FPStartDate,0,COLUMN()),INDEX(MO_Common_QEndDate,0,COLUMN())),"N/A")</f>
        <v>N/A</v>
      </c>
      <c r="K729" s="1848" t="str">
        <f ca="1">IFERROR(_xll.TR(MO.Ticker.Thomson,"Min(TR.PriceLow)","sdate:#1 edate:#2",,INDEX(MO_SNA_FPStartDate,0,COLUMN()),INDEX(MO_Common_QEndDate,0,COLUMN())),"N/A")</f>
        <v>N/A</v>
      </c>
      <c r="L729" s="1848" t="str">
        <f ca="1">IFERROR(_xll.TR(MO.Ticker.Thomson,"Min(TR.PriceLow)","sdate:#1 edate:#2",,INDEX(MO_SNA_FPStartDate,0,COLUMN()),INDEX(MO_Common_QEndDate,0,COLUMN())),"N/A")</f>
        <v>N/A</v>
      </c>
      <c r="M729" s="1848" t="str">
        <f ca="1">IFERROR(_xll.TR(MO.Ticker.Thomson,"Min(TR.PriceLow)","sdate:#1 edate:#2",,INDEX(MO_SNA_FPStartDate,0,COLUMN()),INDEX(MO_Common_QEndDate,0,COLUMN())),"N/A")</f>
        <v>N/A</v>
      </c>
      <c r="N729" s="1848" t="str">
        <f ca="1">IFERROR(_xll.TR(MO.Ticker.Thomson,"Min(TR.PriceLow)","sdate:#1 edate:#2",,INDEX(MO_SNA_FPStartDate,0,COLUMN()),INDEX(MO_Common_QEndDate,0,COLUMN())),"N/A")</f>
        <v>N/A</v>
      </c>
      <c r="O729" s="1848" t="str">
        <f ca="1">IFERROR(_xll.TR(MO.Ticker.Thomson,"Min(TR.PriceLow)","sdate:#1 edate:#2",,INDEX(MO_SNA_FPStartDate,0,COLUMN()),INDEX(MO_Common_QEndDate,0,COLUMN())),"N/A")</f>
        <v>N/A</v>
      </c>
      <c r="P729" s="1848" t="str">
        <f ca="1">IFERROR(_xll.TR(MO.Ticker.Thomson,"Min(TR.PriceLow)","sdate:#1 edate:#2",,INDEX(MO_SNA_FPStartDate,0,COLUMN()),INDEX(MO_Common_QEndDate,0,COLUMN())),"N/A")</f>
        <v>N/A</v>
      </c>
      <c r="Q729" s="1848" t="str">
        <f ca="1">IFERROR(_xll.TR(MO.Ticker.Thomson,"Min(TR.PriceLow)","sdate:#1 edate:#2",,INDEX(MO_SNA_FPStartDate,0,COLUMN()),INDEX(MO_Common_QEndDate,0,COLUMN())),"N/A")</f>
        <v>N/A</v>
      </c>
      <c r="R729" s="1848" t="str">
        <f ca="1">IFERROR(_xll.TR(MO.Ticker.Thomson,"Min(TR.PriceLow)","sdate:#1 edate:#2",,INDEX(MO_SNA_FPStartDate,0,COLUMN()),INDEX(MO_Common_QEndDate,0,COLUMN())),"N/A")</f>
        <v>N/A</v>
      </c>
      <c r="S729" s="1848" t="str">
        <f ca="1">IFERROR(_xll.TR(MO.Ticker.Thomson,"Min(TR.PriceLow)","sdate:#1 edate:#2",,INDEX(MO_SNA_FPStartDate,0,COLUMN()),INDEX(MO_Common_QEndDate,0,COLUMN())),"N/A")</f>
        <v>N/A</v>
      </c>
      <c r="T729" s="1848" t="str">
        <f ca="1">IFERROR(_xll.TR(MO.Ticker.Thomson,"Min(TR.PriceLow)","sdate:#1 edate:#2",,INDEX(MO_SNA_FPStartDate,0,COLUMN()),INDEX(MO_Common_QEndDate,0,COLUMN())),"N/A")</f>
        <v>N/A</v>
      </c>
      <c r="U729" s="1848" t="str">
        <f ca="1">IFERROR(_xll.TR(MO.Ticker.Thomson,"Min(TR.PriceLow)","sdate:#1 edate:#2",,INDEX(MO_SNA_FPStartDate,0,COLUMN()),INDEX(MO_Common_QEndDate,0,COLUMN())),"N/A")</f>
        <v>N/A</v>
      </c>
      <c r="V729" s="1848" t="str">
        <f ca="1">IFERROR(_xll.TR(MO.Ticker.Thomson,"Min(TR.PriceLow)","sdate:#1 edate:#2",,INDEX(MO_SNA_FPStartDate,0,COLUMN()),INDEX(MO_Common_QEndDate,0,COLUMN())),"N/A")</f>
        <v>N/A</v>
      </c>
      <c r="W729" s="1848" t="str">
        <f ca="1">IFERROR(_xll.TR(MO.Ticker.Thomson,"Min(TR.PriceLow)","sdate:#1 edate:#2",,INDEX(MO_SNA_FPStartDate,0,COLUMN()),INDEX(MO_Common_QEndDate,0,COLUMN())),"N/A")</f>
        <v>N/A</v>
      </c>
      <c r="X729" s="1848" t="str">
        <f ca="1">IFERROR(_xll.TR(MO.Ticker.Thomson,"Min(TR.PriceLow)","sdate:#1 edate:#2",,INDEX(MO_SNA_FPStartDate,0,COLUMN()),INDEX(MO_Common_QEndDate,0,COLUMN())),"N/A")</f>
        <v>N/A</v>
      </c>
      <c r="Y729" s="1848" t="str">
        <f ca="1">IFERROR(_xll.TR(MO.Ticker.Thomson,"Min(TR.PriceLow)","sdate:#1 edate:#2",,INDEX(MO_SNA_FPStartDate,0,COLUMN()),INDEX(MO_Common_QEndDate,0,COLUMN())),"N/A")</f>
        <v>N/A</v>
      </c>
      <c r="Z729" s="1848" t="str">
        <f ca="1">IFERROR(_xll.TR(MO.Ticker.Thomson,"Min(TR.PriceLow)","sdate:#1 edate:#2",,INDEX(MO_SNA_FPStartDate,0,COLUMN()),INDEX(MO_Common_QEndDate,0,COLUMN())),"N/A")</f>
        <v>N/A</v>
      </c>
      <c r="AA729" s="1848" t="str">
        <f ca="1">IFERROR(_xll.TR(MO.Ticker.Thomson,"Min(TR.PriceLow)","sdate:#1 edate:#2",,INDEX(MO_SNA_FPStartDate,0,COLUMN()),INDEX(MO_Common_QEndDate,0,COLUMN())),"N/A")</f>
        <v>N/A</v>
      </c>
      <c r="AB729" s="1848" t="str">
        <f ca="1">IFERROR(_xll.TR(MO.Ticker.Thomson,"Min(TR.PriceLow)","sdate:#1 edate:#2",,INDEX(MO_SNA_FPStartDate,0,COLUMN()),INDEX(MO_Common_QEndDate,0,COLUMN())),"N/A")</f>
        <v>N/A</v>
      </c>
      <c r="AC729" s="1848" t="str">
        <f ca="1">IFERROR(_xll.TR(MO.Ticker.Thomson,"Min(TR.PriceLow)","sdate:#1 edate:#2",,INDEX(MO_SNA_FPStartDate,0,COLUMN()),INDEX(MO_Common_QEndDate,0,COLUMN())),"N/A")</f>
        <v>N/A</v>
      </c>
      <c r="AD729" s="1848" t="str">
        <f ca="1">IFERROR(_xll.TR(MO.Ticker.Thomson,"Min(TR.PriceLow)","sdate:#1 edate:#2",,INDEX(MO_SNA_FPStartDate,0,COLUMN()),INDEX(MO_Common_QEndDate,0,COLUMN())),"N/A")</f>
        <v>N/A</v>
      </c>
      <c r="AE729" s="1848" t="str">
        <f ca="1">IFERROR(_xll.TR(MO.Ticker.Thomson,"Min(TR.PriceLow)","sdate:#1 edate:#2",,INDEX(MO_SNA_FPStartDate,0,COLUMN()),INDEX(MO_Common_QEndDate,0,COLUMN())),"N/A")</f>
        <v>N/A</v>
      </c>
      <c r="AF729" s="1848" t="str">
        <f ca="1">IFERROR(_xll.TR(MO.Ticker.Thomson,"Min(TR.PriceLow)","sdate:#1 edate:#2",,INDEX(MO_SNA_FPStartDate,0,COLUMN()),INDEX(MO_Common_QEndDate,0,COLUMN())),"N/A")</f>
        <v>N/A</v>
      </c>
      <c r="AG729" s="1848" t="str">
        <f ca="1">IFERROR(_xll.TR(MO.Ticker.Thomson,"Min(TR.PriceLow)","sdate:#1 edate:#2",,INDEX(MO_SNA_FPStartDate,0,COLUMN()),INDEX(MO_Common_QEndDate,0,COLUMN())),"N/A")</f>
        <v>N/A</v>
      </c>
      <c r="AH729" s="1848" t="str">
        <f ca="1">IFERROR(_xll.TR(MO.Ticker.Thomson,"Min(TR.PriceLow)","sdate:#1 edate:#2",,INDEX(MO_SNA_FPStartDate,0,COLUMN()),INDEX(MO_Common_QEndDate,0,COLUMN())),"N/A")</f>
        <v>N/A</v>
      </c>
      <c r="AI729" s="1848" t="str">
        <f ca="1">IFERROR(_xll.TR(MO.Ticker.Thomson,"Min(TR.PriceLow)","sdate:#1 edate:#2",,INDEX(MO_SNA_FPStartDate,0,COLUMN()),INDEX(MO_Common_QEndDate,0,COLUMN())),"N/A")</f>
        <v>N/A</v>
      </c>
      <c r="AJ729" s="1848" t="str">
        <f ca="1">IFERROR(_xll.TR(MO.Ticker.Thomson,"Min(TR.PriceLow)","sdate:#1 edate:#2",,INDEX(MO_SNA_FPStartDate,0,COLUMN()),INDEX(MO_Common_QEndDate,0,COLUMN())),"N/A")</f>
        <v>N/A</v>
      </c>
      <c r="AK729" s="1832" t="str">
        <f ca="1">IFERROR(_xll.TR(MO.Ticker.Thomson,"Min(TR.PriceLow)","sdate:#1 edate:#2",,INDEX(MO_SNA_FPStartDate,0,COLUMN()),INDEX(MO_Common_QEndDate,0,COLUMN())),"N/A")</f>
        <v>N/A</v>
      </c>
      <c r="AL729" s="1832" t="str">
        <f ca="1">IFERROR(_xll.TR(MO.Ticker.Thomson,"Min(TR.PriceLow)","sdate:#1 edate:#2",,INDEX(MO_SNA_FPStartDate,0,COLUMN()),INDEX(MO_Common_QEndDate,0,COLUMN())),"N/A")</f>
        <v>N/A</v>
      </c>
      <c r="AM729" s="1832" t="str">
        <f ca="1">IFERROR(_xll.TR(MO.Ticker.Thomson,"Min(TR.PriceLow)","sdate:#1 edate:#2",,INDEX(MO_SNA_FPStartDate,0,COLUMN()),INDEX(MO_Common_QEndDate,0,COLUMN())),"N/A")</f>
        <v>N/A</v>
      </c>
      <c r="AN729" s="1832" t="str">
        <f ca="1">IFERROR(_xll.TR(MO.Ticker.Thomson,"Min(TR.PriceLow)","sdate:#1 edate:#2",,INDEX(MO_SNA_FPStartDate,0,COLUMN()),INDEX(MO_Common_QEndDate,0,COLUMN())),"N/A")</f>
        <v>N/A</v>
      </c>
      <c r="AO729" s="1832" t="str">
        <f ca="1">IFERROR(_xll.TR(MO.Ticker.Thomson,"Min(TR.PriceLow)","sdate:#1 edate:#2",,INDEX(MO_SNA_FPStartDate,0,COLUMN()),INDEX(MO_Common_QEndDate,0,COLUMN())),"N/A")</f>
        <v>N/A</v>
      </c>
      <c r="AP729" s="1832" t="str">
        <f ca="1">IFERROR(_xll.TR(MO.Ticker.Thomson,"Min(TR.PriceLow)","sdate:#1 edate:#2",,INDEX(MO_SNA_FPStartDate,0,COLUMN()),INDEX(MO_Common_QEndDate,0,COLUMN())),"N/A")</f>
        <v>N/A</v>
      </c>
      <c r="AQ729" s="1832"/>
      <c r="AR729" s="2121" t="str">
        <f ca="1">IFERROR(_xll.TR(MO.Ticker.Thomson,"Min(TR.PriceLow)","sdate:#1 edate:#2",,INDEX(MO_SNA_FPStartDate,0,COLUMN()),INDEX(MO_Common_QEndDate,0,COLUMN())),"N/A")</f>
        <v>N/A</v>
      </c>
      <c r="AS729" s="2121" t="str">
        <f ca="1">IFERROR(_xll.TR(MO.Ticker.Thomson,"Min(TR.PriceLow)","sdate:#1 edate:#2",,INDEX(MO_SNA_FPStartDate,0,COLUMN()),INDEX(MO_Common_QEndDate,0,COLUMN())),"N/A")</f>
        <v>N/A</v>
      </c>
      <c r="AT729" s="1848" t="str">
        <f ca="1">IFERROR(_xll.TR(MO.Ticker.Thomson,"Min(TR.PriceLow)","sdate:#1 edate:#2",,INDEX(MO_SNA_FPStartDate,0,COLUMN()),INDEX(MO_Common_QEndDate,0,COLUMN())),"N/A")</f>
        <v>N/A</v>
      </c>
      <c r="AU729" s="1848" t="str">
        <f ca="1">IFERROR(_xll.TR(MO.Ticker.Thomson,"Min(TR.PriceLow)","sdate:#1 edate:#2",,INDEX(MO_SNA_FPStartDate,0,COLUMN()),INDEX(MO_Common_QEndDate,0,COLUMN())),"N/A")</f>
        <v>N/A</v>
      </c>
      <c r="AV729" s="1848" t="str">
        <f ca="1">IFERROR(_xll.TR(MO.Ticker.Thomson,"Min(TR.PriceLow)","sdate:#1 edate:#2",,INDEX(MO_SNA_FPStartDate,0,COLUMN()),INDEX(MO_Common_QEndDate,0,COLUMN())),"N/A")</f>
        <v>N/A</v>
      </c>
      <c r="AW729" s="1848" t="str">
        <f ca="1">IFERROR(_xll.TR(MO.Ticker.Thomson,"Min(TR.PriceLow)","sdate:#1 edate:#2",,INDEX(MO_SNA_FPStartDate,0,COLUMN()),INDEX(MO_Common_QEndDate,0,COLUMN())),"N/A")</f>
        <v>N/A</v>
      </c>
      <c r="AX729" s="1848" t="str">
        <f ca="1">IFERROR(_xll.TR(MO.Ticker.Thomson,"Min(TR.PriceLow)","sdate:#1 edate:#2",,INDEX(MO_SNA_FPStartDate,0,COLUMN()),INDEX(MO_Common_QEndDate,0,COLUMN())),"N/A")</f>
        <v>N/A</v>
      </c>
      <c r="AY729" s="1848" t="str">
        <f ca="1">IFERROR(_xll.TR(MO.Ticker.Thomson,"Min(TR.PriceLow)","sdate:#1 edate:#2",,INDEX(MO_SNA_FPStartDate,0,COLUMN()),INDEX(MO_Common_QEndDate,0,COLUMN())),"N/A")</f>
        <v>N/A</v>
      </c>
      <c r="AZ729" s="1848" t="str">
        <f ca="1">IFERROR(_xll.TR(MO.Ticker.Thomson,"Min(TR.PriceLow)","sdate:#1 edate:#2",,INDEX(MO_SNA_FPStartDate,0,COLUMN()),INDEX(MO_Common_QEndDate,0,COLUMN())),"N/A")</f>
        <v>N/A</v>
      </c>
      <c r="BA729" s="1848" t="str">
        <f ca="1">IFERROR(_xll.TR(MO.Ticker.Thomson,"Min(TR.PriceLow)","sdate:#1 edate:#2",,INDEX(MO_SNA_FPStartDate,0,COLUMN()),INDEX(MO_Common_QEndDate,0,COLUMN())),"N/A")</f>
        <v>N/A</v>
      </c>
      <c r="BB729" s="1848" t="str">
        <f ca="1">IFERROR(_xll.TR(MO.Ticker.Thomson,"Min(TR.PriceLow)","sdate:#1 edate:#2",,INDEX(MO_SNA_FPStartDate,0,COLUMN()),INDEX(MO_Common_QEndDate,0,COLUMN())),"N/A")</f>
        <v>N/A</v>
      </c>
      <c r="BC729" s="1848" t="str">
        <f ca="1">IFERROR(_xll.TR(MO.Ticker.Thomson,"Min(TR.PriceLow)","sdate:#1 edate:#2",,INDEX(MO_SNA_FPStartDate,0,COLUMN()),INDEX(MO_Common_QEndDate,0,COLUMN())),"N/A")</f>
        <v>N/A</v>
      </c>
      <c r="BD729" s="1848" t="str">
        <f ca="1">IFERROR(_xll.TR(MO.Ticker.Thomson,"Min(TR.PriceLow)","sdate:#1 edate:#2",,INDEX(MO_SNA_FPStartDate,0,COLUMN()),INDEX(MO_Common_QEndDate,0,COLUMN())),"N/A")</f>
        <v>N/A</v>
      </c>
      <c r="BE729" s="1848" t="str">
        <f ca="1">IFERROR(_xll.TR(MO.Ticker.Thomson,"Min(TR.PriceLow)","sdate:#1 edate:#2",,INDEX(MO_SNA_FPStartDate,0,COLUMN()),INDEX(MO_Common_QEndDate,0,COLUMN())),"N/A")</f>
        <v>N/A</v>
      </c>
      <c r="BF729" s="1848" t="str">
        <f ca="1">IFERROR(_xll.TR(MO.Ticker.Thomson,"Min(TR.PriceLow)","sdate:#1 edate:#2",,INDEX(MO_SNA_FPStartDate,0,COLUMN()),INDEX(MO_Common_QEndDate,0,COLUMN())),"N/A")</f>
        <v>N/A</v>
      </c>
      <c r="BG729" s="1832" t="str">
        <f ca="1">IFERROR(_xll.TR(MO.Ticker.Thomson,"Min(TR.PriceLow)","sdate:#1 edate:#2",,INDEX(MO_SNA_FPStartDate,0,COLUMN()),INDEX(MO_Common_QEndDate,0,COLUMN())),"N/A")</f>
        <v>N/A</v>
      </c>
      <c r="BH729" s="1832" t="str">
        <f ca="1">IFERROR(_xll.TR(MO.Ticker.Thomson,"Min(TR.PriceLow)","sdate:#1 edate:#2",,INDEX(MO_SNA_FPStartDate,0,COLUMN()),INDEX(MO_Common_QEndDate,0,COLUMN())),"N/A")</f>
        <v>N/A</v>
      </c>
      <c r="BI729" s="1832" t="str">
        <f ca="1">IFERROR(_xll.TR(MO.Ticker.Thomson,"Min(TR.PriceLow)","sdate:#1 edate:#2",,INDEX(MO_SNA_FPStartDate,0,COLUMN()),INDEX(MO_Common_QEndDate,0,COLUMN())),"N/A")</f>
        <v>N/A</v>
      </c>
      <c r="BJ729" s="1832" t="str">
        <f ca="1">IFERROR(_xll.TR(MO.Ticker.Thomson,"Min(TR.PriceLow)","sdate:#1 edate:#2",,INDEX(MO_SNA_FPStartDate,0,COLUMN()),INDEX(MO_Common_QEndDate,0,COLUMN())),"N/A")</f>
        <v>N/A</v>
      </c>
      <c r="BK729" s="2122" t="str">
        <f ca="1">IFERROR(_xll.TR(MO.Ticker.Thomson,"Min(TR.PriceLow)","sdate:#1 edate:#2",,INDEX(MO_SNA_FPStartDate,0,COLUMN()),INDEX(MO_Common_QEndDate,0,COLUMN())),"N/A")</f>
        <v>N/A</v>
      </c>
      <c r="BL729" s="1848"/>
    </row>
    <row r="730" spans="1:64" s="1518" customFormat="1" hidden="1" outlineLevel="1" x14ac:dyDescent="0.35">
      <c r="A730" s="2126"/>
      <c r="B730" s="1515"/>
      <c r="C730" s="1515"/>
      <c r="D730" s="1515"/>
      <c r="E730" s="1515"/>
      <c r="F730" s="1515"/>
      <c r="G730" s="1515"/>
      <c r="H730" s="1515"/>
      <c r="I730" s="1515"/>
      <c r="J730" s="1515"/>
      <c r="K730" s="1515"/>
      <c r="L730" s="1515"/>
      <c r="M730" s="1515"/>
      <c r="N730" s="1515"/>
      <c r="O730" s="1515"/>
      <c r="P730" s="1515"/>
      <c r="Q730" s="1515"/>
      <c r="R730" s="1515"/>
      <c r="S730" s="1515"/>
      <c r="T730" s="1515"/>
      <c r="U730" s="1515"/>
      <c r="V730" s="1515"/>
      <c r="W730" s="1515"/>
      <c r="X730" s="1515"/>
      <c r="Y730" s="1515"/>
      <c r="Z730" s="1515"/>
      <c r="AA730" s="1515"/>
      <c r="AB730" s="1515"/>
      <c r="AC730" s="1515"/>
      <c r="AD730" s="1515"/>
      <c r="AE730" s="1515"/>
      <c r="AF730" s="1515"/>
      <c r="AG730" s="1515"/>
      <c r="AH730" s="1515"/>
      <c r="AI730" s="1515"/>
      <c r="AJ730" s="1515"/>
      <c r="AK730" s="1515"/>
      <c r="AL730" s="1515"/>
      <c r="AM730" s="1515"/>
      <c r="AN730" s="1515"/>
      <c r="AO730" s="1515"/>
      <c r="AP730" s="1515"/>
      <c r="AQ730" s="1515"/>
      <c r="AR730" s="2071"/>
      <c r="AS730" s="2071"/>
      <c r="AT730" s="1515"/>
      <c r="AU730" s="1515"/>
      <c r="AV730" s="1515"/>
      <c r="AW730" s="1515"/>
      <c r="AX730" s="1515"/>
      <c r="AY730" s="1515"/>
      <c r="AZ730" s="1515"/>
      <c r="BA730" s="1515"/>
      <c r="BB730" s="1515"/>
      <c r="BC730" s="1515"/>
      <c r="BD730" s="1515"/>
      <c r="BE730" s="1515"/>
      <c r="BF730" s="1515"/>
      <c r="BG730" s="1515"/>
      <c r="BH730" s="1515"/>
      <c r="BI730" s="1515"/>
      <c r="BJ730" s="1515"/>
      <c r="BK730" s="2127"/>
      <c r="BL730" s="1517"/>
    </row>
    <row r="731" spans="1:64" s="2008" customFormat="1" collapsed="1" x14ac:dyDescent="0.35">
      <c r="A731" s="2120" t="str">
        <f ca="1">"Stock Average: "&amp;IF(OR(MO.RealTimeStockPriceToggle=FALSE,VLOOKUP(MO.DataSourceName,MO_SPT_StockAverage_Sources,COLUMN()+2,FALSE)="N/A"),"Real-Time Off Source",MO.DataSourceName)</f>
        <v>Stock Average: Real-Time Off Source</v>
      </c>
      <c r="B731" s="1832"/>
      <c r="C731" s="1848">
        <f t="shared" ref="C731:AP731" ca="1" si="460">IF(OR(MO.RealTimeStockPriceToggle=FALSE,VLOOKUP(MO.DataSourceName,MO_SPT_StockAverage_Sources,COLUMN(),FALSE)="N/A"),VLOOKUP("Real-Time Off Source",MO_SPT_StockAverage_Sources,COLUMN(),FALSE),VLOOKUP(MO.DataSourceName,MO_SPT_StockAverage_Sources,COLUMN(),FALSE))</f>
        <v>0</v>
      </c>
      <c r="D731" s="1848">
        <f t="shared" ca="1" si="460"/>
        <v>0</v>
      </c>
      <c r="E731" s="1848">
        <f t="shared" ca="1" si="460"/>
        <v>0</v>
      </c>
      <c r="F731" s="1848">
        <f t="shared" ca="1" si="460"/>
        <v>0</v>
      </c>
      <c r="G731" s="1848">
        <f t="shared" ca="1" si="460"/>
        <v>0</v>
      </c>
      <c r="H731" s="1848">
        <f t="shared" ca="1" si="460"/>
        <v>0</v>
      </c>
      <c r="I731" s="1848">
        <f t="shared" ca="1" si="460"/>
        <v>0</v>
      </c>
      <c r="J731" s="1848">
        <f t="shared" ca="1" si="460"/>
        <v>0</v>
      </c>
      <c r="K731" s="1848">
        <f t="shared" ca="1" si="460"/>
        <v>0</v>
      </c>
      <c r="L731" s="1848">
        <f t="shared" ca="1" si="460"/>
        <v>0</v>
      </c>
      <c r="M731" s="1848">
        <f t="shared" ca="1" si="460"/>
        <v>0</v>
      </c>
      <c r="N731" s="1848">
        <f t="shared" ca="1" si="460"/>
        <v>0</v>
      </c>
      <c r="O731" s="1848">
        <f t="shared" ca="1" si="460"/>
        <v>0</v>
      </c>
      <c r="P731" s="1848">
        <f t="shared" ca="1" si="460"/>
        <v>0</v>
      </c>
      <c r="Q731" s="1848">
        <f t="shared" ca="1" si="460"/>
        <v>0</v>
      </c>
      <c r="R731" s="1848">
        <f t="shared" ca="1" si="460"/>
        <v>0</v>
      </c>
      <c r="S731" s="1848">
        <f t="shared" ca="1" si="460"/>
        <v>0</v>
      </c>
      <c r="T731" s="1848">
        <f t="shared" ca="1" si="460"/>
        <v>0</v>
      </c>
      <c r="U731" s="1848">
        <f t="shared" ca="1" si="460"/>
        <v>0</v>
      </c>
      <c r="V731" s="1848">
        <f t="shared" ca="1" si="460"/>
        <v>0</v>
      </c>
      <c r="W731" s="1848">
        <f t="shared" ca="1" si="460"/>
        <v>0</v>
      </c>
      <c r="X731" s="1848">
        <f t="shared" ca="1" si="460"/>
        <v>0</v>
      </c>
      <c r="Y731" s="1848">
        <f t="shared" ca="1" si="460"/>
        <v>26.2216666666667</v>
      </c>
      <c r="Z731" s="1848">
        <f t="shared" ca="1" si="460"/>
        <v>23.657656249999999</v>
      </c>
      <c r="AA731" s="1848">
        <f t="shared" ca="1" si="460"/>
        <v>21.261935483871</v>
      </c>
      <c r="AB731" s="1848">
        <f t="shared" ca="1" si="460"/>
        <v>21.2314516129032</v>
      </c>
      <c r="AC731" s="1848">
        <f t="shared" ca="1" si="460"/>
        <v>19.866875</v>
      </c>
      <c r="AD731" s="1848">
        <f t="shared" ca="1" si="460"/>
        <v>16.1490476190476</v>
      </c>
      <c r="AE731" s="1848">
        <f t="shared" ca="1" si="460"/>
        <v>13.156774193548401</v>
      </c>
      <c r="AF731" s="1848">
        <f t="shared" ca="1" si="460"/>
        <v>11.9833870967742</v>
      </c>
      <c r="AG731" s="1848">
        <f t="shared" ca="1" si="460"/>
        <v>12.950952380952399</v>
      </c>
      <c r="AH731" s="1848">
        <f t="shared" ca="1" si="460"/>
        <v>12.555873015873001</v>
      </c>
      <c r="AI731" s="1848">
        <f t="shared" ca="1" si="460"/>
        <v>14.2739344262295</v>
      </c>
      <c r="AJ731" s="1848">
        <f t="shared" ca="1" si="460"/>
        <v>15.3357142857143</v>
      </c>
      <c r="AK731" s="1832">
        <f t="shared" ca="1" si="460"/>
        <v>0</v>
      </c>
      <c r="AL731" s="1832">
        <f t="shared" ca="1" si="460"/>
        <v>0</v>
      </c>
      <c r="AM731" s="1832">
        <f t="shared" ca="1" si="460"/>
        <v>0</v>
      </c>
      <c r="AN731" s="1832">
        <f t="shared" ca="1" si="460"/>
        <v>0</v>
      </c>
      <c r="AO731" s="1832">
        <f t="shared" ca="1" si="460"/>
        <v>0</v>
      </c>
      <c r="AP731" s="1832">
        <f t="shared" ca="1" si="460"/>
        <v>0</v>
      </c>
      <c r="AQ731" s="1832"/>
      <c r="AR731" s="2121">
        <f t="shared" ref="AR731:BK731" ca="1" si="461">IF(OR(MO.RealTimeStockPriceToggle=FALSE,VLOOKUP(MO.DataSourceName,MO_SPT_StockAverage_Sources,COLUMN(),FALSE)="N/A"),VLOOKUP("Real-Time Off Source",MO_SPT_StockAverage_Sources,COLUMN(),FALSE),VLOOKUP(MO.DataSourceName,MO_SPT_StockAverage_Sources,COLUMN(),FALSE))</f>
        <v>0</v>
      </c>
      <c r="AS731" s="2121">
        <f t="shared" ca="1" si="461"/>
        <v>0</v>
      </c>
      <c r="AT731" s="1848">
        <f t="shared" ca="1" si="461"/>
        <v>0</v>
      </c>
      <c r="AU731" s="1848">
        <f t="shared" ca="1" si="461"/>
        <v>0</v>
      </c>
      <c r="AV731" s="1848">
        <f t="shared" ca="1" si="461"/>
        <v>0</v>
      </c>
      <c r="AW731" s="1848">
        <f t="shared" ca="1" si="461"/>
        <v>0</v>
      </c>
      <c r="AX731" s="1848">
        <f t="shared" ca="1" si="461"/>
        <v>0</v>
      </c>
      <c r="AY731" s="1848">
        <f t="shared" ca="1" si="461"/>
        <v>0</v>
      </c>
      <c r="AZ731" s="1848">
        <f t="shared" ca="1" si="461"/>
        <v>0</v>
      </c>
      <c r="BA731" s="1848">
        <f t="shared" ca="1" si="461"/>
        <v>0</v>
      </c>
      <c r="BB731" s="1848">
        <f t="shared" ca="1" si="461"/>
        <v>0</v>
      </c>
      <c r="BC731" s="1848">
        <f t="shared" ca="1" si="461"/>
        <v>0</v>
      </c>
      <c r="BD731" s="1848">
        <f t="shared" ca="1" si="461"/>
        <v>23.877428571428599</v>
      </c>
      <c r="BE731" s="1848">
        <f t="shared" ca="1" si="461"/>
        <v>19.6153784860558</v>
      </c>
      <c r="BF731" s="1848">
        <f t="shared" ca="1" si="461"/>
        <v>12.66248</v>
      </c>
      <c r="BG731" s="1832">
        <f t="shared" ca="1" si="461"/>
        <v>0</v>
      </c>
      <c r="BH731" s="1832">
        <f t="shared" ca="1" si="461"/>
        <v>0</v>
      </c>
      <c r="BI731" s="1832">
        <f t="shared" ca="1" si="461"/>
        <v>0</v>
      </c>
      <c r="BJ731" s="1832">
        <f t="shared" ca="1" si="461"/>
        <v>0</v>
      </c>
      <c r="BK731" s="2122">
        <f t="shared" ca="1" si="461"/>
        <v>0</v>
      </c>
      <c r="BL731" s="1848"/>
    </row>
    <row r="732" spans="1:64" s="2008" customFormat="1" hidden="1" outlineLevel="1" x14ac:dyDescent="0.35">
      <c r="A732" s="2123" t="s">
        <v>1275</v>
      </c>
      <c r="B732" s="1832"/>
      <c r="C732" s="2124">
        <v>0</v>
      </c>
      <c r="D732" s="2124">
        <v>0</v>
      </c>
      <c r="E732" s="2124">
        <v>0</v>
      </c>
      <c r="F732" s="2124">
        <v>0</v>
      </c>
      <c r="G732" s="2124">
        <v>0</v>
      </c>
      <c r="H732" s="2124">
        <v>0</v>
      </c>
      <c r="I732" s="2124">
        <v>0</v>
      </c>
      <c r="J732" s="2124">
        <v>0</v>
      </c>
      <c r="K732" s="2124">
        <v>0</v>
      </c>
      <c r="L732" s="2124">
        <v>0</v>
      </c>
      <c r="M732" s="2124">
        <v>0</v>
      </c>
      <c r="N732" s="2124">
        <v>0</v>
      </c>
      <c r="O732" s="2124">
        <v>0</v>
      </c>
      <c r="P732" s="2124">
        <v>0</v>
      </c>
      <c r="Q732" s="2124">
        <v>0</v>
      </c>
      <c r="R732" s="2124">
        <v>0</v>
      </c>
      <c r="S732" s="2124">
        <v>0</v>
      </c>
      <c r="T732" s="2124">
        <v>0</v>
      </c>
      <c r="U732" s="2124">
        <v>0</v>
      </c>
      <c r="V732" s="2124">
        <v>0</v>
      </c>
      <c r="W732" s="2124">
        <v>0</v>
      </c>
      <c r="X732" s="2124">
        <v>0</v>
      </c>
      <c r="Y732" s="2124">
        <v>26.2216666666667</v>
      </c>
      <c r="Z732" s="2124">
        <v>23.657656249999999</v>
      </c>
      <c r="AA732" s="2124">
        <v>21.261935483871</v>
      </c>
      <c r="AB732" s="2124">
        <v>21.2314516129032</v>
      </c>
      <c r="AC732" s="2124">
        <v>19.866875</v>
      </c>
      <c r="AD732" s="2124">
        <v>16.1490476190476</v>
      </c>
      <c r="AE732" s="2124">
        <v>13.156774193548401</v>
      </c>
      <c r="AF732" s="2124">
        <v>11.9833870967742</v>
      </c>
      <c r="AG732" s="2124">
        <v>12.950952380952399</v>
      </c>
      <c r="AH732" s="2124">
        <v>12.555873015873001</v>
      </c>
      <c r="AI732" s="2124">
        <v>14.2739344262295</v>
      </c>
      <c r="AJ732" s="2124">
        <v>15.3357142857143</v>
      </c>
      <c r="AK732" s="1832"/>
      <c r="AL732" s="1832"/>
      <c r="AM732" s="1832"/>
      <c r="AN732" s="1832"/>
      <c r="AO732" s="1832"/>
      <c r="AP732" s="1832"/>
      <c r="AQ732" s="1832"/>
      <c r="AR732" s="2125">
        <v>0</v>
      </c>
      <c r="AS732" s="2125">
        <v>0</v>
      </c>
      <c r="AT732" s="2124">
        <v>0</v>
      </c>
      <c r="AU732" s="2124">
        <v>0</v>
      </c>
      <c r="AV732" s="2124">
        <v>0</v>
      </c>
      <c r="AW732" s="2124">
        <v>0</v>
      </c>
      <c r="AX732" s="2124">
        <v>0</v>
      </c>
      <c r="AY732" s="2124">
        <v>0</v>
      </c>
      <c r="AZ732" s="2124">
        <v>0</v>
      </c>
      <c r="BA732" s="2124">
        <v>0</v>
      </c>
      <c r="BB732" s="2124">
        <v>0</v>
      </c>
      <c r="BC732" s="2124">
        <v>0</v>
      </c>
      <c r="BD732" s="2124">
        <v>23.877428571428599</v>
      </c>
      <c r="BE732" s="2124">
        <v>19.6153784860558</v>
      </c>
      <c r="BF732" s="2124">
        <v>12.66248</v>
      </c>
      <c r="BG732" s="1832"/>
      <c r="BH732" s="1832"/>
      <c r="BI732" s="1832"/>
      <c r="BJ732" s="1832"/>
      <c r="BK732" s="2122"/>
      <c r="BL732" s="1848"/>
    </row>
    <row r="733" spans="1:64" s="2008" customFormat="1" hidden="1" outlineLevel="1" x14ac:dyDescent="0.35">
      <c r="A733" s="2123" t="s">
        <v>1276</v>
      </c>
      <c r="B733" s="1832"/>
      <c r="C733" s="1848" t="str">
        <f ca="1">IFERROR(BDP(MO.Ticker.Bloomberg&amp;" Equity","INTERVAL_AVG","MARKET_DATA_OVERRIDE=PX_LAST","START_DATE_OVERRIDE",TEXT(INDEX(MO_SNA_FPStartDate,0,COLUMN()),"YYYYMMDD"),"END_DATE_OVERRIDE",TEXT(INDEX(MO_Common_QEndDate,0,COLUMN()),"YYYYMMDD")),"N/A")</f>
        <v>N/A</v>
      </c>
      <c r="D733" s="1848" t="str">
        <f ca="1">IFERROR(BDP(MO.Ticker.Bloomberg&amp;" Equity","INTERVAL_AVG","MARKET_DATA_OVERRIDE=PX_LAST","START_DATE_OVERRIDE",TEXT(INDEX(MO_SNA_FPStartDate,0,COLUMN()),"YYYYMMDD"),"END_DATE_OVERRIDE",TEXT(INDEX(MO_Common_QEndDate,0,COLUMN()),"YYYYMMDD")),"N/A")</f>
        <v>N/A</v>
      </c>
      <c r="E733" s="1848" t="str">
        <f ca="1">IFERROR(BDP(MO.Ticker.Bloomberg&amp;" Equity","INTERVAL_AVG","MARKET_DATA_OVERRIDE=PX_LAST","START_DATE_OVERRIDE",TEXT(INDEX(MO_SNA_FPStartDate,0,COLUMN()),"YYYYMMDD"),"END_DATE_OVERRIDE",TEXT(INDEX(MO_Common_QEndDate,0,COLUMN()),"YYYYMMDD")),"N/A")</f>
        <v>N/A</v>
      </c>
      <c r="F733" s="1848" t="str">
        <f ca="1">IFERROR(BDP(MO.Ticker.Bloomberg&amp;" Equity","INTERVAL_AVG","MARKET_DATA_OVERRIDE=PX_LAST","START_DATE_OVERRIDE",TEXT(INDEX(MO_SNA_FPStartDate,0,COLUMN()),"YYYYMMDD"),"END_DATE_OVERRIDE",TEXT(INDEX(MO_Common_QEndDate,0,COLUMN()),"YYYYMMDD")),"N/A")</f>
        <v>N/A</v>
      </c>
      <c r="G733" s="1848" t="str">
        <f ca="1">IFERROR(BDP(MO.Ticker.Bloomberg&amp;" Equity","INTERVAL_AVG","MARKET_DATA_OVERRIDE=PX_LAST","START_DATE_OVERRIDE",TEXT(INDEX(MO_SNA_FPStartDate,0,COLUMN()),"YYYYMMDD"),"END_DATE_OVERRIDE",TEXT(INDEX(MO_Common_QEndDate,0,COLUMN()),"YYYYMMDD")),"N/A")</f>
        <v>N/A</v>
      </c>
      <c r="H733" s="1848" t="str">
        <f ca="1">IFERROR(BDP(MO.Ticker.Bloomberg&amp;" Equity","INTERVAL_AVG","MARKET_DATA_OVERRIDE=PX_LAST","START_DATE_OVERRIDE",TEXT(INDEX(MO_SNA_FPStartDate,0,COLUMN()),"YYYYMMDD"),"END_DATE_OVERRIDE",TEXT(INDEX(MO_Common_QEndDate,0,COLUMN()),"YYYYMMDD")),"N/A")</f>
        <v>N/A</v>
      </c>
      <c r="I733" s="1848" t="str">
        <f ca="1">IFERROR(BDP(MO.Ticker.Bloomberg&amp;" Equity","INTERVAL_AVG","MARKET_DATA_OVERRIDE=PX_LAST","START_DATE_OVERRIDE",TEXT(INDEX(MO_SNA_FPStartDate,0,COLUMN()),"YYYYMMDD"),"END_DATE_OVERRIDE",TEXT(INDEX(MO_Common_QEndDate,0,COLUMN()),"YYYYMMDD")),"N/A")</f>
        <v>N/A</v>
      </c>
      <c r="J733" s="1848" t="str">
        <f ca="1">IFERROR(BDP(MO.Ticker.Bloomberg&amp;" Equity","INTERVAL_AVG","MARKET_DATA_OVERRIDE=PX_LAST","START_DATE_OVERRIDE",TEXT(INDEX(MO_SNA_FPStartDate,0,COLUMN()),"YYYYMMDD"),"END_DATE_OVERRIDE",TEXT(INDEX(MO_Common_QEndDate,0,COLUMN()),"YYYYMMDD")),"N/A")</f>
        <v>N/A</v>
      </c>
      <c r="K733" s="1848" t="str">
        <f ca="1">IFERROR(BDP(MO.Ticker.Bloomberg&amp;" Equity","INTERVAL_AVG","MARKET_DATA_OVERRIDE=PX_LAST","START_DATE_OVERRIDE",TEXT(INDEX(MO_SNA_FPStartDate,0,COLUMN()),"YYYYMMDD"),"END_DATE_OVERRIDE",TEXT(INDEX(MO_Common_QEndDate,0,COLUMN()),"YYYYMMDD")),"N/A")</f>
        <v>N/A</v>
      </c>
      <c r="L733" s="1848" t="str">
        <f ca="1">IFERROR(BDP(MO.Ticker.Bloomberg&amp;" Equity","INTERVAL_AVG","MARKET_DATA_OVERRIDE=PX_LAST","START_DATE_OVERRIDE",TEXT(INDEX(MO_SNA_FPStartDate,0,COLUMN()),"YYYYMMDD"),"END_DATE_OVERRIDE",TEXT(INDEX(MO_Common_QEndDate,0,COLUMN()),"YYYYMMDD")),"N/A")</f>
        <v>N/A</v>
      </c>
      <c r="M733" s="1848" t="str">
        <f ca="1">IFERROR(BDP(MO.Ticker.Bloomberg&amp;" Equity","INTERVAL_AVG","MARKET_DATA_OVERRIDE=PX_LAST","START_DATE_OVERRIDE",TEXT(INDEX(MO_SNA_FPStartDate,0,COLUMN()),"YYYYMMDD"),"END_DATE_OVERRIDE",TEXT(INDEX(MO_Common_QEndDate,0,COLUMN()),"YYYYMMDD")),"N/A")</f>
        <v>N/A</v>
      </c>
      <c r="N733" s="1848" t="str">
        <f ca="1">IFERROR(BDP(MO.Ticker.Bloomberg&amp;" Equity","INTERVAL_AVG","MARKET_DATA_OVERRIDE=PX_LAST","START_DATE_OVERRIDE",TEXT(INDEX(MO_SNA_FPStartDate,0,COLUMN()),"YYYYMMDD"),"END_DATE_OVERRIDE",TEXT(INDEX(MO_Common_QEndDate,0,COLUMN()),"YYYYMMDD")),"N/A")</f>
        <v>N/A</v>
      </c>
      <c r="O733" s="1848" t="str">
        <f ca="1">IFERROR(BDP(MO.Ticker.Bloomberg&amp;" Equity","INTERVAL_AVG","MARKET_DATA_OVERRIDE=PX_LAST","START_DATE_OVERRIDE",TEXT(INDEX(MO_SNA_FPStartDate,0,COLUMN()),"YYYYMMDD"),"END_DATE_OVERRIDE",TEXT(INDEX(MO_Common_QEndDate,0,COLUMN()),"YYYYMMDD")),"N/A")</f>
        <v>N/A</v>
      </c>
      <c r="P733" s="1848" t="str">
        <f ca="1">IFERROR(BDP(MO.Ticker.Bloomberg&amp;" Equity","INTERVAL_AVG","MARKET_DATA_OVERRIDE=PX_LAST","START_DATE_OVERRIDE",TEXT(INDEX(MO_SNA_FPStartDate,0,COLUMN()),"YYYYMMDD"),"END_DATE_OVERRIDE",TEXT(INDEX(MO_Common_QEndDate,0,COLUMN()),"YYYYMMDD")),"N/A")</f>
        <v>N/A</v>
      </c>
      <c r="Q733" s="1848" t="str">
        <f ca="1">IFERROR(BDP(MO.Ticker.Bloomberg&amp;" Equity","INTERVAL_AVG","MARKET_DATA_OVERRIDE=PX_LAST","START_DATE_OVERRIDE",TEXT(INDEX(MO_SNA_FPStartDate,0,COLUMN()),"YYYYMMDD"),"END_DATE_OVERRIDE",TEXT(INDEX(MO_Common_QEndDate,0,COLUMN()),"YYYYMMDD")),"N/A")</f>
        <v>N/A</v>
      </c>
      <c r="R733" s="1848" t="str">
        <f ca="1">IFERROR(BDP(MO.Ticker.Bloomberg&amp;" Equity","INTERVAL_AVG","MARKET_DATA_OVERRIDE=PX_LAST","START_DATE_OVERRIDE",TEXT(INDEX(MO_SNA_FPStartDate,0,COLUMN()),"YYYYMMDD"),"END_DATE_OVERRIDE",TEXT(INDEX(MO_Common_QEndDate,0,COLUMN()),"YYYYMMDD")),"N/A")</f>
        <v>N/A</v>
      </c>
      <c r="S733" s="1848" t="str">
        <f ca="1">IFERROR(BDP(MO.Ticker.Bloomberg&amp;" Equity","INTERVAL_AVG","MARKET_DATA_OVERRIDE=PX_LAST","START_DATE_OVERRIDE",TEXT(INDEX(MO_SNA_FPStartDate,0,COLUMN()),"YYYYMMDD"),"END_DATE_OVERRIDE",TEXT(INDEX(MO_Common_QEndDate,0,COLUMN()),"YYYYMMDD")),"N/A")</f>
        <v>N/A</v>
      </c>
      <c r="T733" s="1848" t="str">
        <f ca="1">IFERROR(BDP(MO.Ticker.Bloomberg&amp;" Equity","INTERVAL_AVG","MARKET_DATA_OVERRIDE=PX_LAST","START_DATE_OVERRIDE",TEXT(INDEX(MO_SNA_FPStartDate,0,COLUMN()),"YYYYMMDD"),"END_DATE_OVERRIDE",TEXT(INDEX(MO_Common_QEndDate,0,COLUMN()),"YYYYMMDD")),"N/A")</f>
        <v>N/A</v>
      </c>
      <c r="U733" s="1848" t="str">
        <f ca="1">IFERROR(BDP(MO.Ticker.Bloomberg&amp;" Equity","INTERVAL_AVG","MARKET_DATA_OVERRIDE=PX_LAST","START_DATE_OVERRIDE",TEXT(INDEX(MO_SNA_FPStartDate,0,COLUMN()),"YYYYMMDD"),"END_DATE_OVERRIDE",TEXT(INDEX(MO_Common_QEndDate,0,COLUMN()),"YYYYMMDD")),"N/A")</f>
        <v>N/A</v>
      </c>
      <c r="V733" s="1848" t="str">
        <f ca="1">IFERROR(BDP(MO.Ticker.Bloomberg&amp;" Equity","INTERVAL_AVG","MARKET_DATA_OVERRIDE=PX_LAST","START_DATE_OVERRIDE",TEXT(INDEX(MO_SNA_FPStartDate,0,COLUMN()),"YYYYMMDD"),"END_DATE_OVERRIDE",TEXT(INDEX(MO_Common_QEndDate,0,COLUMN()),"YYYYMMDD")),"N/A")</f>
        <v>N/A</v>
      </c>
      <c r="W733" s="1848" t="str">
        <f ca="1">IFERROR(BDP(MO.Ticker.Bloomberg&amp;" Equity","INTERVAL_AVG","MARKET_DATA_OVERRIDE=PX_LAST","START_DATE_OVERRIDE",TEXT(INDEX(MO_SNA_FPStartDate,0,COLUMN()),"YYYYMMDD"),"END_DATE_OVERRIDE",TEXT(INDEX(MO_Common_QEndDate,0,COLUMN()),"YYYYMMDD")),"N/A")</f>
        <v>N/A</v>
      </c>
      <c r="X733" s="1848" t="str">
        <f ca="1">IFERROR(BDP(MO.Ticker.Bloomberg&amp;" Equity","INTERVAL_AVG","MARKET_DATA_OVERRIDE=PX_LAST","START_DATE_OVERRIDE",TEXT(INDEX(MO_SNA_FPStartDate,0,COLUMN()),"YYYYMMDD"),"END_DATE_OVERRIDE",TEXT(INDEX(MO_Common_QEndDate,0,COLUMN()),"YYYYMMDD")),"N/A")</f>
        <v>N/A</v>
      </c>
      <c r="Y733" s="1848" t="str">
        <f ca="1">IFERROR(BDP(MO.Ticker.Bloomberg&amp;" Equity","INTERVAL_AVG","MARKET_DATA_OVERRIDE=PX_LAST","START_DATE_OVERRIDE",TEXT(INDEX(MO_SNA_FPStartDate,0,COLUMN()),"YYYYMMDD"),"END_DATE_OVERRIDE",TEXT(INDEX(MO_Common_QEndDate,0,COLUMN()),"YYYYMMDD")),"N/A")</f>
        <v>N/A</v>
      </c>
      <c r="Z733" s="1848" t="str">
        <f ca="1">IFERROR(BDP(MO.Ticker.Bloomberg&amp;" Equity","INTERVAL_AVG","MARKET_DATA_OVERRIDE=PX_LAST","START_DATE_OVERRIDE",TEXT(INDEX(MO_SNA_FPStartDate,0,COLUMN()),"YYYYMMDD"),"END_DATE_OVERRIDE",TEXT(INDEX(MO_Common_QEndDate,0,COLUMN()),"YYYYMMDD")),"N/A")</f>
        <v>N/A</v>
      </c>
      <c r="AA733" s="1848" t="str">
        <f ca="1">IFERROR(BDP(MO.Ticker.Bloomberg&amp;" Equity","INTERVAL_AVG","MARKET_DATA_OVERRIDE=PX_LAST","START_DATE_OVERRIDE",TEXT(INDEX(MO_SNA_FPStartDate,0,COLUMN()),"YYYYMMDD"),"END_DATE_OVERRIDE",TEXT(INDEX(MO_Common_QEndDate,0,COLUMN()),"YYYYMMDD")),"N/A")</f>
        <v>N/A</v>
      </c>
      <c r="AB733" s="1848" t="str">
        <f ca="1">IFERROR(BDP(MO.Ticker.Bloomberg&amp;" Equity","INTERVAL_AVG","MARKET_DATA_OVERRIDE=PX_LAST","START_DATE_OVERRIDE",TEXT(INDEX(MO_SNA_FPStartDate,0,COLUMN()),"YYYYMMDD"),"END_DATE_OVERRIDE",TEXT(INDEX(MO_Common_QEndDate,0,COLUMN()),"YYYYMMDD")),"N/A")</f>
        <v>N/A</v>
      </c>
      <c r="AC733" s="1848" t="str">
        <f ca="1">IFERROR(BDP(MO.Ticker.Bloomberg&amp;" Equity","INTERVAL_AVG","MARKET_DATA_OVERRIDE=PX_LAST","START_DATE_OVERRIDE",TEXT(INDEX(MO_SNA_FPStartDate,0,COLUMN()),"YYYYMMDD"),"END_DATE_OVERRIDE",TEXT(INDEX(MO_Common_QEndDate,0,COLUMN()),"YYYYMMDD")),"N/A")</f>
        <v>N/A</v>
      </c>
      <c r="AD733" s="1848" t="str">
        <f ca="1">IFERROR(BDP(MO.Ticker.Bloomberg&amp;" Equity","INTERVAL_AVG","MARKET_DATA_OVERRIDE=PX_LAST","START_DATE_OVERRIDE",TEXT(INDEX(MO_SNA_FPStartDate,0,COLUMN()),"YYYYMMDD"),"END_DATE_OVERRIDE",TEXT(INDEX(MO_Common_QEndDate,0,COLUMN()),"YYYYMMDD")),"N/A")</f>
        <v>N/A</v>
      </c>
      <c r="AE733" s="1848" t="str">
        <f ca="1">IFERROR(BDP(MO.Ticker.Bloomberg&amp;" Equity","INTERVAL_AVG","MARKET_DATA_OVERRIDE=PX_LAST","START_DATE_OVERRIDE",TEXT(INDEX(MO_SNA_FPStartDate,0,COLUMN()),"YYYYMMDD"),"END_DATE_OVERRIDE",TEXT(INDEX(MO_Common_QEndDate,0,COLUMN()),"YYYYMMDD")),"N/A")</f>
        <v>N/A</v>
      </c>
      <c r="AF733" s="1848" t="str">
        <f ca="1">IFERROR(BDP(MO.Ticker.Bloomberg&amp;" Equity","INTERVAL_AVG","MARKET_DATA_OVERRIDE=PX_LAST","START_DATE_OVERRIDE",TEXT(INDEX(MO_SNA_FPStartDate,0,COLUMN()),"YYYYMMDD"),"END_DATE_OVERRIDE",TEXT(INDEX(MO_Common_QEndDate,0,COLUMN()),"YYYYMMDD")),"N/A")</f>
        <v>N/A</v>
      </c>
      <c r="AG733" s="1848" t="str">
        <f ca="1">IFERROR(BDP(MO.Ticker.Bloomberg&amp;" Equity","INTERVAL_AVG","MARKET_DATA_OVERRIDE=PX_LAST","START_DATE_OVERRIDE",TEXT(INDEX(MO_SNA_FPStartDate,0,COLUMN()),"YYYYMMDD"),"END_DATE_OVERRIDE",TEXT(INDEX(MO_Common_QEndDate,0,COLUMN()),"YYYYMMDD")),"N/A")</f>
        <v>N/A</v>
      </c>
      <c r="AH733" s="1848" t="str">
        <f ca="1">IFERROR(BDP(MO.Ticker.Bloomberg&amp;" Equity","INTERVAL_AVG","MARKET_DATA_OVERRIDE=PX_LAST","START_DATE_OVERRIDE",TEXT(INDEX(MO_SNA_FPStartDate,0,COLUMN()),"YYYYMMDD"),"END_DATE_OVERRIDE",TEXT(INDEX(MO_Common_QEndDate,0,COLUMN()),"YYYYMMDD")),"N/A")</f>
        <v>N/A</v>
      </c>
      <c r="AI733" s="1848" t="str">
        <f ca="1">IFERROR(BDP(MO.Ticker.Bloomberg&amp;" Equity","INTERVAL_AVG","MARKET_DATA_OVERRIDE=PX_LAST","START_DATE_OVERRIDE",TEXT(INDEX(MO_SNA_FPStartDate,0,COLUMN()),"YYYYMMDD"),"END_DATE_OVERRIDE",TEXT(INDEX(MO_Common_QEndDate,0,COLUMN()),"YYYYMMDD")),"N/A")</f>
        <v>N/A</v>
      </c>
      <c r="AJ733" s="1848" t="str">
        <f ca="1">IFERROR(BDP(MO.Ticker.Bloomberg&amp;" Equity","INTERVAL_AVG","MARKET_DATA_OVERRIDE=PX_LAST","START_DATE_OVERRIDE",TEXT(INDEX(MO_SNA_FPStartDate,0,COLUMN()),"YYYYMMDD"),"END_DATE_OVERRIDE",TEXT(INDEX(MO_Common_QEndDate,0,COLUMN()),"YYYYMMDD")),"N/A")</f>
        <v>N/A</v>
      </c>
      <c r="AK733" s="1832" t="str">
        <f ca="1">IFERROR(BDP(MO.Ticker.Bloomberg&amp;" Equity","INTERVAL_AVG","MARKET_DATA_OVERRIDE=PX_LAST","START_DATE_OVERRIDE",TEXT(INDEX(MO_SNA_FPStartDate,0,COLUMN()),"YYYYMMDD"),"END_DATE_OVERRIDE",TEXT(INDEX(MO_Common_QEndDate,0,COLUMN()),"YYYYMMDD")),"N/A")</f>
        <v>N/A</v>
      </c>
      <c r="AL733" s="1832" t="str">
        <f ca="1">IFERROR(BDP(MO.Ticker.Bloomberg&amp;" Equity","INTERVAL_AVG","MARKET_DATA_OVERRIDE=PX_LAST","START_DATE_OVERRIDE",TEXT(INDEX(MO_SNA_FPStartDate,0,COLUMN()),"YYYYMMDD"),"END_DATE_OVERRIDE",TEXT(INDEX(MO_Common_QEndDate,0,COLUMN()),"YYYYMMDD")),"N/A")</f>
        <v>N/A</v>
      </c>
      <c r="AM733" s="1832" t="str">
        <f ca="1">IFERROR(BDP(MO.Ticker.Bloomberg&amp;" Equity","INTERVAL_AVG","MARKET_DATA_OVERRIDE=PX_LAST","START_DATE_OVERRIDE",TEXT(INDEX(MO_SNA_FPStartDate,0,COLUMN()),"YYYYMMDD"),"END_DATE_OVERRIDE",TEXT(INDEX(MO_Common_QEndDate,0,COLUMN()),"YYYYMMDD")),"N/A")</f>
        <v>N/A</v>
      </c>
      <c r="AN733" s="1832" t="str">
        <f ca="1">IFERROR(BDP(MO.Ticker.Bloomberg&amp;" Equity","INTERVAL_AVG","MARKET_DATA_OVERRIDE=PX_LAST","START_DATE_OVERRIDE",TEXT(INDEX(MO_SNA_FPStartDate,0,COLUMN()),"YYYYMMDD"),"END_DATE_OVERRIDE",TEXT(INDEX(MO_Common_QEndDate,0,COLUMN()),"YYYYMMDD")),"N/A")</f>
        <v>N/A</v>
      </c>
      <c r="AO733" s="1832" t="str">
        <f ca="1">IFERROR(BDP(MO.Ticker.Bloomberg&amp;" Equity","INTERVAL_AVG","MARKET_DATA_OVERRIDE=PX_LAST","START_DATE_OVERRIDE",TEXT(INDEX(MO_SNA_FPStartDate,0,COLUMN()),"YYYYMMDD"),"END_DATE_OVERRIDE",TEXT(INDEX(MO_Common_QEndDate,0,COLUMN()),"YYYYMMDD")),"N/A")</f>
        <v>N/A</v>
      </c>
      <c r="AP733" s="1832" t="str">
        <f ca="1">IFERROR(BDP(MO.Ticker.Bloomberg&amp;" Equity","INTERVAL_AVG","MARKET_DATA_OVERRIDE=PX_LAST","START_DATE_OVERRIDE",TEXT(INDEX(MO_SNA_FPStartDate,0,COLUMN()),"YYYYMMDD"),"END_DATE_OVERRIDE",TEXT(INDEX(MO_Common_QEndDate,0,COLUMN()),"YYYYMMDD")),"N/A")</f>
        <v>N/A</v>
      </c>
      <c r="AQ733" s="1832"/>
      <c r="AR733" s="2121" t="str">
        <f ca="1">IFERROR(BDP(MO.Ticker.Bloomberg&amp;" Equity","INTERVAL_AVG","MARKET_DATA_OVERRIDE=PX_LAST","START_DATE_OVERRIDE",TEXT(INDEX(MO_SNA_FPStartDate,0,COLUMN()),"YYYYMMDD"),"END_DATE_OVERRIDE",TEXT(INDEX(MO_Common_QEndDate,0,COLUMN()),"YYYYMMDD")),"N/A")</f>
        <v>N/A</v>
      </c>
      <c r="AS733" s="2121" t="str">
        <f ca="1">IFERROR(BDP(MO.Ticker.Bloomberg&amp;" Equity","INTERVAL_AVG","MARKET_DATA_OVERRIDE=PX_LAST","START_DATE_OVERRIDE",TEXT(INDEX(MO_SNA_FPStartDate,0,COLUMN()),"YYYYMMDD"),"END_DATE_OVERRIDE",TEXT(INDEX(MO_Common_QEndDate,0,COLUMN()),"YYYYMMDD")),"N/A")</f>
        <v>N/A</v>
      </c>
      <c r="AT733" s="1848" t="str">
        <f ca="1">IFERROR(BDP(MO.Ticker.Bloomberg&amp;" Equity","INTERVAL_AVG","MARKET_DATA_OVERRIDE=PX_LAST","START_DATE_OVERRIDE",TEXT(INDEX(MO_SNA_FPStartDate,0,COLUMN()),"YYYYMMDD"),"END_DATE_OVERRIDE",TEXT(INDEX(MO_Common_QEndDate,0,COLUMN()),"YYYYMMDD")),"N/A")</f>
        <v>N/A</v>
      </c>
      <c r="AU733" s="1848" t="str">
        <f ca="1">IFERROR(BDP(MO.Ticker.Bloomberg&amp;" Equity","INTERVAL_AVG","MARKET_DATA_OVERRIDE=PX_LAST","START_DATE_OVERRIDE",TEXT(INDEX(MO_SNA_FPStartDate,0,COLUMN()),"YYYYMMDD"),"END_DATE_OVERRIDE",TEXT(INDEX(MO_Common_QEndDate,0,COLUMN()),"YYYYMMDD")),"N/A")</f>
        <v>N/A</v>
      </c>
      <c r="AV733" s="1848" t="str">
        <f ca="1">IFERROR(BDP(MO.Ticker.Bloomberg&amp;" Equity","INTERVAL_AVG","MARKET_DATA_OVERRIDE=PX_LAST","START_DATE_OVERRIDE",TEXT(INDEX(MO_SNA_FPStartDate,0,COLUMN()),"YYYYMMDD"),"END_DATE_OVERRIDE",TEXT(INDEX(MO_Common_QEndDate,0,COLUMN()),"YYYYMMDD")),"N/A")</f>
        <v>N/A</v>
      </c>
      <c r="AW733" s="1848" t="str">
        <f ca="1">IFERROR(BDP(MO.Ticker.Bloomberg&amp;" Equity","INTERVAL_AVG","MARKET_DATA_OVERRIDE=PX_LAST","START_DATE_OVERRIDE",TEXT(INDEX(MO_SNA_FPStartDate,0,COLUMN()),"YYYYMMDD"),"END_DATE_OVERRIDE",TEXT(INDEX(MO_Common_QEndDate,0,COLUMN()),"YYYYMMDD")),"N/A")</f>
        <v>N/A</v>
      </c>
      <c r="AX733" s="1848" t="str">
        <f ca="1">IFERROR(BDP(MO.Ticker.Bloomberg&amp;" Equity","INTERVAL_AVG","MARKET_DATA_OVERRIDE=PX_LAST","START_DATE_OVERRIDE",TEXT(INDEX(MO_SNA_FPStartDate,0,COLUMN()),"YYYYMMDD"),"END_DATE_OVERRIDE",TEXT(INDEX(MO_Common_QEndDate,0,COLUMN()),"YYYYMMDD")),"N/A")</f>
        <v>N/A</v>
      </c>
      <c r="AY733" s="1848" t="str">
        <f ca="1">IFERROR(BDP(MO.Ticker.Bloomberg&amp;" Equity","INTERVAL_AVG","MARKET_DATA_OVERRIDE=PX_LAST","START_DATE_OVERRIDE",TEXT(INDEX(MO_SNA_FPStartDate,0,COLUMN()),"YYYYMMDD"),"END_DATE_OVERRIDE",TEXT(INDEX(MO_Common_QEndDate,0,COLUMN()),"YYYYMMDD")),"N/A")</f>
        <v>N/A</v>
      </c>
      <c r="AZ733" s="1848" t="str">
        <f ca="1">IFERROR(BDP(MO.Ticker.Bloomberg&amp;" Equity","INTERVAL_AVG","MARKET_DATA_OVERRIDE=PX_LAST","START_DATE_OVERRIDE",TEXT(INDEX(MO_SNA_FPStartDate,0,COLUMN()),"YYYYMMDD"),"END_DATE_OVERRIDE",TEXT(INDEX(MO_Common_QEndDate,0,COLUMN()),"YYYYMMDD")),"N/A")</f>
        <v>N/A</v>
      </c>
      <c r="BA733" s="1848" t="str">
        <f ca="1">IFERROR(BDP(MO.Ticker.Bloomberg&amp;" Equity","INTERVAL_AVG","MARKET_DATA_OVERRIDE=PX_LAST","START_DATE_OVERRIDE",TEXT(INDEX(MO_SNA_FPStartDate,0,COLUMN()),"YYYYMMDD"),"END_DATE_OVERRIDE",TEXT(INDEX(MO_Common_QEndDate,0,COLUMN()),"YYYYMMDD")),"N/A")</f>
        <v>N/A</v>
      </c>
      <c r="BB733" s="1848" t="str">
        <f ca="1">IFERROR(BDP(MO.Ticker.Bloomberg&amp;" Equity","INTERVAL_AVG","MARKET_DATA_OVERRIDE=PX_LAST","START_DATE_OVERRIDE",TEXT(INDEX(MO_SNA_FPStartDate,0,COLUMN()),"YYYYMMDD"),"END_DATE_OVERRIDE",TEXT(INDEX(MO_Common_QEndDate,0,COLUMN()),"YYYYMMDD")),"N/A")</f>
        <v>N/A</v>
      </c>
      <c r="BC733" s="1848" t="str">
        <f ca="1">IFERROR(BDP(MO.Ticker.Bloomberg&amp;" Equity","INTERVAL_AVG","MARKET_DATA_OVERRIDE=PX_LAST","START_DATE_OVERRIDE",TEXT(INDEX(MO_SNA_FPStartDate,0,COLUMN()),"YYYYMMDD"),"END_DATE_OVERRIDE",TEXT(INDEX(MO_Common_QEndDate,0,COLUMN()),"YYYYMMDD")),"N/A")</f>
        <v>N/A</v>
      </c>
      <c r="BD733" s="1848" t="str">
        <f ca="1">IFERROR(BDP(MO.Ticker.Bloomberg&amp;" Equity","INTERVAL_AVG","MARKET_DATA_OVERRIDE=PX_LAST","START_DATE_OVERRIDE",TEXT(INDEX(MO_SNA_FPStartDate,0,COLUMN()),"YYYYMMDD"),"END_DATE_OVERRIDE",TEXT(INDEX(MO_Common_QEndDate,0,COLUMN()),"YYYYMMDD")),"N/A")</f>
        <v>N/A</v>
      </c>
      <c r="BE733" s="1848" t="str">
        <f ca="1">IFERROR(BDP(MO.Ticker.Bloomberg&amp;" Equity","INTERVAL_AVG","MARKET_DATA_OVERRIDE=PX_LAST","START_DATE_OVERRIDE",TEXT(INDEX(MO_SNA_FPStartDate,0,COLUMN()),"YYYYMMDD"),"END_DATE_OVERRIDE",TEXT(INDEX(MO_Common_QEndDate,0,COLUMN()),"YYYYMMDD")),"N/A")</f>
        <v>N/A</v>
      </c>
      <c r="BF733" s="1848" t="str">
        <f ca="1">IFERROR(BDP(MO.Ticker.Bloomberg&amp;" Equity","INTERVAL_AVG","MARKET_DATA_OVERRIDE=PX_LAST","START_DATE_OVERRIDE",TEXT(INDEX(MO_SNA_FPStartDate,0,COLUMN()),"YYYYMMDD"),"END_DATE_OVERRIDE",TEXT(INDEX(MO_Common_QEndDate,0,COLUMN()),"YYYYMMDD")),"N/A")</f>
        <v>N/A</v>
      </c>
      <c r="BG733" s="1832" t="str">
        <f ca="1">IFERROR(BDP(MO.Ticker.Bloomberg&amp;" Equity","INTERVAL_AVG","MARKET_DATA_OVERRIDE=PX_LAST","START_DATE_OVERRIDE",TEXT(INDEX(MO_SNA_FPStartDate,0,COLUMN()),"YYYYMMDD"),"END_DATE_OVERRIDE",TEXT(INDEX(MO_Common_QEndDate,0,COLUMN()),"YYYYMMDD")),"N/A")</f>
        <v>N/A</v>
      </c>
      <c r="BH733" s="1832" t="str">
        <f ca="1">IFERROR(BDP(MO.Ticker.Bloomberg&amp;" Equity","INTERVAL_AVG","MARKET_DATA_OVERRIDE=PX_LAST","START_DATE_OVERRIDE",TEXT(INDEX(MO_SNA_FPStartDate,0,COLUMN()),"YYYYMMDD"),"END_DATE_OVERRIDE",TEXT(INDEX(MO_Common_QEndDate,0,COLUMN()),"YYYYMMDD")),"N/A")</f>
        <v>N/A</v>
      </c>
      <c r="BI733" s="1832" t="str">
        <f ca="1">IFERROR(BDP(MO.Ticker.Bloomberg&amp;" Equity","INTERVAL_AVG","MARKET_DATA_OVERRIDE=PX_LAST","START_DATE_OVERRIDE",TEXT(INDEX(MO_SNA_FPStartDate,0,COLUMN()),"YYYYMMDD"),"END_DATE_OVERRIDE",TEXT(INDEX(MO_Common_QEndDate,0,COLUMN()),"YYYYMMDD")),"N/A")</f>
        <v>N/A</v>
      </c>
      <c r="BJ733" s="1832" t="str">
        <f ca="1">IFERROR(BDP(MO.Ticker.Bloomberg&amp;" Equity","INTERVAL_AVG","MARKET_DATA_OVERRIDE=PX_LAST","START_DATE_OVERRIDE",TEXT(INDEX(MO_SNA_FPStartDate,0,COLUMN()),"YYYYMMDD"),"END_DATE_OVERRIDE",TEXT(INDEX(MO_Common_QEndDate,0,COLUMN()),"YYYYMMDD")),"N/A")</f>
        <v>N/A</v>
      </c>
      <c r="BK733" s="2122" t="str">
        <f ca="1">IFERROR(BDP(MO.Ticker.Bloomberg&amp;" Equity","INTERVAL_AVG","MARKET_DATA_OVERRIDE=PX_LAST","START_DATE_OVERRIDE",TEXT(INDEX(MO_SNA_FPStartDate,0,COLUMN()),"YYYYMMDD"),"END_DATE_OVERRIDE",TEXT(INDEX(MO_Common_QEndDate,0,COLUMN()),"YYYYMMDD")),"N/A")</f>
        <v>N/A</v>
      </c>
      <c r="BL733" s="1848"/>
    </row>
    <row r="734" spans="1:64" s="2008" customFormat="1" hidden="1" outlineLevel="1" x14ac:dyDescent="0.35">
      <c r="A734" s="2123" t="s">
        <v>1277</v>
      </c>
      <c r="B734" s="1832"/>
      <c r="C734" s="1848" t="str">
        <f>IFERROR(_xll.ciqfunctions.udf.CIQAVG(MO.Ticker.CapIQ,"IQ_LASTSALEPRICE",INDEX(MO_SNA_FPStartDate,0,COLUMN()),INDEX(MO_Common_QEndDate,0,COLUMN())),"N/A")</f>
        <v>(Invalid Identifier)</v>
      </c>
      <c r="D734" s="1848" t="str">
        <f>IFERROR(_xll.ciqfunctions.udf.CIQAVG(MO.Ticker.CapIQ,"IQ_LASTSALEPRICE",INDEX(MO_SNA_FPStartDate,0,COLUMN()),INDEX(MO_Common_QEndDate,0,COLUMN())),"N/A")</f>
        <v>(Invalid Identifier)</v>
      </c>
      <c r="E734" s="1848" t="str">
        <f>IFERROR(_xll.ciqfunctions.udf.CIQAVG(MO.Ticker.CapIQ,"IQ_LASTSALEPRICE",INDEX(MO_SNA_FPStartDate,0,COLUMN()),INDEX(MO_Common_QEndDate,0,COLUMN())),"N/A")</f>
        <v>(Invalid Identifier)</v>
      </c>
      <c r="F734" s="1848" t="str">
        <f>IFERROR(_xll.ciqfunctions.udf.CIQAVG(MO.Ticker.CapIQ,"IQ_LASTSALEPRICE",INDEX(MO_SNA_FPStartDate,0,COLUMN()),INDEX(MO_Common_QEndDate,0,COLUMN())),"N/A")</f>
        <v>(Invalid Identifier)</v>
      </c>
      <c r="G734" s="1848" t="str">
        <f>IFERROR(_xll.ciqfunctions.udf.CIQAVG(MO.Ticker.CapIQ,"IQ_LASTSALEPRICE",INDEX(MO_SNA_FPStartDate,0,COLUMN()),INDEX(MO_Common_QEndDate,0,COLUMN())),"N/A")</f>
        <v>(Invalid Identifier)</v>
      </c>
      <c r="H734" s="1848" t="str">
        <f>IFERROR(_xll.ciqfunctions.udf.CIQAVG(MO.Ticker.CapIQ,"IQ_LASTSALEPRICE",INDEX(MO_SNA_FPStartDate,0,COLUMN()),INDEX(MO_Common_QEndDate,0,COLUMN())),"N/A")</f>
        <v>(Invalid Identifier)</v>
      </c>
      <c r="I734" s="1848" t="str">
        <f>IFERROR(_xll.ciqfunctions.udf.CIQAVG(MO.Ticker.CapIQ,"IQ_LASTSALEPRICE",INDEX(MO_SNA_FPStartDate,0,COLUMN()),INDEX(MO_Common_QEndDate,0,COLUMN())),"N/A")</f>
        <v>(Invalid Identifier)</v>
      </c>
      <c r="J734" s="1848" t="str">
        <f>IFERROR(_xll.ciqfunctions.udf.CIQAVG(MO.Ticker.CapIQ,"IQ_LASTSALEPRICE",INDEX(MO_SNA_FPStartDate,0,COLUMN()),INDEX(MO_Common_QEndDate,0,COLUMN())),"N/A")</f>
        <v>(Invalid Identifier)</v>
      </c>
      <c r="K734" s="1848" t="str">
        <f>IFERROR(_xll.ciqfunctions.udf.CIQAVG(MO.Ticker.CapIQ,"IQ_LASTSALEPRICE",INDEX(MO_SNA_FPStartDate,0,COLUMN()),INDEX(MO_Common_QEndDate,0,COLUMN())),"N/A")</f>
        <v>(Invalid Identifier)</v>
      </c>
      <c r="L734" s="1848" t="str">
        <f>IFERROR(_xll.ciqfunctions.udf.CIQAVG(MO.Ticker.CapIQ,"IQ_LASTSALEPRICE",INDEX(MO_SNA_FPStartDate,0,COLUMN()),INDEX(MO_Common_QEndDate,0,COLUMN())),"N/A")</f>
        <v>(Invalid Identifier)</v>
      </c>
      <c r="M734" s="1848" t="str">
        <f>IFERROR(_xll.ciqfunctions.udf.CIQAVG(MO.Ticker.CapIQ,"IQ_LASTSALEPRICE",INDEX(MO_SNA_FPStartDate,0,COLUMN()),INDEX(MO_Common_QEndDate,0,COLUMN())),"N/A")</f>
        <v>(Invalid Identifier)</v>
      </c>
      <c r="N734" s="1848" t="str">
        <f>IFERROR(_xll.ciqfunctions.udf.CIQAVG(MO.Ticker.CapIQ,"IQ_LASTSALEPRICE",INDEX(MO_SNA_FPStartDate,0,COLUMN()),INDEX(MO_Common_QEndDate,0,COLUMN())),"N/A")</f>
        <v>(Invalid Identifier)</v>
      </c>
      <c r="O734" s="1848" t="str">
        <f>IFERROR(_xll.ciqfunctions.udf.CIQAVG(MO.Ticker.CapIQ,"IQ_LASTSALEPRICE",INDEX(MO_SNA_FPStartDate,0,COLUMN()),INDEX(MO_Common_QEndDate,0,COLUMN())),"N/A")</f>
        <v>(Invalid Identifier)</v>
      </c>
      <c r="P734" s="1848" t="str">
        <f>IFERROR(_xll.ciqfunctions.udf.CIQAVG(MO.Ticker.CapIQ,"IQ_LASTSALEPRICE",INDEX(MO_SNA_FPStartDate,0,COLUMN()),INDEX(MO_Common_QEndDate,0,COLUMN())),"N/A")</f>
        <v>(Invalid Identifier)</v>
      </c>
      <c r="Q734" s="1848" t="str">
        <f>IFERROR(_xll.ciqfunctions.udf.CIQAVG(MO.Ticker.CapIQ,"IQ_LASTSALEPRICE",INDEX(MO_SNA_FPStartDate,0,COLUMN()),INDEX(MO_Common_QEndDate,0,COLUMN())),"N/A")</f>
        <v>(Invalid Identifier)</v>
      </c>
      <c r="R734" s="1848" t="str">
        <f>IFERROR(_xll.ciqfunctions.udf.CIQAVG(MO.Ticker.CapIQ,"IQ_LASTSALEPRICE",INDEX(MO_SNA_FPStartDate,0,COLUMN()),INDEX(MO_Common_QEndDate,0,COLUMN())),"N/A")</f>
        <v>(Invalid Identifier)</v>
      </c>
      <c r="S734" s="1848" t="str">
        <f>IFERROR(_xll.ciqfunctions.udf.CIQAVG(MO.Ticker.CapIQ,"IQ_LASTSALEPRICE",INDEX(MO_SNA_FPStartDate,0,COLUMN()),INDEX(MO_Common_QEndDate,0,COLUMN())),"N/A")</f>
        <v>(Invalid Identifier)</v>
      </c>
      <c r="T734" s="1848" t="str">
        <f>IFERROR(_xll.ciqfunctions.udf.CIQAVG(MO.Ticker.CapIQ,"IQ_LASTSALEPRICE",INDEX(MO_SNA_FPStartDate,0,COLUMN()),INDEX(MO_Common_QEndDate,0,COLUMN())),"N/A")</f>
        <v>(Invalid Identifier)</v>
      </c>
      <c r="U734" s="1848" t="str">
        <f>IFERROR(_xll.ciqfunctions.udf.CIQAVG(MO.Ticker.CapIQ,"IQ_LASTSALEPRICE",INDEX(MO_SNA_FPStartDate,0,COLUMN()),INDEX(MO_Common_QEndDate,0,COLUMN())),"N/A")</f>
        <v>(Invalid Identifier)</v>
      </c>
      <c r="V734" s="1848" t="str">
        <f>IFERROR(_xll.ciqfunctions.udf.CIQAVG(MO.Ticker.CapIQ,"IQ_LASTSALEPRICE",INDEX(MO_SNA_FPStartDate,0,COLUMN()),INDEX(MO_Common_QEndDate,0,COLUMN())),"N/A")</f>
        <v>(Invalid Identifier)</v>
      </c>
      <c r="W734" s="1848" t="str">
        <f>IFERROR(_xll.ciqfunctions.udf.CIQAVG(MO.Ticker.CapIQ,"IQ_LASTSALEPRICE",INDEX(MO_SNA_FPStartDate,0,COLUMN()),INDEX(MO_Common_QEndDate,0,COLUMN())),"N/A")</f>
        <v>(Invalid Identifier)</v>
      </c>
      <c r="X734" s="1848" t="str">
        <f>IFERROR(_xll.ciqfunctions.udf.CIQAVG(MO.Ticker.CapIQ,"IQ_LASTSALEPRICE",INDEX(MO_SNA_FPStartDate,0,COLUMN()),INDEX(MO_Common_QEndDate,0,COLUMN())),"N/A")</f>
        <v>(Invalid Identifier)</v>
      </c>
      <c r="Y734" s="1848" t="str">
        <f>IFERROR(_xll.ciqfunctions.udf.CIQAVG(MO.Ticker.CapIQ,"IQ_LASTSALEPRICE",INDEX(MO_SNA_FPStartDate,0,COLUMN()),INDEX(MO_Common_QEndDate,0,COLUMN())),"N/A")</f>
        <v>(Invalid Identifier)</v>
      </c>
      <c r="Z734" s="1848" t="str">
        <f>IFERROR(_xll.ciqfunctions.udf.CIQAVG(MO.Ticker.CapIQ,"IQ_LASTSALEPRICE",INDEX(MO_SNA_FPStartDate,0,COLUMN()),INDEX(MO_Common_QEndDate,0,COLUMN())),"N/A")</f>
        <v>(Invalid Identifier)</v>
      </c>
      <c r="AA734" s="1848" t="str">
        <f>IFERROR(_xll.ciqfunctions.udf.CIQAVG(MO.Ticker.CapIQ,"IQ_LASTSALEPRICE",INDEX(MO_SNA_FPStartDate,0,COLUMN()),INDEX(MO_Common_QEndDate,0,COLUMN())),"N/A")</f>
        <v>(Invalid Identifier)</v>
      </c>
      <c r="AB734" s="1848" t="str">
        <f>IFERROR(_xll.ciqfunctions.udf.CIQAVG(MO.Ticker.CapIQ,"IQ_LASTSALEPRICE",INDEX(MO_SNA_FPStartDate,0,COLUMN()),INDEX(MO_Common_QEndDate,0,COLUMN())),"N/A")</f>
        <v>(Invalid Identifier)</v>
      </c>
      <c r="AC734" s="1848" t="str">
        <f>IFERROR(_xll.ciqfunctions.udf.CIQAVG(MO.Ticker.CapIQ,"IQ_LASTSALEPRICE",INDEX(MO_SNA_FPStartDate,0,COLUMN()),INDEX(MO_Common_QEndDate,0,COLUMN())),"N/A")</f>
        <v>(Invalid Identifier)</v>
      </c>
      <c r="AD734" s="1848" t="str">
        <f>IFERROR(_xll.ciqfunctions.udf.CIQAVG(MO.Ticker.CapIQ,"IQ_LASTSALEPRICE",INDEX(MO_SNA_FPStartDate,0,COLUMN()),INDEX(MO_Common_QEndDate,0,COLUMN())),"N/A")</f>
        <v>(Invalid Identifier)</v>
      </c>
      <c r="AE734" s="1848" t="str">
        <f>IFERROR(_xll.ciqfunctions.udf.CIQAVG(MO.Ticker.CapIQ,"IQ_LASTSALEPRICE",INDEX(MO_SNA_FPStartDate,0,COLUMN()),INDEX(MO_Common_QEndDate,0,COLUMN())),"N/A")</f>
        <v>(Invalid Identifier)</v>
      </c>
      <c r="AF734" s="1848" t="str">
        <f>IFERROR(_xll.ciqfunctions.udf.CIQAVG(MO.Ticker.CapIQ,"IQ_LASTSALEPRICE",INDEX(MO_SNA_FPStartDate,0,COLUMN()),INDEX(MO_Common_QEndDate,0,COLUMN())),"N/A")</f>
        <v>(Invalid Identifier)</v>
      </c>
      <c r="AG734" s="1848" t="str">
        <f>IFERROR(_xll.ciqfunctions.udf.CIQAVG(MO.Ticker.CapIQ,"IQ_LASTSALEPRICE",INDEX(MO_SNA_FPStartDate,0,COLUMN()),INDEX(MO_Common_QEndDate,0,COLUMN())),"N/A")</f>
        <v>(Invalid Identifier)</v>
      </c>
      <c r="AH734" s="1848" t="str">
        <f>IFERROR(_xll.ciqfunctions.udf.CIQAVG(MO.Ticker.CapIQ,"IQ_LASTSALEPRICE",INDEX(MO_SNA_FPStartDate,0,COLUMN()),INDEX(MO_Common_QEndDate,0,COLUMN())),"N/A")</f>
        <v>(Invalid Identifier)</v>
      </c>
      <c r="AI734" s="1848" t="str">
        <f>IFERROR(_xll.ciqfunctions.udf.CIQAVG(MO.Ticker.CapIQ,"IQ_LASTSALEPRICE",INDEX(MO_SNA_FPStartDate,0,COLUMN()),INDEX(MO_Common_QEndDate,0,COLUMN())),"N/A")</f>
        <v>(Invalid Identifier)</v>
      </c>
      <c r="AJ734" s="1848" t="str">
        <f>IFERROR(_xll.ciqfunctions.udf.CIQAVG(MO.Ticker.CapIQ,"IQ_LASTSALEPRICE",INDEX(MO_SNA_FPStartDate,0,COLUMN()),INDEX(MO_Common_QEndDate,0,COLUMN())),"N/A")</f>
        <v>(Invalid Identifier)</v>
      </c>
      <c r="AK734" s="1832" t="str">
        <f>IFERROR(_xll.ciqfunctions.udf.CIQAVG(MO.Ticker.CapIQ,"IQ_LASTSALEPRICE",INDEX(MO_SNA_FPStartDate,0,COLUMN()),INDEX(MO_Common_QEndDate,0,COLUMN())),"N/A")</f>
        <v>(Invalid Identifier)</v>
      </c>
      <c r="AL734" s="1832" t="str">
        <f>IFERROR(_xll.ciqfunctions.udf.CIQAVG(MO.Ticker.CapIQ,"IQ_LASTSALEPRICE",INDEX(MO_SNA_FPStartDate,0,COLUMN()),INDEX(MO_Common_QEndDate,0,COLUMN())),"N/A")</f>
        <v>(Invalid Identifier)</v>
      </c>
      <c r="AM734" s="1832" t="str">
        <f>IFERROR(_xll.ciqfunctions.udf.CIQAVG(MO.Ticker.CapIQ,"IQ_LASTSALEPRICE",INDEX(MO_SNA_FPStartDate,0,COLUMN()),INDEX(MO_Common_QEndDate,0,COLUMN())),"N/A")</f>
        <v>(Invalid Identifier)</v>
      </c>
      <c r="AN734" s="1832" t="str">
        <f>IFERROR(_xll.ciqfunctions.udf.CIQAVG(MO.Ticker.CapIQ,"IQ_LASTSALEPRICE",INDEX(MO_SNA_FPStartDate,0,COLUMN()),INDEX(MO_Common_QEndDate,0,COLUMN())),"N/A")</f>
        <v>(Invalid Identifier)</v>
      </c>
      <c r="AO734" s="1832" t="str">
        <f>IFERROR(_xll.ciqfunctions.udf.CIQAVG(MO.Ticker.CapIQ,"IQ_LASTSALEPRICE",INDEX(MO_SNA_FPStartDate,0,COLUMN()),INDEX(MO_Common_QEndDate,0,COLUMN())),"N/A")</f>
        <v>(Invalid Identifier)</v>
      </c>
      <c r="AP734" s="1832" t="str">
        <f>IFERROR(_xll.ciqfunctions.udf.CIQAVG(MO.Ticker.CapIQ,"IQ_LASTSALEPRICE",INDEX(MO_SNA_FPStartDate,0,COLUMN()),INDEX(MO_Common_QEndDate,0,COLUMN())),"N/A")</f>
        <v>(Invalid Identifier)</v>
      </c>
      <c r="AQ734" s="1832"/>
      <c r="AR734" s="2121" t="str">
        <f>IFERROR(_xll.ciqfunctions.udf.CIQAVG(MO.Ticker.CapIQ,"IQ_LASTSALEPRICE",INDEX(MO_SNA_FPStartDate,0,COLUMN()),INDEX(MO_Common_QEndDate,0,COLUMN())),"N/A")</f>
        <v>(Invalid Identifier)</v>
      </c>
      <c r="AS734" s="2121" t="str">
        <f>IFERROR(_xll.ciqfunctions.udf.CIQAVG(MO.Ticker.CapIQ,"IQ_LASTSALEPRICE",INDEX(MO_SNA_FPStartDate,0,COLUMN()),INDEX(MO_Common_QEndDate,0,COLUMN())),"N/A")</f>
        <v>(Invalid Identifier)</v>
      </c>
      <c r="AT734" s="1848" t="str">
        <f>IFERROR(_xll.ciqfunctions.udf.CIQAVG(MO.Ticker.CapIQ,"IQ_LASTSALEPRICE",INDEX(MO_SNA_FPStartDate,0,COLUMN()),INDEX(MO_Common_QEndDate,0,COLUMN())),"N/A")</f>
        <v>(Invalid Identifier)</v>
      </c>
      <c r="AU734" s="1848" t="str">
        <f>IFERROR(_xll.ciqfunctions.udf.CIQAVG(MO.Ticker.CapIQ,"IQ_LASTSALEPRICE",INDEX(MO_SNA_FPStartDate,0,COLUMN()),INDEX(MO_Common_QEndDate,0,COLUMN())),"N/A")</f>
        <v>(Invalid Identifier)</v>
      </c>
      <c r="AV734" s="1848" t="str">
        <f>IFERROR(_xll.ciqfunctions.udf.CIQAVG(MO.Ticker.CapIQ,"IQ_LASTSALEPRICE",INDEX(MO_SNA_FPStartDate,0,COLUMN()),INDEX(MO_Common_QEndDate,0,COLUMN())),"N/A")</f>
        <v>(Invalid Identifier)</v>
      </c>
      <c r="AW734" s="1848" t="str">
        <f>IFERROR(_xll.ciqfunctions.udf.CIQAVG(MO.Ticker.CapIQ,"IQ_LASTSALEPRICE",INDEX(MO_SNA_FPStartDate,0,COLUMN()),INDEX(MO_Common_QEndDate,0,COLUMN())),"N/A")</f>
        <v>(Invalid Identifier)</v>
      </c>
      <c r="AX734" s="1848" t="str">
        <f>IFERROR(_xll.ciqfunctions.udf.CIQAVG(MO.Ticker.CapIQ,"IQ_LASTSALEPRICE",INDEX(MO_SNA_FPStartDate,0,COLUMN()),INDEX(MO_Common_QEndDate,0,COLUMN())),"N/A")</f>
        <v>(Invalid Identifier)</v>
      </c>
      <c r="AY734" s="1848" t="str">
        <f>IFERROR(_xll.ciqfunctions.udf.CIQAVG(MO.Ticker.CapIQ,"IQ_LASTSALEPRICE",INDEX(MO_SNA_FPStartDate,0,COLUMN()),INDEX(MO_Common_QEndDate,0,COLUMN())),"N/A")</f>
        <v>(Invalid Identifier)</v>
      </c>
      <c r="AZ734" s="1848" t="str">
        <f>IFERROR(_xll.ciqfunctions.udf.CIQAVG(MO.Ticker.CapIQ,"IQ_LASTSALEPRICE",INDEX(MO_SNA_FPStartDate,0,COLUMN()),INDEX(MO_Common_QEndDate,0,COLUMN())),"N/A")</f>
        <v>(Invalid Identifier)</v>
      </c>
      <c r="BA734" s="1848" t="str">
        <f>IFERROR(_xll.ciqfunctions.udf.CIQAVG(MO.Ticker.CapIQ,"IQ_LASTSALEPRICE",INDEX(MO_SNA_FPStartDate,0,COLUMN()),INDEX(MO_Common_QEndDate,0,COLUMN())),"N/A")</f>
        <v>(Invalid Identifier)</v>
      </c>
      <c r="BB734" s="1848" t="str">
        <f>IFERROR(_xll.ciqfunctions.udf.CIQAVG(MO.Ticker.CapIQ,"IQ_LASTSALEPRICE",INDEX(MO_SNA_FPStartDate,0,COLUMN()),INDEX(MO_Common_QEndDate,0,COLUMN())),"N/A")</f>
        <v>(Invalid Identifier)</v>
      </c>
      <c r="BC734" s="1848" t="str">
        <f>IFERROR(_xll.ciqfunctions.udf.CIQAVG(MO.Ticker.CapIQ,"IQ_LASTSALEPRICE",INDEX(MO_SNA_FPStartDate,0,COLUMN()),INDEX(MO_Common_QEndDate,0,COLUMN())),"N/A")</f>
        <v>(Invalid Identifier)</v>
      </c>
      <c r="BD734" s="1848" t="str">
        <f>IFERROR(_xll.ciqfunctions.udf.CIQAVG(MO.Ticker.CapIQ,"IQ_LASTSALEPRICE",INDEX(MO_SNA_FPStartDate,0,COLUMN()),INDEX(MO_Common_QEndDate,0,COLUMN())),"N/A")</f>
        <v>(Invalid Identifier)</v>
      </c>
      <c r="BE734" s="1848" t="str">
        <f>IFERROR(_xll.ciqfunctions.udf.CIQAVG(MO.Ticker.CapIQ,"IQ_LASTSALEPRICE",INDEX(MO_SNA_FPStartDate,0,COLUMN()),INDEX(MO_Common_QEndDate,0,COLUMN())),"N/A")</f>
        <v>(Invalid Identifier)</v>
      </c>
      <c r="BF734" s="1848" t="str">
        <f>IFERROR(_xll.ciqfunctions.udf.CIQAVG(MO.Ticker.CapIQ,"IQ_LASTSALEPRICE",INDEX(MO_SNA_FPStartDate,0,COLUMN()),INDEX(MO_Common_QEndDate,0,COLUMN())),"N/A")</f>
        <v>(Invalid Identifier)</v>
      </c>
      <c r="BG734" s="1832" t="str">
        <f>IFERROR(_xll.ciqfunctions.udf.CIQAVG(MO.Ticker.CapIQ,"IQ_LASTSALEPRICE",INDEX(MO_SNA_FPStartDate,0,COLUMN()),INDEX(MO_Common_QEndDate,0,COLUMN())),"N/A")</f>
        <v>(Invalid Identifier)</v>
      </c>
      <c r="BH734" s="1832" t="str">
        <f>IFERROR(_xll.ciqfunctions.udf.CIQAVG(MO.Ticker.CapIQ,"IQ_LASTSALEPRICE",INDEX(MO_SNA_FPStartDate,0,COLUMN()),INDEX(MO_Common_QEndDate,0,COLUMN())),"N/A")</f>
        <v>(Invalid Identifier)</v>
      </c>
      <c r="BI734" s="1832" t="str">
        <f>IFERROR(_xll.ciqfunctions.udf.CIQAVG(MO.Ticker.CapIQ,"IQ_LASTSALEPRICE",INDEX(MO_SNA_FPStartDate,0,COLUMN()),INDEX(MO_Common_QEndDate,0,COLUMN())),"N/A")</f>
        <v>(Invalid Identifier)</v>
      </c>
      <c r="BJ734" s="1832" t="str">
        <f>IFERROR(_xll.ciqfunctions.udf.CIQAVG(MO.Ticker.CapIQ,"IQ_LASTSALEPRICE",INDEX(MO_SNA_FPStartDate,0,COLUMN()),INDEX(MO_Common_QEndDate,0,COLUMN())),"N/A")</f>
        <v>(Invalid Identifier)</v>
      </c>
      <c r="BK734" s="2122" t="str">
        <f>IFERROR(_xll.ciqfunctions.udf.CIQAVG(MO.Ticker.CapIQ,"IQ_LASTSALEPRICE",INDEX(MO_SNA_FPStartDate,0,COLUMN()),INDEX(MO_Common_QEndDate,0,COLUMN())),"N/A")</f>
        <v>(Invalid Identifier)</v>
      </c>
      <c r="BL734" s="1848"/>
    </row>
    <row r="735" spans="1:64" s="2008" customFormat="1" hidden="1" outlineLevel="1" x14ac:dyDescent="0.35">
      <c r="A735" s="2123" t="s">
        <v>1278</v>
      </c>
      <c r="B735" s="1832"/>
      <c r="C735" s="1848" t="str">
        <f ca="1">IFERROR(FDS(MO.Ticker.FactSet,"P_PRICE_AVG"&amp;"("&amp;INDEX(MO_SNA_FPStartDate,0,COLUMN())&amp;","&amp;INDEX(MO_Common_QEndDate,0,COLUMN())&amp;",,,,""PRICE"",""CLOSE"")"),"N/A")</f>
        <v>N/A</v>
      </c>
      <c r="D735" s="1848" t="str">
        <f ca="1">IFERROR(FDS(MO.Ticker.FactSet,"P_PRICE_AVG"&amp;"("&amp;INDEX(MO_SNA_FPStartDate,0,COLUMN())&amp;","&amp;INDEX(MO_Common_QEndDate,0,COLUMN())&amp;",,,,""PRICE"",""CLOSE"")"),"N/A")</f>
        <v>N/A</v>
      </c>
      <c r="E735" s="1848" t="str">
        <f ca="1">IFERROR(FDS(MO.Ticker.FactSet,"P_PRICE_AVG"&amp;"("&amp;INDEX(MO_SNA_FPStartDate,0,COLUMN())&amp;","&amp;INDEX(MO_Common_QEndDate,0,COLUMN())&amp;",,,,""PRICE"",""CLOSE"")"),"N/A")</f>
        <v>N/A</v>
      </c>
      <c r="F735" s="1848" t="str">
        <f ca="1">IFERROR(FDS(MO.Ticker.FactSet,"P_PRICE_AVG"&amp;"("&amp;INDEX(MO_SNA_FPStartDate,0,COLUMN())&amp;","&amp;INDEX(MO_Common_QEndDate,0,COLUMN())&amp;",,,,""PRICE"",""CLOSE"")"),"N/A")</f>
        <v>N/A</v>
      </c>
      <c r="G735" s="1848" t="str">
        <f ca="1">IFERROR(FDS(MO.Ticker.FactSet,"P_PRICE_AVG"&amp;"("&amp;INDEX(MO_SNA_FPStartDate,0,COLUMN())&amp;","&amp;INDEX(MO_Common_QEndDate,0,COLUMN())&amp;",,,,""PRICE"",""CLOSE"")"),"N/A")</f>
        <v>N/A</v>
      </c>
      <c r="H735" s="1848" t="str">
        <f ca="1">IFERROR(FDS(MO.Ticker.FactSet,"P_PRICE_AVG"&amp;"("&amp;INDEX(MO_SNA_FPStartDate,0,COLUMN())&amp;","&amp;INDEX(MO_Common_QEndDate,0,COLUMN())&amp;",,,,""PRICE"",""CLOSE"")"),"N/A")</f>
        <v>N/A</v>
      </c>
      <c r="I735" s="1848" t="str">
        <f ca="1">IFERROR(FDS(MO.Ticker.FactSet,"P_PRICE_AVG"&amp;"("&amp;INDEX(MO_SNA_FPStartDate,0,COLUMN())&amp;","&amp;INDEX(MO_Common_QEndDate,0,COLUMN())&amp;",,,,""PRICE"",""CLOSE"")"),"N/A")</f>
        <v>N/A</v>
      </c>
      <c r="J735" s="1848" t="str">
        <f ca="1">IFERROR(FDS(MO.Ticker.FactSet,"P_PRICE_AVG"&amp;"("&amp;INDEX(MO_SNA_FPStartDate,0,COLUMN())&amp;","&amp;INDEX(MO_Common_QEndDate,0,COLUMN())&amp;",,,,""PRICE"",""CLOSE"")"),"N/A")</f>
        <v>N/A</v>
      </c>
      <c r="K735" s="1848" t="str">
        <f ca="1">IFERROR(FDS(MO.Ticker.FactSet,"P_PRICE_AVG"&amp;"("&amp;INDEX(MO_SNA_FPStartDate,0,COLUMN())&amp;","&amp;INDEX(MO_Common_QEndDate,0,COLUMN())&amp;",,,,""PRICE"",""CLOSE"")"),"N/A")</f>
        <v>N/A</v>
      </c>
      <c r="L735" s="1848" t="str">
        <f ca="1">IFERROR(FDS(MO.Ticker.FactSet,"P_PRICE_AVG"&amp;"("&amp;INDEX(MO_SNA_FPStartDate,0,COLUMN())&amp;","&amp;INDEX(MO_Common_QEndDate,0,COLUMN())&amp;",,,,""PRICE"",""CLOSE"")"),"N/A")</f>
        <v>N/A</v>
      </c>
      <c r="M735" s="1848" t="str">
        <f ca="1">IFERROR(FDS(MO.Ticker.FactSet,"P_PRICE_AVG"&amp;"("&amp;INDEX(MO_SNA_FPStartDate,0,COLUMN())&amp;","&amp;INDEX(MO_Common_QEndDate,0,COLUMN())&amp;",,,,""PRICE"",""CLOSE"")"),"N/A")</f>
        <v>N/A</v>
      </c>
      <c r="N735" s="1848" t="str">
        <f ca="1">IFERROR(FDS(MO.Ticker.FactSet,"P_PRICE_AVG"&amp;"("&amp;INDEX(MO_SNA_FPStartDate,0,COLUMN())&amp;","&amp;INDEX(MO_Common_QEndDate,0,COLUMN())&amp;",,,,""PRICE"",""CLOSE"")"),"N/A")</f>
        <v>N/A</v>
      </c>
      <c r="O735" s="1848" t="str">
        <f ca="1">IFERROR(FDS(MO.Ticker.FactSet,"P_PRICE_AVG"&amp;"("&amp;INDEX(MO_SNA_FPStartDate,0,COLUMN())&amp;","&amp;INDEX(MO_Common_QEndDate,0,COLUMN())&amp;",,,,""PRICE"",""CLOSE"")"),"N/A")</f>
        <v>N/A</v>
      </c>
      <c r="P735" s="1848" t="str">
        <f ca="1">IFERROR(FDS(MO.Ticker.FactSet,"P_PRICE_AVG"&amp;"("&amp;INDEX(MO_SNA_FPStartDate,0,COLUMN())&amp;","&amp;INDEX(MO_Common_QEndDate,0,COLUMN())&amp;",,,,""PRICE"",""CLOSE"")"),"N/A")</f>
        <v>N/A</v>
      </c>
      <c r="Q735" s="1848" t="str">
        <f ca="1">IFERROR(FDS(MO.Ticker.FactSet,"P_PRICE_AVG"&amp;"("&amp;INDEX(MO_SNA_FPStartDate,0,COLUMN())&amp;","&amp;INDEX(MO_Common_QEndDate,0,COLUMN())&amp;",,,,""PRICE"",""CLOSE"")"),"N/A")</f>
        <v>N/A</v>
      </c>
      <c r="R735" s="1848" t="str">
        <f ca="1">IFERROR(FDS(MO.Ticker.FactSet,"P_PRICE_AVG"&amp;"("&amp;INDEX(MO_SNA_FPStartDate,0,COLUMN())&amp;","&amp;INDEX(MO_Common_QEndDate,0,COLUMN())&amp;",,,,""PRICE"",""CLOSE"")"),"N/A")</f>
        <v>N/A</v>
      </c>
      <c r="S735" s="1848" t="str">
        <f ca="1">IFERROR(FDS(MO.Ticker.FactSet,"P_PRICE_AVG"&amp;"("&amp;INDEX(MO_SNA_FPStartDate,0,COLUMN())&amp;","&amp;INDEX(MO_Common_QEndDate,0,COLUMN())&amp;",,,,""PRICE"",""CLOSE"")"),"N/A")</f>
        <v>N/A</v>
      </c>
      <c r="T735" s="1848" t="str">
        <f ca="1">IFERROR(FDS(MO.Ticker.FactSet,"P_PRICE_AVG"&amp;"("&amp;INDEX(MO_SNA_FPStartDate,0,COLUMN())&amp;","&amp;INDEX(MO_Common_QEndDate,0,COLUMN())&amp;",,,,""PRICE"",""CLOSE"")"),"N/A")</f>
        <v>N/A</v>
      </c>
      <c r="U735" s="1848" t="str">
        <f ca="1">IFERROR(FDS(MO.Ticker.FactSet,"P_PRICE_AVG"&amp;"("&amp;INDEX(MO_SNA_FPStartDate,0,COLUMN())&amp;","&amp;INDEX(MO_Common_QEndDate,0,COLUMN())&amp;",,,,""PRICE"",""CLOSE"")"),"N/A")</f>
        <v>N/A</v>
      </c>
      <c r="V735" s="1848" t="str">
        <f ca="1">IFERROR(FDS(MO.Ticker.FactSet,"P_PRICE_AVG"&amp;"("&amp;INDEX(MO_SNA_FPStartDate,0,COLUMN())&amp;","&amp;INDEX(MO_Common_QEndDate,0,COLUMN())&amp;",,,,""PRICE"",""CLOSE"")"),"N/A")</f>
        <v>N/A</v>
      </c>
      <c r="W735" s="1848" t="str">
        <f ca="1">IFERROR(FDS(MO.Ticker.FactSet,"P_PRICE_AVG"&amp;"("&amp;INDEX(MO_SNA_FPStartDate,0,COLUMN())&amp;","&amp;INDEX(MO_Common_QEndDate,0,COLUMN())&amp;",,,,""PRICE"",""CLOSE"")"),"N/A")</f>
        <v>N/A</v>
      </c>
      <c r="X735" s="1848" t="str">
        <f ca="1">IFERROR(FDS(MO.Ticker.FactSet,"P_PRICE_AVG"&amp;"("&amp;INDEX(MO_SNA_FPStartDate,0,COLUMN())&amp;","&amp;INDEX(MO_Common_QEndDate,0,COLUMN())&amp;",,,,""PRICE"",""CLOSE"")"),"N/A")</f>
        <v>N/A</v>
      </c>
      <c r="Y735" s="1848" t="str">
        <f ca="1">IFERROR(FDS(MO.Ticker.FactSet,"P_PRICE_AVG"&amp;"("&amp;INDEX(MO_SNA_FPStartDate,0,COLUMN())&amp;","&amp;INDEX(MO_Common_QEndDate,0,COLUMN())&amp;",,,,""PRICE"",""CLOSE"")"),"N/A")</f>
        <v>N/A</v>
      </c>
      <c r="Z735" s="1848" t="str">
        <f ca="1">IFERROR(FDS(MO.Ticker.FactSet,"P_PRICE_AVG"&amp;"("&amp;INDEX(MO_SNA_FPStartDate,0,COLUMN())&amp;","&amp;INDEX(MO_Common_QEndDate,0,COLUMN())&amp;",,,,""PRICE"",""CLOSE"")"),"N/A")</f>
        <v>N/A</v>
      </c>
      <c r="AA735" s="1848" t="str">
        <f ca="1">IFERROR(FDS(MO.Ticker.FactSet,"P_PRICE_AVG"&amp;"("&amp;INDEX(MO_SNA_FPStartDate,0,COLUMN())&amp;","&amp;INDEX(MO_Common_QEndDate,0,COLUMN())&amp;",,,,""PRICE"",""CLOSE"")"),"N/A")</f>
        <v>N/A</v>
      </c>
      <c r="AB735" s="1848" t="str">
        <f ca="1">IFERROR(FDS(MO.Ticker.FactSet,"P_PRICE_AVG"&amp;"("&amp;INDEX(MO_SNA_FPStartDate,0,COLUMN())&amp;","&amp;INDEX(MO_Common_QEndDate,0,COLUMN())&amp;",,,,""PRICE"",""CLOSE"")"),"N/A")</f>
        <v>N/A</v>
      </c>
      <c r="AC735" s="1848" t="str">
        <f ca="1">IFERROR(FDS(MO.Ticker.FactSet,"P_PRICE_AVG"&amp;"("&amp;INDEX(MO_SNA_FPStartDate,0,COLUMN())&amp;","&amp;INDEX(MO_Common_QEndDate,0,COLUMN())&amp;",,,,""PRICE"",""CLOSE"")"),"N/A")</f>
        <v>N/A</v>
      </c>
      <c r="AD735" s="1848" t="str">
        <f ca="1">IFERROR(FDS(MO.Ticker.FactSet,"P_PRICE_AVG"&amp;"("&amp;INDEX(MO_SNA_FPStartDate,0,COLUMN())&amp;","&amp;INDEX(MO_Common_QEndDate,0,COLUMN())&amp;",,,,""PRICE"",""CLOSE"")"),"N/A")</f>
        <v>N/A</v>
      </c>
      <c r="AE735" s="1848" t="str">
        <f ca="1">IFERROR(FDS(MO.Ticker.FactSet,"P_PRICE_AVG"&amp;"("&amp;INDEX(MO_SNA_FPStartDate,0,COLUMN())&amp;","&amp;INDEX(MO_Common_QEndDate,0,COLUMN())&amp;",,,,""PRICE"",""CLOSE"")"),"N/A")</f>
        <v>N/A</v>
      </c>
      <c r="AF735" s="1848" t="str">
        <f ca="1">IFERROR(FDS(MO.Ticker.FactSet,"P_PRICE_AVG"&amp;"("&amp;INDEX(MO_SNA_FPStartDate,0,COLUMN())&amp;","&amp;INDEX(MO_Common_QEndDate,0,COLUMN())&amp;",,,,""PRICE"",""CLOSE"")"),"N/A")</f>
        <v>N/A</v>
      </c>
      <c r="AG735" s="1848" t="str">
        <f ca="1">IFERROR(FDS(MO.Ticker.FactSet,"P_PRICE_AVG"&amp;"("&amp;INDEX(MO_SNA_FPStartDate,0,COLUMN())&amp;","&amp;INDEX(MO_Common_QEndDate,0,COLUMN())&amp;",,,,""PRICE"",""CLOSE"")"),"N/A")</f>
        <v>N/A</v>
      </c>
      <c r="AH735" s="1848" t="str">
        <f ca="1">IFERROR(FDS(MO.Ticker.FactSet,"P_PRICE_AVG"&amp;"("&amp;INDEX(MO_SNA_FPStartDate,0,COLUMN())&amp;","&amp;INDEX(MO_Common_QEndDate,0,COLUMN())&amp;",,,,""PRICE"",""CLOSE"")"),"N/A")</f>
        <v>N/A</v>
      </c>
      <c r="AI735" s="1848" t="str">
        <f ca="1">IFERROR(FDS(MO.Ticker.FactSet,"P_PRICE_AVG"&amp;"("&amp;INDEX(MO_SNA_FPStartDate,0,COLUMN())&amp;","&amp;INDEX(MO_Common_QEndDate,0,COLUMN())&amp;",,,,""PRICE"",""CLOSE"")"),"N/A")</f>
        <v>N/A</v>
      </c>
      <c r="AJ735" s="1848" t="str">
        <f ca="1">IFERROR(FDS(MO.Ticker.FactSet,"P_PRICE_AVG"&amp;"("&amp;INDEX(MO_SNA_FPStartDate,0,COLUMN())&amp;","&amp;INDEX(MO_Common_QEndDate,0,COLUMN())&amp;",,,,""PRICE"",""CLOSE"")"),"N/A")</f>
        <v>N/A</v>
      </c>
      <c r="AK735" s="1832" t="str">
        <f ca="1">IFERROR(FDS(MO.Ticker.FactSet,"P_PRICE_AVG"&amp;"("&amp;INDEX(MO_SNA_FPStartDate,0,COLUMN())&amp;","&amp;INDEX(MO_Common_QEndDate,0,COLUMN())&amp;",,,,""PRICE"",""CLOSE"")"),"N/A")</f>
        <v>N/A</v>
      </c>
      <c r="AL735" s="1832" t="str">
        <f ca="1">IFERROR(FDS(MO.Ticker.FactSet,"P_PRICE_AVG"&amp;"("&amp;INDEX(MO_SNA_FPStartDate,0,COLUMN())&amp;","&amp;INDEX(MO_Common_QEndDate,0,COLUMN())&amp;",,,,""PRICE"",""CLOSE"")"),"N/A")</f>
        <v>N/A</v>
      </c>
      <c r="AM735" s="1832" t="str">
        <f ca="1">IFERROR(FDS(MO.Ticker.FactSet,"P_PRICE_AVG"&amp;"("&amp;INDEX(MO_SNA_FPStartDate,0,COLUMN())&amp;","&amp;INDEX(MO_Common_QEndDate,0,COLUMN())&amp;",,,,""PRICE"",""CLOSE"")"),"N/A")</f>
        <v>N/A</v>
      </c>
      <c r="AN735" s="1832" t="str">
        <f ca="1">IFERROR(FDS(MO.Ticker.FactSet,"P_PRICE_AVG"&amp;"("&amp;INDEX(MO_SNA_FPStartDate,0,COLUMN())&amp;","&amp;INDEX(MO_Common_QEndDate,0,COLUMN())&amp;",,,,""PRICE"",""CLOSE"")"),"N/A")</f>
        <v>N/A</v>
      </c>
      <c r="AO735" s="1832" t="str">
        <f ca="1">IFERROR(FDS(MO.Ticker.FactSet,"P_PRICE_AVG"&amp;"("&amp;INDEX(MO_SNA_FPStartDate,0,COLUMN())&amp;","&amp;INDEX(MO_Common_QEndDate,0,COLUMN())&amp;",,,,""PRICE"",""CLOSE"")"),"N/A")</f>
        <v>N/A</v>
      </c>
      <c r="AP735" s="1832" t="str">
        <f ca="1">IFERROR(FDS(MO.Ticker.FactSet,"P_PRICE_AVG"&amp;"("&amp;INDEX(MO_SNA_FPStartDate,0,COLUMN())&amp;","&amp;INDEX(MO_Common_QEndDate,0,COLUMN())&amp;",,,,""PRICE"",""CLOSE"")"),"N/A")</f>
        <v>N/A</v>
      </c>
      <c r="AQ735" s="1832"/>
      <c r="AR735" s="2121" t="str">
        <f ca="1">IFERROR(FDS(MO.Ticker.FactSet,"P_PRICE_AVG"&amp;"("&amp;INDEX(MO_SNA_FPStartDate,0,COLUMN())&amp;","&amp;INDEX(MO_Common_QEndDate,0,COLUMN())&amp;",,,,""PRICE"",""CLOSE"")"),"N/A")</f>
        <v>N/A</v>
      </c>
      <c r="AS735" s="2121" t="str">
        <f ca="1">IFERROR(FDS(MO.Ticker.FactSet,"P_PRICE_AVG"&amp;"("&amp;INDEX(MO_SNA_FPStartDate,0,COLUMN())&amp;","&amp;INDEX(MO_Common_QEndDate,0,COLUMN())&amp;",,,,""PRICE"",""CLOSE"")"),"N/A")</f>
        <v>N/A</v>
      </c>
      <c r="AT735" s="1848" t="str">
        <f ca="1">IFERROR(FDS(MO.Ticker.FactSet,"P_PRICE_AVG"&amp;"("&amp;INDEX(MO_SNA_FPStartDate,0,COLUMN())&amp;","&amp;INDEX(MO_Common_QEndDate,0,COLUMN())&amp;",,,,""PRICE"",""CLOSE"")"),"N/A")</f>
        <v>N/A</v>
      </c>
      <c r="AU735" s="1848" t="str">
        <f ca="1">IFERROR(FDS(MO.Ticker.FactSet,"P_PRICE_AVG"&amp;"("&amp;INDEX(MO_SNA_FPStartDate,0,COLUMN())&amp;","&amp;INDEX(MO_Common_QEndDate,0,COLUMN())&amp;",,,,""PRICE"",""CLOSE"")"),"N/A")</f>
        <v>N/A</v>
      </c>
      <c r="AV735" s="1848" t="str">
        <f ca="1">IFERROR(FDS(MO.Ticker.FactSet,"P_PRICE_AVG"&amp;"("&amp;INDEX(MO_SNA_FPStartDate,0,COLUMN())&amp;","&amp;INDEX(MO_Common_QEndDate,0,COLUMN())&amp;",,,,""PRICE"",""CLOSE"")"),"N/A")</f>
        <v>N/A</v>
      </c>
      <c r="AW735" s="1848" t="str">
        <f ca="1">IFERROR(FDS(MO.Ticker.FactSet,"P_PRICE_AVG"&amp;"("&amp;INDEX(MO_SNA_FPStartDate,0,COLUMN())&amp;","&amp;INDEX(MO_Common_QEndDate,0,COLUMN())&amp;",,,,""PRICE"",""CLOSE"")"),"N/A")</f>
        <v>N/A</v>
      </c>
      <c r="AX735" s="1848" t="str">
        <f ca="1">IFERROR(FDS(MO.Ticker.FactSet,"P_PRICE_AVG"&amp;"("&amp;INDEX(MO_SNA_FPStartDate,0,COLUMN())&amp;","&amp;INDEX(MO_Common_QEndDate,0,COLUMN())&amp;",,,,""PRICE"",""CLOSE"")"),"N/A")</f>
        <v>N/A</v>
      </c>
      <c r="AY735" s="1848" t="str">
        <f ca="1">IFERROR(FDS(MO.Ticker.FactSet,"P_PRICE_AVG"&amp;"("&amp;INDEX(MO_SNA_FPStartDate,0,COLUMN())&amp;","&amp;INDEX(MO_Common_QEndDate,0,COLUMN())&amp;",,,,""PRICE"",""CLOSE"")"),"N/A")</f>
        <v>N/A</v>
      </c>
      <c r="AZ735" s="1848" t="str">
        <f ca="1">IFERROR(FDS(MO.Ticker.FactSet,"P_PRICE_AVG"&amp;"("&amp;INDEX(MO_SNA_FPStartDate,0,COLUMN())&amp;","&amp;INDEX(MO_Common_QEndDate,0,COLUMN())&amp;",,,,""PRICE"",""CLOSE"")"),"N/A")</f>
        <v>N/A</v>
      </c>
      <c r="BA735" s="1848" t="str">
        <f ca="1">IFERROR(FDS(MO.Ticker.FactSet,"P_PRICE_AVG"&amp;"("&amp;INDEX(MO_SNA_FPStartDate,0,COLUMN())&amp;","&amp;INDEX(MO_Common_QEndDate,0,COLUMN())&amp;",,,,""PRICE"",""CLOSE"")"),"N/A")</f>
        <v>N/A</v>
      </c>
      <c r="BB735" s="1848" t="str">
        <f ca="1">IFERROR(FDS(MO.Ticker.FactSet,"P_PRICE_AVG"&amp;"("&amp;INDEX(MO_SNA_FPStartDate,0,COLUMN())&amp;","&amp;INDEX(MO_Common_QEndDate,0,COLUMN())&amp;",,,,""PRICE"",""CLOSE"")"),"N/A")</f>
        <v>N/A</v>
      </c>
      <c r="BC735" s="1848" t="str">
        <f ca="1">IFERROR(FDS(MO.Ticker.FactSet,"P_PRICE_AVG"&amp;"("&amp;INDEX(MO_SNA_FPStartDate,0,COLUMN())&amp;","&amp;INDEX(MO_Common_QEndDate,0,COLUMN())&amp;",,,,""PRICE"",""CLOSE"")"),"N/A")</f>
        <v>N/A</v>
      </c>
      <c r="BD735" s="1848" t="str">
        <f ca="1">IFERROR(FDS(MO.Ticker.FactSet,"P_PRICE_AVG"&amp;"("&amp;INDEX(MO_SNA_FPStartDate,0,COLUMN())&amp;","&amp;INDEX(MO_Common_QEndDate,0,COLUMN())&amp;",,,,""PRICE"",""CLOSE"")"),"N/A")</f>
        <v>N/A</v>
      </c>
      <c r="BE735" s="1848" t="str">
        <f ca="1">IFERROR(FDS(MO.Ticker.FactSet,"P_PRICE_AVG"&amp;"("&amp;INDEX(MO_SNA_FPStartDate,0,COLUMN())&amp;","&amp;INDEX(MO_Common_QEndDate,0,COLUMN())&amp;",,,,""PRICE"",""CLOSE"")"),"N/A")</f>
        <v>N/A</v>
      </c>
      <c r="BF735" s="1848" t="str">
        <f ca="1">IFERROR(FDS(MO.Ticker.FactSet,"P_PRICE_AVG"&amp;"("&amp;INDEX(MO_SNA_FPStartDate,0,COLUMN())&amp;","&amp;INDEX(MO_Common_QEndDate,0,COLUMN())&amp;",,,,""PRICE"",""CLOSE"")"),"N/A")</f>
        <v>N/A</v>
      </c>
      <c r="BG735" s="1832" t="str">
        <f ca="1">IFERROR(FDS(MO.Ticker.FactSet,"P_PRICE_AVG"&amp;"("&amp;INDEX(MO_SNA_FPStartDate,0,COLUMN())&amp;","&amp;INDEX(MO_Common_QEndDate,0,COLUMN())&amp;",,,,""PRICE"",""CLOSE"")"),"N/A")</f>
        <v>N/A</v>
      </c>
      <c r="BH735" s="1832" t="str">
        <f ca="1">IFERROR(FDS(MO.Ticker.FactSet,"P_PRICE_AVG"&amp;"("&amp;INDEX(MO_SNA_FPStartDate,0,COLUMN())&amp;","&amp;INDEX(MO_Common_QEndDate,0,COLUMN())&amp;",,,,""PRICE"",""CLOSE"")"),"N/A")</f>
        <v>N/A</v>
      </c>
      <c r="BI735" s="1832" t="str">
        <f ca="1">IFERROR(FDS(MO.Ticker.FactSet,"P_PRICE_AVG"&amp;"("&amp;INDEX(MO_SNA_FPStartDate,0,COLUMN())&amp;","&amp;INDEX(MO_Common_QEndDate,0,COLUMN())&amp;",,,,""PRICE"",""CLOSE"")"),"N/A")</f>
        <v>N/A</v>
      </c>
      <c r="BJ735" s="1832" t="str">
        <f ca="1">IFERROR(FDS(MO.Ticker.FactSet,"P_PRICE_AVG"&amp;"("&amp;INDEX(MO_SNA_FPStartDate,0,COLUMN())&amp;","&amp;INDEX(MO_Common_QEndDate,0,COLUMN())&amp;",,,,""PRICE"",""CLOSE"")"),"N/A")</f>
        <v>N/A</v>
      </c>
      <c r="BK735" s="2122" t="str">
        <f ca="1">IFERROR(FDS(MO.Ticker.FactSet,"P_PRICE_AVG"&amp;"("&amp;INDEX(MO_SNA_FPStartDate,0,COLUMN())&amp;","&amp;INDEX(MO_Common_QEndDate,0,COLUMN())&amp;",,,,""PRICE"",""CLOSE"")"),"N/A")</f>
        <v>N/A</v>
      </c>
      <c r="BL735" s="1848"/>
    </row>
    <row r="736" spans="1:64" s="2008" customFormat="1" hidden="1" outlineLevel="1" x14ac:dyDescent="0.35">
      <c r="A736" s="2123" t="s">
        <v>1279</v>
      </c>
      <c r="B736" s="1832"/>
      <c r="C736" s="1848" t="str">
        <f ca="1">IFERROR(_xll.TR(MO.Ticker.Thomson,"AVG(TR.Priceclose)","sdate:#1 edate:#2",,INDEX(MO_SNA_FPStartDate,0,COLUMN()),INDEX(MO_Common_QEndDate,0,COLUMN())),"N/A")</f>
        <v>N/A</v>
      </c>
      <c r="D736" s="1848" t="str">
        <f ca="1">IFERROR(_xll.TR(MO.Ticker.Thomson,"AVG(TR.Priceclose)","sdate:#1 edate:#2",,INDEX(MO_SNA_FPStartDate,0,COLUMN()),INDEX(MO_Common_QEndDate,0,COLUMN())),"N/A")</f>
        <v>N/A</v>
      </c>
      <c r="E736" s="1848" t="str">
        <f ca="1">IFERROR(_xll.TR(MO.Ticker.Thomson,"AVG(TR.Priceclose)","sdate:#1 edate:#2",,INDEX(MO_SNA_FPStartDate,0,COLUMN()),INDEX(MO_Common_QEndDate,0,COLUMN())),"N/A")</f>
        <v>N/A</v>
      </c>
      <c r="F736" s="1848" t="str">
        <f ca="1">IFERROR(_xll.TR(MO.Ticker.Thomson,"AVG(TR.Priceclose)","sdate:#1 edate:#2",,INDEX(MO_SNA_FPStartDate,0,COLUMN()),INDEX(MO_Common_QEndDate,0,COLUMN())),"N/A")</f>
        <v>N/A</v>
      </c>
      <c r="G736" s="1848" t="str">
        <f ca="1">IFERROR(_xll.TR(MO.Ticker.Thomson,"AVG(TR.Priceclose)","sdate:#1 edate:#2",,INDEX(MO_SNA_FPStartDate,0,COLUMN()),INDEX(MO_Common_QEndDate,0,COLUMN())),"N/A")</f>
        <v>N/A</v>
      </c>
      <c r="H736" s="1848" t="str">
        <f ca="1">IFERROR(_xll.TR(MO.Ticker.Thomson,"AVG(TR.Priceclose)","sdate:#1 edate:#2",,INDEX(MO_SNA_FPStartDate,0,COLUMN()),INDEX(MO_Common_QEndDate,0,COLUMN())),"N/A")</f>
        <v>N/A</v>
      </c>
      <c r="I736" s="1848" t="str">
        <f ca="1">IFERROR(_xll.TR(MO.Ticker.Thomson,"AVG(TR.Priceclose)","sdate:#1 edate:#2",,INDEX(MO_SNA_FPStartDate,0,COLUMN()),INDEX(MO_Common_QEndDate,0,COLUMN())),"N/A")</f>
        <v>N/A</v>
      </c>
      <c r="J736" s="1848" t="str">
        <f ca="1">IFERROR(_xll.TR(MO.Ticker.Thomson,"AVG(TR.Priceclose)","sdate:#1 edate:#2",,INDEX(MO_SNA_FPStartDate,0,COLUMN()),INDEX(MO_Common_QEndDate,0,COLUMN())),"N/A")</f>
        <v>N/A</v>
      </c>
      <c r="K736" s="1848" t="str">
        <f ca="1">IFERROR(_xll.TR(MO.Ticker.Thomson,"AVG(TR.Priceclose)","sdate:#1 edate:#2",,INDEX(MO_SNA_FPStartDate,0,COLUMN()),INDEX(MO_Common_QEndDate,0,COLUMN())),"N/A")</f>
        <v>N/A</v>
      </c>
      <c r="L736" s="1848" t="str">
        <f ca="1">IFERROR(_xll.TR(MO.Ticker.Thomson,"AVG(TR.Priceclose)","sdate:#1 edate:#2",,INDEX(MO_SNA_FPStartDate,0,COLUMN()),INDEX(MO_Common_QEndDate,0,COLUMN())),"N/A")</f>
        <v>N/A</v>
      </c>
      <c r="M736" s="1848" t="str">
        <f ca="1">IFERROR(_xll.TR(MO.Ticker.Thomson,"AVG(TR.Priceclose)","sdate:#1 edate:#2",,INDEX(MO_SNA_FPStartDate,0,COLUMN()),INDEX(MO_Common_QEndDate,0,COLUMN())),"N/A")</f>
        <v>N/A</v>
      </c>
      <c r="N736" s="1848" t="str">
        <f ca="1">IFERROR(_xll.TR(MO.Ticker.Thomson,"AVG(TR.Priceclose)","sdate:#1 edate:#2",,INDEX(MO_SNA_FPStartDate,0,COLUMN()),INDEX(MO_Common_QEndDate,0,COLUMN())),"N/A")</f>
        <v>N/A</v>
      </c>
      <c r="O736" s="1848" t="str">
        <f ca="1">IFERROR(_xll.TR(MO.Ticker.Thomson,"AVG(TR.Priceclose)","sdate:#1 edate:#2",,INDEX(MO_SNA_FPStartDate,0,COLUMN()),INDEX(MO_Common_QEndDate,0,COLUMN())),"N/A")</f>
        <v>N/A</v>
      </c>
      <c r="P736" s="1848" t="str">
        <f ca="1">IFERROR(_xll.TR(MO.Ticker.Thomson,"AVG(TR.Priceclose)","sdate:#1 edate:#2",,INDEX(MO_SNA_FPStartDate,0,COLUMN()),INDEX(MO_Common_QEndDate,0,COLUMN())),"N/A")</f>
        <v>N/A</v>
      </c>
      <c r="Q736" s="1848" t="str">
        <f ca="1">IFERROR(_xll.TR(MO.Ticker.Thomson,"AVG(TR.Priceclose)","sdate:#1 edate:#2",,INDEX(MO_SNA_FPStartDate,0,COLUMN()),INDEX(MO_Common_QEndDate,0,COLUMN())),"N/A")</f>
        <v>N/A</v>
      </c>
      <c r="R736" s="1848" t="str">
        <f ca="1">IFERROR(_xll.TR(MO.Ticker.Thomson,"AVG(TR.Priceclose)","sdate:#1 edate:#2",,INDEX(MO_SNA_FPStartDate,0,COLUMN()),INDEX(MO_Common_QEndDate,0,COLUMN())),"N/A")</f>
        <v>N/A</v>
      </c>
      <c r="S736" s="1848" t="str">
        <f ca="1">IFERROR(_xll.TR(MO.Ticker.Thomson,"AVG(TR.Priceclose)","sdate:#1 edate:#2",,INDEX(MO_SNA_FPStartDate,0,COLUMN()),INDEX(MO_Common_QEndDate,0,COLUMN())),"N/A")</f>
        <v>N/A</v>
      </c>
      <c r="T736" s="1848" t="str">
        <f ca="1">IFERROR(_xll.TR(MO.Ticker.Thomson,"AVG(TR.Priceclose)","sdate:#1 edate:#2",,INDEX(MO_SNA_FPStartDate,0,COLUMN()),INDEX(MO_Common_QEndDate,0,COLUMN())),"N/A")</f>
        <v>N/A</v>
      </c>
      <c r="U736" s="1848" t="str">
        <f ca="1">IFERROR(_xll.TR(MO.Ticker.Thomson,"AVG(TR.Priceclose)","sdate:#1 edate:#2",,INDEX(MO_SNA_FPStartDate,0,COLUMN()),INDEX(MO_Common_QEndDate,0,COLUMN())),"N/A")</f>
        <v>N/A</v>
      </c>
      <c r="V736" s="1848" t="str">
        <f ca="1">IFERROR(_xll.TR(MO.Ticker.Thomson,"AVG(TR.Priceclose)","sdate:#1 edate:#2",,INDEX(MO_SNA_FPStartDate,0,COLUMN()),INDEX(MO_Common_QEndDate,0,COLUMN())),"N/A")</f>
        <v>N/A</v>
      </c>
      <c r="W736" s="1848" t="str">
        <f ca="1">IFERROR(_xll.TR(MO.Ticker.Thomson,"AVG(TR.Priceclose)","sdate:#1 edate:#2",,INDEX(MO_SNA_FPStartDate,0,COLUMN()),INDEX(MO_Common_QEndDate,0,COLUMN())),"N/A")</f>
        <v>N/A</v>
      </c>
      <c r="X736" s="1848" t="str">
        <f ca="1">IFERROR(_xll.TR(MO.Ticker.Thomson,"AVG(TR.Priceclose)","sdate:#1 edate:#2",,INDEX(MO_SNA_FPStartDate,0,COLUMN()),INDEX(MO_Common_QEndDate,0,COLUMN())),"N/A")</f>
        <v>N/A</v>
      </c>
      <c r="Y736" s="1848" t="str">
        <f ca="1">IFERROR(_xll.TR(MO.Ticker.Thomson,"AVG(TR.Priceclose)","sdate:#1 edate:#2",,INDEX(MO_SNA_FPStartDate,0,COLUMN()),INDEX(MO_Common_QEndDate,0,COLUMN())),"N/A")</f>
        <v>N/A</v>
      </c>
      <c r="Z736" s="1848" t="str">
        <f ca="1">IFERROR(_xll.TR(MO.Ticker.Thomson,"AVG(TR.Priceclose)","sdate:#1 edate:#2",,INDEX(MO_SNA_FPStartDate,0,COLUMN()),INDEX(MO_Common_QEndDate,0,COLUMN())),"N/A")</f>
        <v>N/A</v>
      </c>
      <c r="AA736" s="1848" t="str">
        <f ca="1">IFERROR(_xll.TR(MO.Ticker.Thomson,"AVG(TR.Priceclose)","sdate:#1 edate:#2",,INDEX(MO_SNA_FPStartDate,0,COLUMN()),INDEX(MO_Common_QEndDate,0,COLUMN())),"N/A")</f>
        <v>N/A</v>
      </c>
      <c r="AB736" s="1848" t="str">
        <f ca="1">IFERROR(_xll.TR(MO.Ticker.Thomson,"AVG(TR.Priceclose)","sdate:#1 edate:#2",,INDEX(MO_SNA_FPStartDate,0,COLUMN()),INDEX(MO_Common_QEndDate,0,COLUMN())),"N/A")</f>
        <v>N/A</v>
      </c>
      <c r="AC736" s="1848" t="str">
        <f ca="1">IFERROR(_xll.TR(MO.Ticker.Thomson,"AVG(TR.Priceclose)","sdate:#1 edate:#2",,INDEX(MO_SNA_FPStartDate,0,COLUMN()),INDEX(MO_Common_QEndDate,0,COLUMN())),"N/A")</f>
        <v>N/A</v>
      </c>
      <c r="AD736" s="1848" t="str">
        <f ca="1">IFERROR(_xll.TR(MO.Ticker.Thomson,"AVG(TR.Priceclose)","sdate:#1 edate:#2",,INDEX(MO_SNA_FPStartDate,0,COLUMN()),INDEX(MO_Common_QEndDate,0,COLUMN())),"N/A")</f>
        <v>N/A</v>
      </c>
      <c r="AE736" s="1848" t="str">
        <f ca="1">IFERROR(_xll.TR(MO.Ticker.Thomson,"AVG(TR.Priceclose)","sdate:#1 edate:#2",,INDEX(MO_SNA_FPStartDate,0,COLUMN()),INDEX(MO_Common_QEndDate,0,COLUMN())),"N/A")</f>
        <v>N/A</v>
      </c>
      <c r="AF736" s="1848" t="str">
        <f ca="1">IFERROR(_xll.TR(MO.Ticker.Thomson,"AVG(TR.Priceclose)","sdate:#1 edate:#2",,INDEX(MO_SNA_FPStartDate,0,COLUMN()),INDEX(MO_Common_QEndDate,0,COLUMN())),"N/A")</f>
        <v>N/A</v>
      </c>
      <c r="AG736" s="1848" t="str">
        <f ca="1">IFERROR(_xll.TR(MO.Ticker.Thomson,"AVG(TR.Priceclose)","sdate:#1 edate:#2",,INDEX(MO_SNA_FPStartDate,0,COLUMN()),INDEX(MO_Common_QEndDate,0,COLUMN())),"N/A")</f>
        <v>N/A</v>
      </c>
      <c r="AH736" s="1848" t="str">
        <f ca="1">IFERROR(_xll.TR(MO.Ticker.Thomson,"AVG(TR.Priceclose)","sdate:#1 edate:#2",,INDEX(MO_SNA_FPStartDate,0,COLUMN()),INDEX(MO_Common_QEndDate,0,COLUMN())),"N/A")</f>
        <v>N/A</v>
      </c>
      <c r="AI736" s="1848" t="str">
        <f ca="1">IFERROR(_xll.TR(MO.Ticker.Thomson,"AVG(TR.Priceclose)","sdate:#1 edate:#2",,INDEX(MO_SNA_FPStartDate,0,COLUMN()),INDEX(MO_Common_QEndDate,0,COLUMN())),"N/A")</f>
        <v>N/A</v>
      </c>
      <c r="AJ736" s="1848" t="str">
        <f ca="1">IFERROR(_xll.TR(MO.Ticker.Thomson,"AVG(TR.Priceclose)","sdate:#1 edate:#2",,INDEX(MO_SNA_FPStartDate,0,COLUMN()),INDEX(MO_Common_QEndDate,0,COLUMN())),"N/A")</f>
        <v>N/A</v>
      </c>
      <c r="AK736" s="1832" t="str">
        <f ca="1">IFERROR(_xll.TR(MO.Ticker.Thomson,"AVG(TR.Priceclose)","sdate:#1 edate:#2",,INDEX(MO_SNA_FPStartDate,0,COLUMN()),INDEX(MO_Common_QEndDate,0,COLUMN())),"N/A")</f>
        <v>N/A</v>
      </c>
      <c r="AL736" s="1832" t="str">
        <f ca="1">IFERROR(_xll.TR(MO.Ticker.Thomson,"AVG(TR.Priceclose)","sdate:#1 edate:#2",,INDEX(MO_SNA_FPStartDate,0,COLUMN()),INDEX(MO_Common_QEndDate,0,COLUMN())),"N/A")</f>
        <v>N/A</v>
      </c>
      <c r="AM736" s="1832" t="str">
        <f ca="1">IFERROR(_xll.TR(MO.Ticker.Thomson,"AVG(TR.Priceclose)","sdate:#1 edate:#2",,INDEX(MO_SNA_FPStartDate,0,COLUMN()),INDEX(MO_Common_QEndDate,0,COLUMN())),"N/A")</f>
        <v>N/A</v>
      </c>
      <c r="AN736" s="1832" t="str">
        <f ca="1">IFERROR(_xll.TR(MO.Ticker.Thomson,"AVG(TR.Priceclose)","sdate:#1 edate:#2",,INDEX(MO_SNA_FPStartDate,0,COLUMN()),INDEX(MO_Common_QEndDate,0,COLUMN())),"N/A")</f>
        <v>N/A</v>
      </c>
      <c r="AO736" s="1832" t="str">
        <f ca="1">IFERROR(_xll.TR(MO.Ticker.Thomson,"AVG(TR.Priceclose)","sdate:#1 edate:#2",,INDEX(MO_SNA_FPStartDate,0,COLUMN()),INDEX(MO_Common_QEndDate,0,COLUMN())),"N/A")</f>
        <v>N/A</v>
      </c>
      <c r="AP736" s="1832" t="str">
        <f ca="1">IFERROR(_xll.TR(MO.Ticker.Thomson,"AVG(TR.Priceclose)","sdate:#1 edate:#2",,INDEX(MO_SNA_FPStartDate,0,COLUMN()),INDEX(MO_Common_QEndDate,0,COLUMN())),"N/A")</f>
        <v>N/A</v>
      </c>
      <c r="AQ736" s="1832"/>
      <c r="AR736" s="2121" t="str">
        <f ca="1">IFERROR(_xll.TR(MO.Ticker.Thomson,"AVG(TR.Priceclose)","sdate:#1 edate:#2",,INDEX(MO_SNA_FPStartDate,0,COLUMN()),INDEX(MO_Common_QEndDate,0,COLUMN())),"N/A")</f>
        <v>N/A</v>
      </c>
      <c r="AS736" s="2121" t="str">
        <f ca="1">IFERROR(_xll.TR(MO.Ticker.Thomson,"AVG(TR.Priceclose)","sdate:#1 edate:#2",,INDEX(MO_SNA_FPStartDate,0,COLUMN()),INDEX(MO_Common_QEndDate,0,COLUMN())),"N/A")</f>
        <v>N/A</v>
      </c>
      <c r="AT736" s="1848" t="str">
        <f ca="1">IFERROR(_xll.TR(MO.Ticker.Thomson,"AVG(TR.Priceclose)","sdate:#1 edate:#2",,INDEX(MO_SNA_FPStartDate,0,COLUMN()),INDEX(MO_Common_QEndDate,0,COLUMN())),"N/A")</f>
        <v>N/A</v>
      </c>
      <c r="AU736" s="1848" t="str">
        <f ca="1">IFERROR(_xll.TR(MO.Ticker.Thomson,"AVG(TR.Priceclose)","sdate:#1 edate:#2",,INDEX(MO_SNA_FPStartDate,0,COLUMN()),INDEX(MO_Common_QEndDate,0,COLUMN())),"N/A")</f>
        <v>N/A</v>
      </c>
      <c r="AV736" s="1848" t="str">
        <f ca="1">IFERROR(_xll.TR(MO.Ticker.Thomson,"AVG(TR.Priceclose)","sdate:#1 edate:#2",,INDEX(MO_SNA_FPStartDate,0,COLUMN()),INDEX(MO_Common_QEndDate,0,COLUMN())),"N/A")</f>
        <v>N/A</v>
      </c>
      <c r="AW736" s="1848" t="str">
        <f ca="1">IFERROR(_xll.TR(MO.Ticker.Thomson,"AVG(TR.Priceclose)","sdate:#1 edate:#2",,INDEX(MO_SNA_FPStartDate,0,COLUMN()),INDEX(MO_Common_QEndDate,0,COLUMN())),"N/A")</f>
        <v>N/A</v>
      </c>
      <c r="AX736" s="1848" t="str">
        <f ca="1">IFERROR(_xll.TR(MO.Ticker.Thomson,"AVG(TR.Priceclose)","sdate:#1 edate:#2",,INDEX(MO_SNA_FPStartDate,0,COLUMN()),INDEX(MO_Common_QEndDate,0,COLUMN())),"N/A")</f>
        <v>N/A</v>
      </c>
      <c r="AY736" s="1848" t="str">
        <f ca="1">IFERROR(_xll.TR(MO.Ticker.Thomson,"AVG(TR.Priceclose)","sdate:#1 edate:#2",,INDEX(MO_SNA_FPStartDate,0,COLUMN()),INDEX(MO_Common_QEndDate,0,COLUMN())),"N/A")</f>
        <v>N/A</v>
      </c>
      <c r="AZ736" s="1848" t="str">
        <f ca="1">IFERROR(_xll.TR(MO.Ticker.Thomson,"AVG(TR.Priceclose)","sdate:#1 edate:#2",,INDEX(MO_SNA_FPStartDate,0,COLUMN()),INDEX(MO_Common_QEndDate,0,COLUMN())),"N/A")</f>
        <v>N/A</v>
      </c>
      <c r="BA736" s="1848" t="str">
        <f ca="1">IFERROR(_xll.TR(MO.Ticker.Thomson,"AVG(TR.Priceclose)","sdate:#1 edate:#2",,INDEX(MO_SNA_FPStartDate,0,COLUMN()),INDEX(MO_Common_QEndDate,0,COLUMN())),"N/A")</f>
        <v>N/A</v>
      </c>
      <c r="BB736" s="1848" t="str">
        <f ca="1">IFERROR(_xll.TR(MO.Ticker.Thomson,"AVG(TR.Priceclose)","sdate:#1 edate:#2",,INDEX(MO_SNA_FPStartDate,0,COLUMN()),INDEX(MO_Common_QEndDate,0,COLUMN())),"N/A")</f>
        <v>N/A</v>
      </c>
      <c r="BC736" s="1848" t="str">
        <f ca="1">IFERROR(_xll.TR(MO.Ticker.Thomson,"AVG(TR.Priceclose)","sdate:#1 edate:#2",,INDEX(MO_SNA_FPStartDate,0,COLUMN()),INDEX(MO_Common_QEndDate,0,COLUMN())),"N/A")</f>
        <v>N/A</v>
      </c>
      <c r="BD736" s="1848" t="str">
        <f ca="1">IFERROR(_xll.TR(MO.Ticker.Thomson,"AVG(TR.Priceclose)","sdate:#1 edate:#2",,INDEX(MO_SNA_FPStartDate,0,COLUMN()),INDEX(MO_Common_QEndDate,0,COLUMN())),"N/A")</f>
        <v>N/A</v>
      </c>
      <c r="BE736" s="1848" t="str">
        <f ca="1">IFERROR(_xll.TR(MO.Ticker.Thomson,"AVG(TR.Priceclose)","sdate:#1 edate:#2",,INDEX(MO_SNA_FPStartDate,0,COLUMN()),INDEX(MO_Common_QEndDate,0,COLUMN())),"N/A")</f>
        <v>N/A</v>
      </c>
      <c r="BF736" s="1848" t="str">
        <f ca="1">IFERROR(_xll.TR(MO.Ticker.Thomson,"AVG(TR.Priceclose)","sdate:#1 edate:#2",,INDEX(MO_SNA_FPStartDate,0,COLUMN()),INDEX(MO_Common_QEndDate,0,COLUMN())),"N/A")</f>
        <v>N/A</v>
      </c>
      <c r="BG736" s="1832" t="str">
        <f ca="1">IFERROR(_xll.TR(MO.Ticker.Thomson,"AVG(TR.Priceclose)","sdate:#1 edate:#2",,INDEX(MO_SNA_FPStartDate,0,COLUMN()),INDEX(MO_Common_QEndDate,0,COLUMN())),"N/A")</f>
        <v>N/A</v>
      </c>
      <c r="BH736" s="1832" t="str">
        <f ca="1">IFERROR(_xll.TR(MO.Ticker.Thomson,"AVG(TR.Priceclose)","sdate:#1 edate:#2",,INDEX(MO_SNA_FPStartDate,0,COLUMN()),INDEX(MO_Common_QEndDate,0,COLUMN())),"N/A")</f>
        <v>N/A</v>
      </c>
      <c r="BI736" s="1832" t="str">
        <f ca="1">IFERROR(_xll.TR(MO.Ticker.Thomson,"AVG(TR.Priceclose)","sdate:#1 edate:#2",,INDEX(MO_SNA_FPStartDate,0,COLUMN()),INDEX(MO_Common_QEndDate,0,COLUMN())),"N/A")</f>
        <v>N/A</v>
      </c>
      <c r="BJ736" s="1832" t="str">
        <f ca="1">IFERROR(_xll.TR(MO.Ticker.Thomson,"AVG(TR.Priceclose)","sdate:#1 edate:#2",,INDEX(MO_SNA_FPStartDate,0,COLUMN()),INDEX(MO_Common_QEndDate,0,COLUMN())),"N/A")</f>
        <v>N/A</v>
      </c>
      <c r="BK736" s="2122" t="str">
        <f ca="1">IFERROR(_xll.TR(MO.Ticker.Thomson,"AVG(TR.Priceclose)","sdate:#1 edate:#2",,INDEX(MO_SNA_FPStartDate,0,COLUMN()),INDEX(MO_Common_QEndDate,0,COLUMN())),"N/A")</f>
        <v>N/A</v>
      </c>
      <c r="BL736" s="1848"/>
    </row>
    <row r="737" spans="1:64" s="1518" customFormat="1" hidden="1" outlineLevel="1" x14ac:dyDescent="0.35">
      <c r="A737" s="2126"/>
      <c r="B737" s="1515"/>
      <c r="C737" s="1515"/>
      <c r="D737" s="1515"/>
      <c r="E737" s="1515"/>
      <c r="F737" s="1515"/>
      <c r="G737" s="1515"/>
      <c r="H737" s="1515"/>
      <c r="I737" s="1515"/>
      <c r="J737" s="1515"/>
      <c r="K737" s="1515"/>
      <c r="L737" s="1515"/>
      <c r="M737" s="1515"/>
      <c r="N737" s="1515"/>
      <c r="O737" s="1515"/>
      <c r="P737" s="1515"/>
      <c r="Q737" s="1515"/>
      <c r="R737" s="1515"/>
      <c r="S737" s="1515"/>
      <c r="T737" s="1515"/>
      <c r="U737" s="1515"/>
      <c r="V737" s="1515"/>
      <c r="W737" s="1515"/>
      <c r="X737" s="1515"/>
      <c r="Y737" s="1515"/>
      <c r="Z737" s="1515"/>
      <c r="AA737" s="1515"/>
      <c r="AB737" s="1515"/>
      <c r="AC737" s="1515"/>
      <c r="AD737" s="1515"/>
      <c r="AE737" s="1515"/>
      <c r="AF737" s="1515"/>
      <c r="AG737" s="1515"/>
      <c r="AH737" s="1515"/>
      <c r="AI737" s="1515"/>
      <c r="AJ737" s="1515"/>
      <c r="AK737" s="1515"/>
      <c r="AL737" s="1515"/>
      <c r="AM737" s="1515"/>
      <c r="AN737" s="1515"/>
      <c r="AO737" s="1515"/>
      <c r="AP737" s="1515"/>
      <c r="AQ737" s="1515"/>
      <c r="AR737" s="2071"/>
      <c r="AS737" s="2071"/>
      <c r="AT737" s="1515"/>
      <c r="AU737" s="1515"/>
      <c r="AV737" s="1515"/>
      <c r="AW737" s="1515"/>
      <c r="AX737" s="1515"/>
      <c r="AY737" s="1515"/>
      <c r="AZ737" s="1515"/>
      <c r="BA737" s="1515"/>
      <c r="BB737" s="1515"/>
      <c r="BC737" s="1515"/>
      <c r="BD737" s="1515"/>
      <c r="BE737" s="1515"/>
      <c r="BF737" s="1515"/>
      <c r="BG737" s="1515"/>
      <c r="BH737" s="1515"/>
      <c r="BI737" s="1515"/>
      <c r="BJ737" s="1515"/>
      <c r="BK737" s="2127"/>
      <c r="BL737" s="1517"/>
    </row>
    <row r="738" spans="1:64" s="2022" customFormat="1" collapsed="1" x14ac:dyDescent="0.35">
      <c r="A738" s="2128" t="str">
        <f ca="1">"FX Average: "&amp;IF(OR(MO.RealTimeStockPriceToggle=FALSE,VLOOKUP(MO.DataSourceName,MO_SPT_FXAverage_Sources,COLUMN()+2,FALSE)="N/A"),"Real-Time Off Source",MO.DataSourceName)</f>
        <v>FX Average: Real-Time Off Source</v>
      </c>
      <c r="B738" s="2129"/>
      <c r="C738" s="2021">
        <f t="shared" ref="C738:AP738" ca="1" si="462">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D738" s="2021">
        <f t="shared" ca="1" si="462"/>
        <v>1</v>
      </c>
      <c r="E738" s="2021">
        <f t="shared" ca="1" si="462"/>
        <v>1</v>
      </c>
      <c r="F738" s="2021">
        <f t="shared" ca="1" si="462"/>
        <v>1</v>
      </c>
      <c r="G738" s="2021">
        <f t="shared" ca="1" si="462"/>
        <v>1</v>
      </c>
      <c r="H738" s="2021">
        <f t="shared" ca="1" si="462"/>
        <v>1</v>
      </c>
      <c r="I738" s="2021">
        <f t="shared" ca="1" si="462"/>
        <v>1</v>
      </c>
      <c r="J738" s="2021">
        <f t="shared" ca="1" si="462"/>
        <v>1</v>
      </c>
      <c r="K738" s="2021">
        <f t="shared" ca="1" si="462"/>
        <v>1</v>
      </c>
      <c r="L738" s="2021">
        <f t="shared" ca="1" si="462"/>
        <v>1</v>
      </c>
      <c r="M738" s="2021">
        <f t="shared" ca="1" si="462"/>
        <v>1</v>
      </c>
      <c r="N738" s="2021">
        <f t="shared" ca="1" si="462"/>
        <v>1</v>
      </c>
      <c r="O738" s="2021">
        <f t="shared" ca="1" si="462"/>
        <v>1</v>
      </c>
      <c r="P738" s="2021">
        <f t="shared" ca="1" si="462"/>
        <v>1</v>
      </c>
      <c r="Q738" s="2021">
        <f t="shared" ca="1" si="462"/>
        <v>1</v>
      </c>
      <c r="R738" s="2021">
        <f t="shared" ca="1" si="462"/>
        <v>1</v>
      </c>
      <c r="S738" s="2021">
        <f t="shared" ca="1" si="462"/>
        <v>1</v>
      </c>
      <c r="T738" s="2021">
        <f t="shared" ca="1" si="462"/>
        <v>1</v>
      </c>
      <c r="U738" s="2021">
        <f t="shared" ca="1" si="462"/>
        <v>1</v>
      </c>
      <c r="V738" s="2021">
        <f t="shared" ca="1" si="462"/>
        <v>1</v>
      </c>
      <c r="W738" s="2021">
        <f t="shared" ca="1" si="462"/>
        <v>1</v>
      </c>
      <c r="X738" s="2021">
        <f t="shared" ca="1" si="462"/>
        <v>1</v>
      </c>
      <c r="Y738" s="2021">
        <f t="shared" ca="1" si="462"/>
        <v>1</v>
      </c>
      <c r="Z738" s="2021">
        <f t="shared" ca="1" si="462"/>
        <v>1</v>
      </c>
      <c r="AA738" s="2021">
        <f t="shared" ca="1" si="462"/>
        <v>1</v>
      </c>
      <c r="AB738" s="2021">
        <f t="shared" ca="1" si="462"/>
        <v>1</v>
      </c>
      <c r="AC738" s="2021">
        <f t="shared" ca="1" si="462"/>
        <v>1</v>
      </c>
      <c r="AD738" s="2021">
        <f t="shared" ca="1" si="462"/>
        <v>1</v>
      </c>
      <c r="AE738" s="2021">
        <f t="shared" ca="1" si="462"/>
        <v>1</v>
      </c>
      <c r="AF738" s="2021">
        <f t="shared" ca="1" si="462"/>
        <v>1</v>
      </c>
      <c r="AG738" s="2021">
        <f t="shared" ca="1" si="462"/>
        <v>1</v>
      </c>
      <c r="AH738" s="2021">
        <f t="shared" ca="1" si="462"/>
        <v>1</v>
      </c>
      <c r="AI738" s="2021">
        <f t="shared" ca="1" si="462"/>
        <v>1</v>
      </c>
      <c r="AJ738" s="2021">
        <f t="shared" ca="1" si="462"/>
        <v>1</v>
      </c>
      <c r="AK738" s="2129">
        <f t="shared" ca="1" si="462"/>
        <v>1</v>
      </c>
      <c r="AL738" s="2129">
        <f t="shared" ca="1" si="462"/>
        <v>1</v>
      </c>
      <c r="AM738" s="2129">
        <f t="shared" ca="1" si="462"/>
        <v>1</v>
      </c>
      <c r="AN738" s="2129">
        <f t="shared" ca="1" si="462"/>
        <v>1</v>
      </c>
      <c r="AO738" s="2129">
        <f t="shared" ca="1" si="462"/>
        <v>1</v>
      </c>
      <c r="AP738" s="2129">
        <f t="shared" ca="1" si="462"/>
        <v>1</v>
      </c>
      <c r="AQ738" s="2129"/>
      <c r="AR738" s="2130">
        <f t="shared" ref="AR738:BK738" ca="1" si="463">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AS738" s="2130">
        <f t="shared" ca="1" si="463"/>
        <v>1</v>
      </c>
      <c r="AT738" s="2021">
        <f t="shared" ca="1" si="463"/>
        <v>1</v>
      </c>
      <c r="AU738" s="2021">
        <f t="shared" ca="1" si="463"/>
        <v>1</v>
      </c>
      <c r="AV738" s="2021">
        <f t="shared" ca="1" si="463"/>
        <v>1</v>
      </c>
      <c r="AW738" s="2021">
        <f t="shared" ca="1" si="463"/>
        <v>1</v>
      </c>
      <c r="AX738" s="2021">
        <f t="shared" ca="1" si="463"/>
        <v>1</v>
      </c>
      <c r="AY738" s="2021">
        <f t="shared" ca="1" si="463"/>
        <v>1</v>
      </c>
      <c r="AZ738" s="2021">
        <f t="shared" ca="1" si="463"/>
        <v>1</v>
      </c>
      <c r="BA738" s="2021">
        <f t="shared" ca="1" si="463"/>
        <v>1</v>
      </c>
      <c r="BB738" s="2021">
        <f t="shared" ca="1" si="463"/>
        <v>1</v>
      </c>
      <c r="BC738" s="2021">
        <f t="shared" ca="1" si="463"/>
        <v>1</v>
      </c>
      <c r="BD738" s="2021">
        <f t="shared" ca="1" si="463"/>
        <v>1</v>
      </c>
      <c r="BE738" s="2021">
        <f t="shared" ca="1" si="463"/>
        <v>1</v>
      </c>
      <c r="BF738" s="2021">
        <f t="shared" ca="1" si="463"/>
        <v>1</v>
      </c>
      <c r="BG738" s="2129">
        <f t="shared" ca="1" si="463"/>
        <v>1</v>
      </c>
      <c r="BH738" s="2129">
        <f t="shared" ca="1" si="463"/>
        <v>1</v>
      </c>
      <c r="BI738" s="2129">
        <f t="shared" ca="1" si="463"/>
        <v>1</v>
      </c>
      <c r="BJ738" s="2129">
        <f t="shared" ca="1" si="463"/>
        <v>1</v>
      </c>
      <c r="BK738" s="2131">
        <f t="shared" ca="1" si="463"/>
        <v>1</v>
      </c>
      <c r="BL738" s="2021"/>
    </row>
    <row r="739" spans="1:64" s="2022" customFormat="1" hidden="1" outlineLevel="1" x14ac:dyDescent="0.35">
      <c r="A739" s="2132" t="s">
        <v>1275</v>
      </c>
      <c r="B739" s="2129"/>
      <c r="C739" s="2021">
        <f t="shared" ref="C739:AP739" si="464">MO.MRFX.Hardcoded</f>
        <v>1</v>
      </c>
      <c r="D739" s="2021">
        <f t="shared" si="464"/>
        <v>1</v>
      </c>
      <c r="E739" s="2021">
        <f t="shared" si="464"/>
        <v>1</v>
      </c>
      <c r="F739" s="2021">
        <f t="shared" si="464"/>
        <v>1</v>
      </c>
      <c r="G739" s="2021">
        <f t="shared" si="464"/>
        <v>1</v>
      </c>
      <c r="H739" s="2021">
        <f t="shared" si="464"/>
        <v>1</v>
      </c>
      <c r="I739" s="2021">
        <f t="shared" si="464"/>
        <v>1</v>
      </c>
      <c r="J739" s="2021">
        <f t="shared" si="464"/>
        <v>1</v>
      </c>
      <c r="K739" s="2021">
        <f t="shared" si="464"/>
        <v>1</v>
      </c>
      <c r="L739" s="2021">
        <f t="shared" si="464"/>
        <v>1</v>
      </c>
      <c r="M739" s="2021">
        <f t="shared" si="464"/>
        <v>1</v>
      </c>
      <c r="N739" s="2021">
        <f t="shared" si="464"/>
        <v>1</v>
      </c>
      <c r="O739" s="2021">
        <f t="shared" si="464"/>
        <v>1</v>
      </c>
      <c r="P739" s="2021">
        <f t="shared" si="464"/>
        <v>1</v>
      </c>
      <c r="Q739" s="2021">
        <f t="shared" si="464"/>
        <v>1</v>
      </c>
      <c r="R739" s="2021">
        <f t="shared" si="464"/>
        <v>1</v>
      </c>
      <c r="S739" s="2021">
        <f t="shared" si="464"/>
        <v>1</v>
      </c>
      <c r="T739" s="2021">
        <f t="shared" si="464"/>
        <v>1</v>
      </c>
      <c r="U739" s="2021">
        <f t="shared" si="464"/>
        <v>1</v>
      </c>
      <c r="V739" s="2021">
        <f t="shared" si="464"/>
        <v>1</v>
      </c>
      <c r="W739" s="2021">
        <f t="shared" si="464"/>
        <v>1</v>
      </c>
      <c r="X739" s="2021">
        <f t="shared" si="464"/>
        <v>1</v>
      </c>
      <c r="Y739" s="2021">
        <f t="shared" si="464"/>
        <v>1</v>
      </c>
      <c r="Z739" s="2021">
        <f t="shared" si="464"/>
        <v>1</v>
      </c>
      <c r="AA739" s="2021">
        <f t="shared" si="464"/>
        <v>1</v>
      </c>
      <c r="AB739" s="2021">
        <f t="shared" si="464"/>
        <v>1</v>
      </c>
      <c r="AC739" s="2021">
        <f t="shared" si="464"/>
        <v>1</v>
      </c>
      <c r="AD739" s="2021">
        <f t="shared" si="464"/>
        <v>1</v>
      </c>
      <c r="AE739" s="2021">
        <f t="shared" si="464"/>
        <v>1</v>
      </c>
      <c r="AF739" s="2021">
        <f t="shared" si="464"/>
        <v>1</v>
      </c>
      <c r="AG739" s="2021">
        <f t="shared" si="464"/>
        <v>1</v>
      </c>
      <c r="AH739" s="2021">
        <f t="shared" si="464"/>
        <v>1</v>
      </c>
      <c r="AI739" s="2021">
        <f t="shared" si="464"/>
        <v>1</v>
      </c>
      <c r="AJ739" s="2021">
        <f t="shared" si="464"/>
        <v>1</v>
      </c>
      <c r="AK739" s="2129">
        <f t="shared" si="464"/>
        <v>1</v>
      </c>
      <c r="AL739" s="2129">
        <f t="shared" si="464"/>
        <v>1</v>
      </c>
      <c r="AM739" s="2129">
        <f t="shared" si="464"/>
        <v>1</v>
      </c>
      <c r="AN739" s="2129">
        <f t="shared" si="464"/>
        <v>1</v>
      </c>
      <c r="AO739" s="2129">
        <f t="shared" si="464"/>
        <v>1</v>
      </c>
      <c r="AP739" s="2129">
        <f t="shared" si="464"/>
        <v>1</v>
      </c>
      <c r="AQ739" s="2129"/>
      <c r="AR739" s="2130">
        <f t="shared" ref="AR739:BK739" si="465">MO.MRFX.Hardcoded</f>
        <v>1</v>
      </c>
      <c r="AS739" s="2130">
        <f t="shared" si="465"/>
        <v>1</v>
      </c>
      <c r="AT739" s="2021">
        <f t="shared" si="465"/>
        <v>1</v>
      </c>
      <c r="AU739" s="2021">
        <f t="shared" si="465"/>
        <v>1</v>
      </c>
      <c r="AV739" s="2021">
        <f t="shared" si="465"/>
        <v>1</v>
      </c>
      <c r="AW739" s="2021">
        <f t="shared" si="465"/>
        <v>1</v>
      </c>
      <c r="AX739" s="2021">
        <f t="shared" si="465"/>
        <v>1</v>
      </c>
      <c r="AY739" s="2021">
        <f t="shared" si="465"/>
        <v>1</v>
      </c>
      <c r="AZ739" s="2021">
        <f t="shared" si="465"/>
        <v>1</v>
      </c>
      <c r="BA739" s="2021">
        <f t="shared" si="465"/>
        <v>1</v>
      </c>
      <c r="BB739" s="2021">
        <f t="shared" si="465"/>
        <v>1</v>
      </c>
      <c r="BC739" s="2021">
        <f t="shared" si="465"/>
        <v>1</v>
      </c>
      <c r="BD739" s="2021">
        <f t="shared" si="465"/>
        <v>1</v>
      </c>
      <c r="BE739" s="2021">
        <f t="shared" si="465"/>
        <v>1</v>
      </c>
      <c r="BF739" s="2021">
        <f t="shared" si="465"/>
        <v>1</v>
      </c>
      <c r="BG739" s="2129">
        <f t="shared" si="465"/>
        <v>1</v>
      </c>
      <c r="BH739" s="2129">
        <f t="shared" si="465"/>
        <v>1</v>
      </c>
      <c r="BI739" s="2129">
        <f t="shared" si="465"/>
        <v>1</v>
      </c>
      <c r="BJ739" s="2129">
        <f t="shared" si="465"/>
        <v>1</v>
      </c>
      <c r="BK739" s="2131">
        <f t="shared" si="465"/>
        <v>1</v>
      </c>
      <c r="BL739" s="2021"/>
    </row>
    <row r="740" spans="1:64" s="2022" customFormat="1" hidden="1" outlineLevel="1" x14ac:dyDescent="0.35">
      <c r="A740" s="2132" t="s">
        <v>1276</v>
      </c>
      <c r="B740" s="2129"/>
      <c r="C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D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E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F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G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H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I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J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K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L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M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N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O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P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Q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R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S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T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U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V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W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X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Y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Z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A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B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C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D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E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F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G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H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I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J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K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L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M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N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O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P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Q740" s="2129"/>
      <c r="AR740" s="213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S740" s="213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T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U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V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W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X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Y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Z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A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B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C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D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E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F740" s="202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G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H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I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J740" s="212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K740" s="213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L740" s="2021"/>
    </row>
    <row r="741" spans="1:64" s="2022" customFormat="1" hidden="1" outlineLevel="1" x14ac:dyDescent="0.35">
      <c r="A741" s="2132" t="s">
        <v>1277</v>
      </c>
      <c r="B741" s="2129"/>
      <c r="C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D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E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F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G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H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I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J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K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L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M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N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O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P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Q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R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S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T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U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V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W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X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Y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Z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A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B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C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D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E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F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G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H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I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J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K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AL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AM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AN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AO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AP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AQ741" s="2129"/>
      <c r="AR741" s="213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S741" s="213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T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U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V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W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X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Y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Z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A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B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C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D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E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F741" s="202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G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BH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BI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BJ741" s="2129">
        <f ca="1">IFERROR(IF(INDEX(MO_Common_QEndDate,0,COLUMN())&gt;TODAY(),_xll.ciqfunctions.udf.CIQ("$"&amp;HP.TradeCurrency&amp;MO.ReportCurrency,"IQ_LASTSALEPRICE"),_xll.ciqfunctions.udf.CIQAVG("$"&amp;HP.TradeCurrency&amp;MO.ReportCurrency,"IQ_LASTSALEPRICE",INDEX(MO_SNA_FPStartDate,0,COLUMN()),INDEX(MO_Common_QEndDate,0,COLUMN()))),"N/A")</f>
        <v>1</v>
      </c>
      <c r="BK741" s="2131">
        <f ca="1">IFERROR(IF(INDEX(MO_Common_QEndDate,0,COLUMN())&gt;TODAY(),_xll.ciqfunctions.udf.CIQ("$"&amp;HP.TradeCurrency&amp;MO.ReportCurrency,"IQ_LASTSALEPRICE"),_xll.ciqfunctions.udf.CIQAVG("$"&amp;HP.TradeCurrency&amp;MO.ReportCurrency,"IQ_LASTSALEPRICE",INDEX(MO_SNA_FPStartDate,0,COLUMN()),INDEX(MO_Common_QEndDate,0,COLUMN()))),"N/A")</f>
        <v>1</v>
      </c>
      <c r="BL741" s="2021"/>
    </row>
    <row r="742" spans="1:64" s="2022" customFormat="1" hidden="1" outlineLevel="1" x14ac:dyDescent="0.35">
      <c r="A742" s="2132" t="s">
        <v>1278</v>
      </c>
      <c r="B742" s="2129"/>
      <c r="C742" s="2021" t="str">
        <f ca="1">IFERROR(IF(INDEX(MO_Common_QEndDate,0,COLUMN())&gt;TODAY(),FDS(MO.ReportCurrency&amp;HP.TradeCurrency,"FG_PRICE(NOW)"),FDS(MO.ReportCurrency&amp;HP.TradeCurrency,"P_PRICE_AVG("&amp;INDEX(MO_SNA_FPStartDate,0,COLUMN())&amp;","&amp;INDEX(MO_Common_QEndDate,0,COLUMN())&amp;",,,,0)")),"N/A")</f>
        <v>N/A</v>
      </c>
      <c r="D742" s="2021" t="str">
        <f ca="1">IFERROR(IF(INDEX(MO_Common_QEndDate,0,COLUMN())&gt;TODAY(),FDS(MO.ReportCurrency&amp;HP.TradeCurrency,"FG_PRICE(NOW)"),FDS(MO.ReportCurrency&amp;HP.TradeCurrency,"P_PRICE_AVG("&amp;INDEX(MO_SNA_FPStartDate,0,COLUMN())&amp;","&amp;INDEX(MO_Common_QEndDate,0,COLUMN())&amp;",,,,0)")),"N/A")</f>
        <v>N/A</v>
      </c>
      <c r="E742" s="2021" t="str">
        <f ca="1">IFERROR(IF(INDEX(MO_Common_QEndDate,0,COLUMN())&gt;TODAY(),FDS(MO.ReportCurrency&amp;HP.TradeCurrency,"FG_PRICE(NOW)"),FDS(MO.ReportCurrency&amp;HP.TradeCurrency,"P_PRICE_AVG("&amp;INDEX(MO_SNA_FPStartDate,0,COLUMN())&amp;","&amp;INDEX(MO_Common_QEndDate,0,COLUMN())&amp;",,,,0)")),"N/A")</f>
        <v>N/A</v>
      </c>
      <c r="F742" s="2021" t="str">
        <f ca="1">IFERROR(IF(INDEX(MO_Common_QEndDate,0,COLUMN())&gt;TODAY(),FDS(MO.ReportCurrency&amp;HP.TradeCurrency,"FG_PRICE(NOW)"),FDS(MO.ReportCurrency&amp;HP.TradeCurrency,"P_PRICE_AVG("&amp;INDEX(MO_SNA_FPStartDate,0,COLUMN())&amp;","&amp;INDEX(MO_Common_QEndDate,0,COLUMN())&amp;",,,,0)")),"N/A")</f>
        <v>N/A</v>
      </c>
      <c r="G742" s="2021" t="str">
        <f ca="1">IFERROR(IF(INDEX(MO_Common_QEndDate,0,COLUMN())&gt;TODAY(),FDS(MO.ReportCurrency&amp;HP.TradeCurrency,"FG_PRICE(NOW)"),FDS(MO.ReportCurrency&amp;HP.TradeCurrency,"P_PRICE_AVG("&amp;INDEX(MO_SNA_FPStartDate,0,COLUMN())&amp;","&amp;INDEX(MO_Common_QEndDate,0,COLUMN())&amp;",,,,0)")),"N/A")</f>
        <v>N/A</v>
      </c>
      <c r="H742" s="2021" t="str">
        <f ca="1">IFERROR(IF(INDEX(MO_Common_QEndDate,0,COLUMN())&gt;TODAY(),FDS(MO.ReportCurrency&amp;HP.TradeCurrency,"FG_PRICE(NOW)"),FDS(MO.ReportCurrency&amp;HP.TradeCurrency,"P_PRICE_AVG("&amp;INDEX(MO_SNA_FPStartDate,0,COLUMN())&amp;","&amp;INDEX(MO_Common_QEndDate,0,COLUMN())&amp;",,,,0)")),"N/A")</f>
        <v>N/A</v>
      </c>
      <c r="I742" s="2021" t="str">
        <f ca="1">IFERROR(IF(INDEX(MO_Common_QEndDate,0,COLUMN())&gt;TODAY(),FDS(MO.ReportCurrency&amp;HP.TradeCurrency,"FG_PRICE(NOW)"),FDS(MO.ReportCurrency&amp;HP.TradeCurrency,"P_PRICE_AVG("&amp;INDEX(MO_SNA_FPStartDate,0,COLUMN())&amp;","&amp;INDEX(MO_Common_QEndDate,0,COLUMN())&amp;",,,,0)")),"N/A")</f>
        <v>N/A</v>
      </c>
      <c r="J742" s="2021" t="str">
        <f ca="1">IFERROR(IF(INDEX(MO_Common_QEndDate,0,COLUMN())&gt;TODAY(),FDS(MO.ReportCurrency&amp;HP.TradeCurrency,"FG_PRICE(NOW)"),FDS(MO.ReportCurrency&amp;HP.TradeCurrency,"P_PRICE_AVG("&amp;INDEX(MO_SNA_FPStartDate,0,COLUMN())&amp;","&amp;INDEX(MO_Common_QEndDate,0,COLUMN())&amp;",,,,0)")),"N/A")</f>
        <v>N/A</v>
      </c>
      <c r="K742" s="2021" t="str">
        <f ca="1">IFERROR(IF(INDEX(MO_Common_QEndDate,0,COLUMN())&gt;TODAY(),FDS(MO.ReportCurrency&amp;HP.TradeCurrency,"FG_PRICE(NOW)"),FDS(MO.ReportCurrency&amp;HP.TradeCurrency,"P_PRICE_AVG("&amp;INDEX(MO_SNA_FPStartDate,0,COLUMN())&amp;","&amp;INDEX(MO_Common_QEndDate,0,COLUMN())&amp;",,,,0)")),"N/A")</f>
        <v>N/A</v>
      </c>
      <c r="L742" s="2021" t="str">
        <f ca="1">IFERROR(IF(INDEX(MO_Common_QEndDate,0,COLUMN())&gt;TODAY(),FDS(MO.ReportCurrency&amp;HP.TradeCurrency,"FG_PRICE(NOW)"),FDS(MO.ReportCurrency&amp;HP.TradeCurrency,"P_PRICE_AVG("&amp;INDEX(MO_SNA_FPStartDate,0,COLUMN())&amp;","&amp;INDEX(MO_Common_QEndDate,0,COLUMN())&amp;",,,,0)")),"N/A")</f>
        <v>N/A</v>
      </c>
      <c r="M742" s="2021" t="str">
        <f ca="1">IFERROR(IF(INDEX(MO_Common_QEndDate,0,COLUMN())&gt;TODAY(),FDS(MO.ReportCurrency&amp;HP.TradeCurrency,"FG_PRICE(NOW)"),FDS(MO.ReportCurrency&amp;HP.TradeCurrency,"P_PRICE_AVG("&amp;INDEX(MO_SNA_FPStartDate,0,COLUMN())&amp;","&amp;INDEX(MO_Common_QEndDate,0,COLUMN())&amp;",,,,0)")),"N/A")</f>
        <v>N/A</v>
      </c>
      <c r="N742" s="2021" t="str">
        <f ca="1">IFERROR(IF(INDEX(MO_Common_QEndDate,0,COLUMN())&gt;TODAY(),FDS(MO.ReportCurrency&amp;HP.TradeCurrency,"FG_PRICE(NOW)"),FDS(MO.ReportCurrency&amp;HP.TradeCurrency,"P_PRICE_AVG("&amp;INDEX(MO_SNA_FPStartDate,0,COLUMN())&amp;","&amp;INDEX(MO_Common_QEndDate,0,COLUMN())&amp;",,,,0)")),"N/A")</f>
        <v>N/A</v>
      </c>
      <c r="O742" s="2021" t="str">
        <f ca="1">IFERROR(IF(INDEX(MO_Common_QEndDate,0,COLUMN())&gt;TODAY(),FDS(MO.ReportCurrency&amp;HP.TradeCurrency,"FG_PRICE(NOW)"),FDS(MO.ReportCurrency&amp;HP.TradeCurrency,"P_PRICE_AVG("&amp;INDEX(MO_SNA_FPStartDate,0,COLUMN())&amp;","&amp;INDEX(MO_Common_QEndDate,0,COLUMN())&amp;",,,,0)")),"N/A")</f>
        <v>N/A</v>
      </c>
      <c r="P742" s="2021" t="str">
        <f ca="1">IFERROR(IF(INDEX(MO_Common_QEndDate,0,COLUMN())&gt;TODAY(),FDS(MO.ReportCurrency&amp;HP.TradeCurrency,"FG_PRICE(NOW)"),FDS(MO.ReportCurrency&amp;HP.TradeCurrency,"P_PRICE_AVG("&amp;INDEX(MO_SNA_FPStartDate,0,COLUMN())&amp;","&amp;INDEX(MO_Common_QEndDate,0,COLUMN())&amp;",,,,0)")),"N/A")</f>
        <v>N/A</v>
      </c>
      <c r="Q742" s="2021" t="str">
        <f ca="1">IFERROR(IF(INDEX(MO_Common_QEndDate,0,COLUMN())&gt;TODAY(),FDS(MO.ReportCurrency&amp;HP.TradeCurrency,"FG_PRICE(NOW)"),FDS(MO.ReportCurrency&amp;HP.TradeCurrency,"P_PRICE_AVG("&amp;INDEX(MO_SNA_FPStartDate,0,COLUMN())&amp;","&amp;INDEX(MO_Common_QEndDate,0,COLUMN())&amp;",,,,0)")),"N/A")</f>
        <v>N/A</v>
      </c>
      <c r="R742" s="2021" t="str">
        <f ca="1">IFERROR(IF(INDEX(MO_Common_QEndDate,0,COLUMN())&gt;TODAY(),FDS(MO.ReportCurrency&amp;HP.TradeCurrency,"FG_PRICE(NOW)"),FDS(MO.ReportCurrency&amp;HP.TradeCurrency,"P_PRICE_AVG("&amp;INDEX(MO_SNA_FPStartDate,0,COLUMN())&amp;","&amp;INDEX(MO_Common_QEndDate,0,COLUMN())&amp;",,,,0)")),"N/A")</f>
        <v>N/A</v>
      </c>
      <c r="S742" s="2021" t="str">
        <f ca="1">IFERROR(IF(INDEX(MO_Common_QEndDate,0,COLUMN())&gt;TODAY(),FDS(MO.ReportCurrency&amp;HP.TradeCurrency,"FG_PRICE(NOW)"),FDS(MO.ReportCurrency&amp;HP.TradeCurrency,"P_PRICE_AVG("&amp;INDEX(MO_SNA_FPStartDate,0,COLUMN())&amp;","&amp;INDEX(MO_Common_QEndDate,0,COLUMN())&amp;",,,,0)")),"N/A")</f>
        <v>N/A</v>
      </c>
      <c r="T742" s="2021" t="str">
        <f ca="1">IFERROR(IF(INDEX(MO_Common_QEndDate,0,COLUMN())&gt;TODAY(),FDS(MO.ReportCurrency&amp;HP.TradeCurrency,"FG_PRICE(NOW)"),FDS(MO.ReportCurrency&amp;HP.TradeCurrency,"P_PRICE_AVG("&amp;INDEX(MO_SNA_FPStartDate,0,COLUMN())&amp;","&amp;INDEX(MO_Common_QEndDate,0,COLUMN())&amp;",,,,0)")),"N/A")</f>
        <v>N/A</v>
      </c>
      <c r="U742" s="2021" t="str">
        <f ca="1">IFERROR(IF(INDEX(MO_Common_QEndDate,0,COLUMN())&gt;TODAY(),FDS(MO.ReportCurrency&amp;HP.TradeCurrency,"FG_PRICE(NOW)"),FDS(MO.ReportCurrency&amp;HP.TradeCurrency,"P_PRICE_AVG("&amp;INDEX(MO_SNA_FPStartDate,0,COLUMN())&amp;","&amp;INDEX(MO_Common_QEndDate,0,COLUMN())&amp;",,,,0)")),"N/A")</f>
        <v>N/A</v>
      </c>
      <c r="V742" s="2021" t="str">
        <f ca="1">IFERROR(IF(INDEX(MO_Common_QEndDate,0,COLUMN())&gt;TODAY(),FDS(MO.ReportCurrency&amp;HP.TradeCurrency,"FG_PRICE(NOW)"),FDS(MO.ReportCurrency&amp;HP.TradeCurrency,"P_PRICE_AVG("&amp;INDEX(MO_SNA_FPStartDate,0,COLUMN())&amp;","&amp;INDEX(MO_Common_QEndDate,0,COLUMN())&amp;",,,,0)")),"N/A")</f>
        <v>N/A</v>
      </c>
      <c r="W742" s="2021" t="str">
        <f ca="1">IFERROR(IF(INDEX(MO_Common_QEndDate,0,COLUMN())&gt;TODAY(),FDS(MO.ReportCurrency&amp;HP.TradeCurrency,"FG_PRICE(NOW)"),FDS(MO.ReportCurrency&amp;HP.TradeCurrency,"P_PRICE_AVG("&amp;INDEX(MO_SNA_FPStartDate,0,COLUMN())&amp;","&amp;INDEX(MO_Common_QEndDate,0,COLUMN())&amp;",,,,0)")),"N/A")</f>
        <v>N/A</v>
      </c>
      <c r="X742" s="2021" t="str">
        <f ca="1">IFERROR(IF(INDEX(MO_Common_QEndDate,0,COLUMN())&gt;TODAY(),FDS(MO.ReportCurrency&amp;HP.TradeCurrency,"FG_PRICE(NOW)"),FDS(MO.ReportCurrency&amp;HP.TradeCurrency,"P_PRICE_AVG("&amp;INDEX(MO_SNA_FPStartDate,0,COLUMN())&amp;","&amp;INDEX(MO_Common_QEndDate,0,COLUMN())&amp;",,,,0)")),"N/A")</f>
        <v>N/A</v>
      </c>
      <c r="Y742" s="2021" t="str">
        <f ca="1">IFERROR(IF(INDEX(MO_Common_QEndDate,0,COLUMN())&gt;TODAY(),FDS(MO.ReportCurrency&amp;HP.TradeCurrency,"FG_PRICE(NOW)"),FDS(MO.ReportCurrency&amp;HP.TradeCurrency,"P_PRICE_AVG("&amp;INDEX(MO_SNA_FPStartDate,0,COLUMN())&amp;","&amp;INDEX(MO_Common_QEndDate,0,COLUMN())&amp;",,,,0)")),"N/A")</f>
        <v>N/A</v>
      </c>
      <c r="Z742" s="2021" t="str">
        <f ca="1">IFERROR(IF(INDEX(MO_Common_QEndDate,0,COLUMN())&gt;TODAY(),FDS(MO.ReportCurrency&amp;HP.TradeCurrency,"FG_PRICE(NOW)"),FDS(MO.ReportCurrency&amp;HP.TradeCurrency,"P_PRICE_AVG("&amp;INDEX(MO_SNA_FPStartDate,0,COLUMN())&amp;","&amp;INDEX(MO_Common_QEndDate,0,COLUMN())&amp;",,,,0)")),"N/A")</f>
        <v>N/A</v>
      </c>
      <c r="AA742" s="2021" t="str">
        <f ca="1">IFERROR(IF(INDEX(MO_Common_QEndDate,0,COLUMN())&gt;TODAY(),FDS(MO.ReportCurrency&amp;HP.TradeCurrency,"FG_PRICE(NOW)"),FDS(MO.ReportCurrency&amp;HP.TradeCurrency,"P_PRICE_AVG("&amp;INDEX(MO_SNA_FPStartDate,0,COLUMN())&amp;","&amp;INDEX(MO_Common_QEndDate,0,COLUMN())&amp;",,,,0)")),"N/A")</f>
        <v>N/A</v>
      </c>
      <c r="AB742" s="2021" t="str">
        <f ca="1">IFERROR(IF(INDEX(MO_Common_QEndDate,0,COLUMN())&gt;TODAY(),FDS(MO.ReportCurrency&amp;HP.TradeCurrency,"FG_PRICE(NOW)"),FDS(MO.ReportCurrency&amp;HP.TradeCurrency,"P_PRICE_AVG("&amp;INDEX(MO_SNA_FPStartDate,0,COLUMN())&amp;","&amp;INDEX(MO_Common_QEndDate,0,COLUMN())&amp;",,,,0)")),"N/A")</f>
        <v>N/A</v>
      </c>
      <c r="AC742" s="2021" t="str">
        <f ca="1">IFERROR(IF(INDEX(MO_Common_QEndDate,0,COLUMN())&gt;TODAY(),FDS(MO.ReportCurrency&amp;HP.TradeCurrency,"FG_PRICE(NOW)"),FDS(MO.ReportCurrency&amp;HP.TradeCurrency,"P_PRICE_AVG("&amp;INDEX(MO_SNA_FPStartDate,0,COLUMN())&amp;","&amp;INDEX(MO_Common_QEndDate,0,COLUMN())&amp;",,,,0)")),"N/A")</f>
        <v>N/A</v>
      </c>
      <c r="AD742" s="2021" t="str">
        <f ca="1">IFERROR(IF(INDEX(MO_Common_QEndDate,0,COLUMN())&gt;TODAY(),FDS(MO.ReportCurrency&amp;HP.TradeCurrency,"FG_PRICE(NOW)"),FDS(MO.ReportCurrency&amp;HP.TradeCurrency,"P_PRICE_AVG("&amp;INDEX(MO_SNA_FPStartDate,0,COLUMN())&amp;","&amp;INDEX(MO_Common_QEndDate,0,COLUMN())&amp;",,,,0)")),"N/A")</f>
        <v>N/A</v>
      </c>
      <c r="AE742" s="2021" t="str">
        <f ca="1">IFERROR(IF(INDEX(MO_Common_QEndDate,0,COLUMN())&gt;TODAY(),FDS(MO.ReportCurrency&amp;HP.TradeCurrency,"FG_PRICE(NOW)"),FDS(MO.ReportCurrency&amp;HP.TradeCurrency,"P_PRICE_AVG("&amp;INDEX(MO_SNA_FPStartDate,0,COLUMN())&amp;","&amp;INDEX(MO_Common_QEndDate,0,COLUMN())&amp;",,,,0)")),"N/A")</f>
        <v>N/A</v>
      </c>
      <c r="AF742" s="2021" t="str">
        <f ca="1">IFERROR(IF(INDEX(MO_Common_QEndDate,0,COLUMN())&gt;TODAY(),FDS(MO.ReportCurrency&amp;HP.TradeCurrency,"FG_PRICE(NOW)"),FDS(MO.ReportCurrency&amp;HP.TradeCurrency,"P_PRICE_AVG("&amp;INDEX(MO_SNA_FPStartDate,0,COLUMN())&amp;","&amp;INDEX(MO_Common_QEndDate,0,COLUMN())&amp;",,,,0)")),"N/A")</f>
        <v>N/A</v>
      </c>
      <c r="AG742" s="2021" t="str">
        <f ca="1">IFERROR(IF(INDEX(MO_Common_QEndDate,0,COLUMN())&gt;TODAY(),FDS(MO.ReportCurrency&amp;HP.TradeCurrency,"FG_PRICE(NOW)"),FDS(MO.ReportCurrency&amp;HP.TradeCurrency,"P_PRICE_AVG("&amp;INDEX(MO_SNA_FPStartDate,0,COLUMN())&amp;","&amp;INDEX(MO_Common_QEndDate,0,COLUMN())&amp;",,,,0)")),"N/A")</f>
        <v>N/A</v>
      </c>
      <c r="AH742" s="2021" t="str">
        <f ca="1">IFERROR(IF(INDEX(MO_Common_QEndDate,0,COLUMN())&gt;TODAY(),FDS(MO.ReportCurrency&amp;HP.TradeCurrency,"FG_PRICE(NOW)"),FDS(MO.ReportCurrency&amp;HP.TradeCurrency,"P_PRICE_AVG("&amp;INDEX(MO_SNA_FPStartDate,0,COLUMN())&amp;","&amp;INDEX(MO_Common_QEndDate,0,COLUMN())&amp;",,,,0)")),"N/A")</f>
        <v>N/A</v>
      </c>
      <c r="AI742" s="2021" t="str">
        <f ca="1">IFERROR(IF(INDEX(MO_Common_QEndDate,0,COLUMN())&gt;TODAY(),FDS(MO.ReportCurrency&amp;HP.TradeCurrency,"FG_PRICE(NOW)"),FDS(MO.ReportCurrency&amp;HP.TradeCurrency,"P_PRICE_AVG("&amp;INDEX(MO_SNA_FPStartDate,0,COLUMN())&amp;","&amp;INDEX(MO_Common_QEndDate,0,COLUMN())&amp;",,,,0)")),"N/A")</f>
        <v>N/A</v>
      </c>
      <c r="AJ742" s="2021" t="str">
        <f ca="1">IFERROR(IF(INDEX(MO_Common_QEndDate,0,COLUMN())&gt;TODAY(),FDS(MO.ReportCurrency&amp;HP.TradeCurrency,"FG_PRICE(NOW)"),FDS(MO.ReportCurrency&amp;HP.TradeCurrency,"P_PRICE_AVG("&amp;INDEX(MO_SNA_FPStartDate,0,COLUMN())&amp;","&amp;INDEX(MO_Common_QEndDate,0,COLUMN())&amp;",,,,0)")),"N/A")</f>
        <v>N/A</v>
      </c>
      <c r="AK742" s="2129" t="str">
        <f ca="1">IFERROR(IF(INDEX(MO_Common_QEndDate,0,COLUMN())&gt;TODAY(),FDS(MO.ReportCurrency&amp;HP.TradeCurrency,"FG_PRICE(NOW)"),FDS(MO.ReportCurrency&amp;HP.TradeCurrency,"P_PRICE_AVG("&amp;INDEX(MO_SNA_FPStartDate,0,COLUMN())&amp;","&amp;INDEX(MO_Common_QEndDate,0,COLUMN())&amp;",,,,0)")),"N/A")</f>
        <v>N/A</v>
      </c>
      <c r="AL742" s="2129" t="str">
        <f ca="1">IFERROR(IF(INDEX(MO_Common_QEndDate,0,COLUMN())&gt;TODAY(),FDS(MO.ReportCurrency&amp;HP.TradeCurrency,"FG_PRICE(NOW)"),FDS(MO.ReportCurrency&amp;HP.TradeCurrency,"P_PRICE_AVG("&amp;INDEX(MO_SNA_FPStartDate,0,COLUMN())&amp;","&amp;INDEX(MO_Common_QEndDate,0,COLUMN())&amp;",,,,0)")),"N/A")</f>
        <v>N/A</v>
      </c>
      <c r="AM742" s="2129" t="str">
        <f ca="1">IFERROR(IF(INDEX(MO_Common_QEndDate,0,COLUMN())&gt;TODAY(),FDS(MO.ReportCurrency&amp;HP.TradeCurrency,"FG_PRICE(NOW)"),FDS(MO.ReportCurrency&amp;HP.TradeCurrency,"P_PRICE_AVG("&amp;INDEX(MO_SNA_FPStartDate,0,COLUMN())&amp;","&amp;INDEX(MO_Common_QEndDate,0,COLUMN())&amp;",,,,0)")),"N/A")</f>
        <v>N/A</v>
      </c>
      <c r="AN742" s="2129" t="str">
        <f ca="1">IFERROR(IF(INDEX(MO_Common_QEndDate,0,COLUMN())&gt;TODAY(),FDS(MO.ReportCurrency&amp;HP.TradeCurrency,"FG_PRICE(NOW)"),FDS(MO.ReportCurrency&amp;HP.TradeCurrency,"P_PRICE_AVG("&amp;INDEX(MO_SNA_FPStartDate,0,COLUMN())&amp;","&amp;INDEX(MO_Common_QEndDate,0,COLUMN())&amp;",,,,0)")),"N/A")</f>
        <v>N/A</v>
      </c>
      <c r="AO742" s="2129" t="str">
        <f ca="1">IFERROR(IF(INDEX(MO_Common_QEndDate,0,COLUMN())&gt;TODAY(),FDS(MO.ReportCurrency&amp;HP.TradeCurrency,"FG_PRICE(NOW)"),FDS(MO.ReportCurrency&amp;HP.TradeCurrency,"P_PRICE_AVG("&amp;INDEX(MO_SNA_FPStartDate,0,COLUMN())&amp;","&amp;INDEX(MO_Common_QEndDate,0,COLUMN())&amp;",,,,0)")),"N/A")</f>
        <v>N/A</v>
      </c>
      <c r="AP742" s="2129" t="str">
        <f ca="1">IFERROR(IF(INDEX(MO_Common_QEndDate,0,COLUMN())&gt;TODAY(),FDS(MO.ReportCurrency&amp;HP.TradeCurrency,"FG_PRICE(NOW)"),FDS(MO.ReportCurrency&amp;HP.TradeCurrency,"P_PRICE_AVG("&amp;INDEX(MO_SNA_FPStartDate,0,COLUMN())&amp;","&amp;INDEX(MO_Common_QEndDate,0,COLUMN())&amp;",,,,0)")),"N/A")</f>
        <v>N/A</v>
      </c>
      <c r="AQ742" s="2129"/>
      <c r="AR742" s="2130" t="str">
        <f ca="1">IFERROR(IF(INDEX(MO_Common_QEndDate,0,COLUMN())&gt;TODAY(),FDS(MO.ReportCurrency&amp;HP.TradeCurrency,"FG_PRICE(NOW)"),FDS(MO.ReportCurrency&amp;HP.TradeCurrency,"P_PRICE_AVG("&amp;INDEX(MO_SNA_FPStartDate,0,COLUMN())&amp;","&amp;INDEX(MO_Common_QEndDate,0,COLUMN())&amp;",,,,0)")),"N/A")</f>
        <v>N/A</v>
      </c>
      <c r="AS742" s="2130" t="str">
        <f ca="1">IFERROR(IF(INDEX(MO_Common_QEndDate,0,COLUMN())&gt;TODAY(),FDS(MO.ReportCurrency&amp;HP.TradeCurrency,"FG_PRICE(NOW)"),FDS(MO.ReportCurrency&amp;HP.TradeCurrency,"P_PRICE_AVG("&amp;INDEX(MO_SNA_FPStartDate,0,COLUMN())&amp;","&amp;INDEX(MO_Common_QEndDate,0,COLUMN())&amp;",,,,0)")),"N/A")</f>
        <v>N/A</v>
      </c>
      <c r="AT742" s="2021" t="str">
        <f ca="1">IFERROR(IF(INDEX(MO_Common_QEndDate,0,COLUMN())&gt;TODAY(),FDS(MO.ReportCurrency&amp;HP.TradeCurrency,"FG_PRICE(NOW)"),FDS(MO.ReportCurrency&amp;HP.TradeCurrency,"P_PRICE_AVG("&amp;INDEX(MO_SNA_FPStartDate,0,COLUMN())&amp;","&amp;INDEX(MO_Common_QEndDate,0,COLUMN())&amp;",,,,0)")),"N/A")</f>
        <v>N/A</v>
      </c>
      <c r="AU742" s="2021" t="str">
        <f ca="1">IFERROR(IF(INDEX(MO_Common_QEndDate,0,COLUMN())&gt;TODAY(),FDS(MO.ReportCurrency&amp;HP.TradeCurrency,"FG_PRICE(NOW)"),FDS(MO.ReportCurrency&amp;HP.TradeCurrency,"P_PRICE_AVG("&amp;INDEX(MO_SNA_FPStartDate,0,COLUMN())&amp;","&amp;INDEX(MO_Common_QEndDate,0,COLUMN())&amp;",,,,0)")),"N/A")</f>
        <v>N/A</v>
      </c>
      <c r="AV742" s="2021" t="str">
        <f ca="1">IFERROR(IF(INDEX(MO_Common_QEndDate,0,COLUMN())&gt;TODAY(),FDS(MO.ReportCurrency&amp;HP.TradeCurrency,"FG_PRICE(NOW)"),FDS(MO.ReportCurrency&amp;HP.TradeCurrency,"P_PRICE_AVG("&amp;INDEX(MO_SNA_FPStartDate,0,COLUMN())&amp;","&amp;INDEX(MO_Common_QEndDate,0,COLUMN())&amp;",,,,0)")),"N/A")</f>
        <v>N/A</v>
      </c>
      <c r="AW742" s="2021" t="str">
        <f ca="1">IFERROR(IF(INDEX(MO_Common_QEndDate,0,COLUMN())&gt;TODAY(),FDS(MO.ReportCurrency&amp;HP.TradeCurrency,"FG_PRICE(NOW)"),FDS(MO.ReportCurrency&amp;HP.TradeCurrency,"P_PRICE_AVG("&amp;INDEX(MO_SNA_FPStartDate,0,COLUMN())&amp;","&amp;INDEX(MO_Common_QEndDate,0,COLUMN())&amp;",,,,0)")),"N/A")</f>
        <v>N/A</v>
      </c>
      <c r="AX742" s="2021" t="str">
        <f ca="1">IFERROR(IF(INDEX(MO_Common_QEndDate,0,COLUMN())&gt;TODAY(),FDS(MO.ReportCurrency&amp;HP.TradeCurrency,"FG_PRICE(NOW)"),FDS(MO.ReportCurrency&amp;HP.TradeCurrency,"P_PRICE_AVG("&amp;INDEX(MO_SNA_FPStartDate,0,COLUMN())&amp;","&amp;INDEX(MO_Common_QEndDate,0,COLUMN())&amp;",,,,0)")),"N/A")</f>
        <v>N/A</v>
      </c>
      <c r="AY742" s="2021" t="str">
        <f ca="1">IFERROR(IF(INDEX(MO_Common_QEndDate,0,COLUMN())&gt;TODAY(),FDS(MO.ReportCurrency&amp;HP.TradeCurrency,"FG_PRICE(NOW)"),FDS(MO.ReportCurrency&amp;HP.TradeCurrency,"P_PRICE_AVG("&amp;INDEX(MO_SNA_FPStartDate,0,COLUMN())&amp;","&amp;INDEX(MO_Common_QEndDate,0,COLUMN())&amp;",,,,0)")),"N/A")</f>
        <v>N/A</v>
      </c>
      <c r="AZ742" s="2021" t="str">
        <f ca="1">IFERROR(IF(INDEX(MO_Common_QEndDate,0,COLUMN())&gt;TODAY(),FDS(MO.ReportCurrency&amp;HP.TradeCurrency,"FG_PRICE(NOW)"),FDS(MO.ReportCurrency&amp;HP.TradeCurrency,"P_PRICE_AVG("&amp;INDEX(MO_SNA_FPStartDate,0,COLUMN())&amp;","&amp;INDEX(MO_Common_QEndDate,0,COLUMN())&amp;",,,,0)")),"N/A")</f>
        <v>N/A</v>
      </c>
      <c r="BA742" s="2021" t="str">
        <f ca="1">IFERROR(IF(INDEX(MO_Common_QEndDate,0,COLUMN())&gt;TODAY(),FDS(MO.ReportCurrency&amp;HP.TradeCurrency,"FG_PRICE(NOW)"),FDS(MO.ReportCurrency&amp;HP.TradeCurrency,"P_PRICE_AVG("&amp;INDEX(MO_SNA_FPStartDate,0,COLUMN())&amp;","&amp;INDEX(MO_Common_QEndDate,0,COLUMN())&amp;",,,,0)")),"N/A")</f>
        <v>N/A</v>
      </c>
      <c r="BB742" s="2021" t="str">
        <f ca="1">IFERROR(IF(INDEX(MO_Common_QEndDate,0,COLUMN())&gt;TODAY(),FDS(MO.ReportCurrency&amp;HP.TradeCurrency,"FG_PRICE(NOW)"),FDS(MO.ReportCurrency&amp;HP.TradeCurrency,"P_PRICE_AVG("&amp;INDEX(MO_SNA_FPStartDate,0,COLUMN())&amp;","&amp;INDEX(MO_Common_QEndDate,0,COLUMN())&amp;",,,,0)")),"N/A")</f>
        <v>N/A</v>
      </c>
      <c r="BC742" s="2021" t="str">
        <f ca="1">IFERROR(IF(INDEX(MO_Common_QEndDate,0,COLUMN())&gt;TODAY(),FDS(MO.ReportCurrency&amp;HP.TradeCurrency,"FG_PRICE(NOW)"),FDS(MO.ReportCurrency&amp;HP.TradeCurrency,"P_PRICE_AVG("&amp;INDEX(MO_SNA_FPStartDate,0,COLUMN())&amp;","&amp;INDEX(MO_Common_QEndDate,0,COLUMN())&amp;",,,,0)")),"N/A")</f>
        <v>N/A</v>
      </c>
      <c r="BD742" s="2021" t="str">
        <f ca="1">IFERROR(IF(INDEX(MO_Common_QEndDate,0,COLUMN())&gt;TODAY(),FDS(MO.ReportCurrency&amp;HP.TradeCurrency,"FG_PRICE(NOW)"),FDS(MO.ReportCurrency&amp;HP.TradeCurrency,"P_PRICE_AVG("&amp;INDEX(MO_SNA_FPStartDate,0,COLUMN())&amp;","&amp;INDEX(MO_Common_QEndDate,0,COLUMN())&amp;",,,,0)")),"N/A")</f>
        <v>N/A</v>
      </c>
      <c r="BE742" s="2021" t="str">
        <f ca="1">IFERROR(IF(INDEX(MO_Common_QEndDate,0,COLUMN())&gt;TODAY(),FDS(MO.ReportCurrency&amp;HP.TradeCurrency,"FG_PRICE(NOW)"),FDS(MO.ReportCurrency&amp;HP.TradeCurrency,"P_PRICE_AVG("&amp;INDEX(MO_SNA_FPStartDate,0,COLUMN())&amp;","&amp;INDEX(MO_Common_QEndDate,0,COLUMN())&amp;",,,,0)")),"N/A")</f>
        <v>N/A</v>
      </c>
      <c r="BF742" s="2021" t="str">
        <f ca="1">IFERROR(IF(INDEX(MO_Common_QEndDate,0,COLUMN())&gt;TODAY(),FDS(MO.ReportCurrency&amp;HP.TradeCurrency,"FG_PRICE(NOW)"),FDS(MO.ReportCurrency&amp;HP.TradeCurrency,"P_PRICE_AVG("&amp;INDEX(MO_SNA_FPStartDate,0,COLUMN())&amp;","&amp;INDEX(MO_Common_QEndDate,0,COLUMN())&amp;",,,,0)")),"N/A")</f>
        <v>N/A</v>
      </c>
      <c r="BG742" s="2129" t="str">
        <f ca="1">IFERROR(IF(INDEX(MO_Common_QEndDate,0,COLUMN())&gt;TODAY(),FDS(MO.ReportCurrency&amp;HP.TradeCurrency,"FG_PRICE(NOW)"),FDS(MO.ReportCurrency&amp;HP.TradeCurrency,"P_PRICE_AVG("&amp;INDEX(MO_SNA_FPStartDate,0,COLUMN())&amp;","&amp;INDEX(MO_Common_QEndDate,0,COLUMN())&amp;",,,,0)")),"N/A")</f>
        <v>N/A</v>
      </c>
      <c r="BH742" s="2129" t="str">
        <f ca="1">IFERROR(IF(INDEX(MO_Common_QEndDate,0,COLUMN())&gt;TODAY(),FDS(MO.ReportCurrency&amp;HP.TradeCurrency,"FG_PRICE(NOW)"),FDS(MO.ReportCurrency&amp;HP.TradeCurrency,"P_PRICE_AVG("&amp;INDEX(MO_SNA_FPStartDate,0,COLUMN())&amp;","&amp;INDEX(MO_Common_QEndDate,0,COLUMN())&amp;",,,,0)")),"N/A")</f>
        <v>N/A</v>
      </c>
      <c r="BI742" s="2129" t="str">
        <f ca="1">IFERROR(IF(INDEX(MO_Common_QEndDate,0,COLUMN())&gt;TODAY(),FDS(MO.ReportCurrency&amp;HP.TradeCurrency,"FG_PRICE(NOW)"),FDS(MO.ReportCurrency&amp;HP.TradeCurrency,"P_PRICE_AVG("&amp;INDEX(MO_SNA_FPStartDate,0,COLUMN())&amp;","&amp;INDEX(MO_Common_QEndDate,0,COLUMN())&amp;",,,,0)")),"N/A")</f>
        <v>N/A</v>
      </c>
      <c r="BJ742" s="2129" t="str">
        <f ca="1">IFERROR(IF(INDEX(MO_Common_QEndDate,0,COLUMN())&gt;TODAY(),FDS(MO.ReportCurrency&amp;HP.TradeCurrency,"FG_PRICE(NOW)"),FDS(MO.ReportCurrency&amp;HP.TradeCurrency,"P_PRICE_AVG("&amp;INDEX(MO_SNA_FPStartDate,0,COLUMN())&amp;","&amp;INDEX(MO_Common_QEndDate,0,COLUMN())&amp;",,,,0)")),"N/A")</f>
        <v>N/A</v>
      </c>
      <c r="BK742" s="2131" t="str">
        <f ca="1">IFERROR(IF(INDEX(MO_Common_QEndDate,0,COLUMN())&gt;TODAY(),FDS(MO.ReportCurrency&amp;HP.TradeCurrency,"FG_PRICE(NOW)"),FDS(MO.ReportCurrency&amp;HP.TradeCurrency,"P_PRICE_AVG("&amp;INDEX(MO_SNA_FPStartDate,0,COLUMN())&amp;","&amp;INDEX(MO_Common_QEndDate,0,COLUMN())&amp;",,,,0)")),"N/A")</f>
        <v>N/A</v>
      </c>
      <c r="BL742" s="2021"/>
    </row>
    <row r="743" spans="1:64" s="2022" customFormat="1" hidden="1" outlineLevel="1" x14ac:dyDescent="0.35">
      <c r="A743" s="2132" t="s">
        <v>1279</v>
      </c>
      <c r="B743" s="2129"/>
      <c r="C743" s="2021" t="str">
        <f t="shared" ref="C743:AP743" si="466">"N/A"</f>
        <v>N/A</v>
      </c>
      <c r="D743" s="2021" t="str">
        <f t="shared" si="466"/>
        <v>N/A</v>
      </c>
      <c r="E743" s="2021" t="str">
        <f t="shared" si="466"/>
        <v>N/A</v>
      </c>
      <c r="F743" s="2021" t="str">
        <f t="shared" si="466"/>
        <v>N/A</v>
      </c>
      <c r="G743" s="2021" t="str">
        <f t="shared" si="466"/>
        <v>N/A</v>
      </c>
      <c r="H743" s="2021" t="str">
        <f t="shared" si="466"/>
        <v>N/A</v>
      </c>
      <c r="I743" s="2021" t="str">
        <f t="shared" si="466"/>
        <v>N/A</v>
      </c>
      <c r="J743" s="2021" t="str">
        <f t="shared" si="466"/>
        <v>N/A</v>
      </c>
      <c r="K743" s="2021" t="str">
        <f t="shared" si="466"/>
        <v>N/A</v>
      </c>
      <c r="L743" s="2021" t="str">
        <f t="shared" si="466"/>
        <v>N/A</v>
      </c>
      <c r="M743" s="2021" t="str">
        <f t="shared" si="466"/>
        <v>N/A</v>
      </c>
      <c r="N743" s="2021" t="str">
        <f t="shared" si="466"/>
        <v>N/A</v>
      </c>
      <c r="O743" s="2021" t="str">
        <f t="shared" si="466"/>
        <v>N/A</v>
      </c>
      <c r="P743" s="2021" t="str">
        <f t="shared" si="466"/>
        <v>N/A</v>
      </c>
      <c r="Q743" s="2021" t="str">
        <f t="shared" si="466"/>
        <v>N/A</v>
      </c>
      <c r="R743" s="2021" t="str">
        <f t="shared" si="466"/>
        <v>N/A</v>
      </c>
      <c r="S743" s="2021" t="str">
        <f t="shared" si="466"/>
        <v>N/A</v>
      </c>
      <c r="T743" s="2021" t="str">
        <f t="shared" si="466"/>
        <v>N/A</v>
      </c>
      <c r="U743" s="2021" t="str">
        <f t="shared" si="466"/>
        <v>N/A</v>
      </c>
      <c r="V743" s="2021" t="str">
        <f t="shared" si="466"/>
        <v>N/A</v>
      </c>
      <c r="W743" s="2021" t="str">
        <f t="shared" si="466"/>
        <v>N/A</v>
      </c>
      <c r="X743" s="2021" t="str">
        <f t="shared" si="466"/>
        <v>N/A</v>
      </c>
      <c r="Y743" s="2021" t="str">
        <f t="shared" si="466"/>
        <v>N/A</v>
      </c>
      <c r="Z743" s="2021" t="str">
        <f t="shared" si="466"/>
        <v>N/A</v>
      </c>
      <c r="AA743" s="2021" t="str">
        <f t="shared" si="466"/>
        <v>N/A</v>
      </c>
      <c r="AB743" s="2021" t="str">
        <f t="shared" si="466"/>
        <v>N/A</v>
      </c>
      <c r="AC743" s="2021" t="str">
        <f t="shared" si="466"/>
        <v>N/A</v>
      </c>
      <c r="AD743" s="2021" t="str">
        <f t="shared" si="466"/>
        <v>N/A</v>
      </c>
      <c r="AE743" s="2021" t="str">
        <f t="shared" si="466"/>
        <v>N/A</v>
      </c>
      <c r="AF743" s="2021" t="str">
        <f t="shared" si="466"/>
        <v>N/A</v>
      </c>
      <c r="AG743" s="2021" t="str">
        <f t="shared" si="466"/>
        <v>N/A</v>
      </c>
      <c r="AH743" s="2021" t="str">
        <f t="shared" si="466"/>
        <v>N/A</v>
      </c>
      <c r="AI743" s="2021" t="str">
        <f t="shared" si="466"/>
        <v>N/A</v>
      </c>
      <c r="AJ743" s="2021" t="str">
        <f t="shared" si="466"/>
        <v>N/A</v>
      </c>
      <c r="AK743" s="2129" t="str">
        <f t="shared" si="466"/>
        <v>N/A</v>
      </c>
      <c r="AL743" s="2129" t="str">
        <f t="shared" si="466"/>
        <v>N/A</v>
      </c>
      <c r="AM743" s="2129" t="str">
        <f t="shared" si="466"/>
        <v>N/A</v>
      </c>
      <c r="AN743" s="2129" t="str">
        <f t="shared" si="466"/>
        <v>N/A</v>
      </c>
      <c r="AO743" s="2129" t="str">
        <f t="shared" si="466"/>
        <v>N/A</v>
      </c>
      <c r="AP743" s="2129" t="str">
        <f t="shared" si="466"/>
        <v>N/A</v>
      </c>
      <c r="AQ743" s="2129"/>
      <c r="AR743" s="2130" t="str">
        <f t="shared" ref="AR743:BK743" si="467">"N/A"</f>
        <v>N/A</v>
      </c>
      <c r="AS743" s="2130" t="str">
        <f t="shared" si="467"/>
        <v>N/A</v>
      </c>
      <c r="AT743" s="2021" t="str">
        <f t="shared" si="467"/>
        <v>N/A</v>
      </c>
      <c r="AU743" s="2021" t="str">
        <f t="shared" si="467"/>
        <v>N/A</v>
      </c>
      <c r="AV743" s="2021" t="str">
        <f t="shared" si="467"/>
        <v>N/A</v>
      </c>
      <c r="AW743" s="2021" t="str">
        <f t="shared" si="467"/>
        <v>N/A</v>
      </c>
      <c r="AX743" s="2021" t="str">
        <f t="shared" si="467"/>
        <v>N/A</v>
      </c>
      <c r="AY743" s="2021" t="str">
        <f t="shared" si="467"/>
        <v>N/A</v>
      </c>
      <c r="AZ743" s="2021" t="str">
        <f t="shared" si="467"/>
        <v>N/A</v>
      </c>
      <c r="BA743" s="2021" t="str">
        <f t="shared" si="467"/>
        <v>N/A</v>
      </c>
      <c r="BB743" s="2021" t="str">
        <f t="shared" si="467"/>
        <v>N/A</v>
      </c>
      <c r="BC743" s="2021" t="str">
        <f t="shared" si="467"/>
        <v>N/A</v>
      </c>
      <c r="BD743" s="2021" t="str">
        <f t="shared" si="467"/>
        <v>N/A</v>
      </c>
      <c r="BE743" s="2021" t="str">
        <f t="shared" si="467"/>
        <v>N/A</v>
      </c>
      <c r="BF743" s="2021" t="str">
        <f t="shared" si="467"/>
        <v>N/A</v>
      </c>
      <c r="BG743" s="2129" t="str">
        <f t="shared" si="467"/>
        <v>N/A</v>
      </c>
      <c r="BH743" s="2129" t="str">
        <f t="shared" si="467"/>
        <v>N/A</v>
      </c>
      <c r="BI743" s="2129" t="str">
        <f t="shared" si="467"/>
        <v>N/A</v>
      </c>
      <c r="BJ743" s="2129" t="str">
        <f t="shared" si="467"/>
        <v>N/A</v>
      </c>
      <c r="BK743" s="2131" t="str">
        <f t="shared" si="467"/>
        <v>N/A</v>
      </c>
      <c r="BL743" s="2021"/>
    </row>
    <row r="744" spans="1:64" s="1518" customFormat="1" hidden="1" outlineLevel="1" collapsed="1" x14ac:dyDescent="0.35">
      <c r="A744" s="2126"/>
      <c r="B744" s="1515"/>
      <c r="C744" s="1515"/>
      <c r="D744" s="1515"/>
      <c r="E744" s="1515"/>
      <c r="F744" s="1515"/>
      <c r="G744" s="1515"/>
      <c r="H744" s="1515"/>
      <c r="I744" s="1515"/>
      <c r="J744" s="1515"/>
      <c r="K744" s="1515"/>
      <c r="L744" s="1515"/>
      <c r="M744" s="1515"/>
      <c r="N744" s="1515"/>
      <c r="O744" s="1515"/>
      <c r="P744" s="1515"/>
      <c r="Q744" s="1515"/>
      <c r="R744" s="1515"/>
      <c r="S744" s="1515"/>
      <c r="T744" s="1515"/>
      <c r="U744" s="1515"/>
      <c r="V744" s="1515"/>
      <c r="W744" s="1515"/>
      <c r="X744" s="1515"/>
      <c r="Y744" s="1515"/>
      <c r="Z744" s="1515"/>
      <c r="AA744" s="1515"/>
      <c r="AB744" s="1515"/>
      <c r="AC744" s="1515"/>
      <c r="AD744" s="1515"/>
      <c r="AE744" s="1515"/>
      <c r="AF744" s="1515"/>
      <c r="AG744" s="1515"/>
      <c r="AH744" s="1515"/>
      <c r="AI744" s="1515"/>
      <c r="AJ744" s="1515"/>
      <c r="AK744" s="1515"/>
      <c r="AL744" s="1515"/>
      <c r="AM744" s="1515"/>
      <c r="AN744" s="1515"/>
      <c r="AO744" s="1515"/>
      <c r="AP744" s="1515"/>
      <c r="AQ744" s="1515"/>
      <c r="AR744" s="2071"/>
      <c r="AS744" s="2071"/>
      <c r="AT744" s="1515"/>
      <c r="AU744" s="1515"/>
      <c r="AV744" s="1515"/>
      <c r="AW744" s="1515"/>
      <c r="AX744" s="1515"/>
      <c r="AY744" s="1515"/>
      <c r="AZ744" s="1515"/>
      <c r="BA744" s="1515"/>
      <c r="BB744" s="1515"/>
      <c r="BC744" s="1515"/>
      <c r="BD744" s="1515"/>
      <c r="BE744" s="1515"/>
      <c r="BF744" s="1515"/>
      <c r="BG744" s="1515"/>
      <c r="BH744" s="1515"/>
      <c r="BI744" s="1515"/>
      <c r="BJ744" s="1515"/>
      <c r="BK744" s="2127"/>
      <c r="BL744" s="1517"/>
    </row>
    <row r="745" spans="1:64" s="1518" customFormat="1" collapsed="1" x14ac:dyDescent="0.35">
      <c r="A745" s="2126" t="s">
        <v>1280</v>
      </c>
      <c r="B745" s="1515"/>
      <c r="C745" s="2117">
        <f t="shared" ref="C745:AP745" si="468">WORKDAY(INDEX(MO_Common_QEndDate,0,COLUMN()),-1)</f>
        <v>42459</v>
      </c>
      <c r="D745" s="2117">
        <f t="shared" si="468"/>
        <v>42550</v>
      </c>
      <c r="E745" s="2117">
        <f t="shared" si="468"/>
        <v>42642</v>
      </c>
      <c r="F745" s="2117">
        <f t="shared" si="468"/>
        <v>42734</v>
      </c>
      <c r="G745" s="2117">
        <f t="shared" si="468"/>
        <v>42824</v>
      </c>
      <c r="H745" s="2117">
        <f t="shared" si="468"/>
        <v>42915</v>
      </c>
      <c r="I745" s="2117">
        <f t="shared" si="468"/>
        <v>43007</v>
      </c>
      <c r="J745" s="2117">
        <f t="shared" si="468"/>
        <v>43098</v>
      </c>
      <c r="K745" s="2117">
        <f t="shared" si="468"/>
        <v>43189</v>
      </c>
      <c r="L745" s="2117">
        <f t="shared" si="468"/>
        <v>43280</v>
      </c>
      <c r="M745" s="2117">
        <f t="shared" si="468"/>
        <v>43371</v>
      </c>
      <c r="N745" s="2117">
        <f t="shared" si="468"/>
        <v>43462</v>
      </c>
      <c r="O745" s="2117">
        <f t="shared" si="468"/>
        <v>43553</v>
      </c>
      <c r="P745" s="2117">
        <f t="shared" si="468"/>
        <v>43644</v>
      </c>
      <c r="Q745" s="2117">
        <f t="shared" si="468"/>
        <v>43735</v>
      </c>
      <c r="R745" s="2117">
        <f t="shared" si="468"/>
        <v>43829</v>
      </c>
      <c r="S745" s="2117">
        <f t="shared" si="468"/>
        <v>43920</v>
      </c>
      <c r="T745" s="2117">
        <f t="shared" si="468"/>
        <v>44011</v>
      </c>
      <c r="U745" s="2117">
        <f t="shared" si="468"/>
        <v>44103</v>
      </c>
      <c r="V745" s="2117">
        <f t="shared" si="468"/>
        <v>44195</v>
      </c>
      <c r="W745" s="2117">
        <f t="shared" si="468"/>
        <v>44285</v>
      </c>
      <c r="X745" s="2117">
        <f t="shared" si="468"/>
        <v>44376</v>
      </c>
      <c r="Y745" s="2117">
        <f t="shared" si="468"/>
        <v>44468</v>
      </c>
      <c r="Z745" s="2117">
        <f t="shared" si="468"/>
        <v>44560</v>
      </c>
      <c r="AA745" s="2117">
        <f t="shared" si="468"/>
        <v>44650</v>
      </c>
      <c r="AB745" s="2117">
        <f t="shared" si="468"/>
        <v>44741</v>
      </c>
      <c r="AC745" s="2117">
        <f t="shared" si="468"/>
        <v>44833</v>
      </c>
      <c r="AD745" s="2117">
        <f t="shared" si="468"/>
        <v>44925</v>
      </c>
      <c r="AE745" s="2117">
        <f t="shared" si="468"/>
        <v>45015</v>
      </c>
      <c r="AF745" s="2117">
        <f t="shared" si="468"/>
        <v>45106</v>
      </c>
      <c r="AG745" s="2117">
        <f t="shared" si="468"/>
        <v>45198</v>
      </c>
      <c r="AH745" s="2117">
        <f t="shared" si="468"/>
        <v>45289</v>
      </c>
      <c r="AI745" s="2117">
        <f t="shared" si="468"/>
        <v>45380</v>
      </c>
      <c r="AJ745" s="2117">
        <f t="shared" si="468"/>
        <v>45471</v>
      </c>
      <c r="AK745" s="2117">
        <f t="shared" si="468"/>
        <v>45562</v>
      </c>
      <c r="AL745" s="2117">
        <f t="shared" si="468"/>
        <v>45656</v>
      </c>
      <c r="AM745" s="2117">
        <f t="shared" si="468"/>
        <v>45744</v>
      </c>
      <c r="AN745" s="2117">
        <f t="shared" si="468"/>
        <v>45835</v>
      </c>
      <c r="AO745" s="2117">
        <f t="shared" si="468"/>
        <v>45929</v>
      </c>
      <c r="AP745" s="2117">
        <f t="shared" si="468"/>
        <v>46021</v>
      </c>
      <c r="AQ745" s="2117"/>
      <c r="AR745" s="2118">
        <f t="shared" ref="AR745:BK745" si="469">WORKDAY(INDEX(MO_Common_QEndDate,0,COLUMN()),-1)</f>
        <v>40177</v>
      </c>
      <c r="AS745" s="2118">
        <f t="shared" si="469"/>
        <v>40542</v>
      </c>
      <c r="AT745" s="2117">
        <f t="shared" si="469"/>
        <v>40907</v>
      </c>
      <c r="AU745" s="2117">
        <f t="shared" si="469"/>
        <v>41271</v>
      </c>
      <c r="AV745" s="2117">
        <f t="shared" si="469"/>
        <v>41638</v>
      </c>
      <c r="AW745" s="2117">
        <f t="shared" si="469"/>
        <v>42003</v>
      </c>
      <c r="AX745" s="2117">
        <f t="shared" si="469"/>
        <v>42368</v>
      </c>
      <c r="AY745" s="2117">
        <f t="shared" si="469"/>
        <v>42734</v>
      </c>
      <c r="AZ745" s="2117">
        <f t="shared" si="469"/>
        <v>43098</v>
      </c>
      <c r="BA745" s="2117">
        <f t="shared" si="469"/>
        <v>43462</v>
      </c>
      <c r="BB745" s="2117">
        <f t="shared" si="469"/>
        <v>43829</v>
      </c>
      <c r="BC745" s="2117">
        <f t="shared" si="469"/>
        <v>44195</v>
      </c>
      <c r="BD745" s="2117">
        <f t="shared" si="469"/>
        <v>44560</v>
      </c>
      <c r="BE745" s="2117">
        <f t="shared" si="469"/>
        <v>44925</v>
      </c>
      <c r="BF745" s="2117">
        <f t="shared" si="469"/>
        <v>45289</v>
      </c>
      <c r="BG745" s="2117">
        <f t="shared" si="469"/>
        <v>45656</v>
      </c>
      <c r="BH745" s="2117">
        <f t="shared" si="469"/>
        <v>46021</v>
      </c>
      <c r="BI745" s="2117">
        <f t="shared" si="469"/>
        <v>46386</v>
      </c>
      <c r="BJ745" s="2117">
        <f t="shared" si="469"/>
        <v>46751</v>
      </c>
      <c r="BK745" s="2119">
        <f t="shared" si="469"/>
        <v>47116</v>
      </c>
      <c r="BL745" s="1517"/>
    </row>
    <row r="746" spans="1:64" s="1518" customFormat="1" collapsed="1" x14ac:dyDescent="0.35">
      <c r="A746" s="2126" t="s">
        <v>1281</v>
      </c>
      <c r="B746" s="1515"/>
      <c r="C746" s="2133">
        <v>0</v>
      </c>
      <c r="D746" s="2133">
        <v>0</v>
      </c>
      <c r="E746" s="2133">
        <v>0</v>
      </c>
      <c r="F746" s="2133">
        <v>0</v>
      </c>
      <c r="G746" s="2133">
        <v>0</v>
      </c>
      <c r="H746" s="2133">
        <v>0</v>
      </c>
      <c r="I746" s="2133">
        <v>0</v>
      </c>
      <c r="J746" s="2133">
        <v>0</v>
      </c>
      <c r="K746" s="2133">
        <v>0</v>
      </c>
      <c r="L746" s="2133">
        <v>0</v>
      </c>
      <c r="M746" s="2133">
        <v>0</v>
      </c>
      <c r="N746" s="2133">
        <v>0</v>
      </c>
      <c r="O746" s="2133">
        <v>0</v>
      </c>
      <c r="P746" s="2133">
        <v>0</v>
      </c>
      <c r="Q746" s="2133">
        <v>0</v>
      </c>
      <c r="R746" s="2133">
        <v>0</v>
      </c>
      <c r="S746" s="2133">
        <v>0</v>
      </c>
      <c r="T746" s="2133">
        <v>0</v>
      </c>
      <c r="U746" s="2133">
        <v>0</v>
      </c>
      <c r="V746" s="2133">
        <v>0</v>
      </c>
      <c r="W746" s="2133">
        <v>0</v>
      </c>
      <c r="X746" s="2133">
        <v>0</v>
      </c>
      <c r="Y746" s="2133">
        <v>25.42</v>
      </c>
      <c r="Z746" s="2133">
        <v>20.49</v>
      </c>
      <c r="AA746" s="2133">
        <v>26.42</v>
      </c>
      <c r="AB746" s="2133">
        <v>16.21</v>
      </c>
      <c r="AC746" s="2133">
        <v>18.309999999999999</v>
      </c>
      <c r="AD746" s="2133">
        <v>15.47</v>
      </c>
      <c r="AE746" s="2133">
        <v>11.01</v>
      </c>
      <c r="AF746" s="2133">
        <v>12.43</v>
      </c>
      <c r="AG746" s="2133">
        <v>12.62</v>
      </c>
      <c r="AH746" s="2133">
        <v>13.92</v>
      </c>
      <c r="AI746" s="2133">
        <v>16.079999999999998</v>
      </c>
      <c r="AJ746" s="2133">
        <v>14.8</v>
      </c>
      <c r="AK746" s="2134"/>
      <c r="AL746" s="2134"/>
      <c r="AM746" s="2134"/>
      <c r="AN746" s="2134"/>
      <c r="AO746" s="2134"/>
      <c r="AP746" s="2134"/>
      <c r="AQ746" s="2134"/>
      <c r="AR746" s="2135">
        <v>0</v>
      </c>
      <c r="AS746" s="2135">
        <v>0</v>
      </c>
      <c r="AT746" s="2133">
        <v>0</v>
      </c>
      <c r="AU746" s="2133">
        <v>0</v>
      </c>
      <c r="AV746" s="2133">
        <v>0</v>
      </c>
      <c r="AW746" s="2133">
        <v>0</v>
      </c>
      <c r="AX746" s="2133">
        <v>0</v>
      </c>
      <c r="AY746" s="2133">
        <v>0</v>
      </c>
      <c r="AZ746" s="2133">
        <v>0</v>
      </c>
      <c r="BA746" s="2133">
        <v>0</v>
      </c>
      <c r="BB746" s="2133">
        <v>0</v>
      </c>
      <c r="BC746" s="2133">
        <v>0</v>
      </c>
      <c r="BD746" s="2133">
        <v>20.49</v>
      </c>
      <c r="BE746" s="2133">
        <v>15.47</v>
      </c>
      <c r="BF746" s="2133">
        <v>13.92</v>
      </c>
      <c r="BG746" s="2134"/>
      <c r="BH746" s="2134"/>
      <c r="BI746" s="2134"/>
      <c r="BJ746" s="2134"/>
      <c r="BK746" s="2136"/>
      <c r="BL746" s="1517"/>
    </row>
    <row r="747" spans="1:64" s="1518" customFormat="1" collapsed="1" x14ac:dyDescent="0.35">
      <c r="A747" s="2126" t="s">
        <v>1282</v>
      </c>
      <c r="B747" s="1515"/>
      <c r="C747" s="2137">
        <v>1</v>
      </c>
      <c r="D747" s="2137">
        <v>1</v>
      </c>
      <c r="E747" s="2137">
        <v>1</v>
      </c>
      <c r="F747" s="2137">
        <v>1</v>
      </c>
      <c r="G747" s="2137">
        <v>1</v>
      </c>
      <c r="H747" s="2137">
        <v>1</v>
      </c>
      <c r="I747" s="2137">
        <v>1</v>
      </c>
      <c r="J747" s="2137">
        <v>1</v>
      </c>
      <c r="K747" s="2137">
        <v>1</v>
      </c>
      <c r="L747" s="2137">
        <v>1</v>
      </c>
      <c r="M747" s="2137">
        <v>1</v>
      </c>
      <c r="N747" s="2137">
        <v>1</v>
      </c>
      <c r="O747" s="2137">
        <v>1</v>
      </c>
      <c r="P747" s="2137">
        <v>1</v>
      </c>
      <c r="Q747" s="2137">
        <v>1</v>
      </c>
      <c r="R747" s="2137">
        <v>1</v>
      </c>
      <c r="S747" s="2137">
        <v>1</v>
      </c>
      <c r="T747" s="2137">
        <v>1</v>
      </c>
      <c r="U747" s="2137">
        <v>1</v>
      </c>
      <c r="V747" s="2137">
        <v>1</v>
      </c>
      <c r="W747" s="2137">
        <v>1</v>
      </c>
      <c r="X747" s="2137">
        <v>1</v>
      </c>
      <c r="Y747" s="2137">
        <v>1</v>
      </c>
      <c r="Z747" s="2137">
        <v>1</v>
      </c>
      <c r="AA747" s="2137">
        <v>1</v>
      </c>
      <c r="AB747" s="2137">
        <v>1</v>
      </c>
      <c r="AC747" s="2137">
        <v>1</v>
      </c>
      <c r="AD747" s="2137">
        <v>1</v>
      </c>
      <c r="AE747" s="2137">
        <v>1</v>
      </c>
      <c r="AF747" s="2137">
        <v>1</v>
      </c>
      <c r="AG747" s="2137">
        <v>1</v>
      </c>
      <c r="AH747" s="2137">
        <v>1</v>
      </c>
      <c r="AI747" s="2137">
        <v>1</v>
      </c>
      <c r="AJ747" s="2137">
        <v>1</v>
      </c>
      <c r="AK747" s="2129"/>
      <c r="AL747" s="2129"/>
      <c r="AM747" s="2129"/>
      <c r="AN747" s="2129"/>
      <c r="AO747" s="2129"/>
      <c r="AP747" s="2129"/>
      <c r="AQ747" s="2129"/>
      <c r="AR747" s="2138">
        <v>1</v>
      </c>
      <c r="AS747" s="2138">
        <v>1</v>
      </c>
      <c r="AT747" s="2137">
        <v>1</v>
      </c>
      <c r="AU747" s="2137">
        <v>1</v>
      </c>
      <c r="AV747" s="2137">
        <v>1</v>
      </c>
      <c r="AW747" s="2137">
        <v>1</v>
      </c>
      <c r="AX747" s="2137">
        <v>1</v>
      </c>
      <c r="AY747" s="2137">
        <v>1</v>
      </c>
      <c r="AZ747" s="2137">
        <v>1</v>
      </c>
      <c r="BA747" s="2137">
        <v>1</v>
      </c>
      <c r="BB747" s="2137">
        <v>1</v>
      </c>
      <c r="BC747" s="2137">
        <v>1</v>
      </c>
      <c r="BD747" s="2137">
        <v>1</v>
      </c>
      <c r="BE747" s="2137">
        <v>1</v>
      </c>
      <c r="BF747" s="2137">
        <v>1</v>
      </c>
      <c r="BG747" s="2129"/>
      <c r="BH747" s="2129"/>
      <c r="BI747" s="2129"/>
      <c r="BJ747" s="2129"/>
      <c r="BK747" s="2131"/>
      <c r="BL747" s="1517"/>
    </row>
    <row r="748" spans="1:64" s="1518" customFormat="1" collapsed="1" x14ac:dyDescent="0.35">
      <c r="A748" s="2139"/>
      <c r="B748" s="1681"/>
      <c r="C748" s="2140"/>
      <c r="D748" s="2140"/>
      <c r="E748" s="2140"/>
      <c r="F748" s="2140"/>
      <c r="G748" s="2140"/>
      <c r="H748" s="2140"/>
      <c r="I748" s="2140"/>
      <c r="J748" s="2140"/>
      <c r="K748" s="2140"/>
      <c r="L748" s="2140"/>
      <c r="M748" s="2140"/>
      <c r="N748" s="2140"/>
      <c r="O748" s="2140"/>
      <c r="P748" s="2140"/>
      <c r="Q748" s="2140"/>
      <c r="R748" s="2140"/>
      <c r="S748" s="2140"/>
      <c r="T748" s="2140"/>
      <c r="U748" s="2140"/>
      <c r="V748" s="2140"/>
      <c r="W748" s="2140"/>
      <c r="X748" s="2140"/>
      <c r="Y748" s="2140"/>
      <c r="Z748" s="2140"/>
      <c r="AA748" s="2140"/>
      <c r="AB748" s="2140"/>
      <c r="AC748" s="2140"/>
      <c r="AD748" s="2140"/>
      <c r="AE748" s="2140"/>
      <c r="AF748" s="2140"/>
      <c r="AG748" s="2140"/>
      <c r="AH748" s="2140"/>
      <c r="AI748" s="2140"/>
      <c r="AJ748" s="2140"/>
      <c r="AK748" s="2140"/>
      <c r="AL748" s="2140"/>
      <c r="AM748" s="2140"/>
      <c r="AN748" s="2140"/>
      <c r="AO748" s="2140"/>
      <c r="AP748" s="2140"/>
      <c r="AQ748" s="2140"/>
      <c r="AR748" s="2141"/>
      <c r="AS748" s="2141"/>
      <c r="AT748" s="2140"/>
      <c r="AU748" s="2140"/>
      <c r="AV748" s="2140"/>
      <c r="AW748" s="2140"/>
      <c r="AX748" s="2140"/>
      <c r="AY748" s="2140"/>
      <c r="AZ748" s="2140"/>
      <c r="BA748" s="2140"/>
      <c r="BB748" s="2140"/>
      <c r="BC748" s="2140"/>
      <c r="BD748" s="2140"/>
      <c r="BE748" s="2140"/>
      <c r="BF748" s="2140"/>
      <c r="BG748" s="2140"/>
      <c r="BH748" s="2140"/>
      <c r="BI748" s="2140"/>
      <c r="BJ748" s="2140"/>
      <c r="BK748" s="2142"/>
      <c r="BL748" s="1517"/>
    </row>
    <row r="749" spans="1:64" s="1518" customFormat="1" x14ac:dyDescent="0.35">
      <c r="A749" s="2070"/>
      <c r="B749" s="1515"/>
      <c r="C749" s="1515"/>
      <c r="D749" s="1515"/>
      <c r="E749" s="1515"/>
      <c r="F749" s="1515"/>
      <c r="G749" s="1515"/>
      <c r="H749" s="1515"/>
      <c r="I749" s="1515"/>
      <c r="J749" s="1515"/>
      <c r="K749" s="1515"/>
      <c r="L749" s="1515"/>
      <c r="M749" s="1515"/>
      <c r="N749" s="1515"/>
      <c r="O749" s="1515"/>
      <c r="P749" s="1515"/>
      <c r="Q749" s="1515"/>
      <c r="R749" s="1515"/>
      <c r="S749" s="1515"/>
      <c r="T749" s="1515"/>
      <c r="U749" s="1515"/>
      <c r="V749" s="1515"/>
      <c r="W749" s="1515"/>
      <c r="X749" s="1515"/>
      <c r="Y749" s="1515"/>
      <c r="Z749" s="1515"/>
      <c r="AA749" s="1515"/>
      <c r="AB749" s="1515"/>
      <c r="AC749" s="1515"/>
      <c r="AD749" s="1515"/>
      <c r="AE749" s="1515"/>
      <c r="AF749" s="1515"/>
      <c r="AG749" s="1515"/>
      <c r="AH749" s="1515"/>
      <c r="AI749" s="1515"/>
      <c r="AJ749" s="1515"/>
      <c r="AK749" s="1515"/>
      <c r="AL749" s="1515"/>
      <c r="AM749" s="1515"/>
      <c r="AN749" s="1515"/>
      <c r="AO749" s="1515"/>
      <c r="AP749" s="1515"/>
      <c r="AQ749" s="1515"/>
      <c r="AR749" s="2071"/>
      <c r="AS749" s="2071"/>
      <c r="AT749" s="1515"/>
      <c r="AU749" s="1515"/>
      <c r="AV749" s="1515"/>
      <c r="AW749" s="1515"/>
      <c r="AX749" s="1515"/>
      <c r="AY749" s="1515"/>
      <c r="AZ749" s="1515"/>
      <c r="BA749" s="1515"/>
      <c r="BB749" s="1515"/>
      <c r="BC749" s="1515"/>
      <c r="BD749" s="1515"/>
      <c r="BE749" s="1515"/>
      <c r="BF749" s="1515"/>
      <c r="BG749" s="1515"/>
      <c r="BH749" s="1515"/>
      <c r="BI749" s="1515"/>
      <c r="BJ749" s="1515"/>
      <c r="BK749" s="1515"/>
      <c r="BL749" s="1517"/>
    </row>
    <row r="750" spans="1:64" s="1518" customFormat="1" x14ac:dyDescent="0.35">
      <c r="A750" s="2034" t="s">
        <v>1283</v>
      </c>
      <c r="B750" s="1819"/>
      <c r="C750" s="1515"/>
      <c r="D750" s="1515"/>
      <c r="E750" s="1515"/>
      <c r="F750" s="1515"/>
      <c r="G750" s="1515"/>
      <c r="H750" s="1515"/>
      <c r="I750" s="1515"/>
      <c r="J750" s="1515"/>
      <c r="K750" s="1515"/>
      <c r="L750" s="1515"/>
      <c r="M750" s="1515"/>
      <c r="N750" s="1515"/>
      <c r="O750" s="1515"/>
      <c r="P750" s="1515"/>
      <c r="Q750" s="1515"/>
      <c r="R750" s="1515"/>
      <c r="S750" s="1515"/>
      <c r="T750" s="1515"/>
      <c r="U750" s="1515"/>
      <c r="V750" s="1515"/>
      <c r="W750" s="1515"/>
      <c r="X750" s="1515"/>
      <c r="Y750" s="1515"/>
      <c r="Z750" s="1515"/>
      <c r="AA750" s="1515"/>
      <c r="AB750" s="1515"/>
      <c r="AC750" s="1515"/>
      <c r="AD750" s="1515"/>
      <c r="AE750" s="1515"/>
      <c r="AF750" s="1515"/>
      <c r="AG750" s="1515"/>
      <c r="AH750" s="1515"/>
      <c r="AI750" s="1515"/>
      <c r="AJ750" s="1515"/>
      <c r="AK750" s="1515"/>
      <c r="AL750" s="1515"/>
      <c r="AM750" s="1515"/>
      <c r="AN750" s="1515"/>
      <c r="AO750" s="1515"/>
      <c r="AP750" s="1515"/>
      <c r="AQ750" s="1515"/>
      <c r="AR750" s="1515"/>
      <c r="AS750" s="1515"/>
      <c r="AT750" s="1515"/>
      <c r="AU750" s="1515"/>
      <c r="AV750" s="1515"/>
      <c r="AW750" s="1515"/>
      <c r="AX750" s="1515"/>
      <c r="AY750" s="1515"/>
      <c r="AZ750" s="1515"/>
      <c r="BA750" s="1515"/>
      <c r="BB750" s="1515"/>
      <c r="BC750" s="1515"/>
      <c r="BD750" s="1515"/>
      <c r="BE750" s="1515"/>
      <c r="BF750" s="1515"/>
      <c r="BG750" s="1515"/>
      <c r="BH750" s="1515"/>
      <c r="BI750" s="1515"/>
      <c r="BJ750" s="1515"/>
      <c r="BK750" s="1515"/>
      <c r="BL750" s="1517"/>
    </row>
    <row r="751" spans="1:64" s="2008" customFormat="1" x14ac:dyDescent="0.35">
      <c r="A751" s="2002" t="s">
        <v>1284</v>
      </c>
      <c r="B751" s="1848">
        <f>FP.LastPrice</f>
        <v>15.35</v>
      </c>
      <c r="C751" s="1832"/>
      <c r="D751" s="1832"/>
      <c r="E751" s="1832"/>
      <c r="F751" s="1832"/>
      <c r="G751" s="1832"/>
      <c r="H751" s="1832"/>
      <c r="I751" s="1832"/>
      <c r="J751" s="1832"/>
      <c r="K751" s="1832"/>
      <c r="L751" s="1832"/>
      <c r="M751" s="1832"/>
      <c r="N751" s="1832"/>
      <c r="O751" s="1832"/>
      <c r="P751" s="1832"/>
      <c r="Q751" s="1832"/>
      <c r="R751" s="1832"/>
      <c r="S751" s="1832"/>
      <c r="T751" s="1832"/>
      <c r="U751" s="1832"/>
      <c r="V751" s="1832"/>
      <c r="W751" s="1832"/>
      <c r="X751" s="1832"/>
      <c r="Y751" s="1832"/>
      <c r="Z751" s="1832"/>
      <c r="AA751" s="1832"/>
      <c r="AB751" s="1832"/>
      <c r="AC751" s="1832"/>
      <c r="AD751" s="1832"/>
      <c r="AE751" s="1832"/>
      <c r="AF751" s="1832"/>
      <c r="AG751" s="1832"/>
      <c r="AH751" s="1832"/>
      <c r="AI751" s="1832"/>
      <c r="AJ751" s="1832"/>
      <c r="AK751" s="1832"/>
      <c r="AL751" s="1832"/>
      <c r="AM751" s="1832"/>
      <c r="AN751" s="1832"/>
      <c r="AO751" s="1832"/>
      <c r="AP751" s="1832"/>
      <c r="AQ751" s="1832"/>
      <c r="AR751" s="1832"/>
      <c r="AS751" s="1832"/>
      <c r="AT751" s="1832"/>
      <c r="AU751" s="1832"/>
      <c r="AV751" s="1832"/>
      <c r="AW751" s="1832"/>
      <c r="AX751" s="1832"/>
      <c r="AY751" s="1832"/>
      <c r="AZ751" s="1832"/>
      <c r="BA751" s="1832"/>
      <c r="BB751" s="1832"/>
      <c r="BC751" s="1832"/>
      <c r="BD751" s="1832"/>
      <c r="BE751" s="1832"/>
      <c r="BF751" s="1832"/>
      <c r="BG751" s="1832"/>
      <c r="BH751" s="1832"/>
      <c r="BI751" s="1832"/>
      <c r="BJ751" s="1832"/>
      <c r="BK751" s="1832"/>
      <c r="BL751" s="1848"/>
    </row>
    <row r="752" spans="1:64" x14ac:dyDescent="0.35">
      <c r="A752" s="1591" t="s">
        <v>1285</v>
      </c>
      <c r="B752" s="2143">
        <f>FP.LastPriceDate</f>
        <v>45513</v>
      </c>
      <c r="C752" s="1521"/>
      <c r="D752" s="1521"/>
      <c r="E752" s="1521"/>
      <c r="F752" s="1521"/>
      <c r="G752" s="1521"/>
      <c r="H752" s="1521"/>
      <c r="I752" s="1521"/>
      <c r="J752" s="1521"/>
      <c r="K752" s="1521"/>
      <c r="L752" s="1521"/>
      <c r="M752" s="1521"/>
      <c r="N752" s="1521"/>
      <c r="O752" s="1521"/>
      <c r="P752" s="1521"/>
      <c r="Q752" s="1521"/>
      <c r="R752" s="1521"/>
      <c r="S752" s="1521"/>
      <c r="T752" s="1521"/>
      <c r="U752" s="1521"/>
      <c r="V752" s="1521"/>
      <c r="W752" s="1521"/>
      <c r="X752" s="1521"/>
      <c r="Y752" s="1521"/>
      <c r="Z752" s="1521"/>
      <c r="AA752" s="1521"/>
      <c r="AB752" s="1521"/>
      <c r="AC752" s="1521"/>
      <c r="AD752" s="1521"/>
      <c r="AE752" s="1521"/>
      <c r="AF752" s="1521"/>
      <c r="AG752" s="1521"/>
      <c r="AH752" s="1521"/>
      <c r="AI752" s="1521"/>
      <c r="AJ752" s="1521"/>
      <c r="AK752" s="1521"/>
      <c r="AL752" s="1521"/>
      <c r="AM752" s="1521"/>
      <c r="AN752" s="1521"/>
      <c r="AO752" s="1521"/>
      <c r="AP752" s="1521"/>
      <c r="AQ752" s="1521"/>
      <c r="AR752" s="1521"/>
      <c r="AS752" s="1521"/>
      <c r="AT752" s="1521"/>
      <c r="AU752" s="1521"/>
      <c r="AV752" s="1521"/>
      <c r="AW752" s="1521"/>
      <c r="AX752" s="1521"/>
      <c r="AY752" s="1521"/>
      <c r="AZ752" s="1521"/>
      <c r="BA752" s="1521"/>
      <c r="BB752" s="1521"/>
      <c r="BC752" s="1521"/>
      <c r="BD752" s="1521"/>
      <c r="BE752" s="1521"/>
      <c r="BF752" s="1521"/>
      <c r="BG752" s="1521"/>
      <c r="BH752" s="1521"/>
      <c r="BI752" s="1521"/>
      <c r="BJ752" s="1521"/>
      <c r="BK752" s="1521"/>
      <c r="BL752" s="1526"/>
    </row>
    <row r="753" spans="1:64" x14ac:dyDescent="0.35">
      <c r="A753" s="1591" t="s">
        <v>1286</v>
      </c>
      <c r="B753" s="1526" t="b">
        <f>IF(FP.RealTimeToggle="ON",TRUE,FALSE)</f>
        <v>0</v>
      </c>
      <c r="C753" s="1521"/>
      <c r="D753" s="1521"/>
      <c r="E753" s="1521"/>
      <c r="F753" s="1521"/>
      <c r="G753" s="1521"/>
      <c r="H753" s="1521"/>
      <c r="I753" s="1521"/>
      <c r="J753" s="1521"/>
      <c r="K753" s="1521"/>
      <c r="L753" s="1521"/>
      <c r="M753" s="1521"/>
      <c r="N753" s="1521"/>
      <c r="O753" s="1521"/>
      <c r="P753" s="1521"/>
      <c r="Q753" s="1521"/>
      <c r="R753" s="1521"/>
      <c r="S753" s="1521"/>
      <c r="T753" s="1521"/>
      <c r="U753" s="1521"/>
      <c r="V753" s="1521"/>
      <c r="W753" s="1521"/>
      <c r="X753" s="1521"/>
      <c r="Y753" s="1521"/>
      <c r="Z753" s="1521"/>
      <c r="AA753" s="1521"/>
      <c r="AB753" s="1521"/>
      <c r="AC753" s="1521"/>
      <c r="AD753" s="1521"/>
      <c r="AE753" s="1521"/>
      <c r="AF753" s="1521"/>
      <c r="AG753" s="1521"/>
      <c r="AH753" s="1521"/>
      <c r="AI753" s="1521"/>
      <c r="AJ753" s="1521"/>
      <c r="AK753" s="1521"/>
      <c r="AL753" s="1521"/>
      <c r="AM753" s="1521"/>
      <c r="AN753" s="1521"/>
      <c r="AO753" s="1521"/>
      <c r="AP753" s="1521"/>
      <c r="AQ753" s="1521"/>
      <c r="AR753" s="1521"/>
      <c r="AS753" s="1521"/>
      <c r="AT753" s="1521"/>
      <c r="AU753" s="1521"/>
      <c r="AV753" s="1521"/>
      <c r="AW753" s="1521"/>
      <c r="AX753" s="1521"/>
      <c r="AY753" s="1521"/>
      <c r="AZ753" s="1521"/>
      <c r="BA753" s="1521"/>
      <c r="BB753" s="1521"/>
      <c r="BC753" s="1521"/>
      <c r="BD753" s="1521"/>
      <c r="BE753" s="1521"/>
      <c r="BF753" s="1521"/>
      <c r="BG753" s="1521"/>
      <c r="BH753" s="1521"/>
      <c r="BI753" s="1521"/>
      <c r="BJ753" s="1521"/>
      <c r="BK753" s="1521"/>
      <c r="BL753" s="1526"/>
    </row>
    <row r="754" spans="1:64" s="2008" customFormat="1" x14ac:dyDescent="0.35">
      <c r="A754" s="2002" t="s">
        <v>1287</v>
      </c>
      <c r="B754" s="1848" t="str">
        <f ca="1">IFERROR(CHOOSE(MO.DataSourceIndex,BDP(MO.Ticker.Bloomberg&amp;" EQUITY","LAST_PRICE"),_xll.ciqfunctions.udf.CIQ(MO.Ticker.CapIQ,"IQ_LASTSALEPRICE"),FDS(MO.Ticker.FactSet,"FG_PRICE(NOW)"),_xll.TR(MO.Ticker.Thomson,"TRDPRC_1")),"N/A")</f>
        <v>N/A</v>
      </c>
      <c r="C754" s="1832"/>
      <c r="D754" s="1832"/>
      <c r="E754" s="1832"/>
      <c r="F754" s="1832"/>
      <c r="G754" s="1832"/>
      <c r="H754" s="1832"/>
      <c r="I754" s="1832"/>
      <c r="J754" s="1832"/>
      <c r="K754" s="1832"/>
      <c r="L754" s="1832"/>
      <c r="M754" s="1832"/>
      <c r="N754" s="1832"/>
      <c r="O754" s="1832"/>
      <c r="P754" s="1832"/>
      <c r="Q754" s="1832"/>
      <c r="R754" s="1832"/>
      <c r="S754" s="1832"/>
      <c r="T754" s="1832"/>
      <c r="U754" s="1832"/>
      <c r="V754" s="1832"/>
      <c r="W754" s="1832"/>
      <c r="X754" s="1832"/>
      <c r="Y754" s="1832"/>
      <c r="Z754" s="1832"/>
      <c r="AA754" s="1832"/>
      <c r="AB754" s="1832"/>
      <c r="AC754" s="1832"/>
      <c r="AD754" s="1832"/>
      <c r="AE754" s="1832"/>
      <c r="AF754" s="1832"/>
      <c r="AG754" s="1832"/>
      <c r="AH754" s="1832"/>
      <c r="AI754" s="1832"/>
      <c r="AJ754" s="1832"/>
      <c r="AK754" s="1832"/>
      <c r="AL754" s="1832"/>
      <c r="AM754" s="1832"/>
      <c r="AN754" s="1832"/>
      <c r="AO754" s="1832"/>
      <c r="AP754" s="1832"/>
      <c r="AQ754" s="1832"/>
      <c r="AR754" s="1832"/>
      <c r="AS754" s="1832"/>
      <c r="AT754" s="1832"/>
      <c r="AU754" s="1832"/>
      <c r="AV754" s="1832"/>
      <c r="AW754" s="1832"/>
      <c r="AX754" s="1832"/>
      <c r="AY754" s="1832"/>
      <c r="AZ754" s="1832"/>
      <c r="BA754" s="1832"/>
      <c r="BB754" s="1832"/>
      <c r="BC754" s="1832"/>
      <c r="BD754" s="1832"/>
      <c r="BE754" s="1832"/>
      <c r="BF754" s="1832"/>
      <c r="BG754" s="1832"/>
      <c r="BH754" s="1832"/>
      <c r="BI754" s="1832"/>
      <c r="BJ754" s="1832"/>
      <c r="BK754" s="1832"/>
      <c r="BL754" s="1848"/>
    </row>
    <row r="755" spans="1:64" s="2008" customFormat="1" x14ac:dyDescent="0.35">
      <c r="A755" s="2002" t="s">
        <v>1288</v>
      </c>
      <c r="B755" s="1848" t="b">
        <f>OR(AND(OR(EXACT(HP.TradeCurrency.HardCoded,"GBp"),EXACT(HP.TradeCurrency.HardCoded,"GBX")),EXACT(HP.ReportCurrency,"GBP")),AND(OR(EXACT(HP.TradeCurrency.HardCoded,"ZAc"),EXACT(HP.TradeCurrency.HardCoded,"ZAC")),EXACT(HP.ReportCurrency,"ZAR")))</f>
        <v>0</v>
      </c>
      <c r="C755" s="1832"/>
      <c r="D755" s="1832"/>
      <c r="E755" s="1832"/>
      <c r="F755" s="1832"/>
      <c r="G755" s="1832"/>
      <c r="H755" s="1832"/>
      <c r="I755" s="1832"/>
      <c r="J755" s="1832"/>
      <c r="K755" s="1832"/>
      <c r="L755" s="1832"/>
      <c r="M755" s="1832"/>
      <c r="N755" s="1832"/>
      <c r="O755" s="1832"/>
      <c r="P755" s="1832"/>
      <c r="Q755" s="1832"/>
      <c r="R755" s="1832"/>
      <c r="S755" s="1832"/>
      <c r="T755" s="1832"/>
      <c r="U755" s="1832"/>
      <c r="V755" s="1832"/>
      <c r="W755" s="1832"/>
      <c r="X755" s="1832"/>
      <c r="Y755" s="1832"/>
      <c r="Z755" s="1832"/>
      <c r="AA755" s="1832"/>
      <c r="AB755" s="1832"/>
      <c r="AC755" s="1832"/>
      <c r="AD755" s="1832"/>
      <c r="AE755" s="1832"/>
      <c r="AF755" s="1832"/>
      <c r="AG755" s="1832"/>
      <c r="AH755" s="1832"/>
      <c r="AI755" s="1832"/>
      <c r="AJ755" s="1832"/>
      <c r="AK755" s="1832"/>
      <c r="AL755" s="1832"/>
      <c r="AM755" s="1832"/>
      <c r="AN755" s="1832"/>
      <c r="AO755" s="1832"/>
      <c r="AP755" s="1832"/>
      <c r="AQ755" s="1832"/>
      <c r="AR755" s="1832"/>
      <c r="AS755" s="1832"/>
      <c r="AT755" s="1832"/>
      <c r="AU755" s="1832"/>
      <c r="AV755" s="1832"/>
      <c r="AW755" s="1832"/>
      <c r="AX755" s="1832"/>
      <c r="AY755" s="1832"/>
      <c r="AZ755" s="1832"/>
      <c r="BA755" s="1832"/>
      <c r="BB755" s="1832"/>
      <c r="BC755" s="1832"/>
      <c r="BD755" s="1832"/>
      <c r="BE755" s="1832"/>
      <c r="BF755" s="1832"/>
      <c r="BG755" s="1832"/>
      <c r="BH755" s="1832"/>
      <c r="BI755" s="1832"/>
      <c r="BJ755" s="1832"/>
      <c r="BK755" s="1832"/>
      <c r="BL755" s="1848"/>
    </row>
    <row r="756" spans="1:64" s="2008" customFormat="1" x14ac:dyDescent="0.35">
      <c r="A756" s="2002" t="s">
        <v>1289</v>
      </c>
      <c r="B756" s="1848" t="str">
        <f ca="1">IFERROR(CHOOSE(MO.DataSourceIndex,BDP(HP.Ticker&amp;" Equity","CRNCY"),_xll.ciqfunctions.udf.CIQ(HP.Ticker,"IQ_TRADING_CURRENCY"),FDS(HP.Ticker,"P_CURRENCY(""ISO"")"),_xll.TR(HP.Ticker,"Currency")),HP.TradeCurrency.HardCoded)</f>
        <v>USD</v>
      </c>
      <c r="C756" s="1832"/>
      <c r="D756" s="1832"/>
      <c r="E756" s="1832"/>
      <c r="F756" s="1832"/>
      <c r="G756" s="1832"/>
      <c r="H756" s="1832"/>
      <c r="I756" s="1832"/>
      <c r="J756" s="1832"/>
      <c r="K756" s="1832"/>
      <c r="L756" s="1832"/>
      <c r="M756" s="1832"/>
      <c r="N756" s="1832"/>
      <c r="O756" s="1832"/>
      <c r="P756" s="1832"/>
      <c r="Q756" s="1832"/>
      <c r="R756" s="1832"/>
      <c r="S756" s="1832"/>
      <c r="T756" s="1832"/>
      <c r="U756" s="1832"/>
      <c r="V756" s="1832"/>
      <c r="W756" s="1832"/>
      <c r="X756" s="1832"/>
      <c r="Y756" s="1832"/>
      <c r="Z756" s="1832"/>
      <c r="AA756" s="1832"/>
      <c r="AB756" s="1832"/>
      <c r="AC756" s="1832"/>
      <c r="AD756" s="1832"/>
      <c r="AE756" s="1832"/>
      <c r="AF756" s="1832"/>
      <c r="AG756" s="1832"/>
      <c r="AH756" s="1832"/>
      <c r="AI756" s="1832"/>
      <c r="AJ756" s="1832"/>
      <c r="AK756" s="1832"/>
      <c r="AL756" s="1832"/>
      <c r="AM756" s="1832"/>
      <c r="AN756" s="1832"/>
      <c r="AO756" s="1832"/>
      <c r="AP756" s="1832"/>
      <c r="AQ756" s="1832"/>
      <c r="AR756" s="1832"/>
      <c r="AS756" s="1832"/>
      <c r="AT756" s="1832"/>
      <c r="AU756" s="1832"/>
      <c r="AV756" s="1832"/>
      <c r="AW756" s="1832"/>
      <c r="AX756" s="1832"/>
      <c r="AY756" s="1832"/>
      <c r="AZ756" s="1832"/>
      <c r="BA756" s="1832"/>
      <c r="BB756" s="1832"/>
      <c r="BC756" s="1832"/>
      <c r="BD756" s="1832"/>
      <c r="BE756" s="1832"/>
      <c r="BF756" s="1832"/>
      <c r="BG756" s="1832"/>
      <c r="BH756" s="1832"/>
      <c r="BI756" s="1832"/>
      <c r="BJ756" s="1832"/>
      <c r="BK756" s="1832"/>
      <c r="BL756" s="1848"/>
    </row>
    <row r="757" spans="1:64" s="2008" customFormat="1" x14ac:dyDescent="0.35">
      <c r="A757" s="2002" t="s">
        <v>1290</v>
      </c>
      <c r="B757" s="2124" t="s">
        <v>305</v>
      </c>
      <c r="C757" s="1832"/>
      <c r="D757" s="1832"/>
      <c r="E757" s="1832"/>
      <c r="F757" s="1832"/>
      <c r="G757" s="1832"/>
      <c r="H757" s="1832"/>
      <c r="I757" s="1832"/>
      <c r="J757" s="1832"/>
      <c r="K757" s="1832"/>
      <c r="L757" s="1832"/>
      <c r="M757" s="1832"/>
      <c r="N757" s="1832"/>
      <c r="O757" s="1832"/>
      <c r="P757" s="1832"/>
      <c r="Q757" s="1832"/>
      <c r="R757" s="1832"/>
      <c r="S757" s="1832"/>
      <c r="T757" s="1832"/>
      <c r="U757" s="1832"/>
      <c r="V757" s="1832"/>
      <c r="W757" s="1832"/>
      <c r="X757" s="1832"/>
      <c r="Y757" s="1832"/>
      <c r="Z757" s="1832"/>
      <c r="AA757" s="1832"/>
      <c r="AB757" s="1832"/>
      <c r="AC757" s="1832"/>
      <c r="AD757" s="1832"/>
      <c r="AE757" s="1832"/>
      <c r="AF757" s="1832"/>
      <c r="AG757" s="1832"/>
      <c r="AH757" s="1832"/>
      <c r="AI757" s="1832"/>
      <c r="AJ757" s="1832"/>
      <c r="AK757" s="1832"/>
      <c r="AL757" s="1832"/>
      <c r="AM757" s="1832"/>
      <c r="AN757" s="1832"/>
      <c r="AO757" s="1832"/>
      <c r="AP757" s="1832"/>
      <c r="AQ757" s="1832"/>
      <c r="AR757" s="1832"/>
      <c r="AS757" s="1832"/>
      <c r="AT757" s="1832"/>
      <c r="AU757" s="1832"/>
      <c r="AV757" s="1832"/>
      <c r="AW757" s="1832"/>
      <c r="AX757" s="1832"/>
      <c r="AY757" s="1832"/>
      <c r="AZ757" s="1832"/>
      <c r="BA757" s="1832"/>
      <c r="BB757" s="1832"/>
      <c r="BC757" s="1832"/>
      <c r="BD757" s="1832"/>
      <c r="BE757" s="1832"/>
      <c r="BF757" s="1832"/>
      <c r="BG757" s="1832"/>
      <c r="BH757" s="1832"/>
      <c r="BI757" s="1832"/>
      <c r="BJ757" s="1832"/>
      <c r="BK757" s="1832"/>
      <c r="BL757" s="1848"/>
    </row>
    <row r="758" spans="1:64" s="2008" customFormat="1" x14ac:dyDescent="0.35">
      <c r="A758" s="2002" t="s">
        <v>1291</v>
      </c>
      <c r="B758" s="2124" t="s">
        <v>305</v>
      </c>
      <c r="C758" s="1832"/>
      <c r="D758" s="1832"/>
      <c r="E758" s="1832"/>
      <c r="F758" s="1832"/>
      <c r="G758" s="1832"/>
      <c r="H758" s="1832"/>
      <c r="I758" s="1832"/>
      <c r="J758" s="1832"/>
      <c r="K758" s="1832"/>
      <c r="L758" s="1832"/>
      <c r="M758" s="1832"/>
      <c r="N758" s="1832"/>
      <c r="O758" s="1832"/>
      <c r="P758" s="1832"/>
      <c r="Q758" s="1832"/>
      <c r="R758" s="1832"/>
      <c r="S758" s="1832"/>
      <c r="T758" s="1832"/>
      <c r="U758" s="1832"/>
      <c r="V758" s="1832"/>
      <c r="W758" s="1832"/>
      <c r="X758" s="1832"/>
      <c r="Y758" s="1832"/>
      <c r="Z758" s="1832"/>
      <c r="AA758" s="1832"/>
      <c r="AB758" s="1832"/>
      <c r="AC758" s="1832"/>
      <c r="AD758" s="1832"/>
      <c r="AE758" s="1832"/>
      <c r="AF758" s="1832"/>
      <c r="AG758" s="1832"/>
      <c r="AH758" s="1832"/>
      <c r="AI758" s="1832"/>
      <c r="AJ758" s="1832"/>
      <c r="AK758" s="1832"/>
      <c r="AL758" s="1832"/>
      <c r="AM758" s="1832"/>
      <c r="AN758" s="1832"/>
      <c r="AO758" s="1832"/>
      <c r="AP758" s="1832"/>
      <c r="AQ758" s="1832"/>
      <c r="AR758" s="1832"/>
      <c r="AS758" s="1832"/>
      <c r="AT758" s="1832"/>
      <c r="AU758" s="1832"/>
      <c r="AV758" s="1832"/>
      <c r="AW758" s="1832"/>
      <c r="AX758" s="1832"/>
      <c r="AY758" s="1832"/>
      <c r="AZ758" s="1832"/>
      <c r="BA758" s="1832"/>
      <c r="BB758" s="1832"/>
      <c r="BC758" s="1832"/>
      <c r="BD758" s="1832"/>
      <c r="BE758" s="1832"/>
      <c r="BF758" s="1832"/>
      <c r="BG758" s="1832"/>
      <c r="BH758" s="1832"/>
      <c r="BI758" s="1832"/>
      <c r="BJ758" s="1832"/>
      <c r="BK758" s="1832"/>
      <c r="BL758" s="1848"/>
    </row>
    <row r="759" spans="1:64" s="2008" customFormat="1" x14ac:dyDescent="0.35">
      <c r="A759" s="2002" t="s">
        <v>1292</v>
      </c>
      <c r="B759" s="2021">
        <f ca="1">IF(EXACT(MO.ReportFX,HP.TradeCurrency),1,IF(OR(INDEX(MO_SPT_FXAverage,1,MO.MRFPColumnNumber+1)="N/A",ISERROR(INDEX(MO_SPT_FXAverage,1,MO.MRFPColumnNumber+1))),MO.MRFX.Hardcoded,INDEX(MO_SPT_FXAverage,1,MO.MRFPColumnNumber+1)))</f>
        <v>1</v>
      </c>
      <c r="C759" s="1832"/>
      <c r="D759" s="1832"/>
      <c r="E759" s="1832"/>
      <c r="F759" s="1832"/>
      <c r="G759" s="1832"/>
      <c r="H759" s="1832"/>
      <c r="I759" s="1832"/>
      <c r="J759" s="1832"/>
      <c r="K759" s="1832"/>
      <c r="L759" s="1832"/>
      <c r="M759" s="1832"/>
      <c r="N759" s="1832"/>
      <c r="O759" s="1832"/>
      <c r="P759" s="1832"/>
      <c r="Q759" s="1832"/>
      <c r="R759" s="1832"/>
      <c r="S759" s="1832"/>
      <c r="T759" s="1832"/>
      <c r="U759" s="1832"/>
      <c r="V759" s="1832"/>
      <c r="W759" s="1832"/>
      <c r="X759" s="1832"/>
      <c r="Y759" s="1832"/>
      <c r="Z759" s="1832"/>
      <c r="AA759" s="1832"/>
      <c r="AB759" s="1832"/>
      <c r="AC759" s="1832"/>
      <c r="AD759" s="1832"/>
      <c r="AE759" s="1832"/>
      <c r="AF759" s="1832"/>
      <c r="AG759" s="1832"/>
      <c r="AH759" s="1832"/>
      <c r="AI759" s="1832"/>
      <c r="AJ759" s="1832"/>
      <c r="AK759" s="1832"/>
      <c r="AL759" s="1832"/>
      <c r="AM759" s="1832"/>
      <c r="AN759" s="1832"/>
      <c r="AO759" s="1832"/>
      <c r="AP759" s="1832"/>
      <c r="AQ759" s="1832"/>
      <c r="AR759" s="1832"/>
      <c r="AS759" s="1832"/>
      <c r="AT759" s="1832"/>
      <c r="AU759" s="1832"/>
      <c r="AV759" s="1832"/>
      <c r="AW759" s="1832"/>
      <c r="AX759" s="1832"/>
      <c r="AY759" s="1832"/>
      <c r="AZ759" s="1832"/>
      <c r="BA759" s="1832"/>
      <c r="BB759" s="1832"/>
      <c r="BC759" s="1832"/>
      <c r="BD759" s="1832"/>
      <c r="BE759" s="1832"/>
      <c r="BF759" s="1832"/>
      <c r="BG759" s="1832"/>
      <c r="BH759" s="1832"/>
      <c r="BI759" s="1832"/>
      <c r="BJ759" s="1832"/>
      <c r="BK759" s="1832"/>
      <c r="BL759" s="1848"/>
    </row>
    <row r="760" spans="1:64" s="2008" customFormat="1" x14ac:dyDescent="0.35">
      <c r="A760" s="2002" t="s">
        <v>1293</v>
      </c>
      <c r="B760" s="2137">
        <v>1</v>
      </c>
      <c r="C760" s="1832"/>
      <c r="D760" s="1832"/>
      <c r="E760" s="1832"/>
      <c r="F760" s="1832"/>
      <c r="G760" s="1832"/>
      <c r="H760" s="1832"/>
      <c r="I760" s="1832"/>
      <c r="J760" s="1832"/>
      <c r="K760" s="1832"/>
      <c r="L760" s="1832"/>
      <c r="M760" s="1832"/>
      <c r="N760" s="1832"/>
      <c r="O760" s="1832"/>
      <c r="P760" s="1832"/>
      <c r="Q760" s="1832"/>
      <c r="R760" s="1832"/>
      <c r="S760" s="1832"/>
      <c r="T760" s="1832"/>
      <c r="U760" s="1832"/>
      <c r="V760" s="1832"/>
      <c r="W760" s="1832"/>
      <c r="X760" s="1832"/>
      <c r="Y760" s="1832"/>
      <c r="Z760" s="1832"/>
      <c r="AA760" s="1832"/>
      <c r="AB760" s="1832"/>
      <c r="AC760" s="1832"/>
      <c r="AD760" s="1832"/>
      <c r="AE760" s="1832"/>
      <c r="AF760" s="1832"/>
      <c r="AG760" s="1832"/>
      <c r="AH760" s="1832"/>
      <c r="AI760" s="1832"/>
      <c r="AJ760" s="1832"/>
      <c r="AK760" s="1832"/>
      <c r="AL760" s="1832"/>
      <c r="AM760" s="1832"/>
      <c r="AN760" s="1832"/>
      <c r="AO760" s="1832"/>
      <c r="AP760" s="1832"/>
      <c r="AQ760" s="1832"/>
      <c r="AR760" s="1832"/>
      <c r="AS760" s="1832"/>
      <c r="AT760" s="1832"/>
      <c r="AU760" s="1832"/>
      <c r="AV760" s="1832"/>
      <c r="AW760" s="1832"/>
      <c r="AX760" s="1832"/>
      <c r="AY760" s="1832"/>
      <c r="AZ760" s="1832"/>
      <c r="BA760" s="1832"/>
      <c r="BB760" s="1832"/>
      <c r="BC760" s="1832"/>
      <c r="BD760" s="1832"/>
      <c r="BE760" s="1832"/>
      <c r="BF760" s="1832"/>
      <c r="BG760" s="1832"/>
      <c r="BH760" s="1832"/>
      <c r="BI760" s="1832"/>
      <c r="BJ760" s="1832"/>
      <c r="BK760" s="1832"/>
      <c r="BL760" s="1848"/>
    </row>
    <row r="761" spans="1:64" s="1631" customFormat="1" x14ac:dyDescent="0.35">
      <c r="A761" s="2144" t="s">
        <v>1294</v>
      </c>
      <c r="B761" s="1630">
        <f>MATCH(MO.MRFP,MO_Common_ColumnHeader,0)</f>
        <v>36</v>
      </c>
      <c r="C761" s="1783"/>
      <c r="D761" s="1783"/>
      <c r="E761" s="1783"/>
      <c r="F761" s="1783"/>
      <c r="G761" s="1783"/>
      <c r="H761" s="1783"/>
      <c r="I761" s="1783"/>
      <c r="J761" s="1783"/>
      <c r="K761" s="1783"/>
      <c r="L761" s="1783"/>
      <c r="M761" s="1783"/>
      <c r="N761" s="1783"/>
      <c r="O761" s="1783"/>
      <c r="P761" s="1783"/>
      <c r="Q761" s="1783"/>
      <c r="R761" s="1783"/>
      <c r="S761" s="1783"/>
      <c r="T761" s="1783"/>
      <c r="U761" s="1783"/>
      <c r="V761" s="1783"/>
      <c r="W761" s="1783"/>
      <c r="X761" s="1783"/>
      <c r="Y761" s="1783"/>
      <c r="Z761" s="1783"/>
      <c r="AA761" s="1783"/>
      <c r="AB761" s="1783"/>
      <c r="AC761" s="1783"/>
      <c r="AD761" s="1783"/>
      <c r="AE761" s="1783"/>
      <c r="AF761" s="1783"/>
      <c r="AG761" s="1783"/>
      <c r="AH761" s="1783"/>
      <c r="AI761" s="1783"/>
      <c r="AJ761" s="1783"/>
      <c r="AK761" s="1783"/>
      <c r="AL761" s="1783"/>
      <c r="AM761" s="1783"/>
      <c r="AN761" s="1783"/>
      <c r="AO761" s="1783"/>
      <c r="AP761" s="1783"/>
      <c r="AQ761" s="1783"/>
      <c r="AR761" s="1783"/>
      <c r="AS761" s="1783"/>
      <c r="AT761" s="1783"/>
      <c r="AU761" s="1783"/>
      <c r="AV761" s="1783"/>
      <c r="AW761" s="1783"/>
      <c r="AX761" s="1783"/>
      <c r="AY761" s="1783"/>
      <c r="AZ761" s="1783"/>
      <c r="BA761" s="1783"/>
      <c r="BB761" s="1783"/>
      <c r="BC761" s="1783"/>
      <c r="BD761" s="1783"/>
      <c r="BE761" s="1783"/>
      <c r="BF761" s="1783"/>
      <c r="BG761" s="1783"/>
      <c r="BH761" s="1783"/>
      <c r="BI761" s="1783"/>
      <c r="BJ761" s="1783"/>
      <c r="BK761" s="1783"/>
      <c r="BL761" s="1630"/>
    </row>
    <row r="762" spans="1:64" s="1631" customFormat="1" x14ac:dyDescent="0.35">
      <c r="A762" s="2144" t="s">
        <v>1295</v>
      </c>
      <c r="B762" s="2145" t="s">
        <v>1296</v>
      </c>
      <c r="C762" s="1783"/>
      <c r="D762" s="1783"/>
      <c r="E762" s="1783"/>
      <c r="F762" s="1783"/>
      <c r="G762" s="1783"/>
      <c r="H762" s="1783"/>
      <c r="I762" s="1783"/>
      <c r="J762" s="1783"/>
      <c r="K762" s="1783"/>
      <c r="L762" s="1783"/>
      <c r="M762" s="1783"/>
      <c r="N762" s="1783"/>
      <c r="O762" s="1783"/>
      <c r="P762" s="1783"/>
      <c r="Q762" s="1783"/>
      <c r="R762" s="1783"/>
      <c r="S762" s="1783"/>
      <c r="T762" s="1783"/>
      <c r="U762" s="1783"/>
      <c r="V762" s="1783"/>
      <c r="W762" s="1783"/>
      <c r="X762" s="1783"/>
      <c r="Y762" s="1783"/>
      <c r="Z762" s="1783"/>
      <c r="AA762" s="1783"/>
      <c r="AB762" s="1783"/>
      <c r="AC762" s="1783"/>
      <c r="AD762" s="1783"/>
      <c r="AE762" s="1783"/>
      <c r="AF762" s="1783"/>
      <c r="AG762" s="1783"/>
      <c r="AH762" s="1783"/>
      <c r="AI762" s="1783"/>
      <c r="AJ762" s="1783"/>
      <c r="AK762" s="1783"/>
      <c r="AL762" s="1783"/>
      <c r="AM762" s="1783"/>
      <c r="AN762" s="1783"/>
      <c r="AO762" s="1783"/>
      <c r="AP762" s="1783"/>
      <c r="AQ762" s="1783"/>
      <c r="AR762" s="1783"/>
      <c r="AS762" s="1783"/>
      <c r="AT762" s="1783"/>
      <c r="AU762" s="1783"/>
      <c r="AV762" s="1783"/>
      <c r="AW762" s="1783"/>
      <c r="AX762" s="1783"/>
      <c r="AY762" s="1783"/>
      <c r="AZ762" s="1783"/>
      <c r="BA762" s="1783"/>
      <c r="BB762" s="1783"/>
      <c r="BC762" s="1783"/>
      <c r="BD762" s="1783"/>
      <c r="BE762" s="1783"/>
      <c r="BF762" s="1783"/>
      <c r="BG762" s="1783"/>
      <c r="BH762" s="1783"/>
      <c r="BI762" s="1783"/>
      <c r="BJ762" s="1783"/>
      <c r="BK762" s="1783"/>
      <c r="BL762" s="1630"/>
    </row>
    <row r="763" spans="1:64" s="1631" customFormat="1" x14ac:dyDescent="0.35">
      <c r="A763" s="2144" t="s">
        <v>1297</v>
      </c>
      <c r="B763" s="1630" t="str">
        <f>"FY"&amp;RIGHT(MO.MRFP,4)</f>
        <v>FY2024</v>
      </c>
      <c r="C763" s="1783"/>
      <c r="D763" s="1783"/>
      <c r="E763" s="1783"/>
      <c r="F763" s="1783"/>
      <c r="G763" s="1783"/>
      <c r="H763" s="1783"/>
      <c r="I763" s="1783"/>
      <c r="J763" s="1783"/>
      <c r="K763" s="1783"/>
      <c r="L763" s="1783"/>
      <c r="M763" s="1783"/>
      <c r="N763" s="1783"/>
      <c r="O763" s="1783"/>
      <c r="P763" s="1783"/>
      <c r="Q763" s="1783"/>
      <c r="R763" s="1783"/>
      <c r="S763" s="1783"/>
      <c r="T763" s="1783"/>
      <c r="U763" s="1783"/>
      <c r="V763" s="1783"/>
      <c r="W763" s="1783"/>
      <c r="X763" s="1783"/>
      <c r="Y763" s="1783"/>
      <c r="Z763" s="1783"/>
      <c r="AA763" s="1783"/>
      <c r="AB763" s="1783"/>
      <c r="AC763" s="1783"/>
      <c r="AD763" s="1783"/>
      <c r="AE763" s="1783"/>
      <c r="AF763" s="1783"/>
      <c r="AG763" s="1783"/>
      <c r="AH763" s="1783"/>
      <c r="AI763" s="1783"/>
      <c r="AJ763" s="1783"/>
      <c r="AK763" s="1783"/>
      <c r="AL763" s="1783"/>
      <c r="AM763" s="1783"/>
      <c r="AN763" s="1783"/>
      <c r="AO763" s="1783"/>
      <c r="AP763" s="1783"/>
      <c r="AQ763" s="1783"/>
      <c r="AR763" s="1783"/>
      <c r="AS763" s="1783"/>
      <c r="AT763" s="1783"/>
      <c r="AU763" s="1783"/>
      <c r="AV763" s="1783"/>
      <c r="AW763" s="1783"/>
      <c r="AX763" s="1783"/>
      <c r="AY763" s="1783"/>
      <c r="AZ763" s="1783"/>
      <c r="BA763" s="1783"/>
      <c r="BB763" s="1783"/>
      <c r="BC763" s="1783"/>
      <c r="BD763" s="1783"/>
      <c r="BE763" s="1783"/>
      <c r="BF763" s="1783"/>
      <c r="BG763" s="1783"/>
      <c r="BH763" s="1783"/>
      <c r="BI763" s="1783"/>
      <c r="BJ763" s="1783"/>
      <c r="BK763" s="1783"/>
      <c r="BL763" s="1630"/>
    </row>
    <row r="764" spans="1:64" s="1631" customFormat="1" x14ac:dyDescent="0.35">
      <c r="A764" s="2144" t="s">
        <v>1298</v>
      </c>
      <c r="B764" s="1630" t="str">
        <f>"FY"&amp;RIGHT(MO.MRFP,4)+IF(LEFT(MO.MRFP,2)="FY",1,0)</f>
        <v>FY2024</v>
      </c>
      <c r="C764" s="1783"/>
      <c r="D764" s="1783"/>
      <c r="E764" s="1783"/>
      <c r="F764" s="1783"/>
      <c r="G764" s="1783"/>
      <c r="H764" s="1783"/>
      <c r="I764" s="1783"/>
      <c r="J764" s="1783"/>
      <c r="K764" s="1783"/>
      <c r="L764" s="1783"/>
      <c r="M764" s="1783"/>
      <c r="N764" s="1783"/>
      <c r="O764" s="1783"/>
      <c r="P764" s="1783"/>
      <c r="Q764" s="1783"/>
      <c r="R764" s="1783"/>
      <c r="S764" s="1783"/>
      <c r="T764" s="1783"/>
      <c r="U764" s="1783"/>
      <c r="V764" s="1783"/>
      <c r="W764" s="1783"/>
      <c r="X764" s="1783"/>
      <c r="Y764" s="1783"/>
      <c r="Z764" s="1783"/>
      <c r="AA764" s="1783"/>
      <c r="AB764" s="1783"/>
      <c r="AC764" s="1783"/>
      <c r="AD764" s="1783"/>
      <c r="AE764" s="1783"/>
      <c r="AF764" s="1783"/>
      <c r="AG764" s="1783"/>
      <c r="AH764" s="1783"/>
      <c r="AI764" s="1783"/>
      <c r="AJ764" s="1783"/>
      <c r="AK764" s="1783"/>
      <c r="AL764" s="1783"/>
      <c r="AM764" s="1783"/>
      <c r="AN764" s="1783"/>
      <c r="AO764" s="1783"/>
      <c r="AP764" s="1783"/>
      <c r="AQ764" s="1783"/>
      <c r="AR764" s="1783"/>
      <c r="AS764" s="1783"/>
      <c r="AT764" s="1783"/>
      <c r="AU764" s="1783"/>
      <c r="AV764" s="1783"/>
      <c r="AW764" s="1783"/>
      <c r="AX764" s="1783"/>
      <c r="AY764" s="1783"/>
      <c r="AZ764" s="1783"/>
      <c r="BA764" s="1783"/>
      <c r="BB764" s="1783"/>
      <c r="BC764" s="1783"/>
      <c r="BD764" s="1783"/>
      <c r="BE764" s="1783"/>
      <c r="BF764" s="1783"/>
      <c r="BG764" s="1783"/>
      <c r="BH764" s="1783"/>
      <c r="BI764" s="1783"/>
      <c r="BJ764" s="1783"/>
      <c r="BK764" s="1783"/>
      <c r="BL764" s="1630"/>
    </row>
    <row r="765" spans="1:64" s="1631" customFormat="1" x14ac:dyDescent="0.35">
      <c r="A765" s="2144" t="s">
        <v>1299</v>
      </c>
      <c r="B765" s="1630">
        <f>COUNTA(tb_KPIs)-1</f>
        <v>5</v>
      </c>
      <c r="C765" s="1783"/>
      <c r="D765" s="1783"/>
      <c r="E765" s="1783"/>
      <c r="F765" s="1783"/>
      <c r="G765" s="1783"/>
      <c r="H765" s="1783"/>
      <c r="I765" s="1783"/>
      <c r="J765" s="1783"/>
      <c r="K765" s="1783"/>
      <c r="L765" s="1783"/>
      <c r="M765" s="1783"/>
      <c r="N765" s="1783"/>
      <c r="O765" s="1783"/>
      <c r="P765" s="1783"/>
      <c r="Q765" s="1783"/>
      <c r="R765" s="1783"/>
      <c r="S765" s="1783"/>
      <c r="T765" s="1783"/>
      <c r="U765" s="1783"/>
      <c r="V765" s="1783"/>
      <c r="W765" s="1783"/>
      <c r="X765" s="1783"/>
      <c r="Y765" s="1783"/>
      <c r="Z765" s="1783"/>
      <c r="AA765" s="1783"/>
      <c r="AB765" s="1783"/>
      <c r="AC765" s="1783"/>
      <c r="AD765" s="1783"/>
      <c r="AE765" s="1783"/>
      <c r="AF765" s="1783"/>
      <c r="AG765" s="1783"/>
      <c r="AH765" s="1783"/>
      <c r="AI765" s="1783"/>
      <c r="AJ765" s="1783"/>
      <c r="AK765" s="1783"/>
      <c r="AL765" s="1783"/>
      <c r="AM765" s="1783"/>
      <c r="AN765" s="1783"/>
      <c r="AO765" s="1783"/>
      <c r="AP765" s="1783"/>
      <c r="AQ765" s="1783"/>
      <c r="AR765" s="1783"/>
      <c r="AS765" s="1783"/>
      <c r="AT765" s="1783"/>
      <c r="AU765" s="1783"/>
      <c r="AV765" s="1783"/>
      <c r="AW765" s="1783"/>
      <c r="AX765" s="1783"/>
      <c r="AY765" s="1783"/>
      <c r="AZ765" s="1783"/>
      <c r="BA765" s="1783"/>
      <c r="BB765" s="1783"/>
      <c r="BC765" s="1783"/>
      <c r="BD765" s="1783"/>
      <c r="BE765" s="1783"/>
      <c r="BF765" s="1783"/>
      <c r="BG765" s="1783"/>
      <c r="BH765" s="1783"/>
      <c r="BI765" s="1783"/>
      <c r="BJ765" s="1783"/>
      <c r="BK765" s="1783"/>
      <c r="BL765" s="1630"/>
    </row>
    <row r="766" spans="1:64" s="1631" customFormat="1" x14ac:dyDescent="0.35">
      <c r="A766" s="2146" t="s">
        <v>1300</v>
      </c>
      <c r="B766" s="2147">
        <f>IF(MO.DataSourceName="Bloomberg",1,IF(MO.DataSourceName="Capital IQ",2,IF(MO.DataSourceName="FactSet",3,IF(MO.DataSourceName="Refinitiv",4,1))))</f>
        <v>1</v>
      </c>
      <c r="C766" s="1783"/>
      <c r="D766" s="1783"/>
      <c r="E766" s="1783"/>
      <c r="F766" s="1783"/>
      <c r="G766" s="1783"/>
      <c r="H766" s="1783"/>
      <c r="I766" s="1783"/>
      <c r="J766" s="1783"/>
      <c r="K766" s="1783"/>
      <c r="L766" s="1783"/>
      <c r="M766" s="1783"/>
      <c r="N766" s="1783"/>
      <c r="O766" s="1783"/>
      <c r="P766" s="1783"/>
      <c r="Q766" s="1783"/>
      <c r="R766" s="1783"/>
      <c r="S766" s="1783"/>
      <c r="T766" s="1783"/>
      <c r="U766" s="1783"/>
      <c r="V766" s="1783"/>
      <c r="W766" s="1783"/>
      <c r="X766" s="1783"/>
      <c r="Y766" s="1783"/>
      <c r="Z766" s="1783"/>
      <c r="AA766" s="1783"/>
      <c r="AB766" s="1783"/>
      <c r="AC766" s="1783"/>
      <c r="AD766" s="1783"/>
      <c r="AE766" s="1783"/>
      <c r="AF766" s="1783"/>
      <c r="AG766" s="1783"/>
      <c r="AH766" s="1783"/>
      <c r="AI766" s="1783"/>
      <c r="AJ766" s="1783"/>
      <c r="AK766" s="1783"/>
      <c r="AL766" s="1783"/>
      <c r="AM766" s="1783"/>
      <c r="AN766" s="1783"/>
      <c r="AO766" s="1783"/>
      <c r="AP766" s="1783"/>
      <c r="AQ766" s="1783"/>
      <c r="AR766" s="1783"/>
      <c r="AS766" s="1783"/>
      <c r="AT766" s="1783"/>
      <c r="AU766" s="1783"/>
      <c r="AV766" s="1783"/>
      <c r="AW766" s="1783"/>
      <c r="AX766" s="1783"/>
      <c r="AY766" s="1783"/>
      <c r="AZ766" s="1783"/>
      <c r="BA766" s="1783"/>
      <c r="BB766" s="1783"/>
      <c r="BC766" s="1783"/>
      <c r="BD766" s="1783"/>
      <c r="BE766" s="1783"/>
      <c r="BF766" s="1783"/>
      <c r="BG766" s="1783"/>
      <c r="BH766" s="1783"/>
      <c r="BI766" s="1783"/>
      <c r="BJ766" s="1783"/>
      <c r="BK766" s="1783"/>
      <c r="BL766" s="1630"/>
    </row>
    <row r="767" spans="1:64" x14ac:dyDescent="0.35">
      <c r="A767" s="1521"/>
      <c r="B767" s="1521"/>
      <c r="C767" s="1521"/>
      <c r="D767" s="1521"/>
      <c r="E767" s="1521"/>
      <c r="F767" s="1521"/>
      <c r="G767" s="1521"/>
      <c r="H767" s="1521"/>
      <c r="I767" s="1521"/>
      <c r="J767" s="1521"/>
      <c r="K767" s="1521"/>
      <c r="L767" s="1521"/>
      <c r="M767" s="1521"/>
      <c r="N767" s="1521"/>
      <c r="O767" s="1521"/>
      <c r="P767" s="1521"/>
      <c r="Q767" s="1521"/>
      <c r="R767" s="1521"/>
      <c r="S767" s="1521"/>
      <c r="T767" s="1521"/>
      <c r="U767" s="1521"/>
      <c r="V767" s="1521"/>
      <c r="W767" s="1521"/>
      <c r="X767" s="1521"/>
      <c r="Y767" s="1521"/>
      <c r="Z767" s="1521"/>
      <c r="AA767" s="1521"/>
      <c r="AB767" s="1521"/>
      <c r="AC767" s="1521"/>
      <c r="AD767" s="1521"/>
      <c r="AE767" s="1521"/>
      <c r="AF767" s="1521"/>
      <c r="AG767" s="1521"/>
      <c r="AH767" s="1521"/>
      <c r="AI767" s="1521"/>
      <c r="AJ767" s="1521"/>
      <c r="AK767" s="1521"/>
      <c r="AL767" s="1521"/>
      <c r="AM767" s="1521"/>
      <c r="AN767" s="1521"/>
      <c r="AO767" s="1521"/>
      <c r="AP767" s="1521"/>
      <c r="AQ767" s="1521"/>
      <c r="AR767" s="1521"/>
      <c r="AS767" s="1521"/>
      <c r="AT767" s="1521"/>
      <c r="AU767" s="1521"/>
      <c r="AV767" s="1521"/>
      <c r="AW767" s="1521"/>
      <c r="AX767" s="1521"/>
      <c r="AY767" s="1521"/>
      <c r="AZ767" s="1521"/>
      <c r="BA767" s="1521"/>
      <c r="BB767" s="1521"/>
      <c r="BC767" s="1521"/>
      <c r="BD767" s="1521"/>
      <c r="BE767" s="1521"/>
      <c r="BF767" s="1521"/>
      <c r="BG767" s="1521"/>
      <c r="BH767" s="1521"/>
      <c r="BI767" s="1521"/>
      <c r="BJ767" s="1521"/>
      <c r="BK767" s="1521"/>
      <c r="BL767" s="1526"/>
    </row>
    <row r="768" spans="1:64" x14ac:dyDescent="0.35">
      <c r="A768" s="2148" t="s">
        <v>1301</v>
      </c>
      <c r="B768" s="2149"/>
      <c r="C768" s="2149"/>
      <c r="D768" s="2149"/>
      <c r="E768" s="2149"/>
      <c r="F768" s="2149"/>
      <c r="G768" s="2149"/>
      <c r="H768" s="2149"/>
      <c r="I768" s="2149"/>
      <c r="J768" s="2149"/>
      <c r="K768" s="2149"/>
      <c r="L768" s="2149"/>
      <c r="M768" s="2149"/>
      <c r="N768" s="2149"/>
      <c r="O768" s="2149"/>
      <c r="P768" s="2149"/>
      <c r="Q768" s="2149"/>
      <c r="R768" s="2149"/>
      <c r="S768" s="2149"/>
      <c r="T768" s="2149"/>
      <c r="U768" s="2149"/>
      <c r="V768" s="2149"/>
      <c r="W768" s="2149"/>
      <c r="X768" s="2149"/>
      <c r="Y768" s="2149"/>
      <c r="Z768" s="2149"/>
      <c r="AA768" s="2149"/>
      <c r="AB768" s="2149"/>
      <c r="AC768" s="2149"/>
      <c r="AD768" s="2149"/>
      <c r="AE768" s="2149"/>
      <c r="AF768" s="2149"/>
      <c r="AG768" s="2149"/>
      <c r="AH768" s="2149"/>
      <c r="AI768" s="2149"/>
      <c r="AJ768" s="2149"/>
      <c r="AK768" s="2149"/>
      <c r="AL768" s="2149"/>
      <c r="AM768" s="2149"/>
      <c r="AN768" s="2149"/>
      <c r="AO768" s="2149"/>
      <c r="AP768" s="2149"/>
      <c r="AQ768" s="2149"/>
      <c r="AR768" s="2149"/>
      <c r="AS768" s="2149"/>
      <c r="AT768" s="2149"/>
      <c r="AU768" s="2149"/>
      <c r="AV768" s="2149"/>
      <c r="AW768" s="2149"/>
      <c r="AX768" s="2149"/>
      <c r="AY768" s="2149"/>
      <c r="AZ768" s="2149"/>
      <c r="BA768" s="2149"/>
      <c r="BB768" s="2149"/>
      <c r="BC768" s="2149"/>
      <c r="BD768" s="2149"/>
      <c r="BE768" s="2149"/>
      <c r="BF768" s="2149"/>
      <c r="BG768" s="2149"/>
      <c r="BH768" s="2149"/>
      <c r="BI768" s="2149"/>
      <c r="BJ768" s="2149"/>
      <c r="BK768" s="2149"/>
      <c r="BL768" s="1526"/>
    </row>
    <row r="769" spans="1:64" x14ac:dyDescent="0.35">
      <c r="A769" s="1526"/>
      <c r="B769" s="1526"/>
      <c r="C769" s="1526"/>
      <c r="D769" s="1526"/>
      <c r="E769" s="1526"/>
      <c r="F769" s="1526"/>
      <c r="G769" s="1526"/>
      <c r="H769" s="1526"/>
      <c r="I769" s="1526"/>
      <c r="J769" s="1526"/>
      <c r="K769" s="1526"/>
      <c r="L769" s="1526"/>
      <c r="M769" s="1526"/>
      <c r="N769" s="1526"/>
      <c r="O769" s="1526"/>
      <c r="P769" s="1526"/>
      <c r="Q769" s="1526"/>
      <c r="R769" s="1526"/>
      <c r="S769" s="1526"/>
      <c r="T769" s="1526"/>
      <c r="U769" s="1526"/>
      <c r="V769" s="1526"/>
      <c r="W769" s="1526"/>
      <c r="X769" s="1526"/>
      <c r="Y769" s="1526"/>
      <c r="Z769" s="1526"/>
      <c r="AA769" s="1526"/>
      <c r="AB769" s="1526"/>
      <c r="AC769" s="1526"/>
      <c r="AD769" s="1526"/>
      <c r="AE769" s="1526"/>
      <c r="AF769" s="1526"/>
      <c r="AG769" s="1526"/>
      <c r="AH769" s="1526"/>
      <c r="AI769" s="1526"/>
      <c r="AJ769" s="1526"/>
      <c r="AK769" s="1526"/>
      <c r="AL769" s="1526"/>
      <c r="AM769" s="1526"/>
      <c r="AN769" s="1526"/>
      <c r="AO769" s="1526"/>
      <c r="AP769" s="1526"/>
      <c r="AQ769" s="1526"/>
      <c r="AR769" s="1526"/>
      <c r="AS769" s="1526"/>
      <c r="AT769" s="1526"/>
      <c r="AU769" s="1526"/>
      <c r="AV769" s="1526"/>
      <c r="AW769" s="1526"/>
      <c r="AX769" s="1526"/>
      <c r="AY769" s="1526"/>
      <c r="AZ769" s="1526"/>
      <c r="BA769" s="1526"/>
      <c r="BB769" s="1526"/>
      <c r="BC769" s="1526"/>
      <c r="BD769" s="1526"/>
      <c r="BE769" s="1526"/>
      <c r="BF769" s="1526"/>
      <c r="BG769" s="1526"/>
      <c r="BH769" s="1526"/>
      <c r="BI769" s="1526"/>
      <c r="BJ769" s="1526"/>
      <c r="BK769" s="1526"/>
      <c r="BL769" s="1526"/>
    </row>
  </sheetData>
  <conditionalFormatting sqref="C135:AF135 AH135:AI135 AK135:BJ135">
    <cfRule type="cellIs" dxfId="7" priority="7" operator="notEqual">
      <formula>0</formula>
    </cfRule>
    <cfRule type="cellIs" dxfId="6" priority="8" operator="equal">
      <formula>0</formula>
    </cfRule>
  </conditionalFormatting>
  <conditionalFormatting sqref="C555:AH555 AJ555:BJ555">
    <cfRule type="cellIs" dxfId="5" priority="5" operator="notEqual">
      <formula>0</formula>
    </cfRule>
    <cfRule type="cellIs" dxfId="4" priority="6" operator="equal">
      <formula>0</formula>
    </cfRule>
  </conditionalFormatting>
  <conditionalFormatting sqref="C641:AI641 AK641:BJ641 C642:BJ649 C650:AG650 AI650:AL650 AN650:BJ650 C651:BJ651 C652:AS652 AV652:AX652 AZ652:BJ652 C653:AG654 AI653:AL654 AN653:BJ654 C655:BJ659">
    <cfRule type="cellIs" dxfId="3" priority="1" operator="notEqual">
      <formula>0</formula>
    </cfRule>
    <cfRule type="cellIs" dxfId="2" priority="2" operator="equal">
      <formula>0</formula>
    </cfRule>
  </conditionalFormatting>
  <conditionalFormatting sqref="C638:BJ638">
    <cfRule type="cellIs" dxfId="1" priority="3" operator="notEqual">
      <formula>0</formula>
    </cfRule>
    <cfRule type="cellIs" dxfId="0" priority="4" operator="equal">
      <formula>0</formula>
    </cfRule>
  </conditionalFormatting>
  <dataValidations count="1">
    <dataValidation type="list" allowBlank="1" showInputMessage="1" showErrorMessage="1" sqref="B398" xr:uid="{FECBCB96-BA5E-4768-A365-DC85966E958B}">
      <formula1>OFFSET(tb_ValuationToggle,1,0,4,1)</formula1>
    </dataValidation>
  </dataValidations>
  <hyperlinks>
    <hyperlink ref="A1" r:id="rId1" xr:uid="{6AE6750A-C2F7-489D-9B5E-0D30D89E6DC6}"/>
  </hyperlinks>
  <pageMargins left="0" right="0" top="0.39370078740157499" bottom="0" header="0.196850393700787" footer="0"/>
  <pageSetup scale="21" fitToHeight="0" orientation="landscape" r:id="rId2"/>
  <headerFooter>
    <oddHeader>&amp;CSterling Check Corp&amp;RPage &amp;P</oddHeader>
  </headerFooter>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14E7E-31AF-4BA0-8F75-628E43FA64C3}">
  <sheetPr>
    <pageSetUpPr fitToPage="1"/>
  </sheetPr>
  <dimension ref="A1:R71"/>
  <sheetViews>
    <sheetView view="pageBreakPreview" zoomScale="70" zoomScaleNormal="75" zoomScaleSheetLayoutView="70" workbookViewId="0">
      <pane xSplit="1" ySplit="5" topLeftCell="B6" activePane="bottomRight" state="frozen"/>
      <selection pane="topRight" activeCell="C7" sqref="C7"/>
      <selection pane="bottomLeft" activeCell="C7" sqref="C7"/>
      <selection pane="bottomRight"/>
    </sheetView>
  </sheetViews>
  <sheetFormatPr defaultColWidth="8.7265625" defaultRowHeight="12.5" outlineLevelCol="1" x14ac:dyDescent="0.25"/>
  <cols>
    <col min="1" max="1" width="38" style="132" customWidth="1"/>
    <col min="2" max="2" width="3.81640625" style="132" customWidth="1"/>
    <col min="3" max="3" width="8.81640625" style="132" customWidth="1"/>
    <col min="4" max="4" width="3.81640625" style="132" customWidth="1"/>
    <col min="5" max="5" width="13.26953125" style="132" hidden="1" customWidth="1" outlineLevel="1"/>
    <col min="6" max="6" width="13.26953125" style="132" hidden="1" customWidth="1" outlineLevel="1" collapsed="1"/>
    <col min="7" max="7" width="13.26953125" style="132" customWidth="1" collapsed="1"/>
    <col min="8" max="18" width="13.26953125" style="132" customWidth="1"/>
    <col min="19" max="16384" width="8.7265625" style="132"/>
  </cols>
  <sheetData>
    <row r="1" spans="1:18" ht="13" x14ac:dyDescent="0.3">
      <c r="A1" s="132" t="s">
        <v>766</v>
      </c>
      <c r="P1" s="400"/>
      <c r="Q1" s="400"/>
      <c r="R1" s="400">
        <f t="shared" ref="R1" ca="1" si="0">+TODAY()</f>
        <v>45797</v>
      </c>
    </row>
    <row r="2" spans="1:18" ht="13" x14ac:dyDescent="0.3">
      <c r="A2" s="163" t="s">
        <v>1302</v>
      </c>
    </row>
    <row r="3" spans="1:18" s="378" customFormat="1" ht="13" x14ac:dyDescent="0.3">
      <c r="A3" s="402" t="str">
        <f>'FA - Detailed Disclosure'!A3</f>
        <v>(USD in mm)</v>
      </c>
    </row>
    <row r="4" spans="1:18" ht="16" x14ac:dyDescent="0.6">
      <c r="C4" s="393" t="s">
        <v>1303</v>
      </c>
      <c r="E4" s="1039" t="s">
        <v>1304</v>
      </c>
      <c r="F4" s="1039"/>
      <c r="G4" s="1039"/>
      <c r="H4" s="1039"/>
      <c r="I4" s="1039"/>
      <c r="J4" s="1039"/>
      <c r="K4" s="1039"/>
      <c r="L4" s="1039"/>
      <c r="M4" s="1039"/>
      <c r="N4" s="1039"/>
      <c r="O4" s="1039"/>
      <c r="P4" s="1039"/>
      <c r="Q4" s="1039"/>
      <c r="R4" s="1039"/>
    </row>
    <row r="5" spans="1:18" ht="13" x14ac:dyDescent="0.3">
      <c r="C5" s="1040">
        <v>45444</v>
      </c>
      <c r="D5" s="1041"/>
      <c r="E5" s="1040">
        <v>45291</v>
      </c>
      <c r="F5" s="1040">
        <v>45291</v>
      </c>
      <c r="G5" s="1041">
        <f t="shared" ref="G5:Q5" si="1">EOMONTH(F5,12)</f>
        <v>45657</v>
      </c>
      <c r="H5" s="1041">
        <f t="shared" si="1"/>
        <v>46022</v>
      </c>
      <c r="I5" s="1041">
        <f t="shared" si="1"/>
        <v>46387</v>
      </c>
      <c r="J5" s="1041">
        <f t="shared" si="1"/>
        <v>46752</v>
      </c>
      <c r="K5" s="1041">
        <f t="shared" si="1"/>
        <v>47118</v>
      </c>
      <c r="L5" s="1041">
        <f t="shared" si="1"/>
        <v>47483</v>
      </c>
      <c r="M5" s="1041">
        <f t="shared" si="1"/>
        <v>47848</v>
      </c>
      <c r="N5" s="1041">
        <f t="shared" si="1"/>
        <v>48213</v>
      </c>
      <c r="O5" s="1041">
        <f t="shared" si="1"/>
        <v>48579</v>
      </c>
      <c r="P5" s="1041">
        <f t="shared" si="1"/>
        <v>48944</v>
      </c>
      <c r="Q5" s="1041">
        <f t="shared" si="1"/>
        <v>49309</v>
      </c>
      <c r="R5" s="1041">
        <f t="shared" ref="R5" si="2">EOMONTH(Q5,12)</f>
        <v>49674</v>
      </c>
    </row>
    <row r="6" spans="1:18" ht="13" x14ac:dyDescent="0.3">
      <c r="C6" s="1041"/>
      <c r="D6" s="1041"/>
      <c r="E6" s="1041"/>
      <c r="F6" s="1041"/>
      <c r="G6" s="1041"/>
      <c r="H6" s="1041"/>
      <c r="I6" s="1041"/>
      <c r="J6" s="1041"/>
      <c r="K6" s="1041"/>
      <c r="L6" s="1041"/>
      <c r="M6" s="1041"/>
      <c r="N6" s="1041"/>
      <c r="O6" s="1041"/>
      <c r="P6" s="1041"/>
      <c r="Q6" s="1041"/>
      <c r="R6" s="1041"/>
    </row>
    <row r="7" spans="1:18" ht="13" x14ac:dyDescent="0.3">
      <c r="A7" s="1042" t="s">
        <v>1305</v>
      </c>
      <c r="C7" s="1041"/>
      <c r="D7" s="1041"/>
      <c r="E7" s="1041"/>
      <c r="F7" s="1041"/>
      <c r="G7" s="1041"/>
      <c r="H7" s="1041"/>
      <c r="I7" s="1041"/>
      <c r="J7" s="1041"/>
      <c r="K7" s="1041"/>
      <c r="L7" s="1041"/>
      <c r="M7" s="1041"/>
      <c r="N7" s="1041"/>
      <c r="O7" s="1041"/>
      <c r="P7" s="1041"/>
      <c r="Q7" s="1041"/>
      <c r="R7" s="1041"/>
    </row>
    <row r="8" spans="1:18" ht="13" x14ac:dyDescent="0.3">
      <c r="C8" s="1041"/>
      <c r="D8" s="1041"/>
      <c r="E8" s="1041"/>
      <c r="F8" s="1041"/>
      <c r="G8" s="1041"/>
      <c r="H8" s="1041"/>
      <c r="I8" s="1041"/>
      <c r="J8" s="1041"/>
      <c r="K8" s="1041"/>
      <c r="L8" s="1041"/>
      <c r="M8" s="1041"/>
      <c r="N8" s="1041"/>
      <c r="O8" s="1041"/>
      <c r="P8" s="1041"/>
      <c r="Q8" s="1041"/>
      <c r="R8" s="1041"/>
    </row>
    <row r="9" spans="1:18" ht="13" x14ac:dyDescent="0.3">
      <c r="A9" s="374" t="s">
        <v>1306</v>
      </c>
    </row>
    <row r="10" spans="1:18" s="565" customFormat="1" x14ac:dyDescent="0.25">
      <c r="A10" s="132" t="s">
        <v>1307</v>
      </c>
      <c r="C10" s="685">
        <f>'FA - Historical Financials'!U366</f>
        <v>558.01199999999994</v>
      </c>
      <c r="E10" s="685">
        <f t="shared" ref="E10:I10" si="3">+$C10</f>
        <v>558.01199999999994</v>
      </c>
      <c r="F10" s="685">
        <f t="shared" si="3"/>
        <v>558.01199999999994</v>
      </c>
      <c r="G10" s="685">
        <f t="shared" si="3"/>
        <v>558.01199999999994</v>
      </c>
      <c r="H10" s="685">
        <f t="shared" si="3"/>
        <v>558.01199999999994</v>
      </c>
      <c r="I10" s="685">
        <f t="shared" si="3"/>
        <v>558.01199999999994</v>
      </c>
      <c r="J10" s="685">
        <v>0</v>
      </c>
      <c r="K10" s="685">
        <v>0</v>
      </c>
      <c r="L10" s="685">
        <v>0</v>
      </c>
      <c r="M10" s="685">
        <v>0</v>
      </c>
      <c r="N10" s="685">
        <v>0</v>
      </c>
      <c r="O10" s="685">
        <v>0</v>
      </c>
      <c r="P10" s="685">
        <v>0</v>
      </c>
      <c r="Q10" s="685">
        <v>0</v>
      </c>
      <c r="R10" s="685">
        <v>0</v>
      </c>
    </row>
    <row r="11" spans="1:18" x14ac:dyDescent="0.25">
      <c r="A11" s="425" t="s">
        <v>1308</v>
      </c>
      <c r="C11" s="648">
        <f>C10</f>
        <v>558.01199999999994</v>
      </c>
      <c r="E11" s="648">
        <f t="shared" ref="E11:Q11" si="4">E10</f>
        <v>558.01199999999994</v>
      </c>
      <c r="F11" s="648">
        <f t="shared" si="4"/>
        <v>558.01199999999994</v>
      </c>
      <c r="G11" s="648">
        <f t="shared" si="4"/>
        <v>558.01199999999994</v>
      </c>
      <c r="H11" s="648">
        <f t="shared" si="4"/>
        <v>558.01199999999994</v>
      </c>
      <c r="I11" s="648">
        <f t="shared" si="4"/>
        <v>558.01199999999994</v>
      </c>
      <c r="J11" s="648">
        <f t="shared" si="4"/>
        <v>0</v>
      </c>
      <c r="K11" s="648">
        <f t="shared" si="4"/>
        <v>0</v>
      </c>
      <c r="L11" s="648">
        <f t="shared" si="4"/>
        <v>0</v>
      </c>
      <c r="M11" s="648">
        <f t="shared" si="4"/>
        <v>0</v>
      </c>
      <c r="N11" s="648">
        <f t="shared" si="4"/>
        <v>0</v>
      </c>
      <c r="O11" s="648">
        <f t="shared" si="4"/>
        <v>0</v>
      </c>
      <c r="P11" s="648">
        <f t="shared" si="4"/>
        <v>0</v>
      </c>
      <c r="Q11" s="648">
        <f t="shared" si="4"/>
        <v>0</v>
      </c>
      <c r="R11" s="648">
        <f t="shared" ref="R11" si="5">R10</f>
        <v>0</v>
      </c>
    </row>
    <row r="12" spans="1:18" s="413" customFormat="1" ht="16" x14ac:dyDescent="0.6">
      <c r="A12" s="649" t="str">
        <f>+"Refi of "&amp;A10</f>
        <v>Refi of First Lien Credit Facility  (2.75% + LIBOR) thru 2026</v>
      </c>
      <c r="C12" s="1045"/>
      <c r="E12" s="1046">
        <v>0</v>
      </c>
      <c r="F12" s="1046">
        <v>0</v>
      </c>
      <c r="G12" s="1046">
        <v>0</v>
      </c>
      <c r="H12" s="1046">
        <v>0</v>
      </c>
      <c r="I12" s="1046">
        <v>0</v>
      </c>
      <c r="J12" s="1046">
        <f>I10</f>
        <v>558.01199999999994</v>
      </c>
      <c r="K12" s="1046">
        <f>J12</f>
        <v>558.01199999999994</v>
      </c>
      <c r="L12" s="1046">
        <f t="shared" ref="L12:Q12" si="6">K12</f>
        <v>558.01199999999994</v>
      </c>
      <c r="M12" s="1046">
        <f t="shared" si="6"/>
        <v>558.01199999999994</v>
      </c>
      <c r="N12" s="1046">
        <f t="shared" si="6"/>
        <v>558.01199999999994</v>
      </c>
      <c r="O12" s="1046">
        <f t="shared" si="6"/>
        <v>558.01199999999994</v>
      </c>
      <c r="P12" s="1046">
        <f t="shared" si="6"/>
        <v>558.01199999999994</v>
      </c>
      <c r="Q12" s="1046">
        <f t="shared" si="6"/>
        <v>558.01199999999994</v>
      </c>
      <c r="R12" s="1046">
        <f t="shared" ref="R12" si="7">Q12</f>
        <v>558.01199999999994</v>
      </c>
    </row>
    <row r="13" spans="1:18" x14ac:dyDescent="0.25">
      <c r="A13" s="425" t="s">
        <v>1309</v>
      </c>
      <c r="C13" s="648"/>
      <c r="E13" s="648">
        <f t="shared" ref="E13:Q13" si="8">SUM(E12:E12)</f>
        <v>0</v>
      </c>
      <c r="F13" s="648">
        <f t="shared" si="8"/>
        <v>0</v>
      </c>
      <c r="G13" s="648">
        <f t="shared" si="8"/>
        <v>0</v>
      </c>
      <c r="H13" s="648">
        <f t="shared" si="8"/>
        <v>0</v>
      </c>
      <c r="I13" s="648">
        <f t="shared" si="8"/>
        <v>0</v>
      </c>
      <c r="J13" s="648">
        <f t="shared" si="8"/>
        <v>558.01199999999994</v>
      </c>
      <c r="K13" s="648">
        <f t="shared" si="8"/>
        <v>558.01199999999994</v>
      </c>
      <c r="L13" s="648">
        <f t="shared" si="8"/>
        <v>558.01199999999994</v>
      </c>
      <c r="M13" s="648">
        <f t="shared" si="8"/>
        <v>558.01199999999994</v>
      </c>
      <c r="N13" s="648">
        <f t="shared" si="8"/>
        <v>558.01199999999994</v>
      </c>
      <c r="O13" s="648">
        <f t="shared" si="8"/>
        <v>558.01199999999994</v>
      </c>
      <c r="P13" s="648">
        <f t="shared" si="8"/>
        <v>558.01199999999994</v>
      </c>
      <c r="Q13" s="648">
        <f t="shared" si="8"/>
        <v>558.01199999999994</v>
      </c>
      <c r="R13" s="648">
        <f t="shared" ref="R13" si="9">SUM(R12:R12)</f>
        <v>558.01199999999994</v>
      </c>
    </row>
    <row r="14" spans="1:18" ht="14" x14ac:dyDescent="0.4">
      <c r="A14" s="649" t="s">
        <v>1310</v>
      </c>
      <c r="C14" s="1046">
        <v>0</v>
      </c>
      <c r="E14" s="663">
        <v>0</v>
      </c>
      <c r="F14" s="663">
        <v>0</v>
      </c>
      <c r="G14" s="1047">
        <f t="shared" ref="G14:Q14" si="10">+G15-G11-G13</f>
        <v>0.44400000000007367</v>
      </c>
      <c r="H14" s="1047">
        <f t="shared" si="10"/>
        <v>19.752490451687777</v>
      </c>
      <c r="I14" s="1047">
        <f t="shared" si="10"/>
        <v>71.823276510865867</v>
      </c>
      <c r="J14" s="1047">
        <f t="shared" si="10"/>
        <v>128.05972545477823</v>
      </c>
      <c r="K14" s="1047">
        <f t="shared" si="10"/>
        <v>188.79509031420366</v>
      </c>
      <c r="L14" s="1047">
        <f t="shared" si="10"/>
        <v>254.38928436238291</v>
      </c>
      <c r="M14" s="1047">
        <f t="shared" si="10"/>
        <v>316.37579773791242</v>
      </c>
      <c r="N14" s="1047">
        <f t="shared" si="10"/>
        <v>373.2262857194695</v>
      </c>
      <c r="O14" s="1047">
        <f t="shared" si="10"/>
        <v>423.44421676984496</v>
      </c>
      <c r="P14" s="1047">
        <f t="shared" si="10"/>
        <v>476.17304437273901</v>
      </c>
      <c r="Q14" s="1047">
        <f t="shared" si="10"/>
        <v>531.5383133557782</v>
      </c>
      <c r="R14" s="1047">
        <f t="shared" ref="R14" si="11">+R15-R11-R13</f>
        <v>589.671845787969</v>
      </c>
    </row>
    <row r="15" spans="1:18" ht="13" x14ac:dyDescent="0.3">
      <c r="A15" s="1048" t="s">
        <v>1311</v>
      </c>
      <c r="B15" s="1049"/>
      <c r="C15" s="1050">
        <f>+C14+C10</f>
        <v>558.01199999999994</v>
      </c>
      <c r="D15" s="1049"/>
      <c r="E15" s="1050">
        <f t="shared" ref="E15:Q15" si="12">+E18+E17</f>
        <v>558.01199999999994</v>
      </c>
      <c r="F15" s="1050">
        <f t="shared" si="12"/>
        <v>558.45600000000002</v>
      </c>
      <c r="G15" s="1050">
        <f t="shared" si="12"/>
        <v>558.45600000000002</v>
      </c>
      <c r="H15" s="1050">
        <f t="shared" si="12"/>
        <v>577.76449045168772</v>
      </c>
      <c r="I15" s="1050">
        <f t="shared" si="12"/>
        <v>629.83527651086581</v>
      </c>
      <c r="J15" s="1050">
        <f t="shared" si="12"/>
        <v>686.07172545477817</v>
      </c>
      <c r="K15" s="1050">
        <f t="shared" si="12"/>
        <v>746.80709031420361</v>
      </c>
      <c r="L15" s="1050">
        <f t="shared" si="12"/>
        <v>812.40128436238285</v>
      </c>
      <c r="M15" s="1050">
        <f t="shared" si="12"/>
        <v>874.38779773791236</v>
      </c>
      <c r="N15" s="1050">
        <f t="shared" si="12"/>
        <v>931.23828571946945</v>
      </c>
      <c r="O15" s="1050">
        <f t="shared" si="12"/>
        <v>981.4562167698449</v>
      </c>
      <c r="P15" s="1050">
        <f t="shared" si="12"/>
        <v>1034.185044372739</v>
      </c>
      <c r="Q15" s="1050">
        <f t="shared" si="12"/>
        <v>1089.5503133557781</v>
      </c>
      <c r="R15" s="1050">
        <f t="shared" ref="R15" si="13">+R18+R17</f>
        <v>1147.6838457879689</v>
      </c>
    </row>
    <row r="16" spans="1:18" ht="13" x14ac:dyDescent="0.3">
      <c r="A16" s="426"/>
      <c r="C16" s="651"/>
      <c r="E16" s="651"/>
      <c r="F16" s="651"/>
      <c r="G16" s="651"/>
      <c r="H16" s="651"/>
      <c r="I16" s="651"/>
      <c r="J16" s="651"/>
      <c r="K16" s="651"/>
      <c r="L16" s="651"/>
      <c r="M16" s="651"/>
      <c r="N16" s="651"/>
      <c r="O16" s="651"/>
      <c r="P16" s="651"/>
      <c r="Q16" s="651"/>
      <c r="R16" s="651"/>
    </row>
    <row r="17" spans="1:18" ht="14" x14ac:dyDescent="0.4">
      <c r="A17" s="132" t="s">
        <v>208</v>
      </c>
      <c r="C17" s="1051">
        <f>'FA - Detailed Disclosure'!U225+'FA - Detailed Disclosure'!U227</f>
        <v>167.041</v>
      </c>
      <c r="E17" s="650">
        <f>+C17</f>
        <v>167.041</v>
      </c>
      <c r="F17" s="650">
        <f>'FA Base'!H59*-1</f>
        <v>213.774</v>
      </c>
      <c r="G17" s="650">
        <f>'FA Base'!I59*-1</f>
        <v>341.48851414405033</v>
      </c>
      <c r="H17" s="650">
        <f>'FA Base'!J59*-1</f>
        <v>100</v>
      </c>
      <c r="I17" s="650">
        <f>'FA Base'!K59*-1</f>
        <v>100</v>
      </c>
      <c r="J17" s="650">
        <f>'FA Base'!L59*-1</f>
        <v>100</v>
      </c>
      <c r="K17" s="650">
        <f>'FA Base'!M59*-1</f>
        <v>100</v>
      </c>
      <c r="L17" s="650">
        <f>'FA Base'!N59*-1</f>
        <v>100</v>
      </c>
      <c r="M17" s="650">
        <f>'FA Base'!O59*-1</f>
        <v>100</v>
      </c>
      <c r="N17" s="650">
        <f>'FA Base'!P59*-1</f>
        <v>100</v>
      </c>
      <c r="O17" s="650">
        <f>'FA Base'!Q59*-1</f>
        <v>100</v>
      </c>
      <c r="P17" s="650">
        <f>'FA Base'!R59*-1</f>
        <v>100</v>
      </c>
      <c r="Q17" s="650">
        <f>'FA Base'!S59*-1</f>
        <v>100</v>
      </c>
      <c r="R17" s="650">
        <f>'FA Base'!T59*-1</f>
        <v>100</v>
      </c>
    </row>
    <row r="18" spans="1:18" ht="13" x14ac:dyDescent="0.3">
      <c r="A18" s="1048" t="s">
        <v>1312</v>
      </c>
      <c r="B18" s="1049"/>
      <c r="C18" s="1052">
        <f>+C15-C17</f>
        <v>390.97099999999995</v>
      </c>
      <c r="D18" s="1049"/>
      <c r="E18" s="1050">
        <f>'FA - Historical Financials'!U128</f>
        <v>390.97099999999995</v>
      </c>
      <c r="F18" s="1050">
        <f>'FA Base'!H60</f>
        <v>344.68200000000002</v>
      </c>
      <c r="G18" s="1050">
        <f>'FA Base'!I60</f>
        <v>216.96748585594969</v>
      </c>
      <c r="H18" s="1050">
        <f>'FA Base'!J60</f>
        <v>477.76449045168772</v>
      </c>
      <c r="I18" s="1050">
        <f>'FA Base'!K60</f>
        <v>529.83527651086581</v>
      </c>
      <c r="J18" s="1050">
        <f>'FA Base'!L60</f>
        <v>586.07172545477817</v>
      </c>
      <c r="K18" s="1050">
        <f>'FA Base'!M60</f>
        <v>646.80709031420361</v>
      </c>
      <c r="L18" s="1050">
        <f>'FA Base'!N60</f>
        <v>712.40128436238285</v>
      </c>
      <c r="M18" s="1050">
        <f>'FA Base'!O60</f>
        <v>774.38779773791236</v>
      </c>
      <c r="N18" s="1050">
        <f>'FA Base'!P60</f>
        <v>831.23828571946945</v>
      </c>
      <c r="O18" s="1050">
        <f>'FA Base'!Q60</f>
        <v>881.4562167698449</v>
      </c>
      <c r="P18" s="1050">
        <f>'FA Base'!R60</f>
        <v>934.18504437273907</v>
      </c>
      <c r="Q18" s="1050">
        <f>'FA Base'!S60</f>
        <v>989.55031335577803</v>
      </c>
      <c r="R18" s="1050">
        <f>'FA Base'!T60</f>
        <v>1047.6838457879689</v>
      </c>
    </row>
    <row r="20" spans="1:18" x14ac:dyDescent="0.25">
      <c r="A20" s="132" t="s">
        <v>1313</v>
      </c>
      <c r="C20" s="662">
        <v>-300</v>
      </c>
      <c r="E20" s="648">
        <f>+$C20</f>
        <v>-300</v>
      </c>
      <c r="F20" s="648">
        <f>+$C20</f>
        <v>-300</v>
      </c>
      <c r="G20" s="648">
        <f>+F20/12*2</f>
        <v>-50</v>
      </c>
      <c r="H20" s="648">
        <v>0</v>
      </c>
      <c r="I20" s="648">
        <v>0</v>
      </c>
      <c r="J20" s="648">
        <v>0</v>
      </c>
      <c r="K20" s="1043">
        <v>0</v>
      </c>
      <c r="L20" s="1043">
        <v>0</v>
      </c>
      <c r="M20" s="1043">
        <v>0</v>
      </c>
      <c r="N20" s="1043">
        <v>0</v>
      </c>
      <c r="O20" s="1043">
        <v>0</v>
      </c>
      <c r="P20" s="1043">
        <v>0</v>
      </c>
      <c r="Q20" s="1043">
        <v>0</v>
      </c>
      <c r="R20" s="1043">
        <v>0</v>
      </c>
    </row>
    <row r="21" spans="1:18" x14ac:dyDescent="0.25">
      <c r="A21" s="132" t="s">
        <v>1314</v>
      </c>
      <c r="C21" s="662">
        <v>-150</v>
      </c>
      <c r="E21" s="648"/>
      <c r="F21" s="648"/>
      <c r="G21" s="648">
        <f t="shared" ref="G21:I21" si="14">+$C21</f>
        <v>-150</v>
      </c>
      <c r="H21" s="648">
        <f t="shared" si="14"/>
        <v>-150</v>
      </c>
      <c r="I21" s="648">
        <f t="shared" si="14"/>
        <v>-150</v>
      </c>
      <c r="J21" s="648"/>
      <c r="K21" s="1043"/>
      <c r="L21" s="1043"/>
      <c r="M21" s="1043"/>
      <c r="N21" s="1043"/>
      <c r="O21" s="1043"/>
      <c r="P21" s="1043"/>
      <c r="Q21" s="1043"/>
      <c r="R21" s="1043"/>
    </row>
    <row r="22" spans="1:18" x14ac:dyDescent="0.25">
      <c r="A22" s="132" t="s">
        <v>1315</v>
      </c>
      <c r="C22" s="662">
        <v>-150</v>
      </c>
      <c r="E22" s="648"/>
      <c r="F22" s="648"/>
      <c r="G22" s="648">
        <f>+$C22</f>
        <v>-150</v>
      </c>
      <c r="H22" s="648">
        <f>+$C22</f>
        <v>-150</v>
      </c>
      <c r="I22" s="648">
        <f>+$C22</f>
        <v>-150</v>
      </c>
      <c r="J22" s="648"/>
      <c r="K22" s="1043"/>
      <c r="L22" s="1043"/>
      <c r="M22" s="1043"/>
      <c r="N22" s="1043"/>
      <c r="O22" s="1043"/>
      <c r="P22" s="1043"/>
      <c r="Q22" s="1043"/>
      <c r="R22" s="1043"/>
    </row>
    <row r="23" spans="1:18" s="565" customFormat="1" x14ac:dyDescent="0.25">
      <c r="A23" s="132" t="s">
        <v>1316</v>
      </c>
      <c r="C23" s="1490">
        <v>-100</v>
      </c>
      <c r="E23" s="685">
        <f>+$C23</f>
        <v>-100</v>
      </c>
      <c r="F23" s="685">
        <f>+$C23</f>
        <v>-100</v>
      </c>
      <c r="G23" s="685">
        <f>+$C23</f>
        <v>-100</v>
      </c>
      <c r="H23" s="685">
        <f>+$C23</f>
        <v>-100</v>
      </c>
      <c r="I23" s="685">
        <f>+H23/12*2</f>
        <v>-16.666666666666668</v>
      </c>
      <c r="J23" s="685">
        <v>0</v>
      </c>
      <c r="K23" s="1044">
        <v>0</v>
      </c>
      <c r="L23" s="1044">
        <v>0</v>
      </c>
      <c r="M23" s="1044">
        <v>0</v>
      </c>
      <c r="N23" s="1044">
        <v>0</v>
      </c>
      <c r="O23" s="1044">
        <v>0</v>
      </c>
      <c r="P23" s="1044">
        <v>0</v>
      </c>
      <c r="Q23" s="1044">
        <v>0</v>
      </c>
      <c r="R23" s="1044">
        <v>0</v>
      </c>
    </row>
    <row r="24" spans="1:18" x14ac:dyDescent="0.25">
      <c r="A24" s="425" t="s">
        <v>1317</v>
      </c>
      <c r="C24" s="648">
        <f>SUM(C20:C23)</f>
        <v>-700</v>
      </c>
      <c r="E24" s="648">
        <f t="shared" ref="E24:Q24" si="15">SUM(E20:E23)</f>
        <v>-400</v>
      </c>
      <c r="F24" s="648">
        <f t="shared" si="15"/>
        <v>-400</v>
      </c>
      <c r="G24" s="648">
        <f t="shared" si="15"/>
        <v>-450</v>
      </c>
      <c r="H24" s="648">
        <f t="shared" si="15"/>
        <v>-400</v>
      </c>
      <c r="I24" s="648">
        <f t="shared" si="15"/>
        <v>-316.66666666666669</v>
      </c>
      <c r="J24" s="648">
        <f t="shared" si="15"/>
        <v>0</v>
      </c>
      <c r="K24" s="648">
        <f t="shared" si="15"/>
        <v>0</v>
      </c>
      <c r="L24" s="648">
        <f t="shared" si="15"/>
        <v>0</v>
      </c>
      <c r="M24" s="648">
        <f t="shared" si="15"/>
        <v>0</v>
      </c>
      <c r="N24" s="648">
        <f t="shared" si="15"/>
        <v>0</v>
      </c>
      <c r="O24" s="648">
        <f t="shared" si="15"/>
        <v>0</v>
      </c>
      <c r="P24" s="648">
        <f t="shared" si="15"/>
        <v>0</v>
      </c>
      <c r="Q24" s="648">
        <f t="shared" si="15"/>
        <v>0</v>
      </c>
      <c r="R24" s="648">
        <f t="shared" ref="R24" si="16">SUM(R20:R23)</f>
        <v>0</v>
      </c>
    </row>
    <row r="26" spans="1:18" ht="13" x14ac:dyDescent="0.3">
      <c r="A26" s="1042" t="s">
        <v>1318</v>
      </c>
    </row>
    <row r="28" spans="1:18" s="163" customFormat="1" ht="13" x14ac:dyDescent="0.3">
      <c r="A28" s="163" t="s">
        <v>1319</v>
      </c>
      <c r="C28" s="1053">
        <v>4.8500000000000001E-2</v>
      </c>
      <c r="E28" s="1054">
        <f>+C28</f>
        <v>4.8500000000000001E-2</v>
      </c>
      <c r="F28" s="1054">
        <f>+E28</f>
        <v>4.8500000000000001E-2</v>
      </c>
      <c r="G28" s="1054">
        <f>+F28</f>
        <v>4.8500000000000001E-2</v>
      </c>
      <c r="H28" s="1054">
        <f t="shared" ref="H28:I28" si="17">+G28+0.25%</f>
        <v>5.1000000000000004E-2</v>
      </c>
      <c r="I28" s="1054">
        <f t="shared" si="17"/>
        <v>5.3500000000000006E-2</v>
      </c>
      <c r="J28" s="1054">
        <f>+I28</f>
        <v>5.3500000000000006E-2</v>
      </c>
      <c r="K28" s="1054">
        <f t="shared" ref="K28:Q28" si="18">+J28</f>
        <v>5.3500000000000006E-2</v>
      </c>
      <c r="L28" s="1054">
        <f t="shared" si="18"/>
        <v>5.3500000000000006E-2</v>
      </c>
      <c r="M28" s="1054">
        <f t="shared" si="18"/>
        <v>5.3500000000000006E-2</v>
      </c>
      <c r="N28" s="1054">
        <f t="shared" si="18"/>
        <v>5.3500000000000006E-2</v>
      </c>
      <c r="O28" s="1054">
        <f t="shared" si="18"/>
        <v>5.3500000000000006E-2</v>
      </c>
      <c r="P28" s="1054">
        <f t="shared" si="18"/>
        <v>5.3500000000000006E-2</v>
      </c>
      <c r="Q28" s="1054">
        <f t="shared" si="18"/>
        <v>5.3500000000000006E-2</v>
      </c>
      <c r="R28" s="1054">
        <f t="shared" ref="R28" si="19">+Q28</f>
        <v>5.3500000000000006E-2</v>
      </c>
    </row>
    <row r="30" spans="1:18" ht="13" x14ac:dyDescent="0.3">
      <c r="A30" s="374" t="s">
        <v>1320</v>
      </c>
    </row>
    <row r="31" spans="1:18" s="413" customFormat="1" ht="14" x14ac:dyDescent="0.4">
      <c r="A31" s="132" t="str">
        <f>+A10</f>
        <v>First Lien Credit Facility  (2.75% + LIBOR) thru 2026</v>
      </c>
      <c r="C31" s="1055">
        <f>2.75%</f>
        <v>2.75E-2</v>
      </c>
      <c r="E31" s="1056">
        <f t="shared" ref="E31:R31" si="20">+$C31</f>
        <v>2.75E-2</v>
      </c>
      <c r="F31" s="1056">
        <f t="shared" si="20"/>
        <v>2.75E-2</v>
      </c>
      <c r="G31" s="1056">
        <f t="shared" si="20"/>
        <v>2.75E-2</v>
      </c>
      <c r="H31" s="1056">
        <f t="shared" si="20"/>
        <v>2.75E-2</v>
      </c>
      <c r="I31" s="1056">
        <f t="shared" si="20"/>
        <v>2.75E-2</v>
      </c>
      <c r="J31" s="1056">
        <f t="shared" si="20"/>
        <v>2.75E-2</v>
      </c>
      <c r="K31" s="1056">
        <f t="shared" si="20"/>
        <v>2.75E-2</v>
      </c>
      <c r="L31" s="1056">
        <f t="shared" si="20"/>
        <v>2.75E-2</v>
      </c>
      <c r="M31" s="1056">
        <f t="shared" si="20"/>
        <v>2.75E-2</v>
      </c>
      <c r="N31" s="1056">
        <f t="shared" si="20"/>
        <v>2.75E-2</v>
      </c>
      <c r="O31" s="1056">
        <f t="shared" si="20"/>
        <v>2.75E-2</v>
      </c>
      <c r="P31" s="1056">
        <f t="shared" si="20"/>
        <v>2.75E-2</v>
      </c>
      <c r="Q31" s="1056">
        <f t="shared" si="20"/>
        <v>2.75E-2</v>
      </c>
      <c r="R31" s="1056">
        <f t="shared" si="20"/>
        <v>2.75E-2</v>
      </c>
    </row>
    <row r="32" spans="1:18" x14ac:dyDescent="0.25">
      <c r="A32" s="425" t="str">
        <f>+A11</f>
        <v xml:space="preserve">Total Existing Debt </v>
      </c>
      <c r="C32" s="1063">
        <f>C31</f>
        <v>2.75E-2</v>
      </c>
      <c r="E32" s="1057">
        <f t="shared" ref="E32:Q32" si="21">+E45-E$28</f>
        <v>2.7499999999999997E-2</v>
      </c>
      <c r="F32" s="1057">
        <f t="shared" si="21"/>
        <v>2.7499999999999997E-2</v>
      </c>
      <c r="G32" s="1057">
        <f t="shared" si="21"/>
        <v>2.7499999999999997E-2</v>
      </c>
      <c r="H32" s="1057">
        <f t="shared" si="21"/>
        <v>2.7499999999999997E-2</v>
      </c>
      <c r="I32" s="1057">
        <f t="shared" si="21"/>
        <v>2.7499999999999997E-2</v>
      </c>
      <c r="J32" s="1057">
        <f t="shared" si="21"/>
        <v>2.7499999999999997E-2</v>
      </c>
      <c r="K32" s="1057">
        <f t="shared" si="21"/>
        <v>2.7499999999999997E-2</v>
      </c>
      <c r="L32" s="1057">
        <f t="shared" si="21"/>
        <v>2.7499999999999997E-2</v>
      </c>
      <c r="M32" s="1057">
        <f t="shared" si="21"/>
        <v>2.7499999999999997E-2</v>
      </c>
      <c r="N32" s="1057">
        <f t="shared" si="21"/>
        <v>2.7499999999999997E-2</v>
      </c>
      <c r="O32" s="1057">
        <f t="shared" si="21"/>
        <v>2.7499999999999997E-2</v>
      </c>
      <c r="P32" s="1057">
        <f t="shared" si="21"/>
        <v>2.7499999999999997E-2</v>
      </c>
      <c r="Q32" s="1057">
        <f t="shared" si="21"/>
        <v>2.7499999999999997E-2</v>
      </c>
      <c r="R32" s="1057">
        <f t="shared" ref="R32" si="22">+R45-R$28</f>
        <v>2.7499999999999997E-2</v>
      </c>
    </row>
    <row r="33" spans="1:18" ht="14" x14ac:dyDescent="0.4">
      <c r="A33" s="132" t="s">
        <v>1321</v>
      </c>
      <c r="C33" s="1064">
        <f>+G33</f>
        <v>0.01</v>
      </c>
      <c r="E33" s="1056">
        <f t="shared" ref="E33:R36" si="23">+$C33</f>
        <v>0.01</v>
      </c>
      <c r="F33" s="1056">
        <f t="shared" si="23"/>
        <v>0.01</v>
      </c>
      <c r="G33" s="1488">
        <v>0.01</v>
      </c>
      <c r="H33" s="1488">
        <f>+G33</f>
        <v>0.01</v>
      </c>
      <c r="I33" s="1488">
        <f>+H33</f>
        <v>0.01</v>
      </c>
      <c r="J33" s="1488">
        <f>+I33</f>
        <v>0.01</v>
      </c>
      <c r="K33" s="1488">
        <f>+J33</f>
        <v>0.01</v>
      </c>
      <c r="L33" s="1488">
        <f t="shared" ref="L33:R33" si="24">+K33</f>
        <v>0.01</v>
      </c>
      <c r="M33" s="1488">
        <f t="shared" si="24"/>
        <v>0.01</v>
      </c>
      <c r="N33" s="1488">
        <f t="shared" si="24"/>
        <v>0.01</v>
      </c>
      <c r="O33" s="1488">
        <f t="shared" si="24"/>
        <v>0.01</v>
      </c>
      <c r="P33" s="1488">
        <f t="shared" si="24"/>
        <v>0.01</v>
      </c>
      <c r="Q33" s="1488">
        <f t="shared" si="24"/>
        <v>0.01</v>
      </c>
      <c r="R33" s="1488">
        <f t="shared" si="24"/>
        <v>0.01</v>
      </c>
    </row>
    <row r="34" spans="1:18" x14ac:dyDescent="0.25">
      <c r="A34" s="425" t="s">
        <v>1322</v>
      </c>
      <c r="C34" s="691"/>
      <c r="E34" s="1057">
        <f t="shared" ref="E34:Q34" si="25">+E50-E28</f>
        <v>2.7499999999999997E-2</v>
      </c>
      <c r="F34" s="1057">
        <f t="shared" si="25"/>
        <v>2.7439576260260418E-2</v>
      </c>
      <c r="G34" s="1057">
        <f t="shared" si="25"/>
        <v>2.7470583179337302E-2</v>
      </c>
      <c r="H34" s="1057">
        <f t="shared" si="25"/>
        <v>2.6901713693698467E-2</v>
      </c>
      <c r="I34" s="1057">
        <f t="shared" si="25"/>
        <v>2.5504387201201059E-2</v>
      </c>
      <c r="J34" s="1057">
        <f t="shared" si="25"/>
        <v>9.999999999999995E-3</v>
      </c>
      <c r="K34" s="1057">
        <f t="shared" si="25"/>
        <v>9.999999999999995E-3</v>
      </c>
      <c r="L34" s="1057">
        <f t="shared" si="25"/>
        <v>9.999999999999995E-3</v>
      </c>
      <c r="M34" s="1057">
        <f t="shared" si="25"/>
        <v>9.999999999999995E-3</v>
      </c>
      <c r="N34" s="1057">
        <f t="shared" si="25"/>
        <v>9.999999999999995E-3</v>
      </c>
      <c r="O34" s="1057">
        <f t="shared" si="25"/>
        <v>9.999999999999995E-3</v>
      </c>
      <c r="P34" s="1057">
        <f t="shared" si="25"/>
        <v>9.999999999999995E-3</v>
      </c>
      <c r="Q34" s="1057">
        <f t="shared" si="25"/>
        <v>9.999999999999995E-3</v>
      </c>
      <c r="R34" s="1057">
        <f t="shared" ref="R34" si="26">+R50-R28</f>
        <v>9.999999999999995E-3</v>
      </c>
    </row>
    <row r="35" spans="1:18" x14ac:dyDescent="0.25">
      <c r="A35" s="425"/>
      <c r="C35" s="691"/>
      <c r="E35" s="1057"/>
      <c r="F35" s="1057"/>
      <c r="G35" s="1057"/>
      <c r="H35" s="1057"/>
      <c r="I35" s="1057"/>
      <c r="J35" s="1057"/>
      <c r="K35" s="1057"/>
      <c r="L35" s="1057"/>
      <c r="M35" s="1057"/>
      <c r="N35" s="1057"/>
      <c r="O35" s="1057"/>
      <c r="P35" s="1057"/>
      <c r="Q35" s="1057"/>
      <c r="R35" s="1057"/>
    </row>
    <row r="36" spans="1:18" x14ac:dyDescent="0.25">
      <c r="A36" s="132" t="s">
        <v>1323</v>
      </c>
      <c r="C36" s="1064">
        <f>'FA - Historical Financials'!X326-Rates!C28</f>
        <v>-1.4887878628730478E-2</v>
      </c>
      <c r="E36" s="1057">
        <f t="shared" si="23"/>
        <v>-1.4887878628730478E-2</v>
      </c>
      <c r="F36" s="1057">
        <f t="shared" si="23"/>
        <v>-1.4887878628730478E-2</v>
      </c>
      <c r="G36" s="1057">
        <f t="shared" si="23"/>
        <v>-1.4887878628730478E-2</v>
      </c>
      <c r="H36" s="1057">
        <f t="shared" si="23"/>
        <v>-1.4887878628730478E-2</v>
      </c>
      <c r="I36" s="1057">
        <f t="shared" si="23"/>
        <v>-1.4887878628730478E-2</v>
      </c>
      <c r="J36" s="1057">
        <f t="shared" si="23"/>
        <v>-1.4887878628730478E-2</v>
      </c>
      <c r="K36" s="1057">
        <f t="shared" si="23"/>
        <v>-1.4887878628730478E-2</v>
      </c>
      <c r="L36" s="1057">
        <f t="shared" si="23"/>
        <v>-1.4887878628730478E-2</v>
      </c>
      <c r="M36" s="1057">
        <f t="shared" si="23"/>
        <v>-1.4887878628730478E-2</v>
      </c>
      <c r="N36" s="1057">
        <f t="shared" si="23"/>
        <v>-1.4887878628730478E-2</v>
      </c>
      <c r="O36" s="1057">
        <f t="shared" si="23"/>
        <v>-1.4887878628730478E-2</v>
      </c>
      <c r="P36" s="1057">
        <f t="shared" si="23"/>
        <v>-1.4887878628730478E-2</v>
      </c>
      <c r="Q36" s="1057">
        <f t="shared" si="23"/>
        <v>-1.4887878628730478E-2</v>
      </c>
      <c r="R36" s="1057">
        <f t="shared" si="23"/>
        <v>-1.4887878628730478E-2</v>
      </c>
    </row>
    <row r="37" spans="1:18" x14ac:dyDescent="0.25">
      <c r="C37" s="1063"/>
      <c r="E37" s="1057"/>
      <c r="F37" s="1057"/>
      <c r="G37" s="1057"/>
      <c r="H37" s="1057"/>
      <c r="I37" s="1057"/>
      <c r="J37" s="1057"/>
      <c r="K37" s="1057"/>
      <c r="L37" s="1057"/>
      <c r="M37" s="1057"/>
      <c r="N37" s="1057"/>
      <c r="O37" s="1057"/>
      <c r="P37" s="1057"/>
      <c r="Q37" s="1057"/>
      <c r="R37" s="1057"/>
    </row>
    <row r="38" spans="1:18" x14ac:dyDescent="0.25">
      <c r="A38" s="132" t="str">
        <f>+A20</f>
        <v>Interest Rate Collar (0.48% - 1.47%) thru Feb 2024</v>
      </c>
      <c r="C38" s="1063">
        <f>1.47%-C28</f>
        <v>-3.3800000000000004E-2</v>
      </c>
      <c r="E38" s="1057">
        <f t="shared" ref="E38:Q38" si="27">1.47%-E28</f>
        <v>-3.3800000000000004E-2</v>
      </c>
      <c r="F38" s="1057">
        <f t="shared" si="27"/>
        <v>-3.3800000000000004E-2</v>
      </c>
      <c r="G38" s="1057">
        <f t="shared" si="27"/>
        <v>-3.3800000000000004E-2</v>
      </c>
      <c r="H38" s="1057">
        <f t="shared" si="27"/>
        <v>-3.6300000000000006E-2</v>
      </c>
      <c r="I38" s="1057">
        <f t="shared" si="27"/>
        <v>-3.8800000000000008E-2</v>
      </c>
      <c r="J38" s="1057">
        <f t="shared" si="27"/>
        <v>-3.8800000000000008E-2</v>
      </c>
      <c r="K38" s="1057">
        <f t="shared" si="27"/>
        <v>-3.8800000000000008E-2</v>
      </c>
      <c r="L38" s="1057">
        <f t="shared" si="27"/>
        <v>-3.8800000000000008E-2</v>
      </c>
      <c r="M38" s="1057">
        <f t="shared" si="27"/>
        <v>-3.8800000000000008E-2</v>
      </c>
      <c r="N38" s="1057">
        <f t="shared" si="27"/>
        <v>-3.8800000000000008E-2</v>
      </c>
      <c r="O38" s="1057">
        <f t="shared" si="27"/>
        <v>-3.8800000000000008E-2</v>
      </c>
      <c r="P38" s="1057">
        <f t="shared" si="27"/>
        <v>-3.8800000000000008E-2</v>
      </c>
      <c r="Q38" s="1057">
        <f t="shared" si="27"/>
        <v>-3.8800000000000008E-2</v>
      </c>
      <c r="R38" s="1057">
        <f t="shared" ref="R38" si="28">1.47%-R28</f>
        <v>-3.8800000000000008E-2</v>
      </c>
    </row>
    <row r="39" spans="1:18" x14ac:dyDescent="0.25">
      <c r="A39" s="132" t="str">
        <f t="shared" ref="A39:A40" si="29">+A21</f>
        <v>Interest Rate Swap (3.86%) thru Dec 2026</v>
      </c>
      <c r="C39" s="1063">
        <f>3.86%-C28</f>
        <v>-9.900000000000006E-3</v>
      </c>
      <c r="E39" s="1057"/>
      <c r="F39" s="1057"/>
      <c r="G39" s="1063">
        <f>3.86%-G28</f>
        <v>-9.900000000000006E-3</v>
      </c>
      <c r="H39" s="1063">
        <f t="shared" ref="H39:R39" si="30">3.86%-H28</f>
        <v>-1.2400000000000008E-2</v>
      </c>
      <c r="I39" s="1063">
        <f t="shared" si="30"/>
        <v>-1.490000000000001E-2</v>
      </c>
      <c r="J39" s="1063">
        <f t="shared" si="30"/>
        <v>-1.490000000000001E-2</v>
      </c>
      <c r="K39" s="1063">
        <f t="shared" si="30"/>
        <v>-1.490000000000001E-2</v>
      </c>
      <c r="L39" s="1063">
        <f t="shared" si="30"/>
        <v>-1.490000000000001E-2</v>
      </c>
      <c r="M39" s="1063">
        <f t="shared" si="30"/>
        <v>-1.490000000000001E-2</v>
      </c>
      <c r="N39" s="1063">
        <f t="shared" si="30"/>
        <v>-1.490000000000001E-2</v>
      </c>
      <c r="O39" s="1063">
        <f t="shared" si="30"/>
        <v>-1.490000000000001E-2</v>
      </c>
      <c r="P39" s="1063">
        <f t="shared" si="30"/>
        <v>-1.490000000000001E-2</v>
      </c>
      <c r="Q39" s="1063">
        <f t="shared" si="30"/>
        <v>-1.490000000000001E-2</v>
      </c>
      <c r="R39" s="1063">
        <f t="shared" si="30"/>
        <v>-1.490000000000001E-2</v>
      </c>
    </row>
    <row r="40" spans="1:18" x14ac:dyDescent="0.25">
      <c r="A40" s="132" t="str">
        <f t="shared" si="29"/>
        <v>Interest Rate Swap (3.76%) thru Dec 2026</v>
      </c>
      <c r="C40" s="1063">
        <f>3.76%-C28</f>
        <v>-1.0900000000000007E-2</v>
      </c>
      <c r="E40" s="1057"/>
      <c r="F40" s="1057"/>
      <c r="G40" s="1063">
        <f>3.76%-G28</f>
        <v>-1.0900000000000007E-2</v>
      </c>
      <c r="H40" s="1063">
        <f t="shared" ref="H40:R40" si="31">3.76%-H28</f>
        <v>-1.3400000000000009E-2</v>
      </c>
      <c r="I40" s="1063">
        <f t="shared" si="31"/>
        <v>-1.5900000000000011E-2</v>
      </c>
      <c r="J40" s="1063">
        <f t="shared" si="31"/>
        <v>-1.5900000000000011E-2</v>
      </c>
      <c r="K40" s="1063">
        <f t="shared" si="31"/>
        <v>-1.5900000000000011E-2</v>
      </c>
      <c r="L40" s="1063">
        <f t="shared" si="31"/>
        <v>-1.5900000000000011E-2</v>
      </c>
      <c r="M40" s="1063">
        <f t="shared" si="31"/>
        <v>-1.5900000000000011E-2</v>
      </c>
      <c r="N40" s="1063">
        <f t="shared" si="31"/>
        <v>-1.5900000000000011E-2</v>
      </c>
      <c r="O40" s="1063">
        <f t="shared" si="31"/>
        <v>-1.5900000000000011E-2</v>
      </c>
      <c r="P40" s="1063">
        <f t="shared" si="31"/>
        <v>-1.5900000000000011E-2</v>
      </c>
      <c r="Q40" s="1063">
        <f t="shared" si="31"/>
        <v>-1.5900000000000011E-2</v>
      </c>
      <c r="R40" s="1063">
        <f t="shared" si="31"/>
        <v>-1.5900000000000011E-2</v>
      </c>
    </row>
    <row r="41" spans="1:18" s="413" customFormat="1" ht="14" x14ac:dyDescent="0.4">
      <c r="A41" s="132" t="str">
        <f>+A23</f>
        <v>Interest Rate Swap (4.32%) thru Feb 2026</v>
      </c>
      <c r="C41" s="1055">
        <f>4.32%-C28</f>
        <v>-5.2999999999999992E-3</v>
      </c>
      <c r="E41" s="1056">
        <f t="shared" ref="E41:Q41" si="32">4.32%-E28</f>
        <v>-5.2999999999999992E-3</v>
      </c>
      <c r="F41" s="1056">
        <f t="shared" si="32"/>
        <v>-5.2999999999999992E-3</v>
      </c>
      <c r="G41" s="1056">
        <f t="shared" si="32"/>
        <v>-5.2999999999999992E-3</v>
      </c>
      <c r="H41" s="1056">
        <f t="shared" si="32"/>
        <v>-7.8000000000000014E-3</v>
      </c>
      <c r="I41" s="1056">
        <f t="shared" si="32"/>
        <v>-1.0300000000000004E-2</v>
      </c>
      <c r="J41" s="1056">
        <f t="shared" si="32"/>
        <v>-1.0300000000000004E-2</v>
      </c>
      <c r="K41" s="1056">
        <f t="shared" si="32"/>
        <v>-1.0300000000000004E-2</v>
      </c>
      <c r="L41" s="1056">
        <f t="shared" si="32"/>
        <v>-1.0300000000000004E-2</v>
      </c>
      <c r="M41" s="1056">
        <f t="shared" si="32"/>
        <v>-1.0300000000000004E-2</v>
      </c>
      <c r="N41" s="1056">
        <f t="shared" si="32"/>
        <v>-1.0300000000000004E-2</v>
      </c>
      <c r="O41" s="1056">
        <f t="shared" si="32"/>
        <v>-1.0300000000000004E-2</v>
      </c>
      <c r="P41" s="1056">
        <f t="shared" si="32"/>
        <v>-1.0300000000000004E-2</v>
      </c>
      <c r="Q41" s="1056">
        <f t="shared" si="32"/>
        <v>-1.0300000000000004E-2</v>
      </c>
      <c r="R41" s="1056">
        <f t="shared" ref="R41" si="33">4.32%-R28</f>
        <v>-1.0300000000000004E-2</v>
      </c>
    </row>
    <row r="42" spans="1:18" x14ac:dyDescent="0.25">
      <c r="A42" s="425" t="s">
        <v>1317</v>
      </c>
      <c r="C42" s="1063">
        <f>SUMPRODUCT(C38:C41,C20:C23)/SUM(C20:C23)</f>
        <v>-1.9700000000000002E-2</v>
      </c>
      <c r="E42" s="1057">
        <f>C42</f>
        <v>-1.9700000000000002E-2</v>
      </c>
      <c r="F42" s="1057">
        <f>E42</f>
        <v>-1.9700000000000002E-2</v>
      </c>
      <c r="G42" s="1057">
        <f t="shared" ref="G42:Q42" si="34">F42</f>
        <v>-1.9700000000000002E-2</v>
      </c>
      <c r="H42" s="1057">
        <f t="shared" si="34"/>
        <v>-1.9700000000000002E-2</v>
      </c>
      <c r="I42" s="1057">
        <f t="shared" si="34"/>
        <v>-1.9700000000000002E-2</v>
      </c>
      <c r="J42" s="1057">
        <f t="shared" si="34"/>
        <v>-1.9700000000000002E-2</v>
      </c>
      <c r="K42" s="1057">
        <f t="shared" si="34"/>
        <v>-1.9700000000000002E-2</v>
      </c>
      <c r="L42" s="1057">
        <f t="shared" si="34"/>
        <v>-1.9700000000000002E-2</v>
      </c>
      <c r="M42" s="1057">
        <f t="shared" si="34"/>
        <v>-1.9700000000000002E-2</v>
      </c>
      <c r="N42" s="1057">
        <f t="shared" si="34"/>
        <v>-1.9700000000000002E-2</v>
      </c>
      <c r="O42" s="1057">
        <f t="shared" si="34"/>
        <v>-1.9700000000000002E-2</v>
      </c>
      <c r="P42" s="1057">
        <f t="shared" si="34"/>
        <v>-1.9700000000000002E-2</v>
      </c>
      <c r="Q42" s="1057">
        <f t="shared" si="34"/>
        <v>-1.9700000000000002E-2</v>
      </c>
      <c r="R42" s="1057">
        <f t="shared" ref="R42" si="35">Q42</f>
        <v>-1.9700000000000002E-2</v>
      </c>
    </row>
    <row r="43" spans="1:18" ht="14" x14ac:dyDescent="0.4">
      <c r="C43" s="1062"/>
      <c r="E43" s="1056"/>
      <c r="F43" s="1056"/>
      <c r="G43" s="1056"/>
      <c r="H43" s="1056"/>
      <c r="I43" s="1056"/>
      <c r="J43" s="1056"/>
      <c r="K43" s="1056"/>
      <c r="L43" s="1056"/>
      <c r="M43" s="1056"/>
      <c r="N43" s="1056"/>
      <c r="O43" s="1056"/>
      <c r="P43" s="1056"/>
      <c r="Q43" s="1056"/>
      <c r="R43" s="1056"/>
    </row>
    <row r="44" spans="1:18" ht="13" x14ac:dyDescent="0.3">
      <c r="A44" s="374" t="s">
        <v>1324</v>
      </c>
    </row>
    <row r="45" spans="1:18" s="413" customFormat="1" ht="14" x14ac:dyDescent="0.4">
      <c r="A45" s="132" t="str">
        <f>+A31</f>
        <v>First Lien Credit Facility  (2.75% + LIBOR) thru 2026</v>
      </c>
      <c r="E45" s="1056">
        <f t="shared" ref="E45:Q45" si="36">+E$28+E31</f>
        <v>7.5999999999999998E-2</v>
      </c>
      <c r="F45" s="1056">
        <f t="shared" si="36"/>
        <v>7.5999999999999998E-2</v>
      </c>
      <c r="G45" s="1056">
        <f t="shared" si="36"/>
        <v>7.5999999999999998E-2</v>
      </c>
      <c r="H45" s="1056">
        <f t="shared" si="36"/>
        <v>7.85E-2</v>
      </c>
      <c r="I45" s="1056">
        <f t="shared" si="36"/>
        <v>8.1000000000000003E-2</v>
      </c>
      <c r="J45" s="1056">
        <f t="shared" si="36"/>
        <v>8.1000000000000003E-2</v>
      </c>
      <c r="K45" s="1056">
        <f t="shared" si="36"/>
        <v>8.1000000000000003E-2</v>
      </c>
      <c r="L45" s="1056">
        <f t="shared" si="36"/>
        <v>8.1000000000000003E-2</v>
      </c>
      <c r="M45" s="1056">
        <f t="shared" si="36"/>
        <v>8.1000000000000003E-2</v>
      </c>
      <c r="N45" s="1056">
        <f t="shared" si="36"/>
        <v>8.1000000000000003E-2</v>
      </c>
      <c r="O45" s="1056">
        <f t="shared" si="36"/>
        <v>8.1000000000000003E-2</v>
      </c>
      <c r="P45" s="1056">
        <f t="shared" si="36"/>
        <v>8.1000000000000003E-2</v>
      </c>
      <c r="Q45" s="1056">
        <f t="shared" si="36"/>
        <v>8.1000000000000003E-2</v>
      </c>
      <c r="R45" s="1056">
        <f t="shared" ref="R45" si="37">+R$28+R31</f>
        <v>8.1000000000000003E-2</v>
      </c>
    </row>
    <row r="46" spans="1:18" x14ac:dyDescent="0.25">
      <c r="A46" s="425" t="str">
        <f>+A32</f>
        <v xml:space="preserve">Total Existing Debt </v>
      </c>
      <c r="E46" s="1057">
        <f>+E61/E10</f>
        <v>7.5999999999999998E-2</v>
      </c>
      <c r="F46" s="1057">
        <f>+F61/F11</f>
        <v>7.5999999999999998E-2</v>
      </c>
      <c r="G46" s="1057">
        <f>+G61/G11</f>
        <v>7.5999999999999998E-2</v>
      </c>
      <c r="H46" s="1057">
        <f>+H61/H11</f>
        <v>7.85E-2</v>
      </c>
      <c r="I46" s="1057">
        <f>+I61/I11</f>
        <v>8.1000000000000003E-2</v>
      </c>
      <c r="J46" s="1057">
        <f>J45</f>
        <v>8.1000000000000003E-2</v>
      </c>
      <c r="K46" s="1057">
        <f t="shared" ref="K46:Q46" si="38">K45</f>
        <v>8.1000000000000003E-2</v>
      </c>
      <c r="L46" s="1057">
        <f t="shared" si="38"/>
        <v>8.1000000000000003E-2</v>
      </c>
      <c r="M46" s="1057">
        <f t="shared" si="38"/>
        <v>8.1000000000000003E-2</v>
      </c>
      <c r="N46" s="1057">
        <f t="shared" si="38"/>
        <v>8.1000000000000003E-2</v>
      </c>
      <c r="O46" s="1057">
        <f t="shared" si="38"/>
        <v>8.1000000000000003E-2</v>
      </c>
      <c r="P46" s="1057">
        <f t="shared" si="38"/>
        <v>8.1000000000000003E-2</v>
      </c>
      <c r="Q46" s="1057">
        <f t="shared" si="38"/>
        <v>8.1000000000000003E-2</v>
      </c>
      <c r="R46" s="1057">
        <f t="shared" ref="R46" si="39">R45</f>
        <v>8.1000000000000003E-2</v>
      </c>
    </row>
    <row r="47" spans="1:18" x14ac:dyDescent="0.25">
      <c r="A47" s="132" t="str">
        <f>+A33</f>
        <v>New Debt &amp; Refis</v>
      </c>
      <c r="E47" s="1057">
        <f t="shared" ref="E47:Q47" si="40">+E$28+E33</f>
        <v>5.8500000000000003E-2</v>
      </c>
      <c r="F47" s="1057">
        <f t="shared" si="40"/>
        <v>5.8500000000000003E-2</v>
      </c>
      <c r="G47" s="1057">
        <f t="shared" si="40"/>
        <v>5.8500000000000003E-2</v>
      </c>
      <c r="H47" s="1057">
        <f t="shared" si="40"/>
        <v>6.1000000000000006E-2</v>
      </c>
      <c r="I47" s="1057">
        <f t="shared" si="40"/>
        <v>6.3500000000000001E-2</v>
      </c>
      <c r="J47" s="1057">
        <f t="shared" si="40"/>
        <v>6.3500000000000001E-2</v>
      </c>
      <c r="K47" s="1057">
        <f t="shared" si="40"/>
        <v>6.3500000000000001E-2</v>
      </c>
      <c r="L47" s="1057">
        <f t="shared" si="40"/>
        <v>6.3500000000000001E-2</v>
      </c>
      <c r="M47" s="1057">
        <f t="shared" si="40"/>
        <v>6.3500000000000001E-2</v>
      </c>
      <c r="N47" s="1057">
        <f t="shared" si="40"/>
        <v>6.3500000000000001E-2</v>
      </c>
      <c r="O47" s="1057">
        <f t="shared" si="40"/>
        <v>6.3500000000000001E-2</v>
      </c>
      <c r="P47" s="1057">
        <f t="shared" si="40"/>
        <v>6.3500000000000001E-2</v>
      </c>
      <c r="Q47" s="1057">
        <f t="shared" si="40"/>
        <v>6.3500000000000001E-2</v>
      </c>
      <c r="R47" s="1057">
        <f t="shared" ref="R47" si="41">+R$28+R33</f>
        <v>6.3500000000000001E-2</v>
      </c>
    </row>
    <row r="48" spans="1:18" x14ac:dyDescent="0.25">
      <c r="E48" s="1057"/>
      <c r="F48" s="1057"/>
      <c r="G48" s="1057"/>
      <c r="H48" s="1057"/>
      <c r="I48" s="1057"/>
      <c r="J48" s="1057"/>
      <c r="K48" s="1057"/>
      <c r="L48" s="1057"/>
      <c r="M48" s="1057"/>
      <c r="N48" s="1057"/>
      <c r="O48" s="1057"/>
      <c r="P48" s="1057"/>
      <c r="Q48" s="1057"/>
      <c r="R48" s="1057"/>
    </row>
    <row r="49" spans="1:18" ht="14" x14ac:dyDescent="0.4">
      <c r="A49" s="132" t="s">
        <v>1323</v>
      </c>
      <c r="E49" s="1056">
        <f t="shared" ref="E49:Q49" si="42">+E$28+E36</f>
        <v>3.3612121371269524E-2</v>
      </c>
      <c r="F49" s="1056">
        <f t="shared" si="42"/>
        <v>3.3612121371269524E-2</v>
      </c>
      <c r="G49" s="1056">
        <f t="shared" si="42"/>
        <v>3.3612121371269524E-2</v>
      </c>
      <c r="H49" s="1056">
        <f t="shared" si="42"/>
        <v>3.6112121371269526E-2</v>
      </c>
      <c r="I49" s="1056">
        <f t="shared" si="42"/>
        <v>3.8612121371269528E-2</v>
      </c>
      <c r="J49" s="1056">
        <f t="shared" si="42"/>
        <v>3.8612121371269528E-2</v>
      </c>
      <c r="K49" s="1056">
        <f t="shared" si="42"/>
        <v>3.8612121371269528E-2</v>
      </c>
      <c r="L49" s="1056">
        <f t="shared" si="42"/>
        <v>3.8612121371269528E-2</v>
      </c>
      <c r="M49" s="1056">
        <f t="shared" si="42"/>
        <v>3.8612121371269528E-2</v>
      </c>
      <c r="N49" s="1056">
        <f t="shared" si="42"/>
        <v>3.8612121371269528E-2</v>
      </c>
      <c r="O49" s="1056">
        <f t="shared" si="42"/>
        <v>3.8612121371269528E-2</v>
      </c>
      <c r="P49" s="1056">
        <f t="shared" si="42"/>
        <v>3.8612121371269528E-2</v>
      </c>
      <c r="Q49" s="1056">
        <f t="shared" si="42"/>
        <v>3.8612121371269528E-2</v>
      </c>
      <c r="R49" s="1056">
        <f t="shared" ref="R49" si="43">+R$28+R36</f>
        <v>3.8612121371269528E-2</v>
      </c>
    </row>
    <row r="50" spans="1:18" ht="13" x14ac:dyDescent="0.3">
      <c r="A50" s="1058" t="str">
        <f>+A34</f>
        <v>Total Debt ex-Hedges and Cash</v>
      </c>
      <c r="B50" s="378"/>
      <c r="C50" s="378"/>
      <c r="D50" s="378"/>
      <c r="E50" s="1059">
        <f t="shared" ref="E50:Q50" si="44">+(E70-E63-E69)/E15</f>
        <v>7.5999999999999998E-2</v>
      </c>
      <c r="F50" s="1059">
        <f t="shared" si="44"/>
        <v>7.5939576260260419E-2</v>
      </c>
      <c r="G50" s="1059">
        <f t="shared" si="44"/>
        <v>7.5970583179337303E-2</v>
      </c>
      <c r="H50" s="1059">
        <f t="shared" si="44"/>
        <v>7.7901713693698471E-2</v>
      </c>
      <c r="I50" s="1059">
        <f t="shared" si="44"/>
        <v>7.9004387201201065E-2</v>
      </c>
      <c r="J50" s="1059">
        <f t="shared" si="44"/>
        <v>6.3500000000000001E-2</v>
      </c>
      <c r="K50" s="1059">
        <f t="shared" si="44"/>
        <v>6.3500000000000001E-2</v>
      </c>
      <c r="L50" s="1059">
        <f t="shared" si="44"/>
        <v>6.3500000000000001E-2</v>
      </c>
      <c r="M50" s="1059">
        <f t="shared" si="44"/>
        <v>6.3500000000000001E-2</v>
      </c>
      <c r="N50" s="1059">
        <f t="shared" si="44"/>
        <v>6.3500000000000001E-2</v>
      </c>
      <c r="O50" s="1059">
        <f t="shared" si="44"/>
        <v>6.3500000000000001E-2</v>
      </c>
      <c r="P50" s="1059">
        <f t="shared" si="44"/>
        <v>6.3500000000000001E-2</v>
      </c>
      <c r="Q50" s="1059">
        <f t="shared" si="44"/>
        <v>6.3500000000000001E-2</v>
      </c>
      <c r="R50" s="1059">
        <f t="shared" ref="R50" si="45">+(R70-R63-R69)/R15</f>
        <v>6.3500000000000001E-2</v>
      </c>
    </row>
    <row r="51" spans="1:18" ht="13" x14ac:dyDescent="0.3">
      <c r="A51" s="1060" t="s">
        <v>52</v>
      </c>
      <c r="B51" s="721"/>
      <c r="C51" s="721"/>
      <c r="D51" s="721"/>
      <c r="E51" s="1061">
        <f t="shared" ref="E51:R51" si="46">+E70/E18</f>
        <v>6.6819047024003736E-2</v>
      </c>
      <c r="F51" s="1061">
        <f t="shared" si="46"/>
        <v>7.1235267191144952E-2</v>
      </c>
      <c r="G51" s="1061">
        <f>+G70/AVERAGE(F18:G18)</f>
        <v>9.1188811743214429E-2</v>
      </c>
      <c r="H51" s="1061">
        <f t="shared" si="46"/>
        <v>7.6915786993051918E-2</v>
      </c>
      <c r="I51" s="1061">
        <f>+I70/I18</f>
        <v>7.7584247552084887E-2</v>
      </c>
      <c r="J51" s="1061">
        <f t="shared" si="46"/>
        <v>6.7746558492378733E-2</v>
      </c>
      <c r="K51" s="1061">
        <f t="shared" si="46"/>
        <v>6.734780547421651E-2</v>
      </c>
      <c r="L51" s="1061">
        <f t="shared" si="46"/>
        <v>6.6993519618090761E-2</v>
      </c>
      <c r="M51" s="1061">
        <f t="shared" si="46"/>
        <v>6.6713877943509844E-2</v>
      </c>
      <c r="N51" s="1061">
        <f t="shared" si="46"/>
        <v>6.6494072705300028E-2</v>
      </c>
      <c r="O51" s="1061">
        <f t="shared" si="46"/>
        <v>6.632349572845872E-2</v>
      </c>
      <c r="P51" s="1061">
        <f t="shared" si="46"/>
        <v>6.6164127281703733E-2</v>
      </c>
      <c r="Q51" s="1061">
        <f t="shared" si="46"/>
        <v>6.6015069551575434E-2</v>
      </c>
      <c r="R51" s="1061">
        <f t="shared" si="46"/>
        <v>6.5875514209633737E-2</v>
      </c>
    </row>
    <row r="53" spans="1:18" x14ac:dyDescent="0.25">
      <c r="A53" s="132" t="str">
        <f>+A38</f>
        <v>Interest Rate Collar (0.48% - 1.47%) thru Feb 2024</v>
      </c>
      <c r="E53" s="1057" t="s">
        <v>126</v>
      </c>
      <c r="F53" s="1057" t="s">
        <v>126</v>
      </c>
      <c r="G53" s="1057" t="s">
        <v>126</v>
      </c>
      <c r="H53" s="1057" t="s">
        <v>126</v>
      </c>
      <c r="I53" s="1057" t="s">
        <v>126</v>
      </c>
      <c r="J53" s="1057" t="s">
        <v>126</v>
      </c>
      <c r="K53" s="1057" t="s">
        <v>126</v>
      </c>
      <c r="L53" s="1057" t="s">
        <v>126</v>
      </c>
      <c r="M53" s="1057" t="s">
        <v>126</v>
      </c>
      <c r="N53" s="1057" t="s">
        <v>126</v>
      </c>
      <c r="O53" s="1057" t="s">
        <v>126</v>
      </c>
      <c r="P53" s="1057" t="s">
        <v>126</v>
      </c>
      <c r="Q53" s="1057" t="s">
        <v>126</v>
      </c>
      <c r="R53" s="1057" t="s">
        <v>126</v>
      </c>
    </row>
    <row r="54" spans="1:18" x14ac:dyDescent="0.25">
      <c r="A54" s="132" t="str">
        <f t="shared" ref="A54:A55" si="47">+A39</f>
        <v>Interest Rate Swap (3.86%) thru Dec 2026</v>
      </c>
      <c r="E54" s="1057" t="s">
        <v>126</v>
      </c>
      <c r="F54" s="1057" t="s">
        <v>126</v>
      </c>
      <c r="G54" s="1057" t="s">
        <v>126</v>
      </c>
      <c r="H54" s="1057" t="s">
        <v>126</v>
      </c>
      <c r="I54" s="1057" t="s">
        <v>126</v>
      </c>
      <c r="J54" s="1057" t="s">
        <v>126</v>
      </c>
      <c r="K54" s="1057" t="s">
        <v>126</v>
      </c>
      <c r="L54" s="1057" t="s">
        <v>126</v>
      </c>
      <c r="M54" s="1057" t="s">
        <v>126</v>
      </c>
      <c r="N54" s="1057" t="s">
        <v>126</v>
      </c>
      <c r="O54" s="1057" t="s">
        <v>126</v>
      </c>
      <c r="P54" s="1057" t="s">
        <v>126</v>
      </c>
      <c r="Q54" s="1057" t="s">
        <v>126</v>
      </c>
      <c r="R54" s="1057" t="s">
        <v>126</v>
      </c>
    </row>
    <row r="55" spans="1:18" x14ac:dyDescent="0.25">
      <c r="A55" s="132" t="str">
        <f t="shared" si="47"/>
        <v>Interest Rate Swap (3.76%) thru Dec 2026</v>
      </c>
      <c r="E55" s="1057" t="s">
        <v>126</v>
      </c>
      <c r="F55" s="1057" t="s">
        <v>126</v>
      </c>
      <c r="G55" s="1057" t="s">
        <v>126</v>
      </c>
      <c r="H55" s="1057" t="s">
        <v>126</v>
      </c>
      <c r="I55" s="1057" t="s">
        <v>126</v>
      </c>
      <c r="J55" s="1057" t="s">
        <v>126</v>
      </c>
      <c r="K55" s="1057" t="s">
        <v>126</v>
      </c>
      <c r="L55" s="1057" t="s">
        <v>126</v>
      </c>
      <c r="M55" s="1057" t="s">
        <v>126</v>
      </c>
      <c r="N55" s="1057" t="s">
        <v>126</v>
      </c>
      <c r="O55" s="1057" t="s">
        <v>126</v>
      </c>
      <c r="P55" s="1057" t="s">
        <v>126</v>
      </c>
      <c r="Q55" s="1057" t="s">
        <v>126</v>
      </c>
      <c r="R55" s="1057" t="s">
        <v>126</v>
      </c>
    </row>
    <row r="56" spans="1:18" s="565" customFormat="1" x14ac:dyDescent="0.25">
      <c r="A56" s="132" t="str">
        <f>+A41</f>
        <v>Interest Rate Swap (4.32%) thru Feb 2026</v>
      </c>
      <c r="E56" s="1065" t="s">
        <v>126</v>
      </c>
      <c r="F56" s="1065" t="s">
        <v>126</v>
      </c>
      <c r="G56" s="1065" t="s">
        <v>126</v>
      </c>
      <c r="H56" s="1065" t="s">
        <v>126</v>
      </c>
      <c r="I56" s="1065" t="s">
        <v>126</v>
      </c>
      <c r="J56" s="1065" t="s">
        <v>126</v>
      </c>
      <c r="K56" s="1065" t="s">
        <v>126</v>
      </c>
      <c r="L56" s="1065" t="s">
        <v>126</v>
      </c>
      <c r="M56" s="1065" t="s">
        <v>126</v>
      </c>
      <c r="N56" s="1065" t="s">
        <v>126</v>
      </c>
      <c r="O56" s="1065" t="s">
        <v>126</v>
      </c>
      <c r="P56" s="1065" t="s">
        <v>126</v>
      </c>
      <c r="Q56" s="1065" t="s">
        <v>126</v>
      </c>
      <c r="R56" s="1065" t="s">
        <v>126</v>
      </c>
    </row>
    <row r="57" spans="1:18" x14ac:dyDescent="0.25">
      <c r="A57" s="425" t="s">
        <v>1317</v>
      </c>
      <c r="E57" s="1057" t="s">
        <v>126</v>
      </c>
      <c r="F57" s="1057" t="s">
        <v>126</v>
      </c>
      <c r="G57" s="1057" t="s">
        <v>126</v>
      </c>
      <c r="H57" s="1057" t="s">
        <v>126</v>
      </c>
      <c r="I57" s="1057" t="s">
        <v>126</v>
      </c>
      <c r="J57" s="1057" t="s">
        <v>126</v>
      </c>
      <c r="K57" s="1057" t="s">
        <v>126</v>
      </c>
      <c r="L57" s="1057" t="s">
        <v>126</v>
      </c>
      <c r="M57" s="1057" t="s">
        <v>126</v>
      </c>
      <c r="N57" s="1057" t="s">
        <v>126</v>
      </c>
      <c r="O57" s="1057" t="s">
        <v>126</v>
      </c>
      <c r="P57" s="1057" t="s">
        <v>126</v>
      </c>
      <c r="Q57" s="1057" t="s">
        <v>126</v>
      </c>
      <c r="R57" s="1057" t="s">
        <v>126</v>
      </c>
    </row>
    <row r="58" spans="1:18" x14ac:dyDescent="0.25">
      <c r="A58" s="425"/>
      <c r="E58" s="1057"/>
      <c r="F58" s="1057"/>
      <c r="G58" s="1057"/>
      <c r="H58" s="1057"/>
      <c r="I58" s="1057"/>
      <c r="J58" s="1057"/>
      <c r="K58" s="1057"/>
      <c r="L58" s="1057"/>
      <c r="M58" s="1057"/>
      <c r="N58" s="1057"/>
      <c r="O58" s="1057"/>
      <c r="P58" s="1057"/>
      <c r="Q58" s="1057"/>
      <c r="R58" s="1057"/>
    </row>
    <row r="59" spans="1:18" ht="13" x14ac:dyDescent="0.3">
      <c r="A59" s="374" t="s">
        <v>1325</v>
      </c>
    </row>
    <row r="60" spans="1:18" s="413" customFormat="1" ht="14" x14ac:dyDescent="0.4">
      <c r="A60" s="132" t="str">
        <f>+A45</f>
        <v>First Lien Credit Facility  (2.75% + LIBOR) thru 2026</v>
      </c>
      <c r="E60" s="1047">
        <f t="shared" ref="E60:Q60" si="48">+E45*E10</f>
        <v>42.408911999999994</v>
      </c>
      <c r="F60" s="1047">
        <f t="shared" si="48"/>
        <v>42.408911999999994</v>
      </c>
      <c r="G60" s="1047">
        <f t="shared" si="48"/>
        <v>42.408911999999994</v>
      </c>
      <c r="H60" s="1047">
        <f t="shared" si="48"/>
        <v>43.803941999999999</v>
      </c>
      <c r="I60" s="1047">
        <f>+I45*I10</f>
        <v>45.198971999999998</v>
      </c>
      <c r="J60" s="1047">
        <f t="shared" si="48"/>
        <v>0</v>
      </c>
      <c r="K60" s="1047">
        <f t="shared" si="48"/>
        <v>0</v>
      </c>
      <c r="L60" s="1047">
        <f t="shared" si="48"/>
        <v>0</v>
      </c>
      <c r="M60" s="1047">
        <f t="shared" si="48"/>
        <v>0</v>
      </c>
      <c r="N60" s="1047">
        <f t="shared" si="48"/>
        <v>0</v>
      </c>
      <c r="O60" s="1047">
        <f t="shared" si="48"/>
        <v>0</v>
      </c>
      <c r="P60" s="1047">
        <f t="shared" si="48"/>
        <v>0</v>
      </c>
      <c r="Q60" s="1047">
        <f t="shared" si="48"/>
        <v>0</v>
      </c>
      <c r="R60" s="1047">
        <f t="shared" ref="R60" si="49">+R45*R10</f>
        <v>0</v>
      </c>
    </row>
    <row r="61" spans="1:18" x14ac:dyDescent="0.25">
      <c r="A61" s="425" t="s">
        <v>1308</v>
      </c>
      <c r="E61" s="648">
        <f>E60</f>
        <v>42.408911999999994</v>
      </c>
      <c r="F61" s="648">
        <f t="shared" ref="F61:J61" si="50">F60</f>
        <v>42.408911999999994</v>
      </c>
      <c r="G61" s="648">
        <f t="shared" si="50"/>
        <v>42.408911999999994</v>
      </c>
      <c r="H61" s="648">
        <f t="shared" si="50"/>
        <v>43.803941999999999</v>
      </c>
      <c r="I61" s="648">
        <f t="shared" si="50"/>
        <v>45.198971999999998</v>
      </c>
      <c r="J61" s="648">
        <f t="shared" si="50"/>
        <v>0</v>
      </c>
      <c r="K61" s="648">
        <f t="shared" ref="K61" si="51">K60</f>
        <v>0</v>
      </c>
      <c r="L61" s="648">
        <f t="shared" ref="L61" si="52">L60</f>
        <v>0</v>
      </c>
      <c r="M61" s="648">
        <f t="shared" ref="M61" si="53">M60</f>
        <v>0</v>
      </c>
      <c r="N61" s="648">
        <f t="shared" ref="N61" si="54">N60</f>
        <v>0</v>
      </c>
      <c r="O61" s="648">
        <f t="shared" ref="O61" si="55">O60</f>
        <v>0</v>
      </c>
      <c r="P61" s="648">
        <f t="shared" ref="P61" si="56">P60</f>
        <v>0</v>
      </c>
      <c r="Q61" s="648">
        <f t="shared" ref="Q61:R61" si="57">Q60</f>
        <v>0</v>
      </c>
      <c r="R61" s="648">
        <f t="shared" si="57"/>
        <v>0</v>
      </c>
    </row>
    <row r="62" spans="1:18" x14ac:dyDescent="0.25">
      <c r="A62" s="132" t="s">
        <v>1321</v>
      </c>
      <c r="E62" s="648">
        <f>+E47*SUM(E13:E14)</f>
        <v>0</v>
      </c>
      <c r="F62" s="648">
        <f>+F47*SUM(F13:F14)</f>
        <v>0</v>
      </c>
      <c r="G62" s="648">
        <f>+G47*SUM(G13:G14)/1.5</f>
        <v>1.7316000000002874E-2</v>
      </c>
      <c r="H62" s="648">
        <f t="shared" ref="H62:Q62" si="58">+H47*SUM(H13:H14)</f>
        <v>1.2049019175529545</v>
      </c>
      <c r="I62" s="648">
        <f t="shared" si="58"/>
        <v>4.5607780584399826</v>
      </c>
      <c r="J62" s="648">
        <f t="shared" si="58"/>
        <v>43.565554566378417</v>
      </c>
      <c r="K62" s="648">
        <f t="shared" si="58"/>
        <v>47.422250234951932</v>
      </c>
      <c r="L62" s="648">
        <f t="shared" si="58"/>
        <v>51.587481557011309</v>
      </c>
      <c r="M62" s="648">
        <f t="shared" si="58"/>
        <v>55.523625156357433</v>
      </c>
      <c r="N62" s="648">
        <f t="shared" si="58"/>
        <v>59.133631143186314</v>
      </c>
      <c r="O62" s="648">
        <f t="shared" si="58"/>
        <v>62.322469764885149</v>
      </c>
      <c r="P62" s="648">
        <f t="shared" si="58"/>
        <v>65.670750317668919</v>
      </c>
      <c r="Q62" s="648">
        <f t="shared" si="58"/>
        <v>69.186444898091906</v>
      </c>
      <c r="R62" s="648">
        <f t="shared" ref="R62" si="59">+R47*SUM(R13:R14)</f>
        <v>72.877924207536026</v>
      </c>
    </row>
    <row r="63" spans="1:18" x14ac:dyDescent="0.25">
      <c r="A63" s="132" t="s">
        <v>1323</v>
      </c>
      <c r="E63" s="648">
        <f t="shared" ref="E63:Q63" si="60">+E49*E17*-1</f>
        <v>-5.6146023659782323</v>
      </c>
      <c r="F63" s="648">
        <f t="shared" si="60"/>
        <v>-7.1853976340217711</v>
      </c>
      <c r="G63" s="648">
        <f t="shared" si="60"/>
        <v>-11.478153384304308</v>
      </c>
      <c r="H63" s="648">
        <f t="shared" si="60"/>
        <v>-3.6112121371269525</v>
      </c>
      <c r="I63" s="648">
        <f t="shared" si="60"/>
        <v>-3.861212137126953</v>
      </c>
      <c r="J63" s="648">
        <f t="shared" si="60"/>
        <v>-3.861212137126953</v>
      </c>
      <c r="K63" s="648">
        <f t="shared" si="60"/>
        <v>-3.861212137126953</v>
      </c>
      <c r="L63" s="648">
        <f t="shared" si="60"/>
        <v>-3.861212137126953</v>
      </c>
      <c r="M63" s="648">
        <f t="shared" si="60"/>
        <v>-3.861212137126953</v>
      </c>
      <c r="N63" s="648">
        <f t="shared" si="60"/>
        <v>-3.861212137126953</v>
      </c>
      <c r="O63" s="648">
        <f t="shared" si="60"/>
        <v>-3.861212137126953</v>
      </c>
      <c r="P63" s="648">
        <f t="shared" si="60"/>
        <v>-3.861212137126953</v>
      </c>
      <c r="Q63" s="648">
        <f t="shared" si="60"/>
        <v>-3.861212137126953</v>
      </c>
      <c r="R63" s="648">
        <f t="shared" ref="R63" si="61">+R49*R17*-1</f>
        <v>-3.861212137126953</v>
      </c>
    </row>
    <row r="64" spans="1:18" ht="14" x14ac:dyDescent="0.4">
      <c r="E64" s="1047"/>
      <c r="F64" s="1047"/>
      <c r="G64" s="1047"/>
      <c r="H64" s="1047"/>
      <c r="I64" s="1047"/>
      <c r="J64" s="1047"/>
      <c r="K64" s="1047"/>
      <c r="L64" s="1047"/>
      <c r="M64" s="1047"/>
      <c r="N64" s="1047"/>
      <c r="O64" s="1047"/>
      <c r="P64" s="1047"/>
      <c r="Q64" s="1047"/>
      <c r="R64" s="1047"/>
    </row>
    <row r="65" spans="1:18" x14ac:dyDescent="0.25">
      <c r="A65" s="132" t="str">
        <f>+A53</f>
        <v>Interest Rate Collar (0.48% - 1.47%) thru Feb 2024</v>
      </c>
      <c r="E65" s="648">
        <f t="shared" ref="E65:Q65" si="62">+E38*E20*-1</f>
        <v>-10.14</v>
      </c>
      <c r="F65" s="648">
        <f t="shared" si="62"/>
        <v>-10.14</v>
      </c>
      <c r="G65" s="648">
        <f>+G38*G20*-1</f>
        <v>-1.6900000000000002</v>
      </c>
      <c r="H65" s="648">
        <f t="shared" si="62"/>
        <v>0</v>
      </c>
      <c r="I65" s="648">
        <f t="shared" si="62"/>
        <v>0</v>
      </c>
      <c r="J65" s="648">
        <f t="shared" si="62"/>
        <v>0</v>
      </c>
      <c r="K65" s="648">
        <f t="shared" si="62"/>
        <v>0</v>
      </c>
      <c r="L65" s="648">
        <f t="shared" si="62"/>
        <v>0</v>
      </c>
      <c r="M65" s="648">
        <f t="shared" si="62"/>
        <v>0</v>
      </c>
      <c r="N65" s="648">
        <f t="shared" si="62"/>
        <v>0</v>
      </c>
      <c r="O65" s="648">
        <f t="shared" si="62"/>
        <v>0</v>
      </c>
      <c r="P65" s="648">
        <f t="shared" si="62"/>
        <v>0</v>
      </c>
      <c r="Q65" s="648">
        <f t="shared" si="62"/>
        <v>0</v>
      </c>
      <c r="R65" s="648">
        <f t="shared" ref="R65:R67" si="63">+R38*R20*-1</f>
        <v>0</v>
      </c>
    </row>
    <row r="66" spans="1:18" x14ac:dyDescent="0.25">
      <c r="A66" s="132" t="str">
        <f t="shared" ref="A66:A67" si="64">+A54</f>
        <v>Interest Rate Swap (3.86%) thru Dec 2026</v>
      </c>
      <c r="E66" s="648">
        <f t="shared" ref="E66:Q66" si="65">+E39*E21*-1</f>
        <v>0</v>
      </c>
      <c r="F66" s="648">
        <f t="shared" si="65"/>
        <v>0</v>
      </c>
      <c r="G66" s="648">
        <f t="shared" si="65"/>
        <v>-1.485000000000001</v>
      </c>
      <c r="H66" s="648">
        <f t="shared" si="65"/>
        <v>-1.8600000000000012</v>
      </c>
      <c r="I66" s="648">
        <f t="shared" si="65"/>
        <v>-2.2350000000000017</v>
      </c>
      <c r="J66" s="648">
        <f t="shared" si="65"/>
        <v>0</v>
      </c>
      <c r="K66" s="648">
        <f t="shared" si="65"/>
        <v>0</v>
      </c>
      <c r="L66" s="648">
        <f t="shared" si="65"/>
        <v>0</v>
      </c>
      <c r="M66" s="648">
        <f t="shared" si="65"/>
        <v>0</v>
      </c>
      <c r="N66" s="648">
        <f t="shared" si="65"/>
        <v>0</v>
      </c>
      <c r="O66" s="648">
        <f t="shared" si="65"/>
        <v>0</v>
      </c>
      <c r="P66" s="648">
        <f t="shared" si="65"/>
        <v>0</v>
      </c>
      <c r="Q66" s="648">
        <f t="shared" si="65"/>
        <v>0</v>
      </c>
      <c r="R66" s="648">
        <f t="shared" si="63"/>
        <v>0</v>
      </c>
    </row>
    <row r="67" spans="1:18" x14ac:dyDescent="0.25">
      <c r="A67" s="132" t="str">
        <f t="shared" si="64"/>
        <v>Interest Rate Swap (3.76%) thru Dec 2026</v>
      </c>
      <c r="E67" s="648">
        <f t="shared" ref="E67:Q67" si="66">+E40*E22*-1</f>
        <v>0</v>
      </c>
      <c r="F67" s="648">
        <f t="shared" si="66"/>
        <v>0</v>
      </c>
      <c r="G67" s="648">
        <f t="shared" si="66"/>
        <v>-1.6350000000000011</v>
      </c>
      <c r="H67" s="648">
        <f t="shared" si="66"/>
        <v>-2.0100000000000016</v>
      </c>
      <c r="I67" s="648">
        <f t="shared" si="66"/>
        <v>-2.3850000000000016</v>
      </c>
      <c r="J67" s="648">
        <f t="shared" si="66"/>
        <v>0</v>
      </c>
      <c r="K67" s="648">
        <f t="shared" si="66"/>
        <v>0</v>
      </c>
      <c r="L67" s="648">
        <f t="shared" si="66"/>
        <v>0</v>
      </c>
      <c r="M67" s="648">
        <f t="shared" si="66"/>
        <v>0</v>
      </c>
      <c r="N67" s="648">
        <f t="shared" si="66"/>
        <v>0</v>
      </c>
      <c r="O67" s="648">
        <f t="shared" si="66"/>
        <v>0</v>
      </c>
      <c r="P67" s="648">
        <f t="shared" si="66"/>
        <v>0</v>
      </c>
      <c r="Q67" s="648">
        <f t="shared" si="66"/>
        <v>0</v>
      </c>
      <c r="R67" s="648">
        <f t="shared" si="63"/>
        <v>0</v>
      </c>
    </row>
    <row r="68" spans="1:18" s="565" customFormat="1" x14ac:dyDescent="0.25">
      <c r="A68" s="132" t="str">
        <f>+A56</f>
        <v>Interest Rate Swap (4.32%) thru Feb 2026</v>
      </c>
      <c r="E68" s="685">
        <f t="shared" ref="E68:Q68" si="67">+E41*E23*-1</f>
        <v>-0.52999999999999992</v>
      </c>
      <c r="F68" s="685">
        <f t="shared" si="67"/>
        <v>-0.52999999999999992</v>
      </c>
      <c r="G68" s="685">
        <f t="shared" si="67"/>
        <v>-0.52999999999999992</v>
      </c>
      <c r="H68" s="685">
        <f t="shared" si="67"/>
        <v>-0.78000000000000014</v>
      </c>
      <c r="I68" s="685">
        <f t="shared" si="67"/>
        <v>-0.17166666666666675</v>
      </c>
      <c r="J68" s="685">
        <f t="shared" si="67"/>
        <v>0</v>
      </c>
      <c r="K68" s="685">
        <f t="shared" si="67"/>
        <v>0</v>
      </c>
      <c r="L68" s="685">
        <f t="shared" si="67"/>
        <v>0</v>
      </c>
      <c r="M68" s="685">
        <f t="shared" si="67"/>
        <v>0</v>
      </c>
      <c r="N68" s="685">
        <f t="shared" si="67"/>
        <v>0</v>
      </c>
      <c r="O68" s="685">
        <f t="shared" si="67"/>
        <v>0</v>
      </c>
      <c r="P68" s="685">
        <f t="shared" si="67"/>
        <v>0</v>
      </c>
      <c r="Q68" s="685">
        <f t="shared" si="67"/>
        <v>0</v>
      </c>
      <c r="R68" s="685">
        <f t="shared" ref="R68" si="68">+R41*R23*-1</f>
        <v>0</v>
      </c>
    </row>
    <row r="69" spans="1:18" x14ac:dyDescent="0.25">
      <c r="A69" s="425" t="s">
        <v>1317</v>
      </c>
      <c r="E69" s="648">
        <f>SUM(E65:E68)</f>
        <v>-10.67</v>
      </c>
      <c r="F69" s="648">
        <f t="shared" ref="F69:J69" si="69">SUM(F65:F68)</f>
        <v>-10.67</v>
      </c>
      <c r="G69" s="648">
        <f t="shared" si="69"/>
        <v>-5.3400000000000025</v>
      </c>
      <c r="H69" s="648">
        <f t="shared" si="69"/>
        <v>-4.650000000000003</v>
      </c>
      <c r="I69" s="648">
        <f t="shared" si="69"/>
        <v>-4.7916666666666696</v>
      </c>
      <c r="J69" s="648">
        <f t="shared" si="69"/>
        <v>0</v>
      </c>
      <c r="K69" s="648">
        <f t="shared" ref="K69" si="70">SUM(K65:K68)</f>
        <v>0</v>
      </c>
      <c r="L69" s="648">
        <f t="shared" ref="L69" si="71">SUM(L65:L68)</f>
        <v>0</v>
      </c>
      <c r="M69" s="648">
        <f t="shared" ref="M69" si="72">SUM(M65:M68)</f>
        <v>0</v>
      </c>
      <c r="N69" s="648">
        <f t="shared" ref="N69" si="73">SUM(N65:N68)</f>
        <v>0</v>
      </c>
      <c r="O69" s="648">
        <f t="shared" ref="O69" si="74">SUM(O65:O68)</f>
        <v>0</v>
      </c>
      <c r="P69" s="648">
        <f t="shared" ref="P69" si="75">SUM(P65:P68)</f>
        <v>0</v>
      </c>
      <c r="Q69" s="648">
        <f t="shared" ref="Q69:R69" si="76">SUM(Q65:Q68)</f>
        <v>0</v>
      </c>
      <c r="R69" s="648">
        <f t="shared" si="76"/>
        <v>0</v>
      </c>
    </row>
    <row r="70" spans="1:18" ht="13" x14ac:dyDescent="0.3">
      <c r="A70" s="1048" t="s">
        <v>1326</v>
      </c>
      <c r="B70" s="1049"/>
      <c r="C70" s="1049"/>
      <c r="D70" s="1049"/>
      <c r="E70" s="1050">
        <f t="shared" ref="E70:Q70" si="77">E63+E62+E69+E61</f>
        <v>26.124309634021763</v>
      </c>
      <c r="F70" s="1050">
        <f t="shared" si="77"/>
        <v>24.553514365978224</v>
      </c>
      <c r="G70" s="1050">
        <f t="shared" si="77"/>
        <v>25.608074615695685</v>
      </c>
      <c r="H70" s="1050">
        <f t="shared" si="77"/>
        <v>36.747631780425998</v>
      </c>
      <c r="I70" s="1050">
        <f t="shared" si="77"/>
        <v>41.106871254646357</v>
      </c>
      <c r="J70" s="1050">
        <f t="shared" si="77"/>
        <v>39.704342429251462</v>
      </c>
      <c r="K70" s="1050">
        <f t="shared" si="77"/>
        <v>43.561038097824976</v>
      </c>
      <c r="L70" s="1050">
        <f t="shared" si="77"/>
        <v>47.726269419884353</v>
      </c>
      <c r="M70" s="1050">
        <f t="shared" si="77"/>
        <v>51.662413019230478</v>
      </c>
      <c r="N70" s="1050">
        <f t="shared" si="77"/>
        <v>55.272419006059359</v>
      </c>
      <c r="O70" s="1050">
        <f t="shared" si="77"/>
        <v>58.461257627758194</v>
      </c>
      <c r="P70" s="1050">
        <f t="shared" si="77"/>
        <v>61.809538180541963</v>
      </c>
      <c r="Q70" s="1050">
        <f t="shared" si="77"/>
        <v>65.325232760964951</v>
      </c>
      <c r="R70" s="1050">
        <f t="shared" ref="R70" si="78">R63+R62+R69+R61</f>
        <v>69.016712070409071</v>
      </c>
    </row>
    <row r="71" spans="1:18" x14ac:dyDescent="0.25">
      <c r="A71" s="132" t="s">
        <v>1327</v>
      </c>
      <c r="E71" s="571">
        <v>24.363147116258503</v>
      </c>
      <c r="F71" s="571">
        <v>22.631393219316045</v>
      </c>
      <c r="G71" s="571"/>
      <c r="H71" s="571"/>
      <c r="I71" s="571"/>
      <c r="J71" s="571"/>
      <c r="K71" s="571"/>
      <c r="L71" s="571"/>
      <c r="M71" s="571"/>
      <c r="N71" s="571"/>
      <c r="O71" s="571"/>
      <c r="P71" s="571"/>
      <c r="Q71" s="571"/>
      <c r="R71" s="571"/>
    </row>
  </sheetData>
  <pageMargins left="0.3" right="0.3" top="0.3" bottom="0.3" header="0.3" footer="0.3"/>
  <pageSetup scale="47" fitToHeight="0" orientation="portrait" r:id="rId1"/>
  <headerFooter>
    <oddFooter>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7FC92-75A8-474F-854C-163A9AADE755}">
  <sheetPr>
    <pageSetUpPr fitToPage="1"/>
  </sheetPr>
  <dimension ref="A1:AA93"/>
  <sheetViews>
    <sheetView view="pageBreakPreview" zoomScale="75" zoomScaleNormal="70" zoomScaleSheetLayoutView="75" workbookViewId="0">
      <pane xSplit="2" ySplit="5" topLeftCell="C77" activePane="bottomRight" state="frozen"/>
      <selection pane="topRight" activeCell="J46" sqref="J46"/>
      <selection pane="bottomLeft" activeCell="J46" sqref="J46"/>
      <selection pane="bottomRight" activeCell="J46" sqref="J46"/>
    </sheetView>
  </sheetViews>
  <sheetFormatPr defaultColWidth="9.1796875" defaultRowHeight="10" outlineLevelRow="1" x14ac:dyDescent="0.2"/>
  <cols>
    <col min="1" max="1" width="1.453125" style="1" customWidth="1"/>
    <col min="2" max="2" width="17.453125" style="1" customWidth="1"/>
    <col min="3" max="3" width="3.453125" style="1" customWidth="1"/>
    <col min="4" max="19" width="11.1796875" style="1" customWidth="1"/>
    <col min="20" max="20" width="14.1796875" style="1" bestFit="1" customWidth="1"/>
    <col min="21" max="21" width="10.453125" style="1" bestFit="1" customWidth="1"/>
    <col min="22" max="16384" width="9.1796875" style="1"/>
  </cols>
  <sheetData>
    <row r="1" spans="1:21" ht="10.5" x14ac:dyDescent="0.25">
      <c r="B1" s="1" t="s">
        <v>174</v>
      </c>
      <c r="G1" s="396"/>
      <c r="H1" s="396"/>
      <c r="I1" s="397" t="s">
        <v>1328</v>
      </c>
      <c r="J1" s="396"/>
      <c r="K1" s="396"/>
      <c r="L1" s="396"/>
      <c r="P1" s="2"/>
      <c r="R1" s="2"/>
      <c r="S1" s="2">
        <f t="shared" ref="S1" ca="1" si="0">TODAY()</f>
        <v>45797</v>
      </c>
    </row>
    <row r="2" spans="1:21" ht="10.5" x14ac:dyDescent="0.25">
      <c r="B2" s="3" t="s">
        <v>768</v>
      </c>
      <c r="C2" s="3"/>
    </row>
    <row r="3" spans="1:21" s="4" customFormat="1" x14ac:dyDescent="0.2">
      <c r="B3" s="5" t="s">
        <v>6</v>
      </c>
      <c r="C3" s="5"/>
      <c r="F3" s="56"/>
      <c r="G3" s="6"/>
      <c r="H3" s="6">
        <f ca="1">TODAY()</f>
        <v>45797</v>
      </c>
      <c r="I3" s="6">
        <v>45657</v>
      </c>
      <c r="J3" s="6">
        <f t="shared" ref="J3:S3" si="1">+I3+365.25</f>
        <v>46022.25</v>
      </c>
      <c r="K3" s="6">
        <f t="shared" si="1"/>
        <v>46387.5</v>
      </c>
      <c r="L3" s="6">
        <f t="shared" si="1"/>
        <v>46752.75</v>
      </c>
      <c r="M3" s="6">
        <f t="shared" si="1"/>
        <v>47118</v>
      </c>
      <c r="N3" s="6">
        <f t="shared" si="1"/>
        <v>47483.25</v>
      </c>
      <c r="O3" s="6">
        <f t="shared" si="1"/>
        <v>47848.5</v>
      </c>
      <c r="P3" s="6">
        <f t="shared" si="1"/>
        <v>48213.75</v>
      </c>
      <c r="Q3" s="6">
        <f t="shared" si="1"/>
        <v>48579</v>
      </c>
      <c r="R3" s="6">
        <f t="shared" si="1"/>
        <v>48944.25</v>
      </c>
      <c r="S3" s="6">
        <f t="shared" si="1"/>
        <v>49309.5</v>
      </c>
    </row>
    <row r="4" spans="1:21" ht="10.5" x14ac:dyDescent="0.25">
      <c r="D4" s="7" t="s">
        <v>7</v>
      </c>
      <c r="E4" s="8"/>
      <c r="F4" s="8"/>
      <c r="G4" s="8"/>
      <c r="H4" s="8"/>
      <c r="I4" s="8"/>
      <c r="J4" s="8"/>
      <c r="K4" s="8"/>
      <c r="L4" s="8"/>
      <c r="M4" s="8"/>
      <c r="N4" s="8"/>
      <c r="O4" s="8"/>
      <c r="P4" s="8"/>
      <c r="Q4" s="8"/>
      <c r="R4" s="8"/>
      <c r="S4" s="8"/>
    </row>
    <row r="5" spans="1:21" ht="13.5" x14ac:dyDescent="0.55000000000000004">
      <c r="D5" s="9" t="s">
        <v>8</v>
      </c>
      <c r="E5" s="9" t="s">
        <v>9</v>
      </c>
      <c r="F5" s="9" t="s">
        <v>10</v>
      </c>
      <c r="G5" s="9" t="s">
        <v>11</v>
      </c>
      <c r="H5" s="98" t="s">
        <v>712</v>
      </c>
      <c r="I5" s="9" t="s">
        <v>13</v>
      </c>
      <c r="J5" s="9" t="s">
        <v>14</v>
      </c>
      <c r="K5" s="9" t="s">
        <v>15</v>
      </c>
      <c r="L5" s="9" t="s">
        <v>16</v>
      </c>
      <c r="M5" s="9" t="s">
        <v>17</v>
      </c>
      <c r="N5" s="9" t="s">
        <v>18</v>
      </c>
      <c r="O5" s="9" t="s">
        <v>19</v>
      </c>
      <c r="P5" s="9" t="s">
        <v>20</v>
      </c>
      <c r="Q5" s="9" t="s">
        <v>21</v>
      </c>
      <c r="R5" s="9" t="s">
        <v>22</v>
      </c>
      <c r="S5" s="9" t="s">
        <v>23</v>
      </c>
    </row>
    <row r="6" spans="1:21" ht="10.5" x14ac:dyDescent="0.25">
      <c r="A6" s="1" t="s">
        <v>26</v>
      </c>
      <c r="B6" s="11" t="s">
        <v>27</v>
      </c>
      <c r="C6" s="3"/>
      <c r="H6" s="694">
        <f>+'FA - Historical Financials'!AK7</f>
        <v>0</v>
      </c>
    </row>
    <row r="7" spans="1:21" x14ac:dyDescent="0.2">
      <c r="G7" s="692"/>
      <c r="H7" s="694">
        <f>+'FA - Historical Financials'!AK8</f>
        <v>0</v>
      </c>
      <c r="K7" s="88"/>
      <c r="L7" s="88"/>
      <c r="N7" s="88" t="s">
        <v>1329</v>
      </c>
      <c r="T7" s="57"/>
    </row>
    <row r="8" spans="1:21" x14ac:dyDescent="0.2">
      <c r="B8" s="1" t="s">
        <v>28</v>
      </c>
      <c r="D8" s="70">
        <f>+'FA - Historical Financials'!AG12</f>
        <v>481.76699999999994</v>
      </c>
      <c r="E8" s="70">
        <f>+'FA - Historical Financials'!AH12</f>
        <v>509.15399999999994</v>
      </c>
      <c r="F8" s="70">
        <f>+'FA - Historical Financials'!AI12</f>
        <v>712.29500000000007</v>
      </c>
      <c r="G8" s="70">
        <f>+'FA - Historical Financials'!AJ12</f>
        <v>810.02300000000002</v>
      </c>
      <c r="H8" s="106">
        <f t="shared" ref="H8:R8" si="2">+G8*(1+H9)</f>
        <v>567.01609999999994</v>
      </c>
      <c r="I8" s="49">
        <f t="shared" si="2"/>
        <v>652.06851499999993</v>
      </c>
      <c r="J8" s="49">
        <f t="shared" si="2"/>
        <v>730.31673679999994</v>
      </c>
      <c r="K8" s="49">
        <f t="shared" si="2"/>
        <v>788.74207574399998</v>
      </c>
      <c r="L8" s="49">
        <f t="shared" si="2"/>
        <v>851.84144180352007</v>
      </c>
      <c r="M8" s="49">
        <f t="shared" si="2"/>
        <v>919.98875714780172</v>
      </c>
      <c r="N8" s="49">
        <f t="shared" si="2"/>
        <v>986.22794766244351</v>
      </c>
      <c r="O8" s="49">
        <f t="shared" si="2"/>
        <v>1050.1355186709698</v>
      </c>
      <c r="P8" s="49">
        <f t="shared" si="2"/>
        <v>1111.3794221198607</v>
      </c>
      <c r="Q8" s="49">
        <f t="shared" si="2"/>
        <v>1169.713505228088</v>
      </c>
      <c r="R8" s="49">
        <f t="shared" si="2"/>
        <v>1224.9698354442587</v>
      </c>
      <c r="S8" s="49">
        <f t="shared" ref="S8" si="3">+R8*(1+S9)</f>
        <v>1277.0497709897252</v>
      </c>
      <c r="T8" s="57"/>
    </row>
    <row r="9" spans="1:21" s="12" customFormat="1" x14ac:dyDescent="0.2">
      <c r="B9" s="13" t="s">
        <v>29</v>
      </c>
      <c r="C9" s="14"/>
      <c r="D9" s="15">
        <f>+'FA - Historical Financials'!AG13</f>
        <v>7.8E-2</v>
      </c>
      <c r="E9" s="15">
        <f>IFERROR(IF(OR(E8&lt;0, D8&lt;0), "NM", E8/D8-1),"N/A")</f>
        <v>5.684698204733829E-2</v>
      </c>
      <c r="F9" s="15">
        <f>IFERROR(IF(OR(F8&lt;0, E8&lt;0), "NM", F8/E8-1),"N/A")</f>
        <v>0.39897751957168204</v>
      </c>
      <c r="G9" s="15">
        <f>IFERROR(IF(OR(G8&lt;0, F8&lt;0), "NM", G8/F8-1),"N/A")</f>
        <v>0.13720158080570544</v>
      </c>
      <c r="H9" s="697">
        <v>-0.3</v>
      </c>
      <c r="I9" s="59">
        <v>0.15</v>
      </c>
      <c r="J9" s="59">
        <v>0.12</v>
      </c>
      <c r="K9" s="59">
        <v>0.08</v>
      </c>
      <c r="L9" s="59">
        <v>0.08</v>
      </c>
      <c r="M9" s="59">
        <v>0.08</v>
      </c>
      <c r="N9" s="59">
        <f t="shared" ref="N9:R9" si="4">+M9*0.9</f>
        <v>7.2000000000000008E-2</v>
      </c>
      <c r="O9" s="59">
        <f t="shared" si="4"/>
        <v>6.480000000000001E-2</v>
      </c>
      <c r="P9" s="59">
        <f t="shared" si="4"/>
        <v>5.8320000000000011E-2</v>
      </c>
      <c r="Q9" s="59">
        <f t="shared" si="4"/>
        <v>5.2488000000000014E-2</v>
      </c>
      <c r="R9" s="59">
        <f t="shared" si="4"/>
        <v>4.7239200000000016E-2</v>
      </c>
      <c r="S9" s="59">
        <f t="shared" ref="S9" si="5">+R9*0.9</f>
        <v>4.2515280000000016E-2</v>
      </c>
      <c r="U9" s="1"/>
    </row>
    <row r="10" spans="1:21" s="12" customFormat="1" hidden="1" outlineLevel="1" x14ac:dyDescent="0.2">
      <c r="B10" s="13" t="s">
        <v>218</v>
      </c>
      <c r="C10" s="14"/>
      <c r="D10" s="15"/>
      <c r="E10" s="15"/>
      <c r="F10" s="15">
        <f>+'FA - Historical Financials'!AI15</f>
        <v>0.39959040683172514</v>
      </c>
      <c r="G10" s="15">
        <f>+'FA - Historical Financials'!AJ15</f>
        <v>0.15170899978239333</v>
      </c>
      <c r="H10" s="102" t="e">
        <f>+'FA Base'!$H$9-'FA Base'!#REF!+$H$9</f>
        <v>#REF!</v>
      </c>
      <c r="I10" s="15">
        <f>+I9</f>
        <v>0.15</v>
      </c>
      <c r="J10" s="15">
        <f t="shared" ref="J10:S10" si="6">+J9</f>
        <v>0.12</v>
      </c>
      <c r="K10" s="15">
        <f t="shared" si="6"/>
        <v>0.08</v>
      </c>
      <c r="L10" s="15">
        <f t="shared" si="6"/>
        <v>0.08</v>
      </c>
      <c r="M10" s="15">
        <f t="shared" si="6"/>
        <v>0.08</v>
      </c>
      <c r="N10" s="15">
        <f t="shared" si="6"/>
        <v>7.2000000000000008E-2</v>
      </c>
      <c r="O10" s="15">
        <f t="shared" si="6"/>
        <v>6.480000000000001E-2</v>
      </c>
      <c r="P10" s="15">
        <f t="shared" si="6"/>
        <v>5.8320000000000011E-2</v>
      </c>
      <c r="Q10" s="15">
        <f t="shared" si="6"/>
        <v>5.2488000000000014E-2</v>
      </c>
      <c r="R10" s="15">
        <f t="shared" si="6"/>
        <v>4.7239200000000016E-2</v>
      </c>
      <c r="S10" s="15">
        <f t="shared" si="6"/>
        <v>4.2515280000000016E-2</v>
      </c>
      <c r="U10" s="1"/>
    </row>
    <row r="11" spans="1:21" s="12" customFormat="1" hidden="1" outlineLevel="1" x14ac:dyDescent="0.2">
      <c r="B11" s="13" t="s">
        <v>217</v>
      </c>
      <c r="C11" s="14"/>
      <c r="D11" s="15">
        <f>+'FA - Historical Financials'!AG14</f>
        <v>7.8E-2</v>
      </c>
      <c r="E11" s="15">
        <f>+'FA - Historical Financials'!AH14</f>
        <v>5.684698204733829E-2</v>
      </c>
      <c r="F11" s="15">
        <f>+'FA - Historical Financials'!AI14</f>
        <v>0.35099999999999998</v>
      </c>
      <c r="G11" s="15">
        <f>+'FA - Historical Financials'!AJ14</f>
        <v>8.5172180065843262E-2</v>
      </c>
      <c r="H11" s="102" t="e">
        <f>+'FA Base'!$H$9-'FA Base'!#REF!+$H$9</f>
        <v>#REF!</v>
      </c>
      <c r="I11" s="15">
        <f t="shared" ref="I11:S12" si="7">+I9</f>
        <v>0.15</v>
      </c>
      <c r="J11" s="15">
        <f t="shared" si="7"/>
        <v>0.12</v>
      </c>
      <c r="K11" s="15">
        <f t="shared" si="7"/>
        <v>0.08</v>
      </c>
      <c r="L11" s="15">
        <f t="shared" si="7"/>
        <v>0.08</v>
      </c>
      <c r="M11" s="15">
        <f t="shared" si="7"/>
        <v>0.08</v>
      </c>
      <c r="N11" s="15">
        <f t="shared" si="7"/>
        <v>7.2000000000000008E-2</v>
      </c>
      <c r="O11" s="15">
        <f t="shared" si="7"/>
        <v>6.480000000000001E-2</v>
      </c>
      <c r="P11" s="15">
        <f t="shared" si="7"/>
        <v>5.8320000000000011E-2</v>
      </c>
      <c r="Q11" s="15">
        <f t="shared" si="7"/>
        <v>5.2488000000000014E-2</v>
      </c>
      <c r="R11" s="15">
        <f t="shared" si="7"/>
        <v>4.7239200000000016E-2</v>
      </c>
      <c r="S11" s="15">
        <f t="shared" si="7"/>
        <v>4.2515280000000016E-2</v>
      </c>
      <c r="U11" s="1"/>
    </row>
    <row r="12" spans="1:21" s="12" customFormat="1" collapsed="1" x14ac:dyDescent="0.2">
      <c r="B12" s="13" t="s">
        <v>1330</v>
      </c>
      <c r="C12" s="14"/>
      <c r="D12" s="15"/>
      <c r="E12" s="15"/>
      <c r="F12" s="15">
        <f>+'FA - Historical Financials'!AI29</f>
        <v>0.35038711273995687</v>
      </c>
      <c r="G12" s="15">
        <f>+'FA - Historical Financials'!AJ29</f>
        <v>9.9651127692880204E-2</v>
      </c>
      <c r="H12" s="102">
        <f>+'FA Base'!$H$9-'FA Base'!H10+$H$9</f>
        <v>-0.29907221487973423</v>
      </c>
      <c r="I12" s="15">
        <f t="shared" si="7"/>
        <v>0.15</v>
      </c>
      <c r="J12" s="15">
        <f t="shared" si="7"/>
        <v>0.12</v>
      </c>
      <c r="K12" s="15">
        <f t="shared" si="7"/>
        <v>0.08</v>
      </c>
      <c r="L12" s="15">
        <f t="shared" si="7"/>
        <v>0.08</v>
      </c>
      <c r="M12" s="15">
        <f t="shared" si="7"/>
        <v>0.08</v>
      </c>
      <c r="N12" s="15">
        <f t="shared" si="7"/>
        <v>7.2000000000000008E-2</v>
      </c>
      <c r="O12" s="15">
        <f t="shared" si="7"/>
        <v>6.480000000000001E-2</v>
      </c>
      <c r="P12" s="15">
        <f t="shared" si="7"/>
        <v>5.8320000000000011E-2</v>
      </c>
      <c r="Q12" s="15">
        <f t="shared" si="7"/>
        <v>5.2488000000000014E-2</v>
      </c>
      <c r="R12" s="15">
        <f t="shared" si="7"/>
        <v>4.7239200000000016E-2</v>
      </c>
      <c r="S12" s="15">
        <f t="shared" si="7"/>
        <v>4.2515280000000016E-2</v>
      </c>
      <c r="U12" s="1"/>
    </row>
    <row r="13" spans="1:21" s="12" customFormat="1" x14ac:dyDescent="0.2">
      <c r="B13" s="13"/>
      <c r="C13" s="14"/>
      <c r="D13" s="33"/>
      <c r="E13" s="33"/>
      <c r="F13" s="16"/>
      <c r="G13" s="16"/>
      <c r="H13" s="694"/>
      <c r="I13" s="17" t="s">
        <v>31</v>
      </c>
      <c r="J13" s="16"/>
      <c r="K13" s="16"/>
      <c r="L13" s="16"/>
      <c r="M13" s="16"/>
      <c r="N13" s="16"/>
      <c r="O13" s="16"/>
      <c r="P13" s="16"/>
      <c r="Q13" s="16"/>
      <c r="R13" s="16"/>
      <c r="S13" s="16"/>
    </row>
    <row r="14" spans="1:21" s="12" customFormat="1" x14ac:dyDescent="0.2">
      <c r="B14" s="13"/>
      <c r="C14" s="14"/>
      <c r="D14" s="33"/>
      <c r="E14" s="33"/>
      <c r="F14" s="16"/>
      <c r="G14" s="16"/>
      <c r="H14" s="694">
        <f>+'FA - Historical Financials'!AK63</f>
        <v>0</v>
      </c>
      <c r="I14" s="17"/>
      <c r="J14" s="16"/>
      <c r="K14" s="16"/>
      <c r="L14" s="16"/>
      <c r="M14" s="16"/>
      <c r="N14" s="16"/>
      <c r="O14" s="16"/>
      <c r="P14" s="16"/>
      <c r="Q14" s="16"/>
      <c r="R14" s="16"/>
      <c r="S14" s="16"/>
    </row>
    <row r="15" spans="1:21" s="12" customFormat="1" x14ac:dyDescent="0.2">
      <c r="B15" s="13"/>
      <c r="C15" s="14"/>
      <c r="D15" s="33"/>
      <c r="E15" s="33"/>
      <c r="F15" s="16"/>
      <c r="G15" s="16"/>
      <c r="H15" s="694">
        <f>+'FA - Historical Financials'!AK71</f>
        <v>0</v>
      </c>
      <c r="I15" s="17"/>
      <c r="J15" s="16"/>
      <c r="K15" s="16"/>
      <c r="L15" s="16"/>
      <c r="M15" s="16"/>
      <c r="N15" s="16"/>
      <c r="O15" s="16"/>
      <c r="P15" s="16"/>
      <c r="Q15" s="16"/>
      <c r="R15" s="16"/>
      <c r="S15" s="16"/>
    </row>
    <row r="16" spans="1:21" s="12" customFormat="1" x14ac:dyDescent="0.2">
      <c r="B16" s="18" t="s">
        <v>233</v>
      </c>
      <c r="C16" s="14"/>
      <c r="D16" s="40">
        <f>+D18+D17</f>
        <v>123.773</v>
      </c>
      <c r="E16" s="40">
        <f t="shared" ref="E16:H16" si="8">+E18+E17</f>
        <v>146.798</v>
      </c>
      <c r="F16" s="40">
        <f t="shared" si="8"/>
        <v>226.29399999999998</v>
      </c>
      <c r="G16" s="49">
        <f t="shared" si="8"/>
        <v>248.91000000000003</v>
      </c>
      <c r="H16" s="106">
        <f t="shared" si="8"/>
        <v>184.00279999999998</v>
      </c>
      <c r="I16" s="49"/>
      <c r="J16" s="49"/>
      <c r="K16" s="49"/>
      <c r="L16" s="49"/>
      <c r="M16" s="49"/>
      <c r="N16" s="49"/>
      <c r="O16" s="49"/>
      <c r="P16" s="49"/>
      <c r="Q16" s="49"/>
      <c r="R16" s="49"/>
      <c r="S16" s="49"/>
    </row>
    <row r="17" spans="2:23" s="1011" customFormat="1" ht="11.5" x14ac:dyDescent="0.35">
      <c r="B17" s="18" t="s">
        <v>37</v>
      </c>
      <c r="C17" s="1012"/>
      <c r="D17" s="54">
        <f>+'FA - Historical Financials'!AG90</f>
        <v>1.216</v>
      </c>
      <c r="E17" s="54">
        <f>+'FA - Historical Financials'!AH90</f>
        <v>5.8519999999999994</v>
      </c>
      <c r="F17" s="54">
        <f>+'FA - Historical Financials'!AI90</f>
        <v>9.5300000000000011</v>
      </c>
      <c r="G17" s="54">
        <f>+'FA - Historical Financials'!AJ90</f>
        <v>7.8559999999999999</v>
      </c>
      <c r="H17" s="109">
        <f>+'FA - Historical Financials'!AK90</f>
        <v>15.265000000000001</v>
      </c>
      <c r="I17" s="1013"/>
      <c r="J17" s="1014"/>
      <c r="K17" s="1014"/>
      <c r="L17" s="1014"/>
      <c r="M17" s="1014"/>
      <c r="N17" s="1014"/>
      <c r="O17" s="1014"/>
      <c r="P17" s="1014"/>
      <c r="Q17" s="1014"/>
      <c r="R17" s="1014"/>
      <c r="S17" s="1014"/>
    </row>
    <row r="18" spans="2:23" s="12" customFormat="1" x14ac:dyDescent="0.2">
      <c r="B18" s="22" t="s">
        <v>188</v>
      </c>
      <c r="C18" s="14"/>
      <c r="D18" s="70">
        <f>+'FA - Historical Financials'!AG91</f>
        <v>122.557</v>
      </c>
      <c r="E18" s="70">
        <f>+'FA - Historical Financials'!AH91</f>
        <v>140.946</v>
      </c>
      <c r="F18" s="70">
        <f>+'FA - Historical Financials'!AI91</f>
        <v>216.76399999999998</v>
      </c>
      <c r="G18" s="70">
        <f>+'FA - Historical Financials'!AJ91</f>
        <v>241.05400000000003</v>
      </c>
      <c r="H18" s="106">
        <f t="shared" ref="H18:R18" si="9">+H20*H$8</f>
        <v>168.73779999999999</v>
      </c>
      <c r="I18" s="49">
        <f t="shared" si="9"/>
        <v>200.56915515</v>
      </c>
      <c r="J18" s="49">
        <f t="shared" si="9"/>
        <v>231.940621136</v>
      </c>
      <c r="K18" s="49">
        <f t="shared" si="9"/>
        <v>258.38329158432003</v>
      </c>
      <c r="L18" s="49">
        <f t="shared" si="9"/>
        <v>287.57236932910087</v>
      </c>
      <c r="M18" s="49">
        <f t="shared" si="9"/>
        <v>319.77804644690696</v>
      </c>
      <c r="N18" s="49">
        <f t="shared" si="9"/>
        <v>352.66434526770871</v>
      </c>
      <c r="O18" s="49">
        <f t="shared" si="9"/>
        <v>386.01835002776596</v>
      </c>
      <c r="P18" s="49">
        <f t="shared" si="9"/>
        <v>419.64473442258384</v>
      </c>
      <c r="Q18" s="49">
        <f t="shared" si="9"/>
        <v>453.36818229523738</v>
      </c>
      <c r="R18" s="49">
        <f t="shared" si="9"/>
        <v>487.03463088676114</v>
      </c>
      <c r="S18" s="49">
        <f t="shared" ref="S18" si="10">+S20*S$8</f>
        <v>520.51154229850567</v>
      </c>
      <c r="U18" s="33"/>
      <c r="V18" s="33"/>
      <c r="W18" s="33"/>
    </row>
    <row r="19" spans="2:23" s="12" customFormat="1" x14ac:dyDescent="0.2">
      <c r="B19" s="24" t="s">
        <v>29</v>
      </c>
      <c r="C19" s="14"/>
      <c r="D19" s="15"/>
      <c r="E19" s="15">
        <f>IFERROR(IF(OR(E18&lt;0, D18&lt;0), "NM", E18/D18-1),"N/A")</f>
        <v>0.1500444691041718</v>
      </c>
      <c r="F19" s="15">
        <f>IFERROR(IF(OR(F18&lt;0, E18&lt;0), "NM", F18/E18-1),"N/A")</f>
        <v>0.53792232486200375</v>
      </c>
      <c r="G19" s="15">
        <f>IFERROR(IF(OR(G18&lt;0, F18&lt;0), "NM", G18/F18-1),"N/A")</f>
        <v>0.11205735269694261</v>
      </c>
      <c r="H19" s="102">
        <f>IFERROR(IF(OR(H18&lt;0, G18&lt;0), "NM", H18/G18-1),"N/A")</f>
        <v>-0.30000000000000016</v>
      </c>
      <c r="I19" s="15">
        <f t="shared" ref="I19:R19" si="11">IFERROR(IF(OR(I18&lt;0, H18&lt;0), "NM", I18/H18-1),"N/A")</f>
        <v>0.1886438909953787</v>
      </c>
      <c r="J19" s="15">
        <f t="shared" si="11"/>
        <v>0.15641221583916121</v>
      </c>
      <c r="K19" s="15">
        <f t="shared" si="11"/>
        <v>0.11400620692834651</v>
      </c>
      <c r="L19" s="15">
        <f t="shared" si="11"/>
        <v>0.11296813182386201</v>
      </c>
      <c r="M19" s="15">
        <f t="shared" si="11"/>
        <v>0.11199155604879962</v>
      </c>
      <c r="N19" s="15">
        <f t="shared" si="11"/>
        <v>0.10284101484203001</v>
      </c>
      <c r="O19" s="15">
        <f t="shared" si="11"/>
        <v>9.4577195590152652E-2</v>
      </c>
      <c r="P19" s="15">
        <f t="shared" si="11"/>
        <v>8.7110844322294989E-2</v>
      </c>
      <c r="Q19" s="15">
        <f t="shared" si="11"/>
        <v>8.0361899259991487E-2</v>
      </c>
      <c r="R19" s="15">
        <f t="shared" si="11"/>
        <v>7.4258516380842687E-2</v>
      </c>
      <c r="S19" s="15">
        <f t="shared" ref="S19" si="12">IFERROR(IF(OR(S18&lt;0, R18&lt;0), "NM", S18/R18-1),"N/A")</f>
        <v>6.8736203318420896E-2</v>
      </c>
    </row>
    <row r="20" spans="2:23" s="12" customFormat="1" x14ac:dyDescent="0.2">
      <c r="B20" s="24" t="s">
        <v>33</v>
      </c>
      <c r="C20" s="14"/>
      <c r="D20" s="15">
        <f>+IFERROR(D18/D$8,"N/A")</f>
        <v>0.25439060790797213</v>
      </c>
      <c r="E20" s="15">
        <f>+IFERROR(E18/E$8,"N/A")</f>
        <v>0.27682390789427169</v>
      </c>
      <c r="F20" s="15">
        <f>+IFERROR(F18/F$8,"N/A")</f>
        <v>0.30431773352332947</v>
      </c>
      <c r="G20" s="15">
        <f>+IFERROR(G18/G$8,"N/A")</f>
        <v>0.29758908080387841</v>
      </c>
      <c r="H20" s="697">
        <f>+G20</f>
        <v>0.29758908080387841</v>
      </c>
      <c r="I20" s="59">
        <f t="shared" ref="I20:S20" si="13">+H20+1%</f>
        <v>0.30758908080387842</v>
      </c>
      <c r="J20" s="59">
        <f t="shared" si="13"/>
        <v>0.31758908080387843</v>
      </c>
      <c r="K20" s="59">
        <f t="shared" si="13"/>
        <v>0.32758908080387844</v>
      </c>
      <c r="L20" s="59">
        <f t="shared" si="13"/>
        <v>0.33758908080387845</v>
      </c>
      <c r="M20" s="59">
        <f t="shared" si="13"/>
        <v>0.34758908080387846</v>
      </c>
      <c r="N20" s="59">
        <f t="shared" si="13"/>
        <v>0.35758908080387847</v>
      </c>
      <c r="O20" s="59">
        <f t="shared" si="13"/>
        <v>0.36758908080387848</v>
      </c>
      <c r="P20" s="59">
        <f t="shared" si="13"/>
        <v>0.37758908080387849</v>
      </c>
      <c r="Q20" s="59">
        <f t="shared" si="13"/>
        <v>0.38758908080387849</v>
      </c>
      <c r="R20" s="59">
        <f t="shared" si="13"/>
        <v>0.3975890808038785</v>
      </c>
      <c r="S20" s="59">
        <f t="shared" si="13"/>
        <v>0.40758908080387851</v>
      </c>
      <c r="T20" s="59"/>
    </row>
    <row r="21" spans="2:23" x14ac:dyDescent="0.2">
      <c r="F21" s="20"/>
      <c r="G21" s="20"/>
      <c r="H21" s="104"/>
      <c r="I21" s="20"/>
      <c r="J21" s="20"/>
      <c r="K21" s="20"/>
      <c r="L21" s="20"/>
      <c r="M21" s="20"/>
      <c r="N21" s="20"/>
      <c r="O21" s="20"/>
      <c r="P21" s="20"/>
      <c r="Q21" s="20"/>
      <c r="R21" s="20"/>
      <c r="S21" s="20"/>
    </row>
    <row r="22" spans="2:23" x14ac:dyDescent="0.2">
      <c r="B22" s="1" t="s">
        <v>40</v>
      </c>
      <c r="D22" s="70">
        <f>+'FA - Historical Financials'!AG96</f>
        <v>19.844999999999999</v>
      </c>
      <c r="E22" s="70">
        <f>+'FA - Historical Financials'!AH96</f>
        <v>20.418000000000003</v>
      </c>
      <c r="F22" s="70">
        <f>+'FA - Historical Financials'!AI96</f>
        <v>25.45</v>
      </c>
      <c r="G22" s="70">
        <f>+'FA - Historical Financials'!AJ96</f>
        <v>29.896999999999998</v>
      </c>
      <c r="H22" s="106">
        <f t="shared" ref="H22:S22" si="14">+H23*H$8</f>
        <v>19.845563500000001</v>
      </c>
      <c r="I22" s="49">
        <f t="shared" si="14"/>
        <v>22.822398024999998</v>
      </c>
      <c r="J22" s="49">
        <f t="shared" si="14"/>
        <v>25.561085788</v>
      </c>
      <c r="K22" s="49">
        <f t="shared" si="14"/>
        <v>27.605972651040002</v>
      </c>
      <c r="L22" s="49">
        <f t="shared" si="14"/>
        <v>29.814450463123205</v>
      </c>
      <c r="M22" s="49">
        <f t="shared" si="14"/>
        <v>32.199606500173061</v>
      </c>
      <c r="N22" s="49">
        <f t="shared" si="14"/>
        <v>34.517978168185529</v>
      </c>
      <c r="O22" s="49">
        <f t="shared" si="14"/>
        <v>36.754743153483943</v>
      </c>
      <c r="P22" s="49">
        <f t="shared" si="14"/>
        <v>38.898279774195125</v>
      </c>
      <c r="Q22" s="49">
        <f t="shared" si="14"/>
        <v>40.939972682983083</v>
      </c>
      <c r="R22" s="49">
        <f t="shared" si="14"/>
        <v>42.873944240549058</v>
      </c>
      <c r="S22" s="49">
        <f t="shared" si="14"/>
        <v>44.696741984640383</v>
      </c>
    </row>
    <row r="23" spans="2:23" s="12" customFormat="1" x14ac:dyDescent="0.2">
      <c r="B23" s="13" t="s">
        <v>41</v>
      </c>
      <c r="C23" s="14"/>
      <c r="D23" s="19">
        <f>+D22/D$8</f>
        <v>4.1192111539395601E-2</v>
      </c>
      <c r="E23" s="19">
        <f>+E22/E$8</f>
        <v>4.0101815953522912E-2</v>
      </c>
      <c r="F23" s="19">
        <f>+F22/F$8</f>
        <v>3.5729578334819136E-2</v>
      </c>
      <c r="G23" s="19">
        <f>+G22/G$8</f>
        <v>3.6908828514745876E-2</v>
      </c>
      <c r="H23" s="697">
        <v>3.5000000000000003E-2</v>
      </c>
      <c r="I23" s="59">
        <v>3.5000000000000003E-2</v>
      </c>
      <c r="J23" s="59">
        <v>3.5000000000000003E-2</v>
      </c>
      <c r="K23" s="59">
        <v>3.5000000000000003E-2</v>
      </c>
      <c r="L23" s="59">
        <v>3.5000000000000003E-2</v>
      </c>
      <c r="M23" s="59">
        <v>3.5000000000000003E-2</v>
      </c>
      <c r="N23" s="59">
        <v>3.5000000000000003E-2</v>
      </c>
      <c r="O23" s="59">
        <v>3.5000000000000003E-2</v>
      </c>
      <c r="P23" s="59">
        <v>3.5000000000000003E-2</v>
      </c>
      <c r="Q23" s="59">
        <v>3.5000000000000003E-2</v>
      </c>
      <c r="R23" s="59">
        <v>3.5000000000000003E-2</v>
      </c>
      <c r="S23" s="59">
        <v>3.5000000000000003E-2</v>
      </c>
    </row>
    <row r="24" spans="2:23" x14ac:dyDescent="0.2">
      <c r="F24" s="20"/>
      <c r="G24" s="20"/>
      <c r="H24" s="104"/>
      <c r="I24" s="20"/>
      <c r="J24" s="20"/>
      <c r="K24" s="20"/>
      <c r="L24" s="20"/>
      <c r="M24" s="20"/>
      <c r="N24" s="20"/>
      <c r="O24" s="20"/>
      <c r="P24" s="20"/>
      <c r="Q24" s="20"/>
      <c r="R24" s="20"/>
      <c r="S24" s="20"/>
      <c r="V24" s="1">
        <v>20000</v>
      </c>
    </row>
    <row r="25" spans="2:23" ht="11.25" customHeight="1" x14ac:dyDescent="0.2">
      <c r="B25" s="21" t="s">
        <v>42</v>
      </c>
      <c r="D25" s="40">
        <f t="shared" ref="D25:S25" si="15">+D18-D22</f>
        <v>102.712</v>
      </c>
      <c r="E25" s="40">
        <f t="shared" si="15"/>
        <v>120.52799999999999</v>
      </c>
      <c r="F25" s="40">
        <f t="shared" si="15"/>
        <v>191.31399999999999</v>
      </c>
      <c r="G25" s="49">
        <f t="shared" si="15"/>
        <v>211.15700000000004</v>
      </c>
      <c r="H25" s="106">
        <f t="shared" si="15"/>
        <v>148.8922365</v>
      </c>
      <c r="I25" s="49">
        <f t="shared" si="15"/>
        <v>177.74675712499999</v>
      </c>
      <c r="J25" s="49">
        <f t="shared" si="15"/>
        <v>206.37953534799999</v>
      </c>
      <c r="K25" s="49">
        <f t="shared" si="15"/>
        <v>230.77731893328004</v>
      </c>
      <c r="L25" s="49">
        <f t="shared" si="15"/>
        <v>257.75791886597767</v>
      </c>
      <c r="M25" s="49">
        <f t="shared" si="15"/>
        <v>287.57843994673391</v>
      </c>
      <c r="N25" s="49">
        <f t="shared" si="15"/>
        <v>318.14636709952316</v>
      </c>
      <c r="O25" s="49">
        <f t="shared" si="15"/>
        <v>349.263606874282</v>
      </c>
      <c r="P25" s="49">
        <f t="shared" si="15"/>
        <v>380.74645464838869</v>
      </c>
      <c r="Q25" s="49">
        <f t="shared" si="15"/>
        <v>412.42820961225431</v>
      </c>
      <c r="R25" s="49">
        <f t="shared" si="15"/>
        <v>444.16068664621207</v>
      </c>
      <c r="S25" s="49">
        <f t="shared" si="15"/>
        <v>475.81480031386531</v>
      </c>
    </row>
    <row r="26" spans="2:23" s="12" customFormat="1" ht="11.25" customHeight="1" x14ac:dyDescent="0.2">
      <c r="B26" s="13" t="s">
        <v>29</v>
      </c>
      <c r="C26" s="14"/>
      <c r="D26" s="15"/>
      <c r="E26" s="15">
        <f t="shared" ref="E26:S26" si="16">IF(OR(E25&lt;0, D25&lt;0), "NM", E25/D25-1)</f>
        <v>0.17345587662590534</v>
      </c>
      <c r="F26" s="15">
        <f t="shared" si="16"/>
        <v>0.58729921677950347</v>
      </c>
      <c r="G26" s="15">
        <f t="shared" si="16"/>
        <v>0.10371953960504743</v>
      </c>
      <c r="H26" s="102">
        <f t="shared" si="16"/>
        <v>-0.29487425706938453</v>
      </c>
      <c r="I26" s="15">
        <f t="shared" si="16"/>
        <v>0.1937946618526345</v>
      </c>
      <c r="J26" s="15">
        <f t="shared" si="16"/>
        <v>0.16108748584855515</v>
      </c>
      <c r="K26" s="15">
        <f t="shared" si="16"/>
        <v>0.11821803719123691</v>
      </c>
      <c r="L26" s="15">
        <f t="shared" si="16"/>
        <v>0.11691183543257111</v>
      </c>
      <c r="M26" s="15">
        <f t="shared" si="16"/>
        <v>0.11569196869664955</v>
      </c>
      <c r="N26" s="15">
        <f t="shared" si="16"/>
        <v>0.1062942241374254</v>
      </c>
      <c r="O26" s="15">
        <f t="shared" si="16"/>
        <v>9.7807936826211472E-2</v>
      </c>
      <c r="P26" s="15">
        <f t="shared" si="16"/>
        <v>9.0140647792825934E-2</v>
      </c>
      <c r="Q26" s="15">
        <f t="shared" si="16"/>
        <v>8.3209586266858482E-2</v>
      </c>
      <c r="R26" s="15">
        <f t="shared" si="16"/>
        <v>7.6940607587902665E-2</v>
      </c>
      <c r="S26" s="15">
        <f t="shared" si="16"/>
        <v>7.1267256691870839E-2</v>
      </c>
    </row>
    <row r="27" spans="2:23" s="12" customFormat="1" x14ac:dyDescent="0.2">
      <c r="B27" s="13" t="s">
        <v>33</v>
      </c>
      <c r="C27" s="14"/>
      <c r="D27" s="19">
        <f t="shared" ref="D27:S27" si="17">+D25/D$8</f>
        <v>0.21319849636857655</v>
      </c>
      <c r="E27" s="19">
        <f t="shared" si="17"/>
        <v>0.23672209194074878</v>
      </c>
      <c r="F27" s="19">
        <f t="shared" si="17"/>
        <v>0.26858815518851031</v>
      </c>
      <c r="G27" s="19">
        <f t="shared" si="17"/>
        <v>0.26068025228913255</v>
      </c>
      <c r="H27" s="105">
        <f t="shared" si="17"/>
        <v>0.26258908080387844</v>
      </c>
      <c r="I27" s="19">
        <f t="shared" si="17"/>
        <v>0.27258908080387839</v>
      </c>
      <c r="J27" s="19">
        <f t="shared" si="17"/>
        <v>0.2825890808038784</v>
      </c>
      <c r="K27" s="19">
        <f t="shared" si="17"/>
        <v>0.29258908080387847</v>
      </c>
      <c r="L27" s="19">
        <f t="shared" si="17"/>
        <v>0.30258908080387847</v>
      </c>
      <c r="M27" s="19">
        <f t="shared" si="17"/>
        <v>0.31258908080387848</v>
      </c>
      <c r="N27" s="19">
        <f t="shared" si="17"/>
        <v>0.32258908080387844</v>
      </c>
      <c r="O27" s="19">
        <f t="shared" si="17"/>
        <v>0.3325890808038785</v>
      </c>
      <c r="P27" s="19">
        <f t="shared" si="17"/>
        <v>0.34258908080387845</v>
      </c>
      <c r="Q27" s="19">
        <f t="shared" si="17"/>
        <v>0.35258908080387852</v>
      </c>
      <c r="R27" s="19">
        <f t="shared" si="17"/>
        <v>0.36258908080387853</v>
      </c>
      <c r="S27" s="19">
        <f t="shared" si="17"/>
        <v>0.37258908080387854</v>
      </c>
    </row>
    <row r="28" spans="2:23" x14ac:dyDescent="0.2">
      <c r="F28" s="20"/>
      <c r="G28" s="20"/>
      <c r="H28" s="104"/>
      <c r="I28" s="20"/>
      <c r="J28" s="20"/>
      <c r="K28" s="20"/>
      <c r="L28" s="20"/>
      <c r="M28" s="20"/>
      <c r="N28" s="20"/>
      <c r="O28" s="20"/>
      <c r="P28" s="20"/>
      <c r="Q28" s="20"/>
      <c r="R28" s="20"/>
      <c r="S28" s="20"/>
    </row>
    <row r="29" spans="2:23" x14ac:dyDescent="0.2">
      <c r="B29" s="1" t="s">
        <v>43</v>
      </c>
      <c r="D29" s="70">
        <f>+'FA - Historical Financials'!AG103</f>
        <v>14.879</v>
      </c>
      <c r="E29" s="70">
        <f>+'FA - Historical Financials'!AH103</f>
        <v>10.895</v>
      </c>
      <c r="F29" s="70">
        <f>+'FA - Historical Financials'!AI103</f>
        <v>15.949999999999996</v>
      </c>
      <c r="G29" s="70">
        <f>+'FA - Historical Financials'!AJ103</f>
        <v>22.301999999999996</v>
      </c>
      <c r="H29" s="698">
        <f>+AVERAGE(F29:G29,H22)</f>
        <v>19.365854499999998</v>
      </c>
      <c r="I29" s="61">
        <f t="shared" ref="I29:S29" si="18">+AVERAGE(G29:H29,I22)</f>
        <v>21.496750841666664</v>
      </c>
      <c r="J29" s="61">
        <f t="shared" si="18"/>
        <v>22.141230376555555</v>
      </c>
      <c r="K29" s="61">
        <f t="shared" si="18"/>
        <v>23.747984623087408</v>
      </c>
      <c r="L29" s="61">
        <f t="shared" si="18"/>
        <v>25.234555154255389</v>
      </c>
      <c r="M29" s="61">
        <f t="shared" si="18"/>
        <v>27.06071542583862</v>
      </c>
      <c r="N29" s="61">
        <f t="shared" si="18"/>
        <v>28.937749582759846</v>
      </c>
      <c r="O29" s="61">
        <f t="shared" si="18"/>
        <v>30.917736054027472</v>
      </c>
      <c r="P29" s="61">
        <f t="shared" si="18"/>
        <v>32.917921803660818</v>
      </c>
      <c r="Q29" s="61">
        <f t="shared" si="18"/>
        <v>34.925210180223793</v>
      </c>
      <c r="R29" s="61">
        <f t="shared" si="18"/>
        <v>36.90569207481122</v>
      </c>
      <c r="S29" s="61">
        <f t="shared" si="18"/>
        <v>38.842548079891799</v>
      </c>
    </row>
    <row r="30" spans="2:23" s="12" customFormat="1" x14ac:dyDescent="0.2">
      <c r="B30" s="13" t="s">
        <v>41</v>
      </c>
      <c r="C30" s="14"/>
      <c r="D30" s="19">
        <f>+D29/D$8</f>
        <v>3.0884224116637299E-2</v>
      </c>
      <c r="E30" s="19">
        <f>+E29/E$8</f>
        <v>2.1398241003704185E-2</v>
      </c>
      <c r="F30" s="19">
        <f>+F29/F$8</f>
        <v>2.239240764009293E-2</v>
      </c>
      <c r="G30" s="19">
        <f>+G29/G$8</f>
        <v>2.7532551544832671E-2</v>
      </c>
      <c r="H30" s="105">
        <f>+H29/H$8</f>
        <v>3.415397640384462E-2</v>
      </c>
      <c r="I30" s="19">
        <f t="shared" ref="I30:S30" si="19">+I29/I$8</f>
        <v>3.2967012433757312E-2</v>
      </c>
      <c r="J30" s="19">
        <f t="shared" si="19"/>
        <v>3.0317298318495219E-2</v>
      </c>
      <c r="K30" s="19">
        <f t="shared" si="19"/>
        <v>3.0108682360690024E-2</v>
      </c>
      <c r="L30" s="19">
        <f t="shared" si="19"/>
        <v>2.9623535456115811E-2</v>
      </c>
      <c r="M30" s="19">
        <f t="shared" si="19"/>
        <v>2.9414180570786208E-2</v>
      </c>
      <c r="N30" s="19">
        <f t="shared" si="19"/>
        <v>2.9341847035817704E-2</v>
      </c>
      <c r="O30" s="19">
        <f t="shared" si="19"/>
        <v>2.9441663008557536E-2</v>
      </c>
      <c r="P30" s="19">
        <f t="shared" si="19"/>
        <v>2.9618977235400589E-2</v>
      </c>
      <c r="Q30" s="19">
        <f t="shared" si="19"/>
        <v>2.9857918220251342E-2</v>
      </c>
      <c r="R30" s="19">
        <f t="shared" si="19"/>
        <v>3.0127837442973988E-2</v>
      </c>
      <c r="S30" s="19">
        <f t="shared" si="19"/>
        <v>3.0415845147357467E-2</v>
      </c>
    </row>
    <row r="31" spans="2:23" x14ac:dyDescent="0.2">
      <c r="F31" s="20"/>
      <c r="G31" s="20"/>
      <c r="H31" s="104"/>
      <c r="I31" s="20"/>
      <c r="J31" s="20"/>
      <c r="K31" s="20"/>
      <c r="L31" s="20"/>
      <c r="M31" s="20"/>
      <c r="N31" s="20"/>
      <c r="O31" s="20"/>
      <c r="P31" s="20"/>
      <c r="Q31" s="20"/>
      <c r="R31" s="20"/>
      <c r="S31" s="20"/>
    </row>
    <row r="32" spans="2:23" x14ac:dyDescent="0.2">
      <c r="B32" s="1" t="s">
        <v>44</v>
      </c>
      <c r="D32" s="70">
        <f>+'FA - Historical Financials'!AG105</f>
        <v>51.018999999999998</v>
      </c>
      <c r="E32" s="70">
        <f>+'FA - Historical Financials'!AH105</f>
        <v>51.873000000000005</v>
      </c>
      <c r="F32" s="70">
        <f>+'FA - Historical Financials'!AI105</f>
        <v>24.972000000000001</v>
      </c>
      <c r="G32" s="70">
        <f>+'FA - Historical Financials'!AJ105</f>
        <v>9.1989999999999998</v>
      </c>
      <c r="H32" s="106">
        <f>+'FA - Historical Financials'!AK105</f>
        <v>33.04</v>
      </c>
      <c r="I32" s="49">
        <f>+(I57-H57)*I33</f>
        <v>19.633491136082306</v>
      </c>
      <c r="J32" s="49">
        <f t="shared" ref="J32:S32" si="20">+J33*AVERAGE(I57:J57)</f>
        <v>41.583537281533147</v>
      </c>
      <c r="K32" s="49">
        <f t="shared" si="20"/>
        <v>47.551764781500211</v>
      </c>
      <c r="L32" s="49">
        <f t="shared" si="20"/>
        <v>46.233271395395448</v>
      </c>
      <c r="M32" s="49">
        <f t="shared" si="20"/>
        <v>51.129647070458873</v>
      </c>
      <c r="N32" s="49">
        <f t="shared" si="20"/>
        <v>56.311603201711222</v>
      </c>
      <c r="O32" s="49">
        <f t="shared" si="20"/>
        <v>61.600483966156467</v>
      </c>
      <c r="P32" s="49">
        <f t="shared" si="20"/>
        <v>66.964774641772294</v>
      </c>
      <c r="Q32" s="49">
        <f t="shared" si="20"/>
        <v>72.376585566029632</v>
      </c>
      <c r="R32" s="49">
        <f t="shared" si="20"/>
        <v>77.776164284307512</v>
      </c>
      <c r="S32" s="49">
        <f t="shared" si="20"/>
        <v>83.141538374061327</v>
      </c>
    </row>
    <row r="33" spans="1:19" s="12" customFormat="1" outlineLevel="1" x14ac:dyDescent="0.2">
      <c r="B33" s="13" t="s">
        <v>45</v>
      </c>
      <c r="C33" s="14"/>
      <c r="D33" s="16"/>
      <c r="E33" s="16">
        <f>+E32/AVERAGE(D57:E57)</f>
        <v>9.5169950271210418E-2</v>
      </c>
      <c r="F33" s="16">
        <f t="shared" ref="F33:H33" si="21">+F32/AVERAGE(E57:F57)</f>
        <v>5.5960792486571154E-2</v>
      </c>
      <c r="G33" s="16">
        <f t="shared" si="21"/>
        <v>4.3360829601696904E-2</v>
      </c>
      <c r="H33" s="102">
        <f t="shared" si="21"/>
        <v>0.12911555291131505</v>
      </c>
      <c r="I33" s="59">
        <f>+'FA Base'!I36</f>
        <v>0.12859977943347539</v>
      </c>
      <c r="J33" s="59">
        <f>+'FA Base'!J36</f>
        <v>7.6915786993051918E-2</v>
      </c>
      <c r="K33" s="59">
        <f>+'FA Base'!K36</f>
        <v>7.7584247552084887E-2</v>
      </c>
      <c r="L33" s="59">
        <f>+'FA Base'!L36</f>
        <v>6.7746558492378733E-2</v>
      </c>
      <c r="M33" s="59">
        <f>+'FA Base'!M36</f>
        <v>6.734780547421651E-2</v>
      </c>
      <c r="N33" s="59">
        <f>+'FA Base'!N36</f>
        <v>6.6993519618090761E-2</v>
      </c>
      <c r="O33" s="59">
        <f>+'FA Base'!O36</f>
        <v>6.6713877943509844E-2</v>
      </c>
      <c r="P33" s="59">
        <f>+'FA Base'!P36</f>
        <v>6.6494072705300028E-2</v>
      </c>
      <c r="Q33" s="59">
        <f>+'FA Base'!Q36</f>
        <v>6.632349572845872E-2</v>
      </c>
      <c r="R33" s="59">
        <f>+'FA Base'!R36</f>
        <v>6.6164127281703733E-2</v>
      </c>
      <c r="S33" s="59">
        <f>+'FA Base'!S36</f>
        <v>6.6015069551575434E-2</v>
      </c>
    </row>
    <row r="34" spans="1:19" x14ac:dyDescent="0.2">
      <c r="D34" s="34"/>
      <c r="E34" s="34"/>
      <c r="F34" s="20"/>
      <c r="G34" s="20"/>
      <c r="H34" s="104"/>
      <c r="I34" s="20"/>
      <c r="J34" s="20"/>
      <c r="K34" s="20"/>
      <c r="L34" s="20"/>
      <c r="M34" s="20"/>
      <c r="N34" s="20"/>
      <c r="O34" s="20"/>
      <c r="P34" s="20"/>
      <c r="Q34" s="20"/>
      <c r="R34" s="20"/>
      <c r="S34" s="20"/>
    </row>
    <row r="35" spans="1:19" x14ac:dyDescent="0.2">
      <c r="B35" s="1" t="s">
        <v>46</v>
      </c>
      <c r="D35" s="49">
        <f t="shared" ref="D35:G35" si="22">+MAX((D18-D32-D29)*D36,0)</f>
        <v>14.164750000000003</v>
      </c>
      <c r="E35" s="49">
        <f t="shared" si="22"/>
        <v>19.544499999999999</v>
      </c>
      <c r="F35" s="49">
        <f t="shared" si="22"/>
        <v>43.960499999999996</v>
      </c>
      <c r="G35" s="49">
        <f t="shared" si="22"/>
        <v>52.388250000000006</v>
      </c>
      <c r="H35" s="106">
        <f>+MAX((H18-H32-H29)*H36,0)</f>
        <v>29.082986375000001</v>
      </c>
      <c r="I35" s="49">
        <f t="shared" ref="I35:S35" si="23">+MAX((I18-I32-I29)*I36,0)</f>
        <v>39.859728293062759</v>
      </c>
      <c r="J35" s="49">
        <f t="shared" si="23"/>
        <v>42.053963369477827</v>
      </c>
      <c r="K35" s="49">
        <f t="shared" si="23"/>
        <v>46.770885544933108</v>
      </c>
      <c r="L35" s="49">
        <f t="shared" si="23"/>
        <v>54.026135694862511</v>
      </c>
      <c r="M35" s="49">
        <f t="shared" si="23"/>
        <v>60.396920987652365</v>
      </c>
      <c r="N35" s="49">
        <f t="shared" si="23"/>
        <v>66.853748120809414</v>
      </c>
      <c r="O35" s="49">
        <f t="shared" si="23"/>
        <v>73.375032501895504</v>
      </c>
      <c r="P35" s="49">
        <f t="shared" si="23"/>
        <v>79.940509494287681</v>
      </c>
      <c r="Q35" s="49">
        <f t="shared" si="23"/>
        <v>86.516596637245982</v>
      </c>
      <c r="R35" s="49">
        <f t="shared" si="23"/>
        <v>93.088193631910599</v>
      </c>
      <c r="S35" s="49">
        <f t="shared" si="23"/>
        <v>99.631863961138137</v>
      </c>
    </row>
    <row r="36" spans="1:19" x14ac:dyDescent="0.2">
      <c r="B36" s="13" t="s">
        <v>47</v>
      </c>
      <c r="C36" s="14"/>
      <c r="D36" s="86">
        <v>0.25</v>
      </c>
      <c r="E36" s="86">
        <f t="shared" ref="E36:S36" si="24">+D36</f>
        <v>0.25</v>
      </c>
      <c r="F36" s="86">
        <f t="shared" si="24"/>
        <v>0.25</v>
      </c>
      <c r="G36" s="86">
        <f t="shared" si="24"/>
        <v>0.25</v>
      </c>
      <c r="H36" s="107">
        <f t="shared" si="24"/>
        <v>0.25</v>
      </c>
      <c r="I36" s="86">
        <f t="shared" si="24"/>
        <v>0.25</v>
      </c>
      <c r="J36" s="86">
        <f t="shared" si="24"/>
        <v>0.25</v>
      </c>
      <c r="K36" s="86">
        <f t="shared" si="24"/>
        <v>0.25</v>
      </c>
      <c r="L36" s="86">
        <f t="shared" si="24"/>
        <v>0.25</v>
      </c>
      <c r="M36" s="86">
        <f t="shared" si="24"/>
        <v>0.25</v>
      </c>
      <c r="N36" s="86">
        <f t="shared" si="24"/>
        <v>0.25</v>
      </c>
      <c r="O36" s="86">
        <f t="shared" si="24"/>
        <v>0.25</v>
      </c>
      <c r="P36" s="86">
        <f t="shared" si="24"/>
        <v>0.25</v>
      </c>
      <c r="Q36" s="86">
        <f t="shared" si="24"/>
        <v>0.25</v>
      </c>
      <c r="R36" s="86">
        <f t="shared" si="24"/>
        <v>0.25</v>
      </c>
      <c r="S36" s="86">
        <f t="shared" si="24"/>
        <v>0.25</v>
      </c>
    </row>
    <row r="37" spans="1:19" x14ac:dyDescent="0.2">
      <c r="F37" s="20"/>
      <c r="G37" s="20"/>
      <c r="H37" s="104"/>
      <c r="I37" s="20"/>
      <c r="J37" s="20"/>
      <c r="K37" s="20"/>
      <c r="L37" s="20"/>
      <c r="M37" s="20"/>
      <c r="N37" s="20"/>
      <c r="O37" s="20"/>
      <c r="P37" s="20"/>
      <c r="Q37" s="20"/>
      <c r="R37" s="20"/>
      <c r="S37" s="20"/>
    </row>
    <row r="38" spans="1:19" x14ac:dyDescent="0.2">
      <c r="B38" s="1" t="s">
        <v>48</v>
      </c>
      <c r="D38" s="40">
        <f t="shared" ref="D38:S38" si="25">+D25-D32-D35</f>
        <v>37.52825</v>
      </c>
      <c r="E38" s="40">
        <f t="shared" si="25"/>
        <v>49.110499999999988</v>
      </c>
      <c r="F38" s="40">
        <f t="shared" si="25"/>
        <v>122.38149999999999</v>
      </c>
      <c r="G38" s="40">
        <f t="shared" si="25"/>
        <v>149.56975000000003</v>
      </c>
      <c r="H38" s="108">
        <f t="shared" si="25"/>
        <v>86.769250124999999</v>
      </c>
      <c r="I38" s="40">
        <f t="shared" si="25"/>
        <v>118.25353769585492</v>
      </c>
      <c r="J38" s="40">
        <f t="shared" si="25"/>
        <v>122.74203469698901</v>
      </c>
      <c r="K38" s="40">
        <f t="shared" si="25"/>
        <v>136.45466860684672</v>
      </c>
      <c r="L38" s="40">
        <f t="shared" si="25"/>
        <v>157.49851177571972</v>
      </c>
      <c r="M38" s="40">
        <f t="shared" si="25"/>
        <v>176.05187188862266</v>
      </c>
      <c r="N38" s="40">
        <f t="shared" si="25"/>
        <v>194.98101577700254</v>
      </c>
      <c r="O38" s="40">
        <f t="shared" si="25"/>
        <v>214.28809040623005</v>
      </c>
      <c r="P38" s="40">
        <f t="shared" si="25"/>
        <v>233.84117051232872</v>
      </c>
      <c r="Q38" s="40">
        <f t="shared" si="25"/>
        <v>253.53502740897869</v>
      </c>
      <c r="R38" s="40">
        <f t="shared" si="25"/>
        <v>273.29632872999395</v>
      </c>
      <c r="S38" s="40">
        <f t="shared" si="25"/>
        <v>293.04139797866583</v>
      </c>
    </row>
    <row r="39" spans="1:19" s="12" customFormat="1" x14ac:dyDescent="0.2">
      <c r="B39" s="13" t="s">
        <v>29</v>
      </c>
      <c r="C39" s="14"/>
      <c r="D39" s="15"/>
      <c r="E39" s="15">
        <f t="shared" ref="E39:S39" si="26">IF(OR(E38&lt;0, D38&lt;0), "NM", E38/D38-1)</f>
        <v>0.30862750061620203</v>
      </c>
      <c r="F39" s="15">
        <f t="shared" si="26"/>
        <v>1.4919620040520871</v>
      </c>
      <c r="G39" s="15">
        <f t="shared" si="26"/>
        <v>0.22215980356508158</v>
      </c>
      <c r="H39" s="102">
        <f t="shared" si="26"/>
        <v>-0.41987433872825231</v>
      </c>
      <c r="I39" s="15">
        <f t="shared" si="26"/>
        <v>0.36285075099183839</v>
      </c>
      <c r="J39" s="15">
        <f t="shared" si="26"/>
        <v>3.7956555791830882E-2</v>
      </c>
      <c r="K39" s="15">
        <f t="shared" si="26"/>
        <v>0.11171913471786454</v>
      </c>
      <c r="L39" s="15">
        <f t="shared" si="26"/>
        <v>0.154218564917735</v>
      </c>
      <c r="M39" s="15">
        <f t="shared" si="26"/>
        <v>0.11780022492735176</v>
      </c>
      <c r="N39" s="15">
        <f t="shared" si="26"/>
        <v>0.10752026482487609</v>
      </c>
      <c r="O39" s="15">
        <f t="shared" si="26"/>
        <v>9.9020279242512332E-2</v>
      </c>
      <c r="P39" s="15">
        <f t="shared" si="26"/>
        <v>9.1246695367117825E-2</v>
      </c>
      <c r="Q39" s="15">
        <f t="shared" si="26"/>
        <v>8.4218945934551259E-2</v>
      </c>
      <c r="R39" s="15">
        <f t="shared" si="26"/>
        <v>7.7943081565365668E-2</v>
      </c>
      <c r="S39" s="15">
        <f t="shared" si="26"/>
        <v>7.2247839334055763E-2</v>
      </c>
    </row>
    <row r="40" spans="1:19" x14ac:dyDescent="0.2">
      <c r="D40" s="15"/>
      <c r="E40" s="15"/>
      <c r="F40" s="15"/>
      <c r="G40" s="15"/>
      <c r="H40" s="100"/>
      <c r="I40" s="20"/>
      <c r="J40" s="20"/>
      <c r="K40" s="20"/>
      <c r="L40" s="20"/>
      <c r="M40" s="20"/>
      <c r="N40" s="20"/>
      <c r="O40" s="20"/>
      <c r="P40" s="20"/>
      <c r="Q40" s="20"/>
      <c r="R40" s="20"/>
      <c r="S40" s="20"/>
    </row>
    <row r="41" spans="1:19" ht="10.5" hidden="1" outlineLevel="1" x14ac:dyDescent="0.25">
      <c r="B41" s="26" t="s">
        <v>494</v>
      </c>
      <c r="D41" s="15"/>
      <c r="E41" s="15"/>
      <c r="F41" s="15"/>
      <c r="G41" s="15"/>
      <c r="H41" s="100"/>
      <c r="I41" s="20"/>
      <c r="J41" s="20"/>
      <c r="K41" s="20"/>
      <c r="L41" s="20"/>
      <c r="M41" s="20"/>
      <c r="N41" s="20"/>
      <c r="O41" s="20"/>
      <c r="P41" s="20"/>
      <c r="Q41" s="20"/>
      <c r="R41" s="20"/>
      <c r="S41" s="20"/>
    </row>
    <row r="42" spans="1:19" hidden="1" outlineLevel="1" x14ac:dyDescent="0.2">
      <c r="B42" s="1" t="str">
        <f>+'FA - Detailed Disclosure'!A259</f>
        <v>Federal</v>
      </c>
      <c r="D42" s="15"/>
      <c r="E42" s="40">
        <f>+'FA - Detailed Disclosure'!AJ259</f>
        <v>197.6</v>
      </c>
      <c r="F42" s="40">
        <f>+'FA - Detailed Disclosure'!AK259</f>
        <v>120.1</v>
      </c>
      <c r="G42" s="40">
        <f>+'FA - Detailed Disclosure'!AL259</f>
        <v>10.97</v>
      </c>
      <c r="H42" s="100"/>
      <c r="I42" s="20"/>
      <c r="J42" s="20"/>
      <c r="K42" s="20"/>
      <c r="L42" s="20"/>
      <c r="M42" s="20"/>
      <c r="N42" s="20"/>
      <c r="O42" s="20"/>
      <c r="P42" s="20"/>
      <c r="Q42" s="20"/>
      <c r="R42" s="20"/>
      <c r="S42" s="20"/>
    </row>
    <row r="43" spans="1:19" hidden="1" outlineLevel="1" x14ac:dyDescent="0.2">
      <c r="B43" s="1" t="str">
        <f>+'FA - Detailed Disclosure'!A260</f>
        <v>State</v>
      </c>
      <c r="D43" s="15"/>
      <c r="E43" s="40">
        <f>+'FA - Detailed Disclosure'!AJ260</f>
        <v>166.2</v>
      </c>
      <c r="F43" s="40">
        <f>+'FA - Detailed Disclosure'!AK260</f>
        <v>147.5</v>
      </c>
      <c r="G43" s="40">
        <f>+'FA - Detailed Disclosure'!AL260</f>
        <v>125.989</v>
      </c>
      <c r="H43" s="100"/>
      <c r="I43" s="20"/>
      <c r="J43" s="20"/>
      <c r="K43" s="20"/>
      <c r="L43" s="20"/>
      <c r="M43" s="20"/>
      <c r="N43" s="20"/>
      <c r="O43" s="20"/>
      <c r="P43" s="20"/>
      <c r="Q43" s="20"/>
      <c r="R43" s="20"/>
      <c r="S43" s="20"/>
    </row>
    <row r="44" spans="1:19" s="82" customFormat="1" ht="11.5" hidden="1" outlineLevel="1" x14ac:dyDescent="0.35">
      <c r="A44" s="1"/>
      <c r="B44" s="1" t="str">
        <f>+'FA - Detailed Disclosure'!A261</f>
        <v xml:space="preserve">Foreign Income </v>
      </c>
      <c r="D44" s="50"/>
      <c r="E44" s="53">
        <f>+'FA - Detailed Disclosure'!AJ261</f>
        <v>36</v>
      </c>
      <c r="F44" s="53">
        <f>+'FA - Detailed Disclosure'!AK261</f>
        <v>25.1</v>
      </c>
      <c r="G44" s="53">
        <f>+'FA - Detailed Disclosure'!AL261</f>
        <v>24.207000000000001</v>
      </c>
      <c r="H44" s="695"/>
      <c r="I44" s="60"/>
      <c r="J44" s="60"/>
      <c r="K44" s="60"/>
      <c r="L44" s="60"/>
      <c r="M44" s="60"/>
      <c r="N44" s="60"/>
      <c r="O44" s="60"/>
      <c r="P44" s="60"/>
      <c r="Q44" s="60"/>
      <c r="R44" s="60"/>
      <c r="S44" s="60"/>
    </row>
    <row r="45" spans="1:19" s="3" customFormat="1" ht="10.5" hidden="1" outlineLevel="1" x14ac:dyDescent="0.25">
      <c r="B45" s="32" t="str">
        <f>+'FA - Detailed Disclosure'!A262</f>
        <v>Total NOLs</v>
      </c>
      <c r="C45" s="32"/>
      <c r="D45" s="619"/>
      <c r="E45" s="51">
        <f>+'FA - Detailed Disclosure'!AJ262</f>
        <v>399.79999999999995</v>
      </c>
      <c r="F45" s="51">
        <f>+'FA - Detailed Disclosure'!AK262</f>
        <v>292.70000000000005</v>
      </c>
      <c r="G45" s="51">
        <f>+'FA - Detailed Disclosure'!AL262</f>
        <v>161.166</v>
      </c>
      <c r="H45" s="620"/>
      <c r="I45" s="93"/>
      <c r="J45" s="93"/>
      <c r="K45" s="93"/>
      <c r="L45" s="93"/>
      <c r="M45" s="93"/>
      <c r="N45" s="93"/>
      <c r="O45" s="93"/>
      <c r="P45" s="93"/>
      <c r="Q45" s="93"/>
      <c r="R45" s="93"/>
      <c r="S45" s="93"/>
    </row>
    <row r="46" spans="1:19" hidden="1" outlineLevel="1" x14ac:dyDescent="0.2">
      <c r="D46" s="15"/>
      <c r="E46" s="15"/>
      <c r="F46" s="15"/>
      <c r="G46" s="15"/>
      <c r="H46" s="100"/>
      <c r="I46" s="20"/>
      <c r="J46" s="20"/>
      <c r="K46" s="20"/>
      <c r="L46" s="20"/>
      <c r="M46" s="20"/>
      <c r="N46" s="20"/>
      <c r="O46" s="20"/>
      <c r="P46" s="20"/>
      <c r="Q46" s="20"/>
      <c r="R46" s="20"/>
      <c r="S46" s="20"/>
    </row>
    <row r="47" spans="1:19" hidden="1" outlineLevel="1" x14ac:dyDescent="0.2">
      <c r="B47" s="1" t="s">
        <v>771</v>
      </c>
      <c r="D47" s="15"/>
      <c r="E47" s="15"/>
      <c r="F47" s="40">
        <f>+F45-E45</f>
        <v>-107.09999999999991</v>
      </c>
      <c r="G47" s="64">
        <f>+G45-F45</f>
        <v>-131.53400000000005</v>
      </c>
      <c r="H47" s="110"/>
      <c r="I47" s="64"/>
      <c r="J47" s="20"/>
      <c r="K47" s="20"/>
      <c r="L47" s="20"/>
      <c r="M47" s="20"/>
      <c r="N47" s="20"/>
      <c r="O47" s="20"/>
      <c r="P47" s="20"/>
      <c r="Q47" s="20"/>
      <c r="R47" s="20"/>
      <c r="S47" s="20"/>
    </row>
    <row r="48" spans="1:19" hidden="1" outlineLevel="1" x14ac:dyDescent="0.2">
      <c r="B48" s="1" t="s">
        <v>772</v>
      </c>
      <c r="D48" s="15"/>
      <c r="E48" s="15"/>
      <c r="F48" s="40">
        <f>+F50</f>
        <v>33.599499999999992</v>
      </c>
      <c r="G48" s="64">
        <f>+G50</f>
        <v>34.913249999999998</v>
      </c>
      <c r="H48" s="110"/>
      <c r="I48" s="64"/>
      <c r="J48" s="20"/>
      <c r="K48" s="20"/>
      <c r="L48" s="20"/>
      <c r="M48" s="20"/>
      <c r="N48" s="20"/>
      <c r="O48" s="20"/>
      <c r="P48" s="20"/>
      <c r="Q48" s="20"/>
      <c r="R48" s="20"/>
      <c r="S48" s="20"/>
    </row>
    <row r="49" spans="2:19" hidden="1" outlineLevel="1" x14ac:dyDescent="0.2">
      <c r="D49" s="15"/>
      <c r="E49" s="15"/>
      <c r="F49" s="15"/>
      <c r="G49" s="15"/>
      <c r="H49" s="100"/>
      <c r="I49" s="20"/>
      <c r="J49" s="20"/>
      <c r="K49" s="20"/>
      <c r="L49" s="20"/>
      <c r="M49" s="20"/>
      <c r="N49" s="20"/>
      <c r="O49" s="20"/>
      <c r="P49" s="20"/>
      <c r="Q49" s="20"/>
      <c r="R49" s="20"/>
      <c r="S49" s="20"/>
    </row>
    <row r="50" spans="2:19" collapsed="1" x14ac:dyDescent="0.2">
      <c r="B50" s="1" t="s">
        <v>240</v>
      </c>
      <c r="D50" s="70">
        <f>+'FA - Historical Financials'!AG120</f>
        <v>8.9157499999999992</v>
      </c>
      <c r="E50" s="70">
        <f>+'FA - Historical Financials'!AH120</f>
        <v>14.479499999999996</v>
      </c>
      <c r="F50" s="70">
        <f>+'FA - Historical Financials'!AI120</f>
        <v>33.599499999999992</v>
      </c>
      <c r="G50" s="70">
        <f>+'FA - Historical Financials'!AJ120</f>
        <v>34.913249999999998</v>
      </c>
      <c r="H50" s="110">
        <f>+Risk!H53</f>
        <v>8.9862499999999983</v>
      </c>
      <c r="I50" s="61">
        <v>0</v>
      </c>
      <c r="J50" s="61">
        <v>0</v>
      </c>
      <c r="K50" s="61">
        <v>0</v>
      </c>
      <c r="L50" s="61">
        <v>0</v>
      </c>
      <c r="M50" s="61">
        <v>0</v>
      </c>
      <c r="N50" s="61">
        <v>0</v>
      </c>
      <c r="O50" s="61">
        <v>0</v>
      </c>
      <c r="P50" s="61">
        <v>0</v>
      </c>
      <c r="Q50" s="61">
        <v>0</v>
      </c>
      <c r="R50" s="61">
        <v>0</v>
      </c>
      <c r="S50" s="61">
        <v>0</v>
      </c>
    </row>
    <row r="51" spans="2:19" x14ac:dyDescent="0.2">
      <c r="B51" s="1" t="s">
        <v>37</v>
      </c>
      <c r="D51" s="70">
        <f>+'FA - Historical Financials'!AG122</f>
        <v>1.216</v>
      </c>
      <c r="E51" s="70">
        <f>+'FA - Historical Financials'!AH122</f>
        <v>5.8520000000000003</v>
      </c>
      <c r="F51" s="70">
        <f>+'FA - Historical Financials'!AI122</f>
        <v>9.5299999999999994</v>
      </c>
      <c r="G51" s="70">
        <f>+'FA - Historical Financials'!AJ122</f>
        <v>7.8559999999999999</v>
      </c>
      <c r="H51" s="101">
        <f>+'FA - Historical Financials'!AK122</f>
        <v>15.265000000000001</v>
      </c>
      <c r="I51" s="61">
        <v>0</v>
      </c>
      <c r="J51" s="61">
        <v>0</v>
      </c>
      <c r="K51" s="61">
        <v>0</v>
      </c>
      <c r="L51" s="61">
        <v>0</v>
      </c>
      <c r="M51" s="61">
        <v>0</v>
      </c>
      <c r="N51" s="61">
        <v>0</v>
      </c>
      <c r="O51" s="61">
        <v>0</v>
      </c>
      <c r="P51" s="61">
        <v>0</v>
      </c>
      <c r="Q51" s="61">
        <v>0</v>
      </c>
      <c r="R51" s="61">
        <v>0</v>
      </c>
      <c r="S51" s="61">
        <v>0</v>
      </c>
    </row>
    <row r="52" spans="2:19" ht="11.5" x14ac:dyDescent="0.35">
      <c r="B52" s="1" t="s">
        <v>50</v>
      </c>
      <c r="D52" s="50">
        <f>+D53-D38-D51-D50</f>
        <v>4.0780000000000012</v>
      </c>
      <c r="E52" s="50">
        <f t="shared" ref="E52:G52" si="27">+E53-E38-E51-E50</f>
        <v>-36.224999999999987</v>
      </c>
      <c r="F52" s="50">
        <f t="shared" si="27"/>
        <v>-42.283999999999992</v>
      </c>
      <c r="G52" s="50">
        <f t="shared" si="27"/>
        <v>-8.5680000000000121</v>
      </c>
      <c r="H52" s="695">
        <f t="shared" ref="H52:S52" si="28">+G52/(G8-F8)*(H8-G8)</f>
        <v>21.304878020628731</v>
      </c>
      <c r="I52" s="60">
        <f t="shared" si="28"/>
        <v>-7.4567073072200527</v>
      </c>
      <c r="J52" s="60">
        <f t="shared" si="28"/>
        <v>-6.86017072264245</v>
      </c>
      <c r="K52" s="60">
        <f t="shared" si="28"/>
        <v>-5.1222608062396979</v>
      </c>
      <c r="L52" s="60">
        <f t="shared" si="28"/>
        <v>-5.5320416707388791</v>
      </c>
      <c r="M52" s="60">
        <f t="shared" si="28"/>
        <v>-5.9746050043979855</v>
      </c>
      <c r="N52" s="60">
        <f t="shared" si="28"/>
        <v>-5.8073160642748434</v>
      </c>
      <c r="O52" s="60">
        <f t="shared" si="28"/>
        <v>-5.6028985388123562</v>
      </c>
      <c r="P52" s="60">
        <f t="shared" si="28"/>
        <v>-5.3693697277146617</v>
      </c>
      <c r="Q52" s="60">
        <f t="shared" si="28"/>
        <v>-5.1142602332114926</v>
      </c>
      <c r="R52" s="60">
        <f t="shared" si="28"/>
        <v>-4.8444277718990598</v>
      </c>
      <c r="S52" s="60">
        <f t="shared" si="28"/>
        <v>-4.5659471978712096</v>
      </c>
    </row>
    <row r="53" spans="2:19" x14ac:dyDescent="0.2">
      <c r="B53" s="22" t="s">
        <v>51</v>
      </c>
      <c r="C53" s="22"/>
      <c r="D53" s="70">
        <f>+'FA - Historical Financials'!AG124</f>
        <v>51.738</v>
      </c>
      <c r="E53" s="70">
        <f>+'FA - Historical Financials'!AH124</f>
        <v>33.216999999999999</v>
      </c>
      <c r="F53" s="70">
        <f>+'FA - Historical Financials'!AI124</f>
        <v>123.22699999999999</v>
      </c>
      <c r="G53" s="70">
        <f>+'FA - Historical Financials'!AJ124</f>
        <v>183.77100000000002</v>
      </c>
      <c r="H53" s="106">
        <f t="shared" ref="H53" si="29">H38+H52+H51+H50</f>
        <v>132.32537814562875</v>
      </c>
      <c r="I53" s="64">
        <f t="shared" ref="I53:S53" si="30">I38+I52+I51+I50</f>
        <v>110.79683038863486</v>
      </c>
      <c r="J53" s="64">
        <f t="shared" si="30"/>
        <v>115.88186397434656</v>
      </c>
      <c r="K53" s="64">
        <f t="shared" si="30"/>
        <v>131.33240780060703</v>
      </c>
      <c r="L53" s="64">
        <f t="shared" si="30"/>
        <v>151.96647010498083</v>
      </c>
      <c r="M53" s="64">
        <f t="shared" si="30"/>
        <v>170.07726688422468</v>
      </c>
      <c r="N53" s="64">
        <f t="shared" si="30"/>
        <v>189.17369971272768</v>
      </c>
      <c r="O53" s="64">
        <f t="shared" si="30"/>
        <v>208.6851918674177</v>
      </c>
      <c r="P53" s="64">
        <f t="shared" si="30"/>
        <v>228.47180078461406</v>
      </c>
      <c r="Q53" s="64">
        <f t="shared" si="30"/>
        <v>248.4207671757672</v>
      </c>
      <c r="R53" s="64">
        <f t="shared" si="30"/>
        <v>268.45190095809488</v>
      </c>
      <c r="S53" s="64">
        <f t="shared" si="30"/>
        <v>288.47545078079463</v>
      </c>
    </row>
    <row r="54" spans="2:19" x14ac:dyDescent="0.2">
      <c r="D54" s="15"/>
      <c r="E54" s="15"/>
      <c r="F54" s="20"/>
      <c r="G54" s="693"/>
      <c r="H54" s="104"/>
      <c r="I54" s="20"/>
      <c r="J54" s="20"/>
      <c r="K54" s="20"/>
      <c r="L54" s="20"/>
      <c r="M54" s="20"/>
      <c r="N54" s="20"/>
      <c r="O54" s="20"/>
      <c r="P54" s="20"/>
      <c r="Q54" s="15"/>
      <c r="R54" s="15"/>
      <c r="S54" s="15"/>
    </row>
    <row r="55" spans="2:19" x14ac:dyDescent="0.2">
      <c r="B55" s="1" t="s">
        <v>201</v>
      </c>
      <c r="D55" s="70">
        <f>+'FA - Historical Financials'!AG126</f>
        <v>540.83900000000006</v>
      </c>
      <c r="E55" s="70">
        <f>+'FA - Historical Financials'!AH126</f>
        <v>785.30500000000006</v>
      </c>
      <c r="F55" s="70">
        <f>+'FA - Historical Financials'!AI126</f>
        <v>554.84500000000003</v>
      </c>
      <c r="G55" s="70">
        <f>+'FA - Historical Financials'!AJ126</f>
        <v>556.649</v>
      </c>
      <c r="H55" s="106">
        <f>+'FA Base'!H58+'FA Base'!H56-H53</f>
        <v>562.52562185437125</v>
      </c>
      <c r="I55" s="49">
        <f t="shared" ref="I55:S55" si="31">+I57-I56</f>
        <v>715.19688787500002</v>
      </c>
      <c r="J55" s="49">
        <f t="shared" si="31"/>
        <v>793.62555284000007</v>
      </c>
      <c r="K55" s="49">
        <f t="shared" si="31"/>
        <v>859.73222896080006</v>
      </c>
      <c r="L55" s="49">
        <f t="shared" si="31"/>
        <v>932.70492332275217</v>
      </c>
      <c r="M55" s="49">
        <f t="shared" si="31"/>
        <v>1013.2191161172674</v>
      </c>
      <c r="N55" s="49">
        <f t="shared" si="31"/>
        <v>1095.4348631692719</v>
      </c>
      <c r="O55" s="49">
        <f t="shared" si="31"/>
        <v>1178.819875069415</v>
      </c>
      <c r="P55" s="49">
        <f t="shared" si="31"/>
        <v>1262.8858360564595</v>
      </c>
      <c r="Q55" s="49">
        <f t="shared" si="31"/>
        <v>1347.1944557380934</v>
      </c>
      <c r="R55" s="49">
        <f t="shared" si="31"/>
        <v>1431.360577216903</v>
      </c>
      <c r="S55" s="49">
        <f t="shared" si="31"/>
        <v>1515.052855746264</v>
      </c>
    </row>
    <row r="56" spans="2:19" s="72" customFormat="1" ht="11.5" x14ac:dyDescent="0.35">
      <c r="B56" s="1" t="s">
        <v>208</v>
      </c>
      <c r="D56" s="54">
        <f>+'FA - Historical Financials'!AG127</f>
        <v>-81.945999999999998</v>
      </c>
      <c r="E56" s="54">
        <f>+'FA - Historical Financials'!AH127</f>
        <v>-154.08500000000001</v>
      </c>
      <c r="F56" s="54">
        <f>+'FA - Historical Financials'!AI127</f>
        <v>-293.58299999999997</v>
      </c>
      <c r="G56" s="54">
        <f>+'FA - Historical Financials'!AJ127</f>
        <v>-393.61099999999999</v>
      </c>
      <c r="H56" s="109">
        <f>+'FA - Historical Financials'!AK127</f>
        <v>-213.774</v>
      </c>
      <c r="I56" s="60">
        <f>+H56</f>
        <v>-213.774</v>
      </c>
      <c r="J56" s="60">
        <f t="shared" ref="J56:S56" si="32">+I56</f>
        <v>-213.774</v>
      </c>
      <c r="K56" s="60">
        <f t="shared" si="32"/>
        <v>-213.774</v>
      </c>
      <c r="L56" s="60">
        <f t="shared" si="32"/>
        <v>-213.774</v>
      </c>
      <c r="M56" s="60">
        <f t="shared" si="32"/>
        <v>-213.774</v>
      </c>
      <c r="N56" s="60">
        <f t="shared" si="32"/>
        <v>-213.774</v>
      </c>
      <c r="O56" s="60">
        <f t="shared" si="32"/>
        <v>-213.774</v>
      </c>
      <c r="P56" s="60">
        <f t="shared" si="32"/>
        <v>-213.774</v>
      </c>
      <c r="Q56" s="60">
        <f t="shared" si="32"/>
        <v>-213.774</v>
      </c>
      <c r="R56" s="60">
        <f t="shared" si="32"/>
        <v>-213.774</v>
      </c>
      <c r="S56" s="60">
        <f t="shared" si="32"/>
        <v>-213.774</v>
      </c>
    </row>
    <row r="57" spans="2:19" x14ac:dyDescent="0.2">
      <c r="B57" s="22" t="s">
        <v>52</v>
      </c>
      <c r="D57" s="70">
        <f>+'FA - Historical Financials'!AG128</f>
        <v>458.89300000000003</v>
      </c>
      <c r="E57" s="70">
        <f>+'FA - Historical Financials'!AH128</f>
        <v>631.22</v>
      </c>
      <c r="F57" s="70">
        <f>+'FA - Historical Financials'!AI128</f>
        <v>261.26200000000006</v>
      </c>
      <c r="G57" s="70">
        <f>+'FA - Historical Financials'!AJ128</f>
        <v>163.03800000000001</v>
      </c>
      <c r="H57" s="106">
        <f>+H56+H55</f>
        <v>348.75162185437125</v>
      </c>
      <c r="I57" s="49">
        <f t="shared" ref="I57:S57" si="33">+I58*I18</f>
        <v>501.42288787500001</v>
      </c>
      <c r="J57" s="49">
        <f t="shared" si="33"/>
        <v>579.85155284000007</v>
      </c>
      <c r="K57" s="49">
        <f t="shared" si="33"/>
        <v>645.95822896080006</v>
      </c>
      <c r="L57" s="49">
        <f t="shared" si="33"/>
        <v>718.93092332275216</v>
      </c>
      <c r="M57" s="49">
        <f t="shared" si="33"/>
        <v>799.44511611726739</v>
      </c>
      <c r="N57" s="49">
        <f t="shared" si="33"/>
        <v>881.66086316927181</v>
      </c>
      <c r="O57" s="49">
        <f t="shared" si="33"/>
        <v>965.04587506941493</v>
      </c>
      <c r="P57" s="49">
        <f t="shared" si="33"/>
        <v>1049.1118360564597</v>
      </c>
      <c r="Q57" s="49">
        <f t="shared" si="33"/>
        <v>1133.4204557380936</v>
      </c>
      <c r="R57" s="49">
        <f t="shared" si="33"/>
        <v>1217.5865772169029</v>
      </c>
      <c r="S57" s="49">
        <f t="shared" si="33"/>
        <v>1301.2788557462641</v>
      </c>
    </row>
    <row r="58" spans="2:19" x14ac:dyDescent="0.2">
      <c r="B58" s="24" t="s">
        <v>53</v>
      </c>
      <c r="C58" s="13"/>
      <c r="D58" s="35">
        <f>+IF(OR(D57&lt;0,D18&lt; 0),"NM",D57/D18)</f>
        <v>3.7443230496830049</v>
      </c>
      <c r="E58" s="35">
        <f>+IF(OR(E57&lt;0,E18&lt; 0),"NM",E57/E18)</f>
        <v>4.4784527407659676</v>
      </c>
      <c r="F58" s="35">
        <f>+IF(OR(F57&lt;0,F18&lt; 0),"NM",F57/F18)</f>
        <v>1.2052831651012164</v>
      </c>
      <c r="G58" s="35">
        <f>+IF(OR(G57&lt;0,G18&lt; 0),"NM",G57/G18)</f>
        <v>0.67635467571581465</v>
      </c>
      <c r="H58" s="699">
        <f>+IF(OR(H57&lt;0,H18&lt; 0),"NM",H57/H18)</f>
        <v>2.0668257014988418</v>
      </c>
      <c r="I58" s="116">
        <v>2.5</v>
      </c>
      <c r="J58" s="116">
        <f t="shared" ref="J58:S58" si="34">+I58</f>
        <v>2.5</v>
      </c>
      <c r="K58" s="116">
        <f t="shared" si="34"/>
        <v>2.5</v>
      </c>
      <c r="L58" s="116">
        <f t="shared" si="34"/>
        <v>2.5</v>
      </c>
      <c r="M58" s="116">
        <f t="shared" si="34"/>
        <v>2.5</v>
      </c>
      <c r="N58" s="116">
        <f t="shared" si="34"/>
        <v>2.5</v>
      </c>
      <c r="O58" s="116">
        <f t="shared" si="34"/>
        <v>2.5</v>
      </c>
      <c r="P58" s="116">
        <f t="shared" si="34"/>
        <v>2.5</v>
      </c>
      <c r="Q58" s="116">
        <f t="shared" si="34"/>
        <v>2.5</v>
      </c>
      <c r="R58" s="116">
        <f t="shared" si="34"/>
        <v>2.5</v>
      </c>
      <c r="S58" s="116">
        <f t="shared" si="34"/>
        <v>2.5</v>
      </c>
    </row>
    <row r="59" spans="2:19" x14ac:dyDescent="0.2">
      <c r="B59" s="13"/>
      <c r="C59" s="13"/>
      <c r="D59" s="35"/>
      <c r="E59" s="35"/>
      <c r="F59" s="39"/>
      <c r="G59" s="39"/>
      <c r="H59" s="696"/>
      <c r="I59" s="38"/>
      <c r="J59" s="38"/>
      <c r="K59" s="38"/>
      <c r="L59" s="38"/>
      <c r="M59" s="38"/>
      <c r="N59" s="38"/>
      <c r="O59" s="38"/>
      <c r="P59" s="38"/>
      <c r="Q59" s="38"/>
      <c r="R59" s="38"/>
      <c r="S59" s="38"/>
    </row>
    <row r="60" spans="2:19" x14ac:dyDescent="0.2">
      <c r="B60" s="22" t="s">
        <v>54</v>
      </c>
      <c r="C60" s="22"/>
      <c r="E60" s="37"/>
      <c r="F60" s="37"/>
      <c r="G60" s="37"/>
      <c r="H60" s="108">
        <f>+'FA - Historical Financials'!U137*-1</f>
        <v>217.68299999999999</v>
      </c>
      <c r="I60" s="40">
        <f t="shared" ref="I60:S60" si="35">+I53+(I57-H57)</f>
        <v>263.46809640926364</v>
      </c>
      <c r="J60" s="40">
        <f t="shared" si="35"/>
        <v>194.31052893934663</v>
      </c>
      <c r="K60" s="40">
        <f t="shared" si="35"/>
        <v>197.43908392140702</v>
      </c>
      <c r="L60" s="40">
        <f t="shared" si="35"/>
        <v>224.93916446693294</v>
      </c>
      <c r="M60" s="40">
        <f t="shared" si="35"/>
        <v>250.59145967873991</v>
      </c>
      <c r="N60" s="40">
        <f t="shared" si="35"/>
        <v>271.3894467647321</v>
      </c>
      <c r="O60" s="40">
        <f t="shared" si="35"/>
        <v>292.07020376756083</v>
      </c>
      <c r="P60" s="40">
        <f t="shared" si="35"/>
        <v>312.53776177165878</v>
      </c>
      <c r="Q60" s="40">
        <f t="shared" si="35"/>
        <v>332.7293868574011</v>
      </c>
      <c r="R60" s="40">
        <f t="shared" si="35"/>
        <v>352.61802243690425</v>
      </c>
      <c r="S60" s="40">
        <f t="shared" si="35"/>
        <v>372.16772931015578</v>
      </c>
    </row>
    <row r="61" spans="2:19" s="12" customFormat="1" x14ac:dyDescent="0.2">
      <c r="B61" s="24" t="s">
        <v>55</v>
      </c>
      <c r="C61" s="25"/>
      <c r="E61" s="19"/>
      <c r="F61" s="19"/>
      <c r="G61" s="19"/>
      <c r="H61" s="105">
        <f t="shared" ref="H61" si="36">+H60/$D$83</f>
        <v>8.0655478312532558E-2</v>
      </c>
      <c r="I61" s="19">
        <f t="shared" ref="I61:S61" si="37">+I60/$D$83</f>
        <v>9.7619682455596449E-2</v>
      </c>
      <c r="J61" s="19">
        <f t="shared" si="37"/>
        <v>7.1995556165452529E-2</v>
      </c>
      <c r="K61" s="19">
        <f t="shared" si="37"/>
        <v>7.3154742222724514E-2</v>
      </c>
      <c r="L61" s="19">
        <f t="shared" si="37"/>
        <v>8.3344018142445228E-2</v>
      </c>
      <c r="M61" s="19">
        <f t="shared" si="37"/>
        <v>9.2848656263578161E-2</v>
      </c>
      <c r="N61" s="19">
        <f t="shared" si="37"/>
        <v>0.10055468565658807</v>
      </c>
      <c r="O61" s="19">
        <f t="shared" si="37"/>
        <v>0.10821727918905688</v>
      </c>
      <c r="P61" s="19">
        <f t="shared" si="37"/>
        <v>0.1158008786465709</v>
      </c>
      <c r="Q61" s="19">
        <f t="shared" si="37"/>
        <v>0.12328223998024361</v>
      </c>
      <c r="R61" s="19">
        <f t="shared" si="37"/>
        <v>0.1306513382361868</v>
      </c>
      <c r="S61" s="19">
        <f t="shared" si="37"/>
        <v>0.13789485729248382</v>
      </c>
    </row>
    <row r="62" spans="2:19" x14ac:dyDescent="0.2">
      <c r="H62" s="100"/>
    </row>
    <row r="63" spans="2:19" x14ac:dyDescent="0.2">
      <c r="B63" s="22" t="s">
        <v>56</v>
      </c>
      <c r="C63" s="22"/>
      <c r="E63" s="37"/>
      <c r="F63" s="37"/>
      <c r="G63" s="37"/>
      <c r="H63" s="108">
        <f t="shared" ref="H63" si="38">+G63+H60</f>
        <v>217.68299999999999</v>
      </c>
      <c r="I63" s="40">
        <f t="shared" ref="I63:S63" si="39">+H63+I60</f>
        <v>481.15109640926363</v>
      </c>
      <c r="J63" s="40">
        <f t="shared" si="39"/>
        <v>675.46162534861026</v>
      </c>
      <c r="K63" s="40">
        <f t="shared" si="39"/>
        <v>872.90070927001727</v>
      </c>
      <c r="L63" s="40">
        <f t="shared" si="39"/>
        <v>1097.8398737369503</v>
      </c>
      <c r="M63" s="40">
        <f t="shared" si="39"/>
        <v>1348.4313334156902</v>
      </c>
      <c r="N63" s="40">
        <f t="shared" si="39"/>
        <v>1619.8207801804224</v>
      </c>
      <c r="O63" s="40">
        <f t="shared" si="39"/>
        <v>1911.8909839479832</v>
      </c>
      <c r="P63" s="40">
        <f t="shared" si="39"/>
        <v>2224.4287457196419</v>
      </c>
      <c r="Q63" s="40">
        <f t="shared" si="39"/>
        <v>2557.158132577043</v>
      </c>
      <c r="R63" s="40">
        <f t="shared" si="39"/>
        <v>2909.7761550139471</v>
      </c>
      <c r="S63" s="40">
        <f t="shared" si="39"/>
        <v>3281.9438843241028</v>
      </c>
    </row>
    <row r="64" spans="2:19" s="12" customFormat="1" x14ac:dyDescent="0.2">
      <c r="B64" s="24" t="s">
        <v>55</v>
      </c>
      <c r="C64" s="25"/>
      <c r="E64" s="19"/>
      <c r="F64" s="19"/>
      <c r="G64" s="19"/>
      <c r="H64" s="105">
        <f t="shared" ref="H64" si="40">+H63/$D$83</f>
        <v>8.0655478312532558E-2</v>
      </c>
      <c r="I64" s="19">
        <f t="shared" ref="I64:S64" si="41">+I63/$D$83</f>
        <v>0.17827516076812899</v>
      </c>
      <c r="J64" s="19">
        <f t="shared" si="41"/>
        <v>0.25027071693358155</v>
      </c>
      <c r="K64" s="19">
        <f t="shared" si="41"/>
        <v>0.32342545915630605</v>
      </c>
      <c r="L64" s="19">
        <f t="shared" si="41"/>
        <v>0.40676947729875129</v>
      </c>
      <c r="M64" s="19">
        <f t="shared" si="41"/>
        <v>0.49961813356232948</v>
      </c>
      <c r="N64" s="19">
        <f t="shared" si="41"/>
        <v>0.60017281921891752</v>
      </c>
      <c r="O64" s="19">
        <f t="shared" si="41"/>
        <v>0.7083900984079744</v>
      </c>
      <c r="P64" s="19">
        <f t="shared" si="41"/>
        <v>0.82419097705454536</v>
      </c>
      <c r="Q64" s="19">
        <f t="shared" si="41"/>
        <v>0.94747321703478893</v>
      </c>
      <c r="R64" s="19">
        <f t="shared" si="41"/>
        <v>1.0781245552709757</v>
      </c>
      <c r="S64" s="19">
        <f t="shared" si="41"/>
        <v>1.2160194125634594</v>
      </c>
    </row>
    <row r="65" spans="1:27" x14ac:dyDescent="0.2">
      <c r="H65" s="100"/>
      <c r="U65" s="55"/>
      <c r="V65" s="55"/>
      <c r="W65" s="55"/>
      <c r="X65" s="55"/>
      <c r="Y65" s="55"/>
      <c r="Z65" s="55"/>
      <c r="AA65" s="55"/>
    </row>
    <row r="66" spans="1:27" x14ac:dyDescent="0.2">
      <c r="B66" s="1" t="s">
        <v>57</v>
      </c>
      <c r="G66" s="41"/>
      <c r="H66" s="115">
        <f>+(D83-H63)/SUM('FA - Historical Financials'!Q124:T124)</f>
        <v>15.340449001576557</v>
      </c>
      <c r="U66" s="55"/>
      <c r="V66" s="55"/>
      <c r="W66" s="55"/>
      <c r="X66" s="55"/>
      <c r="Y66" s="55"/>
      <c r="Z66" s="55"/>
      <c r="AA66" s="55"/>
    </row>
    <row r="67" spans="1:27" x14ac:dyDescent="0.2">
      <c r="B67" s="1" t="s">
        <v>58</v>
      </c>
      <c r="C67" s="41"/>
      <c r="D67" s="41"/>
      <c r="E67" s="41"/>
      <c r="F67" s="41"/>
      <c r="G67" s="41"/>
      <c r="H67" s="115">
        <f>+($D$83+H$57-H$63)/H$8</f>
        <v>4.9910267902699275</v>
      </c>
      <c r="I67" s="41">
        <f>+($D$85+I$57-$D$84-I$63)/I$8</f>
        <v>4.1701073624536793</v>
      </c>
      <c r="J67" s="41">
        <f t="shared" ref="J67:S67" si="42">+($D$83+J$57-J$63)/J$8</f>
        <v>3.5646367118166129</v>
      </c>
      <c r="K67" s="41">
        <f t="shared" si="42"/>
        <v>3.1340808604879196</v>
      </c>
      <c r="L67" s="41">
        <f t="shared" si="42"/>
        <v>2.7235291211400363</v>
      </c>
      <c r="M67" s="41">
        <f t="shared" si="42"/>
        <v>2.3369173696501782</v>
      </c>
      <c r="N67" s="41">
        <f t="shared" si="42"/>
        <v>1.9881448415614773</v>
      </c>
      <c r="O67" s="41">
        <f t="shared" si="42"/>
        <v>1.6684311536275127</v>
      </c>
      <c r="P67" s="41">
        <f t="shared" si="42"/>
        <v>1.3709152641954345</v>
      </c>
      <c r="Q67" s="41">
        <f t="shared" si="42"/>
        <v>1.0901697220913904</v>
      </c>
      <c r="R67" s="41">
        <f t="shared" si="42"/>
        <v>0.82184419308402368</v>
      </c>
      <c r="S67" s="41">
        <f t="shared" si="42"/>
        <v>0.5624361019426084</v>
      </c>
      <c r="T67" s="41"/>
      <c r="U67" s="23"/>
      <c r="V67" s="23"/>
      <c r="W67" s="23"/>
      <c r="X67" s="23"/>
      <c r="Y67" s="23"/>
      <c r="Z67" s="23"/>
      <c r="AA67" s="23"/>
    </row>
    <row r="68" spans="1:27" x14ac:dyDescent="0.2">
      <c r="B68" s="1" t="s">
        <v>59</v>
      </c>
      <c r="C68" s="41"/>
      <c r="D68" s="41"/>
      <c r="E68" s="41"/>
      <c r="F68" s="41"/>
      <c r="G68" s="41"/>
      <c r="H68" s="115">
        <f t="shared" ref="H68:S68" si="43">+($D$83+H$57-H$63)/H$18</f>
        <v>16.771538716365701</v>
      </c>
      <c r="I68" s="41">
        <f t="shared" si="43"/>
        <v>13.557397263762352</v>
      </c>
      <c r="J68" s="41">
        <f t="shared" si="43"/>
        <v>11.224053115408875</v>
      </c>
      <c r="K68" s="41">
        <f t="shared" si="43"/>
        <v>9.5671102736303837</v>
      </c>
      <c r="L68" s="41">
        <f t="shared" si="43"/>
        <v>8.0675865305082652</v>
      </c>
      <c r="M68" s="41">
        <f t="shared" si="43"/>
        <v>6.7232185897368462</v>
      </c>
      <c r="N68" s="41">
        <f t="shared" si="43"/>
        <v>5.5598589226830599</v>
      </c>
      <c r="O68" s="41">
        <f t="shared" si="43"/>
        <v>4.5388485152465083</v>
      </c>
      <c r="P68" s="41">
        <f t="shared" si="43"/>
        <v>3.6307068553910176</v>
      </c>
      <c r="Q68" s="41">
        <f t="shared" si="43"/>
        <v>2.812694619338413</v>
      </c>
      <c r="R68" s="41">
        <f t="shared" si="43"/>
        <v>2.0670693255014725</v>
      </c>
      <c r="S68" s="41">
        <f t="shared" si="43"/>
        <v>1.3799096404479938</v>
      </c>
      <c r="T68" s="41"/>
      <c r="U68" s="23"/>
      <c r="V68" s="23"/>
      <c r="W68" s="23"/>
      <c r="X68" s="23"/>
      <c r="Y68" s="23"/>
      <c r="Z68" s="23"/>
      <c r="AA68" s="23"/>
    </row>
    <row r="69" spans="1:27" x14ac:dyDescent="0.2">
      <c r="B69" s="1" t="s">
        <v>60</v>
      </c>
      <c r="C69" s="41"/>
      <c r="D69" s="41"/>
      <c r="E69" s="41"/>
      <c r="F69" s="41"/>
      <c r="G69" s="41"/>
      <c r="H69" s="115">
        <f t="shared" ref="H69:S69" si="44">+($D$83+H$57-H$63)/H$25</f>
        <v>19.006985267592324</v>
      </c>
      <c r="I69" s="41">
        <f t="shared" si="44"/>
        <v>15.298145289443839</v>
      </c>
      <c r="J69" s="41">
        <f t="shared" si="44"/>
        <v>12.614205409764331</v>
      </c>
      <c r="K69" s="41">
        <f t="shared" si="44"/>
        <v>10.711544162472297</v>
      </c>
      <c r="L69" s="41">
        <f t="shared" si="44"/>
        <v>9.0007514940873801</v>
      </c>
      <c r="M69" s="41">
        <f t="shared" si="44"/>
        <v>7.4760044837151032</v>
      </c>
      <c r="N69" s="41">
        <f t="shared" si="44"/>
        <v>6.163087841061154</v>
      </c>
      <c r="O69" s="41">
        <f t="shared" si="44"/>
        <v>5.0164940760979313</v>
      </c>
      <c r="P69" s="41">
        <f t="shared" si="44"/>
        <v>4.0016315201249535</v>
      </c>
      <c r="Q69" s="41">
        <f t="shared" si="44"/>
        <v>3.0918987043100699</v>
      </c>
      <c r="R69" s="41">
        <f t="shared" si="44"/>
        <v>2.2665994002410472</v>
      </c>
      <c r="S69" s="41">
        <f t="shared" si="44"/>
        <v>1.5095345809091503</v>
      </c>
      <c r="T69" s="41"/>
      <c r="U69" s="23"/>
      <c r="V69" s="23"/>
      <c r="W69" s="23"/>
      <c r="X69" s="23"/>
      <c r="Y69" s="23"/>
      <c r="Z69" s="23"/>
      <c r="AA69" s="23"/>
    </row>
    <row r="70" spans="1:27" x14ac:dyDescent="0.2">
      <c r="B70" s="1" t="s">
        <v>61</v>
      </c>
      <c r="C70" s="41"/>
      <c r="D70" s="41"/>
      <c r="E70" s="41"/>
      <c r="F70" s="41"/>
      <c r="G70" s="41"/>
      <c r="H70" s="115">
        <f>+($D$83-H63)/(H18-H29-H32-H35)</f>
        <v>28.438630656959152</v>
      </c>
      <c r="I70" s="41">
        <f t="shared" ref="I70:S70" si="45">+($D$83-I63)/(I18-I29-I32-I35)</f>
        <v>18.546478884191835</v>
      </c>
      <c r="J70" s="41">
        <f t="shared" si="45"/>
        <v>16.038617499089995</v>
      </c>
      <c r="K70" s="41">
        <f t="shared" si="45"/>
        <v>13.013959383882879</v>
      </c>
      <c r="L70" s="41">
        <f t="shared" si="45"/>
        <v>9.8784537608853498</v>
      </c>
      <c r="M70" s="41">
        <f t="shared" si="45"/>
        <v>7.4534295692568335</v>
      </c>
      <c r="N70" s="41">
        <f t="shared" si="45"/>
        <v>5.3804170741460062</v>
      </c>
      <c r="O70" s="41">
        <f t="shared" si="45"/>
        <v>3.5753893978022453</v>
      </c>
      <c r="P70" s="41">
        <f t="shared" si="45"/>
        <v>1.9785345420908054</v>
      </c>
      <c r="Q70" s="41">
        <f t="shared" si="45"/>
        <v>0.54619882848360624</v>
      </c>
      <c r="R70" s="41">
        <f t="shared" si="45"/>
        <v>-0.75502675841542533</v>
      </c>
      <c r="S70" s="41">
        <f t="shared" si="45"/>
        <v>-1.95058065891956</v>
      </c>
      <c r="T70" s="41"/>
      <c r="U70" s="23"/>
      <c r="V70" s="23"/>
      <c r="W70" s="23"/>
      <c r="X70" s="23"/>
      <c r="Y70" s="23"/>
      <c r="Z70" s="23"/>
      <c r="AA70" s="23"/>
    </row>
    <row r="71" spans="1:27" x14ac:dyDescent="0.2">
      <c r="B71" s="1" t="s">
        <v>62</v>
      </c>
      <c r="D71" s="90">
        <f t="shared" ref="D71:S71" si="46">+($D$83-D63)/D38</f>
        <v>71.917127064544715</v>
      </c>
      <c r="E71" s="90">
        <f t="shared" si="46"/>
        <v>54.956148354425245</v>
      </c>
      <c r="F71" s="90">
        <f t="shared" si="46"/>
        <v>22.053365286093083</v>
      </c>
      <c r="G71" s="90">
        <f t="shared" si="46"/>
        <v>18.044584040288896</v>
      </c>
      <c r="H71" s="115">
        <f t="shared" si="46"/>
        <v>28.59585533107084</v>
      </c>
      <c r="I71" s="41">
        <f t="shared" si="46"/>
        <v>18.754388837438352</v>
      </c>
      <c r="J71" s="41">
        <f t="shared" si="46"/>
        <v>16.485487660414577</v>
      </c>
      <c r="K71" s="41">
        <f t="shared" si="46"/>
        <v>13.381903551802413</v>
      </c>
      <c r="L71" s="41">
        <f t="shared" si="46"/>
        <v>10.165709072242018</v>
      </c>
      <c r="M71" s="41">
        <f t="shared" si="46"/>
        <v>7.67099250838233</v>
      </c>
      <c r="N71" s="41">
        <f t="shared" si="46"/>
        <v>5.5344010763270175</v>
      </c>
      <c r="O71" s="41">
        <f t="shared" si="46"/>
        <v>3.6727796599429476</v>
      </c>
      <c r="P71" s="41">
        <f t="shared" si="46"/>
        <v>2.0291344633657737</v>
      </c>
      <c r="Q71" s="41">
        <f t="shared" si="46"/>
        <v>0.55915662869838589</v>
      </c>
      <c r="R71" s="41">
        <f t="shared" si="46"/>
        <v>-0.77151505193566072</v>
      </c>
      <c r="S71" s="41">
        <f t="shared" si="46"/>
        <v>-1.9895481136305107</v>
      </c>
      <c r="T71" s="41"/>
      <c r="U71" s="41"/>
      <c r="V71" s="41"/>
      <c r="W71" s="41"/>
      <c r="X71" s="41"/>
      <c r="Y71" s="41"/>
      <c r="Z71" s="41"/>
      <c r="AA71" s="41"/>
    </row>
    <row r="72" spans="1:27" x14ac:dyDescent="0.2">
      <c r="E72" s="41"/>
      <c r="F72" s="41"/>
      <c r="G72" s="41"/>
      <c r="H72" s="41"/>
      <c r="I72" s="41"/>
      <c r="J72" s="41"/>
      <c r="K72" s="41"/>
      <c r="L72" s="41"/>
      <c r="M72" s="41"/>
      <c r="N72" s="41"/>
      <c r="O72" s="41"/>
      <c r="P72" s="41"/>
      <c r="Q72" s="41"/>
      <c r="R72" s="41"/>
      <c r="S72" s="41"/>
    </row>
    <row r="73" spans="1:27" ht="14.5" x14ac:dyDescent="0.35">
      <c r="A73" s="1" t="s">
        <v>26</v>
      </c>
      <c r="B73" s="11" t="s">
        <v>65</v>
      </c>
      <c r="C73" s="3"/>
      <c r="T73"/>
      <c r="U73"/>
      <c r="V73"/>
      <c r="W73"/>
    </row>
    <row r="74" spans="1:27" ht="14.5" x14ac:dyDescent="0.35">
      <c r="T74"/>
      <c r="U74"/>
      <c r="V74"/>
      <c r="W74"/>
    </row>
    <row r="75" spans="1:27" ht="14.5" x14ac:dyDescent="0.35">
      <c r="B75" s="26" t="s">
        <v>66</v>
      </c>
      <c r="C75" s="26"/>
      <c r="T75"/>
      <c r="U75"/>
      <c r="V75"/>
      <c r="W75"/>
    </row>
    <row r="76" spans="1:27" ht="14.5" x14ac:dyDescent="0.35">
      <c r="B76" s="1" t="s">
        <v>67</v>
      </c>
      <c r="R76" s="91">
        <v>15</v>
      </c>
      <c r="T76"/>
      <c r="U76"/>
      <c r="V76"/>
      <c r="W76"/>
    </row>
    <row r="77" spans="1:27" ht="16.5" x14ac:dyDescent="0.55000000000000004">
      <c r="B77" s="22" t="s">
        <v>68</v>
      </c>
      <c r="C77" s="22"/>
      <c r="D77" s="37"/>
      <c r="R77" s="52">
        <f>+S38*R76</f>
        <v>4395.620969679987</v>
      </c>
      <c r="S77" s="42"/>
      <c r="T77"/>
      <c r="U77"/>
      <c r="V77"/>
      <c r="W77"/>
    </row>
    <row r="78" spans="1:27" x14ac:dyDescent="0.2">
      <c r="B78" s="22" t="s">
        <v>69</v>
      </c>
      <c r="C78" s="22"/>
      <c r="E78" s="37"/>
      <c r="H78" s="40">
        <f>-D83+H63</f>
        <v>-2481.2409237600004</v>
      </c>
      <c r="I78" s="40">
        <f>+I60</f>
        <v>263.46809640926364</v>
      </c>
      <c r="J78" s="40">
        <f t="shared" ref="J78:Q78" si="47">+J60</f>
        <v>194.31052893934663</v>
      </c>
      <c r="K78" s="40">
        <f t="shared" si="47"/>
        <v>197.43908392140702</v>
      </c>
      <c r="L78" s="40">
        <f t="shared" si="47"/>
        <v>224.93916446693294</v>
      </c>
      <c r="M78" s="40">
        <f t="shared" si="47"/>
        <v>250.59145967873991</v>
      </c>
      <c r="N78" s="40">
        <f t="shared" si="47"/>
        <v>271.3894467647321</v>
      </c>
      <c r="O78" s="40">
        <f t="shared" si="47"/>
        <v>292.07020376756083</v>
      </c>
      <c r="P78" s="40">
        <f t="shared" si="47"/>
        <v>312.53776177165878</v>
      </c>
      <c r="Q78" s="40">
        <f t="shared" si="47"/>
        <v>332.7293868574011</v>
      </c>
      <c r="R78" s="40">
        <f>+R60+R77</f>
        <v>4748.2389921168915</v>
      </c>
      <c r="S78" s="40"/>
    </row>
    <row r="79" spans="1:27" ht="10.5" x14ac:dyDescent="0.25">
      <c r="B79" s="27" t="s">
        <v>70</v>
      </c>
      <c r="C79" s="28"/>
      <c r="D79" s="28"/>
      <c r="E79" s="28"/>
      <c r="F79" s="28"/>
      <c r="G79" s="28"/>
      <c r="H79" s="29">
        <f ca="1">XIRR(H78:R78,H3:R3)</f>
        <v>0.17909563183784488</v>
      </c>
      <c r="S79" s="41"/>
    </row>
    <row r="81" spans="1:11" ht="10.5" x14ac:dyDescent="0.25">
      <c r="B81" s="30" t="s">
        <v>71</v>
      </c>
      <c r="C81" s="31"/>
      <c r="D81" s="43"/>
      <c r="E81" s="44"/>
    </row>
    <row r="82" spans="1:11" ht="10.5" x14ac:dyDescent="0.25">
      <c r="D82" s="45" t="s">
        <v>72</v>
      </c>
      <c r="E82" s="45" t="s">
        <v>73</v>
      </c>
    </row>
    <row r="83" spans="1:11" x14ac:dyDescent="0.2">
      <c r="B83" s="1" t="s">
        <v>74</v>
      </c>
      <c r="D83" s="52">
        <f>+E83*E86</f>
        <v>2698.9239237600004</v>
      </c>
      <c r="E83" s="67">
        <f>+'FA Base'!E87</f>
        <v>18.73</v>
      </c>
    </row>
    <row r="84" spans="1:11" ht="11.5" x14ac:dyDescent="0.35">
      <c r="B84" s="1" t="s">
        <v>52</v>
      </c>
      <c r="D84" s="50">
        <f>+'FA Base'!D88</f>
        <v>252.45200000000006</v>
      </c>
      <c r="E84" s="46">
        <f>+D84/E$86</f>
        <v>1.7519671148835512</v>
      </c>
      <c r="F84" s="982">
        <f>+'FA Base'!F88</f>
        <v>0</v>
      </c>
    </row>
    <row r="85" spans="1:11" ht="10.5" x14ac:dyDescent="0.25">
      <c r="B85" s="32" t="s">
        <v>76</v>
      </c>
      <c r="C85" s="32"/>
      <c r="D85" s="65">
        <f>+D83+D84</f>
        <v>2951.3759237600007</v>
      </c>
      <c r="E85" s="63">
        <f>+D85/E$86</f>
        <v>20.481967114883552</v>
      </c>
    </row>
    <row r="86" spans="1:11" x14ac:dyDescent="0.2">
      <c r="A86" s="1" t="s">
        <v>26</v>
      </c>
      <c r="B86" s="13" t="s">
        <v>77</v>
      </c>
      <c r="C86" s="13"/>
      <c r="D86" s="40"/>
      <c r="E86" s="95">
        <f>+'FA Base'!E90</f>
        <v>144.09631200000001</v>
      </c>
      <c r="F86" s="652"/>
    </row>
    <row r="89" spans="1:11" x14ac:dyDescent="0.2">
      <c r="G89" s="96"/>
      <c r="H89" s="96">
        <f ca="1">+H79</f>
        <v>0.17909563183784488</v>
      </c>
    </row>
    <row r="93" spans="1:11" x14ac:dyDescent="0.2">
      <c r="D93" s="1">
        <f t="shared" ref="D93:K93" si="48">+$E$83/D71</f>
        <v>0.26043865716702036</v>
      </c>
      <c r="E93" s="1">
        <f t="shared" si="48"/>
        <v>0.34081718899231772</v>
      </c>
      <c r="F93" s="1">
        <f t="shared" si="48"/>
        <v>0.84930348529669497</v>
      </c>
      <c r="G93" s="1">
        <f t="shared" si="48"/>
        <v>1.0379845807573478</v>
      </c>
      <c r="H93" s="1">
        <f t="shared" si="48"/>
        <v>0.65499002506313952</v>
      </c>
      <c r="I93" s="1">
        <f t="shared" si="48"/>
        <v>0.9986995663975109</v>
      </c>
      <c r="J93" s="1">
        <f t="shared" si="48"/>
        <v>1.1361508003778991</v>
      </c>
      <c r="K93" s="1">
        <f t="shared" si="48"/>
        <v>1.3996513969402544</v>
      </c>
    </row>
  </sheetData>
  <pageMargins left="0.3" right="0.3" top="0.3" bottom="0.3" header="0.3" footer="0.3"/>
  <pageSetup scale="66" fitToHeight="0" orientation="landscape" r:id="rId1"/>
  <headerFooter>
    <oddFooter>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4A23-491A-4CA9-953D-9A4F8E2E4B81}">
  <sheetPr>
    <pageSetUpPr fitToPage="1"/>
  </sheetPr>
  <dimension ref="A1:Z85"/>
  <sheetViews>
    <sheetView view="pageBreakPreview" zoomScale="85" zoomScaleNormal="100" zoomScaleSheetLayoutView="85" workbookViewId="0">
      <pane xSplit="2" ySplit="5" topLeftCell="C6" activePane="bottomRight" state="frozen"/>
      <selection pane="topRight" activeCell="D6" sqref="D6"/>
      <selection pane="bottomLeft" activeCell="D6" sqref="D6"/>
      <selection pane="bottomRight" activeCell="K85" sqref="K85"/>
    </sheetView>
  </sheetViews>
  <sheetFormatPr defaultColWidth="9.1796875" defaultRowHeight="10" outlineLevelRow="1" x14ac:dyDescent="0.2"/>
  <cols>
    <col min="1" max="1" width="1.453125" style="1" customWidth="1"/>
    <col min="2" max="2" width="15.7265625" style="1" customWidth="1"/>
    <col min="3" max="3" width="2.7265625" style="1" customWidth="1"/>
    <col min="4" max="18" width="11.26953125" style="1" customWidth="1"/>
    <col min="19" max="19" width="14.1796875" style="1" bestFit="1" customWidth="1"/>
    <col min="20" max="20" width="10.453125" style="1" bestFit="1" customWidth="1"/>
    <col min="21" max="16384" width="9.1796875" style="1"/>
  </cols>
  <sheetData>
    <row r="1" spans="1:22" ht="10.5" x14ac:dyDescent="0.25">
      <c r="B1" s="1" t="s">
        <v>174</v>
      </c>
      <c r="G1" s="398"/>
      <c r="H1" s="398"/>
      <c r="I1" s="399" t="s">
        <v>782</v>
      </c>
      <c r="J1" s="398"/>
      <c r="K1" s="398"/>
      <c r="L1" s="398"/>
      <c r="P1" s="2"/>
      <c r="R1" s="2">
        <f ca="1">TODAY()</f>
        <v>45797</v>
      </c>
    </row>
    <row r="2" spans="1:22" ht="10.5" x14ac:dyDescent="0.25">
      <c r="B2" s="3" t="s">
        <v>768</v>
      </c>
      <c r="C2" s="3"/>
    </row>
    <row r="3" spans="1:22" s="4" customFormat="1" x14ac:dyDescent="0.2">
      <c r="B3" s="5" t="s">
        <v>6</v>
      </c>
      <c r="C3" s="5"/>
      <c r="F3" s="56"/>
      <c r="G3" s="6">
        <f ca="1">TODAY()</f>
        <v>45797</v>
      </c>
      <c r="H3" s="6">
        <v>45291</v>
      </c>
      <c r="I3" s="6">
        <f>+H3+365.25</f>
        <v>45656.25</v>
      </c>
      <c r="J3" s="6">
        <f t="shared" ref="J3:R3" si="0">+I3+365.25</f>
        <v>46021.5</v>
      </c>
      <c r="K3" s="6">
        <f t="shared" si="0"/>
        <v>46386.75</v>
      </c>
      <c r="L3" s="6">
        <f t="shared" si="0"/>
        <v>46752</v>
      </c>
      <c r="M3" s="6">
        <f t="shared" si="0"/>
        <v>47117.25</v>
      </c>
      <c r="N3" s="6">
        <f t="shared" si="0"/>
        <v>47482.5</v>
      </c>
      <c r="O3" s="6">
        <f t="shared" si="0"/>
        <v>47847.75</v>
      </c>
      <c r="P3" s="6">
        <f t="shared" si="0"/>
        <v>48213</v>
      </c>
      <c r="Q3" s="6">
        <f t="shared" si="0"/>
        <v>48578.25</v>
      </c>
      <c r="R3" s="6">
        <f t="shared" si="0"/>
        <v>48943.5</v>
      </c>
    </row>
    <row r="4" spans="1:22" ht="10.5" x14ac:dyDescent="0.25">
      <c r="D4" s="7" t="s">
        <v>7</v>
      </c>
      <c r="E4" s="8"/>
      <c r="F4" s="8"/>
      <c r="G4" s="8"/>
      <c r="H4" s="8"/>
      <c r="I4" s="8"/>
      <c r="J4" s="8"/>
      <c r="K4" s="8"/>
      <c r="L4" s="8"/>
      <c r="M4" s="8"/>
      <c r="N4" s="8"/>
      <c r="O4" s="8"/>
      <c r="P4" s="8"/>
      <c r="Q4" s="8"/>
      <c r="R4" s="8"/>
    </row>
    <row r="5" spans="1:22" ht="13.5" x14ac:dyDescent="0.55000000000000004">
      <c r="D5" s="9" t="s">
        <v>8</v>
      </c>
      <c r="E5" s="9" t="s">
        <v>9</v>
      </c>
      <c r="F5" s="9" t="s">
        <v>10</v>
      </c>
      <c r="G5" s="98" t="s">
        <v>1331</v>
      </c>
      <c r="H5" s="9" t="s">
        <v>712</v>
      </c>
      <c r="I5" s="9" t="s">
        <v>13</v>
      </c>
      <c r="J5" s="9" t="s">
        <v>14</v>
      </c>
      <c r="K5" s="9" t="s">
        <v>15</v>
      </c>
      <c r="L5" s="9" t="s">
        <v>16</v>
      </c>
      <c r="M5" s="9" t="s">
        <v>17</v>
      </c>
      <c r="N5" s="9" t="s">
        <v>18</v>
      </c>
      <c r="O5" s="9" t="s">
        <v>19</v>
      </c>
      <c r="P5" s="9" t="s">
        <v>20</v>
      </c>
      <c r="Q5" s="9" t="s">
        <v>21</v>
      </c>
      <c r="R5" s="9" t="s">
        <v>22</v>
      </c>
    </row>
    <row r="6" spans="1:22" x14ac:dyDescent="0.2">
      <c r="E6" s="10"/>
      <c r="F6" s="10"/>
      <c r="G6" s="99"/>
      <c r="H6" s="10"/>
      <c r="I6" s="10"/>
      <c r="J6" s="10"/>
      <c r="K6" s="10"/>
      <c r="L6" s="10"/>
      <c r="M6" s="10"/>
      <c r="N6" s="10"/>
      <c r="O6" s="10"/>
      <c r="P6" s="10"/>
      <c r="Q6" s="10"/>
      <c r="R6" s="10"/>
    </row>
    <row r="7" spans="1:22" ht="10.5" x14ac:dyDescent="0.25">
      <c r="A7" s="1" t="s">
        <v>26</v>
      </c>
      <c r="B7" s="11" t="s">
        <v>27</v>
      </c>
      <c r="C7" s="3"/>
      <c r="G7" s="100"/>
    </row>
    <row r="8" spans="1:22" x14ac:dyDescent="0.2">
      <c r="G8" s="586">
        <f>+'FA - Historical Financials'!AJ8</f>
        <v>0</v>
      </c>
      <c r="H8" s="89">
        <f>+'FA - Historical Financials'!AK8</f>
        <v>0</v>
      </c>
      <c r="K8" s="88"/>
      <c r="L8" s="88"/>
      <c r="M8" s="88" t="s">
        <v>1329</v>
      </c>
      <c r="N8" s="88"/>
      <c r="S8" s="57"/>
    </row>
    <row r="9" spans="1:22" x14ac:dyDescent="0.2">
      <c r="B9" s="1" t="s">
        <v>28</v>
      </c>
      <c r="D9" s="70">
        <f>+'FA - Historical Financials'!AG12</f>
        <v>481.76699999999994</v>
      </c>
      <c r="E9" s="70">
        <f>+'FA - Historical Financials'!AH12</f>
        <v>509.15399999999994</v>
      </c>
      <c r="F9" s="70">
        <f>+'FA - Historical Financials'!AI12</f>
        <v>712.29500000000007</v>
      </c>
      <c r="G9" s="101">
        <f>+'FA - Historical Financials'!AJ12</f>
        <v>810.02300000000002</v>
      </c>
      <c r="H9" s="49">
        <f t="shared" ref="H9:R9" si="1">+G9*(1+H10)</f>
        <v>729.02070000000003</v>
      </c>
      <c r="I9" s="49">
        <f t="shared" si="1"/>
        <v>816.50318400000015</v>
      </c>
      <c r="J9" s="49">
        <f t="shared" si="1"/>
        <v>881.82343872000024</v>
      </c>
      <c r="K9" s="49">
        <f t="shared" si="1"/>
        <v>952.3693138176003</v>
      </c>
      <c r="L9" s="49">
        <f t="shared" si="1"/>
        <v>1028.5588589230083</v>
      </c>
      <c r="M9" s="49">
        <f t="shared" si="1"/>
        <v>1102.6150967654651</v>
      </c>
      <c r="N9" s="49">
        <f t="shared" si="1"/>
        <v>1174.0645550358672</v>
      </c>
      <c r="O9" s="49">
        <f t="shared" si="1"/>
        <v>1242.5359998855588</v>
      </c>
      <c r="P9" s="49">
        <f t="shared" si="1"/>
        <v>1307.754229447552</v>
      </c>
      <c r="Q9" s="49">
        <f t="shared" si="1"/>
        <v>1369.5314930432708</v>
      </c>
      <c r="R9" s="49">
        <f t="shared" si="1"/>
        <v>1427.7575079388234</v>
      </c>
      <c r="S9" s="57"/>
    </row>
    <row r="10" spans="1:22" s="12" customFormat="1" x14ac:dyDescent="0.2">
      <c r="B10" s="13" t="s">
        <v>29</v>
      </c>
      <c r="C10" s="14"/>
      <c r="D10" s="15">
        <f>+'FA - Historical Financials'!AG13</f>
        <v>7.8E-2</v>
      </c>
      <c r="E10" s="15">
        <f>IFERROR(IF(OR(E9&lt;0, D9&lt;0), "NM", E9/D9-1),"N/A")</f>
        <v>5.684698204733829E-2</v>
      </c>
      <c r="F10" s="15">
        <f>IFERROR(IF(OR(F9&lt;0, E9&lt;0), "NM", F9/E9-1),"N/A")</f>
        <v>0.39897751957168204</v>
      </c>
      <c r="G10" s="102">
        <f>IFERROR(IF(OR(G9&lt;0, F9&lt;0), "NM", G9/F9-1),"N/A")</f>
        <v>0.13720158080570544</v>
      </c>
      <c r="H10" s="59">
        <v>-0.1</v>
      </c>
      <c r="I10" s="59">
        <v>0.12</v>
      </c>
      <c r="J10" s="59">
        <v>0.08</v>
      </c>
      <c r="K10" s="59">
        <v>0.08</v>
      </c>
      <c r="L10" s="59">
        <v>0.08</v>
      </c>
      <c r="M10" s="59">
        <f t="shared" ref="M10:R10" si="2">+L10*0.9</f>
        <v>7.2000000000000008E-2</v>
      </c>
      <c r="N10" s="59">
        <f t="shared" si="2"/>
        <v>6.480000000000001E-2</v>
      </c>
      <c r="O10" s="59">
        <f t="shared" si="2"/>
        <v>5.8320000000000011E-2</v>
      </c>
      <c r="P10" s="59">
        <f t="shared" si="2"/>
        <v>5.2488000000000014E-2</v>
      </c>
      <c r="Q10" s="59">
        <f t="shared" si="2"/>
        <v>4.7239200000000016E-2</v>
      </c>
      <c r="R10" s="59">
        <f t="shared" si="2"/>
        <v>4.2515280000000016E-2</v>
      </c>
      <c r="T10" s="1"/>
    </row>
    <row r="11" spans="1:22" s="12" customFormat="1" x14ac:dyDescent="0.2">
      <c r="B11" s="13" t="s">
        <v>218</v>
      </c>
      <c r="C11" s="14"/>
      <c r="D11" s="15"/>
      <c r="E11" s="15"/>
      <c r="F11" s="15">
        <f>+'FA - Historical Financials'!AI15</f>
        <v>0.39959040683172514</v>
      </c>
      <c r="G11" s="102">
        <f>+'FA - Historical Financials'!AJ15</f>
        <v>0.15170899978239333</v>
      </c>
      <c r="H11" s="15" t="e">
        <f>+H10-('FA Base'!H9-'FA Base'!#REF!)</f>
        <v>#REF!</v>
      </c>
      <c r="I11" s="59"/>
      <c r="J11" s="59"/>
      <c r="K11" s="59"/>
      <c r="L11" s="59"/>
      <c r="M11" s="59"/>
      <c r="N11" s="59"/>
      <c r="O11" s="59"/>
      <c r="P11" s="59"/>
      <c r="Q11" s="59"/>
      <c r="R11" s="59"/>
      <c r="T11" s="1"/>
    </row>
    <row r="12" spans="1:22" s="12" customFormat="1" x14ac:dyDescent="0.2">
      <c r="B12" s="13" t="s">
        <v>217</v>
      </c>
      <c r="C12" s="14"/>
      <c r="D12" s="15">
        <f>+'FA - Historical Financials'!AG14</f>
        <v>7.8E-2</v>
      </c>
      <c r="E12" s="15">
        <f>+'FA - Historical Financials'!AH14</f>
        <v>5.684698204733829E-2</v>
      </c>
      <c r="F12" s="15">
        <f>+'FA - Historical Financials'!AI14</f>
        <v>0.35099999999999998</v>
      </c>
      <c r="G12" s="102">
        <f>+'FA - Historical Financials'!AJ14</f>
        <v>8.5172180065843262E-2</v>
      </c>
      <c r="H12" s="15">
        <f t="shared" ref="H12:R12" si="3">+H10</f>
        <v>-0.1</v>
      </c>
      <c r="I12" s="15">
        <f t="shared" si="3"/>
        <v>0.12</v>
      </c>
      <c r="J12" s="15">
        <f t="shared" si="3"/>
        <v>0.08</v>
      </c>
      <c r="K12" s="15">
        <f t="shared" si="3"/>
        <v>0.08</v>
      </c>
      <c r="L12" s="15">
        <f t="shared" si="3"/>
        <v>0.08</v>
      </c>
      <c r="M12" s="15">
        <f t="shared" si="3"/>
        <v>7.2000000000000008E-2</v>
      </c>
      <c r="N12" s="15">
        <f t="shared" si="3"/>
        <v>6.480000000000001E-2</v>
      </c>
      <c r="O12" s="15">
        <f t="shared" si="3"/>
        <v>5.8320000000000011E-2</v>
      </c>
      <c r="P12" s="15">
        <f t="shared" si="3"/>
        <v>5.2488000000000014E-2</v>
      </c>
      <c r="Q12" s="15">
        <f t="shared" si="3"/>
        <v>4.7239200000000016E-2</v>
      </c>
      <c r="R12" s="15">
        <f t="shared" si="3"/>
        <v>4.2515280000000016E-2</v>
      </c>
      <c r="T12" s="1"/>
    </row>
    <row r="13" spans="1:22" s="12" customFormat="1" x14ac:dyDescent="0.2">
      <c r="B13" s="13" t="s">
        <v>1332</v>
      </c>
      <c r="C13" s="14"/>
      <c r="D13" s="15"/>
      <c r="E13" s="15"/>
      <c r="F13" s="15">
        <f>+'FA - Historical Financials'!AI29</f>
        <v>0.35038711273995687</v>
      </c>
      <c r="G13" s="102">
        <f>+'FA - Historical Financials'!AJ29</f>
        <v>9.9651127692880204E-2</v>
      </c>
      <c r="H13" s="15">
        <f>+H10-('FA Base'!H9-'FA Base'!H10)</f>
        <v>-0.10092778512026573</v>
      </c>
      <c r="I13" s="15"/>
      <c r="J13" s="15"/>
      <c r="K13" s="15"/>
      <c r="L13" s="15"/>
      <c r="M13" s="15"/>
      <c r="N13" s="15"/>
      <c r="O13" s="15"/>
      <c r="P13" s="15"/>
      <c r="Q13" s="15"/>
      <c r="R13" s="15"/>
      <c r="T13" s="1"/>
    </row>
    <row r="14" spans="1:22" s="12" customFormat="1" x14ac:dyDescent="0.2">
      <c r="B14" s="13"/>
      <c r="C14" s="14"/>
      <c r="D14" s="33"/>
      <c r="E14" s="33"/>
      <c r="F14" s="16"/>
      <c r="G14" s="103"/>
      <c r="H14" s="16"/>
      <c r="I14" s="17" t="s">
        <v>31</v>
      </c>
      <c r="J14" s="16"/>
      <c r="K14" s="16"/>
      <c r="L14" s="16"/>
      <c r="M14" s="16"/>
      <c r="N14" s="16"/>
      <c r="O14" s="16"/>
      <c r="P14" s="16"/>
      <c r="Q14" s="16"/>
      <c r="R14" s="16"/>
    </row>
    <row r="15" spans="1:22" s="12" customFormat="1" x14ac:dyDescent="0.2">
      <c r="B15" s="18" t="s">
        <v>145</v>
      </c>
      <c r="C15" s="14"/>
      <c r="D15" s="70">
        <f>+'FA - Historical Financials'!AG91</f>
        <v>122.557</v>
      </c>
      <c r="E15" s="70">
        <f>+'FA - Historical Financials'!AH91</f>
        <v>140.946</v>
      </c>
      <c r="F15" s="70">
        <f>+'FA - Historical Financials'!AI91</f>
        <v>216.76399999999998</v>
      </c>
      <c r="G15" s="101">
        <f>+'FA - Historical Financials'!AJ91</f>
        <v>241.05400000000003</v>
      </c>
      <c r="H15" s="49">
        <f t="shared" ref="H15:R15" si="4">+H17*H$9</f>
        <v>216.94860000000003</v>
      </c>
      <c r="I15" s="49">
        <f t="shared" si="4"/>
        <v>251.14746384000006</v>
      </c>
      <c r="J15" s="49">
        <f t="shared" si="4"/>
        <v>280.05749533440007</v>
      </c>
      <c r="K15" s="49">
        <f t="shared" si="4"/>
        <v>311.98578809932815</v>
      </c>
      <c r="L15" s="49">
        <f t="shared" si="4"/>
        <v>347.23023973650447</v>
      </c>
      <c r="M15" s="49">
        <f t="shared" si="4"/>
        <v>383.25696796518753</v>
      </c>
      <c r="N15" s="49">
        <f t="shared" si="4"/>
        <v>419.83266503969031</v>
      </c>
      <c r="O15" s="49">
        <f t="shared" si="4"/>
        <v>456.74266606366064</v>
      </c>
      <c r="P15" s="49">
        <f t="shared" si="4"/>
        <v>493.79371741448557</v>
      </c>
      <c r="Q15" s="49">
        <f t="shared" si="4"/>
        <v>530.81545252060459</v>
      </c>
      <c r="R15" s="49">
        <f t="shared" si="4"/>
        <v>567.66079519223308</v>
      </c>
      <c r="T15" s="33"/>
      <c r="U15" s="33"/>
      <c r="V15" s="33"/>
    </row>
    <row r="16" spans="1:22" s="12" customFormat="1" x14ac:dyDescent="0.2">
      <c r="B16" s="13" t="s">
        <v>29</v>
      </c>
      <c r="C16" s="14"/>
      <c r="D16" s="15"/>
      <c r="E16" s="15">
        <f>IFERROR(IF(OR(E15&lt;0, D15&lt;0), "NM", E15/D15-1),"N/A")</f>
        <v>0.1500444691041718</v>
      </c>
      <c r="F16" s="15">
        <f>IFERROR(IF(OR(F15&lt;0, E15&lt;0), "NM", F15/E15-1),"N/A")</f>
        <v>0.53792232486200375</v>
      </c>
      <c r="G16" s="102">
        <f>IFERROR(IF(OR(G15&lt;0, F15&lt;0), "NM", G15/F15-1),"N/A")</f>
        <v>0.11205735269694261</v>
      </c>
      <c r="H16" s="15">
        <f>IFERROR(IF(OR(H15&lt;0, G15&lt;0), "NM", H15/G15-1),"N/A")</f>
        <v>-9.9999999999999978E-2</v>
      </c>
      <c r="I16" s="15">
        <f t="shared" ref="I16:R16" si="5">IFERROR(IF(OR(I15&lt;0, H15&lt;0), "NM", I15/H15-1),"N/A")</f>
        <v>0.15763578949115153</v>
      </c>
      <c r="J16" s="15">
        <f t="shared" si="5"/>
        <v>0.11511177955919116</v>
      </c>
      <c r="K16" s="15">
        <f t="shared" si="5"/>
        <v>0.11400620692834651</v>
      </c>
      <c r="L16" s="15">
        <f t="shared" si="5"/>
        <v>0.11296813182386178</v>
      </c>
      <c r="M16" s="15">
        <f t="shared" si="5"/>
        <v>0.10375458155954953</v>
      </c>
      <c r="N16" s="15">
        <f t="shared" si="5"/>
        <v>9.5433873697568616E-2</v>
      </c>
      <c r="O16" s="15">
        <f t="shared" si="5"/>
        <v>8.7915982003165194E-2</v>
      </c>
      <c r="P16" s="15">
        <f t="shared" si="5"/>
        <v>8.1120188902301438E-2</v>
      </c>
      <c r="Q16" s="15">
        <f t="shared" si="5"/>
        <v>7.4974091002950827E-2</v>
      </c>
      <c r="R16" s="15">
        <f t="shared" si="5"/>
        <v>6.9412716786345419E-2</v>
      </c>
    </row>
    <row r="17" spans="2:19" s="12" customFormat="1" x14ac:dyDescent="0.2">
      <c r="B17" s="13" t="s">
        <v>33</v>
      </c>
      <c r="C17" s="14"/>
      <c r="D17" s="15">
        <f>+IFERROR(D15/D$9,"N/A")</f>
        <v>0.25439060790797213</v>
      </c>
      <c r="E17" s="15">
        <f>+IFERROR(E15/E$9,"N/A")</f>
        <v>0.27682390789427169</v>
      </c>
      <c r="F17" s="15">
        <f>+IFERROR(F15/F$9,"N/A")</f>
        <v>0.30431773352332947</v>
      </c>
      <c r="G17" s="102">
        <f>+IFERROR(G15/G$9,"N/A")</f>
        <v>0.29758908080387841</v>
      </c>
      <c r="H17" s="59">
        <f>+G17</f>
        <v>0.29758908080387841</v>
      </c>
      <c r="I17" s="59">
        <f t="shared" ref="I17:R17" si="6">+H17+1%</f>
        <v>0.30758908080387842</v>
      </c>
      <c r="J17" s="59">
        <f t="shared" si="6"/>
        <v>0.31758908080387843</v>
      </c>
      <c r="K17" s="59">
        <f t="shared" si="6"/>
        <v>0.32758908080387844</v>
      </c>
      <c r="L17" s="59">
        <f t="shared" si="6"/>
        <v>0.33758908080387845</v>
      </c>
      <c r="M17" s="59">
        <f t="shared" si="6"/>
        <v>0.34758908080387846</v>
      </c>
      <c r="N17" s="59">
        <f t="shared" si="6"/>
        <v>0.35758908080387847</v>
      </c>
      <c r="O17" s="59">
        <f t="shared" si="6"/>
        <v>0.36758908080387848</v>
      </c>
      <c r="P17" s="59">
        <f t="shared" si="6"/>
        <v>0.37758908080387849</v>
      </c>
      <c r="Q17" s="59">
        <f t="shared" si="6"/>
        <v>0.38758908080387849</v>
      </c>
      <c r="R17" s="59">
        <f t="shared" si="6"/>
        <v>0.3975890808038785</v>
      </c>
      <c r="S17" s="59"/>
    </row>
    <row r="18" spans="2:19" x14ac:dyDescent="0.2">
      <c r="F18" s="20"/>
      <c r="G18" s="104"/>
      <c r="H18" s="20"/>
      <c r="I18" s="20"/>
      <c r="J18" s="20"/>
      <c r="K18" s="20"/>
      <c r="L18" s="20"/>
      <c r="M18" s="20"/>
      <c r="N18" s="20"/>
      <c r="O18" s="20"/>
      <c r="P18" s="20"/>
      <c r="Q18" s="20"/>
      <c r="R18" s="20"/>
    </row>
    <row r="19" spans="2:19" x14ac:dyDescent="0.2">
      <c r="B19" s="1" t="s">
        <v>40</v>
      </c>
      <c r="D19" s="70">
        <f>+'FA - Historical Financials'!AG96</f>
        <v>19.844999999999999</v>
      </c>
      <c r="E19" s="70">
        <f>+'FA - Historical Financials'!AH96</f>
        <v>20.418000000000003</v>
      </c>
      <c r="F19" s="70">
        <f>+'FA - Historical Financials'!AI96</f>
        <v>25.45</v>
      </c>
      <c r="G19" s="101">
        <f>+'FA - Historical Financials'!AJ96</f>
        <v>29.896999999999998</v>
      </c>
      <c r="H19" s="49">
        <f t="shared" ref="H19:R19" si="7">+H20*H$9</f>
        <v>25.515724500000005</v>
      </c>
      <c r="I19" s="49">
        <f t="shared" si="7"/>
        <v>28.577611440000009</v>
      </c>
      <c r="J19" s="49">
        <f t="shared" si="7"/>
        <v>30.863820355200012</v>
      </c>
      <c r="K19" s="49">
        <f t="shared" si="7"/>
        <v>33.332925983616015</v>
      </c>
      <c r="L19" s="49">
        <f t="shared" si="7"/>
        <v>35.999560062305292</v>
      </c>
      <c r="M19" s="49">
        <f t="shared" si="7"/>
        <v>38.591528386791282</v>
      </c>
      <c r="N19" s="49">
        <f t="shared" si="7"/>
        <v>41.092259426255353</v>
      </c>
      <c r="O19" s="49">
        <f t="shared" si="7"/>
        <v>43.488759995994563</v>
      </c>
      <c r="P19" s="49">
        <f t="shared" si="7"/>
        <v>45.771398030664322</v>
      </c>
      <c r="Q19" s="49">
        <f t="shared" si="7"/>
        <v>47.933602256514483</v>
      </c>
      <c r="R19" s="49">
        <f t="shared" si="7"/>
        <v>49.971512777858827</v>
      </c>
    </row>
    <row r="20" spans="2:19" s="12" customFormat="1" x14ac:dyDescent="0.2">
      <c r="B20" s="13" t="s">
        <v>41</v>
      </c>
      <c r="C20" s="14"/>
      <c r="D20" s="19">
        <f>+D19/D$9</f>
        <v>4.1192111539395601E-2</v>
      </c>
      <c r="E20" s="19">
        <f>+E19/E$9</f>
        <v>4.0101815953522912E-2</v>
      </c>
      <c r="F20" s="19">
        <f>+F19/F$9</f>
        <v>3.5729578334819136E-2</v>
      </c>
      <c r="G20" s="105">
        <f>+G19/G$9</f>
        <v>3.6908828514745876E-2</v>
      </c>
      <c r="H20" s="59">
        <v>3.5000000000000003E-2</v>
      </c>
      <c r="I20" s="59">
        <v>3.5000000000000003E-2</v>
      </c>
      <c r="J20" s="59">
        <v>3.5000000000000003E-2</v>
      </c>
      <c r="K20" s="59">
        <v>3.5000000000000003E-2</v>
      </c>
      <c r="L20" s="59">
        <v>3.5000000000000003E-2</v>
      </c>
      <c r="M20" s="59">
        <v>3.5000000000000003E-2</v>
      </c>
      <c r="N20" s="59">
        <v>3.5000000000000003E-2</v>
      </c>
      <c r="O20" s="59">
        <v>3.5000000000000003E-2</v>
      </c>
      <c r="P20" s="59">
        <v>3.5000000000000003E-2</v>
      </c>
      <c r="Q20" s="59">
        <v>3.5000000000000003E-2</v>
      </c>
      <c r="R20" s="59">
        <v>3.5000000000000003E-2</v>
      </c>
    </row>
    <row r="21" spans="2:19" x14ac:dyDescent="0.2">
      <c r="F21" s="20"/>
      <c r="G21" s="104"/>
      <c r="H21" s="20"/>
      <c r="I21" s="20"/>
      <c r="J21" s="20"/>
      <c r="K21" s="20"/>
      <c r="L21" s="20"/>
      <c r="M21" s="20"/>
      <c r="N21" s="20"/>
      <c r="O21" s="20"/>
      <c r="P21" s="20"/>
      <c r="Q21" s="20"/>
      <c r="R21" s="20"/>
    </row>
    <row r="22" spans="2:19" ht="11.25" customHeight="1" x14ac:dyDescent="0.2">
      <c r="B22" s="21" t="s">
        <v>138</v>
      </c>
      <c r="D22" s="40">
        <f t="shared" ref="D22:R22" si="8">+D15-D19</f>
        <v>102.712</v>
      </c>
      <c r="E22" s="40">
        <f t="shared" si="8"/>
        <v>120.52799999999999</v>
      </c>
      <c r="F22" s="40">
        <f t="shared" si="8"/>
        <v>191.31399999999999</v>
      </c>
      <c r="G22" s="106">
        <f t="shared" si="8"/>
        <v>211.15700000000004</v>
      </c>
      <c r="H22" s="49">
        <f t="shared" si="8"/>
        <v>191.43287550000002</v>
      </c>
      <c r="I22" s="49">
        <f t="shared" si="8"/>
        <v>222.56985240000006</v>
      </c>
      <c r="J22" s="49">
        <f t="shared" si="8"/>
        <v>249.19367497920007</v>
      </c>
      <c r="K22" s="49">
        <f t="shared" si="8"/>
        <v>278.65286211571214</v>
      </c>
      <c r="L22" s="49">
        <f t="shared" si="8"/>
        <v>311.23067967419917</v>
      </c>
      <c r="M22" s="49">
        <f t="shared" si="8"/>
        <v>344.66543957839622</v>
      </c>
      <c r="N22" s="49">
        <f t="shared" si="8"/>
        <v>378.74040561343497</v>
      </c>
      <c r="O22" s="49">
        <f t="shared" si="8"/>
        <v>413.25390606766609</v>
      </c>
      <c r="P22" s="49">
        <f t="shared" si="8"/>
        <v>448.02231938382124</v>
      </c>
      <c r="Q22" s="49">
        <f t="shared" si="8"/>
        <v>482.88185026409013</v>
      </c>
      <c r="R22" s="49">
        <f t="shared" si="8"/>
        <v>517.68928241437425</v>
      </c>
    </row>
    <row r="23" spans="2:19" s="12" customFormat="1" ht="11.25" customHeight="1" x14ac:dyDescent="0.2">
      <c r="B23" s="13" t="s">
        <v>29</v>
      </c>
      <c r="C23" s="14"/>
      <c r="D23" s="15"/>
      <c r="E23" s="15">
        <f t="shared" ref="E23:R23" si="9">IF(OR(E22&lt;0, D22&lt;0), "NM", E22/D22-1)</f>
        <v>0.17345587662590534</v>
      </c>
      <c r="F23" s="15">
        <f t="shared" si="9"/>
        <v>0.58729921677950347</v>
      </c>
      <c r="G23" s="102">
        <f t="shared" si="9"/>
        <v>0.10371953960504743</v>
      </c>
      <c r="H23" s="15">
        <f t="shared" si="9"/>
        <v>-9.3409759089208566E-2</v>
      </c>
      <c r="I23" s="15">
        <f t="shared" si="9"/>
        <v>0.16265219241300088</v>
      </c>
      <c r="J23" s="15">
        <f t="shared" si="9"/>
        <v>0.11962007563967814</v>
      </c>
      <c r="K23" s="15">
        <f t="shared" si="9"/>
        <v>0.11821803719123691</v>
      </c>
      <c r="L23" s="15">
        <f t="shared" si="9"/>
        <v>0.11691183543257089</v>
      </c>
      <c r="M23" s="15">
        <f t="shared" si="9"/>
        <v>0.10742758374334116</v>
      </c>
      <c r="N23" s="15">
        <f t="shared" si="9"/>
        <v>9.8863889796203974E-2</v>
      </c>
      <c r="O23" s="15">
        <f t="shared" si="9"/>
        <v>9.1127062079184862E-2</v>
      </c>
      <c r="P23" s="15">
        <f t="shared" si="9"/>
        <v>8.4133296275394898E-2</v>
      </c>
      <c r="Q23" s="15">
        <f t="shared" si="9"/>
        <v>7.7807576480145579E-2</v>
      </c>
      <c r="R23" s="15">
        <f t="shared" si="9"/>
        <v>7.2082709530804978E-2</v>
      </c>
    </row>
    <row r="24" spans="2:19" s="12" customFormat="1" x14ac:dyDescent="0.2">
      <c r="B24" s="13" t="s">
        <v>33</v>
      </c>
      <c r="C24" s="14"/>
      <c r="D24" s="19">
        <f t="shared" ref="D24:R24" si="10">+D22/D$9</f>
        <v>0.21319849636857655</v>
      </c>
      <c r="E24" s="19">
        <f t="shared" si="10"/>
        <v>0.23672209194074878</v>
      </c>
      <c r="F24" s="19">
        <f t="shared" si="10"/>
        <v>0.26858815518851031</v>
      </c>
      <c r="G24" s="105">
        <f t="shared" si="10"/>
        <v>0.26068025228913255</v>
      </c>
      <c r="H24" s="19">
        <f t="shared" si="10"/>
        <v>0.26258908080387844</v>
      </c>
      <c r="I24" s="19">
        <f t="shared" si="10"/>
        <v>0.27258908080387845</v>
      </c>
      <c r="J24" s="19">
        <f t="shared" si="10"/>
        <v>0.2825890808038784</v>
      </c>
      <c r="K24" s="19">
        <f t="shared" si="10"/>
        <v>0.29258908080387847</v>
      </c>
      <c r="L24" s="19">
        <f t="shared" si="10"/>
        <v>0.30258908080387842</v>
      </c>
      <c r="M24" s="19">
        <f t="shared" si="10"/>
        <v>0.31258908080387843</v>
      </c>
      <c r="N24" s="19">
        <f t="shared" si="10"/>
        <v>0.32258908080387844</v>
      </c>
      <c r="O24" s="19">
        <f t="shared" si="10"/>
        <v>0.3325890808038785</v>
      </c>
      <c r="P24" s="19">
        <f t="shared" si="10"/>
        <v>0.34258908080387851</v>
      </c>
      <c r="Q24" s="19">
        <f t="shared" si="10"/>
        <v>0.35258908080387846</v>
      </c>
      <c r="R24" s="19">
        <f t="shared" si="10"/>
        <v>0.36258908080387847</v>
      </c>
    </row>
    <row r="25" spans="2:19" x14ac:dyDescent="0.2">
      <c r="F25" s="20"/>
      <c r="G25" s="104"/>
      <c r="H25" s="20"/>
      <c r="I25" s="20"/>
      <c r="J25" s="20"/>
      <c r="K25" s="20"/>
      <c r="L25" s="20"/>
      <c r="M25" s="20"/>
      <c r="N25" s="20"/>
      <c r="O25" s="20"/>
      <c r="P25" s="20"/>
      <c r="Q25" s="20"/>
      <c r="R25" s="20"/>
    </row>
    <row r="26" spans="2:19" x14ac:dyDescent="0.2">
      <c r="B26" s="1" t="s">
        <v>139</v>
      </c>
      <c r="D26" s="70">
        <f>+'FA - Historical Financials'!AG103</f>
        <v>14.879</v>
      </c>
      <c r="E26" s="70">
        <f>+'FA - Historical Financials'!AH103</f>
        <v>10.895</v>
      </c>
      <c r="F26" s="70">
        <f>+'FA - Historical Financials'!AI103</f>
        <v>15.949999999999996</v>
      </c>
      <c r="G26" s="101">
        <f>+'FA - Historical Financials'!AJ103</f>
        <v>22.301999999999996</v>
      </c>
      <c r="H26" s="61">
        <f>+AVERAGE(F26:G26,H19)</f>
        <v>21.255908166666668</v>
      </c>
      <c r="I26" s="61">
        <f t="shared" ref="I26:R26" si="11">+AVERAGE(G26:H26,I19)</f>
        <v>24.045173202222227</v>
      </c>
      <c r="J26" s="61">
        <f t="shared" si="11"/>
        <v>25.388300574696302</v>
      </c>
      <c r="K26" s="61">
        <f t="shared" si="11"/>
        <v>27.588799920178179</v>
      </c>
      <c r="L26" s="61">
        <f t="shared" si="11"/>
        <v>29.658886852393255</v>
      </c>
      <c r="M26" s="61">
        <f t="shared" si="11"/>
        <v>31.946405053120902</v>
      </c>
      <c r="N26" s="61">
        <f t="shared" si="11"/>
        <v>34.232517110589839</v>
      </c>
      <c r="O26" s="61">
        <f t="shared" si="11"/>
        <v>36.5558940532351</v>
      </c>
      <c r="P26" s="61">
        <f t="shared" si="11"/>
        <v>38.853269731496425</v>
      </c>
      <c r="Q26" s="61">
        <f t="shared" si="11"/>
        <v>41.114255347082008</v>
      </c>
      <c r="R26" s="61">
        <f t="shared" si="11"/>
        <v>43.313012618812422</v>
      </c>
    </row>
    <row r="27" spans="2:19" s="12" customFormat="1" x14ac:dyDescent="0.2">
      <c r="B27" s="13" t="s">
        <v>41</v>
      </c>
      <c r="C27" s="14"/>
      <c r="D27" s="19">
        <f>+D26/D$9</f>
        <v>3.0884224116637299E-2</v>
      </c>
      <c r="E27" s="19">
        <f>+E26/E$9</f>
        <v>2.1398241003704185E-2</v>
      </c>
      <c r="F27" s="19">
        <f>+F26/F$9</f>
        <v>2.239240764009293E-2</v>
      </c>
      <c r="G27" s="105">
        <f>+G26/G$9</f>
        <v>2.7532551544832671E-2</v>
      </c>
      <c r="H27" s="19">
        <f>+H26/H$9</f>
        <v>2.9156796462249519E-2</v>
      </c>
      <c r="I27" s="19">
        <f t="shared" ref="I27:R27" si="12">+I26/I$9</f>
        <v>2.9448964405045384E-2</v>
      </c>
      <c r="J27" s="19">
        <f t="shared" si="12"/>
        <v>2.8790684688023684E-2</v>
      </c>
      <c r="K27" s="19">
        <f t="shared" si="12"/>
        <v>2.8968593926643506E-2</v>
      </c>
      <c r="L27" s="19">
        <f t="shared" si="12"/>
        <v>2.8835381266803458E-2</v>
      </c>
      <c r="M27" s="19">
        <f t="shared" si="12"/>
        <v>2.8973306412034511E-2</v>
      </c>
      <c r="N27" s="19">
        <f t="shared" si="12"/>
        <v>2.9157269899476736E-2</v>
      </c>
      <c r="O27" s="19">
        <f t="shared" si="12"/>
        <v>2.9420390279719866E-2</v>
      </c>
      <c r="P27" s="19">
        <f t="shared" si="12"/>
        <v>2.9709917090392137E-2</v>
      </c>
      <c r="Q27" s="19">
        <f t="shared" si="12"/>
        <v>3.0020671708484027E-2</v>
      </c>
      <c r="R27" s="19">
        <f t="shared" si="12"/>
        <v>3.0336392824395708E-2</v>
      </c>
    </row>
    <row r="28" spans="2:19" x14ac:dyDescent="0.2">
      <c r="F28" s="20"/>
      <c r="G28" s="104"/>
      <c r="H28" s="20"/>
      <c r="I28" s="20"/>
      <c r="J28" s="20"/>
      <c r="K28" s="20"/>
      <c r="L28" s="20"/>
      <c r="M28" s="20"/>
      <c r="N28" s="20"/>
      <c r="O28" s="20"/>
      <c r="P28" s="20"/>
      <c r="Q28" s="20"/>
      <c r="R28" s="20"/>
    </row>
    <row r="29" spans="2:19" x14ac:dyDescent="0.2">
      <c r="B29" s="1" t="s">
        <v>44</v>
      </c>
      <c r="D29" s="70">
        <f>+'FA - Historical Financials'!AG105</f>
        <v>51.018999999999998</v>
      </c>
      <c r="E29" s="70">
        <f>+'FA - Historical Financials'!AH105</f>
        <v>51.873000000000005</v>
      </c>
      <c r="F29" s="70">
        <f>+'FA - Historical Financials'!AI105</f>
        <v>24.972000000000001</v>
      </c>
      <c r="G29" s="101">
        <f>+'FA - Historical Financials'!AJ105</f>
        <v>9.1989999999999998</v>
      </c>
      <c r="H29" s="49">
        <f>+H30*AVERAGE(G54:H54)</f>
        <v>23.937092492131562</v>
      </c>
      <c r="I29" s="49">
        <f t="shared" ref="I29:R29" si="13">+I30*AVERAGE(H54:I54)</f>
        <v>37.785681895111857</v>
      </c>
      <c r="J29" s="49">
        <f t="shared" si="13"/>
        <v>31.203371508634095</v>
      </c>
      <c r="K29" s="49">
        <f t="shared" si="13"/>
        <v>45.933232663471529</v>
      </c>
      <c r="L29" s="49">
        <f t="shared" si="13"/>
        <v>44.659617188893804</v>
      </c>
      <c r="M29" s="49">
        <f t="shared" si="13"/>
        <v>49.196710365697143</v>
      </c>
      <c r="N29" s="49">
        <f t="shared" si="13"/>
        <v>53.801801083797599</v>
      </c>
      <c r="O29" s="49">
        <f t="shared" si="13"/>
        <v>58.479739647520681</v>
      </c>
      <c r="P29" s="49">
        <f t="shared" si="13"/>
        <v>63.205035392028805</v>
      </c>
      <c r="Q29" s="49">
        <f t="shared" si="13"/>
        <v>67.955661905529595</v>
      </c>
      <c r="R29" s="49">
        <f t="shared" si="13"/>
        <v>72.679722269600518</v>
      </c>
    </row>
    <row r="30" spans="2:19" s="12" customFormat="1" outlineLevel="1" x14ac:dyDescent="0.2">
      <c r="B30" s="13" t="s">
        <v>45</v>
      </c>
      <c r="C30" s="14"/>
      <c r="D30" s="16"/>
      <c r="E30" s="16">
        <f>+E29/AVERAGE(D54:E54)</f>
        <v>9.5169950271210418E-2</v>
      </c>
      <c r="F30" s="16">
        <f t="shared" ref="F30:G30" si="14">+F29/AVERAGE(E54:F54)</f>
        <v>5.5960792486571154E-2</v>
      </c>
      <c r="G30" s="103">
        <f t="shared" si="14"/>
        <v>4.3360829601696904E-2</v>
      </c>
      <c r="H30" s="16">
        <f>+'FA Base'!H36</f>
        <v>9.5856470601888108E-2</v>
      </c>
      <c r="I30" s="16">
        <f>+'FA Base'!I36</f>
        <v>0.12859977943347539</v>
      </c>
      <c r="J30" s="16">
        <f>+'FA Base'!J36</f>
        <v>7.6915786993051918E-2</v>
      </c>
      <c r="K30" s="16">
        <f>+'FA Base'!K36</f>
        <v>7.7584247552084887E-2</v>
      </c>
      <c r="L30" s="16">
        <f>+'FA Base'!L36</f>
        <v>6.7746558492378733E-2</v>
      </c>
      <c r="M30" s="16">
        <f>+'FA Base'!M36</f>
        <v>6.734780547421651E-2</v>
      </c>
      <c r="N30" s="16">
        <f>+'FA Base'!N36</f>
        <v>6.6993519618090761E-2</v>
      </c>
      <c r="O30" s="16">
        <f>+'FA Base'!O36</f>
        <v>6.6713877943509844E-2</v>
      </c>
      <c r="P30" s="16">
        <f>+'FA Base'!P36</f>
        <v>6.6494072705300028E-2</v>
      </c>
      <c r="Q30" s="16">
        <f>+'FA Base'!Q36</f>
        <v>6.632349572845872E-2</v>
      </c>
      <c r="R30" s="16">
        <f>+'FA Base'!R36</f>
        <v>6.6164127281703733E-2</v>
      </c>
    </row>
    <row r="31" spans="2:19" x14ac:dyDescent="0.2">
      <c r="D31" s="34"/>
      <c r="E31" s="34"/>
      <c r="F31" s="20"/>
      <c r="G31" s="104"/>
      <c r="H31" s="20"/>
      <c r="I31" s="20"/>
      <c r="J31" s="20"/>
      <c r="K31" s="20"/>
      <c r="L31" s="20"/>
      <c r="M31" s="20"/>
      <c r="N31" s="20"/>
      <c r="O31" s="20"/>
      <c r="P31" s="20"/>
      <c r="Q31" s="20"/>
      <c r="R31" s="20"/>
    </row>
    <row r="32" spans="2:19" x14ac:dyDescent="0.2">
      <c r="B32" s="1" t="s">
        <v>46</v>
      </c>
      <c r="D32" s="49">
        <f t="shared" ref="D32:G32" si="15">+MAX((D15-D29-D26)*D33,0)</f>
        <v>14.164750000000003</v>
      </c>
      <c r="E32" s="49">
        <f t="shared" si="15"/>
        <v>19.544499999999999</v>
      </c>
      <c r="F32" s="49">
        <f t="shared" si="15"/>
        <v>43.960499999999996</v>
      </c>
      <c r="G32" s="106">
        <f t="shared" si="15"/>
        <v>52.388250000000006</v>
      </c>
      <c r="H32" s="49">
        <f>+MAX((H15-H29-H26)*H33,0)</f>
        <v>42.938899835300447</v>
      </c>
      <c r="I32" s="49">
        <f t="shared" ref="I32:R32" si="16">+MAX((I15-I29-I26)*I33,0)</f>
        <v>47.329152185666494</v>
      </c>
      <c r="J32" s="49">
        <f t="shared" si="16"/>
        <v>55.86645581276742</v>
      </c>
      <c r="K32" s="49">
        <f t="shared" si="16"/>
        <v>59.615938878919607</v>
      </c>
      <c r="L32" s="49">
        <f t="shared" si="16"/>
        <v>68.227933923804358</v>
      </c>
      <c r="M32" s="49">
        <f t="shared" si="16"/>
        <v>75.528463136592379</v>
      </c>
      <c r="N32" s="49">
        <f t="shared" si="16"/>
        <v>82.949586711325708</v>
      </c>
      <c r="O32" s="49">
        <f t="shared" si="16"/>
        <v>90.426758090726224</v>
      </c>
      <c r="P32" s="49">
        <f t="shared" si="16"/>
        <v>97.933853072740078</v>
      </c>
      <c r="Q32" s="49">
        <f t="shared" si="16"/>
        <v>105.43638381699824</v>
      </c>
      <c r="R32" s="49">
        <f t="shared" si="16"/>
        <v>112.91701507595504</v>
      </c>
    </row>
    <row r="33" spans="1:18" x14ac:dyDescent="0.2">
      <c r="B33" s="13" t="s">
        <v>47</v>
      </c>
      <c r="C33" s="14"/>
      <c r="D33" s="86">
        <v>0.25</v>
      </c>
      <c r="E33" s="86">
        <f t="shared" ref="E33:R33" si="17">+D33</f>
        <v>0.25</v>
      </c>
      <c r="F33" s="86">
        <f t="shared" si="17"/>
        <v>0.25</v>
      </c>
      <c r="G33" s="107">
        <f t="shared" si="17"/>
        <v>0.25</v>
      </c>
      <c r="H33" s="86">
        <f t="shared" si="17"/>
        <v>0.25</v>
      </c>
      <c r="I33" s="86">
        <f t="shared" si="17"/>
        <v>0.25</v>
      </c>
      <c r="J33" s="86">
        <f t="shared" si="17"/>
        <v>0.25</v>
      </c>
      <c r="K33" s="86">
        <f t="shared" si="17"/>
        <v>0.25</v>
      </c>
      <c r="L33" s="86">
        <f t="shared" si="17"/>
        <v>0.25</v>
      </c>
      <c r="M33" s="86">
        <f t="shared" si="17"/>
        <v>0.25</v>
      </c>
      <c r="N33" s="86">
        <f t="shared" si="17"/>
        <v>0.25</v>
      </c>
      <c r="O33" s="86">
        <f t="shared" si="17"/>
        <v>0.25</v>
      </c>
      <c r="P33" s="86">
        <f t="shared" si="17"/>
        <v>0.25</v>
      </c>
      <c r="Q33" s="86">
        <f t="shared" si="17"/>
        <v>0.25</v>
      </c>
      <c r="R33" s="86">
        <f t="shared" si="17"/>
        <v>0.25</v>
      </c>
    </row>
    <row r="34" spans="1:18" x14ac:dyDescent="0.2">
      <c r="F34" s="20"/>
      <c r="G34" s="104"/>
      <c r="H34" s="20"/>
      <c r="I34" s="20"/>
      <c r="J34" s="20"/>
      <c r="K34" s="20"/>
      <c r="L34" s="20"/>
      <c r="M34" s="20"/>
      <c r="N34" s="20"/>
      <c r="O34" s="20"/>
      <c r="P34" s="20"/>
      <c r="Q34" s="20"/>
      <c r="R34" s="20"/>
    </row>
    <row r="35" spans="1:18" x14ac:dyDescent="0.2">
      <c r="B35" s="1" t="s">
        <v>48</v>
      </c>
      <c r="D35" s="40">
        <f t="shared" ref="D35:R35" si="18">+D22-D29-D32</f>
        <v>37.52825</v>
      </c>
      <c r="E35" s="40">
        <f t="shared" si="18"/>
        <v>49.110499999999988</v>
      </c>
      <c r="F35" s="40">
        <f t="shared" si="18"/>
        <v>122.38149999999999</v>
      </c>
      <c r="G35" s="108">
        <f t="shared" si="18"/>
        <v>149.56975000000003</v>
      </c>
      <c r="H35" s="40">
        <f t="shared" si="18"/>
        <v>124.55688317256801</v>
      </c>
      <c r="I35" s="40">
        <f t="shared" si="18"/>
        <v>137.45501831922172</v>
      </c>
      <c r="J35" s="40">
        <f t="shared" si="18"/>
        <v>162.12384765779856</v>
      </c>
      <c r="K35" s="40">
        <f t="shared" si="18"/>
        <v>173.10369057332099</v>
      </c>
      <c r="L35" s="40">
        <f t="shared" si="18"/>
        <v>198.34312856150098</v>
      </c>
      <c r="M35" s="40">
        <f t="shared" si="18"/>
        <v>219.9402660761067</v>
      </c>
      <c r="N35" s="40">
        <f t="shared" si="18"/>
        <v>241.98901781831165</v>
      </c>
      <c r="O35" s="40">
        <f t="shared" si="18"/>
        <v>264.34740832941918</v>
      </c>
      <c r="P35" s="40">
        <f t="shared" si="18"/>
        <v>286.88343091905239</v>
      </c>
      <c r="Q35" s="40">
        <f t="shared" si="18"/>
        <v>309.48980454156231</v>
      </c>
      <c r="R35" s="40">
        <f t="shared" si="18"/>
        <v>332.09254506881871</v>
      </c>
    </row>
    <row r="36" spans="1:18" s="12" customFormat="1" x14ac:dyDescent="0.2">
      <c r="B36" s="13" t="s">
        <v>29</v>
      </c>
      <c r="C36" s="14"/>
      <c r="D36" s="15"/>
      <c r="E36" s="15">
        <f t="shared" ref="E36:R36" si="19">IF(OR(E35&lt;0, D35&lt;0), "NM", E35/D35-1)</f>
        <v>0.30862750061620203</v>
      </c>
      <c r="F36" s="15">
        <f t="shared" si="19"/>
        <v>1.4919620040520871</v>
      </c>
      <c r="G36" s="102">
        <f t="shared" si="19"/>
        <v>0.22215980356508158</v>
      </c>
      <c r="H36" s="15">
        <f t="shared" si="19"/>
        <v>-0.16723212298898682</v>
      </c>
      <c r="I36" s="15">
        <f t="shared" si="19"/>
        <v>0.10355216683436042</v>
      </c>
      <c r="J36" s="15">
        <f t="shared" si="19"/>
        <v>0.17946837911211544</v>
      </c>
      <c r="K36" s="15">
        <f t="shared" si="19"/>
        <v>6.7725032893976467E-2</v>
      </c>
      <c r="L36" s="15">
        <f t="shared" si="19"/>
        <v>0.14580531417086906</v>
      </c>
      <c r="M36" s="15">
        <f t="shared" si="19"/>
        <v>0.10888775260953398</v>
      </c>
      <c r="N36" s="15">
        <f t="shared" si="19"/>
        <v>0.10024881817036335</v>
      </c>
      <c r="O36" s="15">
        <f t="shared" si="19"/>
        <v>9.2394236369414351E-2</v>
      </c>
      <c r="P36" s="15">
        <f t="shared" si="19"/>
        <v>8.5251535969475878E-2</v>
      </c>
      <c r="Q36" s="15">
        <f t="shared" si="19"/>
        <v>7.8799858012324808E-2</v>
      </c>
      <c r="R36" s="15">
        <f t="shared" si="19"/>
        <v>7.3032262115183766E-2</v>
      </c>
    </row>
    <row r="37" spans="1:18" s="12" customFormat="1" x14ac:dyDescent="0.2">
      <c r="B37" s="13"/>
      <c r="C37" s="14"/>
      <c r="D37" s="15"/>
      <c r="E37" s="15"/>
      <c r="F37" s="15"/>
      <c r="G37" s="102"/>
      <c r="H37" s="15"/>
      <c r="I37" s="15"/>
      <c r="J37" s="15"/>
      <c r="K37" s="15"/>
      <c r="L37" s="15"/>
      <c r="M37" s="15"/>
      <c r="N37" s="15"/>
      <c r="O37" s="15"/>
      <c r="P37" s="15"/>
      <c r="Q37" s="15"/>
      <c r="R37" s="15"/>
    </row>
    <row r="38" spans="1:18" ht="10.5" hidden="1" outlineLevel="1" x14ac:dyDescent="0.25">
      <c r="B38" s="26" t="s">
        <v>494</v>
      </c>
      <c r="D38" s="15"/>
      <c r="E38" s="15"/>
      <c r="F38" s="15"/>
      <c r="G38" s="102"/>
      <c r="I38" s="20"/>
      <c r="J38" s="20"/>
      <c r="K38" s="20"/>
      <c r="L38" s="20"/>
      <c r="M38" s="20"/>
      <c r="N38" s="20"/>
      <c r="O38" s="20"/>
      <c r="P38" s="20"/>
      <c r="Q38" s="20"/>
      <c r="R38" s="20"/>
    </row>
    <row r="39" spans="1:18" hidden="1" outlineLevel="1" x14ac:dyDescent="0.2">
      <c r="B39" s="1" t="str">
        <f>+'FA - Detailed Disclosure'!A259</f>
        <v>Federal</v>
      </c>
      <c r="D39" s="15"/>
      <c r="E39" s="40">
        <f>+'FA - Detailed Disclosure'!AJ259</f>
        <v>197.6</v>
      </c>
      <c r="F39" s="40">
        <f>+'FA - Detailed Disclosure'!AK259</f>
        <v>120.1</v>
      </c>
      <c r="G39" s="102"/>
      <c r="I39" s="20"/>
      <c r="J39" s="20"/>
      <c r="K39" s="20"/>
      <c r="L39" s="20"/>
      <c r="M39" s="20"/>
      <c r="N39" s="20"/>
      <c r="O39" s="20"/>
      <c r="P39" s="20"/>
      <c r="Q39" s="20"/>
      <c r="R39" s="20"/>
    </row>
    <row r="40" spans="1:18" hidden="1" outlineLevel="1" x14ac:dyDescent="0.2">
      <c r="B40" s="1" t="str">
        <f>+'FA - Detailed Disclosure'!A260</f>
        <v>State</v>
      </c>
      <c r="D40" s="15"/>
      <c r="E40" s="40">
        <f>+'FA - Detailed Disclosure'!AJ260</f>
        <v>166.2</v>
      </c>
      <c r="F40" s="40">
        <f>+'FA - Detailed Disclosure'!AK260</f>
        <v>147.5</v>
      </c>
      <c r="G40" s="102"/>
      <c r="I40" s="20"/>
      <c r="J40" s="20"/>
      <c r="K40" s="20"/>
      <c r="L40" s="20"/>
      <c r="M40" s="20"/>
      <c r="N40" s="20"/>
      <c r="O40" s="20"/>
      <c r="P40" s="20"/>
      <c r="Q40" s="20"/>
      <c r="R40" s="20"/>
    </row>
    <row r="41" spans="1:18" s="82" customFormat="1" ht="11.5" hidden="1" outlineLevel="1" x14ac:dyDescent="0.35">
      <c r="A41" s="1"/>
      <c r="B41" s="1" t="str">
        <f>+'FA - Detailed Disclosure'!A261</f>
        <v xml:space="preserve">Foreign Income </v>
      </c>
      <c r="D41" s="50"/>
      <c r="E41" s="53">
        <f>+'FA - Detailed Disclosure'!AJ261</f>
        <v>36</v>
      </c>
      <c r="F41" s="53">
        <f>+'FA - Detailed Disclosure'!AK261</f>
        <v>25.1</v>
      </c>
      <c r="G41" s="109"/>
      <c r="H41" s="60"/>
      <c r="I41" s="60"/>
      <c r="J41" s="60"/>
      <c r="K41" s="60"/>
      <c r="L41" s="60"/>
      <c r="M41" s="60"/>
      <c r="N41" s="60"/>
      <c r="O41" s="60"/>
      <c r="P41" s="60"/>
      <c r="Q41" s="60"/>
      <c r="R41" s="60"/>
    </row>
    <row r="42" spans="1:18" s="3" customFormat="1" ht="10.5" hidden="1" outlineLevel="1" x14ac:dyDescent="0.25">
      <c r="B42" s="32" t="str">
        <f>+'FA - Detailed Disclosure'!A262</f>
        <v>Total NOLs</v>
      </c>
      <c r="C42" s="32"/>
      <c r="D42" s="619"/>
      <c r="E42" s="51">
        <f>+'FA - Detailed Disclosure'!AJ262</f>
        <v>399.79999999999995</v>
      </c>
      <c r="F42" s="51">
        <f>+'FA - Detailed Disclosure'!AK262</f>
        <v>292.70000000000005</v>
      </c>
      <c r="G42" s="620">
        <f>+F42+F44</f>
        <v>185.60000000000014</v>
      </c>
      <c r="H42" s="93">
        <f t="shared" ref="H42" si="20">+G42+G44</f>
        <v>78.500000000000227</v>
      </c>
      <c r="I42" s="93">
        <v>0</v>
      </c>
      <c r="J42" s="93"/>
      <c r="K42" s="93"/>
      <c r="L42" s="93"/>
      <c r="M42" s="93"/>
      <c r="N42" s="93"/>
      <c r="O42" s="93"/>
      <c r="P42" s="93"/>
      <c r="Q42" s="93"/>
      <c r="R42" s="93"/>
    </row>
    <row r="43" spans="1:18" hidden="1" outlineLevel="1" x14ac:dyDescent="0.2">
      <c r="D43" s="15"/>
      <c r="E43" s="15"/>
      <c r="F43" s="15"/>
      <c r="G43" s="102"/>
      <c r="I43" s="20"/>
      <c r="J43" s="20"/>
      <c r="K43" s="20"/>
      <c r="L43" s="20"/>
      <c r="M43" s="20"/>
      <c r="N43" s="20"/>
      <c r="O43" s="20"/>
      <c r="P43" s="20"/>
      <c r="Q43" s="20"/>
      <c r="R43" s="20"/>
    </row>
    <row r="44" spans="1:18" hidden="1" outlineLevel="1" x14ac:dyDescent="0.2">
      <c r="B44" s="1" t="s">
        <v>771</v>
      </c>
      <c r="D44" s="15"/>
      <c r="E44" s="15"/>
      <c r="F44" s="40">
        <f>+F42-E42</f>
        <v>-107.09999999999991</v>
      </c>
      <c r="G44" s="110">
        <f>+G42-F42</f>
        <v>-107.09999999999991</v>
      </c>
      <c r="H44" s="64">
        <f t="shared" ref="H44:I44" si="21">+H42-G42</f>
        <v>-107.09999999999991</v>
      </c>
      <c r="I44" s="64">
        <f t="shared" si="21"/>
        <v>-78.500000000000227</v>
      </c>
      <c r="J44" s="20"/>
      <c r="K44" s="20"/>
      <c r="L44" s="20"/>
      <c r="M44" s="20"/>
      <c r="N44" s="20"/>
      <c r="O44" s="20"/>
      <c r="P44" s="20"/>
      <c r="Q44" s="20"/>
      <c r="R44" s="20"/>
    </row>
    <row r="45" spans="1:18" hidden="1" outlineLevel="1" x14ac:dyDescent="0.2">
      <c r="B45" s="1" t="s">
        <v>772</v>
      </c>
      <c r="D45" s="15"/>
      <c r="E45" s="15"/>
      <c r="F45" s="40">
        <f>+F47</f>
        <v>33.599499999999992</v>
      </c>
      <c r="G45" s="110">
        <f>+G47</f>
        <v>34.913249999999998</v>
      </c>
      <c r="H45" s="64">
        <f>+G45+G45-F45</f>
        <v>36.227000000000004</v>
      </c>
      <c r="I45" s="64">
        <f>+H45/H44*I44</f>
        <v>26.552936507936611</v>
      </c>
      <c r="J45" s="20"/>
      <c r="K45" s="20"/>
      <c r="L45" s="20"/>
      <c r="M45" s="20"/>
      <c r="N45" s="20"/>
      <c r="O45" s="20"/>
      <c r="P45" s="20"/>
      <c r="Q45" s="20"/>
      <c r="R45" s="20"/>
    </row>
    <row r="46" spans="1:18" hidden="1" outlineLevel="1" x14ac:dyDescent="0.2">
      <c r="D46" s="15"/>
      <c r="E46" s="15"/>
      <c r="F46" s="15"/>
      <c r="G46" s="102"/>
      <c r="I46" s="20"/>
      <c r="J46" s="20"/>
      <c r="K46" s="20"/>
      <c r="L46" s="20"/>
      <c r="M46" s="20"/>
      <c r="N46" s="20"/>
      <c r="O46" s="20"/>
      <c r="P46" s="20"/>
      <c r="Q46" s="20"/>
      <c r="R46" s="20"/>
    </row>
    <row r="47" spans="1:18" collapsed="1" x14ac:dyDescent="0.2">
      <c r="B47" s="1" t="s">
        <v>240</v>
      </c>
      <c r="D47" s="70">
        <f>+'FA - Historical Financials'!AG120</f>
        <v>8.9157499999999992</v>
      </c>
      <c r="E47" s="70">
        <f>+'FA - Historical Financials'!AH120</f>
        <v>14.479499999999996</v>
      </c>
      <c r="F47" s="70">
        <f>+'FA - Historical Financials'!AI120</f>
        <v>33.599499999999992</v>
      </c>
      <c r="G47" s="101">
        <f>+'FA - Historical Financials'!AJ120</f>
        <v>34.913249999999998</v>
      </c>
      <c r="H47" s="52">
        <f>+H45</f>
        <v>36.227000000000004</v>
      </c>
      <c r="I47" s="52">
        <f>+I45</f>
        <v>26.552936507936611</v>
      </c>
      <c r="J47" s="49"/>
      <c r="K47" s="20"/>
      <c r="L47" s="20"/>
      <c r="M47" s="20"/>
      <c r="N47" s="20"/>
      <c r="O47" s="20"/>
      <c r="P47" s="20"/>
      <c r="Q47" s="20"/>
      <c r="R47" s="20"/>
    </row>
    <row r="48" spans="1:18" x14ac:dyDescent="0.2">
      <c r="B48" s="1" t="s">
        <v>37</v>
      </c>
      <c r="D48" s="70">
        <f>+'FA - Historical Financials'!AG122</f>
        <v>1.216</v>
      </c>
      <c r="E48" s="70">
        <f>+'FA - Historical Financials'!AH122</f>
        <v>5.8520000000000003</v>
      </c>
      <c r="F48" s="70">
        <f>+'FA - Historical Financials'!AI122</f>
        <v>9.5299999999999994</v>
      </c>
      <c r="G48" s="101">
        <f>+'FA - Historical Financials'!AJ122</f>
        <v>7.8559999999999999</v>
      </c>
      <c r="H48" s="48">
        <v>0</v>
      </c>
      <c r="I48" s="48">
        <v>0</v>
      </c>
      <c r="J48" s="48">
        <v>0</v>
      </c>
      <c r="K48" s="48">
        <v>0</v>
      </c>
      <c r="L48" s="48">
        <v>0</v>
      </c>
      <c r="M48" s="48">
        <v>0</v>
      </c>
      <c r="N48" s="48">
        <v>0</v>
      </c>
      <c r="O48" s="48">
        <v>0</v>
      </c>
      <c r="P48" s="48">
        <v>0</v>
      </c>
      <c r="Q48" s="48">
        <v>0</v>
      </c>
      <c r="R48" s="48">
        <v>0</v>
      </c>
    </row>
    <row r="49" spans="2:26" ht="11.5" x14ac:dyDescent="0.35">
      <c r="B49" s="1" t="s">
        <v>50</v>
      </c>
      <c r="D49" s="50">
        <f>+D50-D35-D48</f>
        <v>12.99375</v>
      </c>
      <c r="E49" s="50">
        <f t="shared" ref="E49:F49" si="22">+E50-E35-E48</f>
        <v>-21.745499999999989</v>
      </c>
      <c r="F49" s="50">
        <f t="shared" si="22"/>
        <v>-8.6844999999999981</v>
      </c>
      <c r="G49" s="109">
        <f>+'FA - Historical Financials'!AJ123</f>
        <v>-3.8000000000010914E-2</v>
      </c>
      <c r="H49" s="60">
        <v>0</v>
      </c>
      <c r="I49" s="60">
        <f t="shared" ref="I49:R49" si="23">+H49/(H9-G9)*(I9-H9)</f>
        <v>0</v>
      </c>
      <c r="J49" s="60">
        <f t="shared" si="23"/>
        <v>0</v>
      </c>
      <c r="K49" s="60">
        <f t="shared" si="23"/>
        <v>0</v>
      </c>
      <c r="L49" s="60">
        <f t="shared" si="23"/>
        <v>0</v>
      </c>
      <c r="M49" s="60">
        <f t="shared" si="23"/>
        <v>0</v>
      </c>
      <c r="N49" s="60">
        <f t="shared" si="23"/>
        <v>0</v>
      </c>
      <c r="O49" s="60">
        <f t="shared" si="23"/>
        <v>0</v>
      </c>
      <c r="P49" s="60">
        <f t="shared" si="23"/>
        <v>0</v>
      </c>
      <c r="Q49" s="60">
        <f t="shared" si="23"/>
        <v>0</v>
      </c>
      <c r="R49" s="60">
        <f t="shared" si="23"/>
        <v>0</v>
      </c>
    </row>
    <row r="50" spans="2:26" x14ac:dyDescent="0.2">
      <c r="B50" s="22" t="s">
        <v>51</v>
      </c>
      <c r="C50" s="22"/>
      <c r="D50" s="70">
        <f>+'FA - Historical Financials'!AG124</f>
        <v>51.738</v>
      </c>
      <c r="E50" s="70">
        <f>+'FA - Historical Financials'!AH124</f>
        <v>33.216999999999999</v>
      </c>
      <c r="F50" s="70">
        <f>+'FA - Historical Financials'!AI124</f>
        <v>123.22699999999999</v>
      </c>
      <c r="G50" s="110">
        <f t="shared" ref="G50:R50" si="24">G35+G49+G48+G47</f>
        <v>192.30100000000002</v>
      </c>
      <c r="H50" s="64">
        <f t="shared" si="24"/>
        <v>160.78388317256801</v>
      </c>
      <c r="I50" s="64">
        <f t="shared" si="24"/>
        <v>164.00795482715833</v>
      </c>
      <c r="J50" s="64">
        <f t="shared" si="24"/>
        <v>162.12384765779856</v>
      </c>
      <c r="K50" s="64">
        <f t="shared" si="24"/>
        <v>173.10369057332099</v>
      </c>
      <c r="L50" s="64">
        <f t="shared" si="24"/>
        <v>198.34312856150098</v>
      </c>
      <c r="M50" s="64">
        <f t="shared" si="24"/>
        <v>219.9402660761067</v>
      </c>
      <c r="N50" s="64">
        <f t="shared" si="24"/>
        <v>241.98901781831165</v>
      </c>
      <c r="O50" s="64">
        <f t="shared" si="24"/>
        <v>264.34740832941918</v>
      </c>
      <c r="P50" s="64">
        <f t="shared" si="24"/>
        <v>286.88343091905239</v>
      </c>
      <c r="Q50" s="64">
        <f t="shared" si="24"/>
        <v>309.48980454156231</v>
      </c>
      <c r="R50" s="64">
        <f t="shared" si="24"/>
        <v>332.09254506881871</v>
      </c>
    </row>
    <row r="51" spans="2:26" x14ac:dyDescent="0.2">
      <c r="D51" s="15"/>
      <c r="E51" s="15"/>
      <c r="F51" s="20"/>
      <c r="G51" s="111"/>
      <c r="H51" s="20"/>
      <c r="I51" s="20"/>
      <c r="J51" s="20"/>
      <c r="K51" s="20"/>
      <c r="L51" s="20"/>
      <c r="M51" s="20"/>
      <c r="N51" s="20"/>
      <c r="O51" s="20"/>
      <c r="P51" s="20"/>
      <c r="Q51" s="15"/>
      <c r="R51" s="15"/>
    </row>
    <row r="52" spans="2:26" x14ac:dyDescent="0.2">
      <c r="B52" s="1" t="s">
        <v>201</v>
      </c>
      <c r="D52" s="70">
        <f>+'FA - Historical Financials'!AG126</f>
        <v>540.83900000000006</v>
      </c>
      <c r="E52" s="70">
        <f>+'FA - Historical Financials'!AH126</f>
        <v>785.30500000000006</v>
      </c>
      <c r="F52" s="70">
        <f>+'FA - Historical Financials'!AI126</f>
        <v>554.84500000000003</v>
      </c>
      <c r="G52" s="101">
        <f>+'FA - Historical Financials'!AJ126</f>
        <v>556.649</v>
      </c>
      <c r="H52" s="49">
        <f t="shared" ref="H52" si="25">+H54-H53</f>
        <v>550.17213283128876</v>
      </c>
      <c r="I52" s="49">
        <f t="shared" ref="I52:R52" si="26">+I54-I53</f>
        <v>592.73807498020483</v>
      </c>
      <c r="J52" s="49">
        <f t="shared" si="26"/>
        <v>660.11499066880015</v>
      </c>
      <c r="K52" s="49">
        <f t="shared" si="26"/>
        <v>723.97157619865629</v>
      </c>
      <c r="L52" s="49">
        <f t="shared" si="26"/>
        <v>794.46047947300895</v>
      </c>
      <c r="M52" s="49">
        <f t="shared" si="26"/>
        <v>866.51393593037506</v>
      </c>
      <c r="N52" s="49">
        <f t="shared" si="26"/>
        <v>939.66533007938062</v>
      </c>
      <c r="O52" s="49">
        <f t="shared" si="26"/>
        <v>1013.4853321273213</v>
      </c>
      <c r="P52" s="49">
        <f t="shared" si="26"/>
        <v>1087.5874348289713</v>
      </c>
      <c r="Q52" s="49">
        <f t="shared" si="26"/>
        <v>1161.6309050412092</v>
      </c>
      <c r="R52" s="49">
        <f t="shared" si="26"/>
        <v>1235.3215903844662</v>
      </c>
    </row>
    <row r="53" spans="2:26" s="72" customFormat="1" ht="11.5" x14ac:dyDescent="0.35">
      <c r="B53" s="1" t="s">
        <v>208</v>
      </c>
      <c r="D53" s="54">
        <f>+'FA - Historical Financials'!AG127</f>
        <v>-81.945999999999998</v>
      </c>
      <c r="E53" s="54">
        <f>+'FA - Historical Financials'!AH127</f>
        <v>-154.08500000000001</v>
      </c>
      <c r="F53" s="54">
        <f>+'FA - Historical Financials'!AI127</f>
        <v>-293.58299999999997</v>
      </c>
      <c r="G53" s="109">
        <f>+'FA - Historical Financials'!AJ127</f>
        <v>-393.61099999999999</v>
      </c>
      <c r="H53" s="50">
        <f>+'FA Base'!H59</f>
        <v>-213.774</v>
      </c>
      <c r="I53" s="50">
        <f>+'FA Base'!I59</f>
        <v>-341.48851414405033</v>
      </c>
      <c r="J53" s="50">
        <f>+'FA Base'!J59</f>
        <v>-100</v>
      </c>
      <c r="K53" s="50">
        <f>+'FA Base'!K59</f>
        <v>-100</v>
      </c>
      <c r="L53" s="50">
        <f>+'FA Base'!L59</f>
        <v>-100</v>
      </c>
      <c r="M53" s="50">
        <f>+'FA Base'!M59</f>
        <v>-100</v>
      </c>
      <c r="N53" s="50">
        <f>+'FA Base'!N59</f>
        <v>-100</v>
      </c>
      <c r="O53" s="50">
        <f>+'FA Base'!O59</f>
        <v>-100</v>
      </c>
      <c r="P53" s="50">
        <f>+'FA Base'!P59</f>
        <v>-100</v>
      </c>
      <c r="Q53" s="50">
        <f>+'FA Base'!Q59</f>
        <v>-100</v>
      </c>
      <c r="R53" s="50">
        <f>+'FA Base'!R59</f>
        <v>-100</v>
      </c>
    </row>
    <row r="54" spans="2:26" x14ac:dyDescent="0.2">
      <c r="B54" s="22" t="s">
        <v>52</v>
      </c>
      <c r="D54" s="70">
        <f>+'FA - Historical Financials'!AG128</f>
        <v>458.89300000000003</v>
      </c>
      <c r="E54" s="70">
        <f>+'FA - Historical Financials'!AH128</f>
        <v>631.22</v>
      </c>
      <c r="F54" s="70">
        <f>+'FA - Historical Financials'!AI128</f>
        <v>261.26200000000006</v>
      </c>
      <c r="G54" s="101">
        <f>+'FA - Historical Financials'!AJ128</f>
        <v>163.03800000000001</v>
      </c>
      <c r="H54" s="49">
        <f t="shared" ref="H54" si="27">+H55*H15</f>
        <v>336.39813283128882</v>
      </c>
      <c r="I54" s="49">
        <f t="shared" ref="I54:R54" si="28">+I55*I15</f>
        <v>251.2495608361545</v>
      </c>
      <c r="J54" s="49">
        <f t="shared" si="28"/>
        <v>560.11499066880015</v>
      </c>
      <c r="K54" s="49">
        <f t="shared" si="28"/>
        <v>623.97157619865629</v>
      </c>
      <c r="L54" s="49">
        <f t="shared" si="28"/>
        <v>694.46047947300895</v>
      </c>
      <c r="M54" s="49">
        <f t="shared" si="28"/>
        <v>766.51393593037506</v>
      </c>
      <c r="N54" s="49">
        <f t="shared" si="28"/>
        <v>839.66533007938062</v>
      </c>
      <c r="O54" s="49">
        <f t="shared" si="28"/>
        <v>913.48533212732127</v>
      </c>
      <c r="P54" s="49">
        <f t="shared" si="28"/>
        <v>987.58743482897114</v>
      </c>
      <c r="Q54" s="49">
        <f t="shared" si="28"/>
        <v>1061.6309050412092</v>
      </c>
      <c r="R54" s="49">
        <f t="shared" si="28"/>
        <v>1135.3215903844662</v>
      </c>
    </row>
    <row r="55" spans="2:26" x14ac:dyDescent="0.2">
      <c r="B55" s="24" t="s">
        <v>53</v>
      </c>
      <c r="C55" s="13"/>
      <c r="D55" s="35">
        <f>+IF(OR(D54&lt;0,D15&lt; 0),"NM",D54/D15)</f>
        <v>3.7443230496830049</v>
      </c>
      <c r="E55" s="35">
        <f>+IF(OR(E54&lt;0,E15&lt; 0),"NM",E54/E15)</f>
        <v>4.4784527407659676</v>
      </c>
      <c r="F55" s="35">
        <f>+IF(OR(F54&lt;0,F15&lt; 0),"NM",F54/F15)</f>
        <v>1.2052831651012164</v>
      </c>
      <c r="G55" s="112">
        <f>+IF(OR(G54&lt;0,G15&lt; 0),"NM",G54/G15)</f>
        <v>0.67635467571581465</v>
      </c>
      <c r="H55" s="587">
        <f>+'FA Base'!H61</f>
        <v>1.550589092675817</v>
      </c>
      <c r="I55" s="587">
        <f>+'FA Base'!I61</f>
        <v>1.0004065221069462</v>
      </c>
      <c r="J55" s="587">
        <f>+'FA Base'!J61</f>
        <v>2</v>
      </c>
      <c r="K55" s="587">
        <f>+'FA Base'!K61</f>
        <v>2</v>
      </c>
      <c r="L55" s="587">
        <f>+'FA Base'!L61</f>
        <v>2</v>
      </c>
      <c r="M55" s="587">
        <f>+'FA Base'!M61</f>
        <v>2</v>
      </c>
      <c r="N55" s="587">
        <f>+'FA Base'!N61</f>
        <v>2</v>
      </c>
      <c r="O55" s="587">
        <f>+'FA Base'!O61</f>
        <v>2</v>
      </c>
      <c r="P55" s="587">
        <f>+'FA Base'!P61</f>
        <v>2</v>
      </c>
      <c r="Q55" s="587">
        <f>+'FA Base'!Q61</f>
        <v>2</v>
      </c>
      <c r="R55" s="587">
        <f>+'FA Base'!R61</f>
        <v>2</v>
      </c>
    </row>
    <row r="56" spans="2:26" x14ac:dyDescent="0.2">
      <c r="B56" s="13"/>
      <c r="C56" s="13"/>
      <c r="D56" s="35"/>
      <c r="E56" s="35"/>
      <c r="F56" s="39"/>
      <c r="G56" s="113"/>
      <c r="H56" s="38"/>
      <c r="I56" s="38"/>
      <c r="J56" s="38"/>
      <c r="K56" s="38"/>
      <c r="L56" s="38"/>
      <c r="M56" s="38"/>
      <c r="N56" s="38"/>
      <c r="O56" s="38"/>
      <c r="P56" s="38"/>
      <c r="Q56" s="38"/>
      <c r="R56" s="38"/>
    </row>
    <row r="57" spans="2:26" x14ac:dyDescent="0.2">
      <c r="B57" s="22" t="s">
        <v>54</v>
      </c>
      <c r="C57" s="22"/>
      <c r="E57" s="37"/>
      <c r="F57" s="37"/>
      <c r="G57" s="114"/>
      <c r="H57" s="40">
        <f t="shared" ref="H57:R57" si="29">+H50+(H54-G54)</f>
        <v>334.14401600385679</v>
      </c>
      <c r="I57" s="40">
        <f t="shared" si="29"/>
        <v>78.859382832024011</v>
      </c>
      <c r="J57" s="40">
        <f t="shared" si="29"/>
        <v>470.98927749044424</v>
      </c>
      <c r="K57" s="40">
        <f t="shared" si="29"/>
        <v>236.96027610317714</v>
      </c>
      <c r="L57" s="40">
        <f t="shared" si="29"/>
        <v>268.83203183585363</v>
      </c>
      <c r="M57" s="40">
        <f t="shared" si="29"/>
        <v>291.99372253347281</v>
      </c>
      <c r="N57" s="40">
        <f t="shared" si="29"/>
        <v>315.14041196731722</v>
      </c>
      <c r="O57" s="40">
        <f t="shared" si="29"/>
        <v>338.16741037735983</v>
      </c>
      <c r="P57" s="40">
        <f t="shared" si="29"/>
        <v>360.98553362070226</v>
      </c>
      <c r="Q57" s="40">
        <f t="shared" si="29"/>
        <v>383.53327475380036</v>
      </c>
      <c r="R57" s="40">
        <f t="shared" si="29"/>
        <v>405.78323041207568</v>
      </c>
    </row>
    <row r="58" spans="2:26" s="12" customFormat="1" x14ac:dyDescent="0.2">
      <c r="B58" s="24" t="s">
        <v>55</v>
      </c>
      <c r="C58" s="25"/>
      <c r="E58" s="19"/>
      <c r="F58" s="19"/>
      <c r="G58" s="105"/>
      <c r="H58" s="19">
        <f t="shared" ref="H58:R58" si="30">+H57/$D$79</f>
        <v>0.1238063855976884</v>
      </c>
      <c r="I58" s="19">
        <f t="shared" si="30"/>
        <v>2.9218823894139715E-2</v>
      </c>
      <c r="J58" s="19">
        <f t="shared" si="30"/>
        <v>0.17451002354830605</v>
      </c>
      <c r="K58" s="19">
        <f t="shared" si="30"/>
        <v>8.7798056854102205E-2</v>
      </c>
      <c r="L58" s="19">
        <f t="shared" si="30"/>
        <v>9.9607117291891215E-2</v>
      </c>
      <c r="M58" s="19">
        <f t="shared" si="30"/>
        <v>0.10818894151217213</v>
      </c>
      <c r="N58" s="19">
        <f t="shared" si="30"/>
        <v>0.11676520749361471</v>
      </c>
      <c r="O58" s="19">
        <f t="shared" si="30"/>
        <v>0.12529712579161645</v>
      </c>
      <c r="P58" s="19">
        <f t="shared" si="30"/>
        <v>0.13375165207242892</v>
      </c>
      <c r="Q58" s="19">
        <f t="shared" si="30"/>
        <v>0.14210599690393708</v>
      </c>
      <c r="R58" s="19">
        <f t="shared" si="30"/>
        <v>0.1503500068452317</v>
      </c>
    </row>
    <row r="59" spans="2:26" x14ac:dyDescent="0.2">
      <c r="G59" s="100"/>
    </row>
    <row r="60" spans="2:26" x14ac:dyDescent="0.2">
      <c r="B60" s="22" t="s">
        <v>56</v>
      </c>
      <c r="C60" s="22"/>
      <c r="E60" s="37"/>
      <c r="F60" s="37"/>
      <c r="G60" s="114"/>
      <c r="H60" s="40">
        <f t="shared" ref="H60:R60" si="31">+G60+H57</f>
        <v>334.14401600385679</v>
      </c>
      <c r="I60" s="40">
        <f t="shared" si="31"/>
        <v>413.00339883588083</v>
      </c>
      <c r="J60" s="40">
        <f t="shared" si="31"/>
        <v>883.99267632632507</v>
      </c>
      <c r="K60" s="40">
        <f t="shared" si="31"/>
        <v>1120.9529524295021</v>
      </c>
      <c r="L60" s="40">
        <f t="shared" si="31"/>
        <v>1389.7849842653559</v>
      </c>
      <c r="M60" s="40">
        <f t="shared" si="31"/>
        <v>1681.7787067988288</v>
      </c>
      <c r="N60" s="40">
        <f t="shared" si="31"/>
        <v>1996.9191187661461</v>
      </c>
      <c r="O60" s="40">
        <f t="shared" si="31"/>
        <v>2335.0865291435057</v>
      </c>
      <c r="P60" s="40">
        <f t="shared" si="31"/>
        <v>2696.0720627642081</v>
      </c>
      <c r="Q60" s="40">
        <f t="shared" si="31"/>
        <v>3079.6053375180086</v>
      </c>
      <c r="R60" s="40">
        <f t="shared" si="31"/>
        <v>3485.3885679300843</v>
      </c>
    </row>
    <row r="61" spans="2:26" s="12" customFormat="1" x14ac:dyDescent="0.2">
      <c r="B61" s="24" t="s">
        <v>55</v>
      </c>
      <c r="C61" s="25"/>
      <c r="E61" s="19"/>
      <c r="F61" s="19"/>
      <c r="G61" s="105"/>
      <c r="H61" s="19">
        <f t="shared" ref="H61:R61" si="32">+H60/$D$79</f>
        <v>0.1238063855976884</v>
      </c>
      <c r="I61" s="19">
        <f t="shared" si="32"/>
        <v>0.15302520949182813</v>
      </c>
      <c r="J61" s="19">
        <f t="shared" si="32"/>
        <v>0.32753523304013415</v>
      </c>
      <c r="K61" s="19">
        <f t="shared" si="32"/>
        <v>0.41533328989423635</v>
      </c>
      <c r="L61" s="19">
        <f t="shared" si="32"/>
        <v>0.51494040718612766</v>
      </c>
      <c r="M61" s="19">
        <f t="shared" si="32"/>
        <v>0.62312934869829983</v>
      </c>
      <c r="N61" s="19">
        <f t="shared" si="32"/>
        <v>0.73989455619191458</v>
      </c>
      <c r="O61" s="19">
        <f t="shared" si="32"/>
        <v>0.86519168198353091</v>
      </c>
      <c r="P61" s="19">
        <f t="shared" si="32"/>
        <v>0.99894333405595992</v>
      </c>
      <c r="Q61" s="19">
        <f t="shared" si="32"/>
        <v>1.141049330959897</v>
      </c>
      <c r="R61" s="19">
        <f t="shared" si="32"/>
        <v>1.2913993378051287</v>
      </c>
    </row>
    <row r="62" spans="2:26" x14ac:dyDescent="0.2">
      <c r="G62" s="100"/>
      <c r="S62" s="1" t="s">
        <v>1333</v>
      </c>
      <c r="T62" s="55"/>
      <c r="U62" s="55"/>
      <c r="V62" s="55"/>
      <c r="W62" s="55"/>
      <c r="X62" s="55"/>
      <c r="Y62" s="55"/>
      <c r="Z62" s="55"/>
    </row>
    <row r="63" spans="2:26" x14ac:dyDescent="0.2">
      <c r="B63" s="1" t="s">
        <v>57</v>
      </c>
      <c r="G63" s="115">
        <f>+'FA Base'!G69</f>
        <v>0</v>
      </c>
      <c r="T63" s="55"/>
      <c r="U63" s="55"/>
      <c r="V63" s="55"/>
      <c r="W63" s="55"/>
      <c r="X63" s="55"/>
      <c r="Y63" s="55"/>
      <c r="Z63" s="55"/>
    </row>
    <row r="64" spans="2:26" x14ac:dyDescent="0.2">
      <c r="B64" s="1" t="s">
        <v>62</v>
      </c>
      <c r="D64" s="90">
        <f t="shared" ref="D64:R64" si="33">+($D$79-D60)/D35</f>
        <v>71.917127064544715</v>
      </c>
      <c r="E64" s="90">
        <f t="shared" si="33"/>
        <v>54.956148354425245</v>
      </c>
      <c r="F64" s="90">
        <f t="shared" si="33"/>
        <v>22.053365286093083</v>
      </c>
      <c r="G64" s="115">
        <f t="shared" si="33"/>
        <v>18.044584040288896</v>
      </c>
      <c r="H64" s="41">
        <f t="shared" si="33"/>
        <v>18.985541766325724</v>
      </c>
      <c r="I64" s="41">
        <f t="shared" si="33"/>
        <v>16.630316978426798</v>
      </c>
      <c r="J64" s="41">
        <f t="shared" si="33"/>
        <v>11.194721033666342</v>
      </c>
      <c r="K64" s="41">
        <f t="shared" si="33"/>
        <v>9.1157557999153234</v>
      </c>
      <c r="L64" s="41">
        <f t="shared" si="33"/>
        <v>6.6003745579152495</v>
      </c>
      <c r="M64" s="41">
        <f t="shared" si="33"/>
        <v>4.6246430228887938</v>
      </c>
      <c r="N64" s="41">
        <f t="shared" si="33"/>
        <v>2.9009779506643905</v>
      </c>
      <c r="O64" s="41">
        <f t="shared" si="33"/>
        <v>1.3763607402690898</v>
      </c>
      <c r="P64" s="41">
        <f t="shared" si="33"/>
        <v>9.940835504707167E-3</v>
      </c>
      <c r="Q64" s="41">
        <f t="shared" si="33"/>
        <v>-1.2300289320415572</v>
      </c>
      <c r="R64" s="41">
        <f t="shared" si="33"/>
        <v>-2.3682092713255782</v>
      </c>
      <c r="S64" s="41">
        <f>(5/12)*G64+(7/12)*H64</f>
        <v>18.593476047143714</v>
      </c>
      <c r="T64" s="41"/>
      <c r="U64" s="41"/>
      <c r="V64" s="41"/>
      <c r="W64" s="41"/>
      <c r="X64" s="41"/>
      <c r="Y64" s="41"/>
      <c r="Z64" s="41"/>
    </row>
    <row r="65" spans="1:26" x14ac:dyDescent="0.2">
      <c r="B65" s="1" t="s">
        <v>58</v>
      </c>
      <c r="C65" s="41"/>
      <c r="D65" s="41"/>
      <c r="E65" s="41"/>
      <c r="F65" s="41"/>
      <c r="G65" s="115">
        <f t="shared" ref="G65:R65" si="34">+($D$81+G$54-$D$80-G$60)/G$9</f>
        <v>3.5331860005950451</v>
      </c>
      <c r="H65" s="41">
        <f t="shared" si="34"/>
        <v>3.705214461794339</v>
      </c>
      <c r="I65" s="41">
        <f t="shared" si="34"/>
        <v>3.1073609209101059</v>
      </c>
      <c r="J65" s="41">
        <f t="shared" si="34"/>
        <v>2.693335347889986</v>
      </c>
      <c r="K65" s="41">
        <f t="shared" si="34"/>
        <v>2.3120679295121378</v>
      </c>
      <c r="L65" s="41">
        <f t="shared" si="34"/>
        <v>1.9479676846744565</v>
      </c>
      <c r="M65" s="41">
        <f t="shared" si="34"/>
        <v>1.6176625534367637</v>
      </c>
      <c r="N65" s="41">
        <f t="shared" si="34"/>
        <v>1.3131050830728277</v>
      </c>
      <c r="O65" s="41">
        <f t="shared" si="34"/>
        <v>1.0279965545154919</v>
      </c>
      <c r="P65" s="41">
        <f t="shared" si="34"/>
        <v>0.75735889322504046</v>
      </c>
      <c r="Q65" s="41">
        <f t="shared" si="34"/>
        <v>0.49721345930501082</v>
      </c>
      <c r="R65" s="41">
        <f t="shared" si="34"/>
        <v>0.24433907317917614</v>
      </c>
      <c r="S65" s="41">
        <f t="shared" ref="S65:S67" si="35">(5/12)*G65+(7/12)*H65</f>
        <v>3.6335359362946331</v>
      </c>
      <c r="T65" s="23"/>
      <c r="U65" s="23"/>
      <c r="V65" s="23"/>
      <c r="W65" s="23"/>
      <c r="X65" s="23"/>
      <c r="Y65" s="23"/>
      <c r="Z65" s="23"/>
    </row>
    <row r="66" spans="1:26" x14ac:dyDescent="0.2">
      <c r="B66" s="1" t="s">
        <v>59</v>
      </c>
      <c r="C66" s="41"/>
      <c r="D66" s="41"/>
      <c r="E66" s="41"/>
      <c r="F66" s="41"/>
      <c r="G66" s="115">
        <f t="shared" ref="G66:R66" si="36">+($D$81+G$54-$D$80-G$60)/G$15</f>
        <v>11.872700406381973</v>
      </c>
      <c r="H66" s="41">
        <f t="shared" si="36"/>
        <v>12.45077424139834</v>
      </c>
      <c r="I66" s="41">
        <f t="shared" si="36"/>
        <v>10.102312191281547</v>
      </c>
      <c r="J66" s="41">
        <f t="shared" si="36"/>
        <v>8.4805665896089426</v>
      </c>
      <c r="K66" s="41">
        <f t="shared" si="36"/>
        <v>7.0578296560999547</v>
      </c>
      <c r="L66" s="41">
        <f t="shared" si="36"/>
        <v>5.7702330893993681</v>
      </c>
      <c r="M66" s="41">
        <f t="shared" si="36"/>
        <v>4.6539510093227108</v>
      </c>
      <c r="N66" s="41">
        <f t="shared" si="36"/>
        <v>3.672106206713305</v>
      </c>
      <c r="O66" s="41">
        <f t="shared" si="36"/>
        <v>2.7965916513824949</v>
      </c>
      <c r="P66" s="41">
        <f t="shared" si="36"/>
        <v>2.0057754096401323</v>
      </c>
      <c r="Q66" s="41">
        <f t="shared" si="36"/>
        <v>1.2828366017787862</v>
      </c>
      <c r="R66" s="41">
        <f t="shared" si="36"/>
        <v>0.61455176959375035</v>
      </c>
      <c r="S66" s="41">
        <f t="shared" si="35"/>
        <v>12.209910143474854</v>
      </c>
      <c r="T66" s="23"/>
      <c r="U66" s="23"/>
      <c r="V66" s="23"/>
      <c r="W66" s="23"/>
      <c r="X66" s="23"/>
      <c r="Y66" s="23"/>
      <c r="Z66" s="23"/>
    </row>
    <row r="67" spans="1:26" x14ac:dyDescent="0.2">
      <c r="B67" s="1" t="s">
        <v>60</v>
      </c>
      <c r="C67" s="41"/>
      <c r="D67" s="41"/>
      <c r="E67" s="41"/>
      <c r="F67" s="41"/>
      <c r="G67" s="115">
        <f t="shared" ref="G67:R67" si="37">+($D$81+G$54-$D$80-G$60)/G$22</f>
        <v>13.553715594368171</v>
      </c>
      <c r="H67" s="41">
        <f t="shared" si="37"/>
        <v>14.110314299632574</v>
      </c>
      <c r="I67" s="41">
        <f t="shared" si="37"/>
        <v>11.399432845022067</v>
      </c>
      <c r="J67" s="41">
        <f t="shared" si="37"/>
        <v>9.5309250457529391</v>
      </c>
      <c r="K67" s="41">
        <f t="shared" si="37"/>
        <v>7.9020991595441998</v>
      </c>
      <c r="L67" s="41">
        <f t="shared" si="37"/>
        <v>6.4376668169894131</v>
      </c>
      <c r="M67" s="41">
        <f t="shared" si="37"/>
        <v>5.1750449800634639</v>
      </c>
      <c r="N67" s="41">
        <f t="shared" si="37"/>
        <v>4.0705193114429816</v>
      </c>
      <c r="O67" s="41">
        <f t="shared" si="37"/>
        <v>3.090890873599311</v>
      </c>
      <c r="P67" s="41">
        <f t="shared" si="37"/>
        <v>2.2106918628226935</v>
      </c>
      <c r="Q67" s="41">
        <f t="shared" si="37"/>
        <v>1.4101782680603689</v>
      </c>
      <c r="R67" s="41">
        <f t="shared" si="37"/>
        <v>0.67387322485681023</v>
      </c>
      <c r="S67" s="41">
        <f t="shared" si="35"/>
        <v>13.878398172439073</v>
      </c>
      <c r="T67" s="23"/>
      <c r="U67" s="23"/>
      <c r="V67" s="23"/>
      <c r="W67" s="23"/>
      <c r="X67" s="23"/>
      <c r="Y67" s="23"/>
      <c r="Z67" s="23"/>
    </row>
    <row r="68" spans="1:26" x14ac:dyDescent="0.2">
      <c r="E68" s="41"/>
      <c r="F68" s="41"/>
      <c r="G68" s="41"/>
      <c r="H68" s="41"/>
      <c r="I68" s="41"/>
      <c r="J68" s="41"/>
      <c r="K68" s="41"/>
      <c r="L68" s="41"/>
      <c r="M68" s="41"/>
      <c r="N68" s="41"/>
      <c r="O68" s="41"/>
      <c r="P68" s="41"/>
      <c r="Q68" s="41"/>
      <c r="R68" s="41"/>
    </row>
    <row r="69" spans="1:26" ht="10.5" x14ac:dyDescent="0.25">
      <c r="A69" s="1" t="s">
        <v>26</v>
      </c>
      <c r="B69" s="11" t="s">
        <v>65</v>
      </c>
      <c r="C69" s="3"/>
    </row>
    <row r="70" spans="1:26" x14ac:dyDescent="0.2">
      <c r="S70" s="1" t="s">
        <v>1334</v>
      </c>
      <c r="T70" s="12">
        <f>1/S64</f>
        <v>5.3782305011957014E-2</v>
      </c>
    </row>
    <row r="71" spans="1:26" ht="10.5" x14ac:dyDescent="0.25">
      <c r="B71" s="26" t="s">
        <v>66</v>
      </c>
      <c r="C71" s="26"/>
      <c r="S71" s="1" t="s">
        <v>1335</v>
      </c>
      <c r="T71" s="73">
        <f>+H36</f>
        <v>-0.16723212298898682</v>
      </c>
    </row>
    <row r="72" spans="1:26" ht="11.5" x14ac:dyDescent="0.35">
      <c r="B72" s="1" t="s">
        <v>67</v>
      </c>
      <c r="Q72" s="91">
        <v>15</v>
      </c>
      <c r="S72" s="22" t="s">
        <v>1336</v>
      </c>
      <c r="T72" s="12">
        <f>SUM(T70:T71)</f>
        <v>-0.1134498179770298</v>
      </c>
    </row>
    <row r="73" spans="1:26" ht="13.5" x14ac:dyDescent="0.55000000000000004">
      <c r="B73" s="22" t="s">
        <v>68</v>
      </c>
      <c r="C73" s="22"/>
      <c r="D73" s="37"/>
      <c r="Q73" s="52">
        <f>+R35*Q72</f>
        <v>4981.3881760322802</v>
      </c>
      <c r="R73" s="42"/>
    </row>
    <row r="74" spans="1:26" x14ac:dyDescent="0.2">
      <c r="B74" s="22" t="s">
        <v>69</v>
      </c>
      <c r="C74" s="22"/>
      <c r="E74" s="37"/>
      <c r="G74" s="40">
        <f>-D79</f>
        <v>-2698.9239237600004</v>
      </c>
      <c r="H74" s="40">
        <f>+H57</f>
        <v>334.14401600385679</v>
      </c>
      <c r="I74" s="40">
        <f t="shared" ref="I74:P74" si="38">+I57</f>
        <v>78.859382832024011</v>
      </c>
      <c r="J74" s="40">
        <f t="shared" si="38"/>
        <v>470.98927749044424</v>
      </c>
      <c r="K74" s="40">
        <f t="shared" si="38"/>
        <v>236.96027610317714</v>
      </c>
      <c r="L74" s="40">
        <f t="shared" si="38"/>
        <v>268.83203183585363</v>
      </c>
      <c r="M74" s="40">
        <f t="shared" si="38"/>
        <v>291.99372253347281</v>
      </c>
      <c r="N74" s="40">
        <f t="shared" si="38"/>
        <v>315.14041196731722</v>
      </c>
      <c r="O74" s="40">
        <f t="shared" si="38"/>
        <v>338.16741037735983</v>
      </c>
      <c r="P74" s="40">
        <f t="shared" si="38"/>
        <v>360.98553362070226</v>
      </c>
      <c r="Q74" s="40">
        <f>+Q57+Q73</f>
        <v>5364.9214507860806</v>
      </c>
      <c r="R74" s="40"/>
    </row>
    <row r="75" spans="1:26" ht="10.5" x14ac:dyDescent="0.25">
      <c r="B75" s="27" t="s">
        <v>70</v>
      </c>
      <c r="C75" s="28"/>
      <c r="D75" s="28"/>
      <c r="E75" s="28"/>
      <c r="F75" s="28"/>
      <c r="G75" s="29">
        <f ca="1">XIRR(G74:Q74,G3:Q3)</f>
        <v>0.24621258378028868</v>
      </c>
      <c r="R75" s="41"/>
    </row>
    <row r="77" spans="1:26" ht="10.5" x14ac:dyDescent="0.25">
      <c r="B77" s="30" t="s">
        <v>71</v>
      </c>
      <c r="C77" s="31"/>
      <c r="D77" s="43"/>
      <c r="E77" s="44"/>
    </row>
    <row r="78" spans="1:26" ht="10.5" x14ac:dyDescent="0.25">
      <c r="D78" s="45" t="s">
        <v>72</v>
      </c>
      <c r="E78" s="45" t="s">
        <v>73</v>
      </c>
    </row>
    <row r="79" spans="1:26" x14ac:dyDescent="0.2">
      <c r="B79" s="1" t="s">
        <v>74</v>
      </c>
      <c r="D79" s="64">
        <f>+'FA Base'!D87</f>
        <v>2698.9239237600004</v>
      </c>
      <c r="E79" s="67">
        <f>+'FA Base'!E87</f>
        <v>18.73</v>
      </c>
    </row>
    <row r="80" spans="1:26" ht="11.5" x14ac:dyDescent="0.35">
      <c r="B80" s="1" t="s">
        <v>52</v>
      </c>
      <c r="D80" s="50">
        <f>+'FA Base'!D88</f>
        <v>252.45200000000006</v>
      </c>
      <c r="E80" s="92">
        <f>+'FA Base'!E88</f>
        <v>1.7519671148835512</v>
      </c>
    </row>
    <row r="81" spans="1:7" ht="10.5" x14ac:dyDescent="0.25">
      <c r="B81" s="32" t="s">
        <v>76</v>
      </c>
      <c r="C81" s="32"/>
      <c r="D81" s="93">
        <f>+'FA Base'!D89</f>
        <v>2951.3759237600007</v>
      </c>
      <c r="E81" s="94">
        <f>+'FA Base'!E89</f>
        <v>20.481967114883552</v>
      </c>
    </row>
    <row r="82" spans="1:7" x14ac:dyDescent="0.2">
      <c r="A82" s="1" t="s">
        <v>26</v>
      </c>
      <c r="B82" s="13" t="s">
        <v>77</v>
      </c>
      <c r="C82" s="13"/>
      <c r="D82" s="49"/>
      <c r="E82" s="95">
        <f>+'FA Base'!E90</f>
        <v>144.09631200000001</v>
      </c>
    </row>
    <row r="85" spans="1:7" x14ac:dyDescent="0.2">
      <c r="G85" s="96">
        <f ca="1">+G75</f>
        <v>0.24621258378028868</v>
      </c>
    </row>
  </sheetData>
  <pageMargins left="0.3" right="0.3" top="0.3" bottom="0.3" header="0.3" footer="0.3"/>
  <pageSetup scale="71" fitToHeight="0" orientation="landscape" r:id="rId1"/>
  <headerFooter>
    <oddFooter>Page &amp;P</oddFooter>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42489-A87E-4A65-AC19-AF9C482D0E32}">
  <sheetPr>
    <pageSetUpPr fitToPage="1"/>
  </sheetPr>
  <dimension ref="A1:Z85"/>
  <sheetViews>
    <sheetView view="pageBreakPreview" zoomScale="85" zoomScaleNormal="100" zoomScaleSheetLayoutView="85" workbookViewId="0">
      <pane xSplit="2" ySplit="5" topLeftCell="C6" activePane="bottomRight" state="frozen"/>
      <selection pane="topRight" activeCell="D6" sqref="D6"/>
      <selection pane="bottomLeft" activeCell="D6" sqref="D6"/>
      <selection pane="bottomRight" activeCell="D6" sqref="D6"/>
    </sheetView>
  </sheetViews>
  <sheetFormatPr defaultColWidth="9.1796875" defaultRowHeight="10" outlineLevelRow="1" x14ac:dyDescent="0.2"/>
  <cols>
    <col min="1" max="1" width="1.453125" style="1" customWidth="1"/>
    <col min="2" max="2" width="15.7265625" style="1" customWidth="1"/>
    <col min="3" max="3" width="2.7265625" style="1" customWidth="1"/>
    <col min="4" max="18" width="11.54296875" style="1" customWidth="1"/>
    <col min="19" max="19" width="14.1796875" style="1" bestFit="1" customWidth="1"/>
    <col min="20" max="20" width="10.453125" style="1" bestFit="1" customWidth="1"/>
    <col min="21" max="16384" width="9.1796875" style="1"/>
  </cols>
  <sheetData>
    <row r="1" spans="1:22" ht="10.5" x14ac:dyDescent="0.25">
      <c r="B1" s="1" t="s">
        <v>174</v>
      </c>
      <c r="G1" s="396"/>
      <c r="H1" s="396"/>
      <c r="I1" s="397" t="s">
        <v>1328</v>
      </c>
      <c r="J1" s="396"/>
      <c r="K1" s="396"/>
      <c r="L1" s="396"/>
      <c r="P1" s="2"/>
      <c r="R1" s="2">
        <f ca="1">TODAY()</f>
        <v>45797</v>
      </c>
    </row>
    <row r="2" spans="1:22" ht="10.5" x14ac:dyDescent="0.25">
      <c r="B2" s="3" t="s">
        <v>768</v>
      </c>
      <c r="C2" s="3"/>
    </row>
    <row r="3" spans="1:22" s="4" customFormat="1" x14ac:dyDescent="0.2">
      <c r="B3" s="5" t="s">
        <v>6</v>
      </c>
      <c r="C3" s="5"/>
      <c r="F3" s="56"/>
      <c r="G3" s="6">
        <f ca="1">TODAY()</f>
        <v>45797</v>
      </c>
      <c r="H3" s="6">
        <v>45291</v>
      </c>
      <c r="I3" s="6">
        <f>+H3+365.25</f>
        <v>45656.25</v>
      </c>
      <c r="J3" s="6">
        <f t="shared" ref="J3:R3" si="0">+I3+365.25</f>
        <v>46021.5</v>
      </c>
      <c r="K3" s="6">
        <f t="shared" si="0"/>
        <v>46386.75</v>
      </c>
      <c r="L3" s="6">
        <f t="shared" si="0"/>
        <v>46752</v>
      </c>
      <c r="M3" s="6">
        <f t="shared" si="0"/>
        <v>47117.25</v>
      </c>
      <c r="N3" s="6">
        <f t="shared" si="0"/>
        <v>47482.5</v>
      </c>
      <c r="O3" s="6">
        <f t="shared" si="0"/>
        <v>47847.75</v>
      </c>
      <c r="P3" s="6">
        <f t="shared" si="0"/>
        <v>48213</v>
      </c>
      <c r="Q3" s="6">
        <f t="shared" si="0"/>
        <v>48578.25</v>
      </c>
      <c r="R3" s="6">
        <f t="shared" si="0"/>
        <v>48943.5</v>
      </c>
    </row>
    <row r="4" spans="1:22" ht="10.5" x14ac:dyDescent="0.25">
      <c r="D4" s="7" t="s">
        <v>7</v>
      </c>
      <c r="E4" s="8"/>
      <c r="F4" s="8"/>
      <c r="G4" s="8"/>
      <c r="H4" s="8"/>
      <c r="I4" s="8"/>
      <c r="J4" s="8"/>
      <c r="K4" s="8"/>
      <c r="L4" s="8"/>
      <c r="M4" s="8"/>
      <c r="N4" s="8"/>
      <c r="O4" s="8"/>
      <c r="P4" s="8"/>
      <c r="Q4" s="8"/>
      <c r="R4" s="8"/>
    </row>
    <row r="5" spans="1:22" ht="13.5" x14ac:dyDescent="0.55000000000000004">
      <c r="D5" s="9" t="s">
        <v>8</v>
      </c>
      <c r="E5" s="9" t="s">
        <v>9</v>
      </c>
      <c r="F5" s="9" t="s">
        <v>10</v>
      </c>
      <c r="G5" s="98" t="s">
        <v>1331</v>
      </c>
      <c r="H5" s="9" t="s">
        <v>712</v>
      </c>
      <c r="I5" s="9" t="s">
        <v>13</v>
      </c>
      <c r="J5" s="9" t="s">
        <v>14</v>
      </c>
      <c r="K5" s="9" t="s">
        <v>15</v>
      </c>
      <c r="L5" s="9" t="s">
        <v>16</v>
      </c>
      <c r="M5" s="9" t="s">
        <v>17</v>
      </c>
      <c r="N5" s="9" t="s">
        <v>18</v>
      </c>
      <c r="O5" s="9" t="s">
        <v>19</v>
      </c>
      <c r="P5" s="9" t="s">
        <v>20</v>
      </c>
      <c r="Q5" s="9" t="s">
        <v>21</v>
      </c>
      <c r="R5" s="9" t="s">
        <v>22</v>
      </c>
    </row>
    <row r="6" spans="1:22" x14ac:dyDescent="0.2">
      <c r="E6" s="10"/>
      <c r="F6" s="10"/>
      <c r="G6" s="99"/>
      <c r="H6" s="10"/>
      <c r="I6" s="10"/>
      <c r="J6" s="10"/>
      <c r="K6" s="10"/>
      <c r="L6" s="10"/>
      <c r="M6" s="10"/>
      <c r="N6" s="10"/>
      <c r="O6" s="10"/>
      <c r="P6" s="10"/>
      <c r="Q6" s="10"/>
      <c r="R6" s="10"/>
    </row>
    <row r="7" spans="1:22" ht="10.5" x14ac:dyDescent="0.25">
      <c r="A7" s="1" t="s">
        <v>26</v>
      </c>
      <c r="B7" s="11" t="s">
        <v>27</v>
      </c>
      <c r="C7" s="3"/>
      <c r="G7" s="100"/>
    </row>
    <row r="8" spans="1:22" x14ac:dyDescent="0.2">
      <c r="G8" s="586">
        <f>+'FA - Historical Financials'!AJ8</f>
        <v>0</v>
      </c>
      <c r="H8" s="89">
        <f>+'FA - Historical Financials'!AK8</f>
        <v>0</v>
      </c>
      <c r="K8" s="88"/>
      <c r="L8" s="88"/>
      <c r="N8" s="88" t="s">
        <v>1329</v>
      </c>
      <c r="S8" s="57"/>
    </row>
    <row r="9" spans="1:22" x14ac:dyDescent="0.2">
      <c r="B9" s="1" t="s">
        <v>28</v>
      </c>
      <c r="D9" s="70">
        <f>+'FA - Historical Financials'!AG12</f>
        <v>481.76699999999994</v>
      </c>
      <c r="E9" s="70">
        <f>+'FA - Historical Financials'!AH12</f>
        <v>509.15399999999994</v>
      </c>
      <c r="F9" s="70">
        <f>+'FA - Historical Financials'!AI12</f>
        <v>712.29500000000007</v>
      </c>
      <c r="G9" s="101">
        <f>+'FA - Historical Financials'!AJ12</f>
        <v>810.02300000000002</v>
      </c>
      <c r="H9" s="49">
        <f t="shared" ref="H9:R9" si="1">+G9*(1+H10)</f>
        <v>567.01609999999994</v>
      </c>
      <c r="I9" s="49">
        <f t="shared" si="1"/>
        <v>652.06851499999993</v>
      </c>
      <c r="J9" s="49">
        <f t="shared" si="1"/>
        <v>730.31673679999994</v>
      </c>
      <c r="K9" s="49">
        <f t="shared" si="1"/>
        <v>788.74207574399998</v>
      </c>
      <c r="L9" s="49">
        <f t="shared" si="1"/>
        <v>851.84144180352007</v>
      </c>
      <c r="M9" s="49">
        <f t="shared" si="1"/>
        <v>919.98875714780172</v>
      </c>
      <c r="N9" s="49">
        <f t="shared" si="1"/>
        <v>986.22794766244351</v>
      </c>
      <c r="O9" s="49">
        <f t="shared" si="1"/>
        <v>1050.1355186709698</v>
      </c>
      <c r="P9" s="49">
        <f t="shared" si="1"/>
        <v>1111.3794221198607</v>
      </c>
      <c r="Q9" s="49">
        <f t="shared" si="1"/>
        <v>1169.713505228088</v>
      </c>
      <c r="R9" s="49">
        <f t="shared" si="1"/>
        <v>1224.9698354442587</v>
      </c>
      <c r="S9" s="57"/>
    </row>
    <row r="10" spans="1:22" s="12" customFormat="1" x14ac:dyDescent="0.2">
      <c r="B10" s="13" t="s">
        <v>29</v>
      </c>
      <c r="C10" s="14"/>
      <c r="D10" s="15">
        <f>+'FA - Historical Financials'!AG13</f>
        <v>7.8E-2</v>
      </c>
      <c r="E10" s="15">
        <f>IFERROR(IF(OR(E9&lt;0, D9&lt;0), "NM", E9/D9-1),"N/A")</f>
        <v>5.684698204733829E-2</v>
      </c>
      <c r="F10" s="15">
        <f>IFERROR(IF(OR(F9&lt;0, E9&lt;0), "NM", F9/E9-1),"N/A")</f>
        <v>0.39897751957168204</v>
      </c>
      <c r="G10" s="102">
        <f>IFERROR(IF(OR(G9&lt;0, F9&lt;0), "NM", G9/F9-1),"N/A")</f>
        <v>0.13720158080570544</v>
      </c>
      <c r="H10" s="59">
        <v>-0.3</v>
      </c>
      <c r="I10" s="59">
        <v>0.15</v>
      </c>
      <c r="J10" s="59">
        <v>0.12</v>
      </c>
      <c r="K10" s="59">
        <v>0.08</v>
      </c>
      <c r="L10" s="59">
        <v>0.08</v>
      </c>
      <c r="M10" s="59">
        <v>0.08</v>
      </c>
      <c r="N10" s="59">
        <f t="shared" ref="N10:R10" si="2">+M10*0.9</f>
        <v>7.2000000000000008E-2</v>
      </c>
      <c r="O10" s="59">
        <f t="shared" si="2"/>
        <v>6.480000000000001E-2</v>
      </c>
      <c r="P10" s="59">
        <f t="shared" si="2"/>
        <v>5.8320000000000011E-2</v>
      </c>
      <c r="Q10" s="59">
        <f t="shared" si="2"/>
        <v>5.2488000000000014E-2</v>
      </c>
      <c r="R10" s="59">
        <f t="shared" si="2"/>
        <v>4.7239200000000016E-2</v>
      </c>
      <c r="T10" s="1"/>
    </row>
    <row r="11" spans="1:22" s="12" customFormat="1" x14ac:dyDescent="0.2">
      <c r="B11" s="13" t="s">
        <v>218</v>
      </c>
      <c r="C11" s="14"/>
      <c r="D11" s="15"/>
      <c r="E11" s="15"/>
      <c r="F11" s="15">
        <f>+'FA - Historical Financials'!AI15</f>
        <v>0.39959040683172514</v>
      </c>
      <c r="G11" s="102">
        <f>+'FA - Historical Financials'!AJ15</f>
        <v>0.15170899978239333</v>
      </c>
      <c r="H11" s="15" t="e">
        <f>+H10-('FA Base'!H9-'FA Base'!#REF!)</f>
        <v>#REF!</v>
      </c>
      <c r="I11" s="59"/>
      <c r="J11" s="59"/>
      <c r="K11" s="59"/>
      <c r="L11" s="59"/>
      <c r="M11" s="59"/>
      <c r="N11" s="59"/>
      <c r="O11" s="59"/>
      <c r="P11" s="59"/>
      <c r="Q11" s="59"/>
      <c r="R11" s="59"/>
      <c r="T11" s="1"/>
    </row>
    <row r="12" spans="1:22" s="12" customFormat="1" x14ac:dyDescent="0.2">
      <c r="B12" s="13" t="s">
        <v>217</v>
      </c>
      <c r="C12" s="14"/>
      <c r="D12" s="15">
        <f>+'FA - Historical Financials'!AG14</f>
        <v>7.8E-2</v>
      </c>
      <c r="E12" s="15">
        <f>+'FA - Historical Financials'!AH14</f>
        <v>5.684698204733829E-2</v>
      </c>
      <c r="F12" s="15">
        <f>+'FA - Historical Financials'!AI14</f>
        <v>0.35099999999999998</v>
      </c>
      <c r="G12" s="102">
        <f>+'FA - Historical Financials'!AJ14</f>
        <v>8.5172180065843262E-2</v>
      </c>
      <c r="H12" s="15">
        <f t="shared" ref="H12:R12" si="3">+H10</f>
        <v>-0.3</v>
      </c>
      <c r="I12" s="15">
        <f t="shared" si="3"/>
        <v>0.15</v>
      </c>
      <c r="J12" s="15">
        <f t="shared" si="3"/>
        <v>0.12</v>
      </c>
      <c r="K12" s="15">
        <f t="shared" si="3"/>
        <v>0.08</v>
      </c>
      <c r="L12" s="15">
        <f t="shared" si="3"/>
        <v>0.08</v>
      </c>
      <c r="M12" s="15">
        <f t="shared" si="3"/>
        <v>0.08</v>
      </c>
      <c r="N12" s="15">
        <f t="shared" si="3"/>
        <v>7.2000000000000008E-2</v>
      </c>
      <c r="O12" s="15">
        <f t="shared" si="3"/>
        <v>6.480000000000001E-2</v>
      </c>
      <c r="P12" s="15">
        <f t="shared" si="3"/>
        <v>5.8320000000000011E-2</v>
      </c>
      <c r="Q12" s="15">
        <f t="shared" si="3"/>
        <v>5.2488000000000014E-2</v>
      </c>
      <c r="R12" s="15">
        <f t="shared" si="3"/>
        <v>4.7239200000000016E-2</v>
      </c>
      <c r="T12" s="1"/>
    </row>
    <row r="13" spans="1:22" s="12" customFormat="1" x14ac:dyDescent="0.2">
      <c r="B13" s="13" t="s">
        <v>1332</v>
      </c>
      <c r="C13" s="14"/>
      <c r="D13" s="15"/>
      <c r="E13" s="15"/>
      <c r="F13" s="15">
        <f>+'FA - Historical Financials'!AI29</f>
        <v>0.35038711273995687</v>
      </c>
      <c r="G13" s="102">
        <f>+'FA - Historical Financials'!AJ29</f>
        <v>9.9651127692880204E-2</v>
      </c>
      <c r="H13" s="15">
        <f>+H10-('FA Base'!H9-'FA Base'!H10)</f>
        <v>-0.30092778512026575</v>
      </c>
      <c r="I13" s="15"/>
      <c r="J13" s="15"/>
      <c r="K13" s="15"/>
      <c r="L13" s="15"/>
      <c r="M13" s="15"/>
      <c r="N13" s="15"/>
      <c r="O13" s="15"/>
      <c r="P13" s="15"/>
      <c r="Q13" s="15"/>
      <c r="R13" s="15"/>
      <c r="T13" s="1"/>
    </row>
    <row r="14" spans="1:22" s="12" customFormat="1" x14ac:dyDescent="0.2">
      <c r="B14" s="13"/>
      <c r="C14" s="14"/>
      <c r="D14" s="33"/>
      <c r="E14" s="33"/>
      <c r="F14" s="16"/>
      <c r="G14" s="103"/>
      <c r="H14" s="16"/>
      <c r="I14" s="17" t="s">
        <v>31</v>
      </c>
      <c r="J14" s="16"/>
      <c r="K14" s="16"/>
      <c r="L14" s="16"/>
      <c r="M14" s="16"/>
      <c r="N14" s="16"/>
      <c r="O14" s="16"/>
      <c r="P14" s="16"/>
      <c r="Q14" s="16"/>
      <c r="R14" s="16"/>
    </row>
    <row r="15" spans="1:22" s="12" customFormat="1" x14ac:dyDescent="0.2">
      <c r="B15" s="18" t="s">
        <v>145</v>
      </c>
      <c r="C15" s="14"/>
      <c r="D15" s="70">
        <f>+'FA - Historical Financials'!AG91</f>
        <v>122.557</v>
      </c>
      <c r="E15" s="70">
        <f>+'FA - Historical Financials'!AH91</f>
        <v>140.946</v>
      </c>
      <c r="F15" s="70">
        <f>+'FA - Historical Financials'!AI91</f>
        <v>216.76399999999998</v>
      </c>
      <c r="G15" s="101">
        <f>+'FA - Historical Financials'!AJ91</f>
        <v>241.05400000000003</v>
      </c>
      <c r="H15" s="49">
        <f t="shared" ref="H15:R15" si="4">+H17*H$9</f>
        <v>168.73779999999999</v>
      </c>
      <c r="I15" s="49">
        <f t="shared" si="4"/>
        <v>200.56915515</v>
      </c>
      <c r="J15" s="49">
        <f t="shared" si="4"/>
        <v>231.940621136</v>
      </c>
      <c r="K15" s="49">
        <f t="shared" si="4"/>
        <v>258.38329158432003</v>
      </c>
      <c r="L15" s="49">
        <f t="shared" si="4"/>
        <v>287.57236932910087</v>
      </c>
      <c r="M15" s="49">
        <f t="shared" si="4"/>
        <v>319.77804644690696</v>
      </c>
      <c r="N15" s="49">
        <f t="shared" si="4"/>
        <v>352.66434526770871</v>
      </c>
      <c r="O15" s="49">
        <f t="shared" si="4"/>
        <v>386.01835002776596</v>
      </c>
      <c r="P15" s="49">
        <f t="shared" si="4"/>
        <v>419.64473442258384</v>
      </c>
      <c r="Q15" s="49">
        <f t="shared" si="4"/>
        <v>453.36818229523738</v>
      </c>
      <c r="R15" s="49">
        <f t="shared" si="4"/>
        <v>487.03463088676114</v>
      </c>
      <c r="T15" s="33"/>
      <c r="U15" s="33"/>
      <c r="V15" s="33"/>
    </row>
    <row r="16" spans="1:22" s="12" customFormat="1" x14ac:dyDescent="0.2">
      <c r="B16" s="13" t="s">
        <v>29</v>
      </c>
      <c r="C16" s="14"/>
      <c r="D16" s="15"/>
      <c r="E16" s="15">
        <f>IFERROR(IF(OR(E15&lt;0, D15&lt;0), "NM", E15/D15-1),"N/A")</f>
        <v>0.1500444691041718</v>
      </c>
      <c r="F16" s="15">
        <f>IFERROR(IF(OR(F15&lt;0, E15&lt;0), "NM", F15/E15-1),"N/A")</f>
        <v>0.53792232486200375</v>
      </c>
      <c r="G16" s="102">
        <f>IFERROR(IF(OR(G15&lt;0, F15&lt;0), "NM", G15/F15-1),"N/A")</f>
        <v>0.11205735269694261</v>
      </c>
      <c r="H16" s="15">
        <f>IFERROR(IF(OR(H15&lt;0, G15&lt;0), "NM", H15/G15-1),"N/A")</f>
        <v>-0.30000000000000016</v>
      </c>
      <c r="I16" s="15">
        <f t="shared" ref="I16:R16" si="5">IFERROR(IF(OR(I15&lt;0, H15&lt;0), "NM", I15/H15-1),"N/A")</f>
        <v>0.1886438909953787</v>
      </c>
      <c r="J16" s="15">
        <f t="shared" si="5"/>
        <v>0.15641221583916121</v>
      </c>
      <c r="K16" s="15">
        <f t="shared" si="5"/>
        <v>0.11400620692834651</v>
      </c>
      <c r="L16" s="15">
        <f t="shared" si="5"/>
        <v>0.11296813182386201</v>
      </c>
      <c r="M16" s="15">
        <f t="shared" si="5"/>
        <v>0.11199155604879962</v>
      </c>
      <c r="N16" s="15">
        <f t="shared" si="5"/>
        <v>0.10284101484203001</v>
      </c>
      <c r="O16" s="15">
        <f t="shared" si="5"/>
        <v>9.4577195590152652E-2</v>
      </c>
      <c r="P16" s="15">
        <f t="shared" si="5"/>
        <v>8.7110844322294989E-2</v>
      </c>
      <c r="Q16" s="15">
        <f t="shared" si="5"/>
        <v>8.0361899259991487E-2</v>
      </c>
      <c r="R16" s="15">
        <f t="shared" si="5"/>
        <v>7.4258516380842687E-2</v>
      </c>
    </row>
    <row r="17" spans="2:19" s="12" customFormat="1" x14ac:dyDescent="0.2">
      <c r="B17" s="13" t="s">
        <v>33</v>
      </c>
      <c r="C17" s="14"/>
      <c r="D17" s="15">
        <f>+IFERROR(D15/D$9,"N/A")</f>
        <v>0.25439060790797213</v>
      </c>
      <c r="E17" s="15">
        <f>+IFERROR(E15/E$9,"N/A")</f>
        <v>0.27682390789427169</v>
      </c>
      <c r="F17" s="15">
        <f>+IFERROR(F15/F$9,"N/A")</f>
        <v>0.30431773352332947</v>
      </c>
      <c r="G17" s="102">
        <f>+IFERROR(G15/G$9,"N/A")</f>
        <v>0.29758908080387841</v>
      </c>
      <c r="H17" s="59">
        <f>+G17</f>
        <v>0.29758908080387841</v>
      </c>
      <c r="I17" s="59">
        <f t="shared" ref="I17:R17" si="6">+H17+1%</f>
        <v>0.30758908080387842</v>
      </c>
      <c r="J17" s="59">
        <f t="shared" si="6"/>
        <v>0.31758908080387843</v>
      </c>
      <c r="K17" s="59">
        <f t="shared" si="6"/>
        <v>0.32758908080387844</v>
      </c>
      <c r="L17" s="59">
        <f t="shared" si="6"/>
        <v>0.33758908080387845</v>
      </c>
      <c r="M17" s="59">
        <f t="shared" si="6"/>
        <v>0.34758908080387846</v>
      </c>
      <c r="N17" s="59">
        <f t="shared" si="6"/>
        <v>0.35758908080387847</v>
      </c>
      <c r="O17" s="59">
        <f t="shared" si="6"/>
        <v>0.36758908080387848</v>
      </c>
      <c r="P17" s="59">
        <f t="shared" si="6"/>
        <v>0.37758908080387849</v>
      </c>
      <c r="Q17" s="59">
        <f t="shared" si="6"/>
        <v>0.38758908080387849</v>
      </c>
      <c r="R17" s="59">
        <f t="shared" si="6"/>
        <v>0.3975890808038785</v>
      </c>
      <c r="S17" s="59"/>
    </row>
    <row r="18" spans="2:19" x14ac:dyDescent="0.2">
      <c r="F18" s="20"/>
      <c r="G18" s="104"/>
      <c r="H18" s="20"/>
      <c r="I18" s="20"/>
      <c r="J18" s="20"/>
      <c r="K18" s="20"/>
      <c r="L18" s="20"/>
      <c r="M18" s="20"/>
      <c r="N18" s="20"/>
      <c r="O18" s="20"/>
      <c r="P18" s="20"/>
      <c r="Q18" s="20"/>
      <c r="R18" s="20"/>
    </row>
    <row r="19" spans="2:19" x14ac:dyDescent="0.2">
      <c r="B19" s="1" t="s">
        <v>40</v>
      </c>
      <c r="D19" s="70">
        <f>+'FA - Historical Financials'!AG96</f>
        <v>19.844999999999999</v>
      </c>
      <c r="E19" s="70">
        <f>+'FA - Historical Financials'!AH96</f>
        <v>20.418000000000003</v>
      </c>
      <c r="F19" s="70">
        <f>+'FA - Historical Financials'!AI96</f>
        <v>25.45</v>
      </c>
      <c r="G19" s="101">
        <f>+'FA - Historical Financials'!AJ96</f>
        <v>29.896999999999998</v>
      </c>
      <c r="H19" s="49">
        <f t="shared" ref="H19:R19" si="7">+H20*H$9</f>
        <v>19.845563500000001</v>
      </c>
      <c r="I19" s="49">
        <f t="shared" si="7"/>
        <v>22.822398024999998</v>
      </c>
      <c r="J19" s="49">
        <f t="shared" si="7"/>
        <v>25.561085788</v>
      </c>
      <c r="K19" s="49">
        <f t="shared" si="7"/>
        <v>27.605972651040002</v>
      </c>
      <c r="L19" s="49">
        <f t="shared" si="7"/>
        <v>29.814450463123205</v>
      </c>
      <c r="M19" s="49">
        <f t="shared" si="7"/>
        <v>32.199606500173061</v>
      </c>
      <c r="N19" s="49">
        <f t="shared" si="7"/>
        <v>34.517978168185529</v>
      </c>
      <c r="O19" s="49">
        <f t="shared" si="7"/>
        <v>36.754743153483943</v>
      </c>
      <c r="P19" s="49">
        <f t="shared" si="7"/>
        <v>38.898279774195125</v>
      </c>
      <c r="Q19" s="49">
        <f t="shared" si="7"/>
        <v>40.939972682983083</v>
      </c>
      <c r="R19" s="49">
        <f t="shared" si="7"/>
        <v>42.873944240549058</v>
      </c>
    </row>
    <row r="20" spans="2:19" s="12" customFormat="1" x14ac:dyDescent="0.2">
      <c r="B20" s="13" t="s">
        <v>41</v>
      </c>
      <c r="C20" s="14"/>
      <c r="D20" s="19">
        <f>+D19/D$9</f>
        <v>4.1192111539395601E-2</v>
      </c>
      <c r="E20" s="19">
        <f>+E19/E$9</f>
        <v>4.0101815953522912E-2</v>
      </c>
      <c r="F20" s="19">
        <f>+F19/F$9</f>
        <v>3.5729578334819136E-2</v>
      </c>
      <c r="G20" s="105">
        <f>+G19/G$9</f>
        <v>3.6908828514745876E-2</v>
      </c>
      <c r="H20" s="59">
        <v>3.5000000000000003E-2</v>
      </c>
      <c r="I20" s="59">
        <v>3.5000000000000003E-2</v>
      </c>
      <c r="J20" s="59">
        <v>3.5000000000000003E-2</v>
      </c>
      <c r="K20" s="59">
        <v>3.5000000000000003E-2</v>
      </c>
      <c r="L20" s="59">
        <v>3.5000000000000003E-2</v>
      </c>
      <c r="M20" s="59">
        <v>3.5000000000000003E-2</v>
      </c>
      <c r="N20" s="59">
        <v>3.5000000000000003E-2</v>
      </c>
      <c r="O20" s="59">
        <v>3.5000000000000003E-2</v>
      </c>
      <c r="P20" s="59">
        <v>3.5000000000000003E-2</v>
      </c>
      <c r="Q20" s="59">
        <v>3.5000000000000003E-2</v>
      </c>
      <c r="R20" s="59">
        <v>3.5000000000000003E-2</v>
      </c>
    </row>
    <row r="21" spans="2:19" x14ac:dyDescent="0.2">
      <c r="F21" s="20"/>
      <c r="G21" s="104"/>
      <c r="H21" s="20"/>
      <c r="I21" s="20"/>
      <c r="J21" s="20"/>
      <c r="K21" s="20"/>
      <c r="L21" s="20"/>
      <c r="M21" s="20"/>
      <c r="N21" s="20"/>
      <c r="O21" s="20"/>
      <c r="P21" s="20"/>
      <c r="Q21" s="20"/>
      <c r="R21" s="20"/>
    </row>
    <row r="22" spans="2:19" ht="11.25" customHeight="1" x14ac:dyDescent="0.2">
      <c r="B22" s="21" t="s">
        <v>138</v>
      </c>
      <c r="D22" s="40">
        <f t="shared" ref="D22:R22" si="8">+D15-D19</f>
        <v>102.712</v>
      </c>
      <c r="E22" s="40">
        <f t="shared" si="8"/>
        <v>120.52799999999999</v>
      </c>
      <c r="F22" s="40">
        <f t="shared" si="8"/>
        <v>191.31399999999999</v>
      </c>
      <c r="G22" s="106">
        <f t="shared" si="8"/>
        <v>211.15700000000004</v>
      </c>
      <c r="H22" s="49">
        <f t="shared" si="8"/>
        <v>148.8922365</v>
      </c>
      <c r="I22" s="49">
        <f t="shared" si="8"/>
        <v>177.74675712499999</v>
      </c>
      <c r="J22" s="49">
        <f t="shared" si="8"/>
        <v>206.37953534799999</v>
      </c>
      <c r="K22" s="49">
        <f t="shared" si="8"/>
        <v>230.77731893328004</v>
      </c>
      <c r="L22" s="49">
        <f t="shared" si="8"/>
        <v>257.75791886597767</v>
      </c>
      <c r="M22" s="49">
        <f t="shared" si="8"/>
        <v>287.57843994673391</v>
      </c>
      <c r="N22" s="49">
        <f t="shared" si="8"/>
        <v>318.14636709952316</v>
      </c>
      <c r="O22" s="49">
        <f t="shared" si="8"/>
        <v>349.263606874282</v>
      </c>
      <c r="P22" s="49">
        <f t="shared" si="8"/>
        <v>380.74645464838869</v>
      </c>
      <c r="Q22" s="49">
        <f t="shared" si="8"/>
        <v>412.42820961225431</v>
      </c>
      <c r="R22" s="49">
        <f t="shared" si="8"/>
        <v>444.16068664621207</v>
      </c>
    </row>
    <row r="23" spans="2:19" s="12" customFormat="1" ht="11.25" customHeight="1" x14ac:dyDescent="0.2">
      <c r="B23" s="13" t="s">
        <v>29</v>
      </c>
      <c r="C23" s="14"/>
      <c r="D23" s="15"/>
      <c r="E23" s="15">
        <f t="shared" ref="E23:R23" si="9">IF(OR(E22&lt;0, D22&lt;0), "NM", E22/D22-1)</f>
        <v>0.17345587662590534</v>
      </c>
      <c r="F23" s="15">
        <f t="shared" si="9"/>
        <v>0.58729921677950347</v>
      </c>
      <c r="G23" s="102">
        <f t="shared" si="9"/>
        <v>0.10371953960504743</v>
      </c>
      <c r="H23" s="15">
        <f t="shared" si="9"/>
        <v>-0.29487425706938453</v>
      </c>
      <c r="I23" s="15">
        <f t="shared" si="9"/>
        <v>0.1937946618526345</v>
      </c>
      <c r="J23" s="15">
        <f t="shared" si="9"/>
        <v>0.16108748584855515</v>
      </c>
      <c r="K23" s="15">
        <f t="shared" si="9"/>
        <v>0.11821803719123691</v>
      </c>
      <c r="L23" s="15">
        <f t="shared" si="9"/>
        <v>0.11691183543257111</v>
      </c>
      <c r="M23" s="15">
        <f t="shared" si="9"/>
        <v>0.11569196869664955</v>
      </c>
      <c r="N23" s="15">
        <f t="shared" si="9"/>
        <v>0.1062942241374254</v>
      </c>
      <c r="O23" s="15">
        <f t="shared" si="9"/>
        <v>9.7807936826211472E-2</v>
      </c>
      <c r="P23" s="15">
        <f t="shared" si="9"/>
        <v>9.0140647792825934E-2</v>
      </c>
      <c r="Q23" s="15">
        <f t="shared" si="9"/>
        <v>8.3209586266858482E-2</v>
      </c>
      <c r="R23" s="15">
        <f t="shared" si="9"/>
        <v>7.6940607587902665E-2</v>
      </c>
    </row>
    <row r="24" spans="2:19" s="12" customFormat="1" x14ac:dyDescent="0.2">
      <c r="B24" s="13" t="s">
        <v>33</v>
      </c>
      <c r="C24" s="14"/>
      <c r="D24" s="19">
        <f t="shared" ref="D24:R24" si="10">+D22/D$9</f>
        <v>0.21319849636857655</v>
      </c>
      <c r="E24" s="19">
        <f t="shared" si="10"/>
        <v>0.23672209194074878</v>
      </c>
      <c r="F24" s="19">
        <f t="shared" si="10"/>
        <v>0.26858815518851031</v>
      </c>
      <c r="G24" s="105">
        <f t="shared" si="10"/>
        <v>0.26068025228913255</v>
      </c>
      <c r="H24" s="19">
        <f t="shared" si="10"/>
        <v>0.26258908080387844</v>
      </c>
      <c r="I24" s="19">
        <f t="shared" si="10"/>
        <v>0.27258908080387839</v>
      </c>
      <c r="J24" s="19">
        <f t="shared" si="10"/>
        <v>0.2825890808038784</v>
      </c>
      <c r="K24" s="19">
        <f t="shared" si="10"/>
        <v>0.29258908080387847</v>
      </c>
      <c r="L24" s="19">
        <f t="shared" si="10"/>
        <v>0.30258908080387847</v>
      </c>
      <c r="M24" s="19">
        <f t="shared" si="10"/>
        <v>0.31258908080387848</v>
      </c>
      <c r="N24" s="19">
        <f t="shared" si="10"/>
        <v>0.32258908080387844</v>
      </c>
      <c r="O24" s="19">
        <f t="shared" si="10"/>
        <v>0.3325890808038785</v>
      </c>
      <c r="P24" s="19">
        <f t="shared" si="10"/>
        <v>0.34258908080387845</v>
      </c>
      <c r="Q24" s="19">
        <f t="shared" si="10"/>
        <v>0.35258908080387852</v>
      </c>
      <c r="R24" s="19">
        <f t="shared" si="10"/>
        <v>0.36258908080387853</v>
      </c>
    </row>
    <row r="25" spans="2:19" x14ac:dyDescent="0.2">
      <c r="F25" s="20"/>
      <c r="G25" s="104"/>
      <c r="H25" s="20"/>
      <c r="I25" s="20"/>
      <c r="J25" s="20"/>
      <c r="K25" s="20"/>
      <c r="L25" s="20"/>
      <c r="M25" s="20"/>
      <c r="N25" s="20"/>
      <c r="O25" s="20"/>
      <c r="P25" s="20"/>
      <c r="Q25" s="20"/>
      <c r="R25" s="20"/>
    </row>
    <row r="26" spans="2:19" x14ac:dyDescent="0.2">
      <c r="B26" s="1" t="s">
        <v>139</v>
      </c>
      <c r="D26" s="70">
        <f>+'FA - Historical Financials'!AG103</f>
        <v>14.879</v>
      </c>
      <c r="E26" s="70">
        <f>+'FA - Historical Financials'!AH103</f>
        <v>10.895</v>
      </c>
      <c r="F26" s="70">
        <f>+'FA - Historical Financials'!AI103</f>
        <v>15.949999999999996</v>
      </c>
      <c r="G26" s="101">
        <f>+'FA - Historical Financials'!AJ103</f>
        <v>22.301999999999996</v>
      </c>
      <c r="H26" s="61">
        <f>+AVERAGE(F26:G26,H19)</f>
        <v>19.365854499999998</v>
      </c>
      <c r="I26" s="61">
        <f t="shared" ref="I26:R26" si="11">+AVERAGE(G26:H26,I19)</f>
        <v>21.496750841666664</v>
      </c>
      <c r="J26" s="61">
        <f t="shared" si="11"/>
        <v>22.141230376555555</v>
      </c>
      <c r="K26" s="61">
        <f t="shared" si="11"/>
        <v>23.747984623087408</v>
      </c>
      <c r="L26" s="61">
        <f t="shared" si="11"/>
        <v>25.234555154255389</v>
      </c>
      <c r="M26" s="61">
        <f t="shared" si="11"/>
        <v>27.06071542583862</v>
      </c>
      <c r="N26" s="61">
        <f t="shared" si="11"/>
        <v>28.937749582759846</v>
      </c>
      <c r="O26" s="61">
        <f t="shared" si="11"/>
        <v>30.917736054027472</v>
      </c>
      <c r="P26" s="61">
        <f t="shared" si="11"/>
        <v>32.917921803660818</v>
      </c>
      <c r="Q26" s="61">
        <f t="shared" si="11"/>
        <v>34.925210180223793</v>
      </c>
      <c r="R26" s="61">
        <f t="shared" si="11"/>
        <v>36.90569207481122</v>
      </c>
    </row>
    <row r="27" spans="2:19" s="12" customFormat="1" x14ac:dyDescent="0.2">
      <c r="B27" s="13" t="s">
        <v>41</v>
      </c>
      <c r="C27" s="14"/>
      <c r="D27" s="19">
        <f>+D26/D$9</f>
        <v>3.0884224116637299E-2</v>
      </c>
      <c r="E27" s="19">
        <f>+E26/E$9</f>
        <v>2.1398241003704185E-2</v>
      </c>
      <c r="F27" s="19">
        <f>+F26/F$9</f>
        <v>2.239240764009293E-2</v>
      </c>
      <c r="G27" s="105">
        <f>+G26/G$9</f>
        <v>2.7532551544832671E-2</v>
      </c>
      <c r="H27" s="19">
        <f>+H26/H$9</f>
        <v>3.415397640384462E-2</v>
      </c>
      <c r="I27" s="19">
        <f t="shared" ref="I27:R27" si="12">+I26/I$9</f>
        <v>3.2967012433757312E-2</v>
      </c>
      <c r="J27" s="19">
        <f t="shared" si="12"/>
        <v>3.0317298318495219E-2</v>
      </c>
      <c r="K27" s="19">
        <f t="shared" si="12"/>
        <v>3.0108682360690024E-2</v>
      </c>
      <c r="L27" s="19">
        <f t="shared" si="12"/>
        <v>2.9623535456115811E-2</v>
      </c>
      <c r="M27" s="19">
        <f t="shared" si="12"/>
        <v>2.9414180570786208E-2</v>
      </c>
      <c r="N27" s="19">
        <f t="shared" si="12"/>
        <v>2.9341847035817704E-2</v>
      </c>
      <c r="O27" s="19">
        <f t="shared" si="12"/>
        <v>2.9441663008557536E-2</v>
      </c>
      <c r="P27" s="19">
        <f t="shared" si="12"/>
        <v>2.9618977235400589E-2</v>
      </c>
      <c r="Q27" s="19">
        <f t="shared" si="12"/>
        <v>2.9857918220251342E-2</v>
      </c>
      <c r="R27" s="19">
        <f t="shared" si="12"/>
        <v>3.0127837442973988E-2</v>
      </c>
    </row>
    <row r="28" spans="2:19" x14ac:dyDescent="0.2">
      <c r="F28" s="20"/>
      <c r="G28" s="104"/>
      <c r="H28" s="20"/>
      <c r="I28" s="20"/>
      <c r="J28" s="20"/>
      <c r="K28" s="20"/>
      <c r="L28" s="20"/>
      <c r="M28" s="20"/>
      <c r="N28" s="20"/>
      <c r="O28" s="20"/>
      <c r="P28" s="20"/>
      <c r="Q28" s="20"/>
      <c r="R28" s="20"/>
    </row>
    <row r="29" spans="2:19" x14ac:dyDescent="0.2">
      <c r="B29" s="1" t="s">
        <v>44</v>
      </c>
      <c r="D29" s="70">
        <f>+'FA - Historical Financials'!AG105</f>
        <v>51.018999999999998</v>
      </c>
      <c r="E29" s="70">
        <f>+'FA - Historical Financials'!AH105</f>
        <v>51.873000000000005</v>
      </c>
      <c r="F29" s="70">
        <f>+'FA - Historical Financials'!AI105</f>
        <v>24.972000000000001</v>
      </c>
      <c r="G29" s="101">
        <f>+'FA - Historical Financials'!AJ105</f>
        <v>9.1989999999999998</v>
      </c>
      <c r="H29" s="49">
        <f>+H30*AVERAGE(G54:H54)</f>
        <v>20.354210522101283</v>
      </c>
      <c r="I29" s="49">
        <f t="shared" ref="I29:R29" si="13">+I30*AVERAGE(H54:I54)</f>
        <v>29.725432843138599</v>
      </c>
      <c r="J29" s="49">
        <f t="shared" si="13"/>
        <v>25.556498312720652</v>
      </c>
      <c r="K29" s="49">
        <f t="shared" si="13"/>
        <v>38.041411825200171</v>
      </c>
      <c r="L29" s="49">
        <f t="shared" si="13"/>
        <v>36.986617116316353</v>
      </c>
      <c r="M29" s="49">
        <f t="shared" si="13"/>
        <v>40.903717656367093</v>
      </c>
      <c r="N29" s="49">
        <f t="shared" si="13"/>
        <v>45.049282561368983</v>
      </c>
      <c r="O29" s="49">
        <f t="shared" si="13"/>
        <v>49.280387172925174</v>
      </c>
      <c r="P29" s="49">
        <f t="shared" si="13"/>
        <v>53.571819713417831</v>
      </c>
      <c r="Q29" s="49">
        <f t="shared" si="13"/>
        <v>57.9012684528237</v>
      </c>
      <c r="R29" s="49">
        <f t="shared" si="13"/>
        <v>62.220931427446004</v>
      </c>
    </row>
    <row r="30" spans="2:19" s="12" customFormat="1" outlineLevel="1" x14ac:dyDescent="0.2">
      <c r="B30" s="13" t="s">
        <v>45</v>
      </c>
      <c r="C30" s="14"/>
      <c r="D30" s="16"/>
      <c r="E30" s="16">
        <f>+E29/AVERAGE(D54:E54)</f>
        <v>9.5169950271210418E-2</v>
      </c>
      <c r="F30" s="16">
        <f t="shared" ref="F30:G30" si="14">+F29/AVERAGE(E54:F54)</f>
        <v>5.5960792486571154E-2</v>
      </c>
      <c r="G30" s="103">
        <f t="shared" si="14"/>
        <v>4.3360829601696904E-2</v>
      </c>
      <c r="H30" s="16">
        <f>+'FA Base'!H36</f>
        <v>9.5856470601888108E-2</v>
      </c>
      <c r="I30" s="16">
        <f>+'FA Base'!I36</f>
        <v>0.12859977943347539</v>
      </c>
      <c r="J30" s="16">
        <f>+'FA Base'!J36</f>
        <v>7.6915786993051918E-2</v>
      </c>
      <c r="K30" s="16">
        <f>+'FA Base'!K36</f>
        <v>7.7584247552084887E-2</v>
      </c>
      <c r="L30" s="16">
        <f>+'FA Base'!L36</f>
        <v>6.7746558492378733E-2</v>
      </c>
      <c r="M30" s="16">
        <f>+'FA Base'!M36</f>
        <v>6.734780547421651E-2</v>
      </c>
      <c r="N30" s="16">
        <f>+'FA Base'!N36</f>
        <v>6.6993519618090761E-2</v>
      </c>
      <c r="O30" s="16">
        <f>+'FA Base'!O36</f>
        <v>6.6713877943509844E-2</v>
      </c>
      <c r="P30" s="16">
        <f>+'FA Base'!P36</f>
        <v>6.6494072705300028E-2</v>
      </c>
      <c r="Q30" s="16">
        <f>+'FA Base'!Q36</f>
        <v>6.632349572845872E-2</v>
      </c>
      <c r="R30" s="16">
        <f>+'FA Base'!R36</f>
        <v>6.6164127281703733E-2</v>
      </c>
    </row>
    <row r="31" spans="2:19" x14ac:dyDescent="0.2">
      <c r="D31" s="34"/>
      <c r="E31" s="34"/>
      <c r="F31" s="20"/>
      <c r="G31" s="104"/>
      <c r="H31" s="20"/>
      <c r="I31" s="20"/>
      <c r="J31" s="20"/>
      <c r="K31" s="20"/>
      <c r="L31" s="20"/>
      <c r="M31" s="20"/>
      <c r="N31" s="20"/>
      <c r="O31" s="20"/>
      <c r="P31" s="20"/>
      <c r="Q31" s="20"/>
      <c r="R31" s="20"/>
    </row>
    <row r="32" spans="2:19" x14ac:dyDescent="0.2">
      <c r="B32" s="1" t="s">
        <v>46</v>
      </c>
      <c r="D32" s="49">
        <f t="shared" ref="D32:G32" si="15">+MAX((D15-D29-D26)*D33,0)</f>
        <v>14.164750000000003</v>
      </c>
      <c r="E32" s="49">
        <f t="shared" si="15"/>
        <v>19.544499999999999</v>
      </c>
      <c r="F32" s="49">
        <f t="shared" si="15"/>
        <v>43.960499999999996</v>
      </c>
      <c r="G32" s="106">
        <f t="shared" si="15"/>
        <v>52.388250000000006</v>
      </c>
      <c r="H32" s="49">
        <f>+MAX((H15-H29-H26)*H33,0)</f>
        <v>32.254433744474682</v>
      </c>
      <c r="I32" s="49">
        <f t="shared" ref="I32:R32" si="16">+MAX((I15-I29-I26)*I33,0)</f>
        <v>37.336742866298685</v>
      </c>
      <c r="J32" s="49">
        <f t="shared" si="16"/>
        <v>46.060723111680943</v>
      </c>
      <c r="K32" s="49">
        <f t="shared" si="16"/>
        <v>49.148473784008118</v>
      </c>
      <c r="L32" s="49">
        <f t="shared" si="16"/>
        <v>56.337799264632281</v>
      </c>
      <c r="M32" s="49">
        <f t="shared" si="16"/>
        <v>62.953403341175303</v>
      </c>
      <c r="N32" s="49">
        <f t="shared" si="16"/>
        <v>69.669328280894959</v>
      </c>
      <c r="O32" s="49">
        <f t="shared" si="16"/>
        <v>76.455056700203329</v>
      </c>
      <c r="P32" s="49">
        <f t="shared" si="16"/>
        <v>83.288748226376299</v>
      </c>
      <c r="Q32" s="49">
        <f t="shared" si="16"/>
        <v>90.135425915547458</v>
      </c>
      <c r="R32" s="49">
        <f t="shared" si="16"/>
        <v>96.977001846125972</v>
      </c>
    </row>
    <row r="33" spans="1:18" x14ac:dyDescent="0.2">
      <c r="B33" s="13" t="s">
        <v>47</v>
      </c>
      <c r="C33" s="14"/>
      <c r="D33" s="86">
        <v>0.25</v>
      </c>
      <c r="E33" s="86">
        <f t="shared" ref="E33:R33" si="17">+D33</f>
        <v>0.25</v>
      </c>
      <c r="F33" s="86">
        <f t="shared" si="17"/>
        <v>0.25</v>
      </c>
      <c r="G33" s="107">
        <f t="shared" si="17"/>
        <v>0.25</v>
      </c>
      <c r="H33" s="86">
        <f t="shared" si="17"/>
        <v>0.25</v>
      </c>
      <c r="I33" s="86">
        <f t="shared" si="17"/>
        <v>0.25</v>
      </c>
      <c r="J33" s="86">
        <f t="shared" si="17"/>
        <v>0.25</v>
      </c>
      <c r="K33" s="86">
        <f t="shared" si="17"/>
        <v>0.25</v>
      </c>
      <c r="L33" s="86">
        <f t="shared" si="17"/>
        <v>0.25</v>
      </c>
      <c r="M33" s="86">
        <f t="shared" si="17"/>
        <v>0.25</v>
      </c>
      <c r="N33" s="86">
        <f t="shared" si="17"/>
        <v>0.25</v>
      </c>
      <c r="O33" s="86">
        <f t="shared" si="17"/>
        <v>0.25</v>
      </c>
      <c r="P33" s="86">
        <f t="shared" si="17"/>
        <v>0.25</v>
      </c>
      <c r="Q33" s="86">
        <f t="shared" si="17"/>
        <v>0.25</v>
      </c>
      <c r="R33" s="86">
        <f t="shared" si="17"/>
        <v>0.25</v>
      </c>
    </row>
    <row r="34" spans="1:18" x14ac:dyDescent="0.2">
      <c r="F34" s="20"/>
      <c r="G34" s="104"/>
      <c r="H34" s="20"/>
      <c r="I34" s="20"/>
      <c r="J34" s="20"/>
      <c r="K34" s="20"/>
      <c r="L34" s="20"/>
      <c r="M34" s="20"/>
      <c r="N34" s="20"/>
      <c r="O34" s="20"/>
      <c r="P34" s="20"/>
      <c r="Q34" s="20"/>
      <c r="R34" s="20"/>
    </row>
    <row r="35" spans="1:18" x14ac:dyDescent="0.2">
      <c r="B35" s="1" t="s">
        <v>48</v>
      </c>
      <c r="D35" s="40">
        <f t="shared" ref="D35:R35" si="18">+D22-D29-D32</f>
        <v>37.52825</v>
      </c>
      <c r="E35" s="40">
        <f t="shared" si="18"/>
        <v>49.110499999999988</v>
      </c>
      <c r="F35" s="40">
        <f t="shared" si="18"/>
        <v>122.38149999999999</v>
      </c>
      <c r="G35" s="108">
        <f t="shared" si="18"/>
        <v>149.56975000000003</v>
      </c>
      <c r="H35" s="40">
        <f t="shared" si="18"/>
        <v>96.283592233424031</v>
      </c>
      <c r="I35" s="40">
        <f t="shared" si="18"/>
        <v>110.68458141556269</v>
      </c>
      <c r="J35" s="40">
        <f t="shared" si="18"/>
        <v>134.76231392359838</v>
      </c>
      <c r="K35" s="40">
        <f t="shared" si="18"/>
        <v>143.58743332407175</v>
      </c>
      <c r="L35" s="40">
        <f t="shared" si="18"/>
        <v>164.43350248502904</v>
      </c>
      <c r="M35" s="40">
        <f t="shared" si="18"/>
        <v>183.72131894919153</v>
      </c>
      <c r="N35" s="40">
        <f t="shared" si="18"/>
        <v>203.4277562572592</v>
      </c>
      <c r="O35" s="40">
        <f t="shared" si="18"/>
        <v>223.52816300115347</v>
      </c>
      <c r="P35" s="40">
        <f t="shared" si="18"/>
        <v>243.88588670859457</v>
      </c>
      <c r="Q35" s="40">
        <f t="shared" si="18"/>
        <v>264.39151524388319</v>
      </c>
      <c r="R35" s="40">
        <f t="shared" si="18"/>
        <v>284.96275337264012</v>
      </c>
    </row>
    <row r="36" spans="1:18" s="12" customFormat="1" x14ac:dyDescent="0.2">
      <c r="B36" s="13" t="s">
        <v>29</v>
      </c>
      <c r="C36" s="14"/>
      <c r="D36" s="15"/>
      <c r="E36" s="15">
        <f t="shared" ref="E36:R36" si="19">IF(OR(E35&lt;0, D35&lt;0), "NM", E35/D35-1)</f>
        <v>0.30862750061620203</v>
      </c>
      <c r="F36" s="15">
        <f t="shared" si="19"/>
        <v>1.4919620040520871</v>
      </c>
      <c r="G36" s="102">
        <f t="shared" si="19"/>
        <v>0.22215980356508158</v>
      </c>
      <c r="H36" s="15">
        <f t="shared" si="19"/>
        <v>-0.35626293262224473</v>
      </c>
      <c r="I36" s="15">
        <f t="shared" si="19"/>
        <v>0.14956846590461415</v>
      </c>
      <c r="J36" s="15">
        <f t="shared" si="19"/>
        <v>0.21753465749340828</v>
      </c>
      <c r="K36" s="15">
        <f t="shared" si="19"/>
        <v>6.5486552905856588E-2</v>
      </c>
      <c r="L36" s="15">
        <f t="shared" si="19"/>
        <v>0.14518031751363947</v>
      </c>
      <c r="M36" s="15">
        <f t="shared" si="19"/>
        <v>0.11729858071908761</v>
      </c>
      <c r="N36" s="15">
        <f t="shared" si="19"/>
        <v>0.10726265966726234</v>
      </c>
      <c r="O36" s="15">
        <f t="shared" si="19"/>
        <v>9.8808575160583612E-2</v>
      </c>
      <c r="P36" s="15">
        <f t="shared" si="19"/>
        <v>9.1074535906851439E-2</v>
      </c>
      <c r="Q36" s="15">
        <f t="shared" si="19"/>
        <v>8.4078782958808995E-2</v>
      </c>
      <c r="R36" s="15">
        <f t="shared" si="19"/>
        <v>7.7805969339755032E-2</v>
      </c>
    </row>
    <row r="37" spans="1:18" x14ac:dyDescent="0.2">
      <c r="D37" s="15"/>
      <c r="E37" s="15"/>
      <c r="F37" s="15"/>
      <c r="G37" s="102"/>
      <c r="I37" s="20"/>
      <c r="J37" s="20"/>
      <c r="K37" s="20"/>
      <c r="L37" s="20"/>
      <c r="M37" s="20"/>
      <c r="N37" s="20"/>
      <c r="O37" s="20"/>
      <c r="P37" s="20"/>
      <c r="Q37" s="20"/>
      <c r="R37" s="20"/>
    </row>
    <row r="38" spans="1:18" ht="10.5" hidden="1" outlineLevel="1" x14ac:dyDescent="0.25">
      <c r="B38" s="26" t="s">
        <v>494</v>
      </c>
      <c r="D38" s="15"/>
      <c r="E38" s="15"/>
      <c r="F38" s="15"/>
      <c r="G38" s="102"/>
      <c r="I38" s="20"/>
      <c r="J38" s="20"/>
      <c r="K38" s="20"/>
      <c r="L38" s="20"/>
      <c r="M38" s="20"/>
      <c r="N38" s="20"/>
      <c r="O38" s="20"/>
      <c r="P38" s="20"/>
      <c r="Q38" s="20"/>
      <c r="R38" s="20"/>
    </row>
    <row r="39" spans="1:18" hidden="1" outlineLevel="1" x14ac:dyDescent="0.2">
      <c r="B39" s="1" t="str">
        <f>+'FA - Detailed Disclosure'!A259</f>
        <v>Federal</v>
      </c>
      <c r="D39" s="15"/>
      <c r="E39" s="40">
        <f>+'FA - Detailed Disclosure'!AJ259</f>
        <v>197.6</v>
      </c>
      <c r="F39" s="40">
        <f>+'FA - Detailed Disclosure'!AK259</f>
        <v>120.1</v>
      </c>
      <c r="G39" s="102"/>
      <c r="I39" s="20"/>
      <c r="J39" s="20"/>
      <c r="K39" s="20"/>
      <c r="L39" s="20"/>
      <c r="M39" s="20"/>
      <c r="N39" s="20"/>
      <c r="O39" s="20"/>
      <c r="P39" s="20"/>
      <c r="Q39" s="20"/>
      <c r="R39" s="20"/>
    </row>
    <row r="40" spans="1:18" hidden="1" outlineLevel="1" x14ac:dyDescent="0.2">
      <c r="B40" s="1" t="str">
        <f>+'FA - Detailed Disclosure'!A260</f>
        <v>State</v>
      </c>
      <c r="D40" s="15"/>
      <c r="E40" s="40">
        <f>+'FA - Detailed Disclosure'!AJ260</f>
        <v>166.2</v>
      </c>
      <c r="F40" s="40">
        <f>+'FA - Detailed Disclosure'!AK260</f>
        <v>147.5</v>
      </c>
      <c r="G40" s="102"/>
      <c r="I40" s="20"/>
      <c r="J40" s="20"/>
      <c r="K40" s="20"/>
      <c r="L40" s="20"/>
      <c r="M40" s="20"/>
      <c r="N40" s="20"/>
      <c r="O40" s="20"/>
      <c r="P40" s="20"/>
      <c r="Q40" s="20"/>
      <c r="R40" s="20"/>
    </row>
    <row r="41" spans="1:18" s="82" customFormat="1" ht="11.5" hidden="1" outlineLevel="1" x14ac:dyDescent="0.35">
      <c r="A41" s="1"/>
      <c r="B41" s="1" t="str">
        <f>+'FA - Detailed Disclosure'!A261</f>
        <v xml:space="preserve">Foreign Income </v>
      </c>
      <c r="D41" s="50"/>
      <c r="E41" s="53">
        <f>+'FA - Detailed Disclosure'!AJ261</f>
        <v>36</v>
      </c>
      <c r="F41" s="53">
        <f>+'FA - Detailed Disclosure'!AK261</f>
        <v>25.1</v>
      </c>
      <c r="G41" s="109"/>
      <c r="H41" s="60"/>
      <c r="I41" s="60"/>
      <c r="J41" s="60"/>
      <c r="K41" s="60"/>
      <c r="L41" s="60"/>
      <c r="M41" s="60"/>
      <c r="N41" s="60"/>
      <c r="O41" s="60"/>
      <c r="P41" s="60"/>
      <c r="Q41" s="60"/>
      <c r="R41" s="60"/>
    </row>
    <row r="42" spans="1:18" s="3" customFormat="1" ht="10.5" hidden="1" outlineLevel="1" x14ac:dyDescent="0.25">
      <c r="B42" s="32" t="str">
        <f>+'FA - Detailed Disclosure'!A262</f>
        <v>Total NOLs</v>
      </c>
      <c r="C42" s="32"/>
      <c r="D42" s="619"/>
      <c r="E42" s="51">
        <f>+'FA - Detailed Disclosure'!AJ262</f>
        <v>399.79999999999995</v>
      </c>
      <c r="F42" s="51">
        <f>+'FA - Detailed Disclosure'!AK262</f>
        <v>292.70000000000005</v>
      </c>
      <c r="G42" s="620">
        <f>+F42+F44</f>
        <v>185.60000000000014</v>
      </c>
      <c r="H42" s="93">
        <f t="shared" ref="H42" si="20">+G42+G44</f>
        <v>78.500000000000227</v>
      </c>
      <c r="I42" s="93">
        <v>0</v>
      </c>
      <c r="J42" s="93"/>
      <c r="K42" s="93"/>
      <c r="L42" s="93"/>
      <c r="M42" s="93"/>
      <c r="N42" s="93"/>
      <c r="O42" s="93"/>
      <c r="P42" s="93"/>
      <c r="Q42" s="93"/>
      <c r="R42" s="93"/>
    </row>
    <row r="43" spans="1:18" hidden="1" outlineLevel="1" x14ac:dyDescent="0.2">
      <c r="D43" s="15"/>
      <c r="E43" s="15"/>
      <c r="F43" s="15"/>
      <c r="G43" s="102"/>
      <c r="I43" s="20"/>
      <c r="J43" s="20"/>
      <c r="K43" s="20"/>
      <c r="L43" s="20"/>
      <c r="M43" s="20"/>
      <c r="N43" s="20"/>
      <c r="O43" s="20"/>
      <c r="P43" s="20"/>
      <c r="Q43" s="20"/>
      <c r="R43" s="20"/>
    </row>
    <row r="44" spans="1:18" hidden="1" outlineLevel="1" x14ac:dyDescent="0.2">
      <c r="B44" s="1" t="s">
        <v>771</v>
      </c>
      <c r="D44" s="15"/>
      <c r="E44" s="15"/>
      <c r="F44" s="40">
        <f>+F42-E42</f>
        <v>-107.09999999999991</v>
      </c>
      <c r="G44" s="110">
        <f>+G42-F42</f>
        <v>-107.09999999999991</v>
      </c>
      <c r="H44" s="64">
        <f t="shared" ref="H44:I44" si="21">+H42-G42</f>
        <v>-107.09999999999991</v>
      </c>
      <c r="I44" s="64">
        <f t="shared" si="21"/>
        <v>-78.500000000000227</v>
      </c>
      <c r="J44" s="20"/>
      <c r="K44" s="20"/>
      <c r="L44" s="20"/>
      <c r="M44" s="20"/>
      <c r="N44" s="20"/>
      <c r="O44" s="20"/>
      <c r="P44" s="20"/>
      <c r="Q44" s="20"/>
      <c r="R44" s="20"/>
    </row>
    <row r="45" spans="1:18" hidden="1" outlineLevel="1" x14ac:dyDescent="0.2">
      <c r="B45" s="1" t="s">
        <v>772</v>
      </c>
      <c r="D45" s="15"/>
      <c r="E45" s="15"/>
      <c r="F45" s="40">
        <f>+F47</f>
        <v>33.599499999999992</v>
      </c>
      <c r="G45" s="110">
        <f>+G47</f>
        <v>34.913249999999998</v>
      </c>
      <c r="H45" s="64">
        <f>+G45+G45-F45</f>
        <v>36.227000000000004</v>
      </c>
      <c r="I45" s="64">
        <f>+H45/H44*I44</f>
        <v>26.552936507936611</v>
      </c>
      <c r="J45" s="20"/>
      <c r="K45" s="20"/>
      <c r="L45" s="20"/>
      <c r="M45" s="20"/>
      <c r="N45" s="20"/>
      <c r="O45" s="20"/>
      <c r="P45" s="20"/>
      <c r="Q45" s="20"/>
      <c r="R45" s="20"/>
    </row>
    <row r="46" spans="1:18" hidden="1" outlineLevel="1" x14ac:dyDescent="0.2">
      <c r="D46" s="15"/>
      <c r="E46" s="15"/>
      <c r="F46" s="15"/>
      <c r="G46" s="102"/>
      <c r="I46" s="20"/>
      <c r="J46" s="20"/>
      <c r="K46" s="20"/>
      <c r="L46" s="20"/>
      <c r="M46" s="20"/>
      <c r="N46" s="20"/>
      <c r="O46" s="20"/>
      <c r="P46" s="20"/>
      <c r="Q46" s="20"/>
      <c r="R46" s="20"/>
    </row>
    <row r="47" spans="1:18" collapsed="1" x14ac:dyDescent="0.2">
      <c r="B47" s="1" t="s">
        <v>240</v>
      </c>
      <c r="D47" s="70">
        <f>+'FA - Historical Financials'!AG120</f>
        <v>8.9157499999999992</v>
      </c>
      <c r="E47" s="70">
        <f>+'FA - Historical Financials'!AH120</f>
        <v>14.479499999999996</v>
      </c>
      <c r="F47" s="70">
        <f>+'FA - Historical Financials'!AI120</f>
        <v>33.599499999999992</v>
      </c>
      <c r="G47" s="101">
        <f>+'FA - Historical Financials'!AJ120</f>
        <v>34.913249999999998</v>
      </c>
      <c r="H47" s="52">
        <f>+H45</f>
        <v>36.227000000000004</v>
      </c>
      <c r="I47" s="52">
        <f>+I45</f>
        <v>26.552936507936611</v>
      </c>
      <c r="J47" s="49"/>
      <c r="K47" s="20"/>
      <c r="L47" s="20"/>
      <c r="M47" s="20"/>
      <c r="N47" s="20"/>
      <c r="O47" s="20"/>
      <c r="P47" s="20"/>
      <c r="Q47" s="20"/>
      <c r="R47" s="20"/>
    </row>
    <row r="48" spans="1:18" x14ac:dyDescent="0.2">
      <c r="B48" s="1" t="s">
        <v>37</v>
      </c>
      <c r="D48" s="70">
        <f>+'FA - Historical Financials'!AG122</f>
        <v>1.216</v>
      </c>
      <c r="E48" s="70">
        <f>+'FA - Historical Financials'!AH122</f>
        <v>5.8520000000000003</v>
      </c>
      <c r="F48" s="70">
        <f>+'FA - Historical Financials'!AI122</f>
        <v>9.5299999999999994</v>
      </c>
      <c r="G48" s="101">
        <f>+'FA - Historical Financials'!AJ122</f>
        <v>7.8559999999999999</v>
      </c>
      <c r="H48" s="48">
        <v>0</v>
      </c>
      <c r="I48" s="48">
        <v>0</v>
      </c>
      <c r="J48" s="48">
        <v>0</v>
      </c>
      <c r="K48" s="48">
        <v>0</v>
      </c>
      <c r="L48" s="48">
        <v>0</v>
      </c>
      <c r="M48" s="48">
        <v>0</v>
      </c>
      <c r="N48" s="48">
        <v>0</v>
      </c>
      <c r="O48" s="48">
        <v>0</v>
      </c>
      <c r="P48" s="48">
        <v>0</v>
      </c>
      <c r="Q48" s="48">
        <v>0</v>
      </c>
      <c r="R48" s="48">
        <v>0</v>
      </c>
    </row>
    <row r="49" spans="2:26" ht="11.5" x14ac:dyDescent="0.35">
      <c r="B49" s="1" t="s">
        <v>50</v>
      </c>
      <c r="D49" s="50">
        <f>+D50-D35-D48</f>
        <v>12.99375</v>
      </c>
      <c r="E49" s="50">
        <f>+E50-E35-E48</f>
        <v>-21.745499999999989</v>
      </c>
      <c r="F49" s="50">
        <f>+F50-F35-F48</f>
        <v>-8.6844999999999981</v>
      </c>
      <c r="G49" s="109">
        <f>+'FA - Historical Financials'!AJ123</f>
        <v>-3.8000000000010914E-2</v>
      </c>
      <c r="H49" s="60">
        <v>0</v>
      </c>
      <c r="I49" s="60">
        <f t="shared" ref="I49:R49" si="22">+H49/(H9-G9)*(I9-H9)</f>
        <v>0</v>
      </c>
      <c r="J49" s="60">
        <f t="shared" si="22"/>
        <v>0</v>
      </c>
      <c r="K49" s="60">
        <f t="shared" si="22"/>
        <v>0</v>
      </c>
      <c r="L49" s="60">
        <f t="shared" si="22"/>
        <v>0</v>
      </c>
      <c r="M49" s="60">
        <f t="shared" si="22"/>
        <v>0</v>
      </c>
      <c r="N49" s="60">
        <f t="shared" si="22"/>
        <v>0</v>
      </c>
      <c r="O49" s="60">
        <f t="shared" si="22"/>
        <v>0</v>
      </c>
      <c r="P49" s="60">
        <f t="shared" si="22"/>
        <v>0</v>
      </c>
      <c r="Q49" s="60">
        <f t="shared" si="22"/>
        <v>0</v>
      </c>
      <c r="R49" s="60">
        <f t="shared" si="22"/>
        <v>0</v>
      </c>
    </row>
    <row r="50" spans="2:26" x14ac:dyDescent="0.2">
      <c r="B50" s="22" t="s">
        <v>51</v>
      </c>
      <c r="C50" s="22"/>
      <c r="D50" s="70">
        <f>+'FA - Historical Financials'!AG124</f>
        <v>51.738</v>
      </c>
      <c r="E50" s="70">
        <f>+'FA - Historical Financials'!AH124</f>
        <v>33.216999999999999</v>
      </c>
      <c r="F50" s="70">
        <f>+'FA - Historical Financials'!AI124</f>
        <v>123.22699999999999</v>
      </c>
      <c r="G50" s="110">
        <f t="shared" ref="G50:R50" si="23">G35+G49+G48+G47</f>
        <v>192.30100000000002</v>
      </c>
      <c r="H50" s="64">
        <f t="shared" si="23"/>
        <v>132.51059223342403</v>
      </c>
      <c r="I50" s="64">
        <f t="shared" si="23"/>
        <v>137.2375179234993</v>
      </c>
      <c r="J50" s="64">
        <f t="shared" si="23"/>
        <v>134.76231392359838</v>
      </c>
      <c r="K50" s="64">
        <f t="shared" si="23"/>
        <v>143.58743332407175</v>
      </c>
      <c r="L50" s="64">
        <f t="shared" si="23"/>
        <v>164.43350248502904</v>
      </c>
      <c r="M50" s="64">
        <f t="shared" si="23"/>
        <v>183.72131894919153</v>
      </c>
      <c r="N50" s="64">
        <f t="shared" si="23"/>
        <v>203.4277562572592</v>
      </c>
      <c r="O50" s="64">
        <f t="shared" si="23"/>
        <v>223.52816300115347</v>
      </c>
      <c r="P50" s="64">
        <f t="shared" si="23"/>
        <v>243.88588670859457</v>
      </c>
      <c r="Q50" s="64">
        <f t="shared" si="23"/>
        <v>264.39151524388319</v>
      </c>
      <c r="R50" s="64">
        <f t="shared" si="23"/>
        <v>284.96275337264012</v>
      </c>
    </row>
    <row r="51" spans="2:26" x14ac:dyDescent="0.2">
      <c r="D51" s="15"/>
      <c r="E51" s="15"/>
      <c r="F51" s="20"/>
      <c r="G51" s="111"/>
      <c r="H51" s="20"/>
      <c r="I51" s="20"/>
      <c r="J51" s="20"/>
      <c r="K51" s="20"/>
      <c r="L51" s="20"/>
      <c r="M51" s="20"/>
      <c r="N51" s="20"/>
      <c r="O51" s="20"/>
      <c r="P51" s="20"/>
      <c r="Q51" s="15"/>
      <c r="R51" s="15"/>
    </row>
    <row r="52" spans="2:26" x14ac:dyDescent="0.2">
      <c r="B52" s="1" t="s">
        <v>201</v>
      </c>
      <c r="D52" s="70">
        <f>+'FA - Historical Financials'!AG126</f>
        <v>540.83900000000006</v>
      </c>
      <c r="E52" s="70">
        <f>+'FA - Historical Financials'!AH126</f>
        <v>785.30500000000006</v>
      </c>
      <c r="F52" s="70">
        <f>+'FA - Historical Financials'!AI126</f>
        <v>554.84500000000003</v>
      </c>
      <c r="G52" s="101">
        <f>+'FA - Historical Financials'!AJ126</f>
        <v>556.649</v>
      </c>
      <c r="H52" s="49">
        <f t="shared" ref="H52" si="24">+H54-H53</f>
        <v>475.41699220211348</v>
      </c>
      <c r="I52" s="49">
        <f t="shared" ref="I52:R52" si="25">+I54-I53</f>
        <v>542.1392050895904</v>
      </c>
      <c r="J52" s="49">
        <f t="shared" si="25"/>
        <v>563.88124227200001</v>
      </c>
      <c r="K52" s="49">
        <f t="shared" si="25"/>
        <v>616.76658316864007</v>
      </c>
      <c r="L52" s="49">
        <f t="shared" si="25"/>
        <v>675.14473865820173</v>
      </c>
      <c r="M52" s="49">
        <f t="shared" si="25"/>
        <v>739.55609289381391</v>
      </c>
      <c r="N52" s="49">
        <f t="shared" si="25"/>
        <v>805.32869053541742</v>
      </c>
      <c r="O52" s="49">
        <f t="shared" si="25"/>
        <v>872.03670005553192</v>
      </c>
      <c r="P52" s="49">
        <f t="shared" si="25"/>
        <v>939.28946884516768</v>
      </c>
      <c r="Q52" s="49">
        <f t="shared" si="25"/>
        <v>1006.7363645904748</v>
      </c>
      <c r="R52" s="49">
        <f t="shared" si="25"/>
        <v>1074.0692617735222</v>
      </c>
    </row>
    <row r="53" spans="2:26" s="72" customFormat="1" ht="11.5" x14ac:dyDescent="0.35">
      <c r="B53" s="1" t="s">
        <v>208</v>
      </c>
      <c r="D53" s="54">
        <f>+'FA - Historical Financials'!AG127</f>
        <v>-81.945999999999998</v>
      </c>
      <c r="E53" s="54">
        <f>+'FA - Historical Financials'!AH127</f>
        <v>-154.08500000000001</v>
      </c>
      <c r="F53" s="54">
        <f>+'FA - Historical Financials'!AI127</f>
        <v>-293.58299999999997</v>
      </c>
      <c r="G53" s="109">
        <f>+'FA - Historical Financials'!AJ127</f>
        <v>-393.61099999999999</v>
      </c>
      <c r="H53" s="50">
        <f>+'FA Base'!H59</f>
        <v>-213.774</v>
      </c>
      <c r="I53" s="50">
        <f>+'FA Base'!I59</f>
        <v>-341.48851414405033</v>
      </c>
      <c r="J53" s="50">
        <f>+'FA Base'!J59</f>
        <v>-100</v>
      </c>
      <c r="K53" s="50">
        <f>+'FA Base'!K59</f>
        <v>-100</v>
      </c>
      <c r="L53" s="50">
        <f>+'FA Base'!L59</f>
        <v>-100</v>
      </c>
      <c r="M53" s="50">
        <f>+'FA Base'!M59</f>
        <v>-100</v>
      </c>
      <c r="N53" s="50">
        <f>+'FA Base'!N59</f>
        <v>-100</v>
      </c>
      <c r="O53" s="50">
        <f>+'FA Base'!O59</f>
        <v>-100</v>
      </c>
      <c r="P53" s="50">
        <f>+'FA Base'!P59</f>
        <v>-100</v>
      </c>
      <c r="Q53" s="50">
        <f>+'FA Base'!Q59</f>
        <v>-100</v>
      </c>
      <c r="R53" s="50">
        <f>+'FA Base'!R59</f>
        <v>-100</v>
      </c>
    </row>
    <row r="54" spans="2:26" x14ac:dyDescent="0.2">
      <c r="B54" s="22" t="s">
        <v>52</v>
      </c>
      <c r="D54" s="70">
        <f>+'FA - Historical Financials'!AG128</f>
        <v>458.89300000000003</v>
      </c>
      <c r="E54" s="70">
        <f>+'FA - Historical Financials'!AH128</f>
        <v>631.22</v>
      </c>
      <c r="F54" s="70">
        <f>+'FA - Historical Financials'!AI128</f>
        <v>261.26200000000006</v>
      </c>
      <c r="G54" s="101">
        <f>+'FA - Historical Financials'!AJ128</f>
        <v>163.03800000000001</v>
      </c>
      <c r="H54" s="49">
        <f t="shared" ref="H54" si="26">+H55*H15</f>
        <v>261.64299220211348</v>
      </c>
      <c r="I54" s="49">
        <f t="shared" ref="I54:R54" si="27">+I55*I15</f>
        <v>200.65069094554002</v>
      </c>
      <c r="J54" s="49">
        <f t="shared" si="27"/>
        <v>463.88124227200001</v>
      </c>
      <c r="K54" s="49">
        <f t="shared" si="27"/>
        <v>516.76658316864007</v>
      </c>
      <c r="L54" s="49">
        <f t="shared" si="27"/>
        <v>575.14473865820173</v>
      </c>
      <c r="M54" s="49">
        <f t="shared" si="27"/>
        <v>639.55609289381391</v>
      </c>
      <c r="N54" s="49">
        <f t="shared" si="27"/>
        <v>705.32869053541742</v>
      </c>
      <c r="O54" s="49">
        <f t="shared" si="27"/>
        <v>772.03670005553192</v>
      </c>
      <c r="P54" s="49">
        <f t="shared" si="27"/>
        <v>839.28946884516768</v>
      </c>
      <c r="Q54" s="49">
        <f t="shared" si="27"/>
        <v>906.73636459047475</v>
      </c>
      <c r="R54" s="49">
        <f t="shared" si="27"/>
        <v>974.06926177352227</v>
      </c>
    </row>
    <row r="55" spans="2:26" x14ac:dyDescent="0.2">
      <c r="B55" s="24" t="s">
        <v>53</v>
      </c>
      <c r="C55" s="13"/>
      <c r="D55" s="35">
        <f>+IF(OR(D54&lt;0,D15&lt; 0),"NM",D54/D15)</f>
        <v>3.7443230496830049</v>
      </c>
      <c r="E55" s="35">
        <f>+IF(OR(E54&lt;0,E15&lt; 0),"NM",E54/E15)</f>
        <v>4.4784527407659676</v>
      </c>
      <c r="F55" s="35">
        <f>+IF(OR(F54&lt;0,F15&lt; 0),"NM",F54/F15)</f>
        <v>1.2052831651012164</v>
      </c>
      <c r="G55" s="112">
        <f>+IF(OR(G54&lt;0,G15&lt; 0),"NM",G54/G15)</f>
        <v>0.67635467571581465</v>
      </c>
      <c r="H55" s="587">
        <f>+'FA Base'!H61</f>
        <v>1.550589092675817</v>
      </c>
      <c r="I55" s="587">
        <f>+'FA Base'!I61</f>
        <v>1.0004065221069462</v>
      </c>
      <c r="J55" s="587">
        <f>+'FA Base'!J61</f>
        <v>2</v>
      </c>
      <c r="K55" s="587">
        <f>+'FA Base'!K61</f>
        <v>2</v>
      </c>
      <c r="L55" s="587">
        <f>+'FA Base'!L61</f>
        <v>2</v>
      </c>
      <c r="M55" s="587">
        <f>+'FA Base'!M61</f>
        <v>2</v>
      </c>
      <c r="N55" s="587">
        <f>+'FA Base'!N61</f>
        <v>2</v>
      </c>
      <c r="O55" s="587">
        <f>+'FA Base'!O61</f>
        <v>2</v>
      </c>
      <c r="P55" s="587">
        <f>+'FA Base'!P61</f>
        <v>2</v>
      </c>
      <c r="Q55" s="587">
        <f>+'FA Base'!Q61</f>
        <v>2</v>
      </c>
      <c r="R55" s="587">
        <f>+'FA Base'!R61</f>
        <v>2</v>
      </c>
    </row>
    <row r="56" spans="2:26" x14ac:dyDescent="0.2">
      <c r="B56" s="13"/>
      <c r="C56" s="13"/>
      <c r="D56" s="35"/>
      <c r="E56" s="35"/>
      <c r="F56" s="39"/>
      <c r="G56" s="113"/>
      <c r="H56" s="38"/>
      <c r="I56" s="38"/>
      <c r="J56" s="38"/>
      <c r="K56" s="38"/>
      <c r="L56" s="38"/>
      <c r="M56" s="38"/>
      <c r="N56" s="38"/>
      <c r="O56" s="38"/>
      <c r="P56" s="38"/>
      <c r="Q56" s="38"/>
      <c r="R56" s="38"/>
    </row>
    <row r="57" spans="2:26" x14ac:dyDescent="0.2">
      <c r="B57" s="22" t="s">
        <v>54</v>
      </c>
      <c r="C57" s="22"/>
      <c r="E57" s="37"/>
      <c r="F57" s="37"/>
      <c r="G57" s="114"/>
      <c r="H57" s="40">
        <f t="shared" ref="H57:R57" si="28">+H50+(H54-G54)</f>
        <v>231.1155844355375</v>
      </c>
      <c r="I57" s="40">
        <f t="shared" si="28"/>
        <v>76.245216666925842</v>
      </c>
      <c r="J57" s="40">
        <f t="shared" si="28"/>
        <v>397.99286525005834</v>
      </c>
      <c r="K57" s="40">
        <f t="shared" si="28"/>
        <v>196.47277422071181</v>
      </c>
      <c r="L57" s="40">
        <f t="shared" si="28"/>
        <v>222.8116579745907</v>
      </c>
      <c r="M57" s="40">
        <f t="shared" si="28"/>
        <v>248.13267318480371</v>
      </c>
      <c r="N57" s="40">
        <f t="shared" si="28"/>
        <v>269.20035389886272</v>
      </c>
      <c r="O57" s="40">
        <f t="shared" si="28"/>
        <v>290.23617252126797</v>
      </c>
      <c r="P57" s="40">
        <f t="shared" si="28"/>
        <v>311.13865549823032</v>
      </c>
      <c r="Q57" s="40">
        <f t="shared" si="28"/>
        <v>331.83841098919027</v>
      </c>
      <c r="R57" s="40">
        <f t="shared" si="28"/>
        <v>352.29565055568764</v>
      </c>
    </row>
    <row r="58" spans="2:26" s="12" customFormat="1" x14ac:dyDescent="0.2">
      <c r="B58" s="24" t="s">
        <v>55</v>
      </c>
      <c r="C58" s="25"/>
      <c r="E58" s="19"/>
      <c r="F58" s="19"/>
      <c r="G58" s="105"/>
      <c r="H58" s="19">
        <f t="shared" ref="H58:R58" si="29">+H57/$D$79</f>
        <v>8.5632493158072892E-2</v>
      </c>
      <c r="I58" s="19">
        <f t="shared" si="29"/>
        <v>2.8250228172680383E-2</v>
      </c>
      <c r="J58" s="19">
        <f t="shared" si="29"/>
        <v>0.14746353602127302</v>
      </c>
      <c r="K58" s="19">
        <f t="shared" si="29"/>
        <v>7.2796707047227974E-2</v>
      </c>
      <c r="L58" s="19">
        <f t="shared" si="29"/>
        <v>8.2555738608660403E-2</v>
      </c>
      <c r="M58" s="19">
        <f t="shared" si="29"/>
        <v>9.193763151319885E-2</v>
      </c>
      <c r="N58" s="19">
        <f t="shared" si="29"/>
        <v>9.9743587260446673E-2</v>
      </c>
      <c r="O58" s="19">
        <f t="shared" si="29"/>
        <v>0.10753773752797227</v>
      </c>
      <c r="P58" s="19">
        <f t="shared" si="29"/>
        <v>0.11528248453360188</v>
      </c>
      <c r="Q58" s="19">
        <f t="shared" si="29"/>
        <v>0.12295211734863955</v>
      </c>
      <c r="R58" s="19">
        <f t="shared" si="29"/>
        <v>0.1305318936388869</v>
      </c>
    </row>
    <row r="59" spans="2:26" x14ac:dyDescent="0.2">
      <c r="G59" s="100"/>
    </row>
    <row r="60" spans="2:26" x14ac:dyDescent="0.2">
      <c r="B60" s="22" t="s">
        <v>56</v>
      </c>
      <c r="C60" s="22"/>
      <c r="E60" s="37"/>
      <c r="F60" s="37"/>
      <c r="G60" s="114"/>
      <c r="H60" s="40">
        <f t="shared" ref="H60:R60" si="30">+G60+H57</f>
        <v>231.1155844355375</v>
      </c>
      <c r="I60" s="40">
        <f t="shared" si="30"/>
        <v>307.36080110246337</v>
      </c>
      <c r="J60" s="40">
        <f t="shared" si="30"/>
        <v>705.35366635252171</v>
      </c>
      <c r="K60" s="40">
        <f t="shared" si="30"/>
        <v>901.82644057323353</v>
      </c>
      <c r="L60" s="40">
        <f t="shared" si="30"/>
        <v>1124.6380985478243</v>
      </c>
      <c r="M60" s="40">
        <f t="shared" si="30"/>
        <v>1372.770771732628</v>
      </c>
      <c r="N60" s="40">
        <f t="shared" si="30"/>
        <v>1641.9711256314906</v>
      </c>
      <c r="O60" s="40">
        <f t="shared" si="30"/>
        <v>1932.2072981527585</v>
      </c>
      <c r="P60" s="40">
        <f t="shared" si="30"/>
        <v>2243.345953650989</v>
      </c>
      <c r="Q60" s="40">
        <f t="shared" si="30"/>
        <v>2575.1843646401794</v>
      </c>
      <c r="R60" s="40">
        <f t="shared" si="30"/>
        <v>2927.4800151958671</v>
      </c>
    </row>
    <row r="61" spans="2:26" s="12" customFormat="1" x14ac:dyDescent="0.2">
      <c r="B61" s="24" t="s">
        <v>55</v>
      </c>
      <c r="C61" s="25"/>
      <c r="E61" s="19"/>
      <c r="F61" s="19"/>
      <c r="G61" s="105"/>
      <c r="H61" s="19">
        <f t="shared" ref="H61:R61" si="31">+H60/$D$79</f>
        <v>8.5632493158072892E-2</v>
      </c>
      <c r="I61" s="19">
        <f t="shared" si="31"/>
        <v>0.11388272133075329</v>
      </c>
      <c r="J61" s="19">
        <f t="shared" si="31"/>
        <v>0.26134625735202632</v>
      </c>
      <c r="K61" s="19">
        <f t="shared" si="31"/>
        <v>0.33414296439925428</v>
      </c>
      <c r="L61" s="19">
        <f t="shared" si="31"/>
        <v>0.41669870300791473</v>
      </c>
      <c r="M61" s="19">
        <f t="shared" si="31"/>
        <v>0.50863633452111356</v>
      </c>
      <c r="N61" s="19">
        <f t="shared" si="31"/>
        <v>0.6083799217815602</v>
      </c>
      <c r="O61" s="19">
        <f t="shared" si="31"/>
        <v>0.71591765930953244</v>
      </c>
      <c r="P61" s="19">
        <f t="shared" si="31"/>
        <v>0.83120014384313434</v>
      </c>
      <c r="Q61" s="19">
        <f t="shared" si="31"/>
        <v>0.95415226119177399</v>
      </c>
      <c r="R61" s="19">
        <f t="shared" si="31"/>
        <v>1.0846841548306609</v>
      </c>
    </row>
    <row r="62" spans="2:26" x14ac:dyDescent="0.2">
      <c r="G62" s="100"/>
      <c r="S62" s="1" t="s">
        <v>1333</v>
      </c>
      <c r="T62" s="55"/>
      <c r="U62" s="55"/>
      <c r="V62" s="55"/>
      <c r="W62" s="55"/>
      <c r="X62" s="55"/>
      <c r="Y62" s="55"/>
      <c r="Z62" s="55"/>
    </row>
    <row r="63" spans="2:26" x14ac:dyDescent="0.2">
      <c r="B63" s="1" t="s">
        <v>57</v>
      </c>
      <c r="G63" s="115">
        <f>+'FA Base'!G69</f>
        <v>0</v>
      </c>
      <c r="T63" s="55"/>
      <c r="U63" s="55"/>
      <c r="V63" s="55"/>
      <c r="W63" s="55"/>
      <c r="X63" s="55"/>
      <c r="Y63" s="55"/>
      <c r="Z63" s="55"/>
    </row>
    <row r="64" spans="2:26" x14ac:dyDescent="0.2">
      <c r="B64" s="1" t="s">
        <v>62</v>
      </c>
      <c r="D64" s="90">
        <f t="shared" ref="D64:R64" si="32">+($D$79-D60)/D35</f>
        <v>71.917127064544715</v>
      </c>
      <c r="E64" s="90">
        <f t="shared" si="32"/>
        <v>54.956148354425245</v>
      </c>
      <c r="F64" s="90">
        <f t="shared" si="32"/>
        <v>22.053365286093083</v>
      </c>
      <c r="G64" s="115">
        <f t="shared" si="32"/>
        <v>18.044584040288896</v>
      </c>
      <c r="H64" s="41">
        <f>+($D$79-H60)/H35</f>
        <v>25.630621812921767</v>
      </c>
      <c r="I64" s="41">
        <f t="shared" si="32"/>
        <v>21.607012395687423</v>
      </c>
      <c r="J64" s="41">
        <f t="shared" si="32"/>
        <v>14.793232613516162</v>
      </c>
      <c r="K64" s="41">
        <f t="shared" si="32"/>
        <v>12.515701698844227</v>
      </c>
      <c r="L64" s="41">
        <f t="shared" si="32"/>
        <v>9.5739967915328457</v>
      </c>
      <c r="M64" s="41">
        <f t="shared" si="32"/>
        <v>7.2182866942846333</v>
      </c>
      <c r="N64" s="41">
        <f t="shared" si="32"/>
        <v>5.1957157546970345</v>
      </c>
      <c r="O64" s="41">
        <f t="shared" si="32"/>
        <v>3.4300672242507777</v>
      </c>
      <c r="P64" s="41">
        <f t="shared" si="32"/>
        <v>1.8679964480821136</v>
      </c>
      <c r="Q64" s="41">
        <f t="shared" si="32"/>
        <v>0.46801637717337374</v>
      </c>
      <c r="R64" s="41">
        <f t="shared" si="32"/>
        <v>-0.80205601865794851</v>
      </c>
      <c r="S64" s="41">
        <f>(5/12)*G64+(7/12)*H64</f>
        <v>22.469772740991406</v>
      </c>
      <c r="T64" s="41"/>
      <c r="U64" s="41"/>
      <c r="V64" s="41"/>
      <c r="W64" s="41"/>
      <c r="X64" s="41"/>
      <c r="Y64" s="41"/>
      <c r="Z64" s="41"/>
    </row>
    <row r="65" spans="1:26" x14ac:dyDescent="0.2">
      <c r="B65" s="1" t="s">
        <v>58</v>
      </c>
      <c r="C65" s="41"/>
      <c r="D65" s="41"/>
      <c r="E65" s="41"/>
      <c r="F65" s="41"/>
      <c r="G65" s="115">
        <f t="shared" ref="G65:R65" si="33">+($D$81+G$54-$D$80-G$60)/G$9</f>
        <v>3.5331860005950451</v>
      </c>
      <c r="H65" s="41">
        <f t="shared" si="33"/>
        <v>4.8137104599438647</v>
      </c>
      <c r="I65" s="41">
        <f t="shared" si="33"/>
        <v>3.97537030844539</v>
      </c>
      <c r="J65" s="41">
        <f t="shared" si="33"/>
        <v>3.3649119290996903</v>
      </c>
      <c r="K65" s="41">
        <f t="shared" si="33"/>
        <v>2.9336130751903897</v>
      </c>
      <c r="L65" s="41">
        <f t="shared" si="33"/>
        <v>2.523275410644028</v>
      </c>
      <c r="M65" s="41">
        <f t="shared" si="33"/>
        <v>2.1366665947259866</v>
      </c>
      <c r="N65" s="41">
        <f t="shared" si="33"/>
        <v>1.7868906400806073</v>
      </c>
      <c r="O65" s="41">
        <f t="shared" si="33"/>
        <v>1.4652902395018397</v>
      </c>
      <c r="P65" s="41">
        <f t="shared" si="33"/>
        <v>1.1650993469757889</v>
      </c>
      <c r="Q65" s="41">
        <f t="shared" si="33"/>
        <v>0.88096437213431877</v>
      </c>
      <c r="R65" s="41">
        <f t="shared" si="33"/>
        <v>0.60859716604146497</v>
      </c>
      <c r="S65" s="41">
        <f t="shared" ref="S65:S67" si="34">(5/12)*G65+(7/12)*H65</f>
        <v>4.2801586018818565</v>
      </c>
      <c r="T65" s="23"/>
      <c r="U65" s="23"/>
      <c r="V65" s="23"/>
      <c r="W65" s="23"/>
      <c r="X65" s="23"/>
      <c r="Y65" s="23"/>
      <c r="Z65" s="23"/>
    </row>
    <row r="66" spans="1:26" x14ac:dyDescent="0.2">
      <c r="B66" s="1" t="s">
        <v>59</v>
      </c>
      <c r="C66" s="41"/>
      <c r="D66" s="41"/>
      <c r="E66" s="41"/>
      <c r="F66" s="41"/>
      <c r="G66" s="115">
        <f t="shared" ref="G66:R66" si="35">+($D$81+G$54-$D$80-G$60)/G$15</f>
        <v>11.872700406381973</v>
      </c>
      <c r="H66" s="41">
        <f t="shared" si="35"/>
        <v>16.17569585194649</v>
      </c>
      <c r="I66" s="41">
        <f t="shared" si="35"/>
        <v>12.924289438545193</v>
      </c>
      <c r="J66" s="41">
        <f t="shared" si="35"/>
        <v>10.595175125613443</v>
      </c>
      <c r="K66" s="41">
        <f t="shared" si="35"/>
        <v>8.9551613502853282</v>
      </c>
      <c r="L66" s="41">
        <f t="shared" si="35"/>
        <v>7.4743987709422353</v>
      </c>
      <c r="M66" s="41">
        <f t="shared" si="35"/>
        <v>6.147105052277424</v>
      </c>
      <c r="N66" s="41">
        <f t="shared" si="35"/>
        <v>4.997050346346108</v>
      </c>
      <c r="O66" s="41">
        <f t="shared" si="35"/>
        <v>3.9862180788869046</v>
      </c>
      <c r="P66" s="41">
        <f t="shared" si="35"/>
        <v>3.0856277530465634</v>
      </c>
      <c r="Q66" s="41">
        <f t="shared" si="35"/>
        <v>2.2729339286523658</v>
      </c>
      <c r="R66" s="41">
        <f t="shared" si="35"/>
        <v>1.5307190147449543</v>
      </c>
      <c r="S66" s="41">
        <f t="shared" si="34"/>
        <v>14.382781082961275</v>
      </c>
      <c r="T66" s="23"/>
      <c r="U66" s="23"/>
      <c r="V66" s="23"/>
      <c r="W66" s="23"/>
      <c r="X66" s="23"/>
      <c r="Y66" s="23"/>
      <c r="Z66" s="23"/>
    </row>
    <row r="67" spans="1:26" x14ac:dyDescent="0.2">
      <c r="B67" s="1" t="s">
        <v>60</v>
      </c>
      <c r="C67" s="41"/>
      <c r="D67" s="41"/>
      <c r="E67" s="41"/>
      <c r="F67" s="41"/>
      <c r="G67" s="115">
        <f t="shared" ref="G67:R67" si="36">+($D$81+G$54-$D$80-G$60)/G$22</f>
        <v>13.553715594368171</v>
      </c>
      <c r="H67" s="41">
        <f t="shared" si="36"/>
        <v>18.331723639107111</v>
      </c>
      <c r="I67" s="41">
        <f t="shared" si="36"/>
        <v>14.583747436697868</v>
      </c>
      <c r="J67" s="41">
        <f t="shared" si="36"/>
        <v>11.907437893663683</v>
      </c>
      <c r="K67" s="41">
        <f t="shared" si="36"/>
        <v>10.026392875395036</v>
      </c>
      <c r="L67" s="41">
        <f t="shared" si="36"/>
        <v>8.3389506453455802</v>
      </c>
      <c r="M67" s="41">
        <f t="shared" si="36"/>
        <v>6.8353846181420295</v>
      </c>
      <c r="N67" s="41">
        <f t="shared" si="36"/>
        <v>5.5392161310226342</v>
      </c>
      <c r="O67" s="41">
        <f t="shared" si="36"/>
        <v>4.4057075955716467</v>
      </c>
      <c r="P67" s="41">
        <f t="shared" si="36"/>
        <v>3.4008653873086279</v>
      </c>
      <c r="Q67" s="41">
        <f t="shared" si="36"/>
        <v>2.4985582937672981</v>
      </c>
      <c r="R67" s="41">
        <f t="shared" si="36"/>
        <v>1.6784762649006804</v>
      </c>
      <c r="S67" s="41">
        <f t="shared" si="34"/>
        <v>16.34088695379922</v>
      </c>
      <c r="T67" s="23"/>
      <c r="U67" s="23"/>
      <c r="V67" s="23"/>
      <c r="W67" s="23"/>
      <c r="X67" s="23"/>
      <c r="Y67" s="23"/>
      <c r="Z67" s="23"/>
    </row>
    <row r="68" spans="1:26" x14ac:dyDescent="0.2">
      <c r="E68" s="41"/>
      <c r="F68" s="41"/>
      <c r="G68" s="41"/>
      <c r="H68" s="41"/>
      <c r="I68" s="41"/>
      <c r="J68" s="41"/>
      <c r="K68" s="41"/>
      <c r="L68" s="41"/>
      <c r="M68" s="41"/>
      <c r="N68" s="41"/>
      <c r="O68" s="41"/>
      <c r="P68" s="41"/>
      <c r="Q68" s="41"/>
      <c r="R68" s="41"/>
    </row>
    <row r="69" spans="1:26" ht="10.5" x14ac:dyDescent="0.25">
      <c r="A69" s="1" t="s">
        <v>26</v>
      </c>
      <c r="B69" s="11" t="s">
        <v>65</v>
      </c>
      <c r="C69" s="3"/>
    </row>
    <row r="70" spans="1:26" x14ac:dyDescent="0.2">
      <c r="S70" s="1" t="s">
        <v>1334</v>
      </c>
      <c r="T70" s="12">
        <f>1/S64</f>
        <v>4.4504232932258761E-2</v>
      </c>
    </row>
    <row r="71" spans="1:26" ht="10.5" x14ac:dyDescent="0.25">
      <c r="B71" s="26" t="s">
        <v>66</v>
      </c>
      <c r="C71" s="26"/>
      <c r="S71" s="1" t="s">
        <v>1335</v>
      </c>
      <c r="T71" s="73">
        <f>+H36</f>
        <v>-0.35626293262224473</v>
      </c>
    </row>
    <row r="72" spans="1:26" ht="11.5" x14ac:dyDescent="0.35">
      <c r="B72" s="1" t="s">
        <v>67</v>
      </c>
      <c r="Q72" s="91">
        <v>15</v>
      </c>
      <c r="S72" s="22" t="s">
        <v>1336</v>
      </c>
      <c r="T72" s="12">
        <f>SUM(T70:T71)</f>
        <v>-0.31175869968998599</v>
      </c>
    </row>
    <row r="73" spans="1:26" ht="13.5" x14ac:dyDescent="0.55000000000000004">
      <c r="B73" s="22" t="s">
        <v>68</v>
      </c>
      <c r="C73" s="22"/>
      <c r="D73" s="37"/>
      <c r="Q73" s="52">
        <f>+R35*Q72</f>
        <v>4274.4413005896022</v>
      </c>
      <c r="R73" s="42"/>
    </row>
    <row r="74" spans="1:26" x14ac:dyDescent="0.2">
      <c r="B74" s="22" t="s">
        <v>69</v>
      </c>
      <c r="C74" s="22"/>
      <c r="E74" s="37"/>
      <c r="G74" s="40">
        <f>-D79</f>
        <v>-2698.9239237600004</v>
      </c>
      <c r="H74" s="40">
        <f>+H57</f>
        <v>231.1155844355375</v>
      </c>
      <c r="I74" s="40">
        <f t="shared" ref="I74:P74" si="37">+I57</f>
        <v>76.245216666925842</v>
      </c>
      <c r="J74" s="40">
        <f t="shared" si="37"/>
        <v>397.99286525005834</v>
      </c>
      <c r="K74" s="40">
        <f t="shared" si="37"/>
        <v>196.47277422071181</v>
      </c>
      <c r="L74" s="40">
        <f t="shared" si="37"/>
        <v>222.8116579745907</v>
      </c>
      <c r="M74" s="40">
        <f t="shared" si="37"/>
        <v>248.13267318480371</v>
      </c>
      <c r="N74" s="40">
        <f t="shared" si="37"/>
        <v>269.20035389886272</v>
      </c>
      <c r="O74" s="40">
        <f t="shared" si="37"/>
        <v>290.23617252126797</v>
      </c>
      <c r="P74" s="40">
        <f t="shared" si="37"/>
        <v>311.13865549823032</v>
      </c>
      <c r="Q74" s="40">
        <f>+Q57+Q73</f>
        <v>4606.2797115787926</v>
      </c>
      <c r="R74" s="40"/>
    </row>
    <row r="75" spans="1:26" ht="10.5" x14ac:dyDescent="0.25">
      <c r="B75" s="27" t="s">
        <v>70</v>
      </c>
      <c r="C75" s="28"/>
      <c r="D75" s="28"/>
      <c r="E75" s="28"/>
      <c r="F75" s="28"/>
      <c r="G75" s="29">
        <f ca="1">XIRR(G74:Q74,G3:Q3)</f>
        <v>0.19085261225700376</v>
      </c>
      <c r="R75" s="41"/>
    </row>
    <row r="77" spans="1:26" ht="10.5" x14ac:dyDescent="0.25">
      <c r="B77" s="30" t="s">
        <v>71</v>
      </c>
      <c r="C77" s="31"/>
      <c r="D77" s="43"/>
      <c r="E77" s="44"/>
    </row>
    <row r="78" spans="1:26" ht="10.5" x14ac:dyDescent="0.25">
      <c r="D78" s="45" t="s">
        <v>72</v>
      </c>
      <c r="E78" s="45" t="s">
        <v>73</v>
      </c>
    </row>
    <row r="79" spans="1:26" x14ac:dyDescent="0.2">
      <c r="B79" s="1" t="s">
        <v>74</v>
      </c>
      <c r="D79" s="64">
        <f>+'FA Base'!D87</f>
        <v>2698.9239237600004</v>
      </c>
      <c r="E79" s="67">
        <f>+'FA Base'!E87</f>
        <v>18.73</v>
      </c>
    </row>
    <row r="80" spans="1:26" ht="11.5" x14ac:dyDescent="0.35">
      <c r="B80" s="1" t="s">
        <v>52</v>
      </c>
      <c r="D80" s="50">
        <f>+'FA Base'!D88</f>
        <v>252.45200000000006</v>
      </c>
      <c r="E80" s="92">
        <f>+'FA Base'!E88</f>
        <v>1.7519671148835512</v>
      </c>
    </row>
    <row r="81" spans="1:7" ht="10.5" x14ac:dyDescent="0.25">
      <c r="B81" s="32" t="s">
        <v>76</v>
      </c>
      <c r="C81" s="32"/>
      <c r="D81" s="93">
        <f>+'FA Base'!D89</f>
        <v>2951.3759237600007</v>
      </c>
      <c r="E81" s="94">
        <f>+'FA Base'!E89</f>
        <v>20.481967114883552</v>
      </c>
    </row>
    <row r="82" spans="1:7" x14ac:dyDescent="0.2">
      <c r="A82" s="1" t="s">
        <v>26</v>
      </c>
      <c r="B82" s="13" t="s">
        <v>77</v>
      </c>
      <c r="C82" s="13"/>
      <c r="D82" s="49"/>
      <c r="E82" s="95">
        <f>+'FA Base'!E90</f>
        <v>144.09631200000001</v>
      </c>
    </row>
    <row r="85" spans="1:7" x14ac:dyDescent="0.2">
      <c r="G85" s="96">
        <f ca="1">+G75</f>
        <v>0.19085261225700376</v>
      </c>
    </row>
  </sheetData>
  <pageMargins left="0.3" right="0.3" top="0.3" bottom="0.3" header="0.3" footer="0.3"/>
  <pageSetup scale="69" fitToHeight="0" orientation="landscape" r:id="rId1"/>
  <headerFooter>
    <oddFooter>Page &amp;P</oddFooter>
  </headerFooter>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6F521-41BB-418C-8234-2B8A8D8DC7B3}">
  <sheetPr>
    <pageSetUpPr fitToPage="1"/>
  </sheetPr>
  <dimension ref="A1:E30"/>
  <sheetViews>
    <sheetView workbookViewId="0">
      <selection activeCell="D6" sqref="D6"/>
    </sheetView>
  </sheetViews>
  <sheetFormatPr defaultRowHeight="14.5" x14ac:dyDescent="0.35"/>
  <cols>
    <col min="1" max="1" width="52.7265625" bestFit="1" customWidth="1"/>
    <col min="2" max="2" width="9.7265625" bestFit="1" customWidth="1"/>
    <col min="3" max="3" width="12.54296875" bestFit="1" customWidth="1"/>
    <col min="4" max="4" width="12.26953125" bestFit="1" customWidth="1"/>
  </cols>
  <sheetData>
    <row r="1" spans="1:4" x14ac:dyDescent="0.35">
      <c r="A1" t="s">
        <v>174</v>
      </c>
      <c r="D1" s="621">
        <f ca="1">TODAY()</f>
        <v>45797</v>
      </c>
    </row>
    <row r="2" spans="1:4" s="633" customFormat="1" x14ac:dyDescent="0.35">
      <c r="A2" s="634" t="s">
        <v>1337</v>
      </c>
    </row>
    <row r="3" spans="1:4" x14ac:dyDescent="0.35">
      <c r="A3" s="631"/>
    </row>
    <row r="4" spans="1:4" ht="17" x14ac:dyDescent="0.6">
      <c r="B4" s="438" t="s">
        <v>323</v>
      </c>
      <c r="C4" s="438" t="s">
        <v>1338</v>
      </c>
      <c r="D4" s="438" t="s">
        <v>1339</v>
      </c>
    </row>
    <row r="5" spans="1:4" ht="17" x14ac:dyDescent="0.6">
      <c r="A5" s="632" t="s">
        <v>1340</v>
      </c>
      <c r="B5" s="438"/>
      <c r="C5" s="438"/>
      <c r="D5" s="438"/>
    </row>
    <row r="6" spans="1:4" x14ac:dyDescent="0.35">
      <c r="A6" t="s">
        <v>1341</v>
      </c>
      <c r="B6" s="621"/>
      <c r="C6" s="623">
        <v>1556.81</v>
      </c>
    </row>
    <row r="7" spans="1:4" ht="16" x14ac:dyDescent="0.5">
      <c r="A7" t="s">
        <v>1342</v>
      </c>
      <c r="B7" s="621"/>
      <c r="C7" s="624">
        <v>19.148</v>
      </c>
    </row>
    <row r="8" spans="1:4" s="631" customFormat="1" x14ac:dyDescent="0.35">
      <c r="A8" s="636" t="s">
        <v>1343</v>
      </c>
      <c r="B8" s="637">
        <v>43861</v>
      </c>
      <c r="C8" s="638">
        <f>+C7+C6</f>
        <v>1575.9579999999999</v>
      </c>
    </row>
    <row r="9" spans="1:4" x14ac:dyDescent="0.35">
      <c r="A9" s="622"/>
      <c r="B9" s="621"/>
      <c r="C9" s="623"/>
    </row>
    <row r="10" spans="1:4" x14ac:dyDescent="0.35">
      <c r="A10" s="632" t="s">
        <v>1344</v>
      </c>
      <c r="B10" s="621"/>
      <c r="C10" s="623"/>
    </row>
    <row r="11" spans="1:4" x14ac:dyDescent="0.35">
      <c r="A11" t="s">
        <v>1345</v>
      </c>
      <c r="C11" s="623">
        <v>110.734013</v>
      </c>
    </row>
    <row r="12" spans="1:4" x14ac:dyDescent="0.35">
      <c r="A12" t="s">
        <v>1346</v>
      </c>
      <c r="B12" s="621">
        <v>44372</v>
      </c>
      <c r="C12" s="623">
        <v>-5.7969290000000004</v>
      </c>
      <c r="D12" s="625" t="s">
        <v>1347</v>
      </c>
    </row>
    <row r="13" spans="1:4" ht="16" x14ac:dyDescent="0.5">
      <c r="A13" t="s">
        <v>1348</v>
      </c>
      <c r="B13" s="621">
        <v>44505</v>
      </c>
      <c r="C13" s="624">
        <v>-15.930123999999999</v>
      </c>
      <c r="D13" s="625" t="s">
        <v>1349</v>
      </c>
    </row>
    <row r="14" spans="1:4" s="631" customFormat="1" x14ac:dyDescent="0.35">
      <c r="A14" s="636" t="s">
        <v>1350</v>
      </c>
      <c r="C14" s="638">
        <v>89.557839999999999</v>
      </c>
    </row>
    <row r="15" spans="1:4" x14ac:dyDescent="0.35">
      <c r="C15" s="623"/>
    </row>
    <row r="16" spans="1:4" x14ac:dyDescent="0.35">
      <c r="A16" s="632" t="s">
        <v>1351</v>
      </c>
      <c r="C16" s="623"/>
    </row>
    <row r="17" spans="1:5" ht="16" x14ac:dyDescent="0.5">
      <c r="A17" t="s">
        <v>1352</v>
      </c>
      <c r="C17" s="623">
        <f>+C6</f>
        <v>1556.81</v>
      </c>
      <c r="E17" s="624"/>
    </row>
    <row r="18" spans="1:5" ht="16" x14ac:dyDescent="0.5">
      <c r="A18" s="641" t="s">
        <v>1353</v>
      </c>
      <c r="B18" s="642" t="s">
        <v>90</v>
      </c>
      <c r="C18" s="643">
        <f>-('FA - Detailed Disclosure'!G256-'FA - Detailed Disclosure'!F256)</f>
        <v>-223.38499999999999</v>
      </c>
      <c r="E18" s="624"/>
    </row>
    <row r="19" spans="1:5" x14ac:dyDescent="0.35">
      <c r="A19" t="s">
        <v>1354</v>
      </c>
      <c r="B19" s="621">
        <v>44372</v>
      </c>
      <c r="C19" s="623">
        <f>+C12*14.03</f>
        <v>-81.330913870000003</v>
      </c>
    </row>
    <row r="20" spans="1:5" ht="16" x14ac:dyDescent="0.5">
      <c r="A20" t="s">
        <v>1355</v>
      </c>
      <c r="B20" s="621">
        <v>44505</v>
      </c>
      <c r="C20" s="624">
        <f>+C13*19.3</f>
        <v>-307.45139319999998</v>
      </c>
      <c r="D20" s="644"/>
    </row>
    <row r="21" spans="1:5" x14ac:dyDescent="0.35">
      <c r="A21" s="622" t="s">
        <v>1356</v>
      </c>
      <c r="C21" s="623">
        <f>+C20+C19+C17+C18</f>
        <v>944.64269292999984</v>
      </c>
    </row>
    <row r="22" spans="1:5" s="628" customFormat="1" x14ac:dyDescent="0.35">
      <c r="A22" s="630" t="s">
        <v>1357</v>
      </c>
      <c r="C22" s="629">
        <f>+(C20+C19+C18)/C17*-1</f>
        <v>0.39321902291866062</v>
      </c>
      <c r="D22" s="645"/>
    </row>
    <row r="24" spans="1:5" x14ac:dyDescent="0.35">
      <c r="A24" s="632" t="s">
        <v>1358</v>
      </c>
    </row>
    <row r="25" spans="1:5" x14ac:dyDescent="0.35">
      <c r="A25" t="str">
        <f>+A14</f>
        <v>Silver Lake Remaining Shares</v>
      </c>
      <c r="C25" s="626">
        <f>+C14</f>
        <v>89.557839999999999</v>
      </c>
    </row>
    <row r="26" spans="1:5" x14ac:dyDescent="0.35">
      <c r="A26" t="s">
        <v>1359</v>
      </c>
      <c r="C26" s="627">
        <v>14.5</v>
      </c>
    </row>
    <row r="27" spans="1:5" x14ac:dyDescent="0.35">
      <c r="A27" s="622" t="s">
        <v>1360</v>
      </c>
      <c r="C27" s="626">
        <f>+C26*C25</f>
        <v>1298.5886800000001</v>
      </c>
    </row>
    <row r="28" spans="1:5" ht="16" x14ac:dyDescent="0.5">
      <c r="A28" t="s">
        <v>1361</v>
      </c>
      <c r="C28" s="635">
        <f>-C20-C19-C18</f>
        <v>612.16730706999999</v>
      </c>
    </row>
    <row r="29" spans="1:5" s="631" customFormat="1" x14ac:dyDescent="0.35">
      <c r="A29" s="636" t="s">
        <v>1362</v>
      </c>
      <c r="C29" s="639">
        <f>+C28+C27</f>
        <v>1910.7559870700002</v>
      </c>
    </row>
    <row r="30" spans="1:5" s="631" customFormat="1" x14ac:dyDescent="0.35">
      <c r="A30" s="636" t="s">
        <v>1358</v>
      </c>
      <c r="C30" s="640">
        <f>+C29/C6</f>
        <v>1.2273533617268646</v>
      </c>
    </row>
  </sheetData>
  <pageMargins left="0.3" right="0.3" top="0.3" bottom="0.3"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80EAF-BBE0-4F13-B6F6-594D3EAD4274}">
  <sheetPr>
    <pageSetUpPr fitToPage="1"/>
  </sheetPr>
  <dimension ref="A1:U87"/>
  <sheetViews>
    <sheetView view="pageBreakPreview" zoomScale="60" zoomScaleNormal="70" workbookViewId="0">
      <pane xSplit="1" ySplit="6" topLeftCell="B7" activePane="bottomRight" state="frozen"/>
      <selection pane="topRight" activeCell="D6" sqref="D6"/>
      <selection pane="bottomLeft" activeCell="D6" sqref="D6"/>
      <selection pane="bottomRight" activeCell="D6" sqref="D6"/>
    </sheetView>
  </sheetViews>
  <sheetFormatPr defaultColWidth="8.7265625" defaultRowHeight="12.5" x14ac:dyDescent="0.25"/>
  <cols>
    <col min="1" max="1" width="22.453125" style="132" customWidth="1"/>
    <col min="2" max="2" width="2.7265625" style="132" customWidth="1"/>
    <col min="3" max="3" width="10.7265625" style="132" bestFit="1" customWidth="1"/>
    <col min="4" max="9" width="9.1796875" style="132" bestFit="1" customWidth="1"/>
    <col min="10" max="10" width="9.81640625" style="132" bestFit="1" customWidth="1"/>
    <col min="11" max="13" width="9.1796875" style="132" bestFit="1" customWidth="1"/>
    <col min="14" max="14" width="8.7265625" style="132"/>
    <col min="15" max="15" width="8.81640625" style="132" bestFit="1" customWidth="1"/>
    <col min="16" max="16" width="9.1796875" style="132" bestFit="1" customWidth="1"/>
    <col min="17" max="17" width="10.54296875" style="132" bestFit="1" customWidth="1"/>
    <col min="18" max="18" width="4.453125" style="132" customWidth="1"/>
    <col min="19" max="19" width="10.453125" style="132" customWidth="1"/>
    <col min="20" max="20" width="11.54296875" style="132" customWidth="1"/>
    <col min="21" max="16384" width="8.7265625" style="132"/>
  </cols>
  <sheetData>
    <row r="1" spans="1:21" ht="13" x14ac:dyDescent="0.3">
      <c r="A1" s="132" t="str">
        <f>+'FA Base'!B1</f>
        <v>FA - Standalone</v>
      </c>
      <c r="Q1" s="400"/>
      <c r="R1" s="400"/>
      <c r="S1" s="400"/>
      <c r="T1" s="400">
        <f ca="1">TODAY()</f>
        <v>45797</v>
      </c>
    </row>
    <row r="2" spans="1:21" ht="13" x14ac:dyDescent="0.3">
      <c r="A2" s="163" t="s">
        <v>1363</v>
      </c>
      <c r="B2" s="163"/>
      <c r="U2" s="401"/>
    </row>
    <row r="3" spans="1:21" s="378" customFormat="1" ht="13" x14ac:dyDescent="0.3">
      <c r="A3" s="402" t="str">
        <f>+'FA Base'!B3</f>
        <v>(USD in mm)</v>
      </c>
      <c r="B3" s="402"/>
    </row>
    <row r="5" spans="1:21" ht="13" x14ac:dyDescent="0.3">
      <c r="C5" s="403" t="s">
        <v>7</v>
      </c>
      <c r="D5" s="404"/>
      <c r="E5" s="404"/>
      <c r="F5" s="404"/>
      <c r="G5" s="404"/>
      <c r="H5" s="404"/>
      <c r="I5" s="404"/>
      <c r="J5" s="404"/>
      <c r="K5" s="404"/>
      <c r="L5" s="404"/>
      <c r="M5" s="404"/>
      <c r="N5" s="410"/>
      <c r="O5" s="403" t="s">
        <v>7</v>
      </c>
      <c r="P5" s="403"/>
      <c r="Q5" s="403"/>
      <c r="S5" s="403"/>
      <c r="T5" s="403"/>
      <c r="U5" s="403"/>
    </row>
    <row r="6" spans="1:21" ht="16" x14ac:dyDescent="0.6">
      <c r="C6" s="405" t="s">
        <v>1364</v>
      </c>
      <c r="D6" s="405" t="s">
        <v>1365</v>
      </c>
      <c r="E6" s="405" t="s">
        <v>1366</v>
      </c>
      <c r="F6" s="406" t="s">
        <v>1367</v>
      </c>
      <c r="G6" s="405" t="s">
        <v>1368</v>
      </c>
      <c r="H6" s="405" t="s">
        <v>1369</v>
      </c>
      <c r="I6" s="405" t="s">
        <v>1370</v>
      </c>
      <c r="J6" s="406" t="s">
        <v>1371</v>
      </c>
      <c r="K6" s="405" t="s">
        <v>1372</v>
      </c>
      <c r="L6" s="405" t="s">
        <v>1373</v>
      </c>
      <c r="M6" s="405" t="s">
        <v>1374</v>
      </c>
      <c r="N6" s="410"/>
      <c r="O6" s="405" t="s">
        <v>1375</v>
      </c>
      <c r="P6" s="405" t="s">
        <v>1376</v>
      </c>
      <c r="Q6" s="405" t="s">
        <v>1377</v>
      </c>
      <c r="S6" s="438" t="s">
        <v>1378</v>
      </c>
      <c r="T6" s="438" t="s">
        <v>1379</v>
      </c>
    </row>
    <row r="7" spans="1:21" x14ac:dyDescent="0.25">
      <c r="F7" s="407"/>
      <c r="J7" s="407"/>
      <c r="N7" s="410"/>
    </row>
    <row r="8" spans="1:21" ht="13" x14ac:dyDescent="0.25">
      <c r="A8" s="421" t="s">
        <v>28</v>
      </c>
      <c r="B8" s="409"/>
      <c r="F8" s="407"/>
      <c r="J8" s="407"/>
    </row>
    <row r="9" spans="1:21" s="430" customFormat="1" x14ac:dyDescent="0.25">
      <c r="A9" s="429" t="s">
        <v>1380</v>
      </c>
      <c r="C9" s="431">
        <v>54.698</v>
      </c>
      <c r="D9" s="431">
        <v>61.615000000000002</v>
      </c>
      <c r="E9" s="431">
        <v>62.781999999999996</v>
      </c>
      <c r="F9" s="432">
        <v>64.593999999999994</v>
      </c>
      <c r="G9" s="433">
        <v>56.491999999999997</v>
      </c>
      <c r="H9" s="433">
        <v>57.737000000000002</v>
      </c>
      <c r="I9" s="433">
        <v>57.027000000000001</v>
      </c>
      <c r="J9" s="432">
        <v>50.21</v>
      </c>
      <c r="K9" s="431">
        <v>39.552999999999997</v>
      </c>
      <c r="L9" s="431">
        <v>42.411000000000001</v>
      </c>
      <c r="M9" s="431">
        <v>43.869</v>
      </c>
      <c r="N9" s="431"/>
      <c r="O9" s="431">
        <v>206.58</v>
      </c>
      <c r="P9" s="431">
        <f>+SUM(C9:F9)</f>
        <v>243.68899999999999</v>
      </c>
      <c r="Q9" s="431">
        <f>SUM(G9:J9)</f>
        <v>221.46600000000001</v>
      </c>
      <c r="R9" s="431"/>
      <c r="S9" s="431">
        <f>SUM(F9:I9)</f>
        <v>235.84999999999997</v>
      </c>
      <c r="T9" s="431">
        <f>SUM(J9:M9)</f>
        <v>176.04300000000001</v>
      </c>
    </row>
    <row r="10" spans="1:21" x14ac:dyDescent="0.25">
      <c r="A10" s="409" t="s">
        <v>1381</v>
      </c>
      <c r="C10" s="410">
        <v>33.697000000000003</v>
      </c>
      <c r="D10" s="410">
        <v>43.712000000000003</v>
      </c>
      <c r="E10" s="410">
        <v>40.341999999999999</v>
      </c>
      <c r="F10" s="411">
        <v>37.161000000000001</v>
      </c>
      <c r="G10" s="412">
        <v>31.276</v>
      </c>
      <c r="H10" s="412">
        <v>31.439</v>
      </c>
      <c r="I10" s="412">
        <v>33.664999999999999</v>
      </c>
      <c r="J10" s="411">
        <v>69.513000000000005</v>
      </c>
      <c r="K10" s="410">
        <v>70.847999999999999</v>
      </c>
      <c r="L10" s="410">
        <v>40.411999999999999</v>
      </c>
      <c r="M10" s="410">
        <v>37.500999999999998</v>
      </c>
      <c r="N10" s="410"/>
      <c r="O10" s="410">
        <v>173.381</v>
      </c>
      <c r="P10" s="410">
        <f t="shared" ref="P10:P14" si="0">+SUM(C10:F10)</f>
        <v>154.91200000000001</v>
      </c>
      <c r="Q10" s="410">
        <f t="shared" ref="Q10:Q15" si="1">SUM(G10:J10)</f>
        <v>165.893</v>
      </c>
      <c r="R10" s="410"/>
      <c r="S10" s="410">
        <f t="shared" ref="S10:S15" si="2">SUM(F10:I10)</f>
        <v>133.541</v>
      </c>
      <c r="T10" s="410">
        <f t="shared" ref="T10:T15" si="3">SUM(J10:M10)</f>
        <v>218.274</v>
      </c>
    </row>
    <row r="11" spans="1:21" x14ac:dyDescent="0.25">
      <c r="A11" s="409" t="s">
        <v>1382</v>
      </c>
      <c r="C11" s="410">
        <v>17.605</v>
      </c>
      <c r="D11" s="410">
        <v>19.675999999999998</v>
      </c>
      <c r="E11" s="410">
        <v>19.699000000000002</v>
      </c>
      <c r="F11" s="411">
        <v>15.295999999999999</v>
      </c>
      <c r="G11" s="412">
        <v>18.349</v>
      </c>
      <c r="H11" s="412">
        <v>19.986000000000001</v>
      </c>
      <c r="I11" s="412">
        <v>19.702000000000002</v>
      </c>
      <c r="J11" s="411">
        <v>15.3</v>
      </c>
      <c r="K11" s="410">
        <v>17.902999999999999</v>
      </c>
      <c r="L11" s="410">
        <v>19.684999999999999</v>
      </c>
      <c r="M11" s="410">
        <v>19.879000000000001</v>
      </c>
      <c r="N11" s="410"/>
      <c r="O11" s="410">
        <v>68.811000000000007</v>
      </c>
      <c r="P11" s="410">
        <f t="shared" si="0"/>
        <v>72.27600000000001</v>
      </c>
      <c r="Q11" s="410">
        <f t="shared" si="1"/>
        <v>73.337000000000003</v>
      </c>
      <c r="R11" s="410"/>
      <c r="S11" s="410">
        <f t="shared" si="2"/>
        <v>73.332999999999998</v>
      </c>
      <c r="T11" s="410">
        <f t="shared" si="3"/>
        <v>72.76700000000001</v>
      </c>
    </row>
    <row r="12" spans="1:21" x14ac:dyDescent="0.25">
      <c r="A12" s="409" t="s">
        <v>1383</v>
      </c>
      <c r="C12" s="410">
        <v>12.323</v>
      </c>
      <c r="D12" s="410">
        <v>15.752000000000001</v>
      </c>
      <c r="E12" s="410">
        <v>24.856000000000002</v>
      </c>
      <c r="F12" s="411">
        <v>33.789000000000001</v>
      </c>
      <c r="G12" s="412">
        <v>23.503</v>
      </c>
      <c r="H12" s="412">
        <v>21.178000000000001</v>
      </c>
      <c r="I12" s="412">
        <v>18.600000000000001</v>
      </c>
      <c r="J12" s="411">
        <v>18.442</v>
      </c>
      <c r="K12" s="410">
        <v>11.726000000000001</v>
      </c>
      <c r="L12" s="410">
        <v>8.6940000000000008</v>
      </c>
      <c r="M12" s="410">
        <v>9.8040000000000003</v>
      </c>
      <c r="N12" s="410"/>
      <c r="O12" s="410">
        <v>45.006999999999998</v>
      </c>
      <c r="P12" s="410">
        <f t="shared" si="0"/>
        <v>86.72</v>
      </c>
      <c r="Q12" s="410">
        <f t="shared" si="1"/>
        <v>81.722999999999999</v>
      </c>
      <c r="R12" s="410"/>
      <c r="S12" s="410">
        <f t="shared" si="2"/>
        <v>97.07</v>
      </c>
      <c r="T12" s="410">
        <f t="shared" si="3"/>
        <v>48.666000000000004</v>
      </c>
    </row>
    <row r="13" spans="1:21" x14ac:dyDescent="0.25">
      <c r="A13" s="409" t="s">
        <v>1384</v>
      </c>
      <c r="C13" s="410">
        <v>-1.2</v>
      </c>
      <c r="D13" s="410">
        <v>-1.8</v>
      </c>
      <c r="E13" s="410">
        <v>-1.4</v>
      </c>
      <c r="F13" s="411">
        <v>-1.5</v>
      </c>
      <c r="G13" s="412">
        <v>-2.2000000000000002</v>
      </c>
      <c r="H13" s="412">
        <v>-1.8</v>
      </c>
      <c r="I13" s="412">
        <v>-1.5</v>
      </c>
      <c r="J13" s="411">
        <v>-1.3</v>
      </c>
      <c r="K13" s="410">
        <v>-1.4</v>
      </c>
      <c r="L13" s="410">
        <v>-1.3</v>
      </c>
      <c r="M13" s="410">
        <v>-1.2</v>
      </c>
      <c r="N13" s="410"/>
      <c r="O13" s="410">
        <v>-6.9</v>
      </c>
      <c r="P13" s="410">
        <f t="shared" si="0"/>
        <v>-5.9</v>
      </c>
      <c r="Q13" s="410">
        <f t="shared" si="1"/>
        <v>-6.8</v>
      </c>
      <c r="R13" s="410"/>
      <c r="S13" s="410">
        <f t="shared" si="2"/>
        <v>-7</v>
      </c>
      <c r="T13" s="410">
        <f t="shared" si="3"/>
        <v>-5.2</v>
      </c>
    </row>
    <row r="14" spans="1:21" s="413" customFormat="1" ht="14" x14ac:dyDescent="0.4">
      <c r="A14" s="409" t="s">
        <v>1385</v>
      </c>
      <c r="C14" s="414">
        <v>73.948000000000008</v>
      </c>
      <c r="D14" s="414">
        <v>71.171000000000006</v>
      </c>
      <c r="E14" s="414">
        <v>62.282000000000004</v>
      </c>
      <c r="F14" s="415">
        <v>51.015000000000001</v>
      </c>
      <c r="G14" s="416">
        <v>74.902000000000001</v>
      </c>
      <c r="H14" s="416">
        <v>66.983999999999995</v>
      </c>
      <c r="I14" s="416">
        <v>60.837000000000003</v>
      </c>
      <c r="J14" s="415">
        <v>41.647999999999996</v>
      </c>
      <c r="K14" s="414">
        <v>64.418999999999997</v>
      </c>
      <c r="L14" s="414">
        <v>68.096000000000004</v>
      </c>
      <c r="M14" s="414">
        <v>59.665999999999997</v>
      </c>
      <c r="N14" s="414"/>
      <c r="O14" s="414">
        <v>290.60000000000002</v>
      </c>
      <c r="P14" s="414">
        <f t="shared" si="0"/>
        <v>258.41600000000005</v>
      </c>
      <c r="Q14" s="414">
        <f t="shared" si="1"/>
        <v>244.37100000000001</v>
      </c>
      <c r="R14" s="414"/>
      <c r="S14" s="414">
        <f t="shared" si="2"/>
        <v>253.738</v>
      </c>
      <c r="T14" s="414">
        <f t="shared" si="3"/>
        <v>233.82900000000001</v>
      </c>
    </row>
    <row r="15" spans="1:21" ht="13" x14ac:dyDescent="0.25">
      <c r="A15" s="408" t="s">
        <v>1386</v>
      </c>
      <c r="C15" s="417">
        <f t="shared" ref="C15:P15" si="4">+SUM(C9:C14)</f>
        <v>191.07100000000003</v>
      </c>
      <c r="D15" s="417">
        <f t="shared" si="4"/>
        <v>210.12599999999998</v>
      </c>
      <c r="E15" s="417">
        <f t="shared" si="4"/>
        <v>208.56100000000001</v>
      </c>
      <c r="F15" s="418">
        <f t="shared" si="4"/>
        <v>200.35499999999996</v>
      </c>
      <c r="G15" s="419">
        <f t="shared" si="4"/>
        <v>202.322</v>
      </c>
      <c r="H15" s="419">
        <f t="shared" si="4"/>
        <v>195.524</v>
      </c>
      <c r="I15" s="419">
        <f t="shared" si="4"/>
        <v>188.33100000000002</v>
      </c>
      <c r="J15" s="418">
        <f t="shared" si="4"/>
        <v>193.81300000000002</v>
      </c>
      <c r="K15" s="417">
        <f t="shared" si="4"/>
        <v>203.04899999999998</v>
      </c>
      <c r="L15" s="417">
        <f t="shared" si="4"/>
        <v>177.99800000000002</v>
      </c>
      <c r="M15" s="417">
        <f t="shared" si="4"/>
        <v>169.51900000000001</v>
      </c>
      <c r="N15" s="417"/>
      <c r="O15" s="417">
        <f t="shared" si="4"/>
        <v>777.47900000000004</v>
      </c>
      <c r="P15" s="417">
        <f t="shared" si="4"/>
        <v>810.11300000000006</v>
      </c>
      <c r="Q15" s="417">
        <f t="shared" si="1"/>
        <v>779.99</v>
      </c>
      <c r="R15" s="417"/>
      <c r="S15" s="417">
        <f t="shared" si="2"/>
        <v>786.53200000000004</v>
      </c>
      <c r="T15" s="417">
        <f t="shared" si="3"/>
        <v>744.37900000000002</v>
      </c>
    </row>
    <row r="16" spans="1:21" x14ac:dyDescent="0.25">
      <c r="F16" s="407"/>
      <c r="J16" s="407"/>
    </row>
    <row r="17" spans="1:20" ht="13" x14ac:dyDescent="0.3">
      <c r="A17" s="424" t="s">
        <v>121</v>
      </c>
      <c r="F17" s="407"/>
      <c r="J17" s="407"/>
      <c r="M17" s="437"/>
    </row>
    <row r="18" spans="1:20" s="430" customFormat="1" ht="13" x14ac:dyDescent="0.3">
      <c r="A18" s="434" t="str">
        <f>+A9</f>
        <v>Employer Services</v>
      </c>
      <c r="F18" s="435"/>
      <c r="G18" s="439">
        <f>++G9/C9-1</f>
        <v>3.2798274159932639E-2</v>
      </c>
      <c r="H18" s="439">
        <f t="shared" ref="H18:M18" si="5">++H9/D9-1</f>
        <v>-6.2939219345938491E-2</v>
      </c>
      <c r="I18" s="439">
        <f t="shared" si="5"/>
        <v>-9.1666401197795455E-2</v>
      </c>
      <c r="J18" s="440">
        <f t="shared" si="5"/>
        <v>-0.22268322135182828</v>
      </c>
      <c r="K18" s="439">
        <f t="shared" si="5"/>
        <v>-0.29984776605537067</v>
      </c>
      <c r="L18" s="439">
        <f t="shared" si="5"/>
        <v>-0.26544503524602936</v>
      </c>
      <c r="M18" s="439">
        <f t="shared" si="5"/>
        <v>-0.230732810773844</v>
      </c>
      <c r="P18" s="439">
        <f>+P9/O9-1</f>
        <v>0.17963500822925726</v>
      </c>
      <c r="Q18" s="439">
        <f t="shared" ref="Q18" si="6">+Q9/P9-1</f>
        <v>-9.1194103960375639E-2</v>
      </c>
      <c r="R18" s="439"/>
      <c r="S18" s="439"/>
      <c r="T18" s="439">
        <f t="shared" ref="T18" si="7">+T9/S9-1</f>
        <v>-0.25358066567733717</v>
      </c>
    </row>
    <row r="19" spans="1:20" ht="13" x14ac:dyDescent="0.3">
      <c r="A19" s="425" t="str">
        <f t="shared" ref="A19:A24" si="8">+A10</f>
        <v>Data Services</v>
      </c>
      <c r="F19" s="407"/>
      <c r="G19" s="441">
        <f t="shared" ref="G19:M19" si="9">++G10/C10-1</f>
        <v>-7.1846158411728145E-2</v>
      </c>
      <c r="H19" s="441">
        <f t="shared" si="9"/>
        <v>-0.28076958272327968</v>
      </c>
      <c r="I19" s="441">
        <f t="shared" si="9"/>
        <v>-0.16550989043676567</v>
      </c>
      <c r="J19" s="442">
        <f t="shared" si="9"/>
        <v>0.87059013481876169</v>
      </c>
      <c r="K19" s="441">
        <f t="shared" si="9"/>
        <v>1.2652513109093233</v>
      </c>
      <c r="L19" s="441">
        <f t="shared" si="9"/>
        <v>0.28540984127993885</v>
      </c>
      <c r="M19" s="441">
        <f t="shared" si="9"/>
        <v>0.11394623496212675</v>
      </c>
      <c r="P19" s="441">
        <f t="shared" ref="P19:Q24" si="10">+P10/O10-1</f>
        <v>-0.10652262935385071</v>
      </c>
      <c r="Q19" s="441">
        <f t="shared" si="10"/>
        <v>7.0885405907870291E-2</v>
      </c>
      <c r="R19" s="441"/>
      <c r="S19" s="441"/>
      <c r="T19" s="441">
        <f t="shared" ref="T19" si="11">+T10/S10-1</f>
        <v>0.63450925184025886</v>
      </c>
    </row>
    <row r="20" spans="1:20" ht="13" x14ac:dyDescent="0.3">
      <c r="A20" s="425" t="str">
        <f t="shared" si="8"/>
        <v>Multifamily Services</v>
      </c>
      <c r="F20" s="407"/>
      <c r="G20" s="441">
        <f t="shared" ref="G20:M20" si="12">++G11/C11-1</f>
        <v>4.2260721385969813E-2</v>
      </c>
      <c r="H20" s="441">
        <f t="shared" si="12"/>
        <v>1.5755234803822127E-2</v>
      </c>
      <c r="I20" s="441">
        <f t="shared" si="12"/>
        <v>1.5229199451738396E-4</v>
      </c>
      <c r="J20" s="442">
        <f t="shared" si="12"/>
        <v>2.6150627615062483E-4</v>
      </c>
      <c r="K20" s="441">
        <f t="shared" si="12"/>
        <v>-2.430650171671489E-2</v>
      </c>
      <c r="L20" s="441">
        <f t="shared" si="12"/>
        <v>-1.5060542379665809E-2</v>
      </c>
      <c r="M20" s="441">
        <f t="shared" si="12"/>
        <v>8.98385950664915E-3</v>
      </c>
      <c r="P20" s="441">
        <f t="shared" si="10"/>
        <v>5.0355321096917649E-2</v>
      </c>
      <c r="Q20" s="441">
        <f t="shared" si="10"/>
        <v>1.4679838397254841E-2</v>
      </c>
      <c r="R20" s="441"/>
      <c r="S20" s="441"/>
      <c r="T20" s="441">
        <f t="shared" ref="T20" si="13">+T11/S11-1</f>
        <v>-7.7182169009857304E-3</v>
      </c>
    </row>
    <row r="21" spans="1:20" ht="13" x14ac:dyDescent="0.3">
      <c r="A21" s="425" t="str">
        <f t="shared" si="8"/>
        <v>Investigative and Litigation Support Services</v>
      </c>
      <c r="F21" s="407"/>
      <c r="G21" s="441">
        <f t="shared" ref="G21:M21" si="14">++G12/C12-1</f>
        <v>0.90724661202629231</v>
      </c>
      <c r="H21" s="441">
        <f t="shared" si="14"/>
        <v>0.34446419502285419</v>
      </c>
      <c r="I21" s="441">
        <f t="shared" si="14"/>
        <v>-0.25168973286128093</v>
      </c>
      <c r="J21" s="442">
        <f t="shared" si="14"/>
        <v>-0.45420107135458287</v>
      </c>
      <c r="K21" s="441">
        <f t="shared" si="14"/>
        <v>-0.5010849678764413</v>
      </c>
      <c r="L21" s="441">
        <f t="shared" si="14"/>
        <v>-0.58947964869203884</v>
      </c>
      <c r="M21" s="441">
        <f t="shared" si="14"/>
        <v>-0.47290322580645161</v>
      </c>
      <c r="P21" s="441">
        <f t="shared" si="10"/>
        <v>0.92681138489568293</v>
      </c>
      <c r="Q21" s="441">
        <f t="shared" si="10"/>
        <v>-5.7622232472324675E-2</v>
      </c>
      <c r="R21" s="441"/>
      <c r="S21" s="441"/>
      <c r="T21" s="441">
        <f t="shared" ref="T21" si="15">+T12/S12-1</f>
        <v>-0.49865045843205924</v>
      </c>
    </row>
    <row r="22" spans="1:20" ht="13" x14ac:dyDescent="0.3">
      <c r="A22" s="425" t="str">
        <f t="shared" si="8"/>
        <v>Corporate</v>
      </c>
      <c r="F22" s="407"/>
      <c r="G22" s="441">
        <f t="shared" ref="G22:M22" si="16">++G13/C13-1</f>
        <v>0.83333333333333348</v>
      </c>
      <c r="H22" s="441">
        <f t="shared" si="16"/>
        <v>0</v>
      </c>
      <c r="I22" s="441">
        <f t="shared" si="16"/>
        <v>7.1428571428571397E-2</v>
      </c>
      <c r="J22" s="442">
        <f t="shared" si="16"/>
        <v>-0.1333333333333333</v>
      </c>
      <c r="K22" s="441">
        <f t="shared" si="16"/>
        <v>-0.36363636363636376</v>
      </c>
      <c r="L22" s="441">
        <f t="shared" si="16"/>
        <v>-0.27777777777777779</v>
      </c>
      <c r="M22" s="441">
        <f t="shared" si="16"/>
        <v>-0.20000000000000007</v>
      </c>
      <c r="P22" s="441">
        <f t="shared" si="10"/>
        <v>-0.14492753623188404</v>
      </c>
      <c r="Q22" s="441">
        <f t="shared" si="10"/>
        <v>0.15254237288135575</v>
      </c>
      <c r="R22" s="441"/>
      <c r="S22" s="441"/>
      <c r="T22" s="441">
        <f t="shared" ref="T22" si="17">+T13/S13-1</f>
        <v>-0.25714285714285712</v>
      </c>
    </row>
    <row r="23" spans="1:20" ht="13" x14ac:dyDescent="0.3">
      <c r="A23" s="425" t="str">
        <f t="shared" si="8"/>
        <v>Credit Services</v>
      </c>
      <c r="F23" s="407"/>
      <c r="G23" s="443">
        <f t="shared" ref="G23:M23" si="18">++G14/C14-1</f>
        <v>1.290095742954489E-2</v>
      </c>
      <c r="H23" s="443">
        <f t="shared" si="18"/>
        <v>-5.8830141490213816E-2</v>
      </c>
      <c r="I23" s="443">
        <f t="shared" si="18"/>
        <v>-2.3200924825792391E-2</v>
      </c>
      <c r="J23" s="444">
        <f t="shared" si="18"/>
        <v>-0.18361266294227196</v>
      </c>
      <c r="K23" s="443">
        <f t="shared" si="18"/>
        <v>-0.13995620944701082</v>
      </c>
      <c r="L23" s="443">
        <f t="shared" si="18"/>
        <v>1.6600979338349697E-2</v>
      </c>
      <c r="M23" s="443">
        <f t="shared" si="18"/>
        <v>-1.924815490573184E-2</v>
      </c>
      <c r="P23" s="443">
        <f t="shared" si="10"/>
        <v>-0.11075017205781135</v>
      </c>
      <c r="Q23" s="443">
        <f t="shared" si="10"/>
        <v>-5.4350349823540478E-2</v>
      </c>
      <c r="R23" s="443"/>
      <c r="S23" s="443"/>
      <c r="T23" s="443">
        <f t="shared" ref="T23" si="19">+T14/S14-1</f>
        <v>-7.8462823857679886E-2</v>
      </c>
    </row>
    <row r="24" spans="1:20" s="163" customFormat="1" ht="13" x14ac:dyDescent="0.3">
      <c r="A24" s="426" t="str">
        <f t="shared" si="8"/>
        <v xml:space="preserve">  Total Revenues</v>
      </c>
      <c r="F24" s="423"/>
      <c r="G24" s="445">
        <f t="shared" ref="G24:M24" si="20">++G15/C15-1</f>
        <v>5.8883870393727777E-2</v>
      </c>
      <c r="H24" s="445">
        <f t="shared" si="20"/>
        <v>-6.9491638350323015E-2</v>
      </c>
      <c r="I24" s="445">
        <f t="shared" si="20"/>
        <v>-9.6998000584960664E-2</v>
      </c>
      <c r="J24" s="446">
        <f t="shared" si="20"/>
        <v>-3.2652042624341515E-2</v>
      </c>
      <c r="K24" s="445">
        <f t="shared" si="20"/>
        <v>3.5932819960260431E-3</v>
      </c>
      <c r="L24" s="445">
        <f t="shared" si="20"/>
        <v>-8.9636054908860174E-2</v>
      </c>
      <c r="M24" s="445">
        <f t="shared" si="20"/>
        <v>-9.9887963213703634E-2</v>
      </c>
      <c r="P24" s="445">
        <f t="shared" si="10"/>
        <v>4.1974124059942497E-2</v>
      </c>
      <c r="Q24" s="445">
        <f t="shared" si="10"/>
        <v>-3.7183701532996105E-2</v>
      </c>
      <c r="R24" s="445"/>
      <c r="S24" s="445"/>
      <c r="T24" s="445">
        <f t="shared" ref="T24" si="21">+T15/S15-1</f>
        <v>-5.3593496513810068E-2</v>
      </c>
    </row>
    <row r="25" spans="1:20" x14ac:dyDescent="0.25">
      <c r="F25" s="407"/>
      <c r="J25" s="407"/>
    </row>
    <row r="26" spans="1:20" ht="13" x14ac:dyDescent="0.25">
      <c r="A26" s="421" t="s">
        <v>145</v>
      </c>
      <c r="B26" s="409"/>
      <c r="F26" s="407"/>
      <c r="J26" s="407"/>
      <c r="M26" s="437"/>
    </row>
    <row r="27" spans="1:20" s="430" customFormat="1" x14ac:dyDescent="0.25">
      <c r="A27" s="429" t="s">
        <v>1380</v>
      </c>
      <c r="C27" s="431">
        <f t="shared" ref="C27:M27" si="22">+C78+C69</f>
        <v>7.5789999999999997</v>
      </c>
      <c r="D27" s="431">
        <f t="shared" si="22"/>
        <v>9.4700000000000006</v>
      </c>
      <c r="E27" s="431">
        <f t="shared" si="22"/>
        <v>9.2319999999999993</v>
      </c>
      <c r="F27" s="432">
        <f t="shared" si="22"/>
        <v>13.266</v>
      </c>
      <c r="G27" s="433">
        <f t="shared" si="22"/>
        <v>6.5500000000000007</v>
      </c>
      <c r="H27" s="433">
        <f t="shared" si="22"/>
        <v>6.2989999999999995</v>
      </c>
      <c r="I27" s="433">
        <f t="shared" si="22"/>
        <v>9.8990000000000009</v>
      </c>
      <c r="J27" s="432">
        <f t="shared" si="22"/>
        <v>6.7080000000000002</v>
      </c>
      <c r="K27" s="431">
        <f t="shared" si="22"/>
        <v>3.0150000000000001</v>
      </c>
      <c r="L27" s="431">
        <f t="shared" si="22"/>
        <v>6.4529999999999994</v>
      </c>
      <c r="M27" s="431">
        <f t="shared" si="22"/>
        <v>7.6999999999999993</v>
      </c>
      <c r="N27" s="431"/>
      <c r="O27" s="431">
        <f t="shared" ref="O27:O32" si="23">+O78+O69</f>
        <v>28.338999999999999</v>
      </c>
      <c r="P27" s="431">
        <f>+SUM(C27:F27)</f>
        <v>39.546999999999997</v>
      </c>
      <c r="Q27" s="431">
        <f>SUM(G27:J27)</f>
        <v>29.456000000000003</v>
      </c>
      <c r="R27" s="431"/>
      <c r="S27" s="431">
        <f>SUM(F27:I27)</f>
        <v>36.014000000000003</v>
      </c>
      <c r="T27" s="431">
        <f>SUM(J27:M27)</f>
        <v>23.876000000000001</v>
      </c>
    </row>
    <row r="28" spans="1:20" x14ac:dyDescent="0.25">
      <c r="A28" s="409" t="s">
        <v>1381</v>
      </c>
      <c r="C28" s="410">
        <f t="shared" ref="C28:M28" si="24">+C79+C70</f>
        <v>13.18</v>
      </c>
      <c r="D28" s="410">
        <f t="shared" si="24"/>
        <v>12.553000000000001</v>
      </c>
      <c r="E28" s="410">
        <f t="shared" si="24"/>
        <v>10.708</v>
      </c>
      <c r="F28" s="411">
        <f t="shared" si="24"/>
        <v>7.4959999999999996</v>
      </c>
      <c r="G28" s="412">
        <f t="shared" si="24"/>
        <v>6.2669999999999995</v>
      </c>
      <c r="H28" s="412">
        <f t="shared" si="24"/>
        <v>6.298</v>
      </c>
      <c r="I28" s="412">
        <f t="shared" si="24"/>
        <v>6.25</v>
      </c>
      <c r="J28" s="411">
        <f t="shared" si="24"/>
        <v>-7.8239999999999998</v>
      </c>
      <c r="K28" s="410">
        <f t="shared" si="24"/>
        <v>8.1509999999999998</v>
      </c>
      <c r="L28" s="410">
        <f t="shared" si="24"/>
        <v>4.58</v>
      </c>
      <c r="M28" s="410">
        <f t="shared" si="24"/>
        <v>6.0250000000000004</v>
      </c>
      <c r="N28" s="410"/>
      <c r="O28" s="410">
        <f t="shared" si="23"/>
        <v>50.444999999999993</v>
      </c>
      <c r="P28" s="410">
        <f t="shared" ref="P28:P32" si="25">+SUM(C28:F28)</f>
        <v>43.937000000000005</v>
      </c>
      <c r="Q28" s="410">
        <f t="shared" ref="Q28:Q33" si="26">SUM(G28:J28)</f>
        <v>10.990999999999998</v>
      </c>
      <c r="R28" s="410"/>
      <c r="S28" s="410">
        <f t="shared" ref="S28:S33" si="27">SUM(F28:I28)</f>
        <v>26.311</v>
      </c>
      <c r="T28" s="410">
        <f t="shared" ref="T28:T33" si="28">SUM(J28:M28)</f>
        <v>10.932</v>
      </c>
    </row>
    <row r="29" spans="1:20" x14ac:dyDescent="0.25">
      <c r="A29" s="409" t="s">
        <v>1382</v>
      </c>
      <c r="C29" s="410">
        <f t="shared" ref="C29:M29" si="29">+C80+C71</f>
        <v>5.484</v>
      </c>
      <c r="D29" s="410">
        <f t="shared" si="29"/>
        <v>7.0529999999999999</v>
      </c>
      <c r="E29" s="410">
        <f t="shared" si="29"/>
        <v>7.2690000000000001</v>
      </c>
      <c r="F29" s="411">
        <f t="shared" si="29"/>
        <v>3.6950000000000003</v>
      </c>
      <c r="G29" s="412">
        <f t="shared" si="29"/>
        <v>6.141</v>
      </c>
      <c r="H29" s="412">
        <f t="shared" si="29"/>
        <v>7.9980000000000002</v>
      </c>
      <c r="I29" s="412">
        <f t="shared" si="29"/>
        <v>8.097999999999999</v>
      </c>
      <c r="J29" s="411">
        <f t="shared" si="29"/>
        <v>4.6559999999999997</v>
      </c>
      <c r="K29" s="410">
        <f t="shared" si="29"/>
        <v>7.1760000000000002</v>
      </c>
      <c r="L29" s="410">
        <f t="shared" si="29"/>
        <v>9.0879999999999992</v>
      </c>
      <c r="M29" s="410">
        <f t="shared" si="29"/>
        <v>8.81</v>
      </c>
      <c r="N29" s="410"/>
      <c r="O29" s="410">
        <f t="shared" si="23"/>
        <v>19.649999999999999</v>
      </c>
      <c r="P29" s="410">
        <f t="shared" si="25"/>
        <v>23.500999999999998</v>
      </c>
      <c r="Q29" s="410">
        <f t="shared" si="26"/>
        <v>26.892999999999997</v>
      </c>
      <c r="R29" s="410"/>
      <c r="S29" s="410">
        <f t="shared" si="27"/>
        <v>25.931999999999999</v>
      </c>
      <c r="T29" s="410">
        <f t="shared" si="28"/>
        <v>29.730000000000004</v>
      </c>
    </row>
    <row r="30" spans="1:20" x14ac:dyDescent="0.25">
      <c r="A30" s="409" t="s">
        <v>1383</v>
      </c>
      <c r="C30" s="410">
        <f t="shared" ref="C30:M30" si="30">+C81+C72</f>
        <v>3.7009999999999996</v>
      </c>
      <c r="D30" s="410">
        <f t="shared" si="30"/>
        <v>5.7480000000000002</v>
      </c>
      <c r="E30" s="410">
        <f t="shared" si="30"/>
        <v>12.384</v>
      </c>
      <c r="F30" s="411">
        <f t="shared" si="30"/>
        <v>18.189</v>
      </c>
      <c r="G30" s="412">
        <f t="shared" si="30"/>
        <v>10.290000000000001</v>
      </c>
      <c r="H30" s="412">
        <f t="shared" si="30"/>
        <v>8.3930000000000007</v>
      </c>
      <c r="I30" s="412">
        <f t="shared" si="30"/>
        <v>7.1840000000000002</v>
      </c>
      <c r="J30" s="411">
        <f t="shared" si="30"/>
        <v>8.3640000000000008</v>
      </c>
      <c r="K30" s="410">
        <f t="shared" si="30"/>
        <v>1.871</v>
      </c>
      <c r="L30" s="410">
        <f t="shared" si="30"/>
        <v>0.997</v>
      </c>
      <c r="M30" s="410">
        <f t="shared" si="30"/>
        <v>2.0609999999999999</v>
      </c>
      <c r="N30" s="410"/>
      <c r="O30" s="410">
        <f t="shared" si="23"/>
        <v>14.863</v>
      </c>
      <c r="P30" s="410">
        <f t="shared" si="25"/>
        <v>40.021999999999998</v>
      </c>
      <c r="Q30" s="410">
        <f t="shared" si="26"/>
        <v>34.231000000000002</v>
      </c>
      <c r="R30" s="410"/>
      <c r="S30" s="410">
        <f t="shared" si="27"/>
        <v>44.055999999999997</v>
      </c>
      <c r="T30" s="410">
        <f t="shared" si="28"/>
        <v>13.293000000000001</v>
      </c>
    </row>
    <row r="31" spans="1:20" x14ac:dyDescent="0.25">
      <c r="A31" s="409" t="s">
        <v>1384</v>
      </c>
      <c r="C31" s="410">
        <f t="shared" ref="C31:M31" si="31">+C82+C73</f>
        <v>-16.843</v>
      </c>
      <c r="D31" s="410">
        <f t="shared" si="31"/>
        <v>-8.4130000000000003</v>
      </c>
      <c r="E31" s="410">
        <f t="shared" si="31"/>
        <v>-8.1199999999999992</v>
      </c>
      <c r="F31" s="411">
        <f t="shared" si="31"/>
        <v>-8.9990000000000006</v>
      </c>
      <c r="G31" s="412">
        <f t="shared" si="31"/>
        <v>-9.7009999999999987</v>
      </c>
      <c r="H31" s="412">
        <f t="shared" si="31"/>
        <v>-7.7550000000000008</v>
      </c>
      <c r="I31" s="412">
        <f t="shared" si="31"/>
        <v>-7.6359999999999992</v>
      </c>
      <c r="J31" s="411">
        <f t="shared" si="31"/>
        <v>-7.2550000000000008</v>
      </c>
      <c r="K31" s="410">
        <f t="shared" si="31"/>
        <v>-6.91</v>
      </c>
      <c r="L31" s="410">
        <f t="shared" si="31"/>
        <v>-7.3280000000000012</v>
      </c>
      <c r="M31" s="410">
        <f t="shared" si="31"/>
        <v>-9.2119999999999997</v>
      </c>
      <c r="N31" s="410"/>
      <c r="O31" s="410">
        <f t="shared" si="23"/>
        <v>-35.774000000000001</v>
      </c>
      <c r="P31" s="410">
        <f t="shared" si="25"/>
        <v>-42.375</v>
      </c>
      <c r="Q31" s="410">
        <f t="shared" si="26"/>
        <v>-32.347000000000001</v>
      </c>
      <c r="R31" s="410"/>
      <c r="S31" s="410">
        <f t="shared" si="27"/>
        <v>-34.090999999999994</v>
      </c>
      <c r="T31" s="410">
        <f t="shared" si="28"/>
        <v>-30.705000000000002</v>
      </c>
    </row>
    <row r="32" spans="1:20" s="413" customFormat="1" ht="14" x14ac:dyDescent="0.4">
      <c r="A32" s="409" t="s">
        <v>1385</v>
      </c>
      <c r="C32" s="414">
        <f t="shared" ref="C32:M32" si="32">+C83+C74</f>
        <v>18.291</v>
      </c>
      <c r="D32" s="414">
        <f t="shared" si="32"/>
        <v>17.411000000000001</v>
      </c>
      <c r="E32" s="414">
        <f t="shared" si="32"/>
        <v>12.945000000000002</v>
      </c>
      <c r="F32" s="415">
        <f t="shared" si="32"/>
        <v>7.5030000000000001</v>
      </c>
      <c r="G32" s="416">
        <f t="shared" si="32"/>
        <v>17.534000000000002</v>
      </c>
      <c r="H32" s="416">
        <f t="shared" si="32"/>
        <v>13.526</v>
      </c>
      <c r="I32" s="416">
        <f t="shared" si="32"/>
        <v>8.7910000000000004</v>
      </c>
      <c r="J32" s="415">
        <f t="shared" si="32"/>
        <v>3.3719999999999999</v>
      </c>
      <c r="K32" s="414">
        <f t="shared" si="32"/>
        <v>16.196000000000002</v>
      </c>
      <c r="L32" s="414">
        <f t="shared" si="32"/>
        <v>19.071999999999999</v>
      </c>
      <c r="M32" s="414">
        <f t="shared" si="32"/>
        <v>14.022</v>
      </c>
      <c r="N32" s="414"/>
      <c r="O32" s="414">
        <f t="shared" si="23"/>
        <v>78.706000000000003</v>
      </c>
      <c r="P32" s="414">
        <f t="shared" si="25"/>
        <v>56.15</v>
      </c>
      <c r="Q32" s="414">
        <f t="shared" si="26"/>
        <v>43.222999999999999</v>
      </c>
      <c r="R32" s="414"/>
      <c r="S32" s="414">
        <f t="shared" si="27"/>
        <v>47.353999999999999</v>
      </c>
      <c r="T32" s="414">
        <f t="shared" si="28"/>
        <v>52.661999999999999</v>
      </c>
    </row>
    <row r="33" spans="1:20" ht="13" x14ac:dyDescent="0.25">
      <c r="A33" s="428" t="s">
        <v>623</v>
      </c>
      <c r="C33" s="417">
        <f t="shared" ref="C33:P33" si="33">+SUM(C27:C32)</f>
        <v>31.392000000000003</v>
      </c>
      <c r="D33" s="417">
        <f t="shared" si="33"/>
        <v>43.822000000000003</v>
      </c>
      <c r="E33" s="417">
        <f t="shared" si="33"/>
        <v>44.417999999999999</v>
      </c>
      <c r="F33" s="418">
        <f t="shared" si="33"/>
        <v>41.15</v>
      </c>
      <c r="G33" s="419">
        <f t="shared" si="33"/>
        <v>37.081000000000003</v>
      </c>
      <c r="H33" s="419">
        <f t="shared" si="33"/>
        <v>34.759</v>
      </c>
      <c r="I33" s="419">
        <f t="shared" si="33"/>
        <v>32.585999999999999</v>
      </c>
      <c r="J33" s="418">
        <f t="shared" si="33"/>
        <v>8.020999999999999</v>
      </c>
      <c r="K33" s="417">
        <f t="shared" si="33"/>
        <v>29.498999999999999</v>
      </c>
      <c r="L33" s="417">
        <f t="shared" si="33"/>
        <v>32.861999999999995</v>
      </c>
      <c r="M33" s="417">
        <f t="shared" si="33"/>
        <v>29.405999999999999</v>
      </c>
      <c r="N33" s="417"/>
      <c r="O33" s="417">
        <f t="shared" si="33"/>
        <v>156.22899999999998</v>
      </c>
      <c r="P33" s="417">
        <f t="shared" si="33"/>
        <v>160.78200000000001</v>
      </c>
      <c r="Q33" s="417">
        <f t="shared" si="26"/>
        <v>112.447</v>
      </c>
      <c r="R33" s="417"/>
      <c r="S33" s="417">
        <f t="shared" si="27"/>
        <v>145.57599999999999</v>
      </c>
      <c r="T33" s="417">
        <f t="shared" si="28"/>
        <v>99.787999999999982</v>
      </c>
    </row>
    <row r="34" spans="1:20" ht="13" x14ac:dyDescent="0.25">
      <c r="A34" s="408"/>
      <c r="C34" s="417"/>
      <c r="D34" s="417"/>
      <c r="E34" s="417"/>
      <c r="F34" s="418"/>
      <c r="G34" s="419"/>
      <c r="H34" s="419"/>
      <c r="I34" s="419"/>
      <c r="J34" s="418"/>
      <c r="K34" s="417"/>
      <c r="L34" s="417"/>
      <c r="M34" s="417"/>
      <c r="N34" s="417"/>
      <c r="O34" s="417"/>
      <c r="P34" s="417"/>
      <c r="Q34" s="417"/>
      <c r="R34" s="417"/>
    </row>
    <row r="35" spans="1:20" ht="13" x14ac:dyDescent="0.3">
      <c r="A35" s="424" t="s">
        <v>121</v>
      </c>
      <c r="F35" s="407"/>
      <c r="J35" s="407"/>
      <c r="M35" s="437"/>
    </row>
    <row r="36" spans="1:20" s="430" customFormat="1" ht="13" x14ac:dyDescent="0.3">
      <c r="A36" s="434" t="str">
        <f>+A27</f>
        <v>Employer Services</v>
      </c>
      <c r="F36" s="435"/>
      <c r="G36" s="439">
        <f>++G27/C27-1</f>
        <v>-0.13576989048687149</v>
      </c>
      <c r="H36" s="439">
        <f t="shared" ref="H36:H42" si="34">++H27/D27-1</f>
        <v>-0.33484688489968328</v>
      </c>
      <c r="I36" s="439">
        <f t="shared" ref="I36:I42" si="35">++I27/E27-1</f>
        <v>7.224870017331031E-2</v>
      </c>
      <c r="J36" s="440">
        <f t="shared" ref="J36:J42" si="36">++J27/F27-1</f>
        <v>-0.49434644957033014</v>
      </c>
      <c r="K36" s="439">
        <f t="shared" ref="K36:K42" si="37">++K27/G27-1</f>
        <v>-0.53969465648854964</v>
      </c>
      <c r="L36" s="439">
        <f t="shared" ref="L36:L42" si="38">++L27/H27-1</f>
        <v>2.4448325130973059E-2</v>
      </c>
      <c r="M36" s="439">
        <f t="shared" ref="M36:M42" si="39">++M27/I27-1</f>
        <v>-0.22214365087382582</v>
      </c>
      <c r="P36" s="439">
        <f>+P27/O27-1</f>
        <v>0.3954973711140124</v>
      </c>
      <c r="Q36" s="439">
        <f t="shared" ref="Q36" si="40">+Q27/P27-1</f>
        <v>-0.25516474068829476</v>
      </c>
      <c r="R36" s="439"/>
      <c r="S36" s="439"/>
      <c r="T36" s="439">
        <f t="shared" ref="T36:T42" si="41">+T27/S27-1</f>
        <v>-0.33703559726772925</v>
      </c>
    </row>
    <row r="37" spans="1:20" ht="13" x14ac:dyDescent="0.3">
      <c r="A37" s="425" t="str">
        <f t="shared" ref="A37:A42" si="42">+A28</f>
        <v>Data Services</v>
      </c>
      <c r="F37" s="407"/>
      <c r="G37" s="441">
        <f t="shared" ref="G37:G42" si="43">++G28/C28-1</f>
        <v>-0.52450682852807284</v>
      </c>
      <c r="H37" s="441">
        <f t="shared" si="34"/>
        <v>-0.49828726200908158</v>
      </c>
      <c r="I37" s="441">
        <f t="shared" si="35"/>
        <v>-0.41632424355621966</v>
      </c>
      <c r="J37" s="442">
        <f t="shared" si="36"/>
        <v>-2.0437566702241199</v>
      </c>
      <c r="K37" s="441">
        <f t="shared" si="37"/>
        <v>0.30062230732407857</v>
      </c>
      <c r="L37" s="441">
        <f t="shared" si="38"/>
        <v>-0.2727850111146396</v>
      </c>
      <c r="M37" s="441">
        <f t="shared" si="39"/>
        <v>-3.5999999999999921E-2</v>
      </c>
      <c r="P37" s="441">
        <f t="shared" ref="P37:Q37" si="44">+P28/O28-1</f>
        <v>-0.12901179502428362</v>
      </c>
      <c r="Q37" s="441">
        <f t="shared" si="44"/>
        <v>-0.74984637094020989</v>
      </c>
      <c r="R37" s="441"/>
      <c r="S37" s="441"/>
      <c r="T37" s="441">
        <f t="shared" si="41"/>
        <v>-0.58450838052525556</v>
      </c>
    </row>
    <row r="38" spans="1:20" ht="13" x14ac:dyDescent="0.3">
      <c r="A38" s="425" t="str">
        <f t="shared" si="42"/>
        <v>Multifamily Services</v>
      </c>
      <c r="F38" s="407"/>
      <c r="G38" s="441">
        <f t="shared" si="43"/>
        <v>0.11980306345733038</v>
      </c>
      <c r="H38" s="441">
        <f t="shared" si="34"/>
        <v>0.13398553806890678</v>
      </c>
      <c r="I38" s="441">
        <f t="shared" si="35"/>
        <v>0.11404594854863093</v>
      </c>
      <c r="J38" s="442">
        <f t="shared" si="36"/>
        <v>0.26008119079837599</v>
      </c>
      <c r="K38" s="441">
        <f t="shared" si="37"/>
        <v>0.1685393258426966</v>
      </c>
      <c r="L38" s="441">
        <f t="shared" si="38"/>
        <v>0.13628407101775442</v>
      </c>
      <c r="M38" s="441">
        <f t="shared" si="39"/>
        <v>8.79229439367748E-2</v>
      </c>
      <c r="P38" s="441">
        <f t="shared" ref="P38:Q38" si="45">+P29/O29-1</f>
        <v>0.19597964376590338</v>
      </c>
      <c r="Q38" s="441">
        <f t="shared" si="45"/>
        <v>0.14433428364750434</v>
      </c>
      <c r="R38" s="441"/>
      <c r="S38" s="441"/>
      <c r="T38" s="441">
        <f t="shared" si="41"/>
        <v>0.14645997223507656</v>
      </c>
    </row>
    <row r="39" spans="1:20" ht="13" x14ac:dyDescent="0.3">
      <c r="A39" s="425" t="str">
        <f t="shared" si="42"/>
        <v>Investigative and Litigation Support Services</v>
      </c>
      <c r="F39" s="407"/>
      <c r="G39" s="441">
        <f t="shared" si="43"/>
        <v>1.7803296406376661</v>
      </c>
      <c r="H39" s="441">
        <f t="shared" si="34"/>
        <v>0.46016005567153795</v>
      </c>
      <c r="I39" s="441">
        <f t="shared" si="35"/>
        <v>-0.41989664082687339</v>
      </c>
      <c r="J39" s="442">
        <f t="shared" si="36"/>
        <v>-0.54016163615371926</v>
      </c>
      <c r="K39" s="441">
        <f t="shared" si="37"/>
        <v>-0.81817298347910594</v>
      </c>
      <c r="L39" s="441">
        <f t="shared" si="38"/>
        <v>-0.88121053258667936</v>
      </c>
      <c r="M39" s="441">
        <f t="shared" si="39"/>
        <v>-0.71311247216035634</v>
      </c>
      <c r="P39" s="441">
        <f t="shared" ref="P39:Q39" si="46">+P30/O30-1</f>
        <v>1.6927269057390837</v>
      </c>
      <c r="Q39" s="441">
        <f t="shared" si="46"/>
        <v>-0.14469541752036374</v>
      </c>
      <c r="R39" s="441"/>
      <c r="S39" s="441"/>
      <c r="T39" s="441">
        <f t="shared" si="41"/>
        <v>-0.69827038314871981</v>
      </c>
    </row>
    <row r="40" spans="1:20" ht="13" x14ac:dyDescent="0.3">
      <c r="A40" s="425" t="str">
        <f t="shared" si="42"/>
        <v>Corporate</v>
      </c>
      <c r="F40" s="407"/>
      <c r="G40" s="441">
        <f t="shared" si="43"/>
        <v>-0.42403372320845467</v>
      </c>
      <c r="H40" s="441">
        <f t="shared" si="34"/>
        <v>-7.8212290502793214E-2</v>
      </c>
      <c r="I40" s="441">
        <f t="shared" si="35"/>
        <v>-5.9605911330049222E-2</v>
      </c>
      <c r="J40" s="442">
        <f t="shared" si="36"/>
        <v>-0.19379931103455939</v>
      </c>
      <c r="K40" s="441">
        <f t="shared" si="37"/>
        <v>-0.28770229873208941</v>
      </c>
      <c r="L40" s="441">
        <f t="shared" si="38"/>
        <v>-5.5061250805931605E-2</v>
      </c>
      <c r="M40" s="441">
        <f t="shared" si="39"/>
        <v>0.2063907805133578</v>
      </c>
      <c r="P40" s="441">
        <f t="shared" ref="P40:Q40" si="47">+P31/O31-1</f>
        <v>0.1845194834237156</v>
      </c>
      <c r="Q40" s="441">
        <f t="shared" si="47"/>
        <v>-0.23664896755162235</v>
      </c>
      <c r="R40" s="441"/>
      <c r="S40" s="441"/>
      <c r="T40" s="441">
        <f t="shared" si="41"/>
        <v>-9.9322401806928307E-2</v>
      </c>
    </row>
    <row r="41" spans="1:20" ht="13" x14ac:dyDescent="0.3">
      <c r="A41" s="425" t="str">
        <f t="shared" si="42"/>
        <v>Credit Services</v>
      </c>
      <c r="F41" s="407"/>
      <c r="G41" s="443">
        <f t="shared" si="43"/>
        <v>-4.1386474222295022E-2</v>
      </c>
      <c r="H41" s="443">
        <f t="shared" si="34"/>
        <v>-0.22313479983918216</v>
      </c>
      <c r="I41" s="443">
        <f t="shared" si="35"/>
        <v>-0.32089609887987647</v>
      </c>
      <c r="J41" s="444">
        <f t="shared" si="36"/>
        <v>-0.55057976809276288</v>
      </c>
      <c r="K41" s="443">
        <f t="shared" si="37"/>
        <v>-7.6308885593703746E-2</v>
      </c>
      <c r="L41" s="443">
        <f t="shared" si="38"/>
        <v>0.41002513677362118</v>
      </c>
      <c r="M41" s="443">
        <f t="shared" si="39"/>
        <v>0.59504038220907751</v>
      </c>
      <c r="P41" s="443">
        <f t="shared" ref="P41:Q41" si="48">+P32/O32-1</f>
        <v>-0.28658552079892263</v>
      </c>
      <c r="Q41" s="443">
        <f t="shared" si="48"/>
        <v>-0.23022261798753341</v>
      </c>
      <c r="R41" s="443"/>
      <c r="S41" s="443"/>
      <c r="T41" s="443">
        <f t="shared" si="41"/>
        <v>0.11209190353507625</v>
      </c>
    </row>
    <row r="42" spans="1:20" s="163" customFormat="1" ht="13" x14ac:dyDescent="0.3">
      <c r="A42" s="427" t="str">
        <f t="shared" si="42"/>
        <v>Total EBITDA</v>
      </c>
      <c r="F42" s="423"/>
      <c r="G42" s="445">
        <f t="shared" si="43"/>
        <v>0.18122451580020393</v>
      </c>
      <c r="H42" s="445">
        <f t="shared" si="34"/>
        <v>-0.20681392907671947</v>
      </c>
      <c r="I42" s="445">
        <f t="shared" si="35"/>
        <v>-0.26637849520464674</v>
      </c>
      <c r="J42" s="446">
        <f t="shared" si="36"/>
        <v>-0.80507897934386397</v>
      </c>
      <c r="K42" s="445">
        <f t="shared" si="37"/>
        <v>-0.20447129257571273</v>
      </c>
      <c r="L42" s="445">
        <f t="shared" si="38"/>
        <v>-5.4575793319715959E-2</v>
      </c>
      <c r="M42" s="445">
        <f t="shared" si="39"/>
        <v>-9.7587921193150406E-2</v>
      </c>
      <c r="P42" s="445">
        <f t="shared" ref="P42:Q42" si="49">+P33/O33-1</f>
        <v>2.9143116834902782E-2</v>
      </c>
      <c r="Q42" s="445">
        <f t="shared" si="49"/>
        <v>-0.30062444801034949</v>
      </c>
      <c r="R42" s="445"/>
      <c r="S42" s="445"/>
      <c r="T42" s="445">
        <f t="shared" si="41"/>
        <v>-0.31452986756058698</v>
      </c>
    </row>
    <row r="43" spans="1:20" ht="13" x14ac:dyDescent="0.25">
      <c r="A43" s="408"/>
      <c r="C43" s="417"/>
      <c r="D43" s="417"/>
      <c r="E43" s="417"/>
      <c r="F43" s="418"/>
      <c r="G43" s="419"/>
      <c r="H43" s="419"/>
      <c r="I43" s="419"/>
      <c r="J43" s="418"/>
      <c r="K43" s="417"/>
      <c r="L43" s="417"/>
      <c r="M43" s="417"/>
      <c r="N43" s="417"/>
      <c r="O43" s="417"/>
      <c r="P43" s="417"/>
      <c r="Q43" s="417"/>
      <c r="R43" s="417"/>
      <c r="S43" s="417"/>
      <c r="T43" s="417"/>
    </row>
    <row r="44" spans="1:20" ht="13" x14ac:dyDescent="0.3">
      <c r="A44" s="424" t="s">
        <v>127</v>
      </c>
      <c r="F44" s="407"/>
      <c r="J44" s="407"/>
    </row>
    <row r="45" spans="1:20" s="430" customFormat="1" ht="13" x14ac:dyDescent="0.3">
      <c r="A45" s="434" t="str">
        <f>+A36</f>
        <v>Employer Services</v>
      </c>
      <c r="C45" s="439">
        <f t="shared" ref="C45:F45" si="50">+C27/C9</f>
        <v>0.13856082489304911</v>
      </c>
      <c r="D45" s="439">
        <f t="shared" si="50"/>
        <v>0.15369634017690498</v>
      </c>
      <c r="E45" s="439">
        <f t="shared" si="50"/>
        <v>0.14704851709088593</v>
      </c>
      <c r="F45" s="440">
        <f t="shared" si="50"/>
        <v>0.2053751122395269</v>
      </c>
      <c r="G45" s="439">
        <f>+G27/G9</f>
        <v>0.11594562061884871</v>
      </c>
      <c r="H45" s="439">
        <f t="shared" ref="H45:Q45" si="51">+H27/H9</f>
        <v>0.10909815196494448</v>
      </c>
      <c r="I45" s="439">
        <f t="shared" si="51"/>
        <v>0.17358444245708174</v>
      </c>
      <c r="J45" s="440">
        <f t="shared" si="51"/>
        <v>0.13359888468432582</v>
      </c>
      <c r="K45" s="439">
        <f t="shared" si="51"/>
        <v>7.6226834879781574E-2</v>
      </c>
      <c r="L45" s="439">
        <f t="shared" si="51"/>
        <v>0.1521539223314706</v>
      </c>
      <c r="M45" s="439">
        <f t="shared" si="51"/>
        <v>0.1755225785862454</v>
      </c>
      <c r="P45" s="439">
        <f t="shared" si="51"/>
        <v>0.16228471535440664</v>
      </c>
      <c r="Q45" s="439">
        <f t="shared" si="51"/>
        <v>0.13300461470383718</v>
      </c>
      <c r="R45" s="439"/>
      <c r="S45" s="439">
        <f t="shared" ref="S45:T45" si="52">+S27/S9</f>
        <v>0.1526987492050032</v>
      </c>
      <c r="T45" s="439">
        <f t="shared" si="52"/>
        <v>0.1356259550223525</v>
      </c>
    </row>
    <row r="46" spans="1:20" ht="13" x14ac:dyDescent="0.3">
      <c r="A46" s="425" t="str">
        <f t="shared" ref="A46:A51" si="53">+A37</f>
        <v>Data Services</v>
      </c>
      <c r="C46" s="441">
        <f t="shared" ref="C46:Q46" si="54">+C28/C10</f>
        <v>0.39113274178710267</v>
      </c>
      <c r="D46" s="441">
        <f t="shared" si="54"/>
        <v>0.28717514641288433</v>
      </c>
      <c r="E46" s="441">
        <f t="shared" si="54"/>
        <v>0.2654305686381439</v>
      </c>
      <c r="F46" s="442">
        <f t="shared" si="54"/>
        <v>0.20171685369069722</v>
      </c>
      <c r="G46" s="441">
        <f t="shared" si="54"/>
        <v>0.20037728609796648</v>
      </c>
      <c r="H46" s="441">
        <f t="shared" si="54"/>
        <v>0.2003244378001845</v>
      </c>
      <c r="I46" s="441">
        <f t="shared" si="54"/>
        <v>0.1856527550868855</v>
      </c>
      <c r="J46" s="442">
        <f t="shared" si="54"/>
        <v>-0.11255448621121228</v>
      </c>
      <c r="K46" s="441">
        <f t="shared" si="54"/>
        <v>0.1150491192411924</v>
      </c>
      <c r="L46" s="441">
        <f t="shared" si="54"/>
        <v>0.11333267346332773</v>
      </c>
      <c r="M46" s="441">
        <f t="shared" si="54"/>
        <v>0.16066238233647104</v>
      </c>
      <c r="P46" s="441">
        <f t="shared" si="54"/>
        <v>0.28362554224333819</v>
      </c>
      <c r="Q46" s="441">
        <f t="shared" si="54"/>
        <v>6.6253548974338869E-2</v>
      </c>
      <c r="R46" s="441"/>
      <c r="S46" s="441">
        <f t="shared" ref="S46:T46" si="55">+S28/S10</f>
        <v>0.19702563257726091</v>
      </c>
      <c r="T46" s="441">
        <f t="shared" si="55"/>
        <v>5.0083839577778393E-2</v>
      </c>
    </row>
    <row r="47" spans="1:20" ht="13" x14ac:dyDescent="0.3">
      <c r="A47" s="425" t="str">
        <f t="shared" si="53"/>
        <v>Multifamily Services</v>
      </c>
      <c r="C47" s="441">
        <f t="shared" ref="C47:Q47" si="56">+C29/C11</f>
        <v>0.3115024140869071</v>
      </c>
      <c r="D47" s="441">
        <f t="shared" si="56"/>
        <v>0.35845700345598702</v>
      </c>
      <c r="E47" s="441">
        <f t="shared" si="56"/>
        <v>0.3690035027158739</v>
      </c>
      <c r="F47" s="442">
        <f t="shared" si="56"/>
        <v>0.24156642259414229</v>
      </c>
      <c r="G47" s="441">
        <f t="shared" si="56"/>
        <v>0.33467763910839826</v>
      </c>
      <c r="H47" s="441">
        <f t="shared" si="56"/>
        <v>0.40018012608826176</v>
      </c>
      <c r="I47" s="441">
        <f t="shared" si="56"/>
        <v>0.41102426149629473</v>
      </c>
      <c r="J47" s="442">
        <f t="shared" si="56"/>
        <v>0.30431372549019603</v>
      </c>
      <c r="K47" s="441">
        <f t="shared" si="56"/>
        <v>0.40082667709322461</v>
      </c>
      <c r="L47" s="441">
        <f t="shared" si="56"/>
        <v>0.46167132334264666</v>
      </c>
      <c r="M47" s="441">
        <f t="shared" si="56"/>
        <v>0.44318124654157653</v>
      </c>
      <c r="P47" s="441">
        <f t="shared" si="56"/>
        <v>0.32515634512147867</v>
      </c>
      <c r="Q47" s="441">
        <f t="shared" si="56"/>
        <v>0.36670439205312455</v>
      </c>
      <c r="R47" s="441"/>
      <c r="S47" s="441">
        <f t="shared" ref="S47:T47" si="57">+S29/S11</f>
        <v>0.3536197891808599</v>
      </c>
      <c r="T47" s="441">
        <f t="shared" si="57"/>
        <v>0.40856432173924995</v>
      </c>
    </row>
    <row r="48" spans="1:20" ht="13" x14ac:dyDescent="0.3">
      <c r="A48" s="425" t="str">
        <f t="shared" si="53"/>
        <v>Investigative and Litigation Support Services</v>
      </c>
      <c r="C48" s="441">
        <f t="shared" ref="C48:Q48" si="58">+C30/C12</f>
        <v>0.30033271119045685</v>
      </c>
      <c r="D48" s="441">
        <f t="shared" si="58"/>
        <v>0.36490604367699342</v>
      </c>
      <c r="E48" s="441">
        <f t="shared" si="58"/>
        <v>0.49822980366913422</v>
      </c>
      <c r="F48" s="442">
        <f t="shared" si="58"/>
        <v>0.53831128473763645</v>
      </c>
      <c r="G48" s="441">
        <f t="shared" si="58"/>
        <v>0.4378164489639621</v>
      </c>
      <c r="H48" s="441">
        <f t="shared" si="58"/>
        <v>0.3963074889035792</v>
      </c>
      <c r="I48" s="441">
        <f t="shared" si="58"/>
        <v>0.38623655913978494</v>
      </c>
      <c r="J48" s="442">
        <f t="shared" si="58"/>
        <v>0.45352998590174604</v>
      </c>
      <c r="K48" s="441">
        <f t="shared" si="58"/>
        <v>0.15955995224287906</v>
      </c>
      <c r="L48" s="441">
        <f t="shared" si="58"/>
        <v>0.11467678858983206</v>
      </c>
      <c r="M48" s="441">
        <f t="shared" si="58"/>
        <v>0.2102203182374541</v>
      </c>
      <c r="P48" s="441">
        <f t="shared" si="58"/>
        <v>0.46150830258302583</v>
      </c>
      <c r="Q48" s="441">
        <f t="shared" si="58"/>
        <v>0.41886616986650027</v>
      </c>
      <c r="R48" s="441"/>
      <c r="S48" s="441">
        <f t="shared" ref="S48:T48" si="59">+S30/S12</f>
        <v>0.45385804058926549</v>
      </c>
      <c r="T48" s="441">
        <f t="shared" si="59"/>
        <v>0.27314757736407347</v>
      </c>
    </row>
    <row r="49" spans="1:20" ht="13" x14ac:dyDescent="0.3">
      <c r="A49" s="425" t="str">
        <f t="shared" si="53"/>
        <v>Corporate</v>
      </c>
      <c r="C49" s="441">
        <f t="shared" ref="C49:Q49" si="60">+C31/C13</f>
        <v>14.035833333333334</v>
      </c>
      <c r="D49" s="441">
        <f t="shared" si="60"/>
        <v>4.6738888888888885</v>
      </c>
      <c r="E49" s="441">
        <f t="shared" si="60"/>
        <v>5.8</v>
      </c>
      <c r="F49" s="442">
        <f t="shared" si="60"/>
        <v>5.9993333333333334</v>
      </c>
      <c r="G49" s="441">
        <f t="shared" si="60"/>
        <v>4.4095454545454533</v>
      </c>
      <c r="H49" s="441">
        <f t="shared" si="60"/>
        <v>4.3083333333333336</v>
      </c>
      <c r="I49" s="441">
        <f t="shared" si="60"/>
        <v>5.0906666666666665</v>
      </c>
      <c r="J49" s="442">
        <f t="shared" si="60"/>
        <v>5.5807692307692314</v>
      </c>
      <c r="K49" s="441">
        <f t="shared" si="60"/>
        <v>4.9357142857142859</v>
      </c>
      <c r="L49" s="441">
        <f t="shared" si="60"/>
        <v>5.636923076923078</v>
      </c>
      <c r="M49" s="441">
        <f t="shared" si="60"/>
        <v>7.6766666666666667</v>
      </c>
      <c r="P49" s="441">
        <f t="shared" si="60"/>
        <v>7.1822033898305078</v>
      </c>
      <c r="Q49" s="441">
        <f t="shared" si="60"/>
        <v>4.7569117647058823</v>
      </c>
      <c r="R49" s="441"/>
      <c r="S49" s="441">
        <f t="shared" ref="S49:T49" si="61">+S31/S13</f>
        <v>4.8701428571428567</v>
      </c>
      <c r="T49" s="441">
        <f t="shared" si="61"/>
        <v>5.9048076923076929</v>
      </c>
    </row>
    <row r="50" spans="1:20" ht="13" x14ac:dyDescent="0.3">
      <c r="A50" s="425" t="str">
        <f t="shared" si="53"/>
        <v>Credit Services</v>
      </c>
      <c r="C50" s="443">
        <f t="shared" ref="C50:Q50" si="62">+C32/C14</f>
        <v>0.24734948882998861</v>
      </c>
      <c r="D50" s="443">
        <f t="shared" si="62"/>
        <v>0.24463615798569641</v>
      </c>
      <c r="E50" s="443">
        <f t="shared" si="62"/>
        <v>0.20784496323175236</v>
      </c>
      <c r="F50" s="444">
        <f t="shared" si="62"/>
        <v>0.14707438988532784</v>
      </c>
      <c r="G50" s="443">
        <f t="shared" si="62"/>
        <v>0.23409254759552484</v>
      </c>
      <c r="H50" s="443">
        <f t="shared" si="62"/>
        <v>0.20192881882240538</v>
      </c>
      <c r="I50" s="443">
        <f t="shared" si="62"/>
        <v>0.14450087939904993</v>
      </c>
      <c r="J50" s="444">
        <f t="shared" si="62"/>
        <v>8.0964271993853254E-2</v>
      </c>
      <c r="K50" s="443">
        <f t="shared" si="62"/>
        <v>0.25141650755211975</v>
      </c>
      <c r="L50" s="443">
        <f t="shared" si="62"/>
        <v>0.28007518796992481</v>
      </c>
      <c r="M50" s="443">
        <f t="shared" si="62"/>
        <v>0.23500821238226127</v>
      </c>
      <c r="P50" s="443">
        <f t="shared" si="62"/>
        <v>0.21728530741130575</v>
      </c>
      <c r="Q50" s="443">
        <f t="shared" si="62"/>
        <v>0.17687450638578225</v>
      </c>
      <c r="R50" s="443"/>
      <c r="S50" s="443">
        <f t="shared" ref="S50:T50" si="63">+S32/S14</f>
        <v>0.18662557441140074</v>
      </c>
      <c r="T50" s="443">
        <f t="shared" si="63"/>
        <v>0.2252158628741516</v>
      </c>
    </row>
    <row r="51" spans="1:20" s="163" customFormat="1" ht="13" x14ac:dyDescent="0.3">
      <c r="A51" s="427" t="str">
        <f t="shared" si="53"/>
        <v>Total EBITDA</v>
      </c>
      <c r="C51" s="445">
        <f t="shared" ref="C51:Q51" si="64">+C33/C15</f>
        <v>0.16429494795128513</v>
      </c>
      <c r="D51" s="445">
        <f t="shared" si="64"/>
        <v>0.20855105984028635</v>
      </c>
      <c r="E51" s="445">
        <f t="shared" si="64"/>
        <v>0.21297366238174922</v>
      </c>
      <c r="F51" s="446">
        <f t="shared" si="64"/>
        <v>0.2053854408425046</v>
      </c>
      <c r="G51" s="445">
        <f t="shared" si="64"/>
        <v>0.18327715226223545</v>
      </c>
      <c r="H51" s="445">
        <f t="shared" si="64"/>
        <v>0.17777357255375301</v>
      </c>
      <c r="I51" s="445">
        <f t="shared" si="64"/>
        <v>0.17302515252401354</v>
      </c>
      <c r="J51" s="446">
        <f t="shared" si="64"/>
        <v>4.1385252795220123E-2</v>
      </c>
      <c r="K51" s="445">
        <f t="shared" si="64"/>
        <v>0.14528020330068112</v>
      </c>
      <c r="L51" s="445">
        <f t="shared" si="64"/>
        <v>0.18462005191069558</v>
      </c>
      <c r="M51" s="445">
        <f t="shared" si="64"/>
        <v>0.17346728095375738</v>
      </c>
      <c r="P51" s="445">
        <f t="shared" si="64"/>
        <v>0.19846860870026775</v>
      </c>
      <c r="Q51" s="445">
        <f t="shared" si="64"/>
        <v>0.14416466877780484</v>
      </c>
      <c r="R51" s="445"/>
      <c r="S51" s="445">
        <f t="shared" ref="S51:T51" si="65">+S33/S15</f>
        <v>0.18508592148825476</v>
      </c>
      <c r="T51" s="445">
        <f t="shared" si="65"/>
        <v>0.13405536695688619</v>
      </c>
    </row>
    <row r="52" spans="1:20" ht="13" x14ac:dyDescent="0.25">
      <c r="A52" s="408"/>
      <c r="C52" s="417"/>
      <c r="D52" s="417"/>
      <c r="E52" s="417"/>
      <c r="F52" s="418"/>
      <c r="G52" s="419"/>
      <c r="H52" s="419"/>
      <c r="I52" s="419"/>
      <c r="J52" s="418"/>
      <c r="K52" s="417"/>
      <c r="L52" s="417"/>
      <c r="M52" s="417"/>
      <c r="N52" s="417"/>
      <c r="O52" s="417"/>
      <c r="P52" s="417"/>
      <c r="Q52" s="417"/>
      <c r="R52" s="417"/>
      <c r="S52" s="417"/>
      <c r="T52" s="417"/>
    </row>
    <row r="53" spans="1:20" ht="13" x14ac:dyDescent="0.25">
      <c r="A53" s="408"/>
      <c r="C53" s="417"/>
      <c r="D53" s="417"/>
      <c r="E53" s="417"/>
      <c r="F53" s="418"/>
      <c r="G53" s="419"/>
      <c r="H53" s="419"/>
      <c r="I53" s="419"/>
      <c r="J53" s="418"/>
      <c r="K53" s="417"/>
      <c r="L53" s="417"/>
      <c r="M53" s="417"/>
      <c r="N53" s="417"/>
      <c r="O53" s="417"/>
      <c r="P53" s="417"/>
      <c r="Q53" s="417"/>
      <c r="R53" s="417"/>
      <c r="S53" s="417"/>
      <c r="T53" s="417"/>
    </row>
    <row r="54" spans="1:20" ht="13" x14ac:dyDescent="0.25">
      <c r="A54" s="408"/>
      <c r="C54" s="417"/>
      <c r="D54" s="417"/>
      <c r="E54" s="417"/>
      <c r="F54" s="418"/>
      <c r="G54" s="419"/>
      <c r="H54" s="419"/>
      <c r="I54" s="419"/>
      <c r="J54" s="418"/>
      <c r="K54" s="417"/>
      <c r="L54" s="417"/>
      <c r="M54" s="417"/>
      <c r="N54" s="417"/>
      <c r="O54" s="417"/>
      <c r="P54" s="417"/>
      <c r="Q54" s="417"/>
      <c r="R54" s="417"/>
      <c r="S54" s="417"/>
      <c r="T54" s="417"/>
    </row>
    <row r="55" spans="1:20" x14ac:dyDescent="0.25">
      <c r="F55" s="407"/>
      <c r="J55" s="407"/>
    </row>
    <row r="56" spans="1:20" s="430" customFormat="1" ht="81.650000000000006" customHeight="1" x14ac:dyDescent="0.25">
      <c r="A56" s="429" t="s">
        <v>1380</v>
      </c>
      <c r="C56" s="2369" t="s">
        <v>1387</v>
      </c>
      <c r="D56" s="2369"/>
      <c r="E56" s="2369"/>
      <c r="F56" s="2369"/>
      <c r="G56" s="2369"/>
      <c r="H56" s="2369"/>
      <c r="I56" s="2369"/>
      <c r="J56" s="2369"/>
      <c r="K56" s="2369"/>
      <c r="L56" s="2369"/>
      <c r="M56" s="2369"/>
      <c r="N56" s="2369"/>
      <c r="O56" s="2369"/>
      <c r="P56" s="2369"/>
      <c r="Q56" s="2369"/>
      <c r="R56" s="436"/>
      <c r="S56" s="436"/>
      <c r="T56" s="436"/>
    </row>
    <row r="57" spans="1:20" ht="33" customHeight="1" x14ac:dyDescent="0.25">
      <c r="A57" s="409" t="s">
        <v>1381</v>
      </c>
      <c r="C57" s="2368" t="s">
        <v>1388</v>
      </c>
      <c r="D57" s="2368"/>
      <c r="E57" s="2368"/>
      <c r="F57" s="2368"/>
      <c r="G57" s="2368"/>
      <c r="H57" s="2368"/>
      <c r="I57" s="2368"/>
      <c r="J57" s="2368"/>
      <c r="K57" s="2368"/>
      <c r="L57" s="2368"/>
      <c r="M57" s="2368"/>
      <c r="N57" s="2368"/>
      <c r="O57" s="2368"/>
      <c r="P57" s="2368"/>
      <c r="Q57" s="2368"/>
      <c r="R57" s="420"/>
      <c r="S57" s="420"/>
      <c r="T57" s="420"/>
    </row>
    <row r="58" spans="1:20" ht="32.15" customHeight="1" x14ac:dyDescent="0.25">
      <c r="A58" s="409" t="s">
        <v>1382</v>
      </c>
      <c r="C58" s="2368" t="s">
        <v>1389</v>
      </c>
      <c r="D58" s="2368"/>
      <c r="E58" s="2368"/>
      <c r="F58" s="2368"/>
      <c r="G58" s="2368"/>
      <c r="H58" s="2368"/>
      <c r="I58" s="2368"/>
      <c r="J58" s="2368"/>
      <c r="K58" s="2368"/>
      <c r="L58" s="2368"/>
      <c r="M58" s="2368"/>
      <c r="N58" s="2368"/>
      <c r="O58" s="2368"/>
      <c r="P58" s="2368"/>
      <c r="Q58" s="2368"/>
      <c r="R58" s="420"/>
      <c r="S58" s="420"/>
      <c r="T58" s="420"/>
    </row>
    <row r="59" spans="1:20" ht="37.5" customHeight="1" x14ac:dyDescent="0.25">
      <c r="A59" s="422" t="s">
        <v>1383</v>
      </c>
      <c r="C59" s="2368" t="s">
        <v>1390</v>
      </c>
      <c r="D59" s="2368"/>
      <c r="E59" s="2368"/>
      <c r="F59" s="2368"/>
      <c r="G59" s="2368"/>
      <c r="H59" s="2368"/>
      <c r="I59" s="2368"/>
      <c r="J59" s="2368"/>
      <c r="K59" s="2368"/>
      <c r="L59" s="2368"/>
      <c r="M59" s="2368"/>
      <c r="N59" s="2368"/>
      <c r="O59" s="2368"/>
      <c r="P59" s="2368"/>
      <c r="Q59" s="2368"/>
      <c r="R59" s="420"/>
      <c r="S59" s="420"/>
      <c r="T59" s="420"/>
    </row>
    <row r="60" spans="1:20" ht="32.5" customHeight="1" x14ac:dyDescent="0.25">
      <c r="A60" s="409" t="s">
        <v>1385</v>
      </c>
      <c r="C60" s="2368" t="s">
        <v>1391</v>
      </c>
      <c r="D60" s="2368"/>
      <c r="E60" s="2368"/>
      <c r="F60" s="2368"/>
      <c r="G60" s="2368"/>
      <c r="H60" s="2368"/>
      <c r="I60" s="2368"/>
      <c r="J60" s="2368"/>
      <c r="K60" s="2368"/>
      <c r="L60" s="2368"/>
      <c r="M60" s="2368"/>
      <c r="N60" s="2368"/>
      <c r="O60" s="2368"/>
      <c r="P60" s="2368"/>
      <c r="Q60" s="2368"/>
      <c r="R60" s="420"/>
      <c r="S60" s="420"/>
      <c r="T60" s="420"/>
    </row>
    <row r="61" spans="1:20" x14ac:dyDescent="0.25">
      <c r="F61" s="407"/>
      <c r="J61" s="407"/>
    </row>
    <row r="62" spans="1:20" x14ac:dyDescent="0.25">
      <c r="F62" s="407"/>
      <c r="J62" s="407"/>
    </row>
    <row r="63" spans="1:20" x14ac:dyDescent="0.25">
      <c r="F63" s="407"/>
      <c r="J63" s="407"/>
    </row>
    <row r="64" spans="1:20" x14ac:dyDescent="0.25">
      <c r="F64" s="407"/>
      <c r="J64" s="407"/>
    </row>
    <row r="65" spans="1:20" x14ac:dyDescent="0.25">
      <c r="F65" s="407"/>
      <c r="J65" s="407"/>
    </row>
    <row r="66" spans="1:20" x14ac:dyDescent="0.25">
      <c r="F66" s="407"/>
      <c r="J66" s="407"/>
    </row>
    <row r="67" spans="1:20" x14ac:dyDescent="0.25">
      <c r="F67" s="407"/>
      <c r="J67" s="407"/>
    </row>
    <row r="68" spans="1:20" ht="13" x14ac:dyDescent="0.25">
      <c r="A68" s="408" t="s">
        <v>1392</v>
      </c>
      <c r="B68" s="409"/>
      <c r="F68" s="407"/>
      <c r="J68" s="407"/>
    </row>
    <row r="69" spans="1:20" x14ac:dyDescent="0.25">
      <c r="A69" s="409" t="s">
        <v>1380</v>
      </c>
      <c r="C69" s="410">
        <v>5.1109999999999998</v>
      </c>
      <c r="D69" s="410">
        <v>6.7990000000000004</v>
      </c>
      <c r="E69" s="410">
        <v>6.55</v>
      </c>
      <c r="F69" s="411">
        <v>10.666</v>
      </c>
      <c r="G69" s="412">
        <v>3.4710000000000001</v>
      </c>
      <c r="H69" s="412">
        <v>3.004</v>
      </c>
      <c r="I69" s="412">
        <v>6.6440000000000001</v>
      </c>
      <c r="J69" s="411">
        <v>3.589</v>
      </c>
      <c r="K69" s="410">
        <v>-0.5</v>
      </c>
      <c r="L69" s="410">
        <v>2.681</v>
      </c>
      <c r="M69" s="410">
        <v>3.9289999999999998</v>
      </c>
      <c r="N69" s="410"/>
      <c r="O69" s="410">
        <v>19.832000000000001</v>
      </c>
      <c r="P69" s="410">
        <v>29.126000000000001</v>
      </c>
      <c r="Q69" s="410">
        <v>16.707999999999998</v>
      </c>
      <c r="R69" s="410"/>
      <c r="S69" s="410"/>
      <c r="T69" s="410"/>
    </row>
    <row r="70" spans="1:20" x14ac:dyDescent="0.25">
      <c r="A70" s="409" t="s">
        <v>1381</v>
      </c>
      <c r="C70" s="410">
        <v>10.685</v>
      </c>
      <c r="D70" s="410">
        <v>9.9760000000000009</v>
      </c>
      <c r="E70" s="410">
        <v>8.1120000000000001</v>
      </c>
      <c r="F70" s="411">
        <v>4.9139999999999997</v>
      </c>
      <c r="G70" s="412">
        <v>3.77</v>
      </c>
      <c r="H70" s="412">
        <v>3.7639999999999998</v>
      </c>
      <c r="I70" s="412">
        <v>3.68</v>
      </c>
      <c r="J70" s="411">
        <v>-10.6</v>
      </c>
      <c r="K70" s="410">
        <v>5.6459999999999999</v>
      </c>
      <c r="L70" s="410">
        <v>2.153</v>
      </c>
      <c r="M70" s="410">
        <v>3.59</v>
      </c>
      <c r="N70" s="410"/>
      <c r="O70" s="410">
        <v>40.113999999999997</v>
      </c>
      <c r="P70" s="410">
        <v>33.686999999999998</v>
      </c>
      <c r="Q70" s="410">
        <v>6.67</v>
      </c>
      <c r="R70" s="410"/>
      <c r="S70" s="410"/>
      <c r="T70" s="410"/>
    </row>
    <row r="71" spans="1:20" x14ac:dyDescent="0.25">
      <c r="A71" s="409" t="s">
        <v>1382</v>
      </c>
      <c r="C71" s="410">
        <v>4.3140000000000001</v>
      </c>
      <c r="D71" s="410">
        <v>5.8659999999999997</v>
      </c>
      <c r="E71" s="410">
        <v>6.0759999999999996</v>
      </c>
      <c r="F71" s="411">
        <v>2.3650000000000002</v>
      </c>
      <c r="G71" s="412">
        <v>4.7720000000000002</v>
      </c>
      <c r="H71" s="412">
        <v>6.569</v>
      </c>
      <c r="I71" s="412">
        <v>6.6539999999999999</v>
      </c>
      <c r="J71" s="411">
        <v>3.1509999999999998</v>
      </c>
      <c r="K71" s="410">
        <v>5.6740000000000004</v>
      </c>
      <c r="L71" s="410">
        <v>7.5789999999999997</v>
      </c>
      <c r="M71" s="410">
        <v>7.2679999999999998</v>
      </c>
      <c r="N71" s="410"/>
      <c r="O71" s="410">
        <v>15.128</v>
      </c>
      <c r="P71" s="410">
        <v>18.620999999999999</v>
      </c>
      <c r="Q71" s="410">
        <v>21.146000000000001</v>
      </c>
      <c r="R71" s="410"/>
      <c r="S71" s="410"/>
      <c r="T71" s="410"/>
    </row>
    <row r="72" spans="1:20" x14ac:dyDescent="0.25">
      <c r="A72" s="409" t="s">
        <v>1383</v>
      </c>
      <c r="C72" s="410">
        <v>2.9209999999999998</v>
      </c>
      <c r="D72" s="410">
        <v>5.0270000000000001</v>
      </c>
      <c r="E72" s="410">
        <v>11.663</v>
      </c>
      <c r="F72" s="411">
        <v>17.457000000000001</v>
      </c>
      <c r="G72" s="412">
        <v>9.5250000000000004</v>
      </c>
      <c r="H72" s="412">
        <v>7.5350000000000001</v>
      </c>
      <c r="I72" s="412">
        <v>6.3470000000000004</v>
      </c>
      <c r="J72" s="411">
        <v>7.6440000000000001</v>
      </c>
      <c r="K72" s="410">
        <v>1.1459999999999999</v>
      </c>
      <c r="L72" s="410">
        <v>0.27</v>
      </c>
      <c r="M72" s="410">
        <v>1.337</v>
      </c>
      <c r="N72" s="410"/>
      <c r="O72" s="410">
        <v>12.256</v>
      </c>
      <c r="P72" s="410">
        <v>37.067999999999998</v>
      </c>
      <c r="Q72" s="410">
        <v>31.050999999999998</v>
      </c>
      <c r="R72" s="410"/>
      <c r="S72" s="410"/>
      <c r="T72" s="410"/>
    </row>
    <row r="73" spans="1:20" x14ac:dyDescent="0.25">
      <c r="A73" s="409" t="s">
        <v>1384</v>
      </c>
      <c r="C73" s="410">
        <v>-17.5</v>
      </c>
      <c r="D73" s="410">
        <v>-9.1</v>
      </c>
      <c r="E73" s="410">
        <v>-9.1999999999999993</v>
      </c>
      <c r="F73" s="411">
        <v>-9.9</v>
      </c>
      <c r="G73" s="412">
        <v>-10.7</v>
      </c>
      <c r="H73" s="412">
        <v>-8.8000000000000007</v>
      </c>
      <c r="I73" s="412">
        <v>-8.6999999999999993</v>
      </c>
      <c r="J73" s="411">
        <v>-8.4</v>
      </c>
      <c r="K73" s="410">
        <v>-7.9</v>
      </c>
      <c r="L73" s="410">
        <v>-8.3000000000000007</v>
      </c>
      <c r="M73" s="410">
        <v>-10.199999999999999</v>
      </c>
      <c r="N73" s="410"/>
      <c r="O73" s="410">
        <v>-37.4</v>
      </c>
      <c r="P73" s="410">
        <v>-45.6</v>
      </c>
      <c r="Q73" s="410">
        <v>-36.6</v>
      </c>
      <c r="R73" s="410"/>
      <c r="S73" s="410"/>
      <c r="T73" s="410"/>
    </row>
    <row r="74" spans="1:20" s="413" customFormat="1" ht="14" x14ac:dyDescent="0.4">
      <c r="A74" s="409" t="s">
        <v>1385</v>
      </c>
      <c r="C74" s="414">
        <v>16.324000000000002</v>
      </c>
      <c r="D74" s="414">
        <v>15.429</v>
      </c>
      <c r="E74" s="414">
        <v>11.004000000000001</v>
      </c>
      <c r="F74" s="415">
        <v>5.5030000000000001</v>
      </c>
      <c r="G74" s="416">
        <v>16.347000000000001</v>
      </c>
      <c r="H74" s="416">
        <v>11.961</v>
      </c>
      <c r="I74" s="416">
        <v>7.0629999999999997</v>
      </c>
      <c r="J74" s="415">
        <v>3.5389999999999997</v>
      </c>
      <c r="K74" s="414">
        <v>14.747</v>
      </c>
      <c r="L74" s="414">
        <v>17.584</v>
      </c>
      <c r="M74" s="414">
        <v>12.489000000000001</v>
      </c>
      <c r="N74" s="414"/>
      <c r="O74" s="414">
        <v>70.715000000000003</v>
      </c>
      <c r="P74" s="414">
        <v>48.260000000000005</v>
      </c>
      <c r="Q74" s="414">
        <v>32.878999999999998</v>
      </c>
      <c r="R74" s="414"/>
      <c r="S74" s="414"/>
      <c r="T74" s="414"/>
    </row>
    <row r="75" spans="1:20" ht="13" x14ac:dyDescent="0.25">
      <c r="A75" s="408" t="s">
        <v>1393</v>
      </c>
      <c r="C75" s="417">
        <f t="shared" ref="C75:Q75" si="66">+SUM(C69:C74)</f>
        <v>21.855</v>
      </c>
      <c r="D75" s="417">
        <f t="shared" si="66"/>
        <v>33.997000000000007</v>
      </c>
      <c r="E75" s="417">
        <f t="shared" si="66"/>
        <v>34.204999999999998</v>
      </c>
      <c r="F75" s="418">
        <f t="shared" si="66"/>
        <v>31.005000000000003</v>
      </c>
      <c r="G75" s="419">
        <f t="shared" si="66"/>
        <v>27.185000000000002</v>
      </c>
      <c r="H75" s="419">
        <f t="shared" si="66"/>
        <v>24.033000000000001</v>
      </c>
      <c r="I75" s="419">
        <f t="shared" si="66"/>
        <v>21.688000000000002</v>
      </c>
      <c r="J75" s="418">
        <f t="shared" si="66"/>
        <v>-1.077</v>
      </c>
      <c r="K75" s="417">
        <f t="shared" si="66"/>
        <v>18.813000000000002</v>
      </c>
      <c r="L75" s="417">
        <f t="shared" si="66"/>
        <v>21.966999999999999</v>
      </c>
      <c r="M75" s="417">
        <f t="shared" si="66"/>
        <v>18.413</v>
      </c>
      <c r="N75" s="417"/>
      <c r="O75" s="417">
        <f t="shared" si="66"/>
        <v>120.64500000000001</v>
      </c>
      <c r="P75" s="417">
        <f t="shared" si="66"/>
        <v>121.16199999999999</v>
      </c>
      <c r="Q75" s="417">
        <f t="shared" si="66"/>
        <v>71.853999999999999</v>
      </c>
      <c r="R75" s="417"/>
      <c r="S75" s="417"/>
      <c r="T75" s="417"/>
    </row>
    <row r="76" spans="1:20" x14ac:dyDescent="0.25">
      <c r="F76" s="407"/>
      <c r="J76" s="407"/>
    </row>
    <row r="77" spans="1:20" ht="13" x14ac:dyDescent="0.25">
      <c r="A77" s="408" t="s">
        <v>1394</v>
      </c>
      <c r="B77" s="409"/>
      <c r="F77" s="407"/>
      <c r="J77" s="407"/>
    </row>
    <row r="78" spans="1:20" x14ac:dyDescent="0.25">
      <c r="A78" s="409" t="s">
        <v>1380</v>
      </c>
      <c r="C78" s="410">
        <v>2.468</v>
      </c>
      <c r="D78" s="410">
        <v>2.6709999999999998</v>
      </c>
      <c r="E78" s="410">
        <v>2.6819999999999999</v>
      </c>
      <c r="F78" s="411">
        <v>2.6</v>
      </c>
      <c r="G78" s="412">
        <v>3.0790000000000002</v>
      </c>
      <c r="H78" s="412">
        <v>3.2949999999999999</v>
      </c>
      <c r="I78" s="412">
        <v>3.2549999999999999</v>
      </c>
      <c r="J78" s="411">
        <v>3.1190000000000002</v>
      </c>
      <c r="K78" s="410">
        <v>3.5150000000000001</v>
      </c>
      <c r="L78" s="410">
        <v>3.7719999999999998</v>
      </c>
      <c r="M78" s="410">
        <v>3.7709999999999999</v>
      </c>
      <c r="N78" s="410"/>
      <c r="O78" s="410">
        <v>8.5069999999999997</v>
      </c>
      <c r="P78" s="410">
        <v>10.420999999999999</v>
      </c>
      <c r="Q78" s="410">
        <v>13.045</v>
      </c>
      <c r="R78" s="410"/>
      <c r="S78" s="410"/>
      <c r="T78" s="410"/>
    </row>
    <row r="79" spans="1:20" x14ac:dyDescent="0.25">
      <c r="A79" s="409" t="s">
        <v>1381</v>
      </c>
      <c r="C79" s="410">
        <v>2.4950000000000001</v>
      </c>
      <c r="D79" s="410">
        <v>2.577</v>
      </c>
      <c r="E79" s="410">
        <v>2.5960000000000001</v>
      </c>
      <c r="F79" s="411">
        <v>2.5819999999999999</v>
      </c>
      <c r="G79" s="412">
        <v>2.4969999999999999</v>
      </c>
      <c r="H79" s="412">
        <v>2.5339999999999998</v>
      </c>
      <c r="I79" s="412">
        <v>2.57</v>
      </c>
      <c r="J79" s="411">
        <v>2.7759999999999998</v>
      </c>
      <c r="K79" s="410">
        <v>2.5049999999999999</v>
      </c>
      <c r="L79" s="410">
        <v>2.427</v>
      </c>
      <c r="M79" s="410">
        <v>2.4350000000000001</v>
      </c>
      <c r="N79" s="410"/>
      <c r="O79" s="410">
        <v>10.331</v>
      </c>
      <c r="P79" s="410">
        <v>10.25</v>
      </c>
      <c r="Q79" s="410">
        <v>10.93</v>
      </c>
      <c r="R79" s="410"/>
      <c r="S79" s="410"/>
      <c r="T79" s="410"/>
    </row>
    <row r="80" spans="1:20" x14ac:dyDescent="0.25">
      <c r="A80" s="409" t="s">
        <v>1382</v>
      </c>
      <c r="C80" s="410">
        <v>1.17</v>
      </c>
      <c r="D80" s="410">
        <v>1.1870000000000001</v>
      </c>
      <c r="E80" s="410">
        <v>1.1930000000000001</v>
      </c>
      <c r="F80" s="411">
        <v>1.33</v>
      </c>
      <c r="G80" s="412">
        <v>1.369</v>
      </c>
      <c r="H80" s="412">
        <v>1.429</v>
      </c>
      <c r="I80" s="412">
        <v>1.444</v>
      </c>
      <c r="J80" s="411">
        <v>1.5049999999999999</v>
      </c>
      <c r="K80" s="410">
        <v>1.502</v>
      </c>
      <c r="L80" s="410">
        <v>1.5089999999999999</v>
      </c>
      <c r="M80" s="410">
        <v>1.542</v>
      </c>
      <c r="N80" s="410"/>
      <c r="O80" s="410">
        <v>4.5220000000000002</v>
      </c>
      <c r="P80" s="410">
        <v>4.88</v>
      </c>
      <c r="Q80" s="410">
        <v>5.7469999999999999</v>
      </c>
      <c r="R80" s="410"/>
      <c r="S80" s="410"/>
      <c r="T80" s="410"/>
    </row>
    <row r="81" spans="1:20" x14ac:dyDescent="0.25">
      <c r="A81" s="409" t="s">
        <v>1383</v>
      </c>
      <c r="C81" s="410">
        <v>0.78</v>
      </c>
      <c r="D81" s="410">
        <v>0.72099999999999997</v>
      </c>
      <c r="E81" s="410">
        <v>0.72099999999999997</v>
      </c>
      <c r="F81" s="411">
        <v>0.73199999999999998</v>
      </c>
      <c r="G81" s="412">
        <v>0.76500000000000001</v>
      </c>
      <c r="H81" s="412">
        <v>0.85799999999999998</v>
      </c>
      <c r="I81" s="412">
        <v>0.83699999999999997</v>
      </c>
      <c r="J81" s="411">
        <v>0.72</v>
      </c>
      <c r="K81" s="410">
        <v>0.72499999999999998</v>
      </c>
      <c r="L81" s="410">
        <v>0.72699999999999998</v>
      </c>
      <c r="M81" s="410">
        <v>0.72399999999999998</v>
      </c>
      <c r="N81" s="410"/>
      <c r="O81" s="410">
        <v>2.6070000000000002</v>
      </c>
      <c r="P81" s="410">
        <v>2.9540000000000002</v>
      </c>
      <c r="Q81" s="410">
        <v>3.18</v>
      </c>
      <c r="R81" s="410"/>
      <c r="S81" s="410"/>
      <c r="T81" s="410"/>
    </row>
    <row r="82" spans="1:20" x14ac:dyDescent="0.25">
      <c r="A82" s="409" t="s">
        <v>1384</v>
      </c>
      <c r="C82" s="410">
        <v>0.65700000000000003</v>
      </c>
      <c r="D82" s="410">
        <v>0.68700000000000006</v>
      </c>
      <c r="E82" s="410">
        <v>1.08</v>
      </c>
      <c r="F82" s="411">
        <v>0.90100000000000002</v>
      </c>
      <c r="G82" s="412">
        <v>0.999</v>
      </c>
      <c r="H82" s="412">
        <v>1.0449999999999999</v>
      </c>
      <c r="I82" s="412">
        <v>1.0640000000000001</v>
      </c>
      <c r="J82" s="411">
        <v>1.145</v>
      </c>
      <c r="K82" s="410">
        <v>0.99</v>
      </c>
      <c r="L82" s="410">
        <v>0.97199999999999998</v>
      </c>
      <c r="M82" s="410">
        <v>0.98799999999999999</v>
      </c>
      <c r="N82" s="410"/>
      <c r="O82" s="410">
        <v>1.6259999999999999</v>
      </c>
      <c r="P82" s="410">
        <v>3.3250000000000002</v>
      </c>
      <c r="Q82" s="410">
        <v>4.2530000000000001</v>
      </c>
      <c r="R82" s="410"/>
      <c r="S82" s="410"/>
      <c r="T82" s="410"/>
    </row>
    <row r="83" spans="1:20" s="413" customFormat="1" ht="14" x14ac:dyDescent="0.4">
      <c r="A83" s="409" t="s">
        <v>1385</v>
      </c>
      <c r="C83" s="414">
        <v>1.9669999999999999</v>
      </c>
      <c r="D83" s="414">
        <v>1.982</v>
      </c>
      <c r="E83" s="414">
        <v>1.9410000000000001</v>
      </c>
      <c r="F83" s="415">
        <v>2</v>
      </c>
      <c r="G83" s="416">
        <v>1.1870000000000001</v>
      </c>
      <c r="H83" s="416">
        <v>1.5649999999999999</v>
      </c>
      <c r="I83" s="416">
        <v>1.728</v>
      </c>
      <c r="J83" s="415">
        <v>-0.16700000000000004</v>
      </c>
      <c r="K83" s="414">
        <v>1.4490000000000001</v>
      </c>
      <c r="L83" s="414">
        <v>1.488</v>
      </c>
      <c r="M83" s="414">
        <v>1.5329999999999999</v>
      </c>
      <c r="N83" s="414"/>
      <c r="O83" s="414">
        <v>7.9909999999999997</v>
      </c>
      <c r="P83" s="414">
        <v>7.89</v>
      </c>
      <c r="Q83" s="414">
        <v>5.4380000000000006</v>
      </c>
      <c r="R83" s="414"/>
      <c r="S83" s="414"/>
      <c r="T83" s="414"/>
    </row>
    <row r="84" spans="1:20" ht="13" x14ac:dyDescent="0.25">
      <c r="A84" s="408" t="s">
        <v>1395</v>
      </c>
      <c r="C84" s="417">
        <f>+SUM(C78:C83)</f>
        <v>9.5370000000000008</v>
      </c>
      <c r="D84" s="417">
        <f t="shared" ref="D84:Q84" si="67">+SUM(D78:D83)</f>
        <v>9.8249999999999993</v>
      </c>
      <c r="E84" s="417">
        <f t="shared" si="67"/>
        <v>10.213000000000001</v>
      </c>
      <c r="F84" s="418">
        <f t="shared" si="67"/>
        <v>10.145000000000001</v>
      </c>
      <c r="G84" s="419">
        <f t="shared" si="67"/>
        <v>9.895999999999999</v>
      </c>
      <c r="H84" s="419">
        <f t="shared" si="67"/>
        <v>10.725999999999999</v>
      </c>
      <c r="I84" s="419">
        <f t="shared" si="67"/>
        <v>10.898</v>
      </c>
      <c r="J84" s="418">
        <f t="shared" si="67"/>
        <v>9.097999999999999</v>
      </c>
      <c r="K84" s="417">
        <f t="shared" si="67"/>
        <v>10.686</v>
      </c>
      <c r="L84" s="417">
        <f t="shared" si="67"/>
        <v>10.895</v>
      </c>
      <c r="M84" s="417">
        <f t="shared" si="67"/>
        <v>10.992999999999999</v>
      </c>
      <c r="N84" s="417"/>
      <c r="O84" s="417">
        <f t="shared" si="67"/>
        <v>35.584000000000003</v>
      </c>
      <c r="P84" s="417">
        <f t="shared" si="67"/>
        <v>39.72</v>
      </c>
      <c r="Q84" s="417">
        <f t="shared" si="67"/>
        <v>42.593000000000004</v>
      </c>
      <c r="R84" s="417"/>
      <c r="S84" s="417"/>
      <c r="T84" s="417"/>
    </row>
    <row r="85" spans="1:20" x14ac:dyDescent="0.25">
      <c r="F85" s="407"/>
      <c r="J85" s="407"/>
    </row>
    <row r="86" spans="1:20" x14ac:dyDescent="0.25">
      <c r="F86" s="407"/>
      <c r="J86" s="407"/>
    </row>
    <row r="87" spans="1:20" x14ac:dyDescent="0.25">
      <c r="F87" s="407"/>
      <c r="J87" s="407"/>
    </row>
  </sheetData>
  <mergeCells count="5">
    <mergeCell ref="C57:Q57"/>
    <mergeCell ref="C56:Q56"/>
    <mergeCell ref="C58:Q58"/>
    <mergeCell ref="C59:Q59"/>
    <mergeCell ref="C60:Q60"/>
  </mergeCells>
  <pageMargins left="0.3" right="0.3" top="0.3" bottom="0.3" header="0.3" footer="0.3"/>
  <pageSetup scale="52" fitToHeight="0" orientation="portrait" r:id="rId1"/>
  <headerFoot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1FFE9-172E-4E7D-9762-18689A48CCB2}">
  <dimension ref="A1:Z42"/>
  <sheetViews>
    <sheetView zoomScale="75" zoomScaleNormal="75" workbookViewId="0">
      <pane xSplit="1" ySplit="5" topLeftCell="B6" activePane="bottomRight" state="frozen"/>
      <selection pane="topRight" activeCell="B1" sqref="B1"/>
      <selection pane="bottomLeft" activeCell="A6" sqref="A6"/>
      <selection pane="bottomRight" activeCell="R11" sqref="R11"/>
    </sheetView>
  </sheetViews>
  <sheetFormatPr defaultColWidth="8.7265625" defaultRowHeight="12.5" x14ac:dyDescent="0.25"/>
  <cols>
    <col min="1" max="1" width="25.1796875" style="132" bestFit="1" customWidth="1"/>
    <col min="2" max="2" width="3" style="132" customWidth="1"/>
    <col min="3" max="18" width="12.81640625" style="132" customWidth="1"/>
    <col min="19" max="19" width="4.81640625" style="132" customWidth="1"/>
    <col min="20" max="23" width="12.81640625" style="132" customWidth="1"/>
    <col min="24" max="16384" width="8.7265625" style="132"/>
  </cols>
  <sheetData>
    <row r="1" spans="1:26" ht="13" x14ac:dyDescent="0.3">
      <c r="A1" s="132" t="str">
        <f>+'FA Base'!B1</f>
        <v>FA - Standalone</v>
      </c>
      <c r="Q1" s="400"/>
      <c r="R1" s="400"/>
      <c r="S1" s="400"/>
    </row>
    <row r="2" spans="1:26" ht="13" x14ac:dyDescent="0.3">
      <c r="A2" s="163" t="s">
        <v>1396</v>
      </c>
      <c r="B2" s="163"/>
      <c r="T2" s="401"/>
    </row>
    <row r="3" spans="1:26" s="378" customFormat="1" ht="13" x14ac:dyDescent="0.3">
      <c r="A3" s="402" t="str">
        <f>+'FA Base'!B3</f>
        <v>(USD in mm)</v>
      </c>
      <c r="B3" s="402"/>
    </row>
    <row r="4" spans="1:26" ht="13" x14ac:dyDescent="0.3">
      <c r="C4" s="403"/>
      <c r="D4" s="404"/>
      <c r="E4" s="404"/>
      <c r="F4" s="646"/>
      <c r="G4" s="647" t="s">
        <v>7</v>
      </c>
      <c r="H4" s="647"/>
      <c r="I4" s="647"/>
      <c r="J4" s="647"/>
      <c r="K4" s="647"/>
      <c r="L4" s="647"/>
      <c r="M4" s="647"/>
      <c r="N4" s="647"/>
      <c r="O4" s="647"/>
      <c r="P4" s="647"/>
      <c r="Q4" s="647"/>
      <c r="R4" s="647"/>
      <c r="S4" s="585"/>
      <c r="T4" s="647" t="s">
        <v>7</v>
      </c>
      <c r="U4" s="646"/>
      <c r="V4" s="646"/>
      <c r="W4" s="646"/>
    </row>
    <row r="5" spans="1:26" ht="16" x14ac:dyDescent="0.6">
      <c r="C5" s="405" t="s">
        <v>86</v>
      </c>
      <c r="D5" s="405" t="s">
        <v>87</v>
      </c>
      <c r="E5" s="405" t="s">
        <v>88</v>
      </c>
      <c r="F5" s="406" t="s">
        <v>89</v>
      </c>
      <c r="G5" s="405" t="s">
        <v>90</v>
      </c>
      <c r="H5" s="405" t="s">
        <v>91</v>
      </c>
      <c r="I5" s="405" t="s">
        <v>92</v>
      </c>
      <c r="J5" s="406" t="s">
        <v>93</v>
      </c>
      <c r="K5" s="405" t="s">
        <v>94</v>
      </c>
      <c r="L5" s="405" t="s">
        <v>95</v>
      </c>
      <c r="M5" s="405" t="s">
        <v>96</v>
      </c>
      <c r="N5" s="406" t="s">
        <v>97</v>
      </c>
      <c r="O5" s="405" t="s">
        <v>98</v>
      </c>
      <c r="P5" s="405" t="s">
        <v>99</v>
      </c>
      <c r="Q5" s="564" t="s">
        <v>100</v>
      </c>
      <c r="R5" s="438" t="s">
        <v>1397</v>
      </c>
      <c r="S5" s="585"/>
      <c r="T5" s="438" t="s">
        <v>115</v>
      </c>
      <c r="U5" s="438" t="s">
        <v>116</v>
      </c>
      <c r="V5" s="661" t="s">
        <v>117</v>
      </c>
      <c r="W5" s="438" t="s">
        <v>1398</v>
      </c>
    </row>
    <row r="6" spans="1:26" x14ac:dyDescent="0.25">
      <c r="F6" s="407"/>
      <c r="J6" s="407"/>
      <c r="N6" s="407"/>
      <c r="Q6" s="657"/>
    </row>
    <row r="7" spans="1:26" x14ac:dyDescent="0.25">
      <c r="A7" s="132" t="s">
        <v>1399</v>
      </c>
      <c r="C7" s="571">
        <v>148639.93333333332</v>
      </c>
      <c r="D7" s="571">
        <v>151077.03333333335</v>
      </c>
      <c r="E7" s="571">
        <v>151088.06666666668</v>
      </c>
      <c r="F7" s="666">
        <v>152813.1</v>
      </c>
      <c r="G7" s="667">
        <v>150325.53333333335</v>
      </c>
      <c r="H7" s="667">
        <v>134060.56666666665</v>
      </c>
      <c r="I7" s="667">
        <v>140596.03333333333</v>
      </c>
      <c r="J7" s="666">
        <v>143761.16666666666</v>
      </c>
      <c r="K7" s="667">
        <v>142137.30000000002</v>
      </c>
      <c r="L7" s="667">
        <v>145384.66666666666</v>
      </c>
      <c r="M7" s="667">
        <v>147016</v>
      </c>
      <c r="N7" s="666">
        <v>149956.86666666667</v>
      </c>
      <c r="O7" s="667">
        <v>148851.06666666668</v>
      </c>
      <c r="P7" s="667">
        <v>151764.20000000001</v>
      </c>
      <c r="Q7" s="668">
        <v>152709.5</v>
      </c>
      <c r="V7" s="669"/>
    </row>
    <row r="8" spans="1:26" s="672" customFormat="1" ht="13" x14ac:dyDescent="0.3">
      <c r="A8" s="153" t="s">
        <v>29</v>
      </c>
      <c r="B8" s="670"/>
      <c r="C8" s="441"/>
      <c r="D8" s="441"/>
      <c r="E8" s="441"/>
      <c r="F8" s="596"/>
      <c r="G8" s="595">
        <f t="shared" ref="G8" si="0">IF(OR(G7&lt;0, C7&lt;0), "NM", G7/C7-1)</f>
        <v>1.1340155785861228E-2</v>
      </c>
      <c r="H8" s="595">
        <f t="shared" ref="H8" si="1">IF(OR(H7&lt;0, D7&lt;0), "NM", H7/D7-1)</f>
        <v>-0.11263437129535048</v>
      </c>
      <c r="I8" s="595">
        <f t="shared" ref="I8" si="2">IF(OR(I7&lt;0, E7&lt;0), "NM", I7/E7-1)</f>
        <v>-6.9443163611862757E-2</v>
      </c>
      <c r="J8" s="596">
        <f t="shared" ref="J8" si="3">IF(OR(J7&lt;0, F7&lt;0), "NM", J7/F7-1)</f>
        <v>-5.9235322975146443E-2</v>
      </c>
      <c r="K8" s="595">
        <f t="shared" ref="K8" si="4">IF(OR(K7&lt;0, G7&lt;0), "NM", K7/G7-1)</f>
        <v>-5.4470010195651009E-2</v>
      </c>
      <c r="L8" s="595">
        <f t="shared" ref="L8" si="5">IF(OR(L7&lt;0, H7&lt;0), "NM", L7/H7-1)</f>
        <v>8.4470029342458952E-2</v>
      </c>
      <c r="M8" s="595">
        <f t="shared" ref="M8" si="6">IF(OR(M7&lt;0, I7&lt;0), "NM", M7/I7-1)</f>
        <v>4.566250209524636E-2</v>
      </c>
      <c r="N8" s="596">
        <f t="shared" ref="N8" si="7">IF(OR(N7&lt;0, J7&lt;0), "NM", N7/J7-1)</f>
        <v>4.309717390069423E-2</v>
      </c>
      <c r="O8" s="595">
        <f t="shared" ref="O8" si="8">IF(OR(O7&lt;0, K7&lt;0), "NM", O7/K7-1)</f>
        <v>4.7234375963710162E-2</v>
      </c>
      <c r="P8" s="595">
        <f t="shared" ref="P8" si="9">IF(OR(P7&lt;0, L7&lt;0), "NM", P7/L7-1)</f>
        <v>4.3880372528969369E-2</v>
      </c>
      <c r="Q8" s="671">
        <f t="shared" ref="Q8" si="10">IF(OR(Q7&lt;0, M7&lt;0), "NM", Q7/M7-1)</f>
        <v>3.8727077324917092E-2</v>
      </c>
      <c r="R8" s="595"/>
      <c r="S8" s="441"/>
      <c r="T8" s="595"/>
      <c r="U8" s="595"/>
      <c r="V8" s="132"/>
      <c r="W8" s="132"/>
      <c r="X8" s="132"/>
      <c r="Y8" s="132"/>
      <c r="Z8" s="132"/>
    </row>
    <row r="9" spans="1:26" x14ac:dyDescent="0.25">
      <c r="F9" s="407"/>
      <c r="J9" s="407"/>
      <c r="N9" s="407"/>
      <c r="Q9" s="657"/>
    </row>
    <row r="10" spans="1:26" ht="13" x14ac:dyDescent="0.3">
      <c r="A10" s="374" t="s">
        <v>1400</v>
      </c>
      <c r="F10" s="407"/>
      <c r="J10" s="407"/>
      <c r="N10" s="407"/>
      <c r="Q10" s="657"/>
    </row>
    <row r="11" spans="1:26" x14ac:dyDescent="0.25">
      <c r="A11" s="132" t="s">
        <v>1401</v>
      </c>
      <c r="C11" s="571">
        <v>104.72959487333821</v>
      </c>
      <c r="D11" s="571">
        <v>128.15978426899653</v>
      </c>
      <c r="E11" s="571">
        <v>125.47648810561256</v>
      </c>
      <c r="F11" s="666">
        <v>104.81431238552192</v>
      </c>
      <c r="G11" s="667">
        <v>103.04969260045864</v>
      </c>
      <c r="H11" s="667">
        <v>159.24145728162173</v>
      </c>
      <c r="I11" s="667">
        <v>139.23579162143267</v>
      </c>
      <c r="J11" s="666">
        <v>112.82601815279276</v>
      </c>
      <c r="K11" s="667">
        <v>112.75717211456808</v>
      </c>
      <c r="L11" s="667">
        <v>140.75762230771699</v>
      </c>
      <c r="M11" s="667">
        <v>143.12047668281002</v>
      </c>
      <c r="N11" s="666">
        <v>120.15455110869659</v>
      </c>
      <c r="O11" s="667">
        <v>119.93195883491597</v>
      </c>
      <c r="P11" s="667">
        <v>140.37566171732198</v>
      </c>
      <c r="Q11" s="668">
        <v>132.24455583968253</v>
      </c>
      <c r="V11" s="669"/>
    </row>
    <row r="12" spans="1:26" x14ac:dyDescent="0.25">
      <c r="A12" s="132" t="s">
        <v>1402</v>
      </c>
      <c r="C12" s="673">
        <v>2</v>
      </c>
      <c r="D12" s="673">
        <v>2</v>
      </c>
      <c r="E12" s="673">
        <v>2</v>
      </c>
      <c r="F12" s="674">
        <v>2</v>
      </c>
      <c r="G12" s="675">
        <v>2</v>
      </c>
      <c r="H12" s="675">
        <v>2</v>
      </c>
      <c r="I12" s="675">
        <v>2</v>
      </c>
      <c r="J12" s="674">
        <v>2</v>
      </c>
      <c r="K12" s="675">
        <v>2</v>
      </c>
      <c r="L12" s="675">
        <v>2</v>
      </c>
      <c r="M12" s="675">
        <v>2</v>
      </c>
      <c r="N12" s="674">
        <v>2</v>
      </c>
      <c r="O12" s="675">
        <v>2</v>
      </c>
      <c r="P12" s="675">
        <v>2</v>
      </c>
      <c r="Q12" s="676">
        <v>2</v>
      </c>
    </row>
    <row r="13" spans="1:26" x14ac:dyDescent="0.25">
      <c r="A13" s="425" t="s">
        <v>1403</v>
      </c>
      <c r="C13" s="571">
        <f>+C11*C12</f>
        <v>209.45918974667643</v>
      </c>
      <c r="D13" s="571">
        <f t="shared" ref="D13:Q13" si="11">+D11*D12</f>
        <v>256.31956853799306</v>
      </c>
      <c r="E13" s="571">
        <f t="shared" si="11"/>
        <v>250.95297621122512</v>
      </c>
      <c r="F13" s="666">
        <f t="shared" si="11"/>
        <v>209.62862477104383</v>
      </c>
      <c r="G13" s="667">
        <f t="shared" si="11"/>
        <v>206.09938520091728</v>
      </c>
      <c r="H13" s="667">
        <f t="shared" si="11"/>
        <v>318.48291456324347</v>
      </c>
      <c r="I13" s="667">
        <f t="shared" si="11"/>
        <v>278.47158324286534</v>
      </c>
      <c r="J13" s="666">
        <f t="shared" si="11"/>
        <v>225.65203630558551</v>
      </c>
      <c r="K13" s="667">
        <f t="shared" si="11"/>
        <v>225.51434422913616</v>
      </c>
      <c r="L13" s="667">
        <f t="shared" si="11"/>
        <v>281.51524461543397</v>
      </c>
      <c r="M13" s="667">
        <f t="shared" si="11"/>
        <v>286.24095336562004</v>
      </c>
      <c r="N13" s="666">
        <f t="shared" si="11"/>
        <v>240.30910221739319</v>
      </c>
      <c r="O13" s="667">
        <f t="shared" si="11"/>
        <v>239.86391766983195</v>
      </c>
      <c r="P13" s="667">
        <f t="shared" si="11"/>
        <v>280.75132343464395</v>
      </c>
      <c r="Q13" s="668">
        <f t="shared" si="11"/>
        <v>264.48911167936507</v>
      </c>
    </row>
    <row r="14" spans="1:26" x14ac:dyDescent="0.25">
      <c r="A14" s="132" t="s">
        <v>1404</v>
      </c>
      <c r="C14" s="571">
        <f>+C13*C7</f>
        <v>31134000</v>
      </c>
      <c r="D14" s="571">
        <f t="shared" ref="D14:Q14" si="12">+D13*D7</f>
        <v>38724000</v>
      </c>
      <c r="E14" s="571">
        <f t="shared" si="12"/>
        <v>37916000</v>
      </c>
      <c r="F14" s="666">
        <f t="shared" si="12"/>
        <v>32034000</v>
      </c>
      <c r="G14" s="667">
        <f t="shared" si="12"/>
        <v>30982000.000000004</v>
      </c>
      <c r="H14" s="667">
        <f t="shared" si="12"/>
        <v>42696000</v>
      </c>
      <c r="I14" s="667">
        <f t="shared" si="12"/>
        <v>39152000</v>
      </c>
      <c r="J14" s="666">
        <f t="shared" si="12"/>
        <v>32439999.999999993</v>
      </c>
      <c r="K14" s="667">
        <f t="shared" si="12"/>
        <v>32054000</v>
      </c>
      <c r="L14" s="667">
        <f t="shared" si="12"/>
        <v>40927999.999999993</v>
      </c>
      <c r="M14" s="667">
        <f t="shared" si="12"/>
        <v>42082000</v>
      </c>
      <c r="N14" s="666">
        <f t="shared" si="12"/>
        <v>36036000</v>
      </c>
      <c r="O14" s="667">
        <f t="shared" si="12"/>
        <v>35704000</v>
      </c>
      <c r="P14" s="667">
        <f t="shared" si="12"/>
        <v>42607999.999999993</v>
      </c>
      <c r="Q14" s="668">
        <f t="shared" si="12"/>
        <v>40390000</v>
      </c>
      <c r="V14" s="669">
        <f>SUM(K14:N14)</f>
        <v>151100000</v>
      </c>
    </row>
    <row r="15" spans="1:26" s="413" customFormat="1" ht="14" x14ac:dyDescent="0.4">
      <c r="A15" s="132" t="s">
        <v>1405</v>
      </c>
      <c r="C15" s="677">
        <f>+C16/C13</f>
        <v>0.52366764204835015</v>
      </c>
      <c r="D15" s="677">
        <f t="shared" ref="D15:Q15" si="13">+D16/D13</f>
        <v>0.47448971880573637</v>
      </c>
      <c r="E15" s="677">
        <f t="shared" si="13"/>
        <v>0.49319598383971597</v>
      </c>
      <c r="F15" s="678">
        <f t="shared" si="13"/>
        <v>0.60435448707623129</v>
      </c>
      <c r="G15" s="679">
        <f t="shared" si="13"/>
        <v>0.53779393806511311</v>
      </c>
      <c r="H15" s="679">
        <f t="shared" si="13"/>
        <v>0.32966603606973327</v>
      </c>
      <c r="I15" s="679">
        <f t="shared" si="13"/>
        <v>0.49117399487297364</v>
      </c>
      <c r="J15" s="678">
        <f t="shared" si="13"/>
        <v>0.69374069280723361</v>
      </c>
      <c r="K15" s="679">
        <f t="shared" si="13"/>
        <v>0.58563902199413498</v>
      </c>
      <c r="L15" s="679">
        <f t="shared" si="13"/>
        <v>0.62101787858352886</v>
      </c>
      <c r="M15" s="679">
        <f t="shared" si="13"/>
        <v>0.67379247355163729</v>
      </c>
      <c r="N15" s="678">
        <f t="shared" si="13"/>
        <v>0.88441094423354483</v>
      </c>
      <c r="O15" s="679">
        <f t="shared" si="13"/>
        <v>0.7916196893830757</v>
      </c>
      <c r="P15" s="679">
        <f t="shared" si="13"/>
        <v>0.71793428267461523</v>
      </c>
      <c r="Q15" s="680">
        <f t="shared" si="13"/>
        <v>0.7788071073780638</v>
      </c>
      <c r="V15" s="132"/>
      <c r="W15" s="132"/>
      <c r="X15" s="132"/>
      <c r="Y15" s="132"/>
      <c r="Z15" s="132"/>
    </row>
    <row r="16" spans="1:26" s="163" customFormat="1" ht="13" x14ac:dyDescent="0.3">
      <c r="A16" s="426" t="s">
        <v>1406</v>
      </c>
      <c r="C16" s="573">
        <f>+'FA - Historical Financials'!C12</f>
        <v>109.687</v>
      </c>
      <c r="D16" s="573">
        <f>+'FA - Historical Financials'!D12</f>
        <v>121.621</v>
      </c>
      <c r="E16" s="573">
        <f>+'FA - Historical Financials'!E12</f>
        <v>123.76900000000001</v>
      </c>
      <c r="F16" s="681">
        <f>+'FA - Historical Financials'!F12</f>
        <v>126.68999999999994</v>
      </c>
      <c r="G16" s="682">
        <f>+'FA - Historical Financials'!G12</f>
        <v>110.839</v>
      </c>
      <c r="H16" s="682">
        <f>+'FA - Historical Financials'!H12</f>
        <v>104.99299999999999</v>
      </c>
      <c r="I16" s="682">
        <f>+'FA - Historical Financials'!I12</f>
        <v>136.77799999999999</v>
      </c>
      <c r="J16" s="681">
        <f>+'FA - Historical Financials'!J12</f>
        <v>156.54399999999993</v>
      </c>
      <c r="K16" s="682">
        <f>+'FA - Historical Financials'!K12</f>
        <v>132.07</v>
      </c>
      <c r="L16" s="682">
        <f>+'FA - Historical Financials'!L12</f>
        <v>174.82599999999999</v>
      </c>
      <c r="M16" s="682">
        <f>+'FA - Historical Financials'!M12</f>
        <v>192.86699999999999</v>
      </c>
      <c r="N16" s="681">
        <f>+'FA - Historical Financials'!N12</f>
        <v>212.53200000000015</v>
      </c>
      <c r="O16" s="682">
        <f>+'FA - Historical Financials'!O12</f>
        <v>189.881</v>
      </c>
      <c r="P16" s="682">
        <f>+'FA - Historical Financials'!P12</f>
        <v>201.56100000000001</v>
      </c>
      <c r="Q16" s="683">
        <f>+'FA - Historical Financials'!Q12</f>
        <v>205.98599999999999</v>
      </c>
      <c r="V16" s="132"/>
      <c r="W16" s="132"/>
      <c r="X16" s="132"/>
      <c r="Y16" s="132"/>
      <c r="Z16" s="132"/>
    </row>
    <row r="17" spans="1:26" x14ac:dyDescent="0.25">
      <c r="F17" s="407"/>
      <c r="J17" s="407"/>
      <c r="N17" s="407"/>
      <c r="Q17" s="657"/>
    </row>
    <row r="18" spans="1:26" ht="13" x14ac:dyDescent="0.3">
      <c r="A18" s="574" t="s">
        <v>29</v>
      </c>
      <c r="B18" s="163"/>
      <c r="C18" s="648"/>
      <c r="D18" s="648"/>
      <c r="E18" s="648"/>
      <c r="F18" s="654"/>
      <c r="G18" s="662"/>
      <c r="H18" s="662"/>
      <c r="I18" s="662"/>
      <c r="J18" s="684"/>
      <c r="K18" s="662"/>
      <c r="L18" s="662"/>
      <c r="M18" s="662"/>
      <c r="N18" s="684"/>
      <c r="O18" s="662"/>
      <c r="P18" s="648"/>
      <c r="Q18" s="656"/>
      <c r="R18" s="648"/>
      <c r="S18" s="648"/>
      <c r="T18" s="662"/>
      <c r="U18" s="662"/>
    </row>
    <row r="19" spans="1:26" ht="13" x14ac:dyDescent="0.3">
      <c r="A19" s="153" t="str">
        <f>+A11</f>
        <v>Hires per 1,000 Employee</v>
      </c>
      <c r="B19" s="163"/>
      <c r="C19" s="648"/>
      <c r="D19" s="648"/>
      <c r="E19" s="648"/>
      <c r="F19" s="654"/>
      <c r="G19" s="441">
        <f t="shared" ref="G19:Q21" si="14">+G11/C11-1</f>
        <v>-1.6040377840774389E-2</v>
      </c>
      <c r="H19" s="441">
        <f t="shared" si="14"/>
        <v>0.24252282562669891</v>
      </c>
      <c r="I19" s="441">
        <f t="shared" si="14"/>
        <v>0.10965642825641564</v>
      </c>
      <c r="J19" s="442">
        <f t="shared" si="14"/>
        <v>7.6437135205377871E-2</v>
      </c>
      <c r="K19" s="441">
        <f t="shared" si="14"/>
        <v>9.4201925975140988E-2</v>
      </c>
      <c r="L19" s="441">
        <f t="shared" si="14"/>
        <v>-0.11607426413597632</v>
      </c>
      <c r="M19" s="441">
        <f t="shared" si="14"/>
        <v>2.7900046504848452E-2</v>
      </c>
      <c r="N19" s="442">
        <f t="shared" si="14"/>
        <v>6.4954281608868847E-2</v>
      </c>
      <c r="O19" s="441">
        <f t="shared" si="14"/>
        <v>6.3630424440388467E-2</v>
      </c>
      <c r="P19" s="441">
        <f t="shared" si="14"/>
        <v>-2.7136050192719807E-3</v>
      </c>
      <c r="Q19" s="658">
        <f t="shared" si="14"/>
        <v>-7.5991368217918853E-2</v>
      </c>
      <c r="R19" s="664"/>
      <c r="S19" s="648"/>
      <c r="T19" s="441"/>
      <c r="U19" s="441"/>
    </row>
    <row r="20" spans="1:26" s="565" customFormat="1" ht="13" x14ac:dyDescent="0.3">
      <c r="A20" s="153" t="str">
        <f>+A12</f>
        <v>Screen per Hire</v>
      </c>
      <c r="B20" s="374"/>
      <c r="C20" s="685"/>
      <c r="D20" s="685"/>
      <c r="E20" s="685"/>
      <c r="F20" s="686"/>
      <c r="G20" s="443">
        <f t="shared" si="14"/>
        <v>0</v>
      </c>
      <c r="H20" s="443">
        <f t="shared" si="14"/>
        <v>0</v>
      </c>
      <c r="I20" s="443">
        <f t="shared" si="14"/>
        <v>0</v>
      </c>
      <c r="J20" s="444">
        <f t="shared" si="14"/>
        <v>0</v>
      </c>
      <c r="K20" s="443">
        <f t="shared" si="14"/>
        <v>0</v>
      </c>
      <c r="L20" s="443">
        <f t="shared" si="14"/>
        <v>0</v>
      </c>
      <c r="M20" s="443">
        <f t="shared" si="14"/>
        <v>0</v>
      </c>
      <c r="N20" s="444">
        <f t="shared" si="14"/>
        <v>0</v>
      </c>
      <c r="O20" s="443">
        <f t="shared" si="14"/>
        <v>0</v>
      </c>
      <c r="P20" s="443">
        <f t="shared" si="14"/>
        <v>0</v>
      </c>
      <c r="Q20" s="659">
        <f t="shared" si="14"/>
        <v>0</v>
      </c>
      <c r="R20" s="665"/>
      <c r="S20" s="685"/>
      <c r="T20" s="443"/>
      <c r="U20" s="443"/>
    </row>
    <row r="21" spans="1:26" ht="13" x14ac:dyDescent="0.3">
      <c r="A21" s="687" t="str">
        <f>+A13</f>
        <v>Screens per 1,000 Employees</v>
      </c>
      <c r="B21" s="163"/>
      <c r="C21" s="648"/>
      <c r="D21" s="648"/>
      <c r="E21" s="648"/>
      <c r="F21" s="654"/>
      <c r="G21" s="441">
        <f t="shared" si="14"/>
        <v>-1.6040377840774389E-2</v>
      </c>
      <c r="H21" s="441">
        <f t="shared" si="14"/>
        <v>0.24252282562669891</v>
      </c>
      <c r="I21" s="441">
        <f t="shared" si="14"/>
        <v>0.10965642825641564</v>
      </c>
      <c r="J21" s="442">
        <f t="shared" si="14"/>
        <v>7.6437135205377871E-2</v>
      </c>
      <c r="K21" s="441">
        <f t="shared" si="14"/>
        <v>9.4201925975140988E-2</v>
      </c>
      <c r="L21" s="441">
        <f t="shared" si="14"/>
        <v>-0.11607426413597632</v>
      </c>
      <c r="M21" s="441">
        <f t="shared" si="14"/>
        <v>2.7900046504848452E-2</v>
      </c>
      <c r="N21" s="442">
        <f t="shared" si="14"/>
        <v>6.4954281608868847E-2</v>
      </c>
      <c r="O21" s="441">
        <f t="shared" si="14"/>
        <v>6.3630424440388467E-2</v>
      </c>
      <c r="P21" s="441">
        <f t="shared" si="14"/>
        <v>-2.7136050192719807E-3</v>
      </c>
      <c r="Q21" s="658">
        <f t="shared" si="14"/>
        <v>-7.5991368217918853E-2</v>
      </c>
      <c r="R21" s="664"/>
      <c r="S21" s="648"/>
      <c r="T21" s="441"/>
      <c r="U21" s="441"/>
    </row>
    <row r="22" spans="1:26" ht="13" x14ac:dyDescent="0.3">
      <c r="A22" s="153" t="str">
        <f t="shared" ref="A22" si="15">+A14</f>
        <v xml:space="preserve">Screens </v>
      </c>
      <c r="B22" s="163"/>
      <c r="C22" s="648"/>
      <c r="D22" s="648"/>
      <c r="E22" s="648"/>
      <c r="F22" s="654"/>
      <c r="G22" s="441">
        <f t="shared" ref="G22:G24" si="16">+G14/C14-1</f>
        <v>-4.8821224384915096E-3</v>
      </c>
      <c r="H22" s="441">
        <f t="shared" ref="H22:H24" si="17">+H14/D14-1</f>
        <v>0.10257204834211331</v>
      </c>
      <c r="I22" s="441">
        <f t="shared" ref="I22:I24" si="18">+I14/E14-1</f>
        <v>3.2598375356050147E-2</v>
      </c>
      <c r="J22" s="442">
        <f t="shared" ref="J22:J24" si="19">+J14/F14-1</f>
        <v>1.2674033839045862E-2</v>
      </c>
      <c r="K22" s="441">
        <f t="shared" ref="K22:Q22" si="20">+K14/G14-1</f>
        <v>3.4600735911174185E-2</v>
      </c>
      <c r="L22" s="441">
        <f t="shared" si="20"/>
        <v>-4.1409031290987608E-2</v>
      </c>
      <c r="M22" s="441">
        <f t="shared" si="20"/>
        <v>7.4836534532080057E-2</v>
      </c>
      <c r="N22" s="442">
        <f t="shared" si="20"/>
        <v>0.11085080147965498</v>
      </c>
      <c r="O22" s="441">
        <f t="shared" si="20"/>
        <v>0.11387034379484628</v>
      </c>
      <c r="P22" s="441">
        <f t="shared" si="20"/>
        <v>4.1047693510555039E-2</v>
      </c>
      <c r="Q22" s="658">
        <f t="shared" si="20"/>
        <v>-4.0207214486003506E-2</v>
      </c>
      <c r="R22" s="664"/>
      <c r="S22" s="648"/>
      <c r="T22" s="441"/>
      <c r="U22" s="441"/>
    </row>
    <row r="23" spans="1:26" ht="13" x14ac:dyDescent="0.3">
      <c r="A23" s="153" t="str">
        <f t="shared" ref="A23:A24" si="21">+A15</f>
        <v>Revenue per Screen ($)</v>
      </c>
      <c r="B23" s="163"/>
      <c r="C23" s="648"/>
      <c r="D23" s="648"/>
      <c r="E23" s="648"/>
      <c r="F23" s="654"/>
      <c r="G23" s="443">
        <f t="shared" si="16"/>
        <v>2.6975690079889869E-2</v>
      </c>
      <c r="H23" s="443">
        <f t="shared" si="17"/>
        <v>-0.30521985407927499</v>
      </c>
      <c r="I23" s="443">
        <f t="shared" si="18"/>
        <v>-4.0997677049200432E-3</v>
      </c>
      <c r="J23" s="444">
        <f t="shared" si="19"/>
        <v>0.14790360234344946</v>
      </c>
      <c r="K23" s="443">
        <f t="shared" ref="K23:Q24" si="22">+K15/G15-1</f>
        <v>8.8965457850194385E-2</v>
      </c>
      <c r="L23" s="443">
        <f t="shared" si="22"/>
        <v>0.88377876589072346</v>
      </c>
      <c r="M23" s="443">
        <f t="shared" si="22"/>
        <v>0.37179997431641731</v>
      </c>
      <c r="N23" s="444">
        <f t="shared" si="22"/>
        <v>0.2748436892965882</v>
      </c>
      <c r="O23" s="443">
        <f t="shared" si="22"/>
        <v>0.35171950579311551</v>
      </c>
      <c r="P23" s="443">
        <f t="shared" si="22"/>
        <v>0.15606056996642614</v>
      </c>
      <c r="Q23" s="659">
        <f t="shared" si="22"/>
        <v>0.15585605056239693</v>
      </c>
      <c r="R23" s="665"/>
      <c r="S23" s="648"/>
      <c r="T23" s="443"/>
      <c r="U23" s="443"/>
    </row>
    <row r="24" spans="1:26" s="163" customFormat="1" ht="13" x14ac:dyDescent="0.3">
      <c r="A24" s="576" t="str">
        <f t="shared" si="21"/>
        <v xml:space="preserve">Revenue </v>
      </c>
      <c r="C24" s="651"/>
      <c r="D24" s="651"/>
      <c r="E24" s="651"/>
      <c r="F24" s="688"/>
      <c r="G24" s="445">
        <f t="shared" si="16"/>
        <v>1.0502611977718512E-2</v>
      </c>
      <c r="H24" s="445">
        <f t="shared" si="17"/>
        <v>-0.13671980990125066</v>
      </c>
      <c r="I24" s="445">
        <f t="shared" si="18"/>
        <v>0.10510709466829327</v>
      </c>
      <c r="J24" s="446">
        <f t="shared" si="19"/>
        <v>0.23564606519851616</v>
      </c>
      <c r="K24" s="445">
        <f t="shared" si="22"/>
        <v>0.19154810130008393</v>
      </c>
      <c r="L24" s="445">
        <f t="shared" si="22"/>
        <v>0.66512053184498021</v>
      </c>
      <c r="M24" s="445">
        <f t="shared" si="22"/>
        <v>0.41007325739519507</v>
      </c>
      <c r="N24" s="446">
        <f t="shared" si="22"/>
        <v>0.35765024529844802</v>
      </c>
      <c r="O24" s="445">
        <f t="shared" si="22"/>
        <v>0.43772999167108351</v>
      </c>
      <c r="P24" s="445">
        <f>+P16/L16-1</f>
        <v>0.15292347820118302</v>
      </c>
      <c r="Q24" s="660">
        <f t="shared" si="22"/>
        <v>6.8020967817200351E-2</v>
      </c>
      <c r="R24" s="445"/>
      <c r="S24" s="651"/>
      <c r="T24" s="445"/>
      <c r="U24" s="445"/>
      <c r="V24" s="132"/>
      <c r="W24" s="132"/>
      <c r="X24" s="132"/>
      <c r="Y24" s="132"/>
      <c r="Z24" s="132"/>
    </row>
    <row r="25" spans="1:26" x14ac:dyDescent="0.25">
      <c r="F25" s="407"/>
      <c r="J25" s="407"/>
      <c r="N25" s="407"/>
      <c r="Q25" s="657"/>
    </row>
    <row r="26" spans="1:26" x14ac:dyDescent="0.25">
      <c r="F26" s="407"/>
      <c r="J26" s="407"/>
      <c r="N26" s="407"/>
      <c r="Q26" s="657"/>
    </row>
    <row r="27" spans="1:26" x14ac:dyDescent="0.25">
      <c r="F27" s="407"/>
      <c r="J27" s="407"/>
      <c r="N27" s="407"/>
      <c r="Q27" s="657"/>
    </row>
    <row r="28" spans="1:26" x14ac:dyDescent="0.25">
      <c r="F28" s="407"/>
      <c r="J28" s="407"/>
      <c r="N28" s="407"/>
      <c r="Q28" s="657"/>
    </row>
    <row r="29" spans="1:26" x14ac:dyDescent="0.25">
      <c r="F29" s="407"/>
      <c r="J29" s="407"/>
      <c r="N29" s="407"/>
      <c r="Q29" s="657"/>
    </row>
    <row r="30" spans="1:26" x14ac:dyDescent="0.25">
      <c r="F30" s="407"/>
      <c r="J30" s="407"/>
      <c r="N30" s="407"/>
      <c r="Q30" s="657"/>
    </row>
    <row r="31" spans="1:26" x14ac:dyDescent="0.25">
      <c r="F31" s="407"/>
      <c r="J31" s="407"/>
      <c r="N31" s="407"/>
      <c r="Q31" s="657"/>
    </row>
    <row r="32" spans="1:26" x14ac:dyDescent="0.25">
      <c r="F32" s="407"/>
      <c r="J32" s="407"/>
      <c r="N32" s="407"/>
      <c r="Q32" s="657"/>
    </row>
    <row r="33" spans="6:17" x14ac:dyDescent="0.25">
      <c r="F33" s="407"/>
      <c r="J33" s="407"/>
      <c r="N33" s="407"/>
      <c r="Q33" s="657"/>
    </row>
    <row r="34" spans="6:17" x14ac:dyDescent="0.25">
      <c r="F34" s="407"/>
      <c r="J34" s="407"/>
      <c r="N34" s="407"/>
      <c r="Q34" s="657"/>
    </row>
    <row r="35" spans="6:17" x14ac:dyDescent="0.25">
      <c r="F35" s="407"/>
      <c r="J35" s="407"/>
      <c r="N35" s="407"/>
      <c r="Q35" s="657"/>
    </row>
    <row r="36" spans="6:17" x14ac:dyDescent="0.25">
      <c r="F36" s="407"/>
      <c r="J36" s="407"/>
      <c r="N36" s="407"/>
      <c r="Q36" s="657"/>
    </row>
    <row r="37" spans="6:17" x14ac:dyDescent="0.25">
      <c r="F37" s="407"/>
      <c r="J37" s="407"/>
      <c r="N37" s="407"/>
      <c r="Q37" s="657"/>
    </row>
    <row r="38" spans="6:17" x14ac:dyDescent="0.25">
      <c r="F38" s="407"/>
      <c r="J38" s="407"/>
      <c r="N38" s="407"/>
      <c r="Q38" s="657"/>
    </row>
    <row r="39" spans="6:17" x14ac:dyDescent="0.25">
      <c r="F39" s="407"/>
      <c r="J39" s="407"/>
      <c r="N39" s="407"/>
      <c r="Q39" s="657"/>
    </row>
    <row r="40" spans="6:17" x14ac:dyDescent="0.25">
      <c r="F40" s="407"/>
      <c r="J40" s="407"/>
      <c r="N40" s="407"/>
      <c r="Q40" s="657"/>
    </row>
    <row r="41" spans="6:17" x14ac:dyDescent="0.25">
      <c r="F41" s="407"/>
      <c r="J41" s="407"/>
      <c r="N41" s="407"/>
      <c r="Q41" s="657"/>
    </row>
    <row r="42" spans="6:17" x14ac:dyDescent="0.25">
      <c r="F42" s="407"/>
      <c r="J42" s="407"/>
      <c r="N42" s="407"/>
      <c r="Q42" s="65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207CC-2377-489D-9A88-D6021172D2A1}">
  <dimension ref="A1:F807"/>
  <sheetViews>
    <sheetView view="pageBreakPreview" zoomScaleNormal="100" zoomScaleSheetLayoutView="100" workbookViewId="0">
      <selection activeCell="E10" sqref="E10"/>
    </sheetView>
  </sheetViews>
  <sheetFormatPr defaultColWidth="9.1796875" defaultRowHeight="10" x14ac:dyDescent="0.2"/>
  <cols>
    <col min="1" max="1" width="1.453125" style="1" customWidth="1"/>
    <col min="2" max="2" width="35.7265625" style="1" customWidth="1"/>
    <col min="3" max="3" width="4.7265625" style="1" customWidth="1"/>
    <col min="4" max="4" width="9.1796875" style="1" customWidth="1" collapsed="1"/>
    <col min="5" max="5" width="9.1796875" style="1" customWidth="1"/>
    <col min="6" max="16384" width="9.1796875" style="1"/>
  </cols>
  <sheetData>
    <row r="1" spans="1:6" x14ac:dyDescent="0.2">
      <c r="B1" s="1" t="str">
        <f>+'FA Base'!B1</f>
        <v>FA - Standalone</v>
      </c>
      <c r="E1" s="2">
        <f ca="1">TODAY()</f>
        <v>45797</v>
      </c>
    </row>
    <row r="2" spans="1:6" ht="10.5" x14ac:dyDescent="0.25">
      <c r="B2" s="3" t="s">
        <v>1407</v>
      </c>
      <c r="C2" s="3"/>
    </row>
    <row r="3" spans="1:6" s="4" customFormat="1" x14ac:dyDescent="0.2">
      <c r="B3" s="5" t="str">
        <f>+'FA Base'!B3</f>
        <v>(USD in mm)</v>
      </c>
      <c r="C3" s="5"/>
    </row>
    <row r="4" spans="1:6" ht="13.5" x14ac:dyDescent="0.55000000000000004">
      <c r="D4" s="47">
        <v>44742</v>
      </c>
      <c r="E4" s="47" t="s">
        <v>1408</v>
      </c>
    </row>
    <row r="5" spans="1:6" x14ac:dyDescent="0.2">
      <c r="D5" s="40"/>
      <c r="E5" s="40"/>
    </row>
    <row r="6" spans="1:6" ht="11.5" x14ac:dyDescent="0.35">
      <c r="B6" s="1" t="s">
        <v>1409</v>
      </c>
      <c r="D6" s="36">
        <v>153.12508500000001</v>
      </c>
      <c r="E6" s="50">
        <f>+D6</f>
        <v>153.12508500000001</v>
      </c>
    </row>
    <row r="7" spans="1:6" ht="10.5" x14ac:dyDescent="0.25">
      <c r="B7" s="32" t="s">
        <v>1410</v>
      </c>
      <c r="D7" s="51">
        <f>SUM(D6:D6)</f>
        <v>153.12508500000001</v>
      </c>
      <c r="E7" s="51">
        <f>SUM(E6:E6)</f>
        <v>153.12508500000001</v>
      </c>
      <c r="F7" s="40"/>
    </row>
    <row r="8" spans="1:6" x14ac:dyDescent="0.2">
      <c r="B8" s="1" t="s">
        <v>1411</v>
      </c>
      <c r="D8" s="40" t="e">
        <f>+D16</f>
        <v>#VALUE!</v>
      </c>
      <c r="E8" s="40" t="e">
        <f>+E16</f>
        <v>#VALUE!</v>
      </c>
    </row>
    <row r="9" spans="1:6" ht="11.5" x14ac:dyDescent="0.35">
      <c r="B9" s="1" t="s">
        <v>1412</v>
      </c>
      <c r="D9" s="50">
        <f>+D19</f>
        <v>2.757825</v>
      </c>
      <c r="E9" s="50">
        <f>+E19</f>
        <v>2.757825</v>
      </c>
    </row>
    <row r="10" spans="1:6" ht="10.5" x14ac:dyDescent="0.25">
      <c r="B10" s="32" t="s">
        <v>1413</v>
      </c>
      <c r="D10" s="51" t="e">
        <f>+SUM(D7:D9)</f>
        <v>#VALUE!</v>
      </c>
      <c r="E10" s="51" t="e">
        <f>+SUM(E7:E9)</f>
        <v>#VALUE!</v>
      </c>
    </row>
    <row r="11" spans="1:6" x14ac:dyDescent="0.2">
      <c r="D11" s="40"/>
      <c r="E11" s="40"/>
    </row>
    <row r="12" spans="1:6" ht="10.5" x14ac:dyDescent="0.25">
      <c r="A12" s="1" t="s">
        <v>26</v>
      </c>
      <c r="B12" s="26" t="s">
        <v>1411</v>
      </c>
      <c r="D12" s="40"/>
      <c r="E12" s="40"/>
    </row>
    <row r="13" spans="1:6" x14ac:dyDescent="0.2">
      <c r="B13" s="1" t="s">
        <v>1414</v>
      </c>
      <c r="D13" s="48">
        <v>4.2023669999999997</v>
      </c>
      <c r="E13" s="49">
        <f>+D13</f>
        <v>4.2023669999999997</v>
      </c>
    </row>
    <row r="14" spans="1:6" x14ac:dyDescent="0.2">
      <c r="B14" s="1" t="s">
        <v>1415</v>
      </c>
      <c r="D14" s="62">
        <v>15.27</v>
      </c>
      <c r="E14" s="67">
        <f>+D14</f>
        <v>15.27</v>
      </c>
    </row>
    <row r="15" spans="1:6" x14ac:dyDescent="0.2">
      <c r="B15" s="1" t="s">
        <v>729</v>
      </c>
      <c r="D15" s="68" t="str">
        <f>_xll.ciqfunctions.udf.CIQ($B$1, "IQ_LASTSALEPRICE", D$4)</f>
        <v>(Invalid Identifier)</v>
      </c>
      <c r="E15" s="68" t="str">
        <f>_xll.ciqfunctions.udf.CIQ($B$1, "IQ_LASTSALEPRICE")</f>
        <v>(Invalid Identifier)</v>
      </c>
    </row>
    <row r="16" spans="1:6" x14ac:dyDescent="0.2">
      <c r="B16" s="1" t="s">
        <v>1416</v>
      </c>
      <c r="D16" s="40" t="e">
        <f>(D15-D14)/D15*D13</f>
        <v>#VALUE!</v>
      </c>
      <c r="E16" s="40" t="e">
        <f>(E15-E14)/E15*E13</f>
        <v>#VALUE!</v>
      </c>
    </row>
    <row r="17" spans="1:5" x14ac:dyDescent="0.2">
      <c r="D17" s="40"/>
      <c r="E17" s="40"/>
    </row>
    <row r="18" spans="1:5" ht="10.5" x14ac:dyDescent="0.25">
      <c r="A18" s="1" t="s">
        <v>26</v>
      </c>
      <c r="B18" s="26" t="s">
        <v>1417</v>
      </c>
      <c r="D18" s="40"/>
      <c r="E18" s="40"/>
    </row>
    <row r="19" spans="1:5" x14ac:dyDescent="0.2">
      <c r="B19" s="1" t="s">
        <v>1417</v>
      </c>
      <c r="D19" s="48">
        <f>0.476525+2.2813</f>
        <v>2.757825</v>
      </c>
      <c r="E19" s="49">
        <f>+D19</f>
        <v>2.757825</v>
      </c>
    </row>
    <row r="20" spans="1:5" x14ac:dyDescent="0.2">
      <c r="D20" s="40"/>
      <c r="E20" s="40"/>
    </row>
    <row r="21" spans="1:5" ht="10.5" x14ac:dyDescent="0.25">
      <c r="B21" s="26"/>
      <c r="D21" s="40"/>
      <c r="E21" s="40"/>
    </row>
    <row r="22" spans="1:5" x14ac:dyDescent="0.2">
      <c r="D22" s="48"/>
      <c r="E22" s="49"/>
    </row>
    <row r="23" spans="1:5" x14ac:dyDescent="0.2">
      <c r="D23" s="66"/>
      <c r="E23" s="69"/>
    </row>
    <row r="24" spans="1:5" x14ac:dyDescent="0.2">
      <c r="D24" s="68"/>
      <c r="E24" s="68"/>
    </row>
    <row r="25" spans="1:5" x14ac:dyDescent="0.2">
      <c r="D25" s="49"/>
      <c r="E25" s="49"/>
    </row>
    <row r="26" spans="1:5" x14ac:dyDescent="0.2">
      <c r="D26" s="49"/>
      <c r="E26" s="49"/>
    </row>
    <row r="27" spans="1:5" x14ac:dyDescent="0.2">
      <c r="D27" s="40"/>
      <c r="E27" s="40"/>
    </row>
    <row r="28" spans="1:5" ht="10.5" x14ac:dyDescent="0.25">
      <c r="B28" s="26"/>
      <c r="D28" s="40"/>
      <c r="E28" s="40"/>
    </row>
    <row r="29" spans="1:5" x14ac:dyDescent="0.2">
      <c r="D29" s="48"/>
      <c r="E29" s="49"/>
    </row>
    <row r="30" spans="1:5" x14ac:dyDescent="0.2">
      <c r="D30" s="66"/>
      <c r="E30" s="69"/>
    </row>
    <row r="31" spans="1:5" x14ac:dyDescent="0.2">
      <c r="D31" s="68"/>
      <c r="E31" s="68"/>
    </row>
    <row r="32" spans="1:5" x14ac:dyDescent="0.2">
      <c r="D32" s="49"/>
      <c r="E32" s="49"/>
    </row>
    <row r="33" spans="4:5" x14ac:dyDescent="0.2">
      <c r="D33" s="49"/>
      <c r="E33" s="49"/>
    </row>
    <row r="34" spans="4:5" x14ac:dyDescent="0.2">
      <c r="D34" s="40"/>
      <c r="E34" s="40"/>
    </row>
    <row r="35" spans="4:5" x14ac:dyDescent="0.2">
      <c r="D35" s="40"/>
      <c r="E35" s="40"/>
    </row>
    <row r="36" spans="4:5" x14ac:dyDescent="0.2">
      <c r="D36" s="40"/>
      <c r="E36" s="40"/>
    </row>
    <row r="37" spans="4:5" x14ac:dyDescent="0.2">
      <c r="D37" s="40"/>
      <c r="E37" s="40"/>
    </row>
    <row r="38" spans="4:5" x14ac:dyDescent="0.2">
      <c r="D38" s="40"/>
      <c r="E38" s="40"/>
    </row>
    <row r="39" spans="4:5" x14ac:dyDescent="0.2">
      <c r="D39" s="40"/>
      <c r="E39" s="40"/>
    </row>
    <row r="40" spans="4:5" x14ac:dyDescent="0.2">
      <c r="D40" s="40"/>
      <c r="E40" s="40"/>
    </row>
    <row r="41" spans="4:5" x14ac:dyDescent="0.2">
      <c r="D41" s="40"/>
      <c r="E41" s="40"/>
    </row>
    <row r="42" spans="4:5" x14ac:dyDescent="0.2">
      <c r="D42" s="40"/>
      <c r="E42" s="40"/>
    </row>
    <row r="43" spans="4:5" x14ac:dyDescent="0.2">
      <c r="D43" s="40"/>
      <c r="E43" s="40"/>
    </row>
    <row r="44" spans="4:5" x14ac:dyDescent="0.2">
      <c r="D44" s="40"/>
      <c r="E44" s="40"/>
    </row>
    <row r="45" spans="4:5" x14ac:dyDescent="0.2">
      <c r="D45" s="40"/>
      <c r="E45" s="40"/>
    </row>
    <row r="46" spans="4:5" x14ac:dyDescent="0.2">
      <c r="D46" s="40"/>
      <c r="E46" s="40"/>
    </row>
    <row r="47" spans="4:5" x14ac:dyDescent="0.2">
      <c r="D47" s="40"/>
      <c r="E47" s="40"/>
    </row>
    <row r="48" spans="4:5" x14ac:dyDescent="0.2">
      <c r="D48" s="40"/>
      <c r="E48" s="40"/>
    </row>
    <row r="49" spans="4:5" x14ac:dyDescent="0.2">
      <c r="D49" s="40"/>
      <c r="E49" s="40"/>
    </row>
    <row r="50" spans="4:5" x14ac:dyDescent="0.2">
      <c r="D50" s="40"/>
      <c r="E50" s="40"/>
    </row>
    <row r="51" spans="4:5" x14ac:dyDescent="0.2">
      <c r="D51" s="40"/>
      <c r="E51" s="40"/>
    </row>
    <row r="52" spans="4:5" x14ac:dyDescent="0.2">
      <c r="D52" s="40"/>
      <c r="E52" s="40"/>
    </row>
    <row r="53" spans="4:5" x14ac:dyDescent="0.2">
      <c r="D53" s="40"/>
      <c r="E53" s="40"/>
    </row>
    <row r="54" spans="4:5" x14ac:dyDescent="0.2">
      <c r="D54" s="40"/>
      <c r="E54" s="40"/>
    </row>
    <row r="55" spans="4:5" x14ac:dyDescent="0.2">
      <c r="D55" s="40"/>
      <c r="E55" s="40"/>
    </row>
    <row r="56" spans="4:5" x14ac:dyDescent="0.2">
      <c r="D56" s="40"/>
      <c r="E56" s="40"/>
    </row>
    <row r="57" spans="4:5" x14ac:dyDescent="0.2">
      <c r="D57" s="40"/>
      <c r="E57" s="40"/>
    </row>
    <row r="58" spans="4:5" x14ac:dyDescent="0.2">
      <c r="D58" s="40"/>
      <c r="E58" s="40"/>
    </row>
    <row r="59" spans="4:5" x14ac:dyDescent="0.2">
      <c r="D59" s="40"/>
      <c r="E59" s="40"/>
    </row>
    <row r="60" spans="4:5" x14ac:dyDescent="0.2">
      <c r="D60" s="40"/>
      <c r="E60" s="40"/>
    </row>
    <row r="61" spans="4:5" x14ac:dyDescent="0.2">
      <c r="D61" s="40"/>
      <c r="E61" s="40"/>
    </row>
    <row r="62" spans="4:5" x14ac:dyDescent="0.2">
      <c r="D62" s="40"/>
      <c r="E62" s="40"/>
    </row>
    <row r="63" spans="4:5" x14ac:dyDescent="0.2">
      <c r="D63" s="40"/>
      <c r="E63" s="40"/>
    </row>
    <row r="64" spans="4:5" x14ac:dyDescent="0.2">
      <c r="D64" s="40"/>
      <c r="E64" s="40"/>
    </row>
    <row r="65" spans="4:5" x14ac:dyDescent="0.2">
      <c r="D65" s="40"/>
      <c r="E65" s="40"/>
    </row>
    <row r="66" spans="4:5" x14ac:dyDescent="0.2">
      <c r="D66" s="40"/>
      <c r="E66" s="40"/>
    </row>
    <row r="67" spans="4:5" x14ac:dyDescent="0.2">
      <c r="D67" s="40"/>
      <c r="E67" s="40"/>
    </row>
    <row r="68" spans="4:5" x14ac:dyDescent="0.2">
      <c r="D68" s="40"/>
      <c r="E68" s="40"/>
    </row>
    <row r="69" spans="4:5" x14ac:dyDescent="0.2">
      <c r="D69" s="40"/>
      <c r="E69" s="40"/>
    </row>
    <row r="70" spans="4:5" x14ac:dyDescent="0.2">
      <c r="D70" s="40"/>
      <c r="E70" s="40"/>
    </row>
    <row r="71" spans="4:5" x14ac:dyDescent="0.2">
      <c r="D71" s="40"/>
      <c r="E71" s="40"/>
    </row>
    <row r="72" spans="4:5" x14ac:dyDescent="0.2">
      <c r="D72" s="40"/>
      <c r="E72" s="40"/>
    </row>
    <row r="73" spans="4:5" x14ac:dyDescent="0.2">
      <c r="D73" s="40"/>
      <c r="E73" s="40"/>
    </row>
    <row r="74" spans="4:5" x14ac:dyDescent="0.2">
      <c r="D74" s="40"/>
      <c r="E74" s="40"/>
    </row>
    <row r="75" spans="4:5" x14ac:dyDescent="0.2">
      <c r="D75" s="40"/>
      <c r="E75" s="40"/>
    </row>
    <row r="76" spans="4:5" x14ac:dyDescent="0.2">
      <c r="D76" s="40"/>
      <c r="E76" s="40"/>
    </row>
    <row r="77" spans="4:5" x14ac:dyDescent="0.2">
      <c r="D77" s="40"/>
      <c r="E77" s="40"/>
    </row>
    <row r="78" spans="4:5" x14ac:dyDescent="0.2">
      <c r="D78" s="40"/>
      <c r="E78" s="40"/>
    </row>
    <row r="79" spans="4:5" x14ac:dyDescent="0.2">
      <c r="D79" s="40"/>
      <c r="E79" s="40"/>
    </row>
    <row r="80" spans="4:5" x14ac:dyDescent="0.2">
      <c r="D80" s="40"/>
      <c r="E80" s="40"/>
    </row>
    <row r="81" spans="4:5" x14ac:dyDescent="0.2">
      <c r="D81" s="40"/>
      <c r="E81" s="40"/>
    </row>
    <row r="82" spans="4:5" x14ac:dyDescent="0.2">
      <c r="D82" s="40"/>
      <c r="E82" s="40"/>
    </row>
    <row r="83" spans="4:5" x14ac:dyDescent="0.2">
      <c r="D83" s="40"/>
      <c r="E83" s="40"/>
    </row>
    <row r="84" spans="4:5" x14ac:dyDescent="0.2">
      <c r="D84" s="40"/>
      <c r="E84" s="40"/>
    </row>
    <row r="85" spans="4:5" x14ac:dyDescent="0.2">
      <c r="D85" s="40"/>
      <c r="E85" s="40"/>
    </row>
    <row r="86" spans="4:5" x14ac:dyDescent="0.2">
      <c r="D86" s="40"/>
      <c r="E86" s="40"/>
    </row>
    <row r="87" spans="4:5" x14ac:dyDescent="0.2">
      <c r="D87" s="40"/>
      <c r="E87" s="40"/>
    </row>
    <row r="88" spans="4:5" x14ac:dyDescent="0.2">
      <c r="D88" s="40"/>
      <c r="E88" s="40"/>
    </row>
    <row r="89" spans="4:5" x14ac:dyDescent="0.2">
      <c r="D89" s="40"/>
      <c r="E89" s="40"/>
    </row>
    <row r="90" spans="4:5" x14ac:dyDescent="0.2">
      <c r="D90" s="40"/>
      <c r="E90" s="40"/>
    </row>
    <row r="91" spans="4:5" x14ac:dyDescent="0.2">
      <c r="D91" s="40"/>
      <c r="E91" s="40"/>
    </row>
    <row r="92" spans="4:5" x14ac:dyDescent="0.2">
      <c r="D92" s="40"/>
      <c r="E92" s="40"/>
    </row>
    <row r="93" spans="4:5" x14ac:dyDescent="0.2">
      <c r="D93" s="40"/>
      <c r="E93" s="40"/>
    </row>
    <row r="94" spans="4:5" x14ac:dyDescent="0.2">
      <c r="D94" s="40"/>
      <c r="E94" s="40"/>
    </row>
    <row r="95" spans="4:5" x14ac:dyDescent="0.2">
      <c r="D95" s="40"/>
      <c r="E95" s="40"/>
    </row>
    <row r="96" spans="4:5" x14ac:dyDescent="0.2">
      <c r="D96" s="40"/>
      <c r="E96" s="40"/>
    </row>
    <row r="97" spans="4:5" x14ac:dyDescent="0.2">
      <c r="D97" s="40"/>
      <c r="E97" s="40"/>
    </row>
    <row r="98" spans="4:5" x14ac:dyDescent="0.2">
      <c r="D98" s="40"/>
      <c r="E98" s="40"/>
    </row>
    <row r="99" spans="4:5" x14ac:dyDescent="0.2">
      <c r="D99" s="40"/>
      <c r="E99" s="40"/>
    </row>
    <row r="100" spans="4:5" x14ac:dyDescent="0.2">
      <c r="D100" s="40"/>
      <c r="E100" s="40"/>
    </row>
    <row r="101" spans="4:5" x14ac:dyDescent="0.2">
      <c r="D101" s="40"/>
      <c r="E101" s="40"/>
    </row>
    <row r="102" spans="4:5" x14ac:dyDescent="0.2">
      <c r="D102" s="40"/>
      <c r="E102" s="40"/>
    </row>
    <row r="103" spans="4:5" x14ac:dyDescent="0.2">
      <c r="D103" s="40"/>
      <c r="E103" s="40"/>
    </row>
    <row r="104" spans="4:5" x14ac:dyDescent="0.2">
      <c r="D104" s="40"/>
      <c r="E104" s="40"/>
    </row>
    <row r="105" spans="4:5" x14ac:dyDescent="0.2">
      <c r="D105" s="40"/>
      <c r="E105" s="40"/>
    </row>
    <row r="106" spans="4:5" x14ac:dyDescent="0.2">
      <c r="D106" s="40"/>
      <c r="E106" s="40"/>
    </row>
    <row r="107" spans="4:5" x14ac:dyDescent="0.2">
      <c r="D107" s="40"/>
      <c r="E107" s="40"/>
    </row>
    <row r="108" spans="4:5" x14ac:dyDescent="0.2">
      <c r="D108" s="40"/>
      <c r="E108" s="40"/>
    </row>
    <row r="109" spans="4:5" x14ac:dyDescent="0.2">
      <c r="D109" s="40"/>
      <c r="E109" s="40"/>
    </row>
    <row r="110" spans="4:5" x14ac:dyDescent="0.2">
      <c r="D110" s="40"/>
      <c r="E110" s="40"/>
    </row>
    <row r="111" spans="4:5" x14ac:dyDescent="0.2">
      <c r="D111" s="40"/>
      <c r="E111" s="40"/>
    </row>
    <row r="112" spans="4:5" x14ac:dyDescent="0.2">
      <c r="D112" s="40"/>
      <c r="E112" s="40"/>
    </row>
    <row r="113" spans="4:5" x14ac:dyDescent="0.2">
      <c r="D113" s="40"/>
      <c r="E113" s="40"/>
    </row>
    <row r="114" spans="4:5" x14ac:dyDescent="0.2">
      <c r="D114" s="40"/>
      <c r="E114" s="40"/>
    </row>
    <row r="115" spans="4:5" x14ac:dyDescent="0.2">
      <c r="D115" s="40"/>
      <c r="E115" s="40"/>
    </row>
    <row r="116" spans="4:5" x14ac:dyDescent="0.2">
      <c r="D116" s="40"/>
      <c r="E116" s="40"/>
    </row>
    <row r="117" spans="4:5" x14ac:dyDescent="0.2">
      <c r="D117" s="40"/>
      <c r="E117" s="40"/>
    </row>
    <row r="118" spans="4:5" x14ac:dyDescent="0.2">
      <c r="D118" s="40"/>
      <c r="E118" s="40"/>
    </row>
    <row r="119" spans="4:5" x14ac:dyDescent="0.2">
      <c r="D119" s="40"/>
      <c r="E119" s="40"/>
    </row>
    <row r="120" spans="4:5" x14ac:dyDescent="0.2">
      <c r="D120" s="40"/>
      <c r="E120" s="40"/>
    </row>
    <row r="121" spans="4:5" x14ac:dyDescent="0.2">
      <c r="D121" s="40"/>
      <c r="E121" s="40"/>
    </row>
    <row r="122" spans="4:5" x14ac:dyDescent="0.2">
      <c r="D122" s="40"/>
      <c r="E122" s="40"/>
    </row>
    <row r="123" spans="4:5" x14ac:dyDescent="0.2">
      <c r="D123" s="40"/>
      <c r="E123" s="40"/>
    </row>
    <row r="124" spans="4:5" x14ac:dyDescent="0.2">
      <c r="D124" s="40"/>
      <c r="E124" s="40"/>
    </row>
    <row r="125" spans="4:5" x14ac:dyDescent="0.2">
      <c r="D125" s="40"/>
      <c r="E125" s="40"/>
    </row>
    <row r="126" spans="4:5" x14ac:dyDescent="0.2">
      <c r="D126" s="40"/>
      <c r="E126" s="40"/>
    </row>
    <row r="127" spans="4:5" x14ac:dyDescent="0.2">
      <c r="D127" s="40"/>
      <c r="E127" s="40"/>
    </row>
    <row r="128" spans="4:5" x14ac:dyDescent="0.2">
      <c r="D128" s="40"/>
      <c r="E128" s="40"/>
    </row>
    <row r="129" spans="4:5" x14ac:dyDescent="0.2">
      <c r="D129" s="40"/>
      <c r="E129" s="40"/>
    </row>
    <row r="130" spans="4:5" x14ac:dyDescent="0.2">
      <c r="D130" s="40"/>
      <c r="E130" s="40"/>
    </row>
    <row r="131" spans="4:5" x14ac:dyDescent="0.2">
      <c r="D131" s="40"/>
      <c r="E131" s="40"/>
    </row>
    <row r="132" spans="4:5" x14ac:dyDescent="0.2">
      <c r="D132" s="40"/>
      <c r="E132" s="40"/>
    </row>
    <row r="133" spans="4:5" x14ac:dyDescent="0.2">
      <c r="D133" s="40"/>
      <c r="E133" s="40"/>
    </row>
    <row r="134" spans="4:5" x14ac:dyDescent="0.2">
      <c r="D134" s="40"/>
      <c r="E134" s="40"/>
    </row>
    <row r="135" spans="4:5" x14ac:dyDescent="0.2">
      <c r="D135" s="40"/>
      <c r="E135" s="40"/>
    </row>
    <row r="136" spans="4:5" x14ac:dyDescent="0.2">
      <c r="D136" s="40"/>
      <c r="E136" s="40"/>
    </row>
    <row r="137" spans="4:5" x14ac:dyDescent="0.2">
      <c r="D137" s="40"/>
      <c r="E137" s="40"/>
    </row>
    <row r="138" spans="4:5" x14ac:dyDescent="0.2">
      <c r="D138" s="40"/>
      <c r="E138" s="40"/>
    </row>
    <row r="139" spans="4:5" x14ac:dyDescent="0.2">
      <c r="D139" s="40"/>
      <c r="E139" s="40"/>
    </row>
    <row r="140" spans="4:5" x14ac:dyDescent="0.2">
      <c r="D140" s="40"/>
      <c r="E140" s="40"/>
    </row>
    <row r="141" spans="4:5" x14ac:dyDescent="0.2">
      <c r="D141" s="40"/>
      <c r="E141" s="40"/>
    </row>
    <row r="142" spans="4:5" x14ac:dyDescent="0.2">
      <c r="D142" s="40"/>
      <c r="E142" s="40"/>
    </row>
    <row r="143" spans="4:5" x14ac:dyDescent="0.2">
      <c r="D143" s="40"/>
      <c r="E143" s="40"/>
    </row>
    <row r="144" spans="4:5" x14ac:dyDescent="0.2">
      <c r="D144" s="40"/>
      <c r="E144" s="40"/>
    </row>
    <row r="145" spans="4:5" x14ac:dyDescent="0.2">
      <c r="D145" s="40"/>
      <c r="E145" s="40"/>
    </row>
    <row r="146" spans="4:5" x14ac:dyDescent="0.2">
      <c r="D146" s="40"/>
      <c r="E146" s="40"/>
    </row>
    <row r="147" spans="4:5" x14ac:dyDescent="0.2">
      <c r="D147" s="40"/>
      <c r="E147" s="40"/>
    </row>
    <row r="148" spans="4:5" x14ac:dyDescent="0.2">
      <c r="D148" s="40"/>
      <c r="E148" s="40"/>
    </row>
    <row r="149" spans="4:5" x14ac:dyDescent="0.2">
      <c r="D149" s="40"/>
      <c r="E149" s="40"/>
    </row>
    <row r="150" spans="4:5" x14ac:dyDescent="0.2">
      <c r="D150" s="40"/>
      <c r="E150" s="40"/>
    </row>
    <row r="151" spans="4:5" x14ac:dyDescent="0.2">
      <c r="D151" s="40"/>
      <c r="E151" s="40"/>
    </row>
    <row r="152" spans="4:5" x14ac:dyDescent="0.2">
      <c r="D152" s="40"/>
      <c r="E152" s="40"/>
    </row>
    <row r="153" spans="4:5" x14ac:dyDescent="0.2">
      <c r="D153" s="40"/>
      <c r="E153" s="40"/>
    </row>
    <row r="154" spans="4:5" x14ac:dyDescent="0.2">
      <c r="D154" s="40"/>
      <c r="E154" s="40"/>
    </row>
    <row r="155" spans="4:5" x14ac:dyDescent="0.2">
      <c r="D155" s="40"/>
      <c r="E155" s="40"/>
    </row>
    <row r="156" spans="4:5" x14ac:dyDescent="0.2">
      <c r="D156" s="40"/>
      <c r="E156" s="40"/>
    </row>
    <row r="157" spans="4:5" x14ac:dyDescent="0.2">
      <c r="D157" s="40"/>
      <c r="E157" s="40"/>
    </row>
    <row r="158" spans="4:5" x14ac:dyDescent="0.2">
      <c r="D158" s="40"/>
      <c r="E158" s="40"/>
    </row>
    <row r="159" spans="4:5" x14ac:dyDescent="0.2">
      <c r="D159" s="40"/>
      <c r="E159" s="40"/>
    </row>
    <row r="160" spans="4:5" x14ac:dyDescent="0.2">
      <c r="D160" s="40"/>
      <c r="E160" s="40"/>
    </row>
    <row r="161" spans="4:5" x14ac:dyDescent="0.2">
      <c r="D161" s="40"/>
      <c r="E161" s="40"/>
    </row>
    <row r="162" spans="4:5" x14ac:dyDescent="0.2">
      <c r="D162" s="40"/>
      <c r="E162" s="40"/>
    </row>
    <row r="163" spans="4:5" x14ac:dyDescent="0.2">
      <c r="D163" s="40"/>
      <c r="E163" s="40"/>
    </row>
    <row r="164" spans="4:5" x14ac:dyDescent="0.2">
      <c r="D164" s="40"/>
      <c r="E164" s="40"/>
    </row>
    <row r="165" spans="4:5" x14ac:dyDescent="0.2">
      <c r="D165" s="40"/>
      <c r="E165" s="40"/>
    </row>
    <row r="166" spans="4:5" x14ac:dyDescent="0.2">
      <c r="D166" s="40"/>
      <c r="E166" s="40"/>
    </row>
    <row r="167" spans="4:5" x14ac:dyDescent="0.2">
      <c r="D167" s="40"/>
      <c r="E167" s="40"/>
    </row>
    <row r="168" spans="4:5" x14ac:dyDescent="0.2">
      <c r="D168" s="40"/>
      <c r="E168" s="40"/>
    </row>
    <row r="169" spans="4:5" x14ac:dyDescent="0.2">
      <c r="D169" s="40"/>
      <c r="E169" s="40"/>
    </row>
    <row r="170" spans="4:5" x14ac:dyDescent="0.2">
      <c r="D170" s="40"/>
      <c r="E170" s="40"/>
    </row>
    <row r="171" spans="4:5" x14ac:dyDescent="0.2">
      <c r="D171" s="40"/>
      <c r="E171" s="40"/>
    </row>
    <row r="172" spans="4:5" x14ac:dyDescent="0.2">
      <c r="D172" s="40"/>
      <c r="E172" s="40"/>
    </row>
    <row r="173" spans="4:5" x14ac:dyDescent="0.2">
      <c r="D173" s="40"/>
      <c r="E173" s="40"/>
    </row>
    <row r="174" spans="4:5" x14ac:dyDescent="0.2">
      <c r="D174" s="40"/>
      <c r="E174" s="40"/>
    </row>
    <row r="175" spans="4:5" x14ac:dyDescent="0.2">
      <c r="D175" s="40"/>
      <c r="E175" s="40"/>
    </row>
    <row r="176" spans="4:5" x14ac:dyDescent="0.2">
      <c r="D176" s="40"/>
      <c r="E176" s="40"/>
    </row>
    <row r="177" spans="4:5" x14ac:dyDescent="0.2">
      <c r="D177" s="40"/>
      <c r="E177" s="40"/>
    </row>
    <row r="178" spans="4:5" x14ac:dyDescent="0.2">
      <c r="D178" s="40"/>
      <c r="E178" s="40"/>
    </row>
    <row r="179" spans="4:5" x14ac:dyDescent="0.2">
      <c r="D179" s="40"/>
      <c r="E179" s="40"/>
    </row>
    <row r="180" spans="4:5" x14ac:dyDescent="0.2">
      <c r="D180" s="40"/>
      <c r="E180" s="40"/>
    </row>
    <row r="181" spans="4:5" x14ac:dyDescent="0.2">
      <c r="D181" s="40"/>
      <c r="E181" s="40"/>
    </row>
    <row r="182" spans="4:5" x14ac:dyDescent="0.2">
      <c r="D182" s="40"/>
      <c r="E182" s="40"/>
    </row>
    <row r="183" spans="4:5" x14ac:dyDescent="0.2">
      <c r="D183" s="40"/>
      <c r="E183" s="40"/>
    </row>
    <row r="184" spans="4:5" x14ac:dyDescent="0.2">
      <c r="D184" s="40"/>
      <c r="E184" s="40"/>
    </row>
    <row r="185" spans="4:5" x14ac:dyDescent="0.2">
      <c r="D185" s="40"/>
      <c r="E185" s="40"/>
    </row>
    <row r="186" spans="4:5" x14ac:dyDescent="0.2">
      <c r="D186" s="40"/>
      <c r="E186" s="40"/>
    </row>
    <row r="187" spans="4:5" x14ac:dyDescent="0.2">
      <c r="D187" s="40"/>
      <c r="E187" s="40"/>
    </row>
    <row r="188" spans="4:5" x14ac:dyDescent="0.2">
      <c r="D188" s="40"/>
      <c r="E188" s="40"/>
    </row>
    <row r="189" spans="4:5" x14ac:dyDescent="0.2">
      <c r="D189" s="40"/>
      <c r="E189" s="40"/>
    </row>
    <row r="190" spans="4:5" x14ac:dyDescent="0.2">
      <c r="D190" s="40"/>
      <c r="E190" s="40"/>
    </row>
    <row r="191" spans="4:5" x14ac:dyDescent="0.2">
      <c r="D191" s="40"/>
      <c r="E191" s="40"/>
    </row>
    <row r="192" spans="4:5" x14ac:dyDescent="0.2">
      <c r="D192" s="40"/>
      <c r="E192" s="40"/>
    </row>
    <row r="193" spans="4:5" x14ac:dyDescent="0.2">
      <c r="D193" s="40"/>
      <c r="E193" s="40"/>
    </row>
    <row r="194" spans="4:5" x14ac:dyDescent="0.2">
      <c r="D194" s="40"/>
      <c r="E194" s="40"/>
    </row>
    <row r="195" spans="4:5" x14ac:dyDescent="0.2">
      <c r="D195" s="40"/>
      <c r="E195" s="40"/>
    </row>
    <row r="196" spans="4:5" x14ac:dyDescent="0.2">
      <c r="D196" s="40"/>
      <c r="E196" s="40"/>
    </row>
    <row r="197" spans="4:5" x14ac:dyDescent="0.2">
      <c r="D197" s="40"/>
      <c r="E197" s="40"/>
    </row>
    <row r="198" spans="4:5" x14ac:dyDescent="0.2">
      <c r="D198" s="40"/>
      <c r="E198" s="40"/>
    </row>
    <row r="199" spans="4:5" x14ac:dyDescent="0.2">
      <c r="D199" s="40"/>
      <c r="E199" s="40"/>
    </row>
    <row r="200" spans="4:5" x14ac:dyDescent="0.2">
      <c r="D200" s="40"/>
      <c r="E200" s="40"/>
    </row>
    <row r="201" spans="4:5" x14ac:dyDescent="0.2">
      <c r="D201" s="40"/>
      <c r="E201" s="40"/>
    </row>
    <row r="202" spans="4:5" x14ac:dyDescent="0.2">
      <c r="D202" s="40"/>
      <c r="E202" s="40"/>
    </row>
    <row r="203" spans="4:5" x14ac:dyDescent="0.2">
      <c r="D203" s="40"/>
      <c r="E203" s="40"/>
    </row>
    <row r="204" spans="4:5" x14ac:dyDescent="0.2">
      <c r="D204" s="40"/>
      <c r="E204" s="40"/>
    </row>
    <row r="205" spans="4:5" x14ac:dyDescent="0.2">
      <c r="D205" s="40"/>
      <c r="E205" s="40"/>
    </row>
    <row r="206" spans="4:5" x14ac:dyDescent="0.2">
      <c r="D206" s="40"/>
      <c r="E206" s="40"/>
    </row>
    <row r="207" spans="4:5" x14ac:dyDescent="0.2">
      <c r="D207" s="40"/>
      <c r="E207" s="40"/>
    </row>
    <row r="208" spans="4:5" x14ac:dyDescent="0.2">
      <c r="D208" s="40"/>
      <c r="E208" s="40"/>
    </row>
    <row r="209" spans="4:5" x14ac:dyDescent="0.2">
      <c r="D209" s="40"/>
      <c r="E209" s="40"/>
    </row>
    <row r="210" spans="4:5" x14ac:dyDescent="0.2">
      <c r="D210" s="40"/>
      <c r="E210" s="40"/>
    </row>
    <row r="211" spans="4:5" x14ac:dyDescent="0.2">
      <c r="D211" s="52"/>
      <c r="E211" s="52"/>
    </row>
    <row r="212" spans="4:5" x14ac:dyDescent="0.2">
      <c r="D212" s="52"/>
      <c r="E212" s="52"/>
    </row>
    <row r="213" spans="4:5" x14ac:dyDescent="0.2">
      <c r="D213" s="52"/>
      <c r="E213" s="52"/>
    </row>
    <row r="214" spans="4:5" x14ac:dyDescent="0.2">
      <c r="D214" s="52"/>
      <c r="E214" s="52"/>
    </row>
    <row r="215" spans="4:5" x14ac:dyDescent="0.2">
      <c r="D215" s="52"/>
      <c r="E215" s="52"/>
    </row>
    <row r="216" spans="4:5" x14ac:dyDescent="0.2">
      <c r="D216" s="52"/>
      <c r="E216" s="52"/>
    </row>
    <row r="217" spans="4:5" x14ac:dyDescent="0.2">
      <c r="D217" s="52"/>
      <c r="E217" s="52"/>
    </row>
    <row r="218" spans="4:5" x14ac:dyDescent="0.2">
      <c r="D218" s="52"/>
      <c r="E218" s="52"/>
    </row>
    <row r="219" spans="4:5" x14ac:dyDescent="0.2">
      <c r="D219" s="52"/>
      <c r="E219" s="52"/>
    </row>
    <row r="220" spans="4:5" x14ac:dyDescent="0.2">
      <c r="D220" s="52"/>
      <c r="E220" s="52"/>
    </row>
    <row r="221" spans="4:5" x14ac:dyDescent="0.2">
      <c r="D221" s="52"/>
      <c r="E221" s="52"/>
    </row>
    <row r="222" spans="4:5" x14ac:dyDescent="0.2">
      <c r="D222" s="52"/>
      <c r="E222" s="52"/>
    </row>
    <row r="223" spans="4:5" x14ac:dyDescent="0.2">
      <c r="D223" s="52"/>
      <c r="E223" s="52"/>
    </row>
    <row r="224" spans="4:5" x14ac:dyDescent="0.2">
      <c r="D224" s="52"/>
      <c r="E224" s="52"/>
    </row>
    <row r="225" spans="4:5" x14ac:dyDescent="0.2">
      <c r="D225" s="52"/>
      <c r="E225" s="52"/>
    </row>
    <row r="226" spans="4:5" x14ac:dyDescent="0.2">
      <c r="D226" s="52"/>
      <c r="E226" s="52"/>
    </row>
    <row r="227" spans="4:5" x14ac:dyDescent="0.2">
      <c r="D227" s="52"/>
      <c r="E227" s="52"/>
    </row>
    <row r="228" spans="4:5" x14ac:dyDescent="0.2">
      <c r="D228" s="52"/>
      <c r="E228" s="52"/>
    </row>
    <row r="229" spans="4:5" x14ac:dyDescent="0.2">
      <c r="D229" s="52"/>
      <c r="E229" s="52"/>
    </row>
    <row r="230" spans="4:5" x14ac:dyDescent="0.2">
      <c r="D230" s="52"/>
      <c r="E230" s="52"/>
    </row>
    <row r="231" spans="4:5" x14ac:dyDescent="0.2">
      <c r="D231" s="52"/>
      <c r="E231" s="52"/>
    </row>
    <row r="232" spans="4:5" x14ac:dyDescent="0.2">
      <c r="D232" s="52"/>
      <c r="E232" s="52"/>
    </row>
    <row r="233" spans="4:5" x14ac:dyDescent="0.2">
      <c r="D233" s="52"/>
      <c r="E233" s="52"/>
    </row>
    <row r="234" spans="4:5" x14ac:dyDescent="0.2">
      <c r="D234" s="52"/>
      <c r="E234" s="52"/>
    </row>
    <row r="235" spans="4:5" x14ac:dyDescent="0.2">
      <c r="D235" s="52"/>
      <c r="E235" s="52"/>
    </row>
    <row r="236" spans="4:5" x14ac:dyDescent="0.2">
      <c r="D236" s="52"/>
      <c r="E236" s="52"/>
    </row>
    <row r="237" spans="4:5" x14ac:dyDescent="0.2">
      <c r="D237" s="52"/>
      <c r="E237" s="52"/>
    </row>
    <row r="238" spans="4:5" x14ac:dyDescent="0.2">
      <c r="D238" s="52"/>
      <c r="E238" s="52"/>
    </row>
    <row r="239" spans="4:5" x14ac:dyDescent="0.2">
      <c r="D239" s="52"/>
      <c r="E239" s="52"/>
    </row>
    <row r="240" spans="4:5" x14ac:dyDescent="0.2">
      <c r="D240" s="52"/>
      <c r="E240" s="52"/>
    </row>
    <row r="241" spans="4:5" x14ac:dyDescent="0.2">
      <c r="D241" s="52"/>
      <c r="E241" s="52"/>
    </row>
    <row r="242" spans="4:5" x14ac:dyDescent="0.2">
      <c r="D242" s="52"/>
      <c r="E242" s="52"/>
    </row>
    <row r="243" spans="4:5" x14ac:dyDescent="0.2">
      <c r="D243" s="52"/>
      <c r="E243" s="52"/>
    </row>
    <row r="244" spans="4:5" x14ac:dyDescent="0.2">
      <c r="D244" s="52"/>
      <c r="E244" s="52"/>
    </row>
    <row r="245" spans="4:5" x14ac:dyDescent="0.2">
      <c r="D245" s="52"/>
      <c r="E245" s="52"/>
    </row>
    <row r="246" spans="4:5" x14ac:dyDescent="0.2">
      <c r="D246" s="52"/>
      <c r="E246" s="52"/>
    </row>
    <row r="247" spans="4:5" x14ac:dyDescent="0.2">
      <c r="D247" s="52"/>
      <c r="E247" s="52"/>
    </row>
    <row r="248" spans="4:5" x14ac:dyDescent="0.2">
      <c r="D248" s="52"/>
      <c r="E248" s="52"/>
    </row>
    <row r="249" spans="4:5" x14ac:dyDescent="0.2">
      <c r="D249" s="52"/>
      <c r="E249" s="52"/>
    </row>
    <row r="250" spans="4:5" x14ac:dyDescent="0.2">
      <c r="D250" s="52"/>
      <c r="E250" s="52"/>
    </row>
    <row r="251" spans="4:5" x14ac:dyDescent="0.2">
      <c r="D251" s="52"/>
      <c r="E251" s="52"/>
    </row>
    <row r="252" spans="4:5" x14ac:dyDescent="0.2">
      <c r="D252" s="52"/>
      <c r="E252" s="52"/>
    </row>
    <row r="253" spans="4:5" x14ac:dyDescent="0.2">
      <c r="D253" s="52"/>
      <c r="E253" s="52"/>
    </row>
    <row r="254" spans="4:5" x14ac:dyDescent="0.2">
      <c r="D254" s="52"/>
      <c r="E254" s="52"/>
    </row>
    <row r="255" spans="4:5" x14ac:dyDescent="0.2">
      <c r="D255" s="52"/>
      <c r="E255" s="52"/>
    </row>
    <row r="256" spans="4:5" x14ac:dyDescent="0.2">
      <c r="D256" s="52"/>
      <c r="E256" s="52"/>
    </row>
    <row r="257" spans="4:5" x14ac:dyDescent="0.2">
      <c r="D257" s="52"/>
      <c r="E257" s="52"/>
    </row>
    <row r="258" spans="4:5" x14ac:dyDescent="0.2">
      <c r="D258" s="52"/>
      <c r="E258" s="52"/>
    </row>
    <row r="259" spans="4:5" x14ac:dyDescent="0.2">
      <c r="D259" s="52"/>
      <c r="E259" s="52"/>
    </row>
    <row r="260" spans="4:5" x14ac:dyDescent="0.2">
      <c r="D260" s="52"/>
      <c r="E260" s="52"/>
    </row>
    <row r="261" spans="4:5" x14ac:dyDescent="0.2">
      <c r="D261" s="52"/>
      <c r="E261" s="52"/>
    </row>
    <row r="262" spans="4:5" x14ac:dyDescent="0.2">
      <c r="D262" s="52"/>
      <c r="E262" s="52"/>
    </row>
    <row r="263" spans="4:5" x14ac:dyDescent="0.2">
      <c r="D263" s="52"/>
      <c r="E263" s="52"/>
    </row>
    <row r="264" spans="4:5" x14ac:dyDescent="0.2">
      <c r="D264" s="52"/>
      <c r="E264" s="52"/>
    </row>
    <row r="265" spans="4:5" x14ac:dyDescent="0.2">
      <c r="D265" s="52"/>
      <c r="E265" s="52"/>
    </row>
    <row r="266" spans="4:5" x14ac:dyDescent="0.2">
      <c r="D266" s="52"/>
      <c r="E266" s="52"/>
    </row>
    <row r="267" spans="4:5" x14ac:dyDescent="0.2">
      <c r="D267" s="52"/>
      <c r="E267" s="52"/>
    </row>
    <row r="268" spans="4:5" x14ac:dyDescent="0.2">
      <c r="D268" s="52"/>
      <c r="E268" s="52"/>
    </row>
    <row r="269" spans="4:5" x14ac:dyDescent="0.2">
      <c r="D269" s="52"/>
      <c r="E269" s="52"/>
    </row>
    <row r="270" spans="4:5" x14ac:dyDescent="0.2">
      <c r="D270" s="52"/>
      <c r="E270" s="52"/>
    </row>
    <row r="271" spans="4:5" x14ac:dyDescent="0.2">
      <c r="D271" s="52"/>
      <c r="E271" s="52"/>
    </row>
    <row r="272" spans="4:5" x14ac:dyDescent="0.2">
      <c r="D272" s="52"/>
      <c r="E272" s="52"/>
    </row>
    <row r="273" spans="4:5" x14ac:dyDescent="0.2">
      <c r="D273" s="52"/>
      <c r="E273" s="52"/>
    </row>
    <row r="274" spans="4:5" x14ac:dyDescent="0.2">
      <c r="D274" s="52"/>
      <c r="E274" s="52"/>
    </row>
    <row r="275" spans="4:5" x14ac:dyDescent="0.2">
      <c r="D275" s="52"/>
      <c r="E275" s="52"/>
    </row>
    <row r="276" spans="4:5" x14ac:dyDescent="0.2">
      <c r="D276" s="52"/>
      <c r="E276" s="52"/>
    </row>
    <row r="277" spans="4:5" x14ac:dyDescent="0.2">
      <c r="D277" s="52"/>
      <c r="E277" s="52"/>
    </row>
    <row r="278" spans="4:5" x14ac:dyDescent="0.2">
      <c r="D278" s="52"/>
      <c r="E278" s="52"/>
    </row>
    <row r="279" spans="4:5" x14ac:dyDescent="0.2">
      <c r="D279" s="52"/>
      <c r="E279" s="52"/>
    </row>
    <row r="280" spans="4:5" x14ac:dyDescent="0.2">
      <c r="D280" s="52"/>
      <c r="E280" s="52"/>
    </row>
    <row r="281" spans="4:5" x14ac:dyDescent="0.2">
      <c r="D281" s="52"/>
      <c r="E281" s="52"/>
    </row>
    <row r="282" spans="4:5" x14ac:dyDescent="0.2">
      <c r="D282" s="52"/>
      <c r="E282" s="52"/>
    </row>
    <row r="283" spans="4:5" x14ac:dyDescent="0.2">
      <c r="D283" s="52"/>
      <c r="E283" s="52"/>
    </row>
    <row r="284" spans="4:5" x14ac:dyDescent="0.2">
      <c r="D284" s="52"/>
      <c r="E284" s="52"/>
    </row>
    <row r="285" spans="4:5" x14ac:dyDescent="0.2">
      <c r="D285" s="52"/>
      <c r="E285" s="52"/>
    </row>
    <row r="286" spans="4:5" x14ac:dyDescent="0.2">
      <c r="D286" s="52"/>
      <c r="E286" s="52"/>
    </row>
    <row r="287" spans="4:5" x14ac:dyDescent="0.2">
      <c r="D287" s="52"/>
      <c r="E287" s="52"/>
    </row>
    <row r="288" spans="4:5" x14ac:dyDescent="0.2">
      <c r="D288" s="52"/>
      <c r="E288" s="52"/>
    </row>
    <row r="289" spans="4:5" x14ac:dyDescent="0.2">
      <c r="D289" s="52"/>
      <c r="E289" s="52"/>
    </row>
    <row r="290" spans="4:5" x14ac:dyDescent="0.2">
      <c r="D290" s="52"/>
      <c r="E290" s="52"/>
    </row>
    <row r="291" spans="4:5" x14ac:dyDescent="0.2">
      <c r="D291" s="52"/>
      <c r="E291" s="52"/>
    </row>
    <row r="292" spans="4:5" x14ac:dyDescent="0.2">
      <c r="D292" s="52"/>
      <c r="E292" s="52"/>
    </row>
    <row r="293" spans="4:5" x14ac:dyDescent="0.2">
      <c r="D293" s="52"/>
      <c r="E293" s="52"/>
    </row>
    <row r="294" spans="4:5" x14ac:dyDescent="0.2">
      <c r="D294" s="52"/>
      <c r="E294" s="52"/>
    </row>
    <row r="295" spans="4:5" x14ac:dyDescent="0.2">
      <c r="D295" s="52"/>
      <c r="E295" s="52"/>
    </row>
    <row r="296" spans="4:5" x14ac:dyDescent="0.2">
      <c r="D296" s="52"/>
      <c r="E296" s="52"/>
    </row>
    <row r="297" spans="4:5" x14ac:dyDescent="0.2">
      <c r="D297" s="52"/>
      <c r="E297" s="52"/>
    </row>
    <row r="298" spans="4:5" x14ac:dyDescent="0.2">
      <c r="D298" s="52"/>
      <c r="E298" s="52"/>
    </row>
    <row r="299" spans="4:5" x14ac:dyDescent="0.2">
      <c r="D299" s="52"/>
      <c r="E299" s="52"/>
    </row>
    <row r="300" spans="4:5" x14ac:dyDescent="0.2">
      <c r="D300" s="52"/>
      <c r="E300" s="52"/>
    </row>
    <row r="301" spans="4:5" x14ac:dyDescent="0.2">
      <c r="D301" s="52"/>
      <c r="E301" s="52"/>
    </row>
    <row r="302" spans="4:5" x14ac:dyDescent="0.2">
      <c r="D302" s="52"/>
      <c r="E302" s="52"/>
    </row>
    <row r="303" spans="4:5" x14ac:dyDescent="0.2">
      <c r="D303" s="52"/>
      <c r="E303" s="52"/>
    </row>
    <row r="304" spans="4:5" x14ac:dyDescent="0.2">
      <c r="D304" s="52"/>
      <c r="E304" s="52"/>
    </row>
    <row r="305" spans="4:5" x14ac:dyDescent="0.2">
      <c r="D305" s="52"/>
      <c r="E305" s="52"/>
    </row>
    <row r="306" spans="4:5" x14ac:dyDescent="0.2">
      <c r="D306" s="52"/>
      <c r="E306" s="52"/>
    </row>
    <row r="307" spans="4:5" x14ac:dyDescent="0.2">
      <c r="D307" s="52"/>
      <c r="E307" s="52"/>
    </row>
    <row r="308" spans="4:5" x14ac:dyDescent="0.2">
      <c r="D308" s="52"/>
      <c r="E308" s="52"/>
    </row>
    <row r="309" spans="4:5" x14ac:dyDescent="0.2">
      <c r="D309" s="52"/>
      <c r="E309" s="52"/>
    </row>
    <row r="310" spans="4:5" x14ac:dyDescent="0.2">
      <c r="D310" s="52"/>
      <c r="E310" s="52"/>
    </row>
    <row r="311" spans="4:5" x14ac:dyDescent="0.2">
      <c r="D311" s="52"/>
      <c r="E311" s="52"/>
    </row>
    <row r="312" spans="4:5" x14ac:dyDescent="0.2">
      <c r="D312" s="52"/>
      <c r="E312" s="52"/>
    </row>
    <row r="313" spans="4:5" x14ac:dyDescent="0.2">
      <c r="D313" s="52"/>
      <c r="E313" s="52"/>
    </row>
    <row r="314" spans="4:5" x14ac:dyDescent="0.2">
      <c r="D314" s="52"/>
      <c r="E314" s="52"/>
    </row>
    <row r="315" spans="4:5" x14ac:dyDescent="0.2">
      <c r="D315" s="52"/>
      <c r="E315" s="52"/>
    </row>
    <row r="316" spans="4:5" x14ac:dyDescent="0.2">
      <c r="D316" s="52"/>
      <c r="E316" s="52"/>
    </row>
    <row r="317" spans="4:5" x14ac:dyDescent="0.2">
      <c r="D317" s="52"/>
      <c r="E317" s="52"/>
    </row>
    <row r="318" spans="4:5" x14ac:dyDescent="0.2">
      <c r="D318" s="52"/>
      <c r="E318" s="52"/>
    </row>
    <row r="319" spans="4:5" x14ac:dyDescent="0.2">
      <c r="D319" s="52"/>
      <c r="E319" s="52"/>
    </row>
    <row r="320" spans="4:5" x14ac:dyDescent="0.2">
      <c r="D320" s="52"/>
      <c r="E320" s="52"/>
    </row>
    <row r="321" spans="4:5" x14ac:dyDescent="0.2">
      <c r="D321" s="52"/>
      <c r="E321" s="52"/>
    </row>
    <row r="322" spans="4:5" x14ac:dyDescent="0.2">
      <c r="D322" s="52"/>
      <c r="E322" s="52"/>
    </row>
    <row r="323" spans="4:5" x14ac:dyDescent="0.2">
      <c r="D323" s="52"/>
      <c r="E323" s="52"/>
    </row>
    <row r="324" spans="4:5" x14ac:dyDescent="0.2">
      <c r="D324" s="52"/>
      <c r="E324" s="52"/>
    </row>
    <row r="325" spans="4:5" x14ac:dyDescent="0.2">
      <c r="D325" s="52"/>
      <c r="E325" s="52"/>
    </row>
    <row r="326" spans="4:5" x14ac:dyDescent="0.2">
      <c r="D326" s="52"/>
      <c r="E326" s="52"/>
    </row>
    <row r="327" spans="4:5" x14ac:dyDescent="0.2">
      <c r="D327" s="52"/>
      <c r="E327" s="52"/>
    </row>
    <row r="328" spans="4:5" x14ac:dyDescent="0.2">
      <c r="D328" s="52"/>
      <c r="E328" s="52"/>
    </row>
    <row r="329" spans="4:5" x14ac:dyDescent="0.2">
      <c r="D329" s="52"/>
      <c r="E329" s="52"/>
    </row>
    <row r="330" spans="4:5" x14ac:dyDescent="0.2">
      <c r="D330" s="52"/>
      <c r="E330" s="52"/>
    </row>
    <row r="331" spans="4:5" x14ac:dyDescent="0.2">
      <c r="D331" s="52"/>
      <c r="E331" s="52"/>
    </row>
    <row r="332" spans="4:5" x14ac:dyDescent="0.2">
      <c r="D332" s="52"/>
      <c r="E332" s="52"/>
    </row>
    <row r="333" spans="4:5" x14ac:dyDescent="0.2">
      <c r="D333" s="52"/>
      <c r="E333" s="52"/>
    </row>
    <row r="334" spans="4:5" x14ac:dyDescent="0.2">
      <c r="D334" s="52"/>
      <c r="E334" s="52"/>
    </row>
    <row r="335" spans="4:5" x14ac:dyDescent="0.2">
      <c r="D335" s="52"/>
      <c r="E335" s="52"/>
    </row>
    <row r="336" spans="4:5" x14ac:dyDescent="0.2">
      <c r="D336" s="52"/>
      <c r="E336" s="52"/>
    </row>
    <row r="337" spans="4:5" x14ac:dyDescent="0.2">
      <c r="D337" s="52"/>
      <c r="E337" s="52"/>
    </row>
    <row r="338" spans="4:5" x14ac:dyDescent="0.2">
      <c r="D338" s="52"/>
      <c r="E338" s="52"/>
    </row>
    <row r="339" spans="4:5" x14ac:dyDescent="0.2">
      <c r="D339" s="52"/>
      <c r="E339" s="52"/>
    </row>
    <row r="340" spans="4:5" x14ac:dyDescent="0.2">
      <c r="D340" s="52"/>
      <c r="E340" s="52"/>
    </row>
    <row r="341" spans="4:5" x14ac:dyDescent="0.2">
      <c r="D341" s="52"/>
      <c r="E341" s="52"/>
    </row>
    <row r="342" spans="4:5" x14ac:dyDescent="0.2">
      <c r="D342" s="52"/>
      <c r="E342" s="52"/>
    </row>
    <row r="343" spans="4:5" x14ac:dyDescent="0.2">
      <c r="D343" s="52"/>
      <c r="E343" s="52"/>
    </row>
    <row r="344" spans="4:5" x14ac:dyDescent="0.2">
      <c r="D344" s="52"/>
      <c r="E344" s="52"/>
    </row>
    <row r="345" spans="4:5" x14ac:dyDescent="0.2">
      <c r="D345" s="52"/>
      <c r="E345" s="52"/>
    </row>
    <row r="346" spans="4:5" x14ac:dyDescent="0.2">
      <c r="D346" s="52"/>
      <c r="E346" s="52"/>
    </row>
    <row r="347" spans="4:5" x14ac:dyDescent="0.2">
      <c r="D347" s="52"/>
      <c r="E347" s="52"/>
    </row>
    <row r="348" spans="4:5" x14ac:dyDescent="0.2">
      <c r="D348" s="52"/>
      <c r="E348" s="52"/>
    </row>
    <row r="349" spans="4:5" x14ac:dyDescent="0.2">
      <c r="D349" s="52"/>
      <c r="E349" s="52"/>
    </row>
    <row r="350" spans="4:5" x14ac:dyDescent="0.2">
      <c r="D350" s="52"/>
      <c r="E350" s="52"/>
    </row>
    <row r="351" spans="4:5" x14ac:dyDescent="0.2">
      <c r="D351" s="52"/>
      <c r="E351" s="52"/>
    </row>
    <row r="352" spans="4:5" x14ac:dyDescent="0.2">
      <c r="D352" s="52"/>
      <c r="E352" s="52"/>
    </row>
    <row r="353" spans="4:5" x14ac:dyDescent="0.2">
      <c r="D353" s="52"/>
      <c r="E353" s="52"/>
    </row>
    <row r="354" spans="4:5" x14ac:dyDescent="0.2">
      <c r="D354" s="52"/>
      <c r="E354" s="52"/>
    </row>
    <row r="355" spans="4:5" x14ac:dyDescent="0.2">
      <c r="D355" s="52"/>
      <c r="E355" s="52"/>
    </row>
    <row r="356" spans="4:5" x14ac:dyDescent="0.2">
      <c r="D356" s="52"/>
      <c r="E356" s="52"/>
    </row>
    <row r="357" spans="4:5" x14ac:dyDescent="0.2">
      <c r="D357" s="52"/>
      <c r="E357" s="52"/>
    </row>
    <row r="358" spans="4:5" x14ac:dyDescent="0.2">
      <c r="D358" s="52"/>
      <c r="E358" s="52"/>
    </row>
    <row r="359" spans="4:5" x14ac:dyDescent="0.2">
      <c r="D359" s="52"/>
      <c r="E359" s="52"/>
    </row>
    <row r="360" spans="4:5" x14ac:dyDescent="0.2">
      <c r="D360" s="52"/>
      <c r="E360" s="52"/>
    </row>
    <row r="361" spans="4:5" x14ac:dyDescent="0.2">
      <c r="D361" s="52"/>
      <c r="E361" s="52"/>
    </row>
    <row r="362" spans="4:5" x14ac:dyDescent="0.2">
      <c r="D362" s="52"/>
      <c r="E362" s="52"/>
    </row>
    <row r="363" spans="4:5" x14ac:dyDescent="0.2">
      <c r="D363" s="52"/>
      <c r="E363" s="52"/>
    </row>
    <row r="364" spans="4:5" x14ac:dyDescent="0.2">
      <c r="D364" s="52"/>
      <c r="E364" s="52"/>
    </row>
    <row r="365" spans="4:5" x14ac:dyDescent="0.2">
      <c r="D365" s="52"/>
      <c r="E365" s="52"/>
    </row>
    <row r="366" spans="4:5" x14ac:dyDescent="0.2">
      <c r="D366" s="52"/>
      <c r="E366" s="52"/>
    </row>
    <row r="367" spans="4:5" x14ac:dyDescent="0.2">
      <c r="D367" s="52"/>
      <c r="E367" s="52"/>
    </row>
    <row r="368" spans="4:5" x14ac:dyDescent="0.2">
      <c r="D368" s="52"/>
      <c r="E368" s="52"/>
    </row>
    <row r="369" spans="4:5" x14ac:dyDescent="0.2">
      <c r="D369" s="52"/>
      <c r="E369" s="52"/>
    </row>
    <row r="370" spans="4:5" x14ac:dyDescent="0.2">
      <c r="D370" s="52"/>
      <c r="E370" s="52"/>
    </row>
    <row r="371" spans="4:5" x14ac:dyDescent="0.2">
      <c r="D371" s="52"/>
      <c r="E371" s="52"/>
    </row>
    <row r="372" spans="4:5" x14ac:dyDescent="0.2">
      <c r="D372" s="52"/>
      <c r="E372" s="52"/>
    </row>
    <row r="373" spans="4:5" x14ac:dyDescent="0.2">
      <c r="D373" s="52"/>
      <c r="E373" s="52"/>
    </row>
    <row r="374" spans="4:5" x14ac:dyDescent="0.2">
      <c r="D374" s="52"/>
      <c r="E374" s="52"/>
    </row>
    <row r="375" spans="4:5" x14ac:dyDescent="0.2">
      <c r="D375" s="52"/>
      <c r="E375" s="52"/>
    </row>
    <row r="376" spans="4:5" x14ac:dyDescent="0.2">
      <c r="D376" s="52"/>
      <c r="E376" s="52"/>
    </row>
    <row r="377" spans="4:5" x14ac:dyDescent="0.2">
      <c r="D377" s="52"/>
      <c r="E377" s="52"/>
    </row>
    <row r="378" spans="4:5" x14ac:dyDescent="0.2">
      <c r="D378" s="52"/>
      <c r="E378" s="52"/>
    </row>
    <row r="379" spans="4:5" x14ac:dyDescent="0.2">
      <c r="D379" s="52"/>
      <c r="E379" s="52"/>
    </row>
    <row r="380" spans="4:5" x14ac:dyDescent="0.2">
      <c r="D380" s="52"/>
      <c r="E380" s="52"/>
    </row>
    <row r="381" spans="4:5" x14ac:dyDescent="0.2">
      <c r="D381" s="52"/>
      <c r="E381" s="52"/>
    </row>
    <row r="382" spans="4:5" x14ac:dyDescent="0.2">
      <c r="D382" s="52"/>
      <c r="E382" s="52"/>
    </row>
    <row r="383" spans="4:5" x14ac:dyDescent="0.2">
      <c r="D383" s="52"/>
      <c r="E383" s="52"/>
    </row>
    <row r="384" spans="4:5" x14ac:dyDescent="0.2">
      <c r="D384" s="52"/>
      <c r="E384" s="52"/>
    </row>
    <row r="385" spans="4:5" x14ac:dyDescent="0.2">
      <c r="D385" s="52"/>
      <c r="E385" s="52"/>
    </row>
    <row r="386" spans="4:5" x14ac:dyDescent="0.2">
      <c r="D386" s="52"/>
      <c r="E386" s="52"/>
    </row>
    <row r="387" spans="4:5" x14ac:dyDescent="0.2">
      <c r="D387" s="52"/>
      <c r="E387" s="52"/>
    </row>
    <row r="388" spans="4:5" x14ac:dyDescent="0.2">
      <c r="D388" s="52"/>
      <c r="E388" s="52"/>
    </row>
    <row r="389" spans="4:5" x14ac:dyDescent="0.2">
      <c r="D389" s="52"/>
      <c r="E389" s="52"/>
    </row>
    <row r="390" spans="4:5" x14ac:dyDescent="0.2">
      <c r="D390" s="52"/>
      <c r="E390" s="52"/>
    </row>
    <row r="391" spans="4:5" x14ac:dyDescent="0.2">
      <c r="D391" s="52"/>
      <c r="E391" s="52"/>
    </row>
    <row r="392" spans="4:5" x14ac:dyDescent="0.2">
      <c r="D392" s="52"/>
      <c r="E392" s="52"/>
    </row>
    <row r="393" spans="4:5" x14ac:dyDescent="0.2">
      <c r="D393" s="52"/>
      <c r="E393" s="52"/>
    </row>
    <row r="394" spans="4:5" x14ac:dyDescent="0.2">
      <c r="D394" s="52"/>
      <c r="E394" s="52"/>
    </row>
    <row r="395" spans="4:5" x14ac:dyDescent="0.2">
      <c r="D395" s="52"/>
      <c r="E395" s="52"/>
    </row>
    <row r="396" spans="4:5" x14ac:dyDescent="0.2">
      <c r="D396" s="52"/>
      <c r="E396" s="52"/>
    </row>
    <row r="397" spans="4:5" x14ac:dyDescent="0.2">
      <c r="D397" s="52"/>
      <c r="E397" s="52"/>
    </row>
    <row r="398" spans="4:5" x14ac:dyDescent="0.2">
      <c r="D398" s="52"/>
      <c r="E398" s="52"/>
    </row>
    <row r="399" spans="4:5" x14ac:dyDescent="0.2">
      <c r="D399" s="52"/>
      <c r="E399" s="52"/>
    </row>
    <row r="400" spans="4:5" x14ac:dyDescent="0.2">
      <c r="D400" s="52"/>
      <c r="E400" s="52"/>
    </row>
    <row r="401" spans="4:5" x14ac:dyDescent="0.2">
      <c r="D401" s="52"/>
      <c r="E401" s="52"/>
    </row>
    <row r="402" spans="4:5" x14ac:dyDescent="0.2">
      <c r="D402" s="52"/>
      <c r="E402" s="52"/>
    </row>
    <row r="403" spans="4:5" x14ac:dyDescent="0.2">
      <c r="D403" s="52"/>
      <c r="E403" s="52"/>
    </row>
    <row r="404" spans="4:5" x14ac:dyDescent="0.2">
      <c r="D404" s="52"/>
      <c r="E404" s="52"/>
    </row>
    <row r="405" spans="4:5" x14ac:dyDescent="0.2">
      <c r="D405" s="52"/>
      <c r="E405" s="52"/>
    </row>
    <row r="406" spans="4:5" x14ac:dyDescent="0.2">
      <c r="D406" s="52"/>
      <c r="E406" s="52"/>
    </row>
    <row r="407" spans="4:5" x14ac:dyDescent="0.2">
      <c r="D407" s="52"/>
      <c r="E407" s="52"/>
    </row>
    <row r="408" spans="4:5" x14ac:dyDescent="0.2">
      <c r="D408" s="52"/>
      <c r="E408" s="52"/>
    </row>
    <row r="409" spans="4:5" x14ac:dyDescent="0.2">
      <c r="D409" s="52"/>
      <c r="E409" s="52"/>
    </row>
    <row r="410" spans="4:5" x14ac:dyDescent="0.2">
      <c r="D410" s="52"/>
      <c r="E410" s="52"/>
    </row>
    <row r="411" spans="4:5" x14ac:dyDescent="0.2">
      <c r="D411" s="52"/>
      <c r="E411" s="52"/>
    </row>
    <row r="412" spans="4:5" x14ac:dyDescent="0.2">
      <c r="D412" s="52"/>
      <c r="E412" s="52"/>
    </row>
    <row r="413" spans="4:5" x14ac:dyDescent="0.2">
      <c r="D413" s="52"/>
      <c r="E413" s="52"/>
    </row>
    <row r="414" spans="4:5" x14ac:dyDescent="0.2">
      <c r="D414" s="52"/>
      <c r="E414" s="52"/>
    </row>
    <row r="415" spans="4:5" x14ac:dyDescent="0.2">
      <c r="D415" s="52"/>
      <c r="E415" s="52"/>
    </row>
    <row r="416" spans="4:5" x14ac:dyDescent="0.2">
      <c r="D416" s="52"/>
      <c r="E416" s="52"/>
    </row>
    <row r="417" spans="4:5" x14ac:dyDescent="0.2">
      <c r="D417" s="52"/>
      <c r="E417" s="52"/>
    </row>
    <row r="418" spans="4:5" x14ac:dyDescent="0.2">
      <c r="D418" s="52"/>
      <c r="E418" s="52"/>
    </row>
    <row r="419" spans="4:5" x14ac:dyDescent="0.2">
      <c r="D419" s="52"/>
      <c r="E419" s="52"/>
    </row>
    <row r="420" spans="4:5" x14ac:dyDescent="0.2">
      <c r="D420" s="52"/>
      <c r="E420" s="52"/>
    </row>
    <row r="421" spans="4:5" x14ac:dyDescent="0.2">
      <c r="D421" s="52"/>
      <c r="E421" s="52"/>
    </row>
    <row r="422" spans="4:5" x14ac:dyDescent="0.2">
      <c r="D422" s="52"/>
      <c r="E422" s="52"/>
    </row>
    <row r="423" spans="4:5" x14ac:dyDescent="0.2">
      <c r="D423" s="52"/>
      <c r="E423" s="52"/>
    </row>
    <row r="424" spans="4:5" x14ac:dyDescent="0.2">
      <c r="D424" s="52"/>
      <c r="E424" s="52"/>
    </row>
    <row r="425" spans="4:5" x14ac:dyDescent="0.2">
      <c r="D425" s="52"/>
      <c r="E425" s="52"/>
    </row>
    <row r="426" spans="4:5" x14ac:dyDescent="0.2">
      <c r="D426" s="52"/>
      <c r="E426" s="52"/>
    </row>
    <row r="427" spans="4:5" x14ac:dyDescent="0.2">
      <c r="D427" s="52"/>
      <c r="E427" s="52"/>
    </row>
    <row r="428" spans="4:5" x14ac:dyDescent="0.2">
      <c r="D428" s="52"/>
      <c r="E428" s="52"/>
    </row>
    <row r="429" spans="4:5" x14ac:dyDescent="0.2">
      <c r="D429" s="52"/>
      <c r="E429" s="52"/>
    </row>
    <row r="430" spans="4:5" x14ac:dyDescent="0.2">
      <c r="D430" s="52"/>
      <c r="E430" s="52"/>
    </row>
    <row r="431" spans="4:5" x14ac:dyDescent="0.2">
      <c r="D431" s="52"/>
      <c r="E431" s="52"/>
    </row>
    <row r="432" spans="4:5" x14ac:dyDescent="0.2">
      <c r="D432" s="52"/>
      <c r="E432" s="52"/>
    </row>
    <row r="433" spans="4:5" x14ac:dyDescent="0.2">
      <c r="D433" s="52"/>
      <c r="E433" s="52"/>
    </row>
    <row r="434" spans="4:5" x14ac:dyDescent="0.2">
      <c r="D434" s="52"/>
      <c r="E434" s="52"/>
    </row>
    <row r="435" spans="4:5" x14ac:dyDescent="0.2">
      <c r="D435" s="52"/>
      <c r="E435" s="52"/>
    </row>
    <row r="436" spans="4:5" x14ac:dyDescent="0.2">
      <c r="D436" s="52"/>
      <c r="E436" s="52"/>
    </row>
    <row r="437" spans="4:5" x14ac:dyDescent="0.2">
      <c r="D437" s="52"/>
      <c r="E437" s="52"/>
    </row>
    <row r="438" spans="4:5" x14ac:dyDescent="0.2">
      <c r="D438" s="52"/>
      <c r="E438" s="52"/>
    </row>
    <row r="439" spans="4:5" x14ac:dyDescent="0.2">
      <c r="D439" s="52"/>
      <c r="E439" s="52"/>
    </row>
    <row r="440" spans="4:5" x14ac:dyDescent="0.2">
      <c r="D440" s="52"/>
      <c r="E440" s="52"/>
    </row>
    <row r="441" spans="4:5" x14ac:dyDescent="0.2">
      <c r="D441" s="52"/>
      <c r="E441" s="52"/>
    </row>
    <row r="442" spans="4:5" x14ac:dyDescent="0.2">
      <c r="D442" s="52"/>
      <c r="E442" s="52"/>
    </row>
    <row r="443" spans="4:5" x14ac:dyDescent="0.2">
      <c r="D443" s="52"/>
      <c r="E443" s="52"/>
    </row>
    <row r="444" spans="4:5" x14ac:dyDescent="0.2">
      <c r="D444" s="52"/>
      <c r="E444" s="52"/>
    </row>
    <row r="445" spans="4:5" x14ac:dyDescent="0.2">
      <c r="D445" s="52"/>
      <c r="E445" s="52"/>
    </row>
    <row r="446" spans="4:5" x14ac:dyDescent="0.2">
      <c r="D446" s="52"/>
      <c r="E446" s="52"/>
    </row>
    <row r="447" spans="4:5" x14ac:dyDescent="0.2">
      <c r="D447" s="52"/>
      <c r="E447" s="52"/>
    </row>
    <row r="448" spans="4:5" x14ac:dyDescent="0.2">
      <c r="D448" s="52"/>
      <c r="E448" s="52"/>
    </row>
    <row r="449" spans="4:5" x14ac:dyDescent="0.2">
      <c r="D449" s="52"/>
      <c r="E449" s="52"/>
    </row>
    <row r="450" spans="4:5" x14ac:dyDescent="0.2">
      <c r="D450" s="52"/>
      <c r="E450" s="52"/>
    </row>
    <row r="451" spans="4:5" x14ac:dyDescent="0.2">
      <c r="D451" s="52"/>
      <c r="E451" s="52"/>
    </row>
    <row r="452" spans="4:5" x14ac:dyDescent="0.2">
      <c r="D452" s="52"/>
      <c r="E452" s="52"/>
    </row>
    <row r="453" spans="4:5" x14ac:dyDescent="0.2">
      <c r="D453" s="52"/>
      <c r="E453" s="52"/>
    </row>
    <row r="454" spans="4:5" x14ac:dyDescent="0.2">
      <c r="D454" s="52"/>
      <c r="E454" s="52"/>
    </row>
    <row r="455" spans="4:5" x14ac:dyDescent="0.2">
      <c r="D455" s="52"/>
      <c r="E455" s="52"/>
    </row>
    <row r="456" spans="4:5" x14ac:dyDescent="0.2">
      <c r="D456" s="52"/>
      <c r="E456" s="52"/>
    </row>
    <row r="457" spans="4:5" x14ac:dyDescent="0.2">
      <c r="D457" s="52"/>
      <c r="E457" s="52"/>
    </row>
    <row r="458" spans="4:5" x14ac:dyDescent="0.2">
      <c r="D458" s="52"/>
      <c r="E458" s="52"/>
    </row>
    <row r="459" spans="4:5" x14ac:dyDescent="0.2">
      <c r="D459" s="52"/>
      <c r="E459" s="52"/>
    </row>
    <row r="460" spans="4:5" x14ac:dyDescent="0.2">
      <c r="D460" s="52"/>
      <c r="E460" s="52"/>
    </row>
    <row r="461" spans="4:5" x14ac:dyDescent="0.2">
      <c r="D461" s="52"/>
      <c r="E461" s="52"/>
    </row>
    <row r="462" spans="4:5" x14ac:dyDescent="0.2">
      <c r="D462" s="52"/>
      <c r="E462" s="52"/>
    </row>
    <row r="463" spans="4:5" x14ac:dyDescent="0.2">
      <c r="D463" s="52"/>
      <c r="E463" s="52"/>
    </row>
    <row r="464" spans="4:5" x14ac:dyDescent="0.2">
      <c r="D464" s="52"/>
      <c r="E464" s="52"/>
    </row>
    <row r="465" spans="4:5" x14ac:dyDescent="0.2">
      <c r="D465" s="52"/>
      <c r="E465" s="52"/>
    </row>
    <row r="466" spans="4:5" x14ac:dyDescent="0.2">
      <c r="D466" s="52"/>
      <c r="E466" s="52"/>
    </row>
    <row r="467" spans="4:5" x14ac:dyDescent="0.2">
      <c r="D467" s="52"/>
      <c r="E467" s="52"/>
    </row>
    <row r="468" spans="4:5" x14ac:dyDescent="0.2">
      <c r="D468" s="52"/>
      <c r="E468" s="52"/>
    </row>
    <row r="469" spans="4:5" x14ac:dyDescent="0.2">
      <c r="D469" s="52"/>
      <c r="E469" s="52"/>
    </row>
    <row r="470" spans="4:5" x14ac:dyDescent="0.2">
      <c r="D470" s="52"/>
      <c r="E470" s="52"/>
    </row>
    <row r="471" spans="4:5" x14ac:dyDescent="0.2">
      <c r="D471" s="52"/>
      <c r="E471" s="52"/>
    </row>
    <row r="472" spans="4:5" x14ac:dyDescent="0.2">
      <c r="D472" s="52"/>
      <c r="E472" s="52"/>
    </row>
    <row r="473" spans="4:5" x14ac:dyDescent="0.2">
      <c r="D473" s="52"/>
      <c r="E473" s="52"/>
    </row>
    <row r="474" spans="4:5" x14ac:dyDescent="0.2">
      <c r="D474" s="52"/>
      <c r="E474" s="52"/>
    </row>
    <row r="475" spans="4:5" x14ac:dyDescent="0.2">
      <c r="D475" s="52"/>
      <c r="E475" s="52"/>
    </row>
    <row r="476" spans="4:5" x14ac:dyDescent="0.2">
      <c r="D476" s="52"/>
      <c r="E476" s="52"/>
    </row>
    <row r="477" spans="4:5" x14ac:dyDescent="0.2">
      <c r="D477" s="52"/>
      <c r="E477" s="52"/>
    </row>
    <row r="478" spans="4:5" x14ac:dyDescent="0.2">
      <c r="D478" s="52"/>
      <c r="E478" s="52"/>
    </row>
    <row r="479" spans="4:5" x14ac:dyDescent="0.2">
      <c r="D479" s="52"/>
      <c r="E479" s="52"/>
    </row>
    <row r="480" spans="4:5" x14ac:dyDescent="0.2">
      <c r="D480" s="52"/>
      <c r="E480" s="52"/>
    </row>
    <row r="481" spans="4:5" x14ac:dyDescent="0.2">
      <c r="D481" s="52"/>
      <c r="E481" s="52"/>
    </row>
    <row r="482" spans="4:5" x14ac:dyDescent="0.2">
      <c r="D482" s="52"/>
      <c r="E482" s="52"/>
    </row>
    <row r="483" spans="4:5" x14ac:dyDescent="0.2">
      <c r="D483" s="52"/>
      <c r="E483" s="52"/>
    </row>
    <row r="484" spans="4:5" x14ac:dyDescent="0.2">
      <c r="D484" s="52"/>
      <c r="E484" s="52"/>
    </row>
    <row r="485" spans="4:5" x14ac:dyDescent="0.2">
      <c r="D485" s="52"/>
      <c r="E485" s="52"/>
    </row>
    <row r="486" spans="4:5" x14ac:dyDescent="0.2">
      <c r="D486" s="52"/>
      <c r="E486" s="52"/>
    </row>
    <row r="487" spans="4:5" x14ac:dyDescent="0.2">
      <c r="D487" s="52"/>
      <c r="E487" s="52"/>
    </row>
    <row r="488" spans="4:5" x14ac:dyDescent="0.2">
      <c r="D488" s="52"/>
      <c r="E488" s="52"/>
    </row>
    <row r="489" spans="4:5" x14ac:dyDescent="0.2">
      <c r="D489" s="52"/>
      <c r="E489" s="52"/>
    </row>
    <row r="490" spans="4:5" x14ac:dyDescent="0.2">
      <c r="D490" s="52"/>
      <c r="E490" s="52"/>
    </row>
    <row r="491" spans="4:5" x14ac:dyDescent="0.2">
      <c r="D491" s="52"/>
      <c r="E491" s="52"/>
    </row>
    <row r="492" spans="4:5" x14ac:dyDescent="0.2">
      <c r="D492" s="52"/>
      <c r="E492" s="52"/>
    </row>
    <row r="493" spans="4:5" x14ac:dyDescent="0.2">
      <c r="D493" s="52"/>
      <c r="E493" s="52"/>
    </row>
    <row r="494" spans="4:5" x14ac:dyDescent="0.2">
      <c r="D494" s="52"/>
      <c r="E494" s="52"/>
    </row>
    <row r="495" spans="4:5" x14ac:dyDescent="0.2">
      <c r="D495" s="52"/>
      <c r="E495" s="52"/>
    </row>
    <row r="496" spans="4:5" x14ac:dyDescent="0.2">
      <c r="D496" s="52"/>
      <c r="E496" s="52"/>
    </row>
    <row r="497" spans="4:5" x14ac:dyDescent="0.2">
      <c r="D497" s="52"/>
      <c r="E497" s="52"/>
    </row>
    <row r="498" spans="4:5" x14ac:dyDescent="0.2">
      <c r="D498" s="52"/>
      <c r="E498" s="52"/>
    </row>
    <row r="499" spans="4:5" x14ac:dyDescent="0.2">
      <c r="D499" s="52"/>
      <c r="E499" s="52"/>
    </row>
    <row r="500" spans="4:5" x14ac:dyDescent="0.2">
      <c r="D500" s="52"/>
      <c r="E500" s="52"/>
    </row>
    <row r="501" spans="4:5" x14ac:dyDescent="0.2">
      <c r="D501" s="52"/>
      <c r="E501" s="52"/>
    </row>
    <row r="502" spans="4:5" x14ac:dyDescent="0.2">
      <c r="D502" s="52"/>
      <c r="E502" s="52"/>
    </row>
    <row r="503" spans="4:5" x14ac:dyDescent="0.2">
      <c r="D503" s="52"/>
      <c r="E503" s="52"/>
    </row>
    <row r="504" spans="4:5" x14ac:dyDescent="0.2">
      <c r="D504" s="52"/>
      <c r="E504" s="52"/>
    </row>
    <row r="505" spans="4:5" x14ac:dyDescent="0.2">
      <c r="D505" s="52"/>
      <c r="E505" s="52"/>
    </row>
    <row r="506" spans="4:5" x14ac:dyDescent="0.2">
      <c r="D506" s="52"/>
      <c r="E506" s="52"/>
    </row>
    <row r="507" spans="4:5" x14ac:dyDescent="0.2">
      <c r="D507" s="52"/>
      <c r="E507" s="52"/>
    </row>
    <row r="508" spans="4:5" x14ac:dyDescent="0.2">
      <c r="D508" s="52"/>
      <c r="E508" s="52"/>
    </row>
    <row r="509" spans="4:5" x14ac:dyDescent="0.2">
      <c r="D509" s="52"/>
      <c r="E509" s="52"/>
    </row>
    <row r="510" spans="4:5" x14ac:dyDescent="0.2">
      <c r="D510" s="52"/>
      <c r="E510" s="52"/>
    </row>
    <row r="511" spans="4:5" x14ac:dyDescent="0.2">
      <c r="D511" s="52"/>
      <c r="E511" s="52"/>
    </row>
    <row r="512" spans="4:5" x14ac:dyDescent="0.2">
      <c r="D512" s="52"/>
      <c r="E512" s="52"/>
    </row>
    <row r="513" spans="4:5" x14ac:dyDescent="0.2">
      <c r="D513" s="52"/>
      <c r="E513" s="52"/>
    </row>
    <row r="514" spans="4:5" x14ac:dyDescent="0.2">
      <c r="D514" s="52"/>
      <c r="E514" s="52"/>
    </row>
    <row r="515" spans="4:5" x14ac:dyDescent="0.2">
      <c r="D515" s="52"/>
      <c r="E515" s="52"/>
    </row>
    <row r="516" spans="4:5" x14ac:dyDescent="0.2">
      <c r="D516" s="52"/>
      <c r="E516" s="52"/>
    </row>
    <row r="517" spans="4:5" x14ac:dyDescent="0.2">
      <c r="D517" s="52"/>
      <c r="E517" s="52"/>
    </row>
    <row r="518" spans="4:5" x14ac:dyDescent="0.2">
      <c r="D518" s="52"/>
      <c r="E518" s="52"/>
    </row>
    <row r="519" spans="4:5" x14ac:dyDescent="0.2">
      <c r="D519" s="52"/>
      <c r="E519" s="52"/>
    </row>
    <row r="520" spans="4:5" x14ac:dyDescent="0.2">
      <c r="D520" s="52"/>
      <c r="E520" s="52"/>
    </row>
    <row r="521" spans="4:5" x14ac:dyDescent="0.2">
      <c r="D521" s="52"/>
      <c r="E521" s="52"/>
    </row>
    <row r="522" spans="4:5" x14ac:dyDescent="0.2">
      <c r="D522" s="52"/>
      <c r="E522" s="52"/>
    </row>
    <row r="523" spans="4:5" x14ac:dyDescent="0.2">
      <c r="D523" s="52"/>
      <c r="E523" s="52"/>
    </row>
    <row r="524" spans="4:5" x14ac:dyDescent="0.2">
      <c r="D524" s="52"/>
      <c r="E524" s="52"/>
    </row>
    <row r="525" spans="4:5" x14ac:dyDescent="0.2">
      <c r="D525" s="52"/>
      <c r="E525" s="52"/>
    </row>
    <row r="526" spans="4:5" x14ac:dyDescent="0.2">
      <c r="D526" s="52"/>
      <c r="E526" s="52"/>
    </row>
    <row r="527" spans="4:5" x14ac:dyDescent="0.2">
      <c r="D527" s="52"/>
      <c r="E527" s="52"/>
    </row>
    <row r="528" spans="4:5" x14ac:dyDescent="0.2">
      <c r="D528" s="52"/>
      <c r="E528" s="52"/>
    </row>
    <row r="529" spans="4:5" x14ac:dyDescent="0.2">
      <c r="D529" s="52"/>
      <c r="E529" s="52"/>
    </row>
    <row r="530" spans="4:5" x14ac:dyDescent="0.2">
      <c r="D530" s="52"/>
      <c r="E530" s="52"/>
    </row>
    <row r="531" spans="4:5" x14ac:dyDescent="0.2">
      <c r="D531" s="52"/>
      <c r="E531" s="52"/>
    </row>
    <row r="532" spans="4:5" x14ac:dyDescent="0.2">
      <c r="D532" s="52"/>
      <c r="E532" s="52"/>
    </row>
    <row r="533" spans="4:5" x14ac:dyDescent="0.2">
      <c r="D533" s="52"/>
      <c r="E533" s="52"/>
    </row>
    <row r="534" spans="4:5" x14ac:dyDescent="0.2">
      <c r="D534" s="52"/>
      <c r="E534" s="52"/>
    </row>
    <row r="535" spans="4:5" x14ac:dyDescent="0.2">
      <c r="D535" s="52"/>
      <c r="E535" s="52"/>
    </row>
    <row r="536" spans="4:5" x14ac:dyDescent="0.2">
      <c r="D536" s="52"/>
      <c r="E536" s="52"/>
    </row>
    <row r="537" spans="4:5" x14ac:dyDescent="0.2">
      <c r="D537" s="52"/>
      <c r="E537" s="52"/>
    </row>
    <row r="538" spans="4:5" x14ac:dyDescent="0.2">
      <c r="D538" s="52"/>
      <c r="E538" s="52"/>
    </row>
    <row r="539" spans="4:5" x14ac:dyDescent="0.2">
      <c r="D539" s="52"/>
      <c r="E539" s="52"/>
    </row>
    <row r="540" spans="4:5" x14ac:dyDescent="0.2">
      <c r="D540" s="52"/>
      <c r="E540" s="52"/>
    </row>
    <row r="541" spans="4:5" x14ac:dyDescent="0.2">
      <c r="D541" s="52"/>
      <c r="E541" s="52"/>
    </row>
    <row r="542" spans="4:5" x14ac:dyDescent="0.2">
      <c r="D542" s="52"/>
      <c r="E542" s="52"/>
    </row>
    <row r="543" spans="4:5" x14ac:dyDescent="0.2">
      <c r="D543" s="52"/>
      <c r="E543" s="52"/>
    </row>
    <row r="544" spans="4:5" x14ac:dyDescent="0.2">
      <c r="D544" s="52"/>
      <c r="E544" s="52"/>
    </row>
    <row r="545" spans="4:5" x14ac:dyDescent="0.2">
      <c r="D545" s="52"/>
      <c r="E545" s="52"/>
    </row>
    <row r="546" spans="4:5" x14ac:dyDescent="0.2">
      <c r="D546" s="52"/>
      <c r="E546" s="52"/>
    </row>
    <row r="547" spans="4:5" x14ac:dyDescent="0.2">
      <c r="D547" s="52"/>
      <c r="E547" s="52"/>
    </row>
    <row r="548" spans="4:5" x14ac:dyDescent="0.2">
      <c r="D548" s="52"/>
      <c r="E548" s="52"/>
    </row>
    <row r="549" spans="4:5" x14ac:dyDescent="0.2">
      <c r="D549" s="52"/>
      <c r="E549" s="52"/>
    </row>
    <row r="550" spans="4:5" x14ac:dyDescent="0.2">
      <c r="D550" s="52"/>
      <c r="E550" s="52"/>
    </row>
    <row r="551" spans="4:5" x14ac:dyDescent="0.2">
      <c r="D551" s="52"/>
      <c r="E551" s="52"/>
    </row>
    <row r="552" spans="4:5" x14ac:dyDescent="0.2">
      <c r="D552" s="52"/>
      <c r="E552" s="52"/>
    </row>
    <row r="553" spans="4:5" x14ac:dyDescent="0.2">
      <c r="D553" s="52"/>
      <c r="E553" s="52"/>
    </row>
    <row r="554" spans="4:5" x14ac:dyDescent="0.2">
      <c r="D554" s="52"/>
      <c r="E554" s="52"/>
    </row>
    <row r="555" spans="4:5" x14ac:dyDescent="0.2">
      <c r="D555" s="52"/>
      <c r="E555" s="52"/>
    </row>
    <row r="556" spans="4:5" x14ac:dyDescent="0.2">
      <c r="D556" s="52"/>
      <c r="E556" s="52"/>
    </row>
    <row r="557" spans="4:5" x14ac:dyDescent="0.2">
      <c r="D557" s="52"/>
      <c r="E557" s="52"/>
    </row>
    <row r="558" spans="4:5" x14ac:dyDescent="0.2">
      <c r="D558" s="52"/>
      <c r="E558" s="52"/>
    </row>
    <row r="559" spans="4:5" x14ac:dyDescent="0.2">
      <c r="D559" s="52"/>
      <c r="E559" s="52"/>
    </row>
    <row r="560" spans="4:5" x14ac:dyDescent="0.2">
      <c r="D560" s="52"/>
      <c r="E560" s="52"/>
    </row>
    <row r="561" spans="4:5" x14ac:dyDescent="0.2">
      <c r="D561" s="52"/>
      <c r="E561" s="52"/>
    </row>
    <row r="562" spans="4:5" x14ac:dyDescent="0.2">
      <c r="D562" s="52"/>
      <c r="E562" s="52"/>
    </row>
    <row r="563" spans="4:5" x14ac:dyDescent="0.2">
      <c r="D563" s="52"/>
      <c r="E563" s="52"/>
    </row>
    <row r="564" spans="4:5" x14ac:dyDescent="0.2">
      <c r="D564" s="52"/>
      <c r="E564" s="52"/>
    </row>
    <row r="565" spans="4:5" x14ac:dyDescent="0.2">
      <c r="D565" s="52"/>
      <c r="E565" s="52"/>
    </row>
    <row r="566" spans="4:5" x14ac:dyDescent="0.2">
      <c r="D566" s="52"/>
      <c r="E566" s="52"/>
    </row>
    <row r="567" spans="4:5" x14ac:dyDescent="0.2">
      <c r="D567" s="52"/>
      <c r="E567" s="52"/>
    </row>
    <row r="568" spans="4:5" x14ac:dyDescent="0.2">
      <c r="D568" s="52"/>
      <c r="E568" s="52"/>
    </row>
    <row r="569" spans="4:5" x14ac:dyDescent="0.2">
      <c r="D569" s="52"/>
      <c r="E569" s="52"/>
    </row>
    <row r="570" spans="4:5" x14ac:dyDescent="0.2">
      <c r="D570" s="52"/>
      <c r="E570" s="52"/>
    </row>
    <row r="571" spans="4:5" x14ac:dyDescent="0.2">
      <c r="D571" s="52"/>
      <c r="E571" s="52"/>
    </row>
    <row r="572" spans="4:5" x14ac:dyDescent="0.2">
      <c r="D572" s="52"/>
      <c r="E572" s="52"/>
    </row>
    <row r="573" spans="4:5" x14ac:dyDescent="0.2">
      <c r="D573" s="52"/>
      <c r="E573" s="52"/>
    </row>
    <row r="574" spans="4:5" x14ac:dyDescent="0.2">
      <c r="D574" s="52"/>
      <c r="E574" s="52"/>
    </row>
    <row r="575" spans="4:5" x14ac:dyDescent="0.2">
      <c r="D575" s="52"/>
      <c r="E575" s="52"/>
    </row>
    <row r="576" spans="4:5" x14ac:dyDescent="0.2">
      <c r="D576" s="52"/>
      <c r="E576" s="52"/>
    </row>
    <row r="577" spans="4:5" x14ac:dyDescent="0.2">
      <c r="D577" s="52"/>
      <c r="E577" s="52"/>
    </row>
    <row r="578" spans="4:5" x14ac:dyDescent="0.2">
      <c r="D578" s="52"/>
      <c r="E578" s="52"/>
    </row>
    <row r="579" spans="4:5" x14ac:dyDescent="0.2">
      <c r="D579" s="52"/>
      <c r="E579" s="52"/>
    </row>
    <row r="580" spans="4:5" x14ac:dyDescent="0.2">
      <c r="D580" s="52"/>
      <c r="E580" s="52"/>
    </row>
    <row r="581" spans="4:5" x14ac:dyDescent="0.2">
      <c r="D581" s="52"/>
      <c r="E581" s="52"/>
    </row>
    <row r="582" spans="4:5" x14ac:dyDescent="0.2">
      <c r="D582" s="52"/>
      <c r="E582" s="52"/>
    </row>
    <row r="583" spans="4:5" x14ac:dyDescent="0.2">
      <c r="D583" s="52"/>
      <c r="E583" s="52"/>
    </row>
    <row r="584" spans="4:5" x14ac:dyDescent="0.2">
      <c r="D584" s="52"/>
      <c r="E584" s="52"/>
    </row>
    <row r="585" spans="4:5" x14ac:dyDescent="0.2">
      <c r="D585" s="52"/>
      <c r="E585" s="52"/>
    </row>
    <row r="586" spans="4:5" x14ac:dyDescent="0.2">
      <c r="D586" s="52"/>
      <c r="E586" s="52"/>
    </row>
    <row r="587" spans="4:5" x14ac:dyDescent="0.2">
      <c r="D587" s="52"/>
      <c r="E587" s="52"/>
    </row>
    <row r="588" spans="4:5" x14ac:dyDescent="0.2">
      <c r="D588" s="52"/>
      <c r="E588" s="52"/>
    </row>
    <row r="589" spans="4:5" x14ac:dyDescent="0.2">
      <c r="D589" s="52"/>
      <c r="E589" s="52"/>
    </row>
    <row r="590" spans="4:5" x14ac:dyDescent="0.2">
      <c r="D590" s="52"/>
      <c r="E590" s="52"/>
    </row>
    <row r="591" spans="4:5" x14ac:dyDescent="0.2">
      <c r="D591" s="52"/>
      <c r="E591" s="52"/>
    </row>
    <row r="592" spans="4:5" x14ac:dyDescent="0.2">
      <c r="D592" s="52"/>
      <c r="E592" s="52"/>
    </row>
    <row r="593" spans="4:5" x14ac:dyDescent="0.2">
      <c r="D593" s="52"/>
      <c r="E593" s="52"/>
    </row>
    <row r="594" spans="4:5" x14ac:dyDescent="0.2">
      <c r="D594" s="52"/>
      <c r="E594" s="52"/>
    </row>
    <row r="595" spans="4:5" x14ac:dyDescent="0.2">
      <c r="D595" s="52"/>
      <c r="E595" s="52"/>
    </row>
    <row r="596" spans="4:5" x14ac:dyDescent="0.2">
      <c r="D596" s="52"/>
      <c r="E596" s="52"/>
    </row>
    <row r="597" spans="4:5" x14ac:dyDescent="0.2">
      <c r="D597" s="52"/>
      <c r="E597" s="52"/>
    </row>
    <row r="598" spans="4:5" x14ac:dyDescent="0.2">
      <c r="D598" s="52"/>
      <c r="E598" s="52"/>
    </row>
    <row r="599" spans="4:5" x14ac:dyDescent="0.2">
      <c r="D599" s="52"/>
      <c r="E599" s="52"/>
    </row>
    <row r="600" spans="4:5" x14ac:dyDescent="0.2">
      <c r="D600" s="52"/>
      <c r="E600" s="52"/>
    </row>
    <row r="601" spans="4:5" x14ac:dyDescent="0.2">
      <c r="D601" s="52"/>
      <c r="E601" s="52"/>
    </row>
    <row r="602" spans="4:5" x14ac:dyDescent="0.2">
      <c r="D602" s="52"/>
      <c r="E602" s="52"/>
    </row>
    <row r="603" spans="4:5" x14ac:dyDescent="0.2">
      <c r="D603" s="52"/>
      <c r="E603" s="52"/>
    </row>
    <row r="604" spans="4:5" x14ac:dyDescent="0.2">
      <c r="D604" s="52"/>
      <c r="E604" s="52"/>
    </row>
    <row r="605" spans="4:5" x14ac:dyDescent="0.2">
      <c r="D605" s="52"/>
      <c r="E605" s="52"/>
    </row>
    <row r="606" spans="4:5" x14ac:dyDescent="0.2">
      <c r="D606" s="52"/>
      <c r="E606" s="52"/>
    </row>
    <row r="607" spans="4:5" x14ac:dyDescent="0.2">
      <c r="D607" s="52"/>
      <c r="E607" s="52"/>
    </row>
    <row r="608" spans="4:5" x14ac:dyDescent="0.2">
      <c r="D608" s="52"/>
      <c r="E608" s="52"/>
    </row>
    <row r="609" spans="4:5" x14ac:dyDescent="0.2">
      <c r="D609" s="52"/>
      <c r="E609" s="52"/>
    </row>
    <row r="610" spans="4:5" x14ac:dyDescent="0.2">
      <c r="D610" s="52"/>
      <c r="E610" s="52"/>
    </row>
    <row r="611" spans="4:5" x14ac:dyDescent="0.2">
      <c r="D611" s="52"/>
      <c r="E611" s="52"/>
    </row>
    <row r="612" spans="4:5" x14ac:dyDescent="0.2">
      <c r="D612" s="52"/>
      <c r="E612" s="52"/>
    </row>
    <row r="613" spans="4:5" x14ac:dyDescent="0.2">
      <c r="D613" s="52"/>
      <c r="E613" s="52"/>
    </row>
    <row r="614" spans="4:5" x14ac:dyDescent="0.2">
      <c r="D614" s="52"/>
      <c r="E614" s="52"/>
    </row>
    <row r="615" spans="4:5" x14ac:dyDescent="0.2">
      <c r="D615" s="52"/>
      <c r="E615" s="52"/>
    </row>
    <row r="616" spans="4:5" x14ac:dyDescent="0.2">
      <c r="D616" s="52"/>
      <c r="E616" s="52"/>
    </row>
    <row r="617" spans="4:5" x14ac:dyDescent="0.2">
      <c r="D617" s="52"/>
      <c r="E617" s="52"/>
    </row>
    <row r="618" spans="4:5" x14ac:dyDescent="0.2">
      <c r="D618" s="52"/>
      <c r="E618" s="52"/>
    </row>
    <row r="619" spans="4:5" x14ac:dyDescent="0.2">
      <c r="D619" s="52"/>
      <c r="E619" s="52"/>
    </row>
    <row r="620" spans="4:5" x14ac:dyDescent="0.2">
      <c r="D620" s="52"/>
      <c r="E620" s="52"/>
    </row>
    <row r="621" spans="4:5" x14ac:dyDescent="0.2">
      <c r="D621" s="52"/>
      <c r="E621" s="52"/>
    </row>
    <row r="622" spans="4:5" x14ac:dyDescent="0.2">
      <c r="D622" s="52"/>
      <c r="E622" s="52"/>
    </row>
    <row r="623" spans="4:5" x14ac:dyDescent="0.2">
      <c r="D623" s="52"/>
      <c r="E623" s="52"/>
    </row>
    <row r="624" spans="4:5" x14ac:dyDescent="0.2">
      <c r="D624" s="52"/>
      <c r="E624" s="52"/>
    </row>
    <row r="625" spans="4:5" x14ac:dyDescent="0.2">
      <c r="D625" s="52"/>
      <c r="E625" s="52"/>
    </row>
    <row r="626" spans="4:5" x14ac:dyDescent="0.2">
      <c r="D626" s="52"/>
      <c r="E626" s="52"/>
    </row>
    <row r="627" spans="4:5" x14ac:dyDescent="0.2">
      <c r="D627" s="52"/>
      <c r="E627" s="52"/>
    </row>
    <row r="628" spans="4:5" x14ac:dyDescent="0.2">
      <c r="D628" s="52"/>
      <c r="E628" s="52"/>
    </row>
    <row r="629" spans="4:5" x14ac:dyDescent="0.2">
      <c r="D629" s="52"/>
      <c r="E629" s="52"/>
    </row>
    <row r="630" spans="4:5" x14ac:dyDescent="0.2">
      <c r="D630" s="52"/>
      <c r="E630" s="52"/>
    </row>
    <row r="631" spans="4:5" x14ac:dyDescent="0.2">
      <c r="D631" s="52"/>
      <c r="E631" s="52"/>
    </row>
    <row r="632" spans="4:5" x14ac:dyDescent="0.2">
      <c r="D632" s="52"/>
      <c r="E632" s="52"/>
    </row>
    <row r="633" spans="4:5" x14ac:dyDescent="0.2">
      <c r="D633" s="52"/>
      <c r="E633" s="52"/>
    </row>
    <row r="634" spans="4:5" x14ac:dyDescent="0.2">
      <c r="D634" s="52"/>
      <c r="E634" s="52"/>
    </row>
    <row r="635" spans="4:5" x14ac:dyDescent="0.2">
      <c r="D635" s="52"/>
      <c r="E635" s="52"/>
    </row>
    <row r="636" spans="4:5" x14ac:dyDescent="0.2">
      <c r="D636" s="52"/>
      <c r="E636" s="52"/>
    </row>
    <row r="637" spans="4:5" x14ac:dyDescent="0.2">
      <c r="D637" s="52"/>
      <c r="E637" s="52"/>
    </row>
    <row r="638" spans="4:5" x14ac:dyDescent="0.2">
      <c r="D638" s="52"/>
      <c r="E638" s="52"/>
    </row>
    <row r="639" spans="4:5" x14ac:dyDescent="0.2">
      <c r="D639" s="52"/>
      <c r="E639" s="52"/>
    </row>
    <row r="640" spans="4:5" x14ac:dyDescent="0.2">
      <c r="D640" s="52"/>
      <c r="E640" s="52"/>
    </row>
    <row r="641" spans="4:5" x14ac:dyDescent="0.2">
      <c r="D641" s="52"/>
      <c r="E641" s="52"/>
    </row>
    <row r="642" spans="4:5" x14ac:dyDescent="0.2">
      <c r="D642" s="52"/>
      <c r="E642" s="52"/>
    </row>
    <row r="643" spans="4:5" x14ac:dyDescent="0.2">
      <c r="D643" s="52"/>
      <c r="E643" s="52"/>
    </row>
    <row r="644" spans="4:5" x14ac:dyDescent="0.2">
      <c r="D644" s="52"/>
      <c r="E644" s="52"/>
    </row>
    <row r="645" spans="4:5" x14ac:dyDescent="0.2">
      <c r="D645" s="52"/>
      <c r="E645" s="52"/>
    </row>
    <row r="646" spans="4:5" x14ac:dyDescent="0.2">
      <c r="D646" s="52"/>
      <c r="E646" s="52"/>
    </row>
    <row r="647" spans="4:5" x14ac:dyDescent="0.2">
      <c r="D647" s="52"/>
      <c r="E647" s="52"/>
    </row>
    <row r="648" spans="4:5" x14ac:dyDescent="0.2">
      <c r="D648" s="52"/>
      <c r="E648" s="52"/>
    </row>
    <row r="649" spans="4:5" x14ac:dyDescent="0.2">
      <c r="D649" s="52"/>
      <c r="E649" s="52"/>
    </row>
    <row r="650" spans="4:5" x14ac:dyDescent="0.2">
      <c r="D650" s="52"/>
      <c r="E650" s="52"/>
    </row>
    <row r="651" spans="4:5" x14ac:dyDescent="0.2">
      <c r="D651" s="52"/>
      <c r="E651" s="52"/>
    </row>
    <row r="652" spans="4:5" x14ac:dyDescent="0.2">
      <c r="D652" s="52"/>
      <c r="E652" s="52"/>
    </row>
    <row r="653" spans="4:5" x14ac:dyDescent="0.2">
      <c r="D653" s="52"/>
      <c r="E653" s="52"/>
    </row>
    <row r="654" spans="4:5" x14ac:dyDescent="0.2">
      <c r="D654" s="52"/>
      <c r="E654" s="52"/>
    </row>
    <row r="655" spans="4:5" x14ac:dyDescent="0.2">
      <c r="D655" s="52"/>
      <c r="E655" s="52"/>
    </row>
    <row r="656" spans="4:5" x14ac:dyDescent="0.2">
      <c r="D656" s="52"/>
      <c r="E656" s="52"/>
    </row>
    <row r="657" spans="4:5" x14ac:dyDescent="0.2">
      <c r="D657" s="52"/>
      <c r="E657" s="52"/>
    </row>
    <row r="658" spans="4:5" x14ac:dyDescent="0.2">
      <c r="D658" s="52"/>
      <c r="E658" s="52"/>
    </row>
    <row r="659" spans="4:5" x14ac:dyDescent="0.2">
      <c r="D659" s="52"/>
      <c r="E659" s="52"/>
    </row>
    <row r="660" spans="4:5" x14ac:dyDescent="0.2">
      <c r="D660" s="52"/>
      <c r="E660" s="52"/>
    </row>
    <row r="661" spans="4:5" x14ac:dyDescent="0.2">
      <c r="D661" s="52"/>
      <c r="E661" s="52"/>
    </row>
    <row r="662" spans="4:5" x14ac:dyDescent="0.2">
      <c r="D662" s="52"/>
      <c r="E662" s="52"/>
    </row>
    <row r="663" spans="4:5" x14ac:dyDescent="0.2">
      <c r="D663" s="52"/>
      <c r="E663" s="52"/>
    </row>
    <row r="664" spans="4:5" x14ac:dyDescent="0.2">
      <c r="D664" s="52"/>
      <c r="E664" s="52"/>
    </row>
    <row r="665" spans="4:5" x14ac:dyDescent="0.2">
      <c r="D665" s="52"/>
      <c r="E665" s="52"/>
    </row>
    <row r="666" spans="4:5" x14ac:dyDescent="0.2">
      <c r="D666" s="52"/>
      <c r="E666" s="52"/>
    </row>
    <row r="667" spans="4:5" x14ac:dyDescent="0.2">
      <c r="D667" s="52"/>
      <c r="E667" s="52"/>
    </row>
    <row r="668" spans="4:5" x14ac:dyDescent="0.2">
      <c r="D668" s="52"/>
      <c r="E668" s="52"/>
    </row>
    <row r="669" spans="4:5" x14ac:dyDescent="0.2">
      <c r="D669" s="52"/>
      <c r="E669" s="52"/>
    </row>
    <row r="670" spans="4:5" x14ac:dyDescent="0.2">
      <c r="D670" s="52"/>
      <c r="E670" s="52"/>
    </row>
    <row r="671" spans="4:5" x14ac:dyDescent="0.2">
      <c r="D671" s="52"/>
      <c r="E671" s="52"/>
    </row>
    <row r="672" spans="4:5" x14ac:dyDescent="0.2">
      <c r="D672" s="52"/>
      <c r="E672" s="52"/>
    </row>
    <row r="673" spans="4:5" x14ac:dyDescent="0.2">
      <c r="D673" s="52"/>
      <c r="E673" s="52"/>
    </row>
    <row r="674" spans="4:5" x14ac:dyDescent="0.2">
      <c r="D674" s="52"/>
      <c r="E674" s="52"/>
    </row>
    <row r="675" spans="4:5" x14ac:dyDescent="0.2">
      <c r="D675" s="52"/>
      <c r="E675" s="52"/>
    </row>
    <row r="676" spans="4:5" x14ac:dyDescent="0.2">
      <c r="D676" s="52"/>
      <c r="E676" s="52"/>
    </row>
    <row r="677" spans="4:5" x14ac:dyDescent="0.2">
      <c r="D677" s="52"/>
      <c r="E677" s="52"/>
    </row>
    <row r="678" spans="4:5" x14ac:dyDescent="0.2">
      <c r="D678" s="52"/>
      <c r="E678" s="52"/>
    </row>
    <row r="679" spans="4:5" x14ac:dyDescent="0.2">
      <c r="D679" s="52"/>
      <c r="E679" s="52"/>
    </row>
    <row r="680" spans="4:5" x14ac:dyDescent="0.2">
      <c r="D680" s="52"/>
      <c r="E680" s="52"/>
    </row>
    <row r="681" spans="4:5" x14ac:dyDescent="0.2">
      <c r="D681" s="52"/>
      <c r="E681" s="52"/>
    </row>
    <row r="682" spans="4:5" x14ac:dyDescent="0.2">
      <c r="D682" s="52"/>
      <c r="E682" s="52"/>
    </row>
    <row r="683" spans="4:5" x14ac:dyDescent="0.2">
      <c r="D683" s="52"/>
      <c r="E683" s="52"/>
    </row>
    <row r="684" spans="4:5" x14ac:dyDescent="0.2">
      <c r="D684" s="52"/>
      <c r="E684" s="52"/>
    </row>
    <row r="685" spans="4:5" x14ac:dyDescent="0.2">
      <c r="D685" s="52"/>
      <c r="E685" s="52"/>
    </row>
    <row r="686" spans="4:5" x14ac:dyDescent="0.2">
      <c r="D686" s="52"/>
      <c r="E686" s="52"/>
    </row>
    <row r="687" spans="4:5" x14ac:dyDescent="0.2">
      <c r="D687" s="52"/>
      <c r="E687" s="52"/>
    </row>
    <row r="688" spans="4:5" x14ac:dyDescent="0.2">
      <c r="D688" s="52"/>
      <c r="E688" s="52"/>
    </row>
    <row r="689" spans="4:5" x14ac:dyDescent="0.2">
      <c r="D689" s="52"/>
      <c r="E689" s="52"/>
    </row>
    <row r="690" spans="4:5" x14ac:dyDescent="0.2">
      <c r="D690" s="52"/>
      <c r="E690" s="52"/>
    </row>
    <row r="691" spans="4:5" x14ac:dyDescent="0.2">
      <c r="D691" s="52"/>
      <c r="E691" s="52"/>
    </row>
    <row r="692" spans="4:5" x14ac:dyDescent="0.2">
      <c r="D692" s="52"/>
      <c r="E692" s="52"/>
    </row>
    <row r="693" spans="4:5" x14ac:dyDescent="0.2">
      <c r="D693" s="52"/>
      <c r="E693" s="52"/>
    </row>
    <row r="694" spans="4:5" x14ac:dyDescent="0.2">
      <c r="D694" s="52"/>
      <c r="E694" s="52"/>
    </row>
    <row r="695" spans="4:5" x14ac:dyDescent="0.2">
      <c r="D695" s="52"/>
      <c r="E695" s="52"/>
    </row>
    <row r="696" spans="4:5" x14ac:dyDescent="0.2">
      <c r="D696" s="52"/>
      <c r="E696" s="52"/>
    </row>
    <row r="697" spans="4:5" x14ac:dyDescent="0.2">
      <c r="D697" s="52"/>
      <c r="E697" s="52"/>
    </row>
    <row r="698" spans="4:5" x14ac:dyDescent="0.2">
      <c r="D698" s="52"/>
      <c r="E698" s="52"/>
    </row>
    <row r="699" spans="4:5" x14ac:dyDescent="0.2">
      <c r="D699" s="52"/>
      <c r="E699" s="52"/>
    </row>
    <row r="700" spans="4:5" x14ac:dyDescent="0.2">
      <c r="D700" s="52"/>
      <c r="E700" s="52"/>
    </row>
    <row r="701" spans="4:5" x14ac:dyDescent="0.2">
      <c r="D701" s="52"/>
      <c r="E701" s="52"/>
    </row>
    <row r="702" spans="4:5" x14ac:dyDescent="0.2">
      <c r="D702" s="52"/>
      <c r="E702" s="52"/>
    </row>
    <row r="703" spans="4:5" x14ac:dyDescent="0.2">
      <c r="D703" s="52"/>
      <c r="E703" s="52"/>
    </row>
    <row r="704" spans="4:5" x14ac:dyDescent="0.2">
      <c r="D704" s="52"/>
      <c r="E704" s="52"/>
    </row>
    <row r="705" spans="4:5" x14ac:dyDescent="0.2">
      <c r="D705" s="52"/>
      <c r="E705" s="52"/>
    </row>
    <row r="706" spans="4:5" x14ac:dyDescent="0.2">
      <c r="D706" s="52"/>
      <c r="E706" s="52"/>
    </row>
    <row r="707" spans="4:5" x14ac:dyDescent="0.2">
      <c r="D707" s="52"/>
      <c r="E707" s="52"/>
    </row>
    <row r="708" spans="4:5" x14ac:dyDescent="0.2">
      <c r="D708" s="52"/>
      <c r="E708" s="52"/>
    </row>
    <row r="709" spans="4:5" x14ac:dyDescent="0.2">
      <c r="D709" s="52"/>
      <c r="E709" s="52"/>
    </row>
    <row r="710" spans="4:5" x14ac:dyDescent="0.2">
      <c r="D710" s="52"/>
      <c r="E710" s="52"/>
    </row>
    <row r="711" spans="4:5" x14ac:dyDescent="0.2">
      <c r="D711" s="52"/>
      <c r="E711" s="52"/>
    </row>
    <row r="712" spans="4:5" x14ac:dyDescent="0.2">
      <c r="D712" s="52"/>
      <c r="E712" s="52"/>
    </row>
    <row r="713" spans="4:5" x14ac:dyDescent="0.2">
      <c r="D713" s="52"/>
      <c r="E713" s="52"/>
    </row>
    <row r="714" spans="4:5" x14ac:dyDescent="0.2">
      <c r="D714" s="52"/>
      <c r="E714" s="52"/>
    </row>
    <row r="715" spans="4:5" x14ac:dyDescent="0.2">
      <c r="D715" s="52"/>
      <c r="E715" s="52"/>
    </row>
    <row r="716" spans="4:5" x14ac:dyDescent="0.2">
      <c r="D716" s="52"/>
      <c r="E716" s="52"/>
    </row>
    <row r="717" spans="4:5" x14ac:dyDescent="0.2">
      <c r="D717" s="52"/>
      <c r="E717" s="52"/>
    </row>
    <row r="718" spans="4:5" x14ac:dyDescent="0.2">
      <c r="D718" s="52"/>
      <c r="E718" s="52"/>
    </row>
    <row r="719" spans="4:5" x14ac:dyDescent="0.2">
      <c r="D719" s="52"/>
      <c r="E719" s="52"/>
    </row>
    <row r="720" spans="4:5" x14ac:dyDescent="0.2">
      <c r="D720" s="52"/>
      <c r="E720" s="52"/>
    </row>
    <row r="721" spans="4:5" x14ac:dyDescent="0.2">
      <c r="D721" s="52"/>
      <c r="E721" s="52"/>
    </row>
    <row r="722" spans="4:5" x14ac:dyDescent="0.2">
      <c r="D722" s="52"/>
      <c r="E722" s="52"/>
    </row>
    <row r="723" spans="4:5" x14ac:dyDescent="0.2">
      <c r="D723" s="52"/>
      <c r="E723" s="52"/>
    </row>
    <row r="724" spans="4:5" x14ac:dyDescent="0.2">
      <c r="D724" s="52"/>
      <c r="E724" s="52"/>
    </row>
    <row r="725" spans="4:5" x14ac:dyDescent="0.2">
      <c r="D725" s="52"/>
      <c r="E725" s="52"/>
    </row>
    <row r="726" spans="4:5" x14ac:dyDescent="0.2">
      <c r="D726" s="52"/>
      <c r="E726" s="52"/>
    </row>
    <row r="727" spans="4:5" x14ac:dyDescent="0.2">
      <c r="D727" s="52"/>
      <c r="E727" s="52"/>
    </row>
    <row r="728" spans="4:5" x14ac:dyDescent="0.2">
      <c r="D728" s="52"/>
      <c r="E728" s="52"/>
    </row>
    <row r="729" spans="4:5" x14ac:dyDescent="0.2">
      <c r="D729" s="52"/>
      <c r="E729" s="52"/>
    </row>
    <row r="730" spans="4:5" x14ac:dyDescent="0.2">
      <c r="D730" s="52"/>
      <c r="E730" s="52"/>
    </row>
    <row r="731" spans="4:5" x14ac:dyDescent="0.2">
      <c r="D731" s="52"/>
      <c r="E731" s="52"/>
    </row>
    <row r="732" spans="4:5" x14ac:dyDescent="0.2">
      <c r="D732" s="52"/>
      <c r="E732" s="52"/>
    </row>
    <row r="733" spans="4:5" x14ac:dyDescent="0.2">
      <c r="D733" s="52"/>
      <c r="E733" s="52"/>
    </row>
    <row r="734" spans="4:5" x14ac:dyDescent="0.2">
      <c r="D734" s="52"/>
      <c r="E734" s="52"/>
    </row>
    <row r="735" spans="4:5" x14ac:dyDescent="0.2">
      <c r="D735" s="52"/>
      <c r="E735" s="52"/>
    </row>
    <row r="736" spans="4:5" x14ac:dyDescent="0.2">
      <c r="D736" s="52"/>
      <c r="E736" s="52"/>
    </row>
    <row r="737" spans="4:5" x14ac:dyDescent="0.2">
      <c r="D737" s="52"/>
      <c r="E737" s="52"/>
    </row>
    <row r="738" spans="4:5" x14ac:dyDescent="0.2">
      <c r="D738" s="52"/>
      <c r="E738" s="52"/>
    </row>
    <row r="739" spans="4:5" x14ac:dyDescent="0.2">
      <c r="D739" s="52"/>
      <c r="E739" s="52"/>
    </row>
    <row r="740" spans="4:5" x14ac:dyDescent="0.2">
      <c r="D740" s="52"/>
      <c r="E740" s="52"/>
    </row>
    <row r="741" spans="4:5" x14ac:dyDescent="0.2">
      <c r="D741" s="52"/>
      <c r="E741" s="52"/>
    </row>
    <row r="742" spans="4:5" x14ac:dyDescent="0.2">
      <c r="D742" s="52"/>
      <c r="E742" s="52"/>
    </row>
    <row r="743" spans="4:5" x14ac:dyDescent="0.2">
      <c r="D743" s="52"/>
      <c r="E743" s="52"/>
    </row>
    <row r="744" spans="4:5" x14ac:dyDescent="0.2">
      <c r="D744" s="52"/>
      <c r="E744" s="52"/>
    </row>
    <row r="745" spans="4:5" x14ac:dyDescent="0.2">
      <c r="D745" s="52"/>
      <c r="E745" s="52"/>
    </row>
    <row r="746" spans="4:5" x14ac:dyDescent="0.2">
      <c r="D746" s="52"/>
      <c r="E746" s="52"/>
    </row>
    <row r="747" spans="4:5" x14ac:dyDescent="0.2">
      <c r="D747" s="52"/>
      <c r="E747" s="52"/>
    </row>
    <row r="748" spans="4:5" x14ac:dyDescent="0.2">
      <c r="D748" s="52"/>
      <c r="E748" s="52"/>
    </row>
    <row r="749" spans="4:5" x14ac:dyDescent="0.2">
      <c r="D749" s="52"/>
      <c r="E749" s="52"/>
    </row>
    <row r="750" spans="4:5" x14ac:dyDescent="0.2">
      <c r="D750" s="52"/>
      <c r="E750" s="52"/>
    </row>
    <row r="751" spans="4:5" x14ac:dyDescent="0.2">
      <c r="D751" s="52"/>
      <c r="E751" s="52"/>
    </row>
    <row r="752" spans="4:5" x14ac:dyDescent="0.2">
      <c r="D752" s="52"/>
      <c r="E752" s="52"/>
    </row>
    <row r="753" spans="4:5" x14ac:dyDescent="0.2">
      <c r="D753" s="52"/>
      <c r="E753" s="52"/>
    </row>
    <row r="754" spans="4:5" x14ac:dyDescent="0.2">
      <c r="D754" s="52"/>
      <c r="E754" s="52"/>
    </row>
    <row r="755" spans="4:5" x14ac:dyDescent="0.2">
      <c r="D755" s="52"/>
      <c r="E755" s="52"/>
    </row>
    <row r="756" spans="4:5" x14ac:dyDescent="0.2">
      <c r="D756" s="52"/>
      <c r="E756" s="52"/>
    </row>
    <row r="757" spans="4:5" x14ac:dyDescent="0.2">
      <c r="D757" s="52"/>
      <c r="E757" s="52"/>
    </row>
    <row r="758" spans="4:5" x14ac:dyDescent="0.2">
      <c r="D758" s="52"/>
      <c r="E758" s="52"/>
    </row>
    <row r="759" spans="4:5" x14ac:dyDescent="0.2">
      <c r="D759" s="52"/>
      <c r="E759" s="52"/>
    </row>
    <row r="760" spans="4:5" x14ac:dyDescent="0.2">
      <c r="D760" s="52"/>
      <c r="E760" s="52"/>
    </row>
    <row r="761" spans="4:5" x14ac:dyDescent="0.2">
      <c r="D761" s="52"/>
      <c r="E761" s="52"/>
    </row>
    <row r="762" spans="4:5" x14ac:dyDescent="0.2">
      <c r="D762" s="52"/>
      <c r="E762" s="52"/>
    </row>
    <row r="763" spans="4:5" x14ac:dyDescent="0.2">
      <c r="D763" s="52"/>
      <c r="E763" s="52"/>
    </row>
    <row r="764" spans="4:5" x14ac:dyDescent="0.2">
      <c r="D764" s="52"/>
      <c r="E764" s="52"/>
    </row>
    <row r="765" spans="4:5" x14ac:dyDescent="0.2">
      <c r="D765" s="52"/>
      <c r="E765" s="52"/>
    </row>
    <row r="766" spans="4:5" x14ac:dyDescent="0.2">
      <c r="D766" s="52"/>
      <c r="E766" s="52"/>
    </row>
    <row r="767" spans="4:5" x14ac:dyDescent="0.2">
      <c r="D767" s="52"/>
      <c r="E767" s="52"/>
    </row>
    <row r="768" spans="4:5" x14ac:dyDescent="0.2">
      <c r="D768" s="52"/>
      <c r="E768" s="52"/>
    </row>
    <row r="769" spans="4:5" x14ac:dyDescent="0.2">
      <c r="D769" s="52"/>
      <c r="E769" s="52"/>
    </row>
    <row r="770" spans="4:5" x14ac:dyDescent="0.2">
      <c r="D770" s="52"/>
      <c r="E770" s="52"/>
    </row>
    <row r="771" spans="4:5" x14ac:dyDescent="0.2">
      <c r="D771" s="52"/>
      <c r="E771" s="52"/>
    </row>
    <row r="772" spans="4:5" x14ac:dyDescent="0.2">
      <c r="D772" s="52"/>
      <c r="E772" s="52"/>
    </row>
    <row r="773" spans="4:5" x14ac:dyDescent="0.2">
      <c r="D773" s="52"/>
      <c r="E773" s="52"/>
    </row>
    <row r="774" spans="4:5" x14ac:dyDescent="0.2">
      <c r="D774" s="52"/>
      <c r="E774" s="52"/>
    </row>
    <row r="775" spans="4:5" x14ac:dyDescent="0.2">
      <c r="D775" s="52"/>
      <c r="E775" s="52"/>
    </row>
    <row r="776" spans="4:5" x14ac:dyDescent="0.2">
      <c r="D776" s="52"/>
      <c r="E776" s="52"/>
    </row>
    <row r="777" spans="4:5" x14ac:dyDescent="0.2">
      <c r="D777" s="52"/>
      <c r="E777" s="52"/>
    </row>
    <row r="778" spans="4:5" x14ac:dyDescent="0.2">
      <c r="D778" s="52"/>
      <c r="E778" s="52"/>
    </row>
    <row r="779" spans="4:5" x14ac:dyDescent="0.2">
      <c r="D779" s="52"/>
      <c r="E779" s="52"/>
    </row>
    <row r="780" spans="4:5" x14ac:dyDescent="0.2">
      <c r="D780" s="52"/>
      <c r="E780" s="52"/>
    </row>
    <row r="781" spans="4:5" x14ac:dyDescent="0.2">
      <c r="D781" s="52"/>
      <c r="E781" s="52"/>
    </row>
    <row r="782" spans="4:5" x14ac:dyDescent="0.2">
      <c r="D782" s="52"/>
      <c r="E782" s="52"/>
    </row>
    <row r="783" spans="4:5" x14ac:dyDescent="0.2">
      <c r="D783" s="52"/>
      <c r="E783" s="52"/>
    </row>
    <row r="784" spans="4:5" x14ac:dyDescent="0.2">
      <c r="D784" s="52"/>
      <c r="E784" s="52"/>
    </row>
    <row r="785" spans="4:5" x14ac:dyDescent="0.2">
      <c r="D785" s="52"/>
      <c r="E785" s="52"/>
    </row>
    <row r="786" spans="4:5" x14ac:dyDescent="0.2">
      <c r="D786" s="52"/>
      <c r="E786" s="52"/>
    </row>
    <row r="787" spans="4:5" x14ac:dyDescent="0.2">
      <c r="D787" s="52"/>
      <c r="E787" s="52"/>
    </row>
    <row r="788" spans="4:5" x14ac:dyDescent="0.2">
      <c r="D788" s="52"/>
      <c r="E788" s="52"/>
    </row>
    <row r="789" spans="4:5" x14ac:dyDescent="0.2">
      <c r="D789" s="52"/>
      <c r="E789" s="52"/>
    </row>
    <row r="790" spans="4:5" x14ac:dyDescent="0.2">
      <c r="D790" s="52"/>
      <c r="E790" s="52"/>
    </row>
    <row r="791" spans="4:5" x14ac:dyDescent="0.2">
      <c r="D791" s="52"/>
      <c r="E791" s="52"/>
    </row>
    <row r="792" spans="4:5" x14ac:dyDescent="0.2">
      <c r="D792" s="52"/>
      <c r="E792" s="52"/>
    </row>
    <row r="793" spans="4:5" x14ac:dyDescent="0.2">
      <c r="D793" s="52"/>
      <c r="E793" s="52"/>
    </row>
    <row r="794" spans="4:5" x14ac:dyDescent="0.2">
      <c r="D794" s="52"/>
      <c r="E794" s="52"/>
    </row>
    <row r="795" spans="4:5" x14ac:dyDescent="0.2">
      <c r="D795" s="52"/>
      <c r="E795" s="52"/>
    </row>
    <row r="796" spans="4:5" x14ac:dyDescent="0.2">
      <c r="D796" s="52"/>
      <c r="E796" s="52"/>
    </row>
    <row r="797" spans="4:5" x14ac:dyDescent="0.2">
      <c r="D797" s="52"/>
      <c r="E797" s="52"/>
    </row>
    <row r="798" spans="4:5" x14ac:dyDescent="0.2">
      <c r="D798" s="52"/>
      <c r="E798" s="52"/>
    </row>
    <row r="799" spans="4:5" x14ac:dyDescent="0.2">
      <c r="D799" s="52"/>
      <c r="E799" s="52"/>
    </row>
    <row r="800" spans="4:5" x14ac:dyDescent="0.2">
      <c r="D800" s="52"/>
      <c r="E800" s="52"/>
    </row>
    <row r="801" spans="4:5" x14ac:dyDescent="0.2">
      <c r="D801" s="52"/>
      <c r="E801" s="52"/>
    </row>
    <row r="802" spans="4:5" x14ac:dyDescent="0.2">
      <c r="D802" s="52"/>
      <c r="E802" s="52"/>
    </row>
    <row r="803" spans="4:5" x14ac:dyDescent="0.2">
      <c r="D803" s="52"/>
      <c r="E803" s="52"/>
    </row>
    <row r="804" spans="4:5" x14ac:dyDescent="0.2">
      <c r="D804" s="52"/>
      <c r="E804" s="52"/>
    </row>
    <row r="805" spans="4:5" x14ac:dyDescent="0.2">
      <c r="D805" s="52"/>
      <c r="E805" s="52"/>
    </row>
    <row r="806" spans="4:5" x14ac:dyDescent="0.2">
      <c r="D806" s="52"/>
      <c r="E806" s="52"/>
    </row>
    <row r="807" spans="4:5" x14ac:dyDescent="0.2">
      <c r="D807" s="52"/>
      <c r="E807" s="52"/>
    </row>
  </sheetData>
  <printOptions horizontalCentered="1"/>
  <pageMargins left="0.2" right="0.2" top="0.2" bottom="0.25" header="0.15" footer="0"/>
  <pageSetup scale="76" orientation="landscape" r:id="rId1"/>
  <headerFooter>
    <oddFooter>Page &amp;P</oddFooter>
  </headerFooter>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3DE69-82F4-4A7A-9475-5429AB471D7D}">
  <dimension ref="A1:M34"/>
  <sheetViews>
    <sheetView workbookViewId="0">
      <pane ySplit="17" topLeftCell="A25" activePane="bottomLeft" state="frozen"/>
      <selection pane="bottomLeft" activeCell="A32" sqref="A32"/>
    </sheetView>
  </sheetViews>
  <sheetFormatPr defaultColWidth="9.1796875" defaultRowHeight="14.5" outlineLevelRow="1" x14ac:dyDescent="0.35"/>
  <cols>
    <col min="1" max="1" width="20" style="74" customWidth="1"/>
    <col min="2" max="2" width="8" style="74" customWidth="1"/>
    <col min="3" max="16384" width="9.1796875" style="74"/>
  </cols>
  <sheetData>
    <row r="1" spans="1:6" x14ac:dyDescent="0.35">
      <c r="A1" s="81" t="s">
        <v>1418</v>
      </c>
    </row>
    <row r="2" spans="1:6" x14ac:dyDescent="0.35">
      <c r="A2" s="81" t="s">
        <v>1419</v>
      </c>
      <c r="D2" s="74" t="s">
        <v>1420</v>
      </c>
    </row>
    <row r="3" spans="1:6" x14ac:dyDescent="0.35">
      <c r="A3" s="81"/>
    </row>
    <row r="4" spans="1:6" ht="15.5" x14ac:dyDescent="0.35">
      <c r="A4" s="2372" t="s">
        <v>1421</v>
      </c>
      <c r="B4" s="2371"/>
      <c r="C4" s="2371"/>
      <c r="D4" s="2371"/>
      <c r="E4" s="2371"/>
      <c r="F4" s="2371"/>
    </row>
    <row r="5" spans="1:6" ht="15.5" x14ac:dyDescent="0.35">
      <c r="A5" s="2372" t="s">
        <v>1422</v>
      </c>
      <c r="B5" s="2371"/>
      <c r="C5" s="2371"/>
      <c r="D5" s="2371"/>
      <c r="E5" s="2371"/>
      <c r="F5" s="2371"/>
    </row>
    <row r="6" spans="1:6" x14ac:dyDescent="0.35">
      <c r="A6" s="2371"/>
      <c r="B6" s="2371"/>
      <c r="C6" s="2371"/>
      <c r="D6" s="2371"/>
      <c r="E6" s="2371"/>
      <c r="F6" s="2371"/>
    </row>
    <row r="7" spans="1:6" x14ac:dyDescent="0.35">
      <c r="A7" s="75" t="s">
        <v>1423</v>
      </c>
      <c r="B7" s="2373" t="s">
        <v>1424</v>
      </c>
      <c r="C7" s="2371"/>
      <c r="D7" s="2371"/>
      <c r="E7" s="2371"/>
      <c r="F7" s="2371"/>
    </row>
    <row r="8" spans="1:6" x14ac:dyDescent="0.35">
      <c r="A8" s="2374" t="s">
        <v>1425</v>
      </c>
      <c r="B8" s="2371"/>
      <c r="C8" s="2371"/>
      <c r="D8" s="2371"/>
      <c r="E8" s="2371"/>
      <c r="F8" s="2371"/>
    </row>
    <row r="9" spans="1:6" x14ac:dyDescent="0.35">
      <c r="A9" s="75" t="s">
        <v>1426</v>
      </c>
      <c r="B9" s="2373" t="s">
        <v>1427</v>
      </c>
      <c r="C9" s="2371"/>
      <c r="D9" s="2371"/>
      <c r="E9" s="2371"/>
      <c r="F9" s="2371"/>
    </row>
    <row r="10" spans="1:6" x14ac:dyDescent="0.35">
      <c r="A10" s="75" t="s">
        <v>1428</v>
      </c>
      <c r="B10" s="2373" t="s">
        <v>1429</v>
      </c>
      <c r="C10" s="2371"/>
      <c r="D10" s="2371"/>
      <c r="E10" s="2371"/>
      <c r="F10" s="2371"/>
    </row>
    <row r="11" spans="1:6" x14ac:dyDescent="0.35">
      <c r="A11" s="75" t="s">
        <v>1430</v>
      </c>
      <c r="B11" s="2373" t="s">
        <v>1431</v>
      </c>
      <c r="C11" s="2371"/>
      <c r="D11" s="2371"/>
      <c r="E11" s="2371"/>
      <c r="F11" s="2371"/>
    </row>
    <row r="12" spans="1:6" x14ac:dyDescent="0.35">
      <c r="A12" s="75" t="s">
        <v>1432</v>
      </c>
      <c r="B12" s="2373" t="s">
        <v>1433</v>
      </c>
      <c r="C12" s="2371"/>
      <c r="D12" s="2371"/>
      <c r="E12" s="2371"/>
      <c r="F12" s="2371"/>
    </row>
    <row r="13" spans="1:6" x14ac:dyDescent="0.35">
      <c r="A13" s="75" t="s">
        <v>1434</v>
      </c>
      <c r="B13" s="2373" t="s">
        <v>1435</v>
      </c>
      <c r="C13" s="2371"/>
      <c r="D13" s="2371"/>
      <c r="E13" s="2371"/>
      <c r="F13" s="2371"/>
    </row>
    <row r="14" spans="1:6" x14ac:dyDescent="0.35">
      <c r="A14" s="75" t="s">
        <v>1436</v>
      </c>
      <c r="B14" s="2373" t="s">
        <v>1437</v>
      </c>
      <c r="C14" s="2371"/>
      <c r="D14" s="2371"/>
      <c r="E14" s="2371"/>
      <c r="F14" s="2371"/>
    </row>
    <row r="15" spans="1:6" x14ac:dyDescent="0.35">
      <c r="A15" s="75" t="s">
        <v>1438</v>
      </c>
      <c r="B15" s="2370" t="s">
        <v>1439</v>
      </c>
      <c r="C15" s="2371"/>
      <c r="D15" s="2371"/>
      <c r="E15" s="2371"/>
      <c r="F15" s="2371"/>
    </row>
    <row r="17" spans="1:13" ht="15" thickBot="1" x14ac:dyDescent="0.4">
      <c r="A17" s="76" t="s">
        <v>1440</v>
      </c>
      <c r="B17" s="76" t="s">
        <v>1441</v>
      </c>
      <c r="C17" s="76" t="s">
        <v>1442</v>
      </c>
      <c r="D17" s="76" t="s">
        <v>1443</v>
      </c>
      <c r="E17" s="76" t="s">
        <v>1444</v>
      </c>
      <c r="F17" s="76" t="s">
        <v>1445</v>
      </c>
      <c r="G17" s="76" t="s">
        <v>1446</v>
      </c>
      <c r="H17" s="76" t="s">
        <v>1447</v>
      </c>
      <c r="I17" s="76" t="s">
        <v>1448</v>
      </c>
      <c r="J17" s="76" t="s">
        <v>1449</v>
      </c>
      <c r="K17" s="76" t="s">
        <v>1450</v>
      </c>
      <c r="L17" s="76" t="s">
        <v>1451</v>
      </c>
      <c r="M17" s="76" t="s">
        <v>1452</v>
      </c>
    </row>
    <row r="18" spans="1:13" ht="15" hidden="1" outlineLevel="1" thickTop="1" x14ac:dyDescent="0.35">
      <c r="A18" s="77">
        <v>2012</v>
      </c>
      <c r="B18" s="78">
        <v>4457</v>
      </c>
      <c r="C18" s="78">
        <v>4560</v>
      </c>
      <c r="D18" s="78">
        <v>4575</v>
      </c>
      <c r="E18" s="78">
        <v>4389</v>
      </c>
      <c r="F18" s="78">
        <v>4533</v>
      </c>
      <c r="G18" s="78">
        <v>4440</v>
      </c>
      <c r="H18" s="78">
        <v>4327</v>
      </c>
      <c r="I18" s="78">
        <v>4450</v>
      </c>
      <c r="J18" s="78">
        <v>4302</v>
      </c>
      <c r="K18" s="78">
        <v>4389</v>
      </c>
      <c r="L18" s="78">
        <v>4489</v>
      </c>
      <c r="M18" s="78">
        <v>4452</v>
      </c>
    </row>
    <row r="19" spans="1:13" hidden="1" outlineLevel="1" x14ac:dyDescent="0.35">
      <c r="A19" s="77">
        <v>2013</v>
      </c>
      <c r="B19" s="78">
        <v>4487</v>
      </c>
      <c r="C19" s="78">
        <v>4571</v>
      </c>
      <c r="D19" s="78">
        <v>4369</v>
      </c>
      <c r="E19" s="78">
        <v>4572</v>
      </c>
      <c r="F19" s="78">
        <v>4663</v>
      </c>
      <c r="G19" s="78">
        <v>4440</v>
      </c>
      <c r="H19" s="78">
        <v>4561</v>
      </c>
      <c r="I19" s="78">
        <v>4730</v>
      </c>
      <c r="J19" s="78">
        <v>4726</v>
      </c>
      <c r="K19" s="78">
        <v>4518</v>
      </c>
      <c r="L19" s="78">
        <v>4622</v>
      </c>
      <c r="M19" s="78">
        <v>4614</v>
      </c>
    </row>
    <row r="20" spans="1:13" hidden="1" outlineLevel="1" x14ac:dyDescent="0.35">
      <c r="A20" s="77">
        <v>2014</v>
      </c>
      <c r="B20" s="78">
        <v>4626</v>
      </c>
      <c r="C20" s="78">
        <v>4696</v>
      </c>
      <c r="D20" s="78">
        <v>4763</v>
      </c>
      <c r="E20" s="78">
        <v>4880</v>
      </c>
      <c r="F20" s="78">
        <v>4808</v>
      </c>
      <c r="G20" s="78">
        <v>4925</v>
      </c>
      <c r="H20" s="78">
        <v>5008</v>
      </c>
      <c r="I20" s="78">
        <v>4810</v>
      </c>
      <c r="J20" s="78">
        <v>5149</v>
      </c>
      <c r="K20" s="78">
        <v>5111</v>
      </c>
      <c r="L20" s="78">
        <v>4978</v>
      </c>
      <c r="M20" s="78">
        <v>5192</v>
      </c>
    </row>
    <row r="21" spans="1:13" hidden="1" outlineLevel="1" x14ac:dyDescent="0.35">
      <c r="A21" s="77">
        <v>2015</v>
      </c>
      <c r="B21" s="78">
        <v>5061</v>
      </c>
      <c r="C21" s="78">
        <v>5127</v>
      </c>
      <c r="D21" s="78">
        <v>5126</v>
      </c>
      <c r="E21" s="78">
        <v>5196</v>
      </c>
      <c r="F21" s="78">
        <v>5142</v>
      </c>
      <c r="G21" s="78">
        <v>5125</v>
      </c>
      <c r="H21" s="78">
        <v>5150</v>
      </c>
      <c r="I21" s="78">
        <v>5163</v>
      </c>
      <c r="J21" s="78">
        <v>5287</v>
      </c>
      <c r="K21" s="78">
        <v>5338</v>
      </c>
      <c r="L21" s="78">
        <v>5358</v>
      </c>
      <c r="M21" s="78">
        <v>5540</v>
      </c>
    </row>
    <row r="22" spans="1:13" hidden="1" outlineLevel="1" x14ac:dyDescent="0.35">
      <c r="A22" s="77">
        <v>2016</v>
      </c>
      <c r="B22" s="78">
        <v>5220</v>
      </c>
      <c r="C22" s="78">
        <v>5470</v>
      </c>
      <c r="D22" s="78">
        <v>5359</v>
      </c>
      <c r="E22" s="78">
        <v>5294</v>
      </c>
      <c r="F22" s="78">
        <v>5197</v>
      </c>
      <c r="G22" s="78">
        <v>5281</v>
      </c>
      <c r="H22" s="78">
        <v>5426</v>
      </c>
      <c r="I22" s="78">
        <v>5327</v>
      </c>
      <c r="J22" s="78">
        <v>5306</v>
      </c>
      <c r="K22" s="78">
        <v>5210</v>
      </c>
      <c r="L22" s="78">
        <v>5308</v>
      </c>
      <c r="M22" s="78">
        <v>5343</v>
      </c>
    </row>
    <row r="23" spans="1:13" hidden="1" outlineLevel="1" x14ac:dyDescent="0.35">
      <c r="A23" s="77">
        <v>2017</v>
      </c>
      <c r="B23" s="78">
        <v>5499</v>
      </c>
      <c r="C23" s="78">
        <v>5350</v>
      </c>
      <c r="D23" s="78">
        <v>5395</v>
      </c>
      <c r="E23" s="78">
        <v>5272</v>
      </c>
      <c r="F23" s="78">
        <v>5477</v>
      </c>
      <c r="G23" s="78">
        <v>5635</v>
      </c>
      <c r="H23" s="78">
        <v>5497</v>
      </c>
      <c r="I23" s="78">
        <v>5519</v>
      </c>
      <c r="J23" s="78">
        <v>5450</v>
      </c>
      <c r="K23" s="78">
        <v>5581</v>
      </c>
      <c r="L23" s="78">
        <v>5494</v>
      </c>
      <c r="M23" s="78">
        <v>5421</v>
      </c>
    </row>
    <row r="24" spans="1:13" hidden="1" outlineLevel="1" x14ac:dyDescent="0.35">
      <c r="A24" s="77">
        <v>2018</v>
      </c>
      <c r="B24" s="78">
        <v>5480</v>
      </c>
      <c r="C24" s="78">
        <v>5644</v>
      </c>
      <c r="D24" s="78">
        <v>5641</v>
      </c>
      <c r="E24" s="78">
        <v>5599</v>
      </c>
      <c r="F24" s="78">
        <v>5845</v>
      </c>
      <c r="G24" s="78">
        <v>5763</v>
      </c>
      <c r="H24" s="78">
        <v>5676</v>
      </c>
      <c r="I24" s="78">
        <v>5803</v>
      </c>
      <c r="J24" s="78">
        <v>5601</v>
      </c>
      <c r="K24" s="78">
        <v>5867</v>
      </c>
      <c r="L24" s="78">
        <v>5833</v>
      </c>
      <c r="M24" s="78">
        <v>5754</v>
      </c>
    </row>
    <row r="25" spans="1:13" ht="15" collapsed="1" thickTop="1" x14ac:dyDescent="0.35">
      <c r="A25" s="77">
        <v>2019</v>
      </c>
      <c r="B25" s="78">
        <v>5778</v>
      </c>
      <c r="C25" s="78">
        <v>5684</v>
      </c>
      <c r="D25" s="78">
        <v>5706</v>
      </c>
      <c r="E25" s="78">
        <v>6010</v>
      </c>
      <c r="F25" s="78">
        <v>5704</v>
      </c>
      <c r="G25" s="78">
        <v>5769</v>
      </c>
      <c r="H25" s="78">
        <v>5928</v>
      </c>
      <c r="I25" s="78">
        <v>5862</v>
      </c>
      <c r="J25" s="78">
        <v>5954</v>
      </c>
      <c r="K25" s="78">
        <v>5779</v>
      </c>
      <c r="L25" s="78">
        <v>5845</v>
      </c>
      <c r="M25" s="78">
        <v>5941</v>
      </c>
    </row>
    <row r="26" spans="1:13" x14ac:dyDescent="0.35">
      <c r="A26" s="77">
        <v>2020</v>
      </c>
      <c r="B26" s="78">
        <v>6005</v>
      </c>
      <c r="C26" s="78">
        <v>6025</v>
      </c>
      <c r="D26" s="78">
        <v>5222</v>
      </c>
      <c r="E26" s="78">
        <v>4031</v>
      </c>
      <c r="F26" s="78">
        <v>8145</v>
      </c>
      <c r="G26" s="78">
        <v>7438</v>
      </c>
      <c r="H26" s="78">
        <v>6188</v>
      </c>
      <c r="I26" s="78">
        <v>5998</v>
      </c>
      <c r="J26" s="78">
        <v>5898</v>
      </c>
      <c r="K26" s="78">
        <v>6105</v>
      </c>
      <c r="L26" s="78">
        <v>5885</v>
      </c>
      <c r="M26" s="78">
        <v>5660</v>
      </c>
    </row>
    <row r="27" spans="1:13" x14ac:dyDescent="0.35">
      <c r="A27" s="77">
        <v>2021</v>
      </c>
      <c r="B27" s="78">
        <v>5719</v>
      </c>
      <c r="C27" s="78">
        <v>6028</v>
      </c>
      <c r="D27" s="78">
        <v>6208</v>
      </c>
      <c r="E27" s="78">
        <v>6121</v>
      </c>
      <c r="F27" s="78">
        <v>6092</v>
      </c>
      <c r="G27" s="78">
        <v>6414</v>
      </c>
      <c r="H27" s="78">
        <v>6556</v>
      </c>
      <c r="I27" s="78">
        <v>6362</v>
      </c>
      <c r="J27" s="78">
        <v>6504</v>
      </c>
      <c r="K27" s="78">
        <v>6460</v>
      </c>
      <c r="L27" s="78">
        <v>6705</v>
      </c>
      <c r="M27" s="78">
        <v>6450</v>
      </c>
    </row>
    <row r="28" spans="1:13" x14ac:dyDescent="0.35">
      <c r="A28" s="77">
        <v>2022</v>
      </c>
      <c r="B28" s="78">
        <v>6426</v>
      </c>
      <c r="C28" s="78">
        <v>6832</v>
      </c>
      <c r="D28" s="78">
        <v>6645</v>
      </c>
      <c r="E28" s="78">
        <v>6527</v>
      </c>
      <c r="F28" s="78">
        <v>6507</v>
      </c>
      <c r="G28" s="78">
        <v>6374</v>
      </c>
    </row>
    <row r="30" spans="1:13" x14ac:dyDescent="0.35">
      <c r="B30" s="79" t="s">
        <v>1453</v>
      </c>
      <c r="C30" s="79" t="s">
        <v>1454</v>
      </c>
      <c r="D30" s="79" t="s">
        <v>1455</v>
      </c>
      <c r="E30" s="79" t="s">
        <v>1456</v>
      </c>
    </row>
    <row r="31" spans="1:13" x14ac:dyDescent="0.35">
      <c r="A31" s="77">
        <v>2019</v>
      </c>
      <c r="B31" s="80">
        <f>+SUM(B25:D25)</f>
        <v>17168</v>
      </c>
      <c r="C31" s="80">
        <f>+SUM(E25:G25)</f>
        <v>17483</v>
      </c>
      <c r="D31" s="80">
        <f>+SUM(H25:J25)</f>
        <v>17744</v>
      </c>
      <c r="E31" s="80">
        <f>+SUM(K25:M25)</f>
        <v>17565</v>
      </c>
    </row>
    <row r="32" spans="1:13" x14ac:dyDescent="0.35">
      <c r="A32" s="77">
        <v>2020</v>
      </c>
      <c r="B32" s="80">
        <f>+SUM(B26:D26)</f>
        <v>17252</v>
      </c>
      <c r="C32" s="80">
        <f>+SUM(E26:G26)</f>
        <v>19614</v>
      </c>
      <c r="D32" s="80">
        <f>+SUM(H26:J26)</f>
        <v>18084</v>
      </c>
      <c r="E32" s="80">
        <f>+SUM(K26:M26)</f>
        <v>17650</v>
      </c>
    </row>
    <row r="33" spans="1:5" x14ac:dyDescent="0.35">
      <c r="A33" s="77">
        <v>2021</v>
      </c>
      <c r="B33" s="80">
        <f>+SUM(B27:D27)</f>
        <v>17955</v>
      </c>
      <c r="C33" s="80">
        <f>+SUM(E27:G27)</f>
        <v>18627</v>
      </c>
      <c r="D33" s="80">
        <f>+SUM(H27:J27)</f>
        <v>19422</v>
      </c>
      <c r="E33" s="80">
        <f>+SUM(K27:M27)</f>
        <v>19615</v>
      </c>
    </row>
    <row r="34" spans="1:5" x14ac:dyDescent="0.35">
      <c r="A34" s="77">
        <v>2022</v>
      </c>
      <c r="B34" s="80">
        <f>+SUM(B28:D28)</f>
        <v>19903</v>
      </c>
      <c r="C34" s="80">
        <f>+SUM(E28:G28)</f>
        <v>19408</v>
      </c>
    </row>
  </sheetData>
  <mergeCells count="12">
    <mergeCell ref="B15:F15"/>
    <mergeCell ref="A4:F4"/>
    <mergeCell ref="A5:F5"/>
    <mergeCell ref="A6:F6"/>
    <mergeCell ref="B7:F7"/>
    <mergeCell ref="A8:F8"/>
    <mergeCell ref="B9:F9"/>
    <mergeCell ref="B10:F10"/>
    <mergeCell ref="B11:F11"/>
    <mergeCell ref="B12:F12"/>
    <mergeCell ref="B13:F13"/>
    <mergeCell ref="B14:F14"/>
  </mergeCells>
  <pageMargins left="0.7" right="0.7" top="0.75" bottom="0.75" header="0.3" footer="0.3"/>
  <pageSetup orientation="landscape" r:id="rId1"/>
  <headerFooter>
    <oddHeader>&amp;CBureau of Labor Statistics</oddHeader>
    <oddFooter>&amp;LSource: Bureau of Labor Statistics&amp;RGenerated on: August 5, 2022 (05:40:37 PM)</oddFooter>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C627E-5A29-4897-BD26-C0D07D41724A}">
  <sheetPr>
    <pageSetUpPr fitToPage="1"/>
  </sheetPr>
  <dimension ref="A1:X42"/>
  <sheetViews>
    <sheetView view="pageBreakPreview" zoomScaleNormal="100" zoomScaleSheetLayoutView="100" workbookViewId="0">
      <pane xSplit="3" ySplit="5" topLeftCell="D6" activePane="bottomRight" state="frozen"/>
      <selection pane="topRight" activeCell="W31" sqref="W31"/>
      <selection pane="bottomLeft" activeCell="W31" sqref="W31"/>
      <selection pane="bottomRight" activeCell="D6" sqref="D6"/>
    </sheetView>
  </sheetViews>
  <sheetFormatPr defaultColWidth="9.1796875" defaultRowHeight="10" outlineLevelRow="1" x14ac:dyDescent="0.2"/>
  <cols>
    <col min="1" max="1" width="1.453125" style="1" customWidth="1"/>
    <col min="2" max="2" width="35.7265625" style="1" customWidth="1"/>
    <col min="3" max="3" width="4.7265625" style="1" customWidth="1"/>
    <col min="4" max="13" width="9.1796875" style="1" customWidth="1"/>
    <col min="14" max="14" width="9.1796875" style="1"/>
    <col min="15" max="16" width="9.1796875" style="1" customWidth="1"/>
    <col min="17" max="19" width="9.1796875" style="1"/>
    <col min="20" max="20" width="2.7265625" style="1" customWidth="1"/>
    <col min="21" max="24" width="9.1796875" style="1" customWidth="1"/>
    <col min="25" max="25" width="11.1796875" style="1" bestFit="1" customWidth="1"/>
    <col min="26" max="16384" width="9.1796875" style="1"/>
  </cols>
  <sheetData>
    <row r="1" spans="1:24" x14ac:dyDescent="0.2">
      <c r="B1" s="1" t="str">
        <f>+'FA Base'!B1</f>
        <v>FA - Standalone</v>
      </c>
      <c r="W1" s="2"/>
      <c r="X1" s="2">
        <f ca="1">TODAY()</f>
        <v>45797</v>
      </c>
    </row>
    <row r="2" spans="1:24" ht="10.5" x14ac:dyDescent="0.25">
      <c r="B2" s="3" t="s">
        <v>1457</v>
      </c>
      <c r="C2" s="3"/>
      <c r="W2" s="57"/>
      <c r="X2" s="57"/>
    </row>
    <row r="3" spans="1:24" s="4" customFormat="1" x14ac:dyDescent="0.2">
      <c r="B3" s="5" t="str">
        <f>+'FA Base'!B3</f>
        <v>(USD in mm)</v>
      </c>
      <c r="C3" s="5"/>
    </row>
    <row r="4" spans="1:24" ht="10.5" x14ac:dyDescent="0.25">
      <c r="D4" s="7"/>
      <c r="E4" s="8"/>
      <c r="F4" s="8"/>
      <c r="G4" s="8"/>
      <c r="H4" s="7"/>
      <c r="I4" s="7"/>
      <c r="J4" s="7"/>
      <c r="K4" s="7"/>
      <c r="L4" s="7"/>
      <c r="M4" s="7"/>
      <c r="N4" s="7"/>
      <c r="O4" s="7"/>
      <c r="P4" s="7"/>
      <c r="Q4" s="7"/>
      <c r="R4" s="7"/>
      <c r="S4" s="7"/>
      <c r="U4" s="7" t="s">
        <v>7</v>
      </c>
      <c r="V4" s="8"/>
      <c r="W4" s="8"/>
      <c r="X4" s="8"/>
    </row>
    <row r="5" spans="1:24" ht="13.5" x14ac:dyDescent="0.55000000000000004">
      <c r="D5" s="9" t="s">
        <v>86</v>
      </c>
      <c r="E5" s="9" t="s">
        <v>87</v>
      </c>
      <c r="F5" s="9" t="s">
        <v>88</v>
      </c>
      <c r="G5" s="9" t="s">
        <v>89</v>
      </c>
      <c r="H5" s="9" t="s">
        <v>90</v>
      </c>
      <c r="I5" s="9" t="s">
        <v>91</v>
      </c>
      <c r="J5" s="9" t="s">
        <v>92</v>
      </c>
      <c r="K5" s="9" t="s">
        <v>93</v>
      </c>
      <c r="L5" s="9" t="s">
        <v>94</v>
      </c>
      <c r="M5" s="9" t="s">
        <v>95</v>
      </c>
      <c r="N5" s="9" t="s">
        <v>96</v>
      </c>
      <c r="O5" s="9" t="s">
        <v>97</v>
      </c>
      <c r="P5" s="9" t="s">
        <v>98</v>
      </c>
      <c r="Q5" s="9" t="s">
        <v>99</v>
      </c>
      <c r="R5" s="9" t="s">
        <v>1458</v>
      </c>
      <c r="S5" s="9" t="s">
        <v>1459</v>
      </c>
      <c r="T5" s="9"/>
      <c r="U5" s="9" t="s">
        <v>115</v>
      </c>
      <c r="V5" s="9" t="s">
        <v>116</v>
      </c>
      <c r="W5" s="9" t="s">
        <v>117</v>
      </c>
      <c r="X5" s="9" t="s">
        <v>1331</v>
      </c>
    </row>
    <row r="6" spans="1:24" ht="11.25" customHeight="1" x14ac:dyDescent="0.2">
      <c r="D6" s="40"/>
      <c r="E6" s="40"/>
      <c r="F6" s="40"/>
      <c r="G6" s="40"/>
      <c r="H6" s="40"/>
      <c r="I6" s="40"/>
      <c r="J6" s="40"/>
      <c r="K6" s="40"/>
      <c r="L6" s="40"/>
      <c r="M6" s="40"/>
      <c r="N6" s="40"/>
      <c r="O6" s="40"/>
      <c r="P6" s="40"/>
      <c r="Q6" s="40"/>
      <c r="R6" s="40"/>
      <c r="S6" s="40"/>
      <c r="T6" s="40"/>
      <c r="U6" s="40"/>
      <c r="V6" s="40"/>
      <c r="W6" s="40"/>
      <c r="X6" s="40"/>
    </row>
    <row r="7" spans="1:24" ht="10.5" x14ac:dyDescent="0.25">
      <c r="A7" s="1" t="s">
        <v>26</v>
      </c>
      <c r="B7" s="11" t="s">
        <v>1460</v>
      </c>
      <c r="C7" s="3"/>
      <c r="D7" s="40"/>
      <c r="E7" s="40"/>
      <c r="F7" s="40"/>
      <c r="G7" s="40"/>
      <c r="H7" s="40"/>
      <c r="I7" s="40"/>
      <c r="J7" s="40"/>
      <c r="K7" s="40"/>
      <c r="L7" s="40"/>
      <c r="M7" s="40"/>
      <c r="N7" s="40"/>
      <c r="O7" s="40"/>
      <c r="P7" s="40"/>
      <c r="Q7" s="40"/>
      <c r="R7" s="40"/>
      <c r="S7" s="40"/>
      <c r="T7" s="40"/>
      <c r="U7" s="40"/>
      <c r="V7" s="40"/>
      <c r="W7" s="40"/>
      <c r="X7" s="40"/>
    </row>
    <row r="8" spans="1:24" x14ac:dyDescent="0.2">
      <c r="D8" s="40"/>
      <c r="E8" s="40"/>
      <c r="F8" s="40"/>
      <c r="G8" s="40"/>
      <c r="H8" s="40"/>
      <c r="I8" s="40"/>
      <c r="J8" s="40"/>
      <c r="K8" s="40"/>
      <c r="L8" s="40"/>
      <c r="M8" s="40"/>
      <c r="N8" s="40"/>
      <c r="O8" s="40"/>
      <c r="P8" s="40"/>
      <c r="Q8" s="40"/>
      <c r="R8" s="40"/>
      <c r="S8" s="40"/>
      <c r="T8" s="40"/>
      <c r="U8" s="40"/>
      <c r="V8" s="40"/>
      <c r="W8" s="40"/>
      <c r="X8" s="40"/>
    </row>
    <row r="9" spans="1:24" x14ac:dyDescent="0.2">
      <c r="B9" s="1" t="s">
        <v>1461</v>
      </c>
      <c r="D9" s="70">
        <f>(+'BLS Hires'!B31)/1000</f>
        <v>17.167999999999999</v>
      </c>
      <c r="E9" s="70">
        <f>(+'BLS Hires'!C31)/1000</f>
        <v>17.483000000000001</v>
      </c>
      <c r="F9" s="70">
        <f>(+'BLS Hires'!D31)/1000</f>
        <v>17.744</v>
      </c>
      <c r="G9" s="70">
        <f>(+'BLS Hires'!E31)/1000</f>
        <v>17.565000000000001</v>
      </c>
      <c r="H9" s="70">
        <f>(+'BLS Hires'!B32)/1000</f>
        <v>17.251999999999999</v>
      </c>
      <c r="I9" s="70">
        <f>(+'BLS Hires'!C32)/1000</f>
        <v>19.614000000000001</v>
      </c>
      <c r="J9" s="70">
        <f>(+'BLS Hires'!D32)/1000</f>
        <v>18.084</v>
      </c>
      <c r="K9" s="70">
        <f>(+'BLS Hires'!E32)/1000</f>
        <v>17.649999999999999</v>
      </c>
      <c r="L9" s="70">
        <f>(+'BLS Hires'!B33)/1000</f>
        <v>17.954999999999998</v>
      </c>
      <c r="M9" s="70">
        <f>(+'BLS Hires'!C33)/1000</f>
        <v>18.626999999999999</v>
      </c>
      <c r="N9" s="70">
        <f>(+'BLS Hires'!D33)/1000</f>
        <v>19.422000000000001</v>
      </c>
      <c r="O9" s="70">
        <f>(+'BLS Hires'!E33)/1000</f>
        <v>19.614999999999998</v>
      </c>
      <c r="P9" s="70">
        <f>(+'BLS Hires'!B34)/1000</f>
        <v>19.902999999999999</v>
      </c>
      <c r="Q9" s="70">
        <f>(+'BLS Hires'!C34)/1000</f>
        <v>19.408000000000001</v>
      </c>
      <c r="R9" s="40"/>
      <c r="S9" s="40"/>
      <c r="T9" s="40"/>
      <c r="U9" s="70">
        <f>+SUM('BLS Hires'!B25:M25)/1000</f>
        <v>69.959999999999994</v>
      </c>
      <c r="V9" s="70">
        <f>+SUM('BLS Hires'!B26:M26)/1000</f>
        <v>72.599999999999994</v>
      </c>
      <c r="W9" s="70">
        <f>+SUM('BLS Hires'!B27:M27)/1000</f>
        <v>75.619</v>
      </c>
      <c r="X9" s="40"/>
    </row>
    <row r="10" spans="1:24" x14ac:dyDescent="0.2">
      <c r="B10" s="13" t="s">
        <v>29</v>
      </c>
      <c r="D10" s="70"/>
      <c r="E10" s="70"/>
      <c r="F10" s="70"/>
      <c r="G10" s="70"/>
      <c r="H10" s="19">
        <f>+H9/D9-1</f>
        <v>4.892823858341E-3</v>
      </c>
      <c r="I10" s="19">
        <f t="shared" ref="I10:Q10" si="0">+I9/E9-1</f>
        <v>0.1218898358405307</v>
      </c>
      <c r="J10" s="19">
        <f t="shared" si="0"/>
        <v>1.9161406672678183E-2</v>
      </c>
      <c r="K10" s="19">
        <f t="shared" si="0"/>
        <v>4.8391688015938517E-3</v>
      </c>
      <c r="L10" s="19">
        <f t="shared" si="0"/>
        <v>4.0748898678414136E-2</v>
      </c>
      <c r="M10" s="19">
        <f t="shared" si="0"/>
        <v>-5.0321199143468998E-2</v>
      </c>
      <c r="N10" s="19">
        <f t="shared" si="0"/>
        <v>7.3988055739880654E-2</v>
      </c>
      <c r="O10" s="19">
        <f t="shared" si="0"/>
        <v>0.11133144475920687</v>
      </c>
      <c r="P10" s="19">
        <f t="shared" si="0"/>
        <v>0.10849345586187686</v>
      </c>
      <c r="Q10" s="19">
        <f t="shared" si="0"/>
        <v>4.1928383529285629E-2</v>
      </c>
      <c r="R10" s="40"/>
      <c r="S10" s="40"/>
      <c r="T10" s="40"/>
      <c r="U10" s="40"/>
      <c r="V10" s="19">
        <f>+V9/U9-1</f>
        <v>3.7735849056603765E-2</v>
      </c>
      <c r="W10" s="19">
        <f>+W9/V9-1</f>
        <v>4.1584022038567481E-2</v>
      </c>
      <c r="X10" s="40"/>
    </row>
    <row r="11" spans="1:24" hidden="1" outlineLevel="1" x14ac:dyDescent="0.2">
      <c r="B11" s="13" t="s">
        <v>219</v>
      </c>
      <c r="D11" s="70"/>
      <c r="E11" s="19">
        <f t="shared" ref="E11:P11" si="1">+E9/D9-1</f>
        <v>1.8348089468779305E-2</v>
      </c>
      <c r="F11" s="19">
        <f t="shared" si="1"/>
        <v>1.4928787965452051E-2</v>
      </c>
      <c r="G11" s="19">
        <f t="shared" si="1"/>
        <v>-1.0087917042380434E-2</v>
      </c>
      <c r="H11" s="19">
        <f t="shared" si="1"/>
        <v>-1.7819527469399521E-2</v>
      </c>
      <c r="I11" s="19">
        <f t="shared" si="1"/>
        <v>0.13691166241595187</v>
      </c>
      <c r="J11" s="19">
        <f t="shared" si="1"/>
        <v>-7.8005506271030978E-2</v>
      </c>
      <c r="K11" s="19">
        <f t="shared" si="1"/>
        <v>-2.3999115239991209E-2</v>
      </c>
      <c r="L11" s="19">
        <f t="shared" si="1"/>
        <v>1.7280453257790374E-2</v>
      </c>
      <c r="M11" s="19">
        <f t="shared" si="1"/>
        <v>3.7426900584795364E-2</v>
      </c>
      <c r="N11" s="19">
        <f t="shared" si="1"/>
        <v>4.2679980673216322E-2</v>
      </c>
      <c r="O11" s="19">
        <f t="shared" si="1"/>
        <v>9.9371846359797011E-3</v>
      </c>
      <c r="P11" s="19">
        <f t="shared" si="1"/>
        <v>1.468264083609494E-2</v>
      </c>
      <c r="Q11" s="19">
        <f>+Q9/P9-1</f>
        <v>-2.4870622519218122E-2</v>
      </c>
      <c r="R11" s="40"/>
      <c r="S11" s="40"/>
      <c r="T11" s="40"/>
      <c r="U11" s="40"/>
      <c r="V11" s="19">
        <f>+V9/U9-1</f>
        <v>3.7735849056603765E-2</v>
      </c>
      <c r="W11" s="19">
        <f>+W9/V9-1</f>
        <v>4.1584022038567481E-2</v>
      </c>
      <c r="X11" s="40"/>
    </row>
    <row r="12" spans="1:24" collapsed="1" x14ac:dyDescent="0.2">
      <c r="D12" s="40"/>
      <c r="E12" s="40"/>
      <c r="F12" s="40"/>
      <c r="G12" s="40"/>
      <c r="H12" s="40"/>
      <c r="I12" s="40"/>
      <c r="J12" s="40"/>
      <c r="K12" s="40"/>
      <c r="L12" s="40"/>
      <c r="M12" s="40"/>
      <c r="N12" s="40"/>
      <c r="O12" s="40"/>
      <c r="P12" s="71"/>
      <c r="Q12" s="58"/>
      <c r="R12" s="40"/>
      <c r="S12" s="40"/>
      <c r="T12" s="40"/>
      <c r="U12" s="40"/>
      <c r="V12" s="40"/>
      <c r="W12" s="40"/>
      <c r="X12" s="40"/>
    </row>
    <row r="13" spans="1:24" s="20" customFormat="1" x14ac:dyDescent="0.2">
      <c r="B13" s="83" t="s">
        <v>28</v>
      </c>
      <c r="D13" s="49">
        <v>109.687</v>
      </c>
      <c r="E13" s="49">
        <v>121.621</v>
      </c>
      <c r="F13" s="49">
        <v>123.76900000000001</v>
      </c>
      <c r="G13" s="49">
        <f>+U13-SUM(D13:F13)</f>
        <v>126.69</v>
      </c>
      <c r="H13" s="49">
        <f>36.785+74.054</f>
        <v>110.839</v>
      </c>
      <c r="I13" s="49">
        <v>104.99299999999999</v>
      </c>
      <c r="J13" s="49">
        <v>136.77799999999999</v>
      </c>
      <c r="K13" s="49">
        <f>+V13-SUM(H13:J13)</f>
        <v>156.54399999999998</v>
      </c>
      <c r="L13" s="49">
        <v>132.07</v>
      </c>
      <c r="M13" s="49">
        <v>174.82599999999999</v>
      </c>
      <c r="N13" s="49">
        <v>192.86699999999999</v>
      </c>
      <c r="O13" s="49">
        <f>+W13-SUM(L13:N13)</f>
        <v>212.53200000000004</v>
      </c>
      <c r="P13" s="49">
        <v>189.881</v>
      </c>
      <c r="Q13" s="49">
        <v>201.56100000000001</v>
      </c>
      <c r="R13" s="49">
        <f>+Q13*(1+R16)</f>
        <v>215.67027000000002</v>
      </c>
      <c r="S13" s="49">
        <f>+R13*(1+S16)</f>
        <v>230.76718890000004</v>
      </c>
      <c r="T13" s="49"/>
      <c r="U13" s="49">
        <v>481.767</v>
      </c>
      <c r="V13" s="49">
        <v>509.154</v>
      </c>
      <c r="W13" s="49">
        <v>712.29499999999996</v>
      </c>
      <c r="X13" s="49">
        <f>+SUM(P13:S13)</f>
        <v>837.87945890000015</v>
      </c>
    </row>
    <row r="14" spans="1:24" s="20" customFormat="1" ht="10.5" hidden="1" outlineLevel="1" x14ac:dyDescent="0.25">
      <c r="B14" s="97" t="s">
        <v>29</v>
      </c>
      <c r="C14" s="84"/>
      <c r="D14" s="49"/>
      <c r="E14" s="49"/>
      <c r="F14" s="49"/>
      <c r="G14" s="49"/>
      <c r="H14" s="85">
        <f t="shared" ref="H14:S14" si="2">+H13/D13-1</f>
        <v>1.0502611977718512E-2</v>
      </c>
      <c r="I14" s="85">
        <f t="shared" si="2"/>
        <v>-0.13671980990125066</v>
      </c>
      <c r="J14" s="85">
        <f t="shared" si="2"/>
        <v>0.10510709466829327</v>
      </c>
      <c r="K14" s="85">
        <f t="shared" si="2"/>
        <v>0.23564606519851594</v>
      </c>
      <c r="L14" s="85">
        <f t="shared" si="2"/>
        <v>0.19154810130008393</v>
      </c>
      <c r="M14" s="85">
        <f t="shared" si="2"/>
        <v>0.66512053184498021</v>
      </c>
      <c r="N14" s="85">
        <f t="shared" si="2"/>
        <v>0.41007325739519507</v>
      </c>
      <c r="O14" s="85">
        <f t="shared" si="2"/>
        <v>0.35765024529844691</v>
      </c>
      <c r="P14" s="85">
        <f t="shared" si="2"/>
        <v>0.43772999167108351</v>
      </c>
      <c r="Q14" s="85">
        <f t="shared" si="2"/>
        <v>0.15292347820118302</v>
      </c>
      <c r="R14" s="85">
        <f t="shared" si="2"/>
        <v>0.1182331347508907</v>
      </c>
      <c r="S14" s="85">
        <f t="shared" si="2"/>
        <v>8.5799733216644913E-2</v>
      </c>
      <c r="T14" s="49"/>
      <c r="U14" s="85">
        <v>7.8E-2</v>
      </c>
      <c r="V14" s="85">
        <f>+V13/U13-1</f>
        <v>5.684698204733829E-2</v>
      </c>
      <c r="W14" s="85">
        <f>+W13/V13-1</f>
        <v>0.39897751957168159</v>
      </c>
      <c r="X14" s="85">
        <f>+X13/W13-1</f>
        <v>0.17630961736359252</v>
      </c>
    </row>
    <row r="15" spans="1:24" s="20" customFormat="1" ht="10.5" collapsed="1" x14ac:dyDescent="0.25">
      <c r="B15" s="97" t="s">
        <v>1462</v>
      </c>
      <c r="C15" s="84"/>
      <c r="D15" s="49"/>
      <c r="E15" s="49"/>
      <c r="F15" s="49"/>
      <c r="G15" s="49"/>
      <c r="H15" s="85">
        <f>+H14</f>
        <v>1.0502611977718512E-2</v>
      </c>
      <c r="I15" s="85">
        <f>+I14</f>
        <v>-0.13671980990125066</v>
      </c>
      <c r="J15" s="85">
        <f>+J14</f>
        <v>0.10510709466829327</v>
      </c>
      <c r="K15" s="85">
        <f>+K14</f>
        <v>0.23564606519851594</v>
      </c>
      <c r="L15" s="16">
        <f>+L14</f>
        <v>0.19154810130008393</v>
      </c>
      <c r="M15" s="85">
        <v>0.59799999999999998</v>
      </c>
      <c r="N15" s="85">
        <v>0.34499999999999997</v>
      </c>
      <c r="O15" s="85">
        <v>0.30299999999999999</v>
      </c>
      <c r="P15" s="85">
        <v>0.32600000000000001</v>
      </c>
      <c r="Q15" s="85">
        <v>0.105</v>
      </c>
      <c r="R15" s="85">
        <f>+R14</f>
        <v>0.1182331347508907</v>
      </c>
      <c r="S15" s="85">
        <f>+S14</f>
        <v>8.5799733216644913E-2</v>
      </c>
      <c r="T15" s="49"/>
      <c r="U15" s="85">
        <v>7.8E-2</v>
      </c>
      <c r="V15" s="85">
        <f>+V14</f>
        <v>5.684698204733829E-2</v>
      </c>
      <c r="W15" s="85">
        <v>0.35099999999999998</v>
      </c>
      <c r="X15" s="85">
        <f>+X14</f>
        <v>0.17630961736359252</v>
      </c>
    </row>
    <row r="16" spans="1:24" ht="10.5" hidden="1" outlineLevel="1" x14ac:dyDescent="0.25">
      <c r="B16" s="13" t="s">
        <v>219</v>
      </c>
      <c r="C16" s="3"/>
      <c r="D16" s="40"/>
      <c r="E16" s="19">
        <f t="shared" ref="E16:Q16" si="3">+E13/D13-1</f>
        <v>0.10880049595667662</v>
      </c>
      <c r="F16" s="19">
        <f t="shared" si="3"/>
        <v>1.7661423602831849E-2</v>
      </c>
      <c r="G16" s="19">
        <f t="shared" si="3"/>
        <v>2.3600416905687149E-2</v>
      </c>
      <c r="H16" s="19">
        <f t="shared" si="3"/>
        <v>-0.12511642592154082</v>
      </c>
      <c r="I16" s="19">
        <f t="shared" si="3"/>
        <v>-5.2743168018477338E-2</v>
      </c>
      <c r="J16" s="19">
        <f t="shared" si="3"/>
        <v>0.30273446801215309</v>
      </c>
      <c r="K16" s="19">
        <f t="shared" si="3"/>
        <v>0.14451154425419288</v>
      </c>
      <c r="L16" s="19">
        <f t="shared" si="3"/>
        <v>-0.15633943172526565</v>
      </c>
      <c r="M16" s="19">
        <f t="shared" si="3"/>
        <v>0.32373741197849637</v>
      </c>
      <c r="N16" s="19">
        <f t="shared" si="3"/>
        <v>0.10319403292416451</v>
      </c>
      <c r="O16" s="19">
        <f t="shared" si="3"/>
        <v>0.10196145530339584</v>
      </c>
      <c r="P16" s="19">
        <f t="shared" si="3"/>
        <v>-0.10657689195038877</v>
      </c>
      <c r="Q16" s="19">
        <f t="shared" si="3"/>
        <v>6.1512210279069501E-2</v>
      </c>
      <c r="R16" s="34">
        <v>7.0000000000000007E-2</v>
      </c>
      <c r="S16" s="34">
        <v>7.0000000000000007E-2</v>
      </c>
      <c r="T16" s="40"/>
      <c r="U16" s="19"/>
      <c r="V16" s="19">
        <f>+V13/U13-1</f>
        <v>5.684698204733829E-2</v>
      </c>
      <c r="W16" s="19">
        <f>+W13/V13-1</f>
        <v>0.39897751957168159</v>
      </c>
      <c r="X16" s="19">
        <f>+X13/W13-1</f>
        <v>0.17630961736359252</v>
      </c>
    </row>
    <row r="17" spans="2:24" ht="10.5" collapsed="1" x14ac:dyDescent="0.25">
      <c r="B17" s="13"/>
      <c r="C17" s="3"/>
      <c r="D17" s="40"/>
      <c r="E17" s="19"/>
      <c r="F17" s="19"/>
      <c r="G17" s="19"/>
      <c r="H17" s="19"/>
      <c r="I17" s="19"/>
      <c r="J17" s="19"/>
      <c r="K17" s="19"/>
      <c r="L17" s="19"/>
      <c r="M17" s="19"/>
      <c r="N17" s="19"/>
      <c r="O17" s="19"/>
      <c r="P17" s="19"/>
      <c r="Q17" s="34"/>
      <c r="R17" s="34"/>
      <c r="S17" s="34"/>
      <c r="T17" s="40"/>
      <c r="U17" s="19"/>
      <c r="V17" s="19"/>
      <c r="W17" s="19"/>
      <c r="X17" s="19"/>
    </row>
    <row r="36" spans="7:17" x14ac:dyDescent="0.2">
      <c r="H36" s="1" t="str">
        <f>+H5</f>
        <v>1Q20</v>
      </c>
      <c r="I36" s="1" t="str">
        <f t="shared" ref="I36:Q36" si="4">+I5</f>
        <v>2Q20</v>
      </c>
      <c r="J36" s="1" t="str">
        <f t="shared" si="4"/>
        <v>3Q20</v>
      </c>
      <c r="K36" s="1" t="str">
        <f t="shared" si="4"/>
        <v>4Q20</v>
      </c>
      <c r="L36" s="1" t="str">
        <f t="shared" si="4"/>
        <v>1Q21</v>
      </c>
      <c r="M36" s="1" t="str">
        <f t="shared" si="4"/>
        <v>2Q21</v>
      </c>
      <c r="N36" s="1" t="str">
        <f t="shared" si="4"/>
        <v>3Q21</v>
      </c>
      <c r="O36" s="1" t="str">
        <f t="shared" si="4"/>
        <v>4Q21</v>
      </c>
      <c r="P36" s="1" t="str">
        <f t="shared" si="4"/>
        <v>1Q22</v>
      </c>
      <c r="Q36" s="1" t="str">
        <f t="shared" si="4"/>
        <v>2Q22</v>
      </c>
    </row>
    <row r="41" spans="7:17" x14ac:dyDescent="0.2">
      <c r="G41" s="1" t="s">
        <v>1463</v>
      </c>
      <c r="H41" s="12">
        <f t="shared" ref="H41:Q41" si="5">+H10</f>
        <v>4.892823858341E-3</v>
      </c>
      <c r="I41" s="12">
        <f t="shared" si="5"/>
        <v>0.1218898358405307</v>
      </c>
      <c r="J41" s="12">
        <f t="shared" si="5"/>
        <v>1.9161406672678183E-2</v>
      </c>
      <c r="K41" s="12">
        <f t="shared" si="5"/>
        <v>4.8391688015938517E-3</v>
      </c>
      <c r="L41" s="12">
        <f t="shared" si="5"/>
        <v>4.0748898678414136E-2</v>
      </c>
      <c r="M41" s="12">
        <f t="shared" si="5"/>
        <v>-5.0321199143468998E-2</v>
      </c>
      <c r="N41" s="12">
        <f t="shared" si="5"/>
        <v>7.3988055739880654E-2</v>
      </c>
      <c r="O41" s="12">
        <f t="shared" si="5"/>
        <v>0.11133144475920687</v>
      </c>
      <c r="P41" s="12">
        <f t="shared" si="5"/>
        <v>0.10849345586187686</v>
      </c>
      <c r="Q41" s="12">
        <f t="shared" si="5"/>
        <v>4.1928383529285629E-2</v>
      </c>
    </row>
    <row r="42" spans="7:17" x14ac:dyDescent="0.2">
      <c r="G42" s="1" t="s">
        <v>1464</v>
      </c>
      <c r="H42" s="12">
        <f t="shared" ref="H42:Q42" si="6">+H15</f>
        <v>1.0502611977718512E-2</v>
      </c>
      <c r="I42" s="12">
        <f t="shared" si="6"/>
        <v>-0.13671980990125066</v>
      </c>
      <c r="J42" s="12">
        <f t="shared" si="6"/>
        <v>0.10510709466829327</v>
      </c>
      <c r="K42" s="12">
        <f t="shared" si="6"/>
        <v>0.23564606519851594</v>
      </c>
      <c r="L42" s="12">
        <f t="shared" si="6"/>
        <v>0.19154810130008393</v>
      </c>
      <c r="M42" s="12">
        <f t="shared" si="6"/>
        <v>0.59799999999999998</v>
      </c>
      <c r="N42" s="12">
        <f t="shared" si="6"/>
        <v>0.34499999999999997</v>
      </c>
      <c r="O42" s="12">
        <f t="shared" si="6"/>
        <v>0.30299999999999999</v>
      </c>
      <c r="P42" s="12">
        <f t="shared" si="6"/>
        <v>0.32600000000000001</v>
      </c>
      <c r="Q42" s="12">
        <f t="shared" si="6"/>
        <v>0.105</v>
      </c>
    </row>
  </sheetData>
  <printOptions horizontalCentered="1"/>
  <pageMargins left="0.3" right="0.3" top="0.3" bottom="0.3" header="0.3" footer="0.3"/>
  <pageSetup scale="58" fitToHeight="0" orientation="landscape" r:id="rId1"/>
  <headerFooter>
    <oddFooter>Page &amp;P</oddFoot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8AB2E-0655-4B25-8A1D-E65A96E2EED6}">
  <dimension ref="A1:T654"/>
  <sheetViews>
    <sheetView topLeftCell="B32" zoomScaleNormal="100" workbookViewId="0">
      <selection activeCell="M59" sqref="M59"/>
    </sheetView>
  </sheetViews>
  <sheetFormatPr defaultRowHeight="14.5" x14ac:dyDescent="0.35"/>
  <cols>
    <col min="1" max="1" width="45.7265625" customWidth="1"/>
    <col min="2" max="2" width="7.7265625" customWidth="1"/>
    <col min="3" max="20" width="11.1796875" customWidth="1"/>
  </cols>
  <sheetData>
    <row r="1" spans="1:20" x14ac:dyDescent="0.35">
      <c r="A1" s="447" t="s">
        <v>1465</v>
      </c>
      <c r="B1" s="447"/>
      <c r="C1" s="448" t="s">
        <v>1466</v>
      </c>
      <c r="D1" s="448" t="s">
        <v>1467</v>
      </c>
      <c r="E1" s="448" t="s">
        <v>1468</v>
      </c>
      <c r="F1" s="449" t="s">
        <v>1469</v>
      </c>
      <c r="G1" s="448" t="s">
        <v>1470</v>
      </c>
      <c r="H1" s="448" t="s">
        <v>1471</v>
      </c>
      <c r="I1" s="448" t="s">
        <v>1472</v>
      </c>
      <c r="J1" s="449" t="s">
        <v>1473</v>
      </c>
      <c r="K1" s="448" t="s">
        <v>1474</v>
      </c>
      <c r="L1" s="448" t="s">
        <v>1475</v>
      </c>
      <c r="M1" s="448" t="s">
        <v>1476</v>
      </c>
      <c r="N1" s="449" t="s">
        <v>1477</v>
      </c>
      <c r="O1" s="448" t="s">
        <v>1478</v>
      </c>
      <c r="P1" s="449" t="s">
        <v>1479</v>
      </c>
      <c r="R1" s="448" t="s">
        <v>1480</v>
      </c>
      <c r="S1" s="448" t="s">
        <v>1481</v>
      </c>
      <c r="T1" s="448" t="s">
        <v>1482</v>
      </c>
    </row>
    <row r="2" spans="1:20" x14ac:dyDescent="0.35">
      <c r="A2" s="447" t="s">
        <v>1483</v>
      </c>
      <c r="B2" s="447"/>
      <c r="C2" s="448" t="s">
        <v>1466</v>
      </c>
      <c r="D2" s="448" t="s">
        <v>1467</v>
      </c>
      <c r="E2" s="448" t="s">
        <v>1468</v>
      </c>
      <c r="F2" s="449" t="s">
        <v>1469</v>
      </c>
      <c r="G2" s="448" t="s">
        <v>1470</v>
      </c>
      <c r="H2" s="448" t="s">
        <v>1471</v>
      </c>
      <c r="I2" s="448" t="s">
        <v>1472</v>
      </c>
      <c r="J2" s="449" t="s">
        <v>1473</v>
      </c>
      <c r="K2" s="448" t="s">
        <v>1474</v>
      </c>
      <c r="L2" s="448" t="s">
        <v>1475</v>
      </c>
      <c r="M2" s="448" t="s">
        <v>1476</v>
      </c>
      <c r="N2" s="449" t="s">
        <v>1477</v>
      </c>
      <c r="O2" s="448" t="s">
        <v>1478</v>
      </c>
      <c r="P2" s="449" t="s">
        <v>1479</v>
      </c>
      <c r="R2" s="450" t="s">
        <v>1480</v>
      </c>
      <c r="S2" s="450" t="s">
        <v>1481</v>
      </c>
      <c r="T2" s="450" t="s">
        <v>1482</v>
      </c>
    </row>
    <row r="3" spans="1:20" x14ac:dyDescent="0.35">
      <c r="A3" s="451" t="s">
        <v>1484</v>
      </c>
      <c r="B3" s="451"/>
      <c r="C3" s="452">
        <v>43555</v>
      </c>
      <c r="D3" s="452">
        <v>43646</v>
      </c>
      <c r="E3" s="452">
        <v>43738</v>
      </c>
      <c r="F3" s="453">
        <v>43830</v>
      </c>
      <c r="G3" s="452">
        <v>43921</v>
      </c>
      <c r="H3" s="452">
        <v>44012</v>
      </c>
      <c r="I3" s="452">
        <v>44104</v>
      </c>
      <c r="J3" s="453">
        <v>44196</v>
      </c>
      <c r="K3" s="452">
        <v>44286</v>
      </c>
      <c r="L3" s="452">
        <v>44377</v>
      </c>
      <c r="M3" s="452">
        <v>44469</v>
      </c>
      <c r="N3" s="453">
        <v>44561</v>
      </c>
      <c r="O3" s="452">
        <v>44651</v>
      </c>
      <c r="P3" s="453">
        <v>44742</v>
      </c>
      <c r="R3" s="454"/>
      <c r="S3" s="454"/>
      <c r="T3" s="454"/>
    </row>
    <row r="4" spans="1:20" x14ac:dyDescent="0.35">
      <c r="A4" s="455" t="s">
        <v>1485</v>
      </c>
      <c r="B4" s="455"/>
      <c r="C4" s="456"/>
      <c r="D4" s="456"/>
      <c r="E4" s="456"/>
      <c r="F4" s="457"/>
      <c r="G4" s="456"/>
      <c r="H4" s="456"/>
      <c r="I4" s="456"/>
      <c r="J4" s="457"/>
      <c r="K4" s="456"/>
      <c r="L4" s="456"/>
      <c r="M4" s="456"/>
      <c r="N4" s="457"/>
      <c r="O4" s="456"/>
      <c r="P4" s="458"/>
      <c r="R4" s="459"/>
      <c r="S4" s="459"/>
      <c r="T4" s="459"/>
    </row>
    <row r="5" spans="1:20" x14ac:dyDescent="0.35">
      <c r="A5" s="460" t="s">
        <v>1486</v>
      </c>
      <c r="B5" s="460"/>
      <c r="C5" s="460"/>
      <c r="D5" s="460"/>
      <c r="E5" s="460"/>
      <c r="F5" s="461"/>
      <c r="G5" s="460"/>
      <c r="H5" s="460"/>
      <c r="I5" s="460"/>
      <c r="J5" s="461"/>
      <c r="K5" s="460"/>
      <c r="L5" s="462" t="s">
        <v>1487</v>
      </c>
      <c r="M5" s="462" t="s">
        <v>1487</v>
      </c>
      <c r="N5" s="463" t="s">
        <v>1486</v>
      </c>
      <c r="O5" s="462" t="s">
        <v>1487</v>
      </c>
      <c r="P5" s="463" t="s">
        <v>1487</v>
      </c>
      <c r="R5" s="464"/>
      <c r="S5" s="464"/>
      <c r="T5" s="464"/>
    </row>
    <row r="6" spans="1:20" x14ac:dyDescent="0.35">
      <c r="A6" s="460" t="s">
        <v>1488</v>
      </c>
      <c r="B6" s="460"/>
      <c r="C6" s="460"/>
      <c r="D6" s="460"/>
      <c r="E6" s="460"/>
      <c r="F6" s="461"/>
      <c r="G6" s="460"/>
      <c r="H6" s="460"/>
      <c r="I6" s="460"/>
      <c r="J6" s="461"/>
      <c r="K6" s="460"/>
      <c r="L6" s="462" t="s">
        <v>1489</v>
      </c>
      <c r="M6" s="462" t="s">
        <v>1489</v>
      </c>
      <c r="N6" s="463" t="s">
        <v>1489</v>
      </c>
      <c r="O6" s="462" t="s">
        <v>1489</v>
      </c>
      <c r="P6" s="463" t="s">
        <v>1489</v>
      </c>
      <c r="R6" s="464"/>
      <c r="S6" s="464"/>
      <c r="T6" s="464"/>
    </row>
    <row r="7" spans="1:20" x14ac:dyDescent="0.35">
      <c r="C7" s="460"/>
      <c r="D7" s="460"/>
      <c r="E7" s="460"/>
      <c r="F7" s="461"/>
      <c r="G7" s="460"/>
      <c r="H7" s="460"/>
      <c r="I7" s="460"/>
      <c r="J7" s="461"/>
      <c r="K7" s="460"/>
      <c r="L7" s="465"/>
      <c r="M7" s="465"/>
      <c r="N7" s="466"/>
      <c r="O7" s="465"/>
      <c r="P7" s="466"/>
      <c r="R7" s="464"/>
      <c r="S7" s="464"/>
      <c r="T7" s="464"/>
    </row>
    <row r="8" spans="1:20" x14ac:dyDescent="0.35">
      <c r="A8" s="455" t="s">
        <v>1490</v>
      </c>
      <c r="B8" s="455"/>
      <c r="C8" s="467"/>
      <c r="D8" s="467"/>
      <c r="E8" s="467"/>
      <c r="F8" s="468"/>
      <c r="G8" s="467"/>
      <c r="H8" s="467"/>
      <c r="I8" s="467"/>
      <c r="J8" s="468"/>
      <c r="K8" s="467"/>
      <c r="L8" s="467"/>
      <c r="M8" s="467"/>
      <c r="N8" s="468"/>
      <c r="O8" s="467"/>
      <c r="P8" s="468"/>
      <c r="R8" s="469"/>
      <c r="S8" s="469"/>
      <c r="T8" s="469"/>
    </row>
    <row r="9" spans="1:20" x14ac:dyDescent="0.35">
      <c r="A9" s="470" t="s">
        <v>28</v>
      </c>
      <c r="B9" s="470"/>
      <c r="C9" s="471"/>
      <c r="D9" s="471"/>
      <c r="E9" s="471"/>
      <c r="F9" s="472"/>
      <c r="G9" s="471"/>
      <c r="H9" s="471"/>
      <c r="I9" s="471"/>
      <c r="J9" s="472"/>
      <c r="K9" s="471"/>
      <c r="L9" s="471"/>
      <c r="M9" s="471"/>
      <c r="N9" s="472"/>
      <c r="O9" s="471"/>
      <c r="P9" s="472"/>
      <c r="R9" s="473"/>
      <c r="S9" s="473"/>
      <c r="T9" s="473"/>
    </row>
    <row r="10" spans="1:20" x14ac:dyDescent="0.35">
      <c r="A10" s="474" t="s">
        <v>1256</v>
      </c>
      <c r="B10" s="474"/>
      <c r="C10" s="471"/>
      <c r="D10" s="471"/>
      <c r="E10" s="471"/>
      <c r="F10" s="472"/>
      <c r="G10" s="471"/>
      <c r="H10" s="471"/>
      <c r="I10" s="471"/>
      <c r="J10" s="472"/>
      <c r="K10" s="471"/>
      <c r="L10" s="475">
        <v>640</v>
      </c>
      <c r="M10" s="475">
        <v>680</v>
      </c>
      <c r="N10" s="476">
        <v>813</v>
      </c>
      <c r="O10" s="475">
        <v>820</v>
      </c>
      <c r="P10" s="476">
        <v>823</v>
      </c>
      <c r="R10" s="473"/>
      <c r="S10" s="473"/>
      <c r="T10" s="473"/>
    </row>
    <row r="11" spans="1:20" x14ac:dyDescent="0.35">
      <c r="A11" s="474" t="s">
        <v>1255</v>
      </c>
      <c r="B11" s="474"/>
      <c r="C11" s="471"/>
      <c r="D11" s="471"/>
      <c r="E11" s="471"/>
      <c r="F11" s="472"/>
      <c r="G11" s="471"/>
      <c r="H11" s="471"/>
      <c r="I11" s="471"/>
      <c r="J11" s="472"/>
      <c r="K11" s="471"/>
      <c r="L11" s="475">
        <v>650</v>
      </c>
      <c r="M11" s="475">
        <v>686</v>
      </c>
      <c r="N11" s="476">
        <v>828</v>
      </c>
      <c r="O11" s="475">
        <v>835</v>
      </c>
      <c r="P11" s="476">
        <v>835</v>
      </c>
      <c r="R11" s="473"/>
      <c r="S11" s="473"/>
      <c r="T11" s="473"/>
    </row>
    <row r="12" spans="1:20" x14ac:dyDescent="0.35">
      <c r="C12" s="471"/>
      <c r="D12" s="471"/>
      <c r="E12" s="471"/>
      <c r="F12" s="472"/>
      <c r="G12" s="471"/>
      <c r="H12" s="471"/>
      <c r="I12" s="471"/>
      <c r="J12" s="472"/>
      <c r="K12" s="471"/>
      <c r="L12" s="471"/>
      <c r="M12" s="471"/>
      <c r="N12" s="472"/>
      <c r="O12" s="471"/>
      <c r="P12" s="472"/>
      <c r="R12" s="473"/>
      <c r="S12" s="473"/>
      <c r="T12" s="473"/>
    </row>
    <row r="13" spans="1:20" x14ac:dyDescent="0.35">
      <c r="A13" s="470" t="s">
        <v>364</v>
      </c>
      <c r="B13" s="470"/>
      <c r="C13" s="471"/>
      <c r="D13" s="471"/>
      <c r="E13" s="471"/>
      <c r="F13" s="472"/>
      <c r="G13" s="471"/>
      <c r="H13" s="471"/>
      <c r="I13" s="471"/>
      <c r="J13" s="472"/>
      <c r="K13" s="471"/>
      <c r="L13" s="471"/>
      <c r="M13" s="471"/>
      <c r="N13" s="472"/>
      <c r="O13" s="471"/>
      <c r="P13" s="472"/>
      <c r="R13" s="473"/>
      <c r="S13" s="473"/>
      <c r="T13" s="473"/>
    </row>
    <row r="14" spans="1:20" x14ac:dyDescent="0.35">
      <c r="A14" s="474" t="s">
        <v>1256</v>
      </c>
      <c r="B14" s="474"/>
      <c r="C14" s="471"/>
      <c r="D14" s="471"/>
      <c r="E14" s="471"/>
      <c r="F14" s="472"/>
      <c r="G14" s="471"/>
      <c r="H14" s="471"/>
      <c r="I14" s="471"/>
      <c r="J14" s="472"/>
      <c r="K14" s="471"/>
      <c r="L14" s="475">
        <v>186</v>
      </c>
      <c r="M14" s="475">
        <v>208</v>
      </c>
      <c r="N14" s="476">
        <v>250</v>
      </c>
      <c r="O14" s="475">
        <v>253</v>
      </c>
      <c r="P14" s="476">
        <v>254</v>
      </c>
      <c r="R14" s="473"/>
      <c r="S14" s="473"/>
      <c r="T14" s="473"/>
    </row>
    <row r="15" spans="1:20" x14ac:dyDescent="0.35">
      <c r="A15" s="474" t="s">
        <v>1255</v>
      </c>
      <c r="B15" s="474"/>
      <c r="C15" s="471"/>
      <c r="D15" s="471"/>
      <c r="E15" s="471"/>
      <c r="F15" s="472"/>
      <c r="G15" s="471"/>
      <c r="H15" s="471"/>
      <c r="I15" s="471"/>
      <c r="J15" s="472"/>
      <c r="K15" s="471"/>
      <c r="L15" s="475">
        <v>190</v>
      </c>
      <c r="M15" s="475">
        <v>211</v>
      </c>
      <c r="N15" s="476">
        <v>257</v>
      </c>
      <c r="O15" s="475">
        <v>259</v>
      </c>
      <c r="P15" s="476">
        <v>259</v>
      </c>
      <c r="R15" s="473"/>
      <c r="S15" s="473"/>
      <c r="T15" s="473"/>
    </row>
    <row r="16" spans="1:20" x14ac:dyDescent="0.35">
      <c r="C16" s="471"/>
      <c r="D16" s="471"/>
      <c r="E16" s="471"/>
      <c r="F16" s="472"/>
      <c r="G16" s="471"/>
      <c r="H16" s="471"/>
      <c r="I16" s="471"/>
      <c r="J16" s="472"/>
      <c r="K16" s="471"/>
      <c r="L16" s="471"/>
      <c r="M16" s="471"/>
      <c r="N16" s="472"/>
      <c r="O16" s="471"/>
      <c r="P16" s="472"/>
      <c r="R16" s="473"/>
      <c r="S16" s="473"/>
      <c r="T16" s="473"/>
    </row>
    <row r="17" spans="1:20" x14ac:dyDescent="0.35">
      <c r="A17" s="470" t="s">
        <v>1491</v>
      </c>
      <c r="B17" s="470"/>
      <c r="C17" s="471"/>
      <c r="D17" s="471"/>
      <c r="E17" s="471"/>
      <c r="F17" s="472"/>
      <c r="G17" s="471"/>
      <c r="H17" s="471"/>
      <c r="I17" s="471"/>
      <c r="J17" s="472"/>
      <c r="K17" s="471"/>
      <c r="L17" s="471"/>
      <c r="M17" s="471"/>
      <c r="N17" s="472"/>
      <c r="O17" s="471"/>
      <c r="P17" s="472"/>
      <c r="R17" s="473"/>
      <c r="S17" s="473"/>
      <c r="T17" s="473"/>
    </row>
    <row r="18" spans="1:20" x14ac:dyDescent="0.35">
      <c r="A18" s="474" t="s">
        <v>1256</v>
      </c>
      <c r="B18" s="474"/>
      <c r="C18" s="471"/>
      <c r="D18" s="471"/>
      <c r="E18" s="471"/>
      <c r="F18" s="472"/>
      <c r="G18" s="471"/>
      <c r="H18" s="471"/>
      <c r="I18" s="471"/>
      <c r="J18" s="472"/>
      <c r="K18" s="471"/>
      <c r="L18" s="475">
        <v>110</v>
      </c>
      <c r="M18" s="475">
        <v>125</v>
      </c>
      <c r="N18" s="476">
        <v>156</v>
      </c>
      <c r="O18" s="475">
        <v>157</v>
      </c>
      <c r="P18" s="476">
        <v>158</v>
      </c>
      <c r="R18" s="473"/>
      <c r="S18" s="473"/>
      <c r="T18" s="473"/>
    </row>
    <row r="19" spans="1:20" x14ac:dyDescent="0.35">
      <c r="A19" s="474" t="s">
        <v>1255</v>
      </c>
      <c r="B19" s="474"/>
      <c r="C19" s="471"/>
      <c r="D19" s="471"/>
      <c r="E19" s="471"/>
      <c r="F19" s="472"/>
      <c r="G19" s="471"/>
      <c r="H19" s="471"/>
      <c r="I19" s="471"/>
      <c r="J19" s="472"/>
      <c r="K19" s="471"/>
      <c r="L19" s="475">
        <v>113</v>
      </c>
      <c r="M19" s="475">
        <v>128</v>
      </c>
      <c r="N19" s="476">
        <v>161</v>
      </c>
      <c r="O19" s="475">
        <v>161</v>
      </c>
      <c r="P19" s="476">
        <v>161</v>
      </c>
      <c r="R19" s="473"/>
      <c r="S19" s="473"/>
      <c r="T19" s="473"/>
    </row>
    <row r="20" spans="1:20" x14ac:dyDescent="0.35">
      <c r="C20" s="471"/>
      <c r="D20" s="471"/>
      <c r="E20" s="471"/>
      <c r="F20" s="472"/>
      <c r="G20" s="471"/>
      <c r="H20" s="471"/>
      <c r="I20" s="471"/>
      <c r="J20" s="472"/>
      <c r="K20" s="471"/>
      <c r="L20" s="471"/>
      <c r="M20" s="471"/>
      <c r="N20" s="472"/>
      <c r="O20" s="471"/>
      <c r="P20" s="472"/>
      <c r="R20" s="473"/>
      <c r="S20" s="473"/>
      <c r="T20" s="473"/>
    </row>
    <row r="21" spans="1:20" x14ac:dyDescent="0.35">
      <c r="A21" s="470" t="s">
        <v>1492</v>
      </c>
      <c r="B21" s="470"/>
      <c r="C21" s="471"/>
      <c r="D21" s="471"/>
      <c r="E21" s="471"/>
      <c r="F21" s="472"/>
      <c r="G21" s="471"/>
      <c r="H21" s="471"/>
      <c r="I21" s="471"/>
      <c r="J21" s="472"/>
      <c r="K21" s="471"/>
      <c r="L21" s="471"/>
      <c r="M21" s="471"/>
      <c r="N21" s="472"/>
      <c r="O21" s="471"/>
      <c r="P21" s="472"/>
      <c r="R21" s="473"/>
      <c r="S21" s="473"/>
      <c r="T21" s="473"/>
    </row>
    <row r="22" spans="1:20" x14ac:dyDescent="0.35">
      <c r="A22" s="474" t="s">
        <v>1256</v>
      </c>
      <c r="B22" s="474"/>
      <c r="C22" s="471"/>
      <c r="D22" s="471"/>
      <c r="E22" s="471"/>
      <c r="F22" s="472"/>
      <c r="G22" s="471"/>
      <c r="H22" s="471"/>
      <c r="I22" s="471"/>
      <c r="J22" s="472"/>
      <c r="K22" s="471"/>
      <c r="L22" s="475">
        <v>25</v>
      </c>
      <c r="M22" s="475">
        <v>25</v>
      </c>
      <c r="N22" s="476">
        <v>28</v>
      </c>
      <c r="O22" s="475">
        <v>28</v>
      </c>
      <c r="P22" s="476">
        <v>28</v>
      </c>
      <c r="R22" s="473"/>
      <c r="S22" s="473"/>
      <c r="T22" s="473"/>
    </row>
    <row r="23" spans="1:20" x14ac:dyDescent="0.35">
      <c r="A23" s="474" t="s">
        <v>1255</v>
      </c>
      <c r="B23" s="474"/>
      <c r="C23" s="471"/>
      <c r="D23" s="471"/>
      <c r="E23" s="471"/>
      <c r="F23" s="472"/>
      <c r="G23" s="471"/>
      <c r="H23" s="471"/>
      <c r="I23" s="471"/>
      <c r="J23" s="472"/>
      <c r="K23" s="471"/>
      <c r="L23" s="475">
        <v>26</v>
      </c>
      <c r="M23" s="475">
        <v>26</v>
      </c>
      <c r="N23" s="476">
        <v>30</v>
      </c>
      <c r="O23" s="475">
        <v>30</v>
      </c>
      <c r="P23" s="476">
        <v>30</v>
      </c>
      <c r="R23" s="473"/>
      <c r="S23" s="473"/>
      <c r="T23" s="473"/>
    </row>
    <row r="24" spans="1:20" x14ac:dyDescent="0.35">
      <c r="F24" s="477"/>
      <c r="J24" s="477"/>
      <c r="N24" s="477"/>
      <c r="P24" s="477"/>
      <c r="R24" s="478"/>
      <c r="S24" s="478"/>
      <c r="T24" s="478"/>
    </row>
    <row r="25" spans="1:20" x14ac:dyDescent="0.35">
      <c r="A25" s="479" t="s">
        <v>1493</v>
      </c>
      <c r="B25" s="479"/>
      <c r="C25" s="467"/>
      <c r="D25" s="467"/>
      <c r="E25" s="467"/>
      <c r="F25" s="468"/>
      <c r="G25" s="467"/>
      <c r="H25" s="467"/>
      <c r="I25" s="467"/>
      <c r="J25" s="468"/>
      <c r="K25" s="467"/>
      <c r="L25" s="467"/>
      <c r="M25" s="467"/>
      <c r="N25" s="468"/>
      <c r="O25" s="467"/>
      <c r="P25" s="468"/>
      <c r="R25" s="469"/>
      <c r="S25" s="469"/>
      <c r="T25" s="469"/>
    </row>
    <row r="26" spans="1:20" x14ac:dyDescent="0.35">
      <c r="A26" s="470" t="s">
        <v>1494</v>
      </c>
      <c r="B26" s="470"/>
      <c r="C26" s="471"/>
      <c r="D26" s="471"/>
      <c r="E26" s="471"/>
      <c r="F26" s="472"/>
      <c r="G26" s="471"/>
      <c r="H26" s="471"/>
      <c r="I26" s="471"/>
      <c r="J26" s="472"/>
      <c r="K26" s="471"/>
      <c r="N26" s="472"/>
      <c r="O26" s="471"/>
      <c r="P26" s="472"/>
      <c r="R26" s="473"/>
      <c r="S26" s="473"/>
      <c r="T26" s="473"/>
    </row>
    <row r="27" spans="1:20" x14ac:dyDescent="0.35">
      <c r="A27" s="474" t="s">
        <v>397</v>
      </c>
      <c r="B27" s="474"/>
      <c r="C27" s="471"/>
      <c r="D27" s="471"/>
      <c r="E27" s="471"/>
      <c r="F27" s="472"/>
      <c r="G27" s="471"/>
      <c r="H27" s="471"/>
      <c r="I27" s="471"/>
      <c r="J27" s="476">
        <v>30</v>
      </c>
      <c r="K27" s="471"/>
      <c r="N27" s="476">
        <v>33</v>
      </c>
      <c r="O27" s="475">
        <v>33</v>
      </c>
      <c r="P27" s="476">
        <v>33</v>
      </c>
      <c r="R27" s="473"/>
      <c r="S27" s="473"/>
      <c r="T27" s="473"/>
    </row>
    <row r="28" spans="1:20" x14ac:dyDescent="0.35">
      <c r="A28" s="474" t="s">
        <v>432</v>
      </c>
      <c r="B28" s="474"/>
      <c r="C28" s="471"/>
      <c r="D28" s="471"/>
      <c r="E28" s="471"/>
      <c r="F28" s="472"/>
      <c r="G28" s="471"/>
      <c r="H28" s="471"/>
      <c r="I28" s="471"/>
      <c r="J28" s="476">
        <v>75</v>
      </c>
      <c r="K28" s="471"/>
      <c r="N28" s="476">
        <v>93</v>
      </c>
      <c r="O28" s="475">
        <v>93</v>
      </c>
      <c r="P28" s="476">
        <v>93</v>
      </c>
      <c r="R28" s="473"/>
      <c r="S28" s="473"/>
      <c r="T28" s="473"/>
    </row>
    <row r="29" spans="1:20" x14ac:dyDescent="0.35">
      <c r="A29" s="474" t="s">
        <v>1495</v>
      </c>
      <c r="B29" s="474"/>
      <c r="C29" s="471"/>
      <c r="D29" s="471"/>
      <c r="E29" s="471"/>
      <c r="F29" s="472"/>
      <c r="G29" s="471"/>
      <c r="H29" s="471"/>
      <c r="I29" s="471"/>
      <c r="J29" s="480">
        <v>0.95</v>
      </c>
      <c r="K29" s="471"/>
      <c r="L29" s="481">
        <v>0.95</v>
      </c>
      <c r="M29" s="481">
        <v>0.95</v>
      </c>
      <c r="N29" s="480">
        <v>0.96</v>
      </c>
      <c r="O29" s="481">
        <v>0.96</v>
      </c>
      <c r="P29" s="480">
        <v>0.96</v>
      </c>
      <c r="R29" s="473"/>
      <c r="S29" s="473"/>
      <c r="T29" s="473"/>
    </row>
    <row r="30" spans="1:20" x14ac:dyDescent="0.35">
      <c r="A30" s="474" t="s">
        <v>399</v>
      </c>
      <c r="B30" s="474"/>
      <c r="C30" s="471"/>
      <c r="D30" s="471"/>
      <c r="E30" s="471"/>
      <c r="F30" s="472"/>
      <c r="G30" s="471"/>
      <c r="H30" s="471"/>
      <c r="I30" s="471"/>
      <c r="J30" s="472"/>
      <c r="K30" s="471"/>
      <c r="N30" s="480">
        <v>0.5</v>
      </c>
      <c r="O30" s="481">
        <v>0.5</v>
      </c>
      <c r="P30" s="480">
        <v>0.5</v>
      </c>
      <c r="R30" s="473"/>
      <c r="S30" s="473"/>
      <c r="T30" s="473"/>
    </row>
    <row r="31" spans="1:20" x14ac:dyDescent="0.35">
      <c r="A31" s="474" t="s">
        <v>401</v>
      </c>
      <c r="B31" s="474"/>
      <c r="C31" s="471"/>
      <c r="D31" s="471"/>
      <c r="E31" s="471"/>
      <c r="F31" s="472"/>
      <c r="G31" s="471"/>
      <c r="H31" s="471"/>
      <c r="I31" s="471"/>
      <c r="J31" s="472"/>
      <c r="K31" s="471"/>
      <c r="L31" s="471"/>
      <c r="M31" s="471"/>
      <c r="N31" s="480">
        <v>0.33</v>
      </c>
      <c r="O31" s="481">
        <v>0.33</v>
      </c>
      <c r="P31" s="480">
        <v>0.33</v>
      </c>
      <c r="R31" s="473"/>
      <c r="S31" s="473"/>
      <c r="T31" s="473"/>
    </row>
    <row r="32" spans="1:20" x14ac:dyDescent="0.35">
      <c r="A32" s="474" t="s">
        <v>399</v>
      </c>
      <c r="B32" s="474"/>
      <c r="F32" s="477"/>
      <c r="J32" s="477"/>
      <c r="L32" s="475">
        <v>55</v>
      </c>
      <c r="M32" s="475">
        <v>55</v>
      </c>
      <c r="N32" s="477"/>
      <c r="P32" s="477"/>
      <c r="R32" s="478"/>
      <c r="S32" s="478"/>
      <c r="T32" s="478"/>
    </row>
    <row r="33" spans="1:20" x14ac:dyDescent="0.35">
      <c r="A33" s="474" t="s">
        <v>401</v>
      </c>
      <c r="B33" s="474"/>
      <c r="F33" s="477"/>
      <c r="J33" s="477"/>
      <c r="L33" s="475">
        <v>165</v>
      </c>
      <c r="M33" s="475">
        <v>165</v>
      </c>
      <c r="N33" s="477"/>
      <c r="P33" s="477"/>
      <c r="R33" s="478"/>
      <c r="S33" s="478"/>
      <c r="T33" s="478"/>
    </row>
    <row r="34" spans="1:20" x14ac:dyDescent="0.35">
      <c r="F34" s="477"/>
      <c r="J34" s="477"/>
      <c r="N34" s="477"/>
      <c r="P34" s="477"/>
      <c r="R34" s="478"/>
      <c r="S34" s="478"/>
      <c r="T34" s="478"/>
    </row>
    <row r="35" spans="1:20" x14ac:dyDescent="0.35">
      <c r="A35" s="470" t="s">
        <v>1496</v>
      </c>
      <c r="B35" s="470"/>
      <c r="C35" s="471"/>
      <c r="D35" s="471"/>
      <c r="E35" s="471"/>
      <c r="F35" s="472"/>
      <c r="G35" s="471"/>
      <c r="H35" s="471"/>
      <c r="I35" s="471"/>
      <c r="J35" s="472"/>
      <c r="K35" s="471"/>
      <c r="N35" s="477"/>
      <c r="O35" s="471"/>
      <c r="P35" s="472"/>
      <c r="R35" s="473"/>
      <c r="S35" s="473"/>
      <c r="T35" s="473"/>
    </row>
    <row r="36" spans="1:20" x14ac:dyDescent="0.35">
      <c r="A36" s="474" t="s">
        <v>1497</v>
      </c>
      <c r="B36" s="474"/>
      <c r="C36" s="471"/>
      <c r="D36" s="471"/>
      <c r="E36" s="471"/>
      <c r="F36" s="472"/>
      <c r="G36" s="471"/>
      <c r="H36" s="471"/>
      <c r="I36" s="471"/>
      <c r="J36" s="472"/>
      <c r="K36" s="471"/>
      <c r="L36" s="475">
        <v>1</v>
      </c>
      <c r="M36" s="475">
        <v>1</v>
      </c>
      <c r="N36" s="476">
        <v>1</v>
      </c>
      <c r="O36" s="475">
        <v>1</v>
      </c>
      <c r="P36" s="476">
        <v>1</v>
      </c>
      <c r="R36" s="473"/>
      <c r="S36" s="473"/>
      <c r="T36" s="473"/>
    </row>
    <row r="37" spans="1:20" x14ac:dyDescent="0.35">
      <c r="A37" s="474" t="s">
        <v>1498</v>
      </c>
      <c r="B37" s="474"/>
      <c r="C37" s="471"/>
      <c r="D37" s="471"/>
      <c r="E37" s="471"/>
      <c r="F37" s="472"/>
      <c r="G37" s="471"/>
      <c r="H37" s="471"/>
      <c r="I37" s="471"/>
      <c r="J37" s="476">
        <v>600</v>
      </c>
      <c r="K37" s="471"/>
      <c r="L37" s="475">
        <v>600</v>
      </c>
      <c r="M37" s="475">
        <v>600</v>
      </c>
      <c r="N37" s="476">
        <v>850</v>
      </c>
      <c r="O37" s="475">
        <v>850</v>
      </c>
      <c r="P37" s="476">
        <v>850</v>
      </c>
      <c r="R37" s="473"/>
      <c r="S37" s="473"/>
      <c r="T37" s="473"/>
    </row>
    <row r="38" spans="1:20" x14ac:dyDescent="0.35">
      <c r="A38" s="474" t="s">
        <v>1499</v>
      </c>
      <c r="B38" s="474"/>
      <c r="C38" s="471"/>
      <c r="D38" s="471"/>
      <c r="E38" s="471"/>
      <c r="F38" s="472"/>
      <c r="G38" s="471"/>
      <c r="H38" s="471"/>
      <c r="I38" s="471"/>
      <c r="J38" s="472"/>
      <c r="K38" s="471"/>
      <c r="L38" s="475">
        <v>2200</v>
      </c>
      <c r="M38" s="475">
        <v>2750</v>
      </c>
      <c r="N38" s="476">
        <v>2875</v>
      </c>
      <c r="O38" s="475">
        <v>2875</v>
      </c>
      <c r="P38" s="476">
        <v>2875</v>
      </c>
      <c r="R38" s="473"/>
      <c r="S38" s="473"/>
      <c r="T38" s="473"/>
    </row>
    <row r="39" spans="1:20" x14ac:dyDescent="0.35">
      <c r="A39" s="474" t="s">
        <v>1500</v>
      </c>
      <c r="B39" s="474"/>
      <c r="C39" s="471"/>
      <c r="D39" s="471"/>
      <c r="E39" s="471"/>
      <c r="F39" s="472"/>
      <c r="G39" s="471"/>
      <c r="H39" s="471"/>
      <c r="I39" s="471"/>
      <c r="J39" s="476">
        <v>70</v>
      </c>
      <c r="K39" s="471"/>
      <c r="L39" s="475">
        <v>65</v>
      </c>
      <c r="M39" s="475">
        <v>70</v>
      </c>
      <c r="N39" s="476">
        <v>75</v>
      </c>
      <c r="O39" s="475">
        <v>75</v>
      </c>
      <c r="P39" s="476">
        <v>75</v>
      </c>
      <c r="R39" s="473"/>
      <c r="S39" s="473"/>
      <c r="T39" s="473"/>
    </row>
    <row r="40" spans="1:20" x14ac:dyDescent="0.35">
      <c r="A40" s="474" t="s">
        <v>1501</v>
      </c>
      <c r="B40" s="474"/>
      <c r="C40" s="471"/>
      <c r="D40" s="471"/>
      <c r="E40" s="471"/>
      <c r="F40" s="472"/>
      <c r="G40" s="471"/>
      <c r="H40" s="471"/>
      <c r="I40" s="471"/>
      <c r="J40" s="476">
        <v>600</v>
      </c>
      <c r="K40" s="471"/>
      <c r="L40" s="475">
        <v>480</v>
      </c>
      <c r="M40" s="475">
        <v>600</v>
      </c>
      <c r="N40" s="476">
        <v>616</v>
      </c>
      <c r="O40" s="475">
        <v>616</v>
      </c>
      <c r="P40" s="476">
        <v>650</v>
      </c>
      <c r="R40" s="473"/>
      <c r="S40" s="473"/>
      <c r="T40" s="473"/>
    </row>
    <row r="41" spans="1:20" x14ac:dyDescent="0.35">
      <c r="F41" s="477"/>
      <c r="J41" s="477"/>
      <c r="N41" s="477"/>
      <c r="P41" s="477"/>
      <c r="R41" s="478"/>
      <c r="S41" s="478"/>
      <c r="T41" s="478"/>
    </row>
    <row r="42" spans="1:20" x14ac:dyDescent="0.35">
      <c r="A42" s="470" t="s">
        <v>784</v>
      </c>
      <c r="B42" s="470"/>
      <c r="F42" s="477"/>
      <c r="J42" s="477"/>
      <c r="N42" s="477"/>
      <c r="P42" s="477"/>
      <c r="R42" s="478"/>
      <c r="S42" s="478"/>
      <c r="T42" s="478"/>
    </row>
    <row r="43" spans="1:20" x14ac:dyDescent="0.35">
      <c r="A43" s="474" t="s">
        <v>1502</v>
      </c>
      <c r="B43" s="474"/>
      <c r="C43" s="471"/>
      <c r="D43" s="471"/>
      <c r="E43" s="471"/>
      <c r="F43" s="472"/>
      <c r="G43" s="481">
        <v>1.0999999999999999E-2</v>
      </c>
      <c r="H43" s="481">
        <v>0.13700000000000001</v>
      </c>
      <c r="I43" s="481">
        <v>0.105</v>
      </c>
      <c r="J43" s="480">
        <v>0.23599999999999999</v>
      </c>
      <c r="K43" s="481">
        <v>0.192</v>
      </c>
      <c r="L43" s="481">
        <v>0.6</v>
      </c>
      <c r="M43" s="481">
        <v>0.34499999999999997</v>
      </c>
      <c r="N43" s="480">
        <v>0.30299999999999999</v>
      </c>
      <c r="O43" s="481">
        <v>0.32600000000000001</v>
      </c>
      <c r="P43" s="480">
        <v>0.105</v>
      </c>
      <c r="R43" s="482">
        <v>7.8E-2</v>
      </c>
      <c r="S43" s="473"/>
      <c r="T43" s="482">
        <v>0.35099999999999998</v>
      </c>
    </row>
    <row r="44" spans="1:20" x14ac:dyDescent="0.35">
      <c r="A44" s="474" t="s">
        <v>1503</v>
      </c>
      <c r="B44" s="474"/>
      <c r="C44" s="471"/>
      <c r="D44" s="471"/>
      <c r="E44" s="471"/>
      <c r="F44" s="472"/>
      <c r="G44" s="471"/>
      <c r="H44" s="471"/>
      <c r="I44" s="471"/>
      <c r="J44" s="472"/>
      <c r="K44" s="471"/>
      <c r="L44" s="481">
        <v>7.0000000000000007E-2</v>
      </c>
      <c r="M44" s="481">
        <v>6.5000000000000002E-2</v>
      </c>
      <c r="N44" s="480">
        <v>5.5E-2</v>
      </c>
      <c r="O44" s="481">
        <v>0.112</v>
      </c>
      <c r="P44" s="480">
        <v>4.8000000000000001E-2</v>
      </c>
      <c r="R44" s="473"/>
      <c r="S44" s="473"/>
      <c r="T44" s="482">
        <v>4.8000000000000001E-2</v>
      </c>
    </row>
    <row r="45" spans="1:20" x14ac:dyDescent="0.35">
      <c r="A45" s="474" t="s">
        <v>1504</v>
      </c>
      <c r="B45" s="474"/>
      <c r="C45" s="471"/>
      <c r="D45" s="471"/>
      <c r="E45" s="471"/>
      <c r="F45" s="472"/>
      <c r="G45" s="471"/>
      <c r="H45" s="471"/>
      <c r="I45" s="471"/>
      <c r="J45" s="472"/>
      <c r="K45" s="471"/>
      <c r="N45" s="477"/>
      <c r="O45" s="475">
        <v>1</v>
      </c>
      <c r="P45" s="476">
        <v>2.2000000000000002</v>
      </c>
      <c r="R45" s="473"/>
      <c r="S45" s="473"/>
      <c r="T45" s="478"/>
    </row>
    <row r="46" spans="1:20" x14ac:dyDescent="0.35">
      <c r="A46" s="474" t="s">
        <v>1505</v>
      </c>
      <c r="B46" s="474"/>
      <c r="F46" s="477"/>
      <c r="J46" s="477"/>
      <c r="K46" s="471">
        <f>T46-SUM(L46,M46,N46)</f>
        <v>0.12000000000000011</v>
      </c>
      <c r="L46" s="475">
        <v>1</v>
      </c>
      <c r="M46" s="475">
        <v>0.4</v>
      </c>
      <c r="N46" s="476">
        <v>0.08</v>
      </c>
      <c r="P46" s="477"/>
      <c r="R46" s="478"/>
      <c r="S46" s="478"/>
      <c r="T46" s="483">
        <v>1.6</v>
      </c>
    </row>
    <row r="47" spans="1:20" x14ac:dyDescent="0.35">
      <c r="F47" s="477"/>
      <c r="J47" s="477"/>
      <c r="N47" s="477"/>
      <c r="P47" s="477"/>
      <c r="R47" s="478"/>
      <c r="S47" s="478"/>
      <c r="T47" s="478"/>
    </row>
    <row r="48" spans="1:20" x14ac:dyDescent="0.35">
      <c r="A48" s="470" t="s">
        <v>1506</v>
      </c>
      <c r="B48" s="470"/>
      <c r="C48" s="471"/>
      <c r="D48" s="471"/>
      <c r="E48" s="471"/>
      <c r="F48" s="472"/>
      <c r="G48" s="471"/>
      <c r="H48" s="471"/>
      <c r="I48" s="471"/>
      <c r="J48" s="472"/>
      <c r="K48" s="471"/>
      <c r="L48" s="471"/>
      <c r="M48" s="471"/>
      <c r="N48" s="472"/>
      <c r="O48" s="471"/>
      <c r="P48" s="472"/>
      <c r="R48" s="473"/>
      <c r="S48" s="473"/>
      <c r="T48" s="473"/>
    </row>
    <row r="49" spans="1:20" x14ac:dyDescent="0.35">
      <c r="A49" s="474" t="s">
        <v>1507</v>
      </c>
      <c r="B49" s="474"/>
      <c r="C49" s="471"/>
      <c r="D49" s="471"/>
      <c r="E49" s="471"/>
      <c r="F49" s="472"/>
      <c r="G49" s="471"/>
      <c r="H49" s="471"/>
      <c r="I49" s="471"/>
      <c r="J49" s="472"/>
      <c r="K49" s="471"/>
      <c r="L49" s="471"/>
      <c r="M49" s="471"/>
      <c r="N49" s="472"/>
      <c r="O49" s="475">
        <v>189881</v>
      </c>
      <c r="P49" s="476">
        <v>201561</v>
      </c>
      <c r="R49" s="473"/>
      <c r="S49" s="473"/>
      <c r="T49" s="473"/>
    </row>
    <row r="50" spans="1:20" x14ac:dyDescent="0.35">
      <c r="A50" s="474" t="s">
        <v>1508</v>
      </c>
      <c r="B50" s="474"/>
      <c r="C50" s="471"/>
      <c r="D50" s="471"/>
      <c r="E50" s="471"/>
      <c r="F50" s="472"/>
      <c r="G50" s="471"/>
      <c r="H50" s="471"/>
      <c r="I50" s="471"/>
      <c r="J50" s="472"/>
      <c r="K50" s="471"/>
      <c r="L50" s="471"/>
      <c r="M50" s="471"/>
      <c r="N50" s="472"/>
      <c r="O50" s="475">
        <v>961</v>
      </c>
      <c r="P50" s="476">
        <v>2218</v>
      </c>
      <c r="R50" s="473"/>
      <c r="S50" s="473"/>
      <c r="T50" s="473"/>
    </row>
    <row r="51" spans="1:20" x14ac:dyDescent="0.35">
      <c r="A51" s="484" t="s">
        <v>1509</v>
      </c>
      <c r="B51" s="484"/>
      <c r="C51" s="485"/>
      <c r="D51" s="485"/>
      <c r="E51" s="485"/>
      <c r="F51" s="486"/>
      <c r="G51" s="485"/>
      <c r="H51" s="485"/>
      <c r="I51" s="485"/>
      <c r="J51" s="486"/>
      <c r="K51" s="485"/>
      <c r="L51" s="485"/>
      <c r="M51" s="485"/>
      <c r="N51" s="486"/>
      <c r="O51" s="487">
        <f>SUM(O49:O50)</f>
        <v>190842</v>
      </c>
      <c r="P51" s="488">
        <f>SUM(P49:P50)</f>
        <v>203779</v>
      </c>
      <c r="R51" s="489"/>
      <c r="S51" s="489"/>
      <c r="T51" s="489"/>
    </row>
    <row r="52" spans="1:20" x14ac:dyDescent="0.35">
      <c r="F52" s="477"/>
      <c r="J52" s="477"/>
      <c r="N52" s="477"/>
      <c r="P52" s="477"/>
      <c r="R52" s="478"/>
      <c r="S52" s="478"/>
      <c r="T52" s="478"/>
    </row>
    <row r="53" spans="1:20" x14ac:dyDescent="0.35">
      <c r="A53" s="470" t="s">
        <v>1510</v>
      </c>
      <c r="B53" s="470"/>
      <c r="C53" s="471"/>
      <c r="D53" s="471"/>
      <c r="E53" s="471"/>
      <c r="F53" s="472"/>
      <c r="G53" s="471"/>
      <c r="H53" s="471"/>
      <c r="I53" s="471"/>
      <c r="J53" s="472"/>
      <c r="K53" s="471"/>
      <c r="L53" s="471"/>
      <c r="M53" s="471"/>
      <c r="N53" s="472"/>
      <c r="O53" s="471"/>
      <c r="P53" s="472"/>
      <c r="R53" s="473"/>
      <c r="S53" s="473"/>
      <c r="T53" s="473"/>
    </row>
    <row r="54" spans="1:20" x14ac:dyDescent="0.35">
      <c r="A54" s="474" t="s">
        <v>1511</v>
      </c>
      <c r="B54" s="474"/>
      <c r="C54" s="471"/>
      <c r="D54" s="471"/>
      <c r="E54" s="471"/>
      <c r="F54" s="472"/>
      <c r="G54" s="471"/>
      <c r="H54" s="471"/>
      <c r="I54" s="471"/>
      <c r="J54" s="472"/>
      <c r="K54" s="475">
        <v>10.6</v>
      </c>
      <c r="L54" s="475">
        <v>49.3</v>
      </c>
      <c r="M54" s="475">
        <v>39.9</v>
      </c>
      <c r="N54" s="472">
        <f>T54-SUM(K54,L54,M54)</f>
        <v>39.600000000000009</v>
      </c>
      <c r="O54" s="475">
        <v>33.9</v>
      </c>
      <c r="P54" s="476">
        <v>9.6</v>
      </c>
      <c r="R54" s="473"/>
      <c r="S54" s="483">
        <v>-17.2</v>
      </c>
      <c r="T54" s="483">
        <v>139.4</v>
      </c>
    </row>
    <row r="55" spans="1:20" x14ac:dyDescent="0.35">
      <c r="A55" s="474" t="s">
        <v>1512</v>
      </c>
      <c r="B55" s="474"/>
      <c r="C55" s="471"/>
      <c r="D55" s="471"/>
      <c r="E55" s="471"/>
      <c r="F55" s="472"/>
      <c r="G55" s="471"/>
      <c r="H55" s="471"/>
      <c r="I55" s="471"/>
      <c r="J55" s="472"/>
      <c r="K55" s="471"/>
      <c r="L55" s="471"/>
      <c r="M55" s="471"/>
      <c r="N55" s="472"/>
      <c r="O55" s="475">
        <v>14.8</v>
      </c>
      <c r="P55" s="476">
        <v>8.3000000000000007</v>
      </c>
      <c r="R55" s="473"/>
      <c r="S55" s="473"/>
      <c r="T55" s="473"/>
    </row>
    <row r="56" spans="1:20" x14ac:dyDescent="0.35">
      <c r="A56" s="474" t="s">
        <v>1513</v>
      </c>
      <c r="B56" s="474"/>
      <c r="C56" s="471"/>
      <c r="D56" s="471"/>
      <c r="E56" s="471"/>
      <c r="F56" s="472"/>
      <c r="G56" s="471"/>
      <c r="H56" s="471"/>
      <c r="I56" s="471"/>
      <c r="J56" s="472"/>
      <c r="K56" s="475">
        <v>10.6</v>
      </c>
      <c r="L56" s="475">
        <v>13.4</v>
      </c>
      <c r="M56" s="475">
        <v>7.4</v>
      </c>
      <c r="N56" s="472">
        <f>T56-SUM(K56,L56,M56)</f>
        <v>7.7000000000000028</v>
      </c>
      <c r="O56" s="475">
        <v>9.1</v>
      </c>
      <c r="P56" s="476">
        <v>8.8000000000000007</v>
      </c>
      <c r="R56" s="473"/>
      <c r="S56" s="483">
        <v>44.6</v>
      </c>
      <c r="T56" s="483">
        <v>39.1</v>
      </c>
    </row>
    <row r="57" spans="1:20" x14ac:dyDescent="0.35">
      <c r="A57" s="490" t="s">
        <v>1514</v>
      </c>
      <c r="B57" s="490"/>
      <c r="C57" s="471"/>
      <c r="D57" s="471"/>
      <c r="E57" s="471"/>
      <c r="F57" s="472"/>
      <c r="G57" s="471"/>
      <c r="H57" s="471"/>
      <c r="I57" s="471"/>
      <c r="J57" s="472"/>
      <c r="K57" s="471"/>
      <c r="L57" s="475">
        <v>7.1</v>
      </c>
      <c r="M57" s="471"/>
      <c r="N57" s="472"/>
      <c r="O57" s="471"/>
      <c r="P57" s="472"/>
      <c r="R57" s="473"/>
      <c r="S57" s="473"/>
      <c r="T57" s="483">
        <v>24.6</v>
      </c>
    </row>
    <row r="58" spans="1:20" x14ac:dyDescent="0.35">
      <c r="A58" s="474" t="s">
        <v>1515</v>
      </c>
      <c r="B58" s="474"/>
      <c r="C58" s="471"/>
      <c r="D58" s="471"/>
      <c r="E58" s="471"/>
      <c r="F58" s="472"/>
      <c r="G58" s="471"/>
      <c r="H58" s="471"/>
      <c r="I58" s="471"/>
      <c r="J58" s="472"/>
      <c r="K58" s="471"/>
      <c r="L58" s="471"/>
      <c r="M58" s="475">
        <v>8.84</v>
      </c>
      <c r="N58" s="472"/>
      <c r="O58" s="471"/>
      <c r="P58" s="472"/>
      <c r="R58" s="473"/>
      <c r="S58" s="473"/>
      <c r="T58" s="473"/>
    </row>
    <row r="59" spans="1:20" x14ac:dyDescent="0.35">
      <c r="F59" s="477"/>
      <c r="J59" s="477"/>
      <c r="N59" s="477"/>
      <c r="P59" s="477"/>
      <c r="R59" s="478"/>
      <c r="S59" s="478"/>
      <c r="T59" s="478"/>
    </row>
    <row r="60" spans="1:20" x14ac:dyDescent="0.35">
      <c r="A60" s="479" t="s">
        <v>1516</v>
      </c>
      <c r="B60" s="479"/>
      <c r="C60" s="467"/>
      <c r="D60" s="467"/>
      <c r="E60" s="467"/>
      <c r="F60" s="468"/>
      <c r="G60" s="467"/>
      <c r="H60" s="467"/>
      <c r="I60" s="467"/>
      <c r="J60" s="468"/>
      <c r="K60" s="467"/>
      <c r="L60" s="467"/>
      <c r="M60" s="467"/>
      <c r="N60" s="468"/>
      <c r="O60" s="467"/>
      <c r="P60" s="468"/>
      <c r="R60" s="469"/>
      <c r="S60" s="469"/>
      <c r="T60" s="469"/>
    </row>
    <row r="61" spans="1:20" x14ac:dyDescent="0.35">
      <c r="A61" s="470" t="s">
        <v>158</v>
      </c>
      <c r="B61" s="470"/>
      <c r="C61" s="471"/>
      <c r="D61" s="471"/>
      <c r="E61" s="471"/>
      <c r="F61" s="472"/>
      <c r="G61" s="471"/>
      <c r="H61" s="471"/>
      <c r="I61" s="471"/>
      <c r="J61" s="472"/>
      <c r="K61" s="471"/>
      <c r="L61" s="471"/>
      <c r="M61" s="471"/>
      <c r="N61" s="472"/>
      <c r="O61" s="471"/>
      <c r="P61" s="472"/>
      <c r="R61" s="473"/>
      <c r="S61" s="473"/>
      <c r="T61" s="473"/>
    </row>
    <row r="62" spans="1:20" x14ac:dyDescent="0.35">
      <c r="A62" s="474" t="s">
        <v>213</v>
      </c>
      <c r="B62" s="474"/>
      <c r="C62" s="471"/>
      <c r="D62" s="471"/>
      <c r="E62" s="471"/>
      <c r="F62" s="472"/>
      <c r="G62" s="471"/>
      <c r="H62" s="471"/>
      <c r="I62" s="471"/>
      <c r="J62" s="472"/>
      <c r="K62" s="471"/>
      <c r="L62" s="471"/>
      <c r="M62" s="471"/>
      <c r="N62" s="472"/>
      <c r="O62" s="475">
        <v>677014</v>
      </c>
      <c r="P62" s="476">
        <v>677153</v>
      </c>
      <c r="R62" s="473"/>
      <c r="S62" s="473"/>
      <c r="T62" s="473"/>
    </row>
    <row r="63" spans="1:20" x14ac:dyDescent="0.35">
      <c r="A63" s="474" t="s">
        <v>214</v>
      </c>
      <c r="B63" s="474"/>
      <c r="C63" s="471"/>
      <c r="D63" s="471"/>
      <c r="E63" s="471"/>
      <c r="F63" s="472"/>
      <c r="G63" s="471"/>
      <c r="H63" s="471"/>
      <c r="I63" s="471"/>
      <c r="J63" s="472"/>
      <c r="K63" s="471"/>
      <c r="L63" s="471"/>
      <c r="M63" s="471"/>
      <c r="N63" s="472"/>
      <c r="O63" s="475">
        <v>125661</v>
      </c>
      <c r="P63" s="476">
        <v>119403</v>
      </c>
      <c r="R63" s="473"/>
      <c r="S63" s="473"/>
      <c r="T63" s="473"/>
    </row>
    <row r="64" spans="1:20" x14ac:dyDescent="0.35">
      <c r="A64" s="484" t="s">
        <v>1517</v>
      </c>
      <c r="B64" s="484"/>
      <c r="C64" s="485"/>
      <c r="D64" s="485"/>
      <c r="E64" s="485"/>
      <c r="F64" s="486"/>
      <c r="G64" s="485"/>
      <c r="H64" s="485"/>
      <c r="I64" s="485"/>
      <c r="J64" s="486"/>
      <c r="K64" s="485"/>
      <c r="L64" s="485"/>
      <c r="M64" s="485"/>
      <c r="N64" s="486"/>
      <c r="O64" s="487">
        <f>SUM(O62:O63)</f>
        <v>802675</v>
      </c>
      <c r="P64" s="488">
        <f>SUM(P62:P63)</f>
        <v>796556</v>
      </c>
      <c r="R64" s="489"/>
      <c r="S64" s="489"/>
      <c r="T64" s="489"/>
    </row>
    <row r="65" spans="1:20" x14ac:dyDescent="0.35">
      <c r="F65" s="477"/>
      <c r="J65" s="477"/>
      <c r="N65" s="477"/>
      <c r="P65" s="477"/>
      <c r="R65" s="478"/>
      <c r="S65" s="478"/>
      <c r="T65" s="478"/>
    </row>
    <row r="66" spans="1:20" x14ac:dyDescent="0.35">
      <c r="A66" s="470" t="s">
        <v>364</v>
      </c>
      <c r="B66" s="470"/>
      <c r="C66" s="471"/>
      <c r="D66" s="471"/>
      <c r="E66" s="471"/>
      <c r="F66" s="472"/>
      <c r="G66" s="471"/>
      <c r="H66" s="471"/>
      <c r="I66" s="471"/>
      <c r="J66" s="472"/>
      <c r="K66" s="471"/>
      <c r="L66" s="471"/>
      <c r="M66" s="471"/>
      <c r="N66" s="472"/>
      <c r="O66" s="471"/>
      <c r="P66" s="472"/>
      <c r="R66" s="473"/>
      <c r="S66" s="473"/>
      <c r="T66" s="473"/>
    </row>
    <row r="67" spans="1:20" x14ac:dyDescent="0.35">
      <c r="A67" s="474" t="s">
        <v>213</v>
      </c>
      <c r="B67" s="474"/>
      <c r="C67" s="471"/>
      <c r="D67" s="471"/>
      <c r="E67" s="471"/>
      <c r="F67" s="472"/>
      <c r="G67" s="471"/>
      <c r="H67" s="471"/>
      <c r="I67" s="471"/>
      <c r="J67" s="472"/>
      <c r="K67" s="471">
        <f>83055-L67</f>
        <v>33847</v>
      </c>
      <c r="L67" s="471">
        <v>49208</v>
      </c>
      <c r="M67" s="471"/>
      <c r="N67" s="472"/>
      <c r="O67" s="475">
        <v>46819</v>
      </c>
      <c r="P67" s="476">
        <v>52954</v>
      </c>
      <c r="R67" s="473"/>
      <c r="S67" s="473"/>
      <c r="T67" s="473"/>
    </row>
    <row r="68" spans="1:20" x14ac:dyDescent="0.35">
      <c r="A68" s="474" t="s">
        <v>214</v>
      </c>
      <c r="B68" s="474"/>
      <c r="C68" s="471"/>
      <c r="D68" s="471"/>
      <c r="E68" s="471"/>
      <c r="F68" s="472"/>
      <c r="G68" s="471"/>
      <c r="H68" s="471"/>
      <c r="I68" s="471"/>
      <c r="J68" s="472"/>
      <c r="K68" s="471">
        <f>9857-L68</f>
        <v>2743</v>
      </c>
      <c r="L68" s="471">
        <v>7114</v>
      </c>
      <c r="M68" s="471"/>
      <c r="N68" s="472"/>
      <c r="O68" s="475">
        <v>6781</v>
      </c>
      <c r="P68" s="476">
        <v>7880</v>
      </c>
      <c r="R68" s="473"/>
      <c r="S68" s="473"/>
      <c r="T68" s="473"/>
    </row>
    <row r="69" spans="1:20" x14ac:dyDescent="0.35">
      <c r="A69" s="484" t="s">
        <v>364</v>
      </c>
      <c r="B69" s="484"/>
      <c r="C69" s="485"/>
      <c r="D69" s="485"/>
      <c r="E69" s="485"/>
      <c r="F69" s="486"/>
      <c r="G69" s="485"/>
      <c r="H69" s="485"/>
      <c r="I69" s="485"/>
      <c r="J69" s="486"/>
      <c r="K69" s="487">
        <f t="shared" ref="K69:L69" si="0">SUM(K67:K68)</f>
        <v>36590</v>
      </c>
      <c r="L69" s="487">
        <f t="shared" si="0"/>
        <v>56322</v>
      </c>
      <c r="M69" s="485"/>
      <c r="N69" s="486"/>
      <c r="O69" s="487">
        <f>SUM(O67:O68)</f>
        <v>53600</v>
      </c>
      <c r="P69" s="488">
        <f>SUM(P67:P68)</f>
        <v>60834</v>
      </c>
      <c r="R69" s="489"/>
      <c r="S69" s="489"/>
      <c r="T69" s="489"/>
    </row>
    <row r="70" spans="1:20" x14ac:dyDescent="0.35">
      <c r="F70" s="477"/>
      <c r="J70" s="477"/>
      <c r="N70" s="477"/>
      <c r="P70" s="477"/>
      <c r="R70" s="478"/>
      <c r="S70" s="478"/>
      <c r="T70" s="478"/>
    </row>
    <row r="71" spans="1:20" x14ac:dyDescent="0.35">
      <c r="A71" s="479" t="s">
        <v>1518</v>
      </c>
      <c r="B71" s="479"/>
      <c r="C71" s="467"/>
      <c r="D71" s="467"/>
      <c r="E71" s="467"/>
      <c r="F71" s="468"/>
      <c r="G71" s="467"/>
      <c r="H71" s="467"/>
      <c r="I71" s="467"/>
      <c r="J71" s="468"/>
      <c r="K71" s="467"/>
      <c r="L71" s="467"/>
      <c r="M71" s="467"/>
      <c r="N71" s="468"/>
      <c r="O71" s="467"/>
      <c r="P71" s="468"/>
      <c r="R71" s="469"/>
      <c r="S71" s="469"/>
      <c r="T71" s="469"/>
    </row>
    <row r="72" spans="1:20" x14ac:dyDescent="0.35">
      <c r="A72" s="470" t="s">
        <v>784</v>
      </c>
      <c r="B72" s="470"/>
      <c r="C72" s="471"/>
      <c r="D72" s="471"/>
      <c r="E72" s="471"/>
      <c r="F72" s="472"/>
      <c r="G72" s="471"/>
      <c r="H72" s="471"/>
      <c r="I72" s="471"/>
      <c r="J72" s="472"/>
      <c r="K72" s="471"/>
      <c r="L72" s="471"/>
      <c r="M72" s="471"/>
      <c r="N72" s="472"/>
      <c r="O72" s="471"/>
      <c r="P72" s="472"/>
      <c r="R72" s="473"/>
      <c r="S72" s="473"/>
      <c r="T72" s="473"/>
    </row>
    <row r="73" spans="1:20" x14ac:dyDescent="0.35">
      <c r="A73" s="474" t="s">
        <v>213</v>
      </c>
      <c r="B73" s="474"/>
      <c r="C73" s="471"/>
      <c r="D73" s="471"/>
      <c r="E73" s="471"/>
      <c r="F73" s="472"/>
      <c r="G73" s="471"/>
      <c r="H73" s="471"/>
      <c r="I73" s="471"/>
      <c r="J73" s="461"/>
      <c r="K73" s="475">
        <v>116524</v>
      </c>
      <c r="L73" s="471"/>
      <c r="M73" s="471"/>
      <c r="N73" s="472"/>
      <c r="O73" s="475">
        <v>160088</v>
      </c>
      <c r="P73" s="476">
        <v>170591</v>
      </c>
      <c r="R73" s="483">
        <v>423164</v>
      </c>
      <c r="S73" s="483">
        <v>430002</v>
      </c>
      <c r="T73" s="483">
        <v>604413</v>
      </c>
    </row>
    <row r="74" spans="1:20" x14ac:dyDescent="0.35">
      <c r="A74" s="474" t="s">
        <v>1519</v>
      </c>
      <c r="B74" s="474"/>
      <c r="C74" s="471"/>
      <c r="D74" s="471"/>
      <c r="E74" s="471"/>
      <c r="F74" s="472"/>
      <c r="G74" s="471"/>
      <c r="H74" s="475">
        <v>94209</v>
      </c>
      <c r="I74" s="475">
        <v>125757</v>
      </c>
      <c r="J74" s="461"/>
      <c r="K74" s="475">
        <v>0</v>
      </c>
      <c r="L74" s="475">
        <v>146300</v>
      </c>
      <c r="M74" s="475">
        <v>158972</v>
      </c>
      <c r="N74" s="472"/>
      <c r="O74" s="471"/>
      <c r="P74" s="472"/>
      <c r="R74" s="473"/>
      <c r="S74" s="473"/>
      <c r="T74" s="473"/>
    </row>
    <row r="75" spans="1:20" x14ac:dyDescent="0.35">
      <c r="A75" s="474" t="s">
        <v>214</v>
      </c>
      <c r="B75" s="474"/>
      <c r="C75" s="471"/>
      <c r="D75" s="471"/>
      <c r="E75" s="471"/>
      <c r="F75" s="472"/>
      <c r="G75" s="471"/>
      <c r="H75" s="475">
        <v>11499</v>
      </c>
      <c r="I75" s="475">
        <v>11991</v>
      </c>
      <c r="J75" s="461"/>
      <c r="K75" s="475">
        <v>16562</v>
      </c>
      <c r="L75" s="475">
        <v>30080</v>
      </c>
      <c r="M75" s="475">
        <v>35595</v>
      </c>
      <c r="N75" s="472">
        <f>T75-SUM(K75,L75,M75)</f>
        <v>31772</v>
      </c>
      <c r="O75" s="475">
        <v>31741</v>
      </c>
      <c r="P75" s="476">
        <v>33044</v>
      </c>
      <c r="R75" s="483">
        <v>62948</v>
      </c>
      <c r="S75" s="483">
        <v>45818</v>
      </c>
      <c r="T75" s="483">
        <v>114009</v>
      </c>
    </row>
    <row r="76" spans="1:20" x14ac:dyDescent="0.35">
      <c r="A76" s="474" t="s">
        <v>215</v>
      </c>
      <c r="B76" s="474"/>
      <c r="C76" s="471"/>
      <c r="D76" s="471"/>
      <c r="E76" s="471"/>
      <c r="F76" s="472"/>
      <c r="G76" s="471"/>
      <c r="H76" s="475">
        <v>-715</v>
      </c>
      <c r="I76" s="475">
        <v>-970</v>
      </c>
      <c r="J76" s="461"/>
      <c r="K76" s="475">
        <v>-1016</v>
      </c>
      <c r="L76" s="475">
        <v>-1554</v>
      </c>
      <c r="M76" s="475">
        <v>-1700</v>
      </c>
      <c r="N76" s="472">
        <f>T76-SUM(K76,L76,M76)</f>
        <v>-1857</v>
      </c>
      <c r="O76" s="475">
        <v>-1948</v>
      </c>
      <c r="P76" s="476">
        <v>-2074</v>
      </c>
      <c r="R76" s="483">
        <v>-4345</v>
      </c>
      <c r="S76" s="483">
        <v>-3451</v>
      </c>
      <c r="T76" s="483">
        <v>-6127</v>
      </c>
    </row>
    <row r="77" spans="1:20" x14ac:dyDescent="0.35">
      <c r="A77" s="484" t="s">
        <v>1520</v>
      </c>
      <c r="B77" s="484"/>
      <c r="C77" s="485"/>
      <c r="D77" s="485"/>
      <c r="E77" s="485"/>
      <c r="F77" s="486"/>
      <c r="G77" s="485"/>
      <c r="H77" s="487">
        <f>SUM(H73:H76)</f>
        <v>104993</v>
      </c>
      <c r="I77" s="487">
        <f>SUM(I73:I76)</f>
        <v>136778</v>
      </c>
      <c r="J77" s="491"/>
      <c r="K77" s="487">
        <f>SUM(K73:K76)</f>
        <v>132070</v>
      </c>
      <c r="L77" s="487">
        <f>SUM(L73:L76)</f>
        <v>174826</v>
      </c>
      <c r="M77" s="487">
        <f>SUM(M73:M76)</f>
        <v>192867</v>
      </c>
      <c r="N77" s="486">
        <f>T77-SUM(K77,L77,M77)</f>
        <v>212532</v>
      </c>
      <c r="O77" s="487">
        <f>SUM(O73:O76)</f>
        <v>189881</v>
      </c>
      <c r="P77" s="488">
        <f>SUM(P73:P76)</f>
        <v>201561</v>
      </c>
      <c r="R77" s="492">
        <f>SUM(R73:R76)</f>
        <v>481767</v>
      </c>
      <c r="S77" s="492">
        <f>SUM(S73:S76)</f>
        <v>472369</v>
      </c>
      <c r="T77" s="492">
        <f>SUM(T73:T76)</f>
        <v>712295</v>
      </c>
    </row>
    <row r="78" spans="1:20" x14ac:dyDescent="0.35">
      <c r="F78" s="477"/>
      <c r="J78" s="477"/>
      <c r="N78" s="477"/>
      <c r="P78" s="477"/>
      <c r="R78" s="478"/>
      <c r="S78" s="478"/>
      <c r="T78" s="478"/>
    </row>
    <row r="79" spans="1:20" x14ac:dyDescent="0.35">
      <c r="A79" s="470" t="s">
        <v>1521</v>
      </c>
      <c r="B79" s="470"/>
      <c r="F79" s="477"/>
      <c r="J79" s="477"/>
      <c r="N79" s="477"/>
      <c r="P79" s="477"/>
      <c r="R79" s="478"/>
      <c r="S79" s="478"/>
      <c r="T79" s="478"/>
    </row>
    <row r="80" spans="1:20" x14ac:dyDescent="0.35">
      <c r="A80" s="474" t="s">
        <v>213</v>
      </c>
      <c r="B80" s="474"/>
      <c r="F80" s="477"/>
      <c r="G80" s="475">
        <v>32411</v>
      </c>
      <c r="J80" s="477"/>
      <c r="N80" s="477"/>
      <c r="P80" s="477"/>
      <c r="R80" s="478"/>
      <c r="S80" s="478"/>
      <c r="T80" s="478"/>
    </row>
    <row r="81" spans="1:20" x14ac:dyDescent="0.35">
      <c r="A81" s="474" t="s">
        <v>214</v>
      </c>
      <c r="B81" s="474"/>
      <c r="F81" s="477"/>
      <c r="G81" s="475">
        <v>4665</v>
      </c>
      <c r="J81" s="477"/>
      <c r="N81" s="477"/>
      <c r="P81" s="477"/>
      <c r="R81" s="478"/>
      <c r="S81" s="478"/>
      <c r="T81" s="478"/>
    </row>
    <row r="82" spans="1:20" x14ac:dyDescent="0.35">
      <c r="A82" s="474" t="s">
        <v>215</v>
      </c>
      <c r="B82" s="474"/>
      <c r="F82" s="477"/>
      <c r="G82" s="475">
        <v>-291</v>
      </c>
      <c r="J82" s="477"/>
      <c r="N82" s="477"/>
      <c r="P82" s="477"/>
      <c r="R82" s="478"/>
      <c r="S82" s="478"/>
      <c r="T82" s="478"/>
    </row>
    <row r="83" spans="1:20" x14ac:dyDescent="0.35">
      <c r="A83" s="484" t="s">
        <v>1520</v>
      </c>
      <c r="B83" s="484"/>
      <c r="C83" s="493"/>
      <c r="D83" s="493"/>
      <c r="E83" s="493"/>
      <c r="F83" s="494"/>
      <c r="G83" s="487">
        <f>SUM(G80:G82)</f>
        <v>36785</v>
      </c>
      <c r="H83" s="493"/>
      <c r="I83" s="493"/>
      <c r="J83" s="494"/>
      <c r="K83" s="493"/>
      <c r="L83" s="493"/>
      <c r="M83" s="493"/>
      <c r="N83" s="494"/>
      <c r="O83" s="493"/>
      <c r="P83" s="494"/>
      <c r="R83" s="495"/>
      <c r="S83" s="495"/>
      <c r="T83" s="495"/>
    </row>
    <row r="84" spans="1:20" x14ac:dyDescent="0.35">
      <c r="F84" s="477"/>
      <c r="J84" s="477"/>
      <c r="N84" s="477"/>
      <c r="P84" s="477"/>
      <c r="R84" s="478"/>
      <c r="S84" s="478"/>
      <c r="T84" s="478"/>
    </row>
    <row r="85" spans="1:20" x14ac:dyDescent="0.35">
      <c r="A85" s="470" t="s">
        <v>1522</v>
      </c>
      <c r="B85" s="470"/>
      <c r="C85" s="471"/>
      <c r="D85" s="471"/>
      <c r="E85" s="471"/>
      <c r="F85" s="472"/>
      <c r="G85" s="471"/>
      <c r="H85" s="471"/>
      <c r="I85" s="471"/>
      <c r="J85" s="472"/>
      <c r="K85" s="471"/>
      <c r="L85" s="471"/>
      <c r="M85" s="471"/>
      <c r="N85" s="472"/>
      <c r="O85" s="471"/>
      <c r="P85" s="472"/>
      <c r="R85" s="473"/>
      <c r="S85" s="473"/>
      <c r="T85" s="473"/>
    </row>
    <row r="86" spans="1:20" x14ac:dyDescent="0.35">
      <c r="A86" s="474" t="s">
        <v>1523</v>
      </c>
      <c r="B86" s="474"/>
      <c r="C86" s="471"/>
      <c r="D86" s="471"/>
      <c r="E86" s="471"/>
      <c r="F86" s="476">
        <v>347856</v>
      </c>
      <c r="G86" s="471"/>
      <c r="H86" s="471"/>
      <c r="I86" s="471"/>
      <c r="J86" s="476">
        <v>1266000</v>
      </c>
      <c r="K86" s="471"/>
      <c r="L86" s="471"/>
      <c r="M86" s="471"/>
      <c r="N86" s="476">
        <v>1213093</v>
      </c>
      <c r="O86" s="475">
        <v>1211881</v>
      </c>
      <c r="P86" s="476">
        <v>1186972</v>
      </c>
      <c r="R86" s="473"/>
      <c r="S86" s="473"/>
      <c r="T86" s="473"/>
    </row>
    <row r="87" spans="1:20" x14ac:dyDescent="0.35">
      <c r="A87" s="474" t="s">
        <v>1524</v>
      </c>
      <c r="B87" s="474"/>
      <c r="C87" s="471"/>
      <c r="D87" s="471"/>
      <c r="E87" s="471"/>
      <c r="F87" s="476">
        <v>8622</v>
      </c>
      <c r="G87" s="471"/>
      <c r="H87" s="471"/>
      <c r="I87" s="471"/>
      <c r="J87" s="476">
        <v>217826</v>
      </c>
      <c r="K87" s="471"/>
      <c r="L87" s="471"/>
      <c r="M87" s="471"/>
      <c r="N87" s="476">
        <v>199459</v>
      </c>
      <c r="O87" s="475">
        <v>206315</v>
      </c>
      <c r="P87" s="476">
        <v>195060</v>
      </c>
      <c r="R87" s="473"/>
      <c r="S87" s="473"/>
      <c r="T87" s="473"/>
    </row>
    <row r="88" spans="1:20" x14ac:dyDescent="0.35">
      <c r="A88" s="484" t="s">
        <v>1525</v>
      </c>
      <c r="B88" s="484"/>
      <c r="C88" s="485"/>
      <c r="D88" s="485"/>
      <c r="E88" s="485"/>
      <c r="F88" s="488">
        <f>SUM(F86:F87)</f>
        <v>356478</v>
      </c>
      <c r="G88" s="485"/>
      <c r="H88" s="485"/>
      <c r="I88" s="485"/>
      <c r="J88" s="488">
        <f>SUM(J86:J87)</f>
        <v>1483826</v>
      </c>
      <c r="K88" s="485"/>
      <c r="L88" s="485"/>
      <c r="M88" s="485"/>
      <c r="N88" s="488">
        <f>SUM(N86:N87)</f>
        <v>1412552</v>
      </c>
      <c r="O88" s="487">
        <f>SUM(O86:O87)</f>
        <v>1418196</v>
      </c>
      <c r="P88" s="488">
        <f>SUM(P86:P87)</f>
        <v>1382032</v>
      </c>
      <c r="R88" s="489"/>
      <c r="S88" s="489"/>
      <c r="T88" s="489"/>
    </row>
    <row r="89" spans="1:20" x14ac:dyDescent="0.35">
      <c r="C89" s="471"/>
      <c r="D89" s="471"/>
      <c r="E89" s="471"/>
      <c r="F89" s="472"/>
      <c r="G89" s="471"/>
      <c r="H89" s="471"/>
      <c r="I89" s="471"/>
      <c r="J89" s="472"/>
      <c r="K89" s="471"/>
      <c r="L89" s="471"/>
      <c r="M89" s="471"/>
      <c r="N89" s="472"/>
      <c r="O89" s="471"/>
      <c r="P89" s="472"/>
      <c r="R89" s="473"/>
      <c r="S89" s="473"/>
      <c r="T89" s="473"/>
    </row>
    <row r="90" spans="1:20" x14ac:dyDescent="0.35">
      <c r="A90" s="479" t="s">
        <v>1526</v>
      </c>
      <c r="B90" s="479"/>
      <c r="C90" s="467"/>
      <c r="D90" s="467"/>
      <c r="E90" s="467"/>
      <c r="F90" s="468"/>
      <c r="G90" s="467"/>
      <c r="H90" s="467"/>
      <c r="I90" s="467"/>
      <c r="J90" s="468"/>
      <c r="K90" s="467"/>
      <c r="L90" s="467"/>
      <c r="M90" s="467"/>
      <c r="N90" s="468"/>
      <c r="O90" s="467"/>
      <c r="P90" s="468"/>
      <c r="R90" s="469"/>
      <c r="S90" s="469"/>
      <c r="T90" s="469"/>
    </row>
    <row r="91" spans="1:20" x14ac:dyDescent="0.35">
      <c r="A91" s="460" t="s">
        <v>28</v>
      </c>
      <c r="B91" s="460"/>
      <c r="C91" s="475">
        <v>109687</v>
      </c>
      <c r="D91" s="475">
        <v>121621</v>
      </c>
      <c r="E91" s="475">
        <v>123769</v>
      </c>
      <c r="F91" s="476">
        <v>126690</v>
      </c>
      <c r="G91" s="475">
        <v>74054</v>
      </c>
      <c r="H91" s="475">
        <v>104993</v>
      </c>
      <c r="I91" s="475">
        <v>136778</v>
      </c>
      <c r="J91" s="476">
        <v>156544</v>
      </c>
      <c r="K91" s="475">
        <v>132070</v>
      </c>
      <c r="L91" s="475">
        <v>174826</v>
      </c>
      <c r="M91" s="475">
        <v>192867</v>
      </c>
      <c r="N91" s="476">
        <v>212532</v>
      </c>
      <c r="O91" s="475">
        <v>189881</v>
      </c>
      <c r="P91" s="476">
        <v>201561</v>
      </c>
      <c r="R91" s="483">
        <v>481767</v>
      </c>
      <c r="S91" s="483">
        <v>472369</v>
      </c>
      <c r="T91" s="483">
        <v>712295</v>
      </c>
    </row>
    <row r="92" spans="1:20" x14ac:dyDescent="0.35">
      <c r="A92" s="470" t="s">
        <v>339</v>
      </c>
      <c r="B92" s="470"/>
      <c r="F92" s="477"/>
      <c r="J92" s="477"/>
      <c r="K92" s="471"/>
      <c r="L92" s="471"/>
      <c r="M92" s="471"/>
      <c r="N92" s="472"/>
      <c r="O92" s="471"/>
      <c r="P92" s="477"/>
      <c r="R92" s="478"/>
      <c r="S92" s="478"/>
      <c r="T92" s="473"/>
    </row>
    <row r="93" spans="1:20" x14ac:dyDescent="0.35">
      <c r="A93" s="474" t="s">
        <v>340</v>
      </c>
      <c r="B93" s="474"/>
      <c r="F93" s="477"/>
      <c r="G93" s="475">
        <v>36816</v>
      </c>
      <c r="H93" s="475">
        <v>52404</v>
      </c>
      <c r="I93" s="475">
        <v>67483</v>
      </c>
      <c r="J93" s="476">
        <v>83584</v>
      </c>
      <c r="K93" s="475">
        <v>65945</v>
      </c>
      <c r="L93" s="475">
        <v>84868</v>
      </c>
      <c r="M93" s="475">
        <v>94151</v>
      </c>
      <c r="N93" s="476">
        <v>107206</v>
      </c>
      <c r="O93" s="475">
        <v>96431</v>
      </c>
      <c r="P93" s="476">
        <v>100292</v>
      </c>
      <c r="R93" s="483">
        <v>245324</v>
      </c>
      <c r="S93" s="483">
        <v>240287</v>
      </c>
      <c r="T93" s="483">
        <v>352170</v>
      </c>
    </row>
    <row r="94" spans="1:20" x14ac:dyDescent="0.35">
      <c r="A94" s="474" t="s">
        <v>341</v>
      </c>
      <c r="B94" s="474"/>
      <c r="F94" s="477"/>
      <c r="G94" s="475">
        <v>4947</v>
      </c>
      <c r="H94" s="475">
        <v>7205</v>
      </c>
      <c r="I94" s="475">
        <v>8343</v>
      </c>
      <c r="J94" s="476">
        <v>11706</v>
      </c>
      <c r="K94" s="475">
        <v>10553</v>
      </c>
      <c r="L94" s="475">
        <v>11680</v>
      </c>
      <c r="M94" s="475">
        <v>11313</v>
      </c>
      <c r="N94" s="476">
        <v>11961</v>
      </c>
      <c r="O94" s="475">
        <v>13773</v>
      </c>
      <c r="P94" s="476">
        <v>12946</v>
      </c>
      <c r="R94" s="483">
        <v>33239</v>
      </c>
      <c r="S94" s="483">
        <v>32201</v>
      </c>
      <c r="T94" s="483">
        <v>45507</v>
      </c>
    </row>
    <row r="95" spans="1:20" x14ac:dyDescent="0.35">
      <c r="A95" s="474" t="s">
        <v>357</v>
      </c>
      <c r="B95" s="474"/>
      <c r="F95" s="477"/>
      <c r="G95" s="475">
        <v>12285</v>
      </c>
      <c r="H95" s="475">
        <v>15014</v>
      </c>
      <c r="I95" s="475">
        <v>18907</v>
      </c>
      <c r="J95" s="476">
        <v>20658</v>
      </c>
      <c r="K95" s="475">
        <v>23978</v>
      </c>
      <c r="L95" s="475">
        <v>25075</v>
      </c>
      <c r="M95" s="475">
        <v>27203</v>
      </c>
      <c r="N95" s="476">
        <v>31724</v>
      </c>
      <c r="O95" s="475">
        <v>28545</v>
      </c>
      <c r="P95" s="476">
        <v>31136</v>
      </c>
      <c r="R95" s="483">
        <v>85084</v>
      </c>
      <c r="S95" s="483">
        <v>66864</v>
      </c>
      <c r="T95" s="483">
        <v>107980</v>
      </c>
    </row>
    <row r="96" spans="1:20" x14ac:dyDescent="0.35">
      <c r="A96" s="474" t="s">
        <v>343</v>
      </c>
      <c r="B96" s="474"/>
      <c r="F96" s="477"/>
      <c r="G96" s="475">
        <v>24487</v>
      </c>
      <c r="H96" s="475">
        <v>36572</v>
      </c>
      <c r="I96" s="475">
        <v>36756</v>
      </c>
      <c r="J96" s="476">
        <v>37242</v>
      </c>
      <c r="K96" s="475">
        <v>34763</v>
      </c>
      <c r="L96" s="475">
        <v>35918</v>
      </c>
      <c r="M96" s="475">
        <v>35812</v>
      </c>
      <c r="N96" s="476">
        <v>36322</v>
      </c>
      <c r="O96" s="475">
        <v>34034</v>
      </c>
      <c r="P96" s="476">
        <v>34407</v>
      </c>
      <c r="R96" s="483">
        <v>25953</v>
      </c>
      <c r="S96" s="483">
        <v>135057</v>
      </c>
      <c r="T96" s="483">
        <v>142815</v>
      </c>
    </row>
    <row r="97" spans="1:20" x14ac:dyDescent="0.35">
      <c r="A97" s="484" t="s">
        <v>344</v>
      </c>
      <c r="B97" s="484"/>
      <c r="C97" s="496">
        <v>92566</v>
      </c>
      <c r="D97" s="496">
        <v>95888</v>
      </c>
      <c r="E97" s="496">
        <v>97252</v>
      </c>
      <c r="F97" s="497">
        <v>103894</v>
      </c>
      <c r="G97" s="487">
        <f t="shared" ref="G97:P97" si="1">SUM(G93:G96)</f>
        <v>78535</v>
      </c>
      <c r="H97" s="487">
        <f t="shared" si="1"/>
        <v>111195</v>
      </c>
      <c r="I97" s="487">
        <f t="shared" si="1"/>
        <v>131489</v>
      </c>
      <c r="J97" s="488">
        <f t="shared" si="1"/>
        <v>153190</v>
      </c>
      <c r="K97" s="487">
        <f t="shared" si="1"/>
        <v>135239</v>
      </c>
      <c r="L97" s="487">
        <f t="shared" si="1"/>
        <v>157541</v>
      </c>
      <c r="M97" s="487">
        <f t="shared" si="1"/>
        <v>168479</v>
      </c>
      <c r="N97" s="488">
        <f t="shared" si="1"/>
        <v>187213</v>
      </c>
      <c r="O97" s="487">
        <f t="shared" si="1"/>
        <v>172783</v>
      </c>
      <c r="P97" s="488">
        <f t="shared" si="1"/>
        <v>178781</v>
      </c>
      <c r="R97" s="492">
        <f>SUM(R93:R96)</f>
        <v>389600</v>
      </c>
      <c r="S97" s="492">
        <f>SUM(S93:S96)</f>
        <v>474409</v>
      </c>
      <c r="T97" s="492">
        <f>SUM(T93:T96)</f>
        <v>648472</v>
      </c>
    </row>
    <row r="98" spans="1:20" x14ac:dyDescent="0.35">
      <c r="F98" s="477"/>
      <c r="J98" s="477"/>
      <c r="K98" s="471"/>
      <c r="L98" s="471"/>
      <c r="M98" s="471"/>
      <c r="N98" s="472"/>
      <c r="O98" s="471"/>
      <c r="P98" s="477"/>
      <c r="R98" s="478"/>
      <c r="S98" s="478"/>
      <c r="T98" s="473"/>
    </row>
    <row r="99" spans="1:20" x14ac:dyDescent="0.35">
      <c r="A99" s="484" t="s">
        <v>345</v>
      </c>
      <c r="B99" s="484"/>
      <c r="C99" s="487">
        <f t="shared" ref="C99:P99" si="2">C91-C97</f>
        <v>17121</v>
      </c>
      <c r="D99" s="487">
        <f t="shared" si="2"/>
        <v>25733</v>
      </c>
      <c r="E99" s="487">
        <f t="shared" si="2"/>
        <v>26517</v>
      </c>
      <c r="F99" s="488">
        <f t="shared" si="2"/>
        <v>22796</v>
      </c>
      <c r="G99" s="487">
        <f t="shared" si="2"/>
        <v>-4481</v>
      </c>
      <c r="H99" s="487">
        <f t="shared" si="2"/>
        <v>-6202</v>
      </c>
      <c r="I99" s="487">
        <f t="shared" si="2"/>
        <v>5289</v>
      </c>
      <c r="J99" s="488">
        <f t="shared" si="2"/>
        <v>3354</v>
      </c>
      <c r="K99" s="487">
        <f t="shared" si="2"/>
        <v>-3169</v>
      </c>
      <c r="L99" s="487">
        <f t="shared" si="2"/>
        <v>17285</v>
      </c>
      <c r="M99" s="487">
        <f t="shared" si="2"/>
        <v>24388</v>
      </c>
      <c r="N99" s="488">
        <f t="shared" si="2"/>
        <v>25319</v>
      </c>
      <c r="O99" s="487">
        <f t="shared" si="2"/>
        <v>17098</v>
      </c>
      <c r="P99" s="488">
        <f t="shared" si="2"/>
        <v>22780</v>
      </c>
      <c r="R99" s="492">
        <f>R91-R97</f>
        <v>92167</v>
      </c>
      <c r="S99" s="492">
        <f>S91-S97</f>
        <v>-2040</v>
      </c>
      <c r="T99" s="492">
        <f>T91-T97</f>
        <v>63823</v>
      </c>
    </row>
    <row r="100" spans="1:20" x14ac:dyDescent="0.35">
      <c r="F100" s="477"/>
      <c r="J100" s="477"/>
      <c r="K100" s="471"/>
      <c r="L100" s="471"/>
      <c r="M100" s="471"/>
      <c r="N100" s="472"/>
      <c r="O100" s="471"/>
      <c r="P100" s="477"/>
      <c r="R100" s="478"/>
      <c r="S100" s="478"/>
      <c r="T100" s="473"/>
    </row>
    <row r="101" spans="1:20" x14ac:dyDescent="0.35">
      <c r="A101" s="470" t="s">
        <v>346</v>
      </c>
      <c r="B101" s="470"/>
      <c r="F101" s="477"/>
      <c r="J101" s="477"/>
      <c r="K101" s="471"/>
      <c r="L101" s="471"/>
      <c r="M101" s="471"/>
      <c r="N101" s="472"/>
      <c r="O101" s="471"/>
      <c r="P101" s="477"/>
      <c r="R101" s="478"/>
      <c r="S101" s="478"/>
      <c r="T101" s="473"/>
    </row>
    <row r="102" spans="1:20" x14ac:dyDescent="0.35">
      <c r="A102" s="474" t="s">
        <v>347</v>
      </c>
      <c r="B102" s="474"/>
      <c r="F102" s="477"/>
      <c r="G102" s="460"/>
      <c r="H102" s="460"/>
      <c r="I102" s="460"/>
      <c r="J102" s="461"/>
      <c r="K102" s="475">
        <v>6717</v>
      </c>
      <c r="L102" s="460"/>
      <c r="M102" s="460"/>
      <c r="N102" s="461"/>
      <c r="O102" s="475">
        <v>-850</v>
      </c>
      <c r="P102" s="476">
        <v>3112</v>
      </c>
      <c r="R102" s="464"/>
      <c r="S102" s="464"/>
      <c r="T102" s="464"/>
    </row>
    <row r="103" spans="1:20" x14ac:dyDescent="0.35">
      <c r="A103" s="474" t="s">
        <v>1006</v>
      </c>
      <c r="B103" s="474"/>
      <c r="F103" s="477"/>
      <c r="G103" s="475">
        <v>12883</v>
      </c>
      <c r="H103" s="475">
        <v>13816</v>
      </c>
      <c r="I103" s="475">
        <v>11706</v>
      </c>
      <c r="J103" s="476">
        <v>9509</v>
      </c>
      <c r="K103" s="471"/>
      <c r="L103" s="475">
        <v>10467</v>
      </c>
      <c r="M103" s="475">
        <v>4734</v>
      </c>
      <c r="N103" s="476">
        <v>3107</v>
      </c>
      <c r="O103" s="471"/>
      <c r="P103" s="472"/>
      <c r="R103" s="483">
        <v>51964</v>
      </c>
      <c r="S103" s="483">
        <v>47914</v>
      </c>
      <c r="T103" s="483">
        <v>25122</v>
      </c>
    </row>
    <row r="104" spans="1:20" x14ac:dyDescent="0.35">
      <c r="A104" s="474" t="s">
        <v>1006</v>
      </c>
      <c r="B104" s="474"/>
      <c r="F104" s="477"/>
      <c r="G104" s="475">
        <v>-53</v>
      </c>
      <c r="H104" s="475">
        <v>-153</v>
      </c>
      <c r="I104" s="475">
        <v>-76</v>
      </c>
      <c r="J104" s="476">
        <v>-248</v>
      </c>
      <c r="L104" s="475">
        <v>-15</v>
      </c>
      <c r="M104" s="475">
        <v>-28</v>
      </c>
      <c r="N104" s="476">
        <v>-10</v>
      </c>
      <c r="P104" s="477"/>
      <c r="R104" s="483">
        <v>-945</v>
      </c>
      <c r="S104" s="483">
        <v>-530</v>
      </c>
      <c r="T104" s="483">
        <v>-150</v>
      </c>
    </row>
    <row r="105" spans="1:20" x14ac:dyDescent="0.35">
      <c r="A105" s="474" t="s">
        <v>1527</v>
      </c>
      <c r="B105" s="474"/>
      <c r="F105" s="477"/>
      <c r="G105" s="475">
        <v>9423</v>
      </c>
      <c r="H105" s="471"/>
      <c r="I105" s="471"/>
      <c r="J105" s="472"/>
      <c r="L105" s="471"/>
      <c r="M105" s="471"/>
      <c r="N105" s="472"/>
      <c r="P105" s="477"/>
      <c r="R105" s="473"/>
      <c r="S105" s="483">
        <v>9423</v>
      </c>
      <c r="T105" s="473"/>
    </row>
    <row r="106" spans="1:20" x14ac:dyDescent="0.35">
      <c r="A106" s="474" t="s">
        <v>348</v>
      </c>
      <c r="B106" s="474"/>
      <c r="F106" s="477"/>
      <c r="J106" s="477"/>
      <c r="K106" s="475">
        <v>13938</v>
      </c>
      <c r="N106" s="477"/>
      <c r="P106" s="477"/>
      <c r="R106" s="478"/>
      <c r="S106" s="478"/>
      <c r="T106" s="483">
        <v>13938</v>
      </c>
    </row>
    <row r="107" spans="1:20" x14ac:dyDescent="0.35">
      <c r="A107" s="484" t="s">
        <v>349</v>
      </c>
      <c r="B107" s="484"/>
      <c r="C107" s="496">
        <v>13023</v>
      </c>
      <c r="D107" s="496">
        <v>12829</v>
      </c>
      <c r="E107" s="496">
        <v>12758</v>
      </c>
      <c r="F107" s="497">
        <v>12409</v>
      </c>
      <c r="G107" s="487">
        <f t="shared" ref="G107:P107" si="3">SUM(G102:G106)</f>
        <v>22253</v>
      </c>
      <c r="H107" s="487">
        <f t="shared" si="3"/>
        <v>13663</v>
      </c>
      <c r="I107" s="487">
        <f t="shared" si="3"/>
        <v>11630</v>
      </c>
      <c r="J107" s="488">
        <f t="shared" si="3"/>
        <v>9261</v>
      </c>
      <c r="K107" s="487">
        <f t="shared" si="3"/>
        <v>20655</v>
      </c>
      <c r="L107" s="487">
        <f t="shared" si="3"/>
        <v>10452</v>
      </c>
      <c r="M107" s="487">
        <f t="shared" si="3"/>
        <v>4706</v>
      </c>
      <c r="N107" s="488">
        <f t="shared" si="3"/>
        <v>3097</v>
      </c>
      <c r="O107" s="487">
        <f t="shared" si="3"/>
        <v>-850</v>
      </c>
      <c r="P107" s="488">
        <f t="shared" si="3"/>
        <v>3112</v>
      </c>
      <c r="R107" s="492">
        <f>SUM(R102:R106)</f>
        <v>51019</v>
      </c>
      <c r="S107" s="492">
        <f>SUM(S102:S106)</f>
        <v>56807</v>
      </c>
      <c r="T107" s="492">
        <f>SUM(T102:T106)</f>
        <v>38910</v>
      </c>
    </row>
    <row r="108" spans="1:20" x14ac:dyDescent="0.35">
      <c r="F108" s="477"/>
      <c r="J108" s="477"/>
      <c r="K108" s="471"/>
      <c r="L108" s="471"/>
      <c r="M108" s="471"/>
      <c r="N108" s="472"/>
      <c r="O108" s="471"/>
      <c r="P108" s="477"/>
      <c r="R108" s="478"/>
      <c r="S108" s="478"/>
      <c r="T108" s="473"/>
    </row>
    <row r="109" spans="1:20" x14ac:dyDescent="0.35">
      <c r="A109" s="484" t="s">
        <v>350</v>
      </c>
      <c r="B109" s="484"/>
      <c r="C109" s="487">
        <f t="shared" ref="C109:P109" si="4">C99-C107</f>
        <v>4098</v>
      </c>
      <c r="D109" s="487">
        <f t="shared" si="4"/>
        <v>12904</v>
      </c>
      <c r="E109" s="487">
        <f t="shared" si="4"/>
        <v>13759</v>
      </c>
      <c r="F109" s="488">
        <f t="shared" si="4"/>
        <v>10387</v>
      </c>
      <c r="G109" s="487">
        <f t="shared" si="4"/>
        <v>-26734</v>
      </c>
      <c r="H109" s="487">
        <f t="shared" si="4"/>
        <v>-19865</v>
      </c>
      <c r="I109" s="487">
        <f t="shared" si="4"/>
        <v>-6341</v>
      </c>
      <c r="J109" s="488">
        <f t="shared" si="4"/>
        <v>-5907</v>
      </c>
      <c r="K109" s="487">
        <f t="shared" si="4"/>
        <v>-23824</v>
      </c>
      <c r="L109" s="487">
        <f t="shared" si="4"/>
        <v>6833</v>
      </c>
      <c r="M109" s="487">
        <f t="shared" si="4"/>
        <v>19682</v>
      </c>
      <c r="N109" s="488">
        <f t="shared" si="4"/>
        <v>22222</v>
      </c>
      <c r="O109" s="487">
        <f t="shared" si="4"/>
        <v>17948</v>
      </c>
      <c r="P109" s="488">
        <f t="shared" si="4"/>
        <v>19668</v>
      </c>
      <c r="R109" s="492">
        <f>R99-R107</f>
        <v>41148</v>
      </c>
      <c r="S109" s="492">
        <f>S99-S107</f>
        <v>-58847</v>
      </c>
      <c r="T109" s="492">
        <f>T99-T107</f>
        <v>24913</v>
      </c>
    </row>
    <row r="110" spans="1:20" x14ac:dyDescent="0.35">
      <c r="F110" s="477"/>
      <c r="J110" s="477"/>
      <c r="K110" s="471"/>
      <c r="L110" s="471"/>
      <c r="M110" s="471"/>
      <c r="N110" s="472"/>
      <c r="O110" s="471"/>
      <c r="P110" s="477"/>
      <c r="R110" s="478"/>
      <c r="S110" s="478"/>
      <c r="T110" s="473"/>
    </row>
    <row r="111" spans="1:20" x14ac:dyDescent="0.35">
      <c r="A111" s="474" t="s">
        <v>351</v>
      </c>
      <c r="B111" s="474"/>
      <c r="C111" s="475">
        <v>902</v>
      </c>
      <c r="D111" s="475">
        <v>2184</v>
      </c>
      <c r="E111" s="475">
        <v>2172</v>
      </c>
      <c r="F111" s="476">
        <v>1640</v>
      </c>
      <c r="G111" s="475">
        <v>-4920</v>
      </c>
      <c r="H111" s="475">
        <v>-3499</v>
      </c>
      <c r="I111" s="475">
        <v>-2889</v>
      </c>
      <c r="J111" s="476">
        <v>-47</v>
      </c>
      <c r="K111" s="475">
        <v>-4435</v>
      </c>
      <c r="L111" s="475">
        <v>3063</v>
      </c>
      <c r="M111" s="475">
        <v>3397</v>
      </c>
      <c r="N111" s="476">
        <v>6837</v>
      </c>
      <c r="O111" s="475">
        <v>4935</v>
      </c>
      <c r="P111" s="476">
        <v>5432</v>
      </c>
      <c r="R111" s="483">
        <v>6898</v>
      </c>
      <c r="S111" s="483">
        <v>-11355</v>
      </c>
      <c r="T111" s="483">
        <v>8862</v>
      </c>
    </row>
    <row r="112" spans="1:20" ht="15" thickBot="1" x14ac:dyDescent="0.4">
      <c r="A112" s="498" t="s">
        <v>352</v>
      </c>
      <c r="B112" s="498"/>
      <c r="C112" s="499">
        <f t="shared" ref="C112:P112" si="5">C109-C111</f>
        <v>3196</v>
      </c>
      <c r="D112" s="499">
        <f t="shared" si="5"/>
        <v>10720</v>
      </c>
      <c r="E112" s="499">
        <f t="shared" si="5"/>
        <v>11587</v>
      </c>
      <c r="F112" s="500">
        <f t="shared" si="5"/>
        <v>8747</v>
      </c>
      <c r="G112" s="499">
        <f t="shared" si="5"/>
        <v>-21814</v>
      </c>
      <c r="H112" s="499">
        <f t="shared" si="5"/>
        <v>-16366</v>
      </c>
      <c r="I112" s="499">
        <f t="shared" si="5"/>
        <v>-3452</v>
      </c>
      <c r="J112" s="500">
        <f t="shared" si="5"/>
        <v>-5860</v>
      </c>
      <c r="K112" s="499">
        <f t="shared" si="5"/>
        <v>-19389</v>
      </c>
      <c r="L112" s="499">
        <f t="shared" si="5"/>
        <v>3770</v>
      </c>
      <c r="M112" s="499">
        <f t="shared" si="5"/>
        <v>16285</v>
      </c>
      <c r="N112" s="500">
        <f t="shared" si="5"/>
        <v>15385</v>
      </c>
      <c r="O112" s="499">
        <f t="shared" si="5"/>
        <v>13013</v>
      </c>
      <c r="P112" s="500">
        <f t="shared" si="5"/>
        <v>14236</v>
      </c>
      <c r="R112" s="501">
        <f>R109-R111</f>
        <v>34250</v>
      </c>
      <c r="S112" s="501">
        <f>S109-S111</f>
        <v>-47492</v>
      </c>
      <c r="T112" s="501">
        <f>T109-T111</f>
        <v>16051</v>
      </c>
    </row>
    <row r="113" spans="1:20" x14ac:dyDescent="0.35">
      <c r="F113" s="477"/>
      <c r="J113" s="477"/>
      <c r="K113" s="471"/>
      <c r="L113" s="471"/>
      <c r="M113" s="471"/>
      <c r="N113" s="472"/>
      <c r="O113" s="471"/>
      <c r="P113" s="477"/>
      <c r="R113" s="478"/>
      <c r="S113" s="478"/>
      <c r="T113" s="473"/>
    </row>
    <row r="114" spans="1:20" x14ac:dyDescent="0.35">
      <c r="A114" s="474" t="s">
        <v>353</v>
      </c>
      <c r="B114" s="474"/>
      <c r="F114" s="477"/>
      <c r="G114" s="475">
        <v>-8659</v>
      </c>
      <c r="H114" s="475">
        <v>486</v>
      </c>
      <c r="I114" s="475">
        <v>7009</v>
      </c>
      <c r="J114" s="476">
        <v>3648</v>
      </c>
      <c r="K114" s="475">
        <v>2760</v>
      </c>
      <c r="L114" s="475">
        <v>-1295</v>
      </c>
      <c r="M114" s="475">
        <v>-3059</v>
      </c>
      <c r="N114" s="476">
        <v>-2527</v>
      </c>
      <c r="O114" s="475">
        <v>-1517</v>
      </c>
      <c r="P114" s="476">
        <v>-11319</v>
      </c>
      <c r="R114" s="483">
        <v>-341</v>
      </c>
      <c r="S114" s="483">
        <v>2484</v>
      </c>
      <c r="T114" s="483">
        <v>-4121</v>
      </c>
    </row>
    <row r="115" spans="1:20" x14ac:dyDescent="0.35">
      <c r="A115" s="484" t="s">
        <v>354</v>
      </c>
      <c r="B115" s="484"/>
      <c r="C115" s="493"/>
      <c r="D115" s="493"/>
      <c r="E115" s="493"/>
      <c r="F115" s="494"/>
      <c r="G115" s="487">
        <f t="shared" ref="G115:P115" si="6">SUM(G114,G112)</f>
        <v>-30473</v>
      </c>
      <c r="H115" s="487">
        <f t="shared" si="6"/>
        <v>-15880</v>
      </c>
      <c r="I115" s="487">
        <f t="shared" si="6"/>
        <v>3557</v>
      </c>
      <c r="J115" s="488">
        <f t="shared" si="6"/>
        <v>-2212</v>
      </c>
      <c r="K115" s="487">
        <f t="shared" si="6"/>
        <v>-16629</v>
      </c>
      <c r="L115" s="487">
        <f t="shared" si="6"/>
        <v>2475</v>
      </c>
      <c r="M115" s="487">
        <f t="shared" si="6"/>
        <v>13226</v>
      </c>
      <c r="N115" s="488">
        <f t="shared" si="6"/>
        <v>12858</v>
      </c>
      <c r="O115" s="487">
        <f t="shared" si="6"/>
        <v>11496</v>
      </c>
      <c r="P115" s="488">
        <f t="shared" si="6"/>
        <v>2917</v>
      </c>
      <c r="R115" s="492">
        <f>SUM(R114,R112)</f>
        <v>33909</v>
      </c>
      <c r="S115" s="492">
        <f>SUM(S114,S112)</f>
        <v>-45008</v>
      </c>
      <c r="T115" s="492">
        <f>SUM(T114,T112)</f>
        <v>11930</v>
      </c>
    </row>
    <row r="116" spans="1:20" x14ac:dyDescent="0.35">
      <c r="F116" s="477"/>
      <c r="J116" s="477"/>
      <c r="K116" s="471"/>
      <c r="L116" s="471"/>
      <c r="M116" s="471"/>
      <c r="N116" s="472"/>
      <c r="O116" s="471"/>
      <c r="P116" s="477"/>
      <c r="R116" s="478"/>
      <c r="S116" s="478"/>
      <c r="T116" s="473"/>
    </row>
    <row r="117" spans="1:20" x14ac:dyDescent="0.35">
      <c r="A117" s="460" t="s">
        <v>352</v>
      </c>
      <c r="B117" s="460"/>
      <c r="F117" s="477"/>
      <c r="G117" s="475">
        <v>-21814</v>
      </c>
      <c r="H117" s="475">
        <v>-16366</v>
      </c>
      <c r="I117" s="475">
        <v>-3452</v>
      </c>
      <c r="J117" s="476">
        <v>-5860</v>
      </c>
      <c r="K117" s="475">
        <v>-19389</v>
      </c>
      <c r="L117" s="475">
        <v>3770</v>
      </c>
      <c r="M117" s="475">
        <v>16285</v>
      </c>
      <c r="N117" s="476">
        <v>15385</v>
      </c>
      <c r="O117" s="475">
        <v>13013</v>
      </c>
      <c r="P117" s="476">
        <v>14236</v>
      </c>
      <c r="R117" s="483">
        <v>34250</v>
      </c>
      <c r="S117" s="483">
        <v>-47492</v>
      </c>
      <c r="T117" s="483">
        <v>16051</v>
      </c>
    </row>
    <row r="118" spans="1:20" x14ac:dyDescent="0.35">
      <c r="A118" s="460" t="s">
        <v>1528</v>
      </c>
      <c r="B118" s="460"/>
      <c r="F118" s="477"/>
      <c r="G118" s="471"/>
      <c r="H118" s="502">
        <v>-0.13</v>
      </c>
      <c r="I118" s="502">
        <v>-0.03</v>
      </c>
      <c r="J118" s="503">
        <v>-0.05</v>
      </c>
      <c r="K118" s="502">
        <v>-0.15</v>
      </c>
      <c r="L118" s="502">
        <v>0.03</v>
      </c>
      <c r="M118" s="502">
        <v>0.11</v>
      </c>
      <c r="N118" s="503">
        <v>0.1</v>
      </c>
      <c r="O118" s="502">
        <v>0.09</v>
      </c>
      <c r="P118" s="503">
        <v>0.09</v>
      </c>
      <c r="R118" s="504">
        <v>0.23</v>
      </c>
      <c r="S118" s="504">
        <v>-0.37</v>
      </c>
      <c r="T118" s="504">
        <v>0.11</v>
      </c>
    </row>
    <row r="119" spans="1:20" x14ac:dyDescent="0.35">
      <c r="A119" s="460" t="s">
        <v>1529</v>
      </c>
      <c r="B119" s="460"/>
      <c r="F119" s="477"/>
      <c r="G119" s="502">
        <v>-0.17</v>
      </c>
      <c r="H119" s="502">
        <v>-0.13</v>
      </c>
      <c r="I119" s="502">
        <v>-0.03</v>
      </c>
      <c r="J119" s="503">
        <v>-0.05</v>
      </c>
      <c r="K119" s="502">
        <v>-0.15</v>
      </c>
      <c r="L119" s="502">
        <v>0.03</v>
      </c>
      <c r="M119" s="502">
        <v>0.11</v>
      </c>
      <c r="N119" s="503">
        <v>0.1</v>
      </c>
      <c r="O119" s="502">
        <v>0.09</v>
      </c>
      <c r="P119" s="503">
        <v>0.09</v>
      </c>
      <c r="R119" s="504">
        <v>0.21</v>
      </c>
      <c r="S119" s="504">
        <v>-0.37</v>
      </c>
      <c r="T119" s="504">
        <v>0.11</v>
      </c>
    </row>
    <row r="120" spans="1:20" x14ac:dyDescent="0.35">
      <c r="A120" s="460" t="s">
        <v>1530</v>
      </c>
      <c r="B120" s="460"/>
      <c r="F120" s="477"/>
      <c r="H120" s="475">
        <v>130000000</v>
      </c>
      <c r="I120" s="475">
        <v>130000000</v>
      </c>
      <c r="J120" s="476">
        <v>130000000</v>
      </c>
      <c r="K120" s="475">
        <v>130000000</v>
      </c>
      <c r="L120" s="475">
        <v>131507005</v>
      </c>
      <c r="M120" s="475">
        <v>149943998</v>
      </c>
      <c r="N120" s="476">
        <v>150119568</v>
      </c>
      <c r="O120" s="475">
        <v>150538700</v>
      </c>
      <c r="P120" s="476">
        <v>150748211</v>
      </c>
      <c r="R120" s="483">
        <v>149686460</v>
      </c>
      <c r="S120" s="483">
        <v>130000000</v>
      </c>
      <c r="T120" s="483">
        <v>140480590</v>
      </c>
    </row>
    <row r="121" spans="1:20" x14ac:dyDescent="0.35">
      <c r="A121" s="460" t="s">
        <v>1531</v>
      </c>
      <c r="B121" s="460"/>
      <c r="F121" s="477"/>
      <c r="G121" s="475">
        <v>130000000</v>
      </c>
      <c r="H121" s="475">
        <v>130000000</v>
      </c>
      <c r="I121" s="475">
        <v>130000000</v>
      </c>
      <c r="J121" s="476">
        <v>130000000</v>
      </c>
      <c r="K121" s="475">
        <v>130000000</v>
      </c>
      <c r="L121" s="475">
        <v>135368909</v>
      </c>
      <c r="M121" s="475">
        <v>152400419</v>
      </c>
      <c r="N121" s="476">
        <v>152284628</v>
      </c>
      <c r="O121" s="475">
        <v>152348806</v>
      </c>
      <c r="P121" s="476">
        <v>152360350</v>
      </c>
      <c r="R121" s="483">
        <v>163879766</v>
      </c>
      <c r="S121" s="483">
        <v>130000000</v>
      </c>
      <c r="T121" s="483">
        <v>141687384</v>
      </c>
    </row>
    <row r="122" spans="1:20" x14ac:dyDescent="0.35">
      <c r="F122" s="477"/>
      <c r="J122" s="477"/>
      <c r="N122" s="477"/>
      <c r="P122" s="477"/>
      <c r="R122" s="478"/>
      <c r="S122" s="478"/>
      <c r="T122" s="478"/>
    </row>
    <row r="123" spans="1:20" x14ac:dyDescent="0.35">
      <c r="A123" s="470" t="s">
        <v>1532</v>
      </c>
      <c r="B123" s="470"/>
      <c r="C123" s="471"/>
      <c r="D123" s="471"/>
      <c r="E123" s="471"/>
      <c r="F123" s="472"/>
      <c r="G123" s="471"/>
      <c r="H123" s="471"/>
      <c r="I123" s="471"/>
      <c r="J123" s="472"/>
      <c r="K123" s="471"/>
      <c r="L123" s="471"/>
      <c r="M123" s="471"/>
      <c r="N123" s="472"/>
      <c r="O123" s="471"/>
      <c r="P123" s="472"/>
      <c r="R123" s="473"/>
      <c r="S123" s="473"/>
      <c r="T123" s="473"/>
    </row>
    <row r="124" spans="1:20" x14ac:dyDescent="0.35">
      <c r="A124" s="474" t="s">
        <v>28</v>
      </c>
      <c r="B124" s="474"/>
      <c r="F124" s="477"/>
      <c r="G124" s="475">
        <v>36785</v>
      </c>
      <c r="J124" s="477"/>
      <c r="N124" s="477"/>
      <c r="P124" s="477"/>
      <c r="R124" s="478"/>
      <c r="S124" s="478"/>
      <c r="T124" s="478"/>
    </row>
    <row r="125" spans="1:20" x14ac:dyDescent="0.35">
      <c r="A125" s="505" t="s">
        <v>339</v>
      </c>
      <c r="B125" s="505"/>
      <c r="F125" s="477"/>
      <c r="G125" s="471"/>
      <c r="J125" s="477"/>
      <c r="N125" s="477"/>
      <c r="P125" s="477"/>
      <c r="R125" s="478"/>
      <c r="S125" s="478"/>
      <c r="T125" s="478"/>
    </row>
    <row r="126" spans="1:20" x14ac:dyDescent="0.35">
      <c r="A126" s="506" t="s">
        <v>340</v>
      </c>
      <c r="B126" s="506"/>
      <c r="F126" s="477"/>
      <c r="G126" s="475">
        <v>20265</v>
      </c>
      <c r="J126" s="477"/>
      <c r="N126" s="477"/>
      <c r="P126" s="477"/>
      <c r="R126" s="478"/>
      <c r="S126" s="478"/>
      <c r="T126" s="478"/>
    </row>
    <row r="127" spans="1:20" x14ac:dyDescent="0.35">
      <c r="A127" s="506" t="s">
        <v>341</v>
      </c>
      <c r="B127" s="506"/>
      <c r="F127" s="477"/>
      <c r="G127" s="475">
        <v>3189</v>
      </c>
      <c r="J127" s="477"/>
      <c r="N127" s="477"/>
      <c r="P127" s="477"/>
      <c r="R127" s="478"/>
      <c r="S127" s="478"/>
      <c r="T127" s="478"/>
    </row>
    <row r="128" spans="1:20" x14ac:dyDescent="0.35">
      <c r="A128" s="506" t="s">
        <v>1533</v>
      </c>
      <c r="B128" s="506"/>
      <c r="F128" s="477"/>
      <c r="G128" s="475">
        <v>11235</v>
      </c>
      <c r="J128" s="477"/>
      <c r="N128" s="477"/>
      <c r="P128" s="477"/>
      <c r="R128" s="478"/>
      <c r="S128" s="478"/>
      <c r="T128" s="478"/>
    </row>
    <row r="129" spans="1:20" x14ac:dyDescent="0.35">
      <c r="A129" s="506" t="s">
        <v>343</v>
      </c>
      <c r="B129" s="506"/>
      <c r="F129" s="477"/>
      <c r="G129" s="475">
        <v>2105</v>
      </c>
      <c r="J129" s="477"/>
      <c r="N129" s="477"/>
      <c r="P129" s="477"/>
      <c r="R129" s="478"/>
      <c r="S129" s="478"/>
      <c r="T129" s="478"/>
    </row>
    <row r="130" spans="1:20" x14ac:dyDescent="0.35">
      <c r="A130" s="507" t="s">
        <v>344</v>
      </c>
      <c r="B130" s="507"/>
      <c r="C130" s="508"/>
      <c r="D130" s="508"/>
      <c r="E130" s="508"/>
      <c r="F130" s="509"/>
      <c r="G130" s="487">
        <f>SUM(G126:G129)</f>
        <v>36794</v>
      </c>
      <c r="H130" s="508"/>
      <c r="I130" s="508"/>
      <c r="J130" s="509"/>
      <c r="K130" s="508"/>
      <c r="L130" s="508"/>
      <c r="M130" s="508"/>
      <c r="N130" s="509"/>
      <c r="O130" s="508"/>
      <c r="P130" s="509"/>
      <c r="R130" s="510"/>
      <c r="S130" s="510"/>
      <c r="T130" s="510"/>
    </row>
    <row r="131" spans="1:20" x14ac:dyDescent="0.35">
      <c r="A131" s="474"/>
      <c r="B131" s="474"/>
      <c r="F131" s="477"/>
      <c r="G131" s="471"/>
      <c r="J131" s="477"/>
      <c r="N131" s="477"/>
      <c r="P131" s="477"/>
      <c r="R131" s="478"/>
      <c r="S131" s="478"/>
      <c r="T131" s="478"/>
    </row>
    <row r="132" spans="1:20" x14ac:dyDescent="0.35">
      <c r="A132" s="511" t="s">
        <v>345</v>
      </c>
      <c r="B132" s="511"/>
      <c r="C132" s="508"/>
      <c r="D132" s="508"/>
      <c r="E132" s="508"/>
      <c r="F132" s="509"/>
      <c r="G132" s="487">
        <f>G124-G130</f>
        <v>-9</v>
      </c>
      <c r="H132" s="508"/>
      <c r="I132" s="508"/>
      <c r="J132" s="509"/>
      <c r="K132" s="508"/>
      <c r="L132" s="508"/>
      <c r="M132" s="508"/>
      <c r="N132" s="509"/>
      <c r="O132" s="508"/>
      <c r="P132" s="509"/>
      <c r="R132" s="510"/>
      <c r="S132" s="510"/>
      <c r="T132" s="510"/>
    </row>
    <row r="133" spans="1:20" x14ac:dyDescent="0.35">
      <c r="A133" s="512"/>
      <c r="B133" s="512"/>
      <c r="F133" s="477"/>
      <c r="G133" s="471"/>
      <c r="J133" s="477"/>
      <c r="N133" s="477"/>
      <c r="P133" s="477"/>
      <c r="R133" s="478"/>
      <c r="S133" s="478"/>
      <c r="T133" s="478"/>
    </row>
    <row r="134" spans="1:20" x14ac:dyDescent="0.35">
      <c r="A134" s="513" t="s">
        <v>1534</v>
      </c>
      <c r="B134" s="513"/>
      <c r="F134" s="477"/>
      <c r="G134" s="471"/>
      <c r="J134" s="477"/>
      <c r="N134" s="477"/>
      <c r="P134" s="477"/>
      <c r="R134" s="478"/>
      <c r="S134" s="478"/>
      <c r="T134" s="478"/>
    </row>
    <row r="135" spans="1:20" x14ac:dyDescent="0.35">
      <c r="A135" s="474" t="s">
        <v>1005</v>
      </c>
      <c r="B135" s="474"/>
      <c r="F135" s="477"/>
      <c r="G135" s="475">
        <v>4514</v>
      </c>
      <c r="J135" s="477"/>
      <c r="N135" s="477"/>
      <c r="P135" s="477"/>
      <c r="R135" s="478"/>
      <c r="S135" s="478"/>
      <c r="T135" s="478"/>
    </row>
    <row r="136" spans="1:20" x14ac:dyDescent="0.35">
      <c r="A136" s="474" t="s">
        <v>1006</v>
      </c>
      <c r="B136" s="474"/>
      <c r="F136" s="477"/>
      <c r="G136" s="475">
        <v>-25</v>
      </c>
      <c r="J136" s="477"/>
      <c r="N136" s="477"/>
      <c r="P136" s="477"/>
      <c r="R136" s="478"/>
      <c r="S136" s="478"/>
      <c r="T136" s="478"/>
    </row>
    <row r="137" spans="1:20" x14ac:dyDescent="0.35">
      <c r="A137" s="474" t="s">
        <v>1535</v>
      </c>
      <c r="B137" s="474"/>
      <c r="F137" s="477"/>
      <c r="G137" s="475">
        <v>10533</v>
      </c>
      <c r="J137" s="477"/>
      <c r="N137" s="477"/>
      <c r="P137" s="477"/>
      <c r="R137" s="478"/>
      <c r="S137" s="478"/>
      <c r="T137" s="478"/>
    </row>
    <row r="138" spans="1:20" x14ac:dyDescent="0.35">
      <c r="A138" s="474" t="s">
        <v>1527</v>
      </c>
      <c r="B138" s="474"/>
      <c r="F138" s="477"/>
      <c r="G138" s="475">
        <v>22370</v>
      </c>
      <c r="J138" s="477"/>
      <c r="N138" s="477"/>
      <c r="P138" s="477"/>
      <c r="R138" s="478"/>
      <c r="S138" s="478"/>
      <c r="T138" s="478"/>
    </row>
    <row r="139" spans="1:20" x14ac:dyDescent="0.35">
      <c r="A139" s="484" t="s">
        <v>349</v>
      </c>
      <c r="B139" s="484"/>
      <c r="C139" s="493"/>
      <c r="D139" s="493"/>
      <c r="E139" s="493"/>
      <c r="F139" s="494"/>
      <c r="G139" s="487">
        <f>SUM(G135:G138)</f>
        <v>37392</v>
      </c>
      <c r="H139" s="493"/>
      <c r="I139" s="493"/>
      <c r="J139" s="494"/>
      <c r="K139" s="493"/>
      <c r="L139" s="493"/>
      <c r="M139" s="493"/>
      <c r="N139" s="494"/>
      <c r="O139" s="493"/>
      <c r="P139" s="494"/>
      <c r="R139" s="495"/>
      <c r="S139" s="495"/>
      <c r="T139" s="495"/>
    </row>
    <row r="140" spans="1:20" x14ac:dyDescent="0.35">
      <c r="A140" s="512"/>
      <c r="B140" s="512"/>
      <c r="F140" s="477"/>
      <c r="G140" s="471"/>
      <c r="J140" s="477"/>
      <c r="N140" s="477"/>
      <c r="P140" s="477"/>
      <c r="R140" s="478"/>
      <c r="S140" s="478"/>
      <c r="T140" s="478"/>
    </row>
    <row r="141" spans="1:20" x14ac:dyDescent="0.35">
      <c r="A141" s="511" t="s">
        <v>350</v>
      </c>
      <c r="B141" s="511"/>
      <c r="C141" s="493"/>
      <c r="D141" s="493"/>
      <c r="E141" s="493"/>
      <c r="F141" s="494"/>
      <c r="G141" s="487">
        <f>G132-G139</f>
        <v>-37401</v>
      </c>
      <c r="H141" s="493"/>
      <c r="I141" s="493"/>
      <c r="J141" s="494"/>
      <c r="K141" s="493"/>
      <c r="L141" s="493"/>
      <c r="M141" s="493"/>
      <c r="N141" s="494"/>
      <c r="O141" s="493"/>
      <c r="P141" s="494"/>
      <c r="R141" s="495"/>
      <c r="S141" s="495"/>
      <c r="T141" s="495"/>
    </row>
    <row r="142" spans="1:20" x14ac:dyDescent="0.35">
      <c r="A142" s="512"/>
      <c r="B142" s="512"/>
      <c r="F142" s="477"/>
      <c r="G142" s="471"/>
      <c r="J142" s="477"/>
      <c r="N142" s="477"/>
      <c r="P142" s="477"/>
      <c r="R142" s="478"/>
      <c r="S142" s="478"/>
      <c r="T142" s="478"/>
    </row>
    <row r="143" spans="1:20" x14ac:dyDescent="0.35">
      <c r="A143" s="474" t="s">
        <v>351</v>
      </c>
      <c r="B143" s="474"/>
      <c r="F143" s="477"/>
      <c r="G143" s="475">
        <v>-871</v>
      </c>
      <c r="J143" s="477"/>
      <c r="N143" s="477"/>
      <c r="P143" s="477"/>
      <c r="R143" s="478"/>
      <c r="S143" s="478"/>
      <c r="T143" s="478"/>
    </row>
    <row r="144" spans="1:20" ht="15" thickBot="1" x14ac:dyDescent="0.4">
      <c r="A144" s="514" t="s">
        <v>352</v>
      </c>
      <c r="B144" s="514"/>
      <c r="C144" s="515"/>
      <c r="D144" s="515"/>
      <c r="E144" s="515"/>
      <c r="F144" s="516"/>
      <c r="G144" s="499">
        <f>-G143+G141</f>
        <v>-36530</v>
      </c>
      <c r="H144" s="515"/>
      <c r="I144" s="515"/>
      <c r="J144" s="516"/>
      <c r="K144" s="515"/>
      <c r="L144" s="515"/>
      <c r="M144" s="515"/>
      <c r="N144" s="516"/>
      <c r="O144" s="515"/>
      <c r="P144" s="516"/>
      <c r="R144" s="517"/>
      <c r="S144" s="517"/>
      <c r="T144" s="517"/>
    </row>
    <row r="145" spans="1:20" x14ac:dyDescent="0.35">
      <c r="A145" s="512"/>
      <c r="B145" s="512"/>
      <c r="F145" s="477"/>
      <c r="G145" s="471"/>
      <c r="J145" s="477"/>
      <c r="N145" s="477"/>
      <c r="P145" s="477"/>
      <c r="R145" s="478"/>
      <c r="S145" s="478"/>
      <c r="T145" s="478"/>
    </row>
    <row r="146" spans="1:20" x14ac:dyDescent="0.35">
      <c r="A146" s="474" t="s">
        <v>353</v>
      </c>
      <c r="B146" s="474"/>
      <c r="F146" s="477"/>
      <c r="G146" s="475">
        <v>-31</v>
      </c>
      <c r="J146" s="477"/>
      <c r="N146" s="477"/>
      <c r="P146" s="477"/>
      <c r="R146" s="478"/>
      <c r="S146" s="478"/>
      <c r="T146" s="478"/>
    </row>
    <row r="147" spans="1:20" x14ac:dyDescent="0.35">
      <c r="A147" s="511" t="s">
        <v>354</v>
      </c>
      <c r="B147" s="511"/>
      <c r="C147" s="493"/>
      <c r="D147" s="493"/>
      <c r="E147" s="493"/>
      <c r="F147" s="494"/>
      <c r="G147" s="487">
        <f>G144+G146</f>
        <v>-36561</v>
      </c>
      <c r="H147" s="493"/>
      <c r="I147" s="493"/>
      <c r="J147" s="494"/>
      <c r="K147" s="493"/>
      <c r="L147" s="493"/>
      <c r="M147" s="493"/>
      <c r="N147" s="494"/>
      <c r="O147" s="493"/>
      <c r="P147" s="494"/>
      <c r="R147" s="495"/>
      <c r="S147" s="495"/>
      <c r="T147" s="495"/>
    </row>
    <row r="148" spans="1:20" x14ac:dyDescent="0.35">
      <c r="A148" s="512"/>
      <c r="B148" s="512"/>
      <c r="F148" s="477"/>
      <c r="G148" s="471"/>
      <c r="J148" s="477"/>
      <c r="N148" s="477"/>
      <c r="P148" s="477"/>
      <c r="R148" s="478"/>
      <c r="S148" s="478"/>
      <c r="T148" s="478"/>
    </row>
    <row r="149" spans="1:20" x14ac:dyDescent="0.35">
      <c r="A149" s="512" t="s">
        <v>352</v>
      </c>
      <c r="B149" s="512"/>
      <c r="F149" s="477"/>
      <c r="G149" s="475">
        <v>-36530</v>
      </c>
      <c r="J149" s="477"/>
      <c r="N149" s="477"/>
      <c r="P149" s="477"/>
      <c r="R149" s="478"/>
      <c r="S149" s="478"/>
      <c r="T149" s="478"/>
    </row>
    <row r="150" spans="1:20" x14ac:dyDescent="0.35">
      <c r="A150" s="512" t="s">
        <v>1536</v>
      </c>
      <c r="B150" s="512"/>
      <c r="F150" s="477"/>
      <c r="G150" s="502">
        <v>-0.24</v>
      </c>
      <c r="J150" s="477"/>
      <c r="N150" s="477"/>
      <c r="P150" s="477"/>
      <c r="R150" s="478"/>
      <c r="S150" s="478"/>
      <c r="T150" s="478"/>
    </row>
    <row r="151" spans="1:20" x14ac:dyDescent="0.35">
      <c r="A151" s="512" t="s">
        <v>1537</v>
      </c>
      <c r="B151" s="512"/>
      <c r="F151" s="477"/>
      <c r="G151" s="502">
        <v>-0.24</v>
      </c>
      <c r="J151" s="477"/>
      <c r="N151" s="477"/>
      <c r="P151" s="477"/>
      <c r="R151" s="478"/>
      <c r="S151" s="478"/>
      <c r="T151" s="478"/>
    </row>
    <row r="152" spans="1:20" x14ac:dyDescent="0.35">
      <c r="A152" s="512" t="s">
        <v>1538</v>
      </c>
      <c r="B152" s="512"/>
      <c r="F152" s="477"/>
      <c r="G152" s="475">
        <v>149686460</v>
      </c>
      <c r="J152" s="477"/>
      <c r="N152" s="477"/>
      <c r="P152" s="477"/>
      <c r="R152" s="478"/>
      <c r="S152" s="478"/>
      <c r="T152" s="478"/>
    </row>
    <row r="153" spans="1:20" x14ac:dyDescent="0.35">
      <c r="A153" s="512" t="s">
        <v>1539</v>
      </c>
      <c r="B153" s="512"/>
      <c r="F153" s="477"/>
      <c r="G153" s="475">
        <v>149686460</v>
      </c>
      <c r="J153" s="477"/>
      <c r="N153" s="477"/>
      <c r="P153" s="477"/>
      <c r="R153" s="478"/>
      <c r="S153" s="478"/>
      <c r="T153" s="478"/>
    </row>
    <row r="154" spans="1:20" x14ac:dyDescent="0.35">
      <c r="F154" s="477"/>
      <c r="J154" s="477"/>
      <c r="N154" s="477"/>
      <c r="P154" s="477"/>
      <c r="R154" s="478"/>
      <c r="S154" s="478"/>
      <c r="T154" s="478"/>
    </row>
    <row r="155" spans="1:20" x14ac:dyDescent="0.35">
      <c r="A155" s="479" t="s">
        <v>1540</v>
      </c>
      <c r="B155" s="479"/>
      <c r="C155" s="467"/>
      <c r="D155" s="467"/>
      <c r="E155" s="467"/>
      <c r="F155" s="468"/>
      <c r="G155" s="467"/>
      <c r="H155" s="467"/>
      <c r="I155" s="467"/>
      <c r="J155" s="468"/>
      <c r="K155" s="467"/>
      <c r="L155" s="467"/>
      <c r="M155" s="467"/>
      <c r="N155" s="468"/>
      <c r="O155" s="467"/>
      <c r="P155" s="468"/>
      <c r="R155" s="469"/>
      <c r="S155" s="469"/>
      <c r="T155" s="469"/>
    </row>
    <row r="156" spans="1:20" x14ac:dyDescent="0.35">
      <c r="A156" s="470" t="s">
        <v>154</v>
      </c>
      <c r="B156" s="470"/>
      <c r="C156" s="460"/>
      <c r="D156" s="460"/>
      <c r="E156" s="460"/>
      <c r="F156" s="461"/>
      <c r="G156" s="460"/>
      <c r="H156" s="460"/>
      <c r="I156" s="460"/>
      <c r="J156" s="461"/>
      <c r="K156" s="460"/>
      <c r="L156" s="460"/>
      <c r="M156" s="460"/>
      <c r="N156" s="461"/>
      <c r="O156" s="460"/>
      <c r="P156" s="461"/>
      <c r="R156" s="464"/>
      <c r="S156" s="464"/>
      <c r="T156" s="464"/>
    </row>
    <row r="157" spans="1:20" x14ac:dyDescent="0.35">
      <c r="A157" s="505" t="s">
        <v>1541</v>
      </c>
      <c r="B157" s="505"/>
      <c r="C157" s="460"/>
      <c r="D157" s="460"/>
      <c r="E157" s="460"/>
      <c r="F157" s="461"/>
      <c r="G157" s="460"/>
      <c r="H157" s="460"/>
      <c r="I157" s="460"/>
      <c r="J157" s="461"/>
      <c r="K157" s="460"/>
      <c r="L157" s="460"/>
      <c r="M157" s="460"/>
      <c r="N157" s="461"/>
      <c r="O157" s="460"/>
      <c r="P157" s="461"/>
      <c r="R157" s="464"/>
      <c r="S157" s="464"/>
      <c r="T157" s="464"/>
    </row>
    <row r="158" spans="1:20" x14ac:dyDescent="0.35">
      <c r="A158" s="506" t="s">
        <v>155</v>
      </c>
      <c r="B158" s="506"/>
      <c r="C158" s="460"/>
      <c r="D158" s="460"/>
      <c r="E158" s="460"/>
      <c r="F158" s="476">
        <v>80620</v>
      </c>
      <c r="H158" s="460"/>
      <c r="I158" s="460"/>
      <c r="J158" s="476">
        <v>152818</v>
      </c>
      <c r="K158" s="475">
        <v>113328</v>
      </c>
      <c r="L158" s="475">
        <v>257122</v>
      </c>
      <c r="M158" s="475">
        <v>275538</v>
      </c>
      <c r="N158" s="476">
        <v>292642</v>
      </c>
      <c r="O158" s="475">
        <v>307671</v>
      </c>
      <c r="P158" s="476">
        <v>352251</v>
      </c>
      <c r="R158" s="464"/>
      <c r="S158" s="464"/>
      <c r="T158" s="478"/>
    </row>
    <row r="159" spans="1:20" x14ac:dyDescent="0.35">
      <c r="A159" s="506" t="s">
        <v>467</v>
      </c>
      <c r="B159" s="506"/>
      <c r="C159" s="460"/>
      <c r="D159" s="460"/>
      <c r="E159" s="460"/>
      <c r="F159" s="476">
        <v>126</v>
      </c>
      <c r="H159" s="460"/>
      <c r="I159" s="460"/>
      <c r="J159" s="476">
        <v>152</v>
      </c>
      <c r="K159" s="475">
        <v>156</v>
      </c>
      <c r="L159" s="475">
        <v>156</v>
      </c>
      <c r="M159" s="475">
        <v>150</v>
      </c>
      <c r="N159" s="476">
        <v>148</v>
      </c>
      <c r="O159" s="475">
        <v>248</v>
      </c>
      <c r="P159" s="476">
        <v>229</v>
      </c>
      <c r="R159" s="464"/>
      <c r="S159" s="464"/>
      <c r="T159" s="478"/>
    </row>
    <row r="160" spans="1:20" x14ac:dyDescent="0.35">
      <c r="A160" s="506" t="s">
        <v>1542</v>
      </c>
      <c r="B160" s="506"/>
      <c r="C160" s="460"/>
      <c r="D160" s="460"/>
      <c r="E160" s="460"/>
      <c r="F160" s="472"/>
      <c r="G160" s="475">
        <v>129777</v>
      </c>
      <c r="H160" s="460"/>
      <c r="I160" s="460"/>
      <c r="J160" s="472"/>
      <c r="K160" s="471"/>
      <c r="L160" s="471"/>
      <c r="M160" s="471"/>
      <c r="N160" s="472"/>
      <c r="O160" s="471"/>
      <c r="P160" s="472"/>
      <c r="R160" s="464"/>
      <c r="S160" s="464"/>
      <c r="T160" s="478"/>
    </row>
    <row r="161" spans="1:20" x14ac:dyDescent="0.35">
      <c r="A161" s="506" t="s">
        <v>468</v>
      </c>
      <c r="B161" s="506"/>
      <c r="C161" s="460"/>
      <c r="D161" s="460"/>
      <c r="E161" s="460"/>
      <c r="F161" s="476">
        <v>1326</v>
      </c>
      <c r="G161" s="460"/>
      <c r="H161" s="460"/>
      <c r="I161" s="460"/>
      <c r="J161" s="476">
        <v>1267</v>
      </c>
      <c r="K161" s="475">
        <v>844</v>
      </c>
      <c r="L161" s="475">
        <v>1352</v>
      </c>
      <c r="M161" s="475">
        <v>958</v>
      </c>
      <c r="N161" s="476">
        <v>941</v>
      </c>
      <c r="O161" s="475">
        <v>927</v>
      </c>
      <c r="P161" s="476">
        <v>904</v>
      </c>
      <c r="R161" s="464"/>
      <c r="S161" s="464"/>
      <c r="T161" s="478"/>
    </row>
    <row r="162" spans="1:20" x14ac:dyDescent="0.35">
      <c r="A162" s="506" t="s">
        <v>469</v>
      </c>
      <c r="B162" s="506"/>
      <c r="C162" s="460"/>
      <c r="D162" s="460"/>
      <c r="E162" s="460"/>
      <c r="F162" s="476">
        <v>92510</v>
      </c>
      <c r="G162" s="460"/>
      <c r="H162" s="460"/>
      <c r="I162" s="460"/>
      <c r="J162" s="476">
        <v>111363</v>
      </c>
      <c r="K162" s="475">
        <v>104694</v>
      </c>
      <c r="L162" s="475">
        <v>128906</v>
      </c>
      <c r="M162" s="475">
        <v>147138</v>
      </c>
      <c r="N162" s="476">
        <v>155772</v>
      </c>
      <c r="O162" s="475">
        <v>148163</v>
      </c>
      <c r="P162" s="476">
        <v>144376</v>
      </c>
      <c r="R162" s="464"/>
      <c r="S162" s="464"/>
      <c r="T162" s="478"/>
    </row>
    <row r="163" spans="1:20" x14ac:dyDescent="0.35">
      <c r="A163" s="506" t="s">
        <v>470</v>
      </c>
      <c r="B163" s="506"/>
      <c r="C163" s="460"/>
      <c r="D163" s="460"/>
      <c r="E163" s="460"/>
      <c r="F163" s="476">
        <v>7640</v>
      </c>
      <c r="G163" s="460"/>
      <c r="H163" s="460"/>
      <c r="I163" s="460"/>
      <c r="J163" s="476">
        <v>8699</v>
      </c>
      <c r="K163" s="475">
        <v>13865</v>
      </c>
      <c r="L163" s="475">
        <v>11338</v>
      </c>
      <c r="M163" s="475">
        <v>17294</v>
      </c>
      <c r="N163" s="476">
        <v>14365</v>
      </c>
      <c r="O163" s="475">
        <v>19089</v>
      </c>
      <c r="P163" s="476">
        <v>23368</v>
      </c>
      <c r="R163" s="464"/>
      <c r="S163" s="464"/>
      <c r="T163" s="478"/>
    </row>
    <row r="164" spans="1:20" x14ac:dyDescent="0.35">
      <c r="A164" s="506" t="s">
        <v>471</v>
      </c>
      <c r="B164" s="506"/>
      <c r="C164" s="460"/>
      <c r="D164" s="460"/>
      <c r="E164" s="460"/>
      <c r="F164" s="476">
        <v>3681</v>
      </c>
      <c r="G164" s="460"/>
      <c r="I164" s="460"/>
      <c r="J164" s="476">
        <v>3479</v>
      </c>
      <c r="K164" s="475">
        <v>2150</v>
      </c>
      <c r="L164" s="475">
        <v>2272</v>
      </c>
      <c r="M164" s="475">
        <v>2426</v>
      </c>
      <c r="N164" s="476">
        <v>2292</v>
      </c>
      <c r="O164" s="475">
        <v>1572</v>
      </c>
      <c r="P164" s="476">
        <v>1608</v>
      </c>
      <c r="R164" s="464"/>
      <c r="S164" s="464"/>
      <c r="T164" s="478"/>
    </row>
    <row r="165" spans="1:20" x14ac:dyDescent="0.35">
      <c r="A165" s="507" t="s">
        <v>472</v>
      </c>
      <c r="B165" s="507"/>
      <c r="C165" s="484"/>
      <c r="D165" s="484"/>
      <c r="E165" s="484"/>
      <c r="F165" s="488">
        <f>SUM(F158:F164)</f>
        <v>185903</v>
      </c>
      <c r="G165" s="484"/>
      <c r="H165" s="484"/>
      <c r="I165" s="484"/>
      <c r="J165" s="488">
        <f t="shared" ref="J165:P165" si="7">SUM(J158:J164)</f>
        <v>277778</v>
      </c>
      <c r="K165" s="487">
        <f t="shared" si="7"/>
        <v>235037</v>
      </c>
      <c r="L165" s="487">
        <f t="shared" si="7"/>
        <v>401146</v>
      </c>
      <c r="M165" s="487">
        <f t="shared" si="7"/>
        <v>443504</v>
      </c>
      <c r="N165" s="488">
        <f t="shared" si="7"/>
        <v>466160</v>
      </c>
      <c r="O165" s="487">
        <f t="shared" si="7"/>
        <v>477670</v>
      </c>
      <c r="P165" s="488">
        <f t="shared" si="7"/>
        <v>522736</v>
      </c>
      <c r="R165" s="518"/>
      <c r="S165" s="518"/>
      <c r="T165" s="495"/>
    </row>
    <row r="166" spans="1:20" x14ac:dyDescent="0.35">
      <c r="C166" s="460"/>
      <c r="D166" s="460"/>
      <c r="E166" s="460"/>
      <c r="F166" s="461"/>
      <c r="G166" s="460"/>
      <c r="H166" s="460"/>
      <c r="I166" s="460"/>
      <c r="J166" s="461"/>
      <c r="K166" s="460"/>
      <c r="L166" s="471"/>
      <c r="M166" s="471"/>
      <c r="N166" s="472"/>
      <c r="O166" s="471"/>
      <c r="P166" s="461"/>
      <c r="R166" s="464"/>
      <c r="S166" s="464"/>
      <c r="T166" s="478"/>
    </row>
    <row r="167" spans="1:20" x14ac:dyDescent="0.35">
      <c r="A167" s="474" t="s">
        <v>473</v>
      </c>
      <c r="B167" s="474"/>
      <c r="C167" s="460"/>
      <c r="D167" s="460"/>
      <c r="E167" s="460"/>
      <c r="F167" s="476">
        <v>29094</v>
      </c>
      <c r="G167" s="460"/>
      <c r="H167" s="460"/>
      <c r="I167" s="460"/>
      <c r="J167" s="476">
        <v>190282</v>
      </c>
      <c r="K167" s="475">
        <v>180602</v>
      </c>
      <c r="L167" s="475">
        <v>172239</v>
      </c>
      <c r="M167" s="475">
        <v>161330</v>
      </c>
      <c r="N167" s="476">
        <v>154309</v>
      </c>
      <c r="O167" s="475">
        <v>146392</v>
      </c>
      <c r="P167" s="476">
        <v>136536</v>
      </c>
      <c r="R167" s="464"/>
      <c r="S167" s="464"/>
      <c r="T167" s="478"/>
    </row>
    <row r="168" spans="1:20" x14ac:dyDescent="0.35">
      <c r="A168" s="474" t="s">
        <v>158</v>
      </c>
      <c r="B168" s="474"/>
      <c r="C168" s="460"/>
      <c r="D168" s="460"/>
      <c r="E168" s="460"/>
      <c r="F168" s="476">
        <v>261590</v>
      </c>
      <c r="G168" s="460"/>
      <c r="H168" s="460"/>
      <c r="I168" s="460"/>
      <c r="J168" s="476">
        <v>770089</v>
      </c>
      <c r="K168" s="475">
        <v>775093</v>
      </c>
      <c r="L168" s="475">
        <v>774562</v>
      </c>
      <c r="M168" s="475">
        <v>772669</v>
      </c>
      <c r="N168" s="476">
        <v>793892</v>
      </c>
      <c r="O168" s="475">
        <v>802675</v>
      </c>
      <c r="P168" s="476">
        <v>796556</v>
      </c>
      <c r="R168" s="464"/>
      <c r="S168" s="464"/>
      <c r="T168" s="478"/>
    </row>
    <row r="169" spans="1:20" x14ac:dyDescent="0.35">
      <c r="A169" s="474" t="s">
        <v>474</v>
      </c>
      <c r="B169" s="474"/>
      <c r="C169" s="460"/>
      <c r="D169" s="460"/>
      <c r="E169" s="460"/>
      <c r="F169" s="476">
        <v>13224</v>
      </c>
      <c r="G169" s="460"/>
      <c r="H169" s="460"/>
      <c r="I169" s="460"/>
      <c r="J169" s="476">
        <v>87702</v>
      </c>
      <c r="K169" s="475">
        <v>85877</v>
      </c>
      <c r="L169" s="475">
        <v>83828</v>
      </c>
      <c r="M169" s="475">
        <v>81691</v>
      </c>
      <c r="N169" s="476">
        <v>79585</v>
      </c>
      <c r="O169" s="475">
        <v>77641</v>
      </c>
      <c r="P169" s="476">
        <v>75235</v>
      </c>
      <c r="R169" s="464"/>
      <c r="S169" s="464"/>
      <c r="T169" s="478"/>
    </row>
    <row r="170" spans="1:20" x14ac:dyDescent="0.35">
      <c r="A170" s="474" t="s">
        <v>475</v>
      </c>
      <c r="B170" s="474"/>
      <c r="C170" s="460"/>
      <c r="D170" s="460"/>
      <c r="E170" s="460"/>
      <c r="F170" s="476">
        <v>52569</v>
      </c>
      <c r="G170" s="460"/>
      <c r="H170" s="460"/>
      <c r="I170" s="460"/>
      <c r="J170" s="476">
        <v>435661</v>
      </c>
      <c r="K170" s="475">
        <v>423117</v>
      </c>
      <c r="L170" s="475">
        <v>406415</v>
      </c>
      <c r="M170" s="475">
        <v>389216</v>
      </c>
      <c r="N170" s="476">
        <v>384766</v>
      </c>
      <c r="O170" s="475">
        <v>375428</v>
      </c>
      <c r="P170" s="476">
        <v>357697</v>
      </c>
      <c r="R170" s="464"/>
      <c r="S170" s="464"/>
      <c r="T170" s="478"/>
    </row>
    <row r="171" spans="1:20" x14ac:dyDescent="0.35">
      <c r="A171" s="474" t="s">
        <v>476</v>
      </c>
      <c r="B171" s="474"/>
      <c r="C171" s="460"/>
      <c r="D171" s="460"/>
      <c r="E171" s="460"/>
      <c r="F171" s="476">
        <v>985</v>
      </c>
      <c r="G171" s="460"/>
      <c r="H171" s="460"/>
      <c r="I171" s="460"/>
      <c r="J171" s="476">
        <v>807</v>
      </c>
      <c r="K171" s="475">
        <v>953</v>
      </c>
      <c r="L171" s="475">
        <v>1592</v>
      </c>
      <c r="M171" s="475">
        <v>1442</v>
      </c>
      <c r="N171" s="476">
        <v>1413</v>
      </c>
      <c r="O171" s="475">
        <v>1604</v>
      </c>
      <c r="P171" s="476">
        <v>1719</v>
      </c>
      <c r="R171" s="464"/>
      <c r="S171" s="464"/>
      <c r="T171" s="478"/>
    </row>
    <row r="172" spans="1:20" x14ac:dyDescent="0.35">
      <c r="A172" s="474" t="s">
        <v>477</v>
      </c>
      <c r="B172" s="474"/>
      <c r="C172" s="460"/>
      <c r="D172" s="460"/>
      <c r="E172" s="460"/>
      <c r="F172" s="476">
        <v>1368</v>
      </c>
      <c r="G172" s="460"/>
      <c r="H172" s="460"/>
      <c r="I172" s="460"/>
      <c r="J172" s="476">
        <v>1372</v>
      </c>
      <c r="K172" s="475">
        <v>2370</v>
      </c>
      <c r="L172" s="475">
        <v>2397</v>
      </c>
      <c r="M172" s="475">
        <v>6841</v>
      </c>
      <c r="N172" s="476">
        <v>6456</v>
      </c>
      <c r="O172" s="475">
        <v>21921</v>
      </c>
      <c r="P172" s="476">
        <v>20698</v>
      </c>
      <c r="R172" s="464"/>
      <c r="S172" s="464"/>
      <c r="T172" s="478"/>
    </row>
    <row r="173" spans="1:20" x14ac:dyDescent="0.35">
      <c r="A173" s="484" t="s">
        <v>478</v>
      </c>
      <c r="B173" s="484"/>
      <c r="C173" s="484"/>
      <c r="D173" s="484"/>
      <c r="E173" s="484"/>
      <c r="F173" s="488">
        <f>SUM(F167:F172,F165)</f>
        <v>544733</v>
      </c>
      <c r="G173" s="519">
        <v>1820939</v>
      </c>
      <c r="H173" s="484"/>
      <c r="I173" s="484"/>
      <c r="J173" s="488">
        <f t="shared" ref="J173:P173" si="8">SUM(J167:J172,J165)</f>
        <v>1763691</v>
      </c>
      <c r="K173" s="487">
        <f t="shared" si="8"/>
        <v>1703049</v>
      </c>
      <c r="L173" s="487">
        <f t="shared" si="8"/>
        <v>1842179</v>
      </c>
      <c r="M173" s="487">
        <f t="shared" si="8"/>
        <v>1856693</v>
      </c>
      <c r="N173" s="488">
        <f t="shared" si="8"/>
        <v>1886581</v>
      </c>
      <c r="O173" s="487">
        <f t="shared" si="8"/>
        <v>1903331</v>
      </c>
      <c r="P173" s="488">
        <f t="shared" si="8"/>
        <v>1911177</v>
      </c>
      <c r="R173" s="518"/>
      <c r="S173" s="518"/>
      <c r="T173" s="495"/>
    </row>
    <row r="174" spans="1:20" x14ac:dyDescent="0.35">
      <c r="F174" s="520"/>
      <c r="J174" s="477"/>
      <c r="N174" s="477"/>
      <c r="P174" s="477"/>
      <c r="R174" s="478"/>
      <c r="S174" s="478"/>
      <c r="T174" s="478"/>
    </row>
    <row r="175" spans="1:20" x14ac:dyDescent="0.35">
      <c r="A175" s="470" t="s">
        <v>479</v>
      </c>
      <c r="B175" s="470"/>
      <c r="F175" s="520"/>
      <c r="J175" s="477"/>
      <c r="N175" s="477"/>
      <c r="P175" s="477"/>
      <c r="R175" s="478"/>
      <c r="S175" s="478"/>
      <c r="T175" s="478"/>
    </row>
    <row r="176" spans="1:20" x14ac:dyDescent="0.35">
      <c r="A176" s="505" t="s">
        <v>1543</v>
      </c>
      <c r="B176" s="505"/>
      <c r="F176" s="520"/>
      <c r="J176" s="477"/>
      <c r="N176" s="477"/>
      <c r="P176" s="477"/>
      <c r="R176" s="478"/>
      <c r="S176" s="478"/>
      <c r="T176" s="478"/>
    </row>
    <row r="177" spans="1:20" x14ac:dyDescent="0.35">
      <c r="A177" s="521" t="s">
        <v>1544</v>
      </c>
      <c r="B177" s="521"/>
      <c r="F177" s="520"/>
      <c r="J177" s="477"/>
      <c r="N177" s="477"/>
      <c r="P177" s="477"/>
      <c r="R177" s="478"/>
      <c r="S177" s="478"/>
      <c r="T177" s="478"/>
    </row>
    <row r="178" spans="1:20" x14ac:dyDescent="0.35">
      <c r="A178" s="522" t="s">
        <v>480</v>
      </c>
      <c r="B178" s="522"/>
      <c r="F178" s="476">
        <v>36342</v>
      </c>
      <c r="J178" s="476">
        <v>44117</v>
      </c>
      <c r="K178" s="475">
        <v>36008</v>
      </c>
      <c r="L178" s="475">
        <v>47314</v>
      </c>
      <c r="M178" s="475">
        <v>46078</v>
      </c>
      <c r="N178" s="476">
        <v>53977</v>
      </c>
      <c r="O178" s="475">
        <v>51450</v>
      </c>
      <c r="P178" s="476">
        <v>49534</v>
      </c>
      <c r="R178" s="478"/>
      <c r="S178" s="478"/>
      <c r="T178" s="478"/>
    </row>
    <row r="179" spans="1:20" x14ac:dyDescent="0.35">
      <c r="A179" s="522" t="s">
        <v>481</v>
      </c>
      <c r="B179" s="522"/>
      <c r="F179" s="476">
        <v>16758</v>
      </c>
      <c r="J179" s="476">
        <v>18939</v>
      </c>
      <c r="K179" s="475">
        <v>23334</v>
      </c>
      <c r="L179" s="475">
        <v>22244</v>
      </c>
      <c r="M179" s="475">
        <v>26173</v>
      </c>
      <c r="N179" s="476">
        <v>30054</v>
      </c>
      <c r="O179" s="475">
        <v>20709</v>
      </c>
      <c r="P179" s="476">
        <v>24750</v>
      </c>
      <c r="R179" s="478"/>
      <c r="S179" s="478"/>
      <c r="T179" s="478"/>
    </row>
    <row r="180" spans="1:20" x14ac:dyDescent="0.35">
      <c r="A180" s="522" t="s">
        <v>482</v>
      </c>
      <c r="B180" s="522"/>
      <c r="F180" s="476">
        <v>22764</v>
      </c>
      <c r="J180" s="476">
        <v>25200</v>
      </c>
      <c r="K180" s="475">
        <v>25893</v>
      </c>
      <c r="L180" s="475">
        <v>27346</v>
      </c>
      <c r="M180" s="475">
        <v>23966</v>
      </c>
      <c r="N180" s="476">
        <v>21829</v>
      </c>
      <c r="O180" s="475">
        <v>17985</v>
      </c>
      <c r="P180" s="476">
        <v>17779</v>
      </c>
      <c r="R180" s="478"/>
      <c r="S180" s="478"/>
      <c r="T180" s="478"/>
    </row>
    <row r="181" spans="1:20" x14ac:dyDescent="0.35">
      <c r="A181" s="522" t="s">
        <v>485</v>
      </c>
      <c r="B181" s="522"/>
      <c r="F181" s="520"/>
      <c r="J181" s="461"/>
      <c r="K181" s="460"/>
      <c r="N181" s="477"/>
      <c r="O181" s="475">
        <v>6253</v>
      </c>
      <c r="P181" s="476">
        <v>6070</v>
      </c>
      <c r="R181" s="478"/>
      <c r="S181" s="464"/>
      <c r="T181" s="478"/>
    </row>
    <row r="182" spans="1:20" x14ac:dyDescent="0.35">
      <c r="A182" s="522" t="s">
        <v>483</v>
      </c>
      <c r="B182" s="522"/>
      <c r="F182" s="520"/>
      <c r="J182" s="476">
        <v>6700</v>
      </c>
      <c r="K182" s="475">
        <v>7705</v>
      </c>
      <c r="N182" s="477"/>
      <c r="O182" s="471"/>
      <c r="P182" s="472"/>
      <c r="R182" s="478"/>
      <c r="S182" s="478"/>
      <c r="T182" s="478"/>
    </row>
    <row r="183" spans="1:20" x14ac:dyDescent="0.35">
      <c r="A183" s="522" t="s">
        <v>1545</v>
      </c>
      <c r="B183" s="522"/>
      <c r="F183" s="476">
        <v>1878</v>
      </c>
      <c r="J183" s="476">
        <v>2451</v>
      </c>
      <c r="K183" s="475">
        <v>2742</v>
      </c>
      <c r="L183" s="475">
        <v>1922</v>
      </c>
      <c r="M183" s="475">
        <v>2578</v>
      </c>
      <c r="N183" s="476">
        <v>2573</v>
      </c>
      <c r="O183" s="475">
        <v>3300</v>
      </c>
      <c r="P183" s="476">
        <v>2608</v>
      </c>
      <c r="R183" s="478"/>
      <c r="S183" s="478"/>
      <c r="T183" s="478"/>
    </row>
    <row r="184" spans="1:20" x14ac:dyDescent="0.35">
      <c r="A184" s="522" t="s">
        <v>486</v>
      </c>
      <c r="B184" s="522"/>
      <c r="F184" s="476">
        <v>691</v>
      </c>
      <c r="J184" s="476">
        <v>431</v>
      </c>
      <c r="K184" s="475">
        <v>462</v>
      </c>
      <c r="L184" s="475">
        <v>540</v>
      </c>
      <c r="M184" s="475">
        <v>504</v>
      </c>
      <c r="N184" s="476">
        <v>873</v>
      </c>
      <c r="O184" s="475">
        <v>725</v>
      </c>
      <c r="P184" s="476">
        <v>697</v>
      </c>
      <c r="R184" s="478"/>
      <c r="S184" s="478"/>
      <c r="T184" s="478"/>
    </row>
    <row r="185" spans="1:20" x14ac:dyDescent="0.35">
      <c r="A185" s="523" t="s">
        <v>487</v>
      </c>
      <c r="B185" s="523"/>
      <c r="C185" s="493"/>
      <c r="D185" s="493"/>
      <c r="E185" s="493"/>
      <c r="F185" s="488">
        <f>SUM(F178:F184)</f>
        <v>78433</v>
      </c>
      <c r="G185" s="493"/>
      <c r="H185" s="493"/>
      <c r="I185" s="493"/>
      <c r="J185" s="488">
        <f t="shared" ref="J185:P185" si="9">SUM(J178:J184)</f>
        <v>97838</v>
      </c>
      <c r="K185" s="487">
        <f t="shared" si="9"/>
        <v>96144</v>
      </c>
      <c r="L185" s="487">
        <f t="shared" si="9"/>
        <v>99366</v>
      </c>
      <c r="M185" s="487">
        <f t="shared" si="9"/>
        <v>99299</v>
      </c>
      <c r="N185" s="488">
        <f t="shared" si="9"/>
        <v>109306</v>
      </c>
      <c r="O185" s="487">
        <f t="shared" si="9"/>
        <v>100422</v>
      </c>
      <c r="P185" s="488">
        <f t="shared" si="9"/>
        <v>101438</v>
      </c>
      <c r="R185" s="495"/>
      <c r="S185" s="495"/>
      <c r="T185" s="495"/>
    </row>
    <row r="186" spans="1:20" x14ac:dyDescent="0.35">
      <c r="A186" s="474"/>
      <c r="B186" s="474"/>
      <c r="F186" s="520"/>
      <c r="J186" s="477"/>
      <c r="L186" s="471"/>
      <c r="M186" s="471"/>
      <c r="N186" s="472"/>
      <c r="O186" s="471"/>
      <c r="P186" s="477"/>
      <c r="R186" s="478"/>
      <c r="S186" s="478"/>
      <c r="T186" s="478"/>
    </row>
    <row r="187" spans="1:20" x14ac:dyDescent="0.35">
      <c r="A187" s="506" t="s">
        <v>488</v>
      </c>
      <c r="B187" s="506"/>
      <c r="F187" s="476">
        <v>540839</v>
      </c>
      <c r="J187" s="476">
        <v>778605</v>
      </c>
      <c r="K187" s="475">
        <v>741908</v>
      </c>
      <c r="L187" s="475">
        <v>553968</v>
      </c>
      <c r="M187" s="475">
        <v>554405</v>
      </c>
      <c r="N187" s="476">
        <v>554845</v>
      </c>
      <c r="O187" s="475">
        <v>555290</v>
      </c>
      <c r="P187" s="476">
        <v>555739</v>
      </c>
      <c r="R187" s="478"/>
      <c r="S187" s="478"/>
      <c r="T187" s="478"/>
    </row>
    <row r="188" spans="1:20" x14ac:dyDescent="0.35">
      <c r="A188" s="506" t="s">
        <v>489</v>
      </c>
      <c r="B188" s="506"/>
      <c r="F188" s="476">
        <v>12820</v>
      </c>
      <c r="J188" s="476">
        <v>86770</v>
      </c>
      <c r="K188" s="475">
        <v>80969</v>
      </c>
      <c r="L188" s="475">
        <v>81744</v>
      </c>
      <c r="M188" s="475">
        <v>82163</v>
      </c>
      <c r="N188" s="476">
        <v>84653</v>
      </c>
      <c r="O188" s="475">
        <v>86490</v>
      </c>
      <c r="P188" s="476">
        <v>87757</v>
      </c>
      <c r="R188" s="478"/>
      <c r="S188" s="478"/>
      <c r="T188" s="478"/>
    </row>
    <row r="189" spans="1:20" x14ac:dyDescent="0.35">
      <c r="A189" s="506" t="s">
        <v>1546</v>
      </c>
      <c r="B189" s="506"/>
      <c r="F189" s="520"/>
      <c r="J189" s="477"/>
      <c r="N189" s="477"/>
      <c r="O189" s="475">
        <v>11583</v>
      </c>
      <c r="P189" s="476">
        <v>11514</v>
      </c>
      <c r="R189" s="478"/>
      <c r="S189" s="478"/>
      <c r="T189" s="478"/>
    </row>
    <row r="190" spans="1:20" x14ac:dyDescent="0.35">
      <c r="A190" s="506" t="s">
        <v>530</v>
      </c>
      <c r="B190" s="506"/>
      <c r="F190" s="476">
        <v>6858</v>
      </c>
      <c r="J190" s="476">
        <v>6208</v>
      </c>
      <c r="K190" s="475">
        <v>5825</v>
      </c>
      <c r="L190" s="475">
        <v>7306</v>
      </c>
      <c r="M190" s="475">
        <v>6607</v>
      </c>
      <c r="N190" s="476">
        <v>5539</v>
      </c>
      <c r="O190" s="475">
        <v>3406</v>
      </c>
      <c r="P190" s="476">
        <v>3104</v>
      </c>
      <c r="R190" s="478"/>
      <c r="S190" s="478"/>
      <c r="T190" s="478"/>
    </row>
    <row r="191" spans="1:20" x14ac:dyDescent="0.35">
      <c r="A191" s="507" t="s">
        <v>491</v>
      </c>
      <c r="B191" s="507"/>
      <c r="C191" s="493"/>
      <c r="D191" s="493"/>
      <c r="E191" s="493"/>
      <c r="F191" s="488">
        <f>SUM(F187:F190,F185)</f>
        <v>638950</v>
      </c>
      <c r="G191" s="519">
        <v>1011982</v>
      </c>
      <c r="H191" s="493"/>
      <c r="I191" s="493"/>
      <c r="J191" s="488">
        <f t="shared" ref="J191:P191" si="10">SUM(J187:J190,J185)</f>
        <v>969421</v>
      </c>
      <c r="K191" s="487">
        <f t="shared" si="10"/>
        <v>924846</v>
      </c>
      <c r="L191" s="487">
        <f t="shared" si="10"/>
        <v>742384</v>
      </c>
      <c r="M191" s="487">
        <f t="shared" si="10"/>
        <v>742474</v>
      </c>
      <c r="N191" s="488">
        <f t="shared" si="10"/>
        <v>754343</v>
      </c>
      <c r="O191" s="487">
        <f t="shared" si="10"/>
        <v>757191</v>
      </c>
      <c r="P191" s="488">
        <f t="shared" si="10"/>
        <v>759552</v>
      </c>
      <c r="R191" s="495"/>
      <c r="S191" s="495"/>
      <c r="T191" s="495"/>
    </row>
    <row r="192" spans="1:20" x14ac:dyDescent="0.35">
      <c r="F192" s="520"/>
      <c r="J192" s="477"/>
      <c r="L192" s="471"/>
      <c r="M192" s="471"/>
      <c r="N192" s="472"/>
      <c r="O192" s="471"/>
      <c r="P192" s="477"/>
      <c r="R192" s="478"/>
      <c r="S192" s="478"/>
      <c r="T192" s="478"/>
    </row>
    <row r="193" spans="1:20" x14ac:dyDescent="0.35">
      <c r="A193" s="505" t="s">
        <v>74</v>
      </c>
      <c r="B193" s="505"/>
      <c r="F193" s="520"/>
      <c r="J193" s="477"/>
      <c r="L193" s="471"/>
      <c r="M193" s="471"/>
      <c r="N193" s="472"/>
      <c r="O193" s="471"/>
      <c r="P193" s="477"/>
      <c r="R193" s="478"/>
      <c r="S193" s="478"/>
      <c r="T193" s="478"/>
    </row>
    <row r="194" spans="1:20" x14ac:dyDescent="0.35">
      <c r="A194" s="506" t="s">
        <v>1547</v>
      </c>
      <c r="B194" s="506"/>
      <c r="F194" s="477"/>
      <c r="J194" s="476">
        <v>130</v>
      </c>
      <c r="K194" s="475">
        <v>130</v>
      </c>
      <c r="L194" s="475">
        <v>153</v>
      </c>
      <c r="M194" s="475">
        <v>153</v>
      </c>
      <c r="N194" s="476">
        <v>153</v>
      </c>
      <c r="O194" s="475">
        <v>153</v>
      </c>
      <c r="P194" s="476">
        <v>153</v>
      </c>
      <c r="R194" s="478"/>
      <c r="S194" s="478"/>
      <c r="T194" s="478"/>
    </row>
    <row r="195" spans="1:20" x14ac:dyDescent="0.35">
      <c r="A195" s="506" t="s">
        <v>1548</v>
      </c>
      <c r="B195" s="506"/>
      <c r="F195" s="477"/>
      <c r="J195" s="476">
        <v>839148</v>
      </c>
      <c r="K195" s="475">
        <v>839710</v>
      </c>
      <c r="L195" s="475">
        <v>1158804</v>
      </c>
      <c r="M195" s="475">
        <v>1160002</v>
      </c>
      <c r="N195" s="476">
        <v>1165163</v>
      </c>
      <c r="O195" s="475">
        <v>1167569</v>
      </c>
      <c r="P195" s="476">
        <v>1170137</v>
      </c>
      <c r="R195" s="478"/>
      <c r="S195" s="478"/>
      <c r="T195" s="478"/>
    </row>
    <row r="196" spans="1:20" x14ac:dyDescent="0.35">
      <c r="A196" s="522" t="s">
        <v>1549</v>
      </c>
      <c r="B196" s="522"/>
      <c r="F196" s="476">
        <v>106090</v>
      </c>
      <c r="J196" s="472"/>
      <c r="K196" s="471"/>
      <c r="L196" s="471"/>
      <c r="M196" s="471"/>
      <c r="N196" s="472"/>
      <c r="O196" s="471"/>
      <c r="P196" s="477"/>
      <c r="R196" s="478"/>
      <c r="S196" s="478"/>
      <c r="T196" s="478"/>
    </row>
    <row r="197" spans="1:20" x14ac:dyDescent="0.35">
      <c r="A197" s="522" t="s">
        <v>1550</v>
      </c>
      <c r="B197" s="522"/>
      <c r="F197" s="476">
        <v>2254</v>
      </c>
      <c r="J197" s="472"/>
      <c r="K197" s="471"/>
      <c r="L197" s="471"/>
      <c r="M197" s="471"/>
      <c r="N197" s="472"/>
      <c r="O197" s="471"/>
      <c r="P197" s="477"/>
      <c r="R197" s="478"/>
      <c r="S197" s="478"/>
      <c r="T197" s="478"/>
    </row>
    <row r="198" spans="1:20" x14ac:dyDescent="0.35">
      <c r="A198" s="522" t="s">
        <v>1551</v>
      </c>
      <c r="B198" s="522"/>
      <c r="F198" s="476">
        <v>11524</v>
      </c>
      <c r="J198" s="472"/>
      <c r="K198" s="471"/>
      <c r="L198" s="471"/>
      <c r="M198" s="471"/>
      <c r="N198" s="472"/>
      <c r="O198" s="471"/>
      <c r="P198" s="477"/>
      <c r="R198" s="478"/>
      <c r="S198" s="478"/>
      <c r="T198" s="478"/>
    </row>
    <row r="199" spans="1:20" x14ac:dyDescent="0.35">
      <c r="A199" s="506" t="s">
        <v>839</v>
      </c>
      <c r="B199" s="506"/>
      <c r="F199" s="476">
        <v>-201233</v>
      </c>
      <c r="J199" s="476">
        <v>-47492</v>
      </c>
      <c r="K199" s="475">
        <v>-66881</v>
      </c>
      <c r="L199" s="475">
        <v>-63111</v>
      </c>
      <c r="M199" s="475">
        <v>-46826</v>
      </c>
      <c r="N199" s="476">
        <v>-31441</v>
      </c>
      <c r="O199" s="475">
        <v>-18428</v>
      </c>
      <c r="P199" s="476">
        <v>-4192</v>
      </c>
      <c r="R199" s="478"/>
      <c r="S199" s="478"/>
      <c r="T199" s="478"/>
    </row>
    <row r="200" spans="1:20" x14ac:dyDescent="0.35">
      <c r="A200" s="506" t="s">
        <v>1552</v>
      </c>
      <c r="B200" s="506"/>
      <c r="F200" s="476">
        <v>-12852</v>
      </c>
      <c r="J200" s="476">
        <v>2484</v>
      </c>
      <c r="K200" s="475">
        <v>5244</v>
      </c>
      <c r="L200" s="475">
        <v>3949</v>
      </c>
      <c r="M200" s="475">
        <v>890</v>
      </c>
      <c r="N200" s="476">
        <v>-1637</v>
      </c>
      <c r="O200" s="475">
        <v>-3154</v>
      </c>
      <c r="P200" s="476">
        <v>-14473</v>
      </c>
      <c r="R200" s="478"/>
      <c r="S200" s="478"/>
      <c r="T200" s="478"/>
    </row>
    <row r="201" spans="1:20" x14ac:dyDescent="0.35">
      <c r="A201" s="507" t="s">
        <v>492</v>
      </c>
      <c r="B201" s="507"/>
      <c r="C201" s="493"/>
      <c r="D201" s="493"/>
      <c r="E201" s="493"/>
      <c r="F201" s="488">
        <f>SUM(F194:F200)</f>
        <v>-94217</v>
      </c>
      <c r="G201" s="519">
        <v>808957</v>
      </c>
      <c r="H201" s="493"/>
      <c r="I201" s="493"/>
      <c r="J201" s="488">
        <f t="shared" ref="J201:P201" si="11">SUM(J194:J200)</f>
        <v>794270</v>
      </c>
      <c r="K201" s="487">
        <f t="shared" si="11"/>
        <v>778203</v>
      </c>
      <c r="L201" s="487">
        <f t="shared" si="11"/>
        <v>1099795</v>
      </c>
      <c r="M201" s="487">
        <f t="shared" si="11"/>
        <v>1114219</v>
      </c>
      <c r="N201" s="488">
        <f t="shared" si="11"/>
        <v>1132238</v>
      </c>
      <c r="O201" s="487">
        <f t="shared" si="11"/>
        <v>1146140</v>
      </c>
      <c r="P201" s="488">
        <f t="shared" si="11"/>
        <v>1151625</v>
      </c>
      <c r="R201" s="495"/>
      <c r="S201" s="495"/>
      <c r="T201" s="495"/>
    </row>
    <row r="202" spans="1:20" x14ac:dyDescent="0.35">
      <c r="A202" s="470"/>
      <c r="B202" s="470"/>
      <c r="C202" s="524"/>
      <c r="D202" s="524"/>
      <c r="E202" s="524"/>
      <c r="F202" s="525"/>
      <c r="G202" s="524"/>
      <c r="H202" s="524"/>
      <c r="I202" s="524"/>
      <c r="J202" s="525"/>
      <c r="K202" s="524"/>
      <c r="L202" s="526"/>
      <c r="M202" s="526"/>
      <c r="N202" s="527"/>
      <c r="O202" s="526"/>
      <c r="P202" s="525"/>
      <c r="R202" s="528"/>
      <c r="S202" s="528"/>
      <c r="T202" s="528"/>
    </row>
    <row r="203" spans="1:20" ht="15" thickBot="1" x14ac:dyDescent="0.4">
      <c r="A203" s="498" t="s">
        <v>493</v>
      </c>
      <c r="B203" s="498"/>
      <c r="C203" s="515"/>
      <c r="D203" s="515"/>
      <c r="E203" s="515"/>
      <c r="F203" s="500">
        <f>SUM(F201,F191)</f>
        <v>544733</v>
      </c>
      <c r="G203" s="515"/>
      <c r="H203" s="515"/>
      <c r="I203" s="515"/>
      <c r="J203" s="500">
        <f t="shared" ref="J203:P203" si="12">SUM(J201,J191)</f>
        <v>1763691</v>
      </c>
      <c r="K203" s="499">
        <f t="shared" si="12"/>
        <v>1703049</v>
      </c>
      <c r="L203" s="499">
        <f t="shared" si="12"/>
        <v>1842179</v>
      </c>
      <c r="M203" s="499">
        <f t="shared" si="12"/>
        <v>1856693</v>
      </c>
      <c r="N203" s="500">
        <f t="shared" si="12"/>
        <v>1886581</v>
      </c>
      <c r="O203" s="499">
        <f t="shared" si="12"/>
        <v>1903331</v>
      </c>
      <c r="P203" s="500">
        <f t="shared" si="12"/>
        <v>1911177</v>
      </c>
      <c r="R203" s="517"/>
      <c r="S203" s="517"/>
      <c r="T203" s="517"/>
    </row>
    <row r="204" spans="1:20" x14ac:dyDescent="0.35">
      <c r="F204" s="477"/>
      <c r="J204" s="477"/>
      <c r="N204" s="477"/>
      <c r="P204" s="477"/>
      <c r="R204" s="478"/>
      <c r="S204" s="478"/>
      <c r="T204" s="478"/>
    </row>
    <row r="205" spans="1:20" x14ac:dyDescent="0.35">
      <c r="A205" s="479" t="s">
        <v>1553</v>
      </c>
      <c r="B205" s="479"/>
      <c r="C205" s="467"/>
      <c r="D205" s="467"/>
      <c r="E205" s="467"/>
      <c r="F205" s="468"/>
      <c r="G205" s="467"/>
      <c r="H205" s="467"/>
      <c r="I205" s="467"/>
      <c r="J205" s="468"/>
      <c r="K205" s="467"/>
      <c r="L205" s="467"/>
      <c r="M205" s="467"/>
      <c r="N205" s="468"/>
      <c r="O205" s="467"/>
      <c r="P205" s="468"/>
      <c r="R205" s="469"/>
      <c r="S205" s="469"/>
      <c r="T205" s="469"/>
    </row>
    <row r="206" spans="1:20" x14ac:dyDescent="0.35">
      <c r="A206" s="470" t="s">
        <v>518</v>
      </c>
      <c r="B206" s="470"/>
      <c r="F206" s="477"/>
      <c r="J206" s="477"/>
      <c r="N206" s="477"/>
      <c r="P206" s="477"/>
      <c r="R206" s="478"/>
      <c r="S206" s="478"/>
      <c r="T206" s="478"/>
    </row>
    <row r="207" spans="1:20" x14ac:dyDescent="0.35">
      <c r="A207" s="474" t="s">
        <v>352</v>
      </c>
      <c r="B207" s="474"/>
      <c r="F207" s="476">
        <v>34250</v>
      </c>
      <c r="G207" s="475">
        <v>-21814</v>
      </c>
      <c r="H207" s="475">
        <v>-16366</v>
      </c>
      <c r="I207" s="475">
        <v>-3452</v>
      </c>
      <c r="J207" s="476">
        <v>-5860</v>
      </c>
      <c r="K207" s="475">
        <v>-19389</v>
      </c>
      <c r="L207" s="475">
        <v>3770</v>
      </c>
      <c r="M207" s="475">
        <v>16285</v>
      </c>
      <c r="N207" s="476">
        <v>15385</v>
      </c>
      <c r="O207" s="475">
        <v>13013</v>
      </c>
      <c r="P207" s="476">
        <v>14236</v>
      </c>
      <c r="R207" s="483">
        <v>34250</v>
      </c>
      <c r="S207" s="483">
        <v>-47492</v>
      </c>
      <c r="T207" s="483">
        <v>16051</v>
      </c>
    </row>
    <row r="208" spans="1:20" x14ac:dyDescent="0.35">
      <c r="A208" s="505" t="s">
        <v>1554</v>
      </c>
      <c r="B208" s="505"/>
      <c r="F208" s="477"/>
      <c r="J208" s="477"/>
      <c r="K208" s="471"/>
      <c r="L208" s="471"/>
      <c r="M208" s="471"/>
      <c r="N208" s="472"/>
      <c r="O208" s="471"/>
      <c r="P208" s="477"/>
      <c r="R208" s="478"/>
      <c r="S208" s="478"/>
      <c r="T208" s="478"/>
    </row>
    <row r="209" spans="1:20" x14ac:dyDescent="0.35">
      <c r="A209" s="506" t="s">
        <v>343</v>
      </c>
      <c r="B209" s="506"/>
      <c r="F209" s="476">
        <v>25953</v>
      </c>
      <c r="G209" s="475">
        <v>24487</v>
      </c>
      <c r="H209" s="475">
        <v>36572</v>
      </c>
      <c r="I209" s="475">
        <v>36756</v>
      </c>
      <c r="J209" s="476">
        <v>37242</v>
      </c>
      <c r="K209" s="475">
        <v>34763</v>
      </c>
      <c r="L209" s="475">
        <v>35918</v>
      </c>
      <c r="M209" s="475">
        <v>35812</v>
      </c>
      <c r="N209" s="476">
        <v>36322</v>
      </c>
      <c r="O209" s="475">
        <v>34034</v>
      </c>
      <c r="P209" s="476">
        <v>34407</v>
      </c>
      <c r="R209" s="483">
        <v>25953</v>
      </c>
      <c r="S209" s="483">
        <v>135057</v>
      </c>
      <c r="T209" s="483">
        <v>142815</v>
      </c>
    </row>
    <row r="210" spans="1:20" x14ac:dyDescent="0.35">
      <c r="A210" s="506" t="s">
        <v>348</v>
      </c>
      <c r="B210" s="506"/>
      <c r="F210" s="477"/>
      <c r="J210" s="477"/>
      <c r="K210" s="475">
        <v>13938</v>
      </c>
      <c r="L210" s="475">
        <v>0</v>
      </c>
      <c r="M210" s="475">
        <v>0</v>
      </c>
      <c r="N210" s="476">
        <v>0</v>
      </c>
      <c r="P210" s="477"/>
      <c r="R210" s="478"/>
      <c r="S210" s="478"/>
      <c r="T210" s="483">
        <v>13938</v>
      </c>
    </row>
    <row r="211" spans="1:20" x14ac:dyDescent="0.35">
      <c r="A211" s="506" t="s">
        <v>519</v>
      </c>
      <c r="B211" s="506"/>
      <c r="F211" s="476">
        <v>3174</v>
      </c>
      <c r="G211" s="475">
        <v>578</v>
      </c>
      <c r="H211" s="475">
        <v>878</v>
      </c>
      <c r="I211" s="475">
        <v>888</v>
      </c>
      <c r="J211" s="476">
        <v>898</v>
      </c>
      <c r="K211" s="475">
        <v>704</v>
      </c>
      <c r="L211" s="475">
        <v>4355</v>
      </c>
      <c r="M211" s="475">
        <v>437</v>
      </c>
      <c r="N211" s="476">
        <v>440</v>
      </c>
      <c r="O211" s="475">
        <v>445</v>
      </c>
      <c r="P211" s="476">
        <v>449</v>
      </c>
      <c r="R211" s="483">
        <v>3174</v>
      </c>
      <c r="S211" s="483">
        <v>3242</v>
      </c>
      <c r="T211" s="483">
        <v>5936</v>
      </c>
    </row>
    <row r="212" spans="1:20" x14ac:dyDescent="0.35">
      <c r="A212" s="506" t="s">
        <v>520</v>
      </c>
      <c r="B212" s="506"/>
      <c r="F212" s="476">
        <v>88</v>
      </c>
      <c r="G212" s="475">
        <v>248</v>
      </c>
      <c r="H212" s="475">
        <v>-192</v>
      </c>
      <c r="I212" s="475">
        <v>110</v>
      </c>
      <c r="J212" s="476">
        <v>184</v>
      </c>
      <c r="K212" s="475">
        <v>-173</v>
      </c>
      <c r="L212" s="475">
        <v>-194</v>
      </c>
      <c r="M212" s="475">
        <v>204</v>
      </c>
      <c r="N212" s="476">
        <v>146</v>
      </c>
      <c r="O212" s="475">
        <v>-184</v>
      </c>
      <c r="P212" s="476">
        <v>64</v>
      </c>
      <c r="R212" s="483">
        <v>88</v>
      </c>
      <c r="S212" s="483">
        <v>350</v>
      </c>
      <c r="T212" s="483">
        <v>-17</v>
      </c>
    </row>
    <row r="213" spans="1:20" x14ac:dyDescent="0.35">
      <c r="A213" s="506" t="s">
        <v>521</v>
      </c>
      <c r="B213" s="506"/>
      <c r="F213" s="476">
        <v>2085</v>
      </c>
      <c r="G213" s="475">
        <v>-5053</v>
      </c>
      <c r="H213" s="475">
        <v>-4178</v>
      </c>
      <c r="I213" s="475">
        <v>-3151</v>
      </c>
      <c r="J213" s="476">
        <v>-4365</v>
      </c>
      <c r="K213" s="475">
        <v>-6304</v>
      </c>
      <c r="L213" s="475">
        <v>329</v>
      </c>
      <c r="M213" s="475">
        <v>1510</v>
      </c>
      <c r="N213" s="476">
        <v>1541</v>
      </c>
      <c r="O213" s="475">
        <v>1698</v>
      </c>
      <c r="P213" s="476">
        <v>2075</v>
      </c>
      <c r="R213" s="483">
        <v>2085</v>
      </c>
      <c r="S213" s="483">
        <v>-16747</v>
      </c>
      <c r="T213" s="483">
        <v>-2924</v>
      </c>
    </row>
    <row r="214" spans="1:20" x14ac:dyDescent="0.35">
      <c r="A214" s="506" t="s">
        <v>361</v>
      </c>
      <c r="B214" s="506"/>
      <c r="F214" s="476">
        <v>1216</v>
      </c>
      <c r="G214" s="475">
        <v>281</v>
      </c>
      <c r="H214" s="475">
        <v>520</v>
      </c>
      <c r="I214" s="475">
        <v>530</v>
      </c>
      <c r="J214" s="476">
        <v>545</v>
      </c>
      <c r="K214" s="475">
        <v>562</v>
      </c>
      <c r="L214" s="475">
        <v>2664</v>
      </c>
      <c r="M214" s="475">
        <v>1343</v>
      </c>
      <c r="N214" s="476">
        <v>4961</v>
      </c>
      <c r="O214" s="475">
        <v>1859</v>
      </c>
      <c r="P214" s="476">
        <v>1943</v>
      </c>
      <c r="R214" s="483">
        <v>1216</v>
      </c>
      <c r="S214" s="483">
        <v>1876</v>
      </c>
      <c r="T214" s="483">
        <v>9530</v>
      </c>
    </row>
    <row r="215" spans="1:20" x14ac:dyDescent="0.35">
      <c r="A215" s="506" t="s">
        <v>522</v>
      </c>
      <c r="B215" s="506"/>
      <c r="F215" s="476">
        <v>-110</v>
      </c>
      <c r="G215" s="475">
        <v>-374</v>
      </c>
      <c r="H215" s="475">
        <v>89</v>
      </c>
      <c r="I215" s="475">
        <v>247</v>
      </c>
      <c r="J215" s="476">
        <v>7</v>
      </c>
      <c r="K215" s="475">
        <v>-96</v>
      </c>
      <c r="L215" s="475">
        <v>-223</v>
      </c>
      <c r="M215" s="475">
        <v>38</v>
      </c>
      <c r="N215" s="476">
        <v>-294</v>
      </c>
      <c r="O215" s="475">
        <v>-411</v>
      </c>
      <c r="P215" s="476">
        <v>448</v>
      </c>
      <c r="R215" s="483">
        <v>-110</v>
      </c>
      <c r="S215" s="483">
        <v>-31</v>
      </c>
      <c r="T215" s="483">
        <v>-575</v>
      </c>
    </row>
    <row r="216" spans="1:20" x14ac:dyDescent="0.35">
      <c r="A216" s="506" t="s">
        <v>523</v>
      </c>
      <c r="B216" s="506"/>
      <c r="F216" s="476">
        <v>-23</v>
      </c>
      <c r="G216" s="475">
        <v>1</v>
      </c>
      <c r="H216" s="475">
        <v>62</v>
      </c>
      <c r="I216" s="475">
        <v>-22</v>
      </c>
      <c r="J216" s="476">
        <v>-22</v>
      </c>
      <c r="K216" s="475">
        <v>1</v>
      </c>
      <c r="L216" s="475">
        <v>80</v>
      </c>
      <c r="M216" s="475">
        <v>-1</v>
      </c>
      <c r="N216" s="476">
        <v>-4</v>
      </c>
      <c r="O216" s="475">
        <v>163</v>
      </c>
      <c r="P216" s="476">
        <v>-1</v>
      </c>
      <c r="R216" s="483">
        <v>-23</v>
      </c>
      <c r="S216" s="483">
        <v>19</v>
      </c>
      <c r="T216" s="483">
        <v>76</v>
      </c>
    </row>
    <row r="217" spans="1:20" x14ac:dyDescent="0.35">
      <c r="A217" s="506" t="s">
        <v>524</v>
      </c>
      <c r="B217" s="506"/>
      <c r="F217" s="477"/>
      <c r="G217" s="475">
        <v>3977</v>
      </c>
      <c r="H217" s="475">
        <v>1179</v>
      </c>
      <c r="I217" s="475">
        <v>-744</v>
      </c>
      <c r="J217" s="476">
        <v>-796</v>
      </c>
      <c r="K217" s="475">
        <v>-1032</v>
      </c>
      <c r="L217" s="475">
        <v>79</v>
      </c>
      <c r="M217" s="475">
        <v>108</v>
      </c>
      <c r="N217" s="476">
        <v>-1439</v>
      </c>
      <c r="O217" s="475">
        <v>-5260</v>
      </c>
      <c r="P217" s="476">
        <v>-2118</v>
      </c>
      <c r="R217" s="478"/>
      <c r="S217" s="483">
        <v>3616</v>
      </c>
      <c r="T217" s="483">
        <v>-2284</v>
      </c>
    </row>
    <row r="218" spans="1:20" x14ac:dyDescent="0.35">
      <c r="A218" s="505" t="s">
        <v>1555</v>
      </c>
      <c r="B218" s="505"/>
      <c r="F218" s="477"/>
      <c r="J218" s="477"/>
      <c r="K218" s="471"/>
      <c r="L218" s="471"/>
      <c r="M218" s="471"/>
      <c r="N218" s="472"/>
      <c r="O218" s="471"/>
      <c r="P218" s="477"/>
      <c r="R218" s="478"/>
      <c r="S218" s="478"/>
      <c r="T218" s="478"/>
    </row>
    <row r="219" spans="1:20" x14ac:dyDescent="0.35">
      <c r="A219" s="506" t="s">
        <v>525</v>
      </c>
      <c r="B219" s="506"/>
      <c r="F219" s="476">
        <v>-10964</v>
      </c>
      <c r="G219" s="475">
        <v>-4782</v>
      </c>
      <c r="H219" s="475">
        <v>11840</v>
      </c>
      <c r="I219" s="475">
        <v>-27721</v>
      </c>
      <c r="J219" s="476">
        <v>-7878</v>
      </c>
      <c r="K219" s="475">
        <v>6963</v>
      </c>
      <c r="L219" s="475">
        <v>-23858</v>
      </c>
      <c r="M219" s="475">
        <v>-18920</v>
      </c>
      <c r="N219" s="476">
        <v>-5027</v>
      </c>
      <c r="O219" s="475">
        <v>8862</v>
      </c>
      <c r="P219" s="476">
        <v>2337</v>
      </c>
      <c r="R219" s="483">
        <v>-10964</v>
      </c>
      <c r="S219" s="483">
        <v>-28541</v>
      </c>
      <c r="T219" s="483">
        <v>-40842</v>
      </c>
    </row>
    <row r="220" spans="1:20" x14ac:dyDescent="0.35">
      <c r="A220" s="506" t="s">
        <v>526</v>
      </c>
      <c r="B220" s="506"/>
      <c r="F220" s="476">
        <v>9901</v>
      </c>
      <c r="G220" s="475">
        <v>2983</v>
      </c>
      <c r="H220" s="475">
        <v>1485</v>
      </c>
      <c r="I220" s="475">
        <v>-4325</v>
      </c>
      <c r="J220" s="476">
        <v>3418</v>
      </c>
      <c r="K220" s="475">
        <v>-6161</v>
      </c>
      <c r="L220" s="475">
        <v>3507</v>
      </c>
      <c r="M220" s="475">
        <v>-5965</v>
      </c>
      <c r="N220" s="476">
        <v>3189</v>
      </c>
      <c r="O220" s="475">
        <v>1151</v>
      </c>
      <c r="P220" s="476">
        <v>-1113</v>
      </c>
      <c r="R220" s="483">
        <v>9901</v>
      </c>
      <c r="S220" s="483">
        <v>3561</v>
      </c>
      <c r="T220" s="483">
        <v>-5430</v>
      </c>
    </row>
    <row r="221" spans="1:20" x14ac:dyDescent="0.35">
      <c r="A221" s="506" t="s">
        <v>477</v>
      </c>
      <c r="B221" s="506"/>
      <c r="F221" s="476">
        <v>424</v>
      </c>
      <c r="G221" s="475">
        <v>-293</v>
      </c>
      <c r="H221" s="475">
        <v>6</v>
      </c>
      <c r="I221" s="475">
        <v>-38</v>
      </c>
      <c r="J221" s="476">
        <v>380</v>
      </c>
      <c r="K221" s="475">
        <v>0</v>
      </c>
      <c r="L221" s="475">
        <v>-1032</v>
      </c>
      <c r="M221" s="475">
        <v>-4445</v>
      </c>
      <c r="N221" s="476">
        <v>405</v>
      </c>
      <c r="P221" s="477"/>
      <c r="R221" s="483">
        <v>424</v>
      </c>
      <c r="S221" s="483">
        <v>55</v>
      </c>
      <c r="T221" s="483">
        <v>-5072</v>
      </c>
    </row>
    <row r="222" spans="1:20" x14ac:dyDescent="0.35">
      <c r="A222" s="506" t="s">
        <v>480</v>
      </c>
      <c r="B222" s="506"/>
      <c r="F222" s="476">
        <v>12760</v>
      </c>
      <c r="G222" s="475">
        <v>5434</v>
      </c>
      <c r="H222" s="475">
        <v>-1783</v>
      </c>
      <c r="I222" s="475">
        <v>8025</v>
      </c>
      <c r="J222" s="476">
        <v>4854</v>
      </c>
      <c r="K222" s="475">
        <v>-8087</v>
      </c>
      <c r="L222" s="475">
        <v>10677</v>
      </c>
      <c r="M222" s="475">
        <v>-1043</v>
      </c>
      <c r="N222" s="476">
        <v>5969</v>
      </c>
      <c r="O222" s="475">
        <v>-1329</v>
      </c>
      <c r="P222" s="476">
        <v>-1419</v>
      </c>
      <c r="R222" s="483">
        <v>12760</v>
      </c>
      <c r="S222" s="483">
        <v>16530</v>
      </c>
      <c r="T222" s="483">
        <v>7516</v>
      </c>
    </row>
    <row r="223" spans="1:20" x14ac:dyDescent="0.35">
      <c r="A223" s="506" t="s">
        <v>527</v>
      </c>
      <c r="B223" s="506"/>
      <c r="F223" s="476">
        <v>-7335</v>
      </c>
      <c r="G223" s="475">
        <v>248</v>
      </c>
      <c r="H223" s="475">
        <v>-11585</v>
      </c>
      <c r="I223" s="475">
        <v>5481</v>
      </c>
      <c r="J223" s="476">
        <v>6736</v>
      </c>
      <c r="K223" s="475">
        <v>5579</v>
      </c>
      <c r="L223" s="475">
        <v>-2799</v>
      </c>
      <c r="M223" s="475">
        <v>3118</v>
      </c>
      <c r="N223" s="476">
        <v>2643</v>
      </c>
      <c r="O223" s="475">
        <v>-13215</v>
      </c>
      <c r="P223" s="476">
        <v>4435</v>
      </c>
      <c r="R223" s="483">
        <v>-7335</v>
      </c>
      <c r="S223" s="483">
        <v>880</v>
      </c>
      <c r="T223" s="483">
        <v>8541</v>
      </c>
    </row>
    <row r="224" spans="1:20" x14ac:dyDescent="0.35">
      <c r="A224" s="506" t="s">
        <v>528</v>
      </c>
      <c r="B224" s="506"/>
      <c r="F224" s="476">
        <v>-13</v>
      </c>
      <c r="G224" s="475">
        <v>296</v>
      </c>
      <c r="H224" s="475">
        <v>-312</v>
      </c>
      <c r="I224" s="475">
        <v>-64</v>
      </c>
      <c r="J224" s="476">
        <v>-191</v>
      </c>
      <c r="K224" s="475">
        <v>31</v>
      </c>
      <c r="L224" s="475">
        <v>75</v>
      </c>
      <c r="M224" s="475">
        <v>-33</v>
      </c>
      <c r="N224" s="476">
        <v>123</v>
      </c>
      <c r="O224" s="475">
        <v>-254</v>
      </c>
      <c r="P224" s="476">
        <v>-18</v>
      </c>
      <c r="R224" s="483">
        <v>-13</v>
      </c>
      <c r="S224" s="483">
        <v>-271</v>
      </c>
      <c r="T224" s="483">
        <v>196</v>
      </c>
    </row>
    <row r="225" spans="1:20" x14ac:dyDescent="0.35">
      <c r="A225" s="506" t="s">
        <v>1556</v>
      </c>
      <c r="B225" s="506"/>
      <c r="F225" s="477"/>
      <c r="J225" s="477"/>
      <c r="N225" s="477"/>
      <c r="O225" s="475">
        <v>-405</v>
      </c>
      <c r="P225" s="476">
        <v>-191</v>
      </c>
      <c r="R225" s="478"/>
      <c r="S225" s="478"/>
      <c r="T225" s="478"/>
    </row>
    <row r="226" spans="1:20" x14ac:dyDescent="0.35">
      <c r="A226" s="506" t="s">
        <v>530</v>
      </c>
      <c r="B226" s="506"/>
      <c r="F226" s="476">
        <v>836</v>
      </c>
      <c r="G226" s="475">
        <v>-3207</v>
      </c>
      <c r="H226" s="475">
        <v>2818</v>
      </c>
      <c r="I226" s="475">
        <v>1546</v>
      </c>
      <c r="J226" s="476">
        <v>-331</v>
      </c>
      <c r="K226" s="475">
        <v>363</v>
      </c>
      <c r="L226" s="475">
        <v>182</v>
      </c>
      <c r="M226" s="475">
        <v>-36</v>
      </c>
      <c r="N226" s="476">
        <v>-596</v>
      </c>
      <c r="O226" s="475">
        <v>-26</v>
      </c>
      <c r="P226" s="476">
        <v>583</v>
      </c>
      <c r="R226" s="483">
        <v>836</v>
      </c>
      <c r="S226" s="483">
        <v>826</v>
      </c>
      <c r="T226" s="483">
        <v>-87</v>
      </c>
    </row>
    <row r="227" spans="1:20" x14ac:dyDescent="0.35">
      <c r="A227" s="506" t="s">
        <v>1557</v>
      </c>
      <c r="B227" s="506"/>
      <c r="F227" s="476">
        <v>-659</v>
      </c>
      <c r="G227" s="475">
        <v>-1312</v>
      </c>
      <c r="H227" s="475">
        <v>678</v>
      </c>
      <c r="I227" s="475">
        <v>151</v>
      </c>
      <c r="J227" s="476">
        <v>404</v>
      </c>
      <c r="K227" s="475">
        <v>2051</v>
      </c>
      <c r="L227" s="475">
        <v>-1145</v>
      </c>
      <c r="M227" s="475">
        <v>-650</v>
      </c>
      <c r="N227" s="476">
        <v>1053</v>
      </c>
      <c r="O227" s="475">
        <v>1442</v>
      </c>
      <c r="P227" s="476">
        <v>-1288</v>
      </c>
      <c r="R227" s="483">
        <v>-659</v>
      </c>
      <c r="S227" s="483">
        <v>-79</v>
      </c>
      <c r="T227" s="483">
        <v>1309</v>
      </c>
    </row>
    <row r="228" spans="1:20" x14ac:dyDescent="0.35">
      <c r="A228" s="484" t="s">
        <v>531</v>
      </c>
      <c r="B228" s="484"/>
      <c r="C228" s="496">
        <v>16776</v>
      </c>
      <c r="D228" s="496">
        <v>17144</v>
      </c>
      <c r="E228" s="496">
        <v>13055</v>
      </c>
      <c r="F228" s="497">
        <v>24608</v>
      </c>
      <c r="G228" s="487">
        <f t="shared" ref="G228:P228" si="13">SUM(G219:G227,G209:G217,G207)</f>
        <v>1698</v>
      </c>
      <c r="H228" s="487">
        <f t="shared" si="13"/>
        <v>21711</v>
      </c>
      <c r="I228" s="487">
        <f t="shared" si="13"/>
        <v>14217</v>
      </c>
      <c r="J228" s="488">
        <f t="shared" si="13"/>
        <v>35225</v>
      </c>
      <c r="K228" s="487">
        <f t="shared" si="13"/>
        <v>23713</v>
      </c>
      <c r="L228" s="487">
        <f t="shared" si="13"/>
        <v>32385</v>
      </c>
      <c r="M228" s="487">
        <f t="shared" si="13"/>
        <v>27762</v>
      </c>
      <c r="N228" s="488">
        <f t="shared" si="13"/>
        <v>64817</v>
      </c>
      <c r="O228" s="487">
        <f t="shared" si="13"/>
        <v>41583</v>
      </c>
      <c r="P228" s="488">
        <f t="shared" si="13"/>
        <v>54829</v>
      </c>
      <c r="R228" s="492">
        <f>SUM(R219:R227,R209:R217,R207)</f>
        <v>71583</v>
      </c>
      <c r="S228" s="492">
        <f>SUM(S219:S227,S209:S217,S207)</f>
        <v>72851</v>
      </c>
      <c r="T228" s="492">
        <f>SUM(T219:T227,T209:T217,T207)</f>
        <v>148677</v>
      </c>
    </row>
    <row r="229" spans="1:20" x14ac:dyDescent="0.35">
      <c r="F229" s="477"/>
      <c r="J229" s="477"/>
      <c r="N229" s="477"/>
      <c r="P229" s="477"/>
      <c r="R229" s="478"/>
      <c r="S229" s="478"/>
      <c r="T229" s="478"/>
    </row>
    <row r="230" spans="1:20" x14ac:dyDescent="0.35">
      <c r="A230" s="470" t="s">
        <v>532</v>
      </c>
      <c r="B230" s="470"/>
      <c r="F230" s="477"/>
      <c r="J230" s="477"/>
      <c r="N230" s="477"/>
      <c r="P230" s="477"/>
      <c r="R230" s="478"/>
      <c r="S230" s="478"/>
      <c r="T230" s="478"/>
    </row>
    <row r="231" spans="1:20" x14ac:dyDescent="0.35">
      <c r="A231" s="474" t="s">
        <v>533</v>
      </c>
      <c r="B231" s="474"/>
      <c r="F231" s="476">
        <v>-1120</v>
      </c>
      <c r="G231" s="475">
        <v>706</v>
      </c>
      <c r="H231" s="475">
        <v>0</v>
      </c>
      <c r="I231" s="475">
        <v>2</v>
      </c>
      <c r="J231" s="476">
        <v>-451</v>
      </c>
      <c r="K231" s="475">
        <v>440</v>
      </c>
      <c r="L231" s="475">
        <v>-532</v>
      </c>
      <c r="M231" s="475">
        <v>397</v>
      </c>
      <c r="N231" s="476">
        <v>0</v>
      </c>
      <c r="P231" s="477"/>
      <c r="R231" s="483">
        <v>-1120</v>
      </c>
      <c r="S231" s="483">
        <v>257</v>
      </c>
      <c r="T231" s="483">
        <v>305</v>
      </c>
    </row>
    <row r="232" spans="1:20" x14ac:dyDescent="0.35">
      <c r="A232" s="474" t="s">
        <v>534</v>
      </c>
      <c r="B232" s="474"/>
      <c r="F232" s="477"/>
      <c r="J232" s="477"/>
      <c r="K232" s="475">
        <v>-7588</v>
      </c>
      <c r="L232" s="475">
        <v>0</v>
      </c>
      <c r="M232" s="475">
        <v>0</v>
      </c>
      <c r="N232" s="476">
        <v>-41346</v>
      </c>
      <c r="O232" s="475">
        <v>-18920</v>
      </c>
      <c r="P232" s="476">
        <v>-124</v>
      </c>
      <c r="R232" s="478"/>
      <c r="S232" s="478"/>
      <c r="T232" s="483">
        <v>-48934</v>
      </c>
    </row>
    <row r="233" spans="1:20" x14ac:dyDescent="0.35">
      <c r="A233" s="474" t="s">
        <v>535</v>
      </c>
      <c r="B233" s="474"/>
      <c r="C233" s="529"/>
      <c r="D233" s="529"/>
      <c r="E233" s="529"/>
      <c r="F233" s="476">
        <v>34</v>
      </c>
      <c r="G233" s="529"/>
      <c r="H233" s="529"/>
      <c r="I233" s="529"/>
      <c r="J233" s="520"/>
      <c r="K233" s="471"/>
      <c r="L233" s="529"/>
      <c r="M233" s="529"/>
      <c r="N233" s="472"/>
      <c r="O233" s="475">
        <v>0</v>
      </c>
      <c r="P233" s="476">
        <v>82</v>
      </c>
      <c r="R233" s="483">
        <v>34</v>
      </c>
      <c r="S233" s="478"/>
      <c r="T233" s="478"/>
    </row>
    <row r="234" spans="1:20" x14ac:dyDescent="0.35">
      <c r="A234" s="474" t="s">
        <v>536</v>
      </c>
      <c r="B234" s="474"/>
      <c r="F234" s="476">
        <v>-6578</v>
      </c>
      <c r="G234" s="475">
        <v>-826</v>
      </c>
      <c r="H234" s="475">
        <v>-1898</v>
      </c>
      <c r="I234" s="475">
        <v>-1359</v>
      </c>
      <c r="J234" s="476">
        <v>-1221</v>
      </c>
      <c r="K234" s="475">
        <v>-1443</v>
      </c>
      <c r="L234" s="475">
        <v>-2398</v>
      </c>
      <c r="M234" s="475">
        <v>-1902</v>
      </c>
      <c r="N234" s="476">
        <v>-1570</v>
      </c>
      <c r="O234" s="475">
        <v>-2909</v>
      </c>
      <c r="P234" s="476">
        <v>-2256</v>
      </c>
      <c r="R234" s="483">
        <v>-6578</v>
      </c>
      <c r="S234" s="483">
        <v>-5304</v>
      </c>
      <c r="T234" s="483">
        <v>-7313</v>
      </c>
    </row>
    <row r="235" spans="1:20" x14ac:dyDescent="0.35">
      <c r="A235" s="474" t="s">
        <v>537</v>
      </c>
      <c r="B235" s="474"/>
      <c r="F235" s="476">
        <v>-10125</v>
      </c>
      <c r="G235" s="475">
        <v>-1741</v>
      </c>
      <c r="H235" s="475">
        <v>-2724</v>
      </c>
      <c r="I235" s="475">
        <v>-2958</v>
      </c>
      <c r="J235" s="476">
        <v>-3099</v>
      </c>
      <c r="K235" s="475">
        <v>-3536</v>
      </c>
      <c r="L235" s="475">
        <v>-3946</v>
      </c>
      <c r="M235" s="475">
        <v>-4484</v>
      </c>
      <c r="N235" s="476">
        <v>-4519</v>
      </c>
      <c r="O235" s="475">
        <v>-4643</v>
      </c>
      <c r="P235" s="476">
        <v>-5593</v>
      </c>
      <c r="R235" s="483">
        <v>-10125</v>
      </c>
      <c r="S235" s="483">
        <v>-10522</v>
      </c>
      <c r="T235" s="483">
        <v>-16485</v>
      </c>
    </row>
    <row r="236" spans="1:20" x14ac:dyDescent="0.35">
      <c r="A236" s="484" t="s">
        <v>538</v>
      </c>
      <c r="B236" s="484"/>
      <c r="C236" s="493"/>
      <c r="D236" s="493"/>
      <c r="E236" s="493"/>
      <c r="F236" s="488">
        <f t="shared" ref="F236:P236" si="14">SUM(F231:F235)</f>
        <v>-17789</v>
      </c>
      <c r="G236" s="487">
        <f t="shared" si="14"/>
        <v>-1861</v>
      </c>
      <c r="H236" s="487">
        <f t="shared" si="14"/>
        <v>-4622</v>
      </c>
      <c r="I236" s="487">
        <f t="shared" si="14"/>
        <v>-4315</v>
      </c>
      <c r="J236" s="488">
        <f t="shared" si="14"/>
        <v>-4771</v>
      </c>
      <c r="K236" s="487">
        <f t="shared" si="14"/>
        <v>-12127</v>
      </c>
      <c r="L236" s="487">
        <f t="shared" si="14"/>
        <v>-6876</v>
      </c>
      <c r="M236" s="487">
        <f t="shared" si="14"/>
        <v>-5989</v>
      </c>
      <c r="N236" s="488">
        <f t="shared" si="14"/>
        <v>-47435</v>
      </c>
      <c r="O236" s="487">
        <f t="shared" si="14"/>
        <v>-26472</v>
      </c>
      <c r="P236" s="488">
        <f t="shared" si="14"/>
        <v>-7891</v>
      </c>
      <c r="R236" s="492">
        <f>SUM(R231:R235)</f>
        <v>-17789</v>
      </c>
      <c r="S236" s="492">
        <f>SUM(S231:S235)</f>
        <v>-15569</v>
      </c>
      <c r="T236" s="492">
        <f>SUM(T231:T235)</f>
        <v>-72427</v>
      </c>
    </row>
    <row r="237" spans="1:20" x14ac:dyDescent="0.35">
      <c r="F237" s="477"/>
      <c r="J237" s="477"/>
      <c r="N237" s="477"/>
      <c r="P237" s="477"/>
      <c r="R237" s="478"/>
      <c r="S237" s="478"/>
      <c r="T237" s="478"/>
    </row>
    <row r="238" spans="1:20" x14ac:dyDescent="0.35">
      <c r="A238" s="470" t="s">
        <v>539</v>
      </c>
      <c r="B238" s="470"/>
      <c r="C238" s="471"/>
      <c r="D238" s="471"/>
      <c r="E238" s="471"/>
      <c r="F238" s="472"/>
      <c r="G238" s="471"/>
      <c r="H238" s="471"/>
      <c r="I238" s="471"/>
      <c r="J238" s="472"/>
      <c r="K238" s="471"/>
      <c r="L238" s="471"/>
      <c r="M238" s="471"/>
      <c r="N238" s="472"/>
      <c r="O238" s="471"/>
      <c r="P238" s="472"/>
      <c r="R238" s="473"/>
      <c r="S238" s="473"/>
      <c r="T238" s="473"/>
    </row>
    <row r="239" spans="1:20" x14ac:dyDescent="0.35">
      <c r="A239" s="474" t="s">
        <v>540</v>
      </c>
      <c r="B239" s="474"/>
      <c r="C239" s="471"/>
      <c r="D239" s="471"/>
      <c r="E239" s="471"/>
      <c r="F239" s="472"/>
      <c r="G239" s="471"/>
      <c r="H239" s="471"/>
      <c r="I239" s="471"/>
      <c r="J239" s="472"/>
      <c r="K239" s="475">
        <v>0</v>
      </c>
      <c r="L239" s="475">
        <v>320559</v>
      </c>
      <c r="M239" s="475">
        <v>0</v>
      </c>
      <c r="N239" s="476">
        <v>0</v>
      </c>
      <c r="O239" s="471"/>
      <c r="P239" s="472"/>
      <c r="R239" s="473"/>
      <c r="S239" s="473"/>
      <c r="T239" s="483">
        <v>320559</v>
      </c>
    </row>
    <row r="240" spans="1:20" x14ac:dyDescent="0.35">
      <c r="A240" s="474" t="s">
        <v>541</v>
      </c>
      <c r="B240" s="474"/>
      <c r="C240" s="471"/>
      <c r="D240" s="471"/>
      <c r="E240" s="471"/>
      <c r="F240" s="472"/>
      <c r="G240" s="471"/>
      <c r="H240" s="471"/>
      <c r="I240" s="471"/>
      <c r="J240" s="472"/>
      <c r="K240" s="475">
        <v>0</v>
      </c>
      <c r="L240" s="475">
        <v>-1028</v>
      </c>
      <c r="M240" s="475">
        <v>-2820</v>
      </c>
      <c r="N240" s="476">
        <v>-186</v>
      </c>
      <c r="O240" s="471"/>
      <c r="P240" s="472"/>
      <c r="R240" s="473"/>
      <c r="S240" s="473"/>
      <c r="T240" s="483">
        <v>-4034</v>
      </c>
    </row>
    <row r="241" spans="1:20" x14ac:dyDescent="0.35">
      <c r="A241" s="474" t="s">
        <v>542</v>
      </c>
      <c r="B241" s="474"/>
      <c r="C241" s="471"/>
      <c r="D241" s="471"/>
      <c r="E241" s="471"/>
      <c r="F241" s="472"/>
      <c r="G241" s="471"/>
      <c r="H241" s="471"/>
      <c r="I241" s="471"/>
      <c r="J241" s="472"/>
      <c r="K241" s="475">
        <v>0</v>
      </c>
      <c r="L241" s="475">
        <v>-313</v>
      </c>
      <c r="M241" s="475">
        <v>0</v>
      </c>
      <c r="N241" s="476">
        <v>0</v>
      </c>
      <c r="O241" s="471"/>
      <c r="P241" s="472"/>
      <c r="R241" s="473"/>
      <c r="S241" s="473"/>
      <c r="T241" s="483">
        <v>-313</v>
      </c>
    </row>
    <row r="242" spans="1:20" x14ac:dyDescent="0.35">
      <c r="A242" s="474" t="s">
        <v>543</v>
      </c>
      <c r="B242" s="474"/>
      <c r="C242" s="471"/>
      <c r="D242" s="471"/>
      <c r="E242" s="471"/>
      <c r="F242" s="472"/>
      <c r="G242" s="475">
        <v>59423</v>
      </c>
      <c r="H242" s="475">
        <v>0</v>
      </c>
      <c r="I242" s="475">
        <v>0</v>
      </c>
      <c r="J242" s="476">
        <v>0</v>
      </c>
      <c r="K242" s="475">
        <v>0</v>
      </c>
      <c r="L242" s="475">
        <v>241</v>
      </c>
      <c r="M242" s="475">
        <v>0</v>
      </c>
      <c r="N242" s="476">
        <v>0</v>
      </c>
      <c r="O242" s="471"/>
      <c r="P242" s="472"/>
      <c r="R242" s="473"/>
      <c r="S242" s="483">
        <v>59423</v>
      </c>
      <c r="T242" s="483">
        <v>241</v>
      </c>
    </row>
    <row r="243" spans="1:20" x14ac:dyDescent="0.35">
      <c r="A243" s="474" t="s">
        <v>544</v>
      </c>
      <c r="B243" s="474"/>
      <c r="C243" s="471"/>
      <c r="D243" s="471"/>
      <c r="E243" s="471"/>
      <c r="F243" s="472"/>
      <c r="G243" s="471"/>
      <c r="H243" s="471"/>
      <c r="I243" s="471"/>
      <c r="J243" s="472"/>
      <c r="K243" s="475">
        <v>261413</v>
      </c>
      <c r="L243" s="475">
        <v>0</v>
      </c>
      <c r="M243" s="475">
        <v>0</v>
      </c>
      <c r="N243" s="476">
        <v>0</v>
      </c>
      <c r="O243" s="471"/>
      <c r="P243" s="472"/>
      <c r="R243" s="473"/>
      <c r="S243" s="473"/>
      <c r="T243" s="483">
        <v>261413</v>
      </c>
    </row>
    <row r="244" spans="1:20" x14ac:dyDescent="0.35">
      <c r="A244" s="474" t="s">
        <v>545</v>
      </c>
      <c r="B244" s="474"/>
      <c r="C244" s="471"/>
      <c r="D244" s="471"/>
      <c r="E244" s="471"/>
      <c r="F244" s="472"/>
      <c r="G244" s="471"/>
      <c r="H244" s="475">
        <v>0</v>
      </c>
      <c r="I244" s="475">
        <v>-1675</v>
      </c>
      <c r="J244" s="476">
        <v>-1675</v>
      </c>
      <c r="K244" s="475">
        <v>-163875</v>
      </c>
      <c r="L244" s="475">
        <v>-200000</v>
      </c>
      <c r="M244" s="475">
        <v>0</v>
      </c>
      <c r="N244" s="476">
        <v>0</v>
      </c>
      <c r="O244" s="471"/>
      <c r="P244" s="472"/>
      <c r="R244" s="473"/>
      <c r="S244" s="483">
        <v>-3350</v>
      </c>
      <c r="T244" s="483">
        <v>-363875</v>
      </c>
    </row>
    <row r="245" spans="1:20" x14ac:dyDescent="0.35">
      <c r="A245" s="474" t="s">
        <v>546</v>
      </c>
      <c r="B245" s="474"/>
      <c r="C245" s="471"/>
      <c r="D245" s="471"/>
      <c r="E245" s="471"/>
      <c r="F245" s="472"/>
      <c r="G245" s="471"/>
      <c r="H245" s="471"/>
      <c r="I245" s="471"/>
      <c r="J245" s="472"/>
      <c r="K245" s="475">
        <v>-146584</v>
      </c>
      <c r="L245" s="475">
        <v>0</v>
      </c>
      <c r="M245" s="475">
        <v>0</v>
      </c>
      <c r="N245" s="476">
        <v>0</v>
      </c>
      <c r="O245" s="471"/>
      <c r="P245" s="472"/>
      <c r="R245" s="473"/>
      <c r="S245" s="473"/>
      <c r="T245" s="483">
        <v>-146584</v>
      </c>
    </row>
    <row r="246" spans="1:20" x14ac:dyDescent="0.35">
      <c r="A246" s="474" t="s">
        <v>547</v>
      </c>
      <c r="B246" s="474"/>
      <c r="F246" s="472"/>
      <c r="G246" s="475">
        <v>-782</v>
      </c>
      <c r="H246" s="475">
        <v>-3305</v>
      </c>
      <c r="I246" s="475">
        <v>0</v>
      </c>
      <c r="J246" s="476">
        <v>-1747</v>
      </c>
      <c r="K246" s="471"/>
      <c r="L246" s="471"/>
      <c r="M246" s="471"/>
      <c r="N246" s="472"/>
      <c r="O246" s="471"/>
      <c r="P246" s="472"/>
      <c r="R246" s="473"/>
      <c r="S246" s="483">
        <v>-5834</v>
      </c>
      <c r="T246" s="473"/>
    </row>
    <row r="247" spans="1:20" x14ac:dyDescent="0.35">
      <c r="A247" s="474" t="s">
        <v>548</v>
      </c>
      <c r="B247" s="474"/>
      <c r="F247" s="472"/>
      <c r="G247" s="475">
        <v>25000</v>
      </c>
      <c r="H247" s="475">
        <v>0</v>
      </c>
      <c r="I247" s="475">
        <v>0</v>
      </c>
      <c r="J247" s="476">
        <v>0</v>
      </c>
      <c r="K247" s="471"/>
      <c r="L247" s="471"/>
      <c r="M247" s="471"/>
      <c r="N247" s="472"/>
      <c r="O247" s="471"/>
      <c r="P247" s="472"/>
      <c r="R247" s="473"/>
      <c r="S247" s="483">
        <v>25000</v>
      </c>
      <c r="T247" s="473"/>
    </row>
    <row r="248" spans="1:20" x14ac:dyDescent="0.35">
      <c r="A248" s="474" t="s">
        <v>549</v>
      </c>
      <c r="B248" s="474"/>
      <c r="F248" s="472"/>
      <c r="G248" s="475">
        <v>0</v>
      </c>
      <c r="H248" s="475">
        <v>-25000</v>
      </c>
      <c r="I248" s="475">
        <v>0</v>
      </c>
      <c r="J248" s="476">
        <v>0</v>
      </c>
      <c r="K248" s="471"/>
      <c r="L248" s="471"/>
      <c r="M248" s="471"/>
      <c r="N248" s="472"/>
      <c r="O248" s="471"/>
      <c r="P248" s="472"/>
      <c r="R248" s="473"/>
      <c r="S248" s="483">
        <v>-25000</v>
      </c>
      <c r="T248" s="473"/>
    </row>
    <row r="249" spans="1:20" x14ac:dyDescent="0.35">
      <c r="A249" s="474" t="s">
        <v>550</v>
      </c>
      <c r="B249" s="474"/>
      <c r="C249" s="471"/>
      <c r="D249" s="471"/>
      <c r="E249" s="471"/>
      <c r="F249" s="472"/>
      <c r="G249" s="475">
        <v>-1397</v>
      </c>
      <c r="H249" s="475">
        <v>0</v>
      </c>
      <c r="I249" s="475">
        <v>0</v>
      </c>
      <c r="J249" s="476">
        <v>0</v>
      </c>
      <c r="K249" s="475">
        <v>-1257</v>
      </c>
      <c r="L249" s="475">
        <v>0</v>
      </c>
      <c r="M249" s="475">
        <v>0</v>
      </c>
      <c r="N249" s="476">
        <v>0</v>
      </c>
      <c r="O249" s="471"/>
      <c r="P249" s="472"/>
      <c r="R249" s="473"/>
      <c r="S249" s="483">
        <v>-1397</v>
      </c>
      <c r="T249" s="483">
        <v>-1257</v>
      </c>
    </row>
    <row r="250" spans="1:20" x14ac:dyDescent="0.35">
      <c r="A250" s="474" t="s">
        <v>552</v>
      </c>
      <c r="B250" s="474"/>
      <c r="C250" s="471"/>
      <c r="D250" s="471"/>
      <c r="E250" s="471"/>
      <c r="F250" s="476">
        <v>-3176</v>
      </c>
      <c r="G250" s="475">
        <v>-487</v>
      </c>
      <c r="H250" s="475">
        <v>-490</v>
      </c>
      <c r="I250" s="475">
        <v>-931</v>
      </c>
      <c r="J250" s="476">
        <v>-530</v>
      </c>
      <c r="K250" s="475">
        <v>-459</v>
      </c>
      <c r="L250" s="475">
        <v>-466</v>
      </c>
      <c r="M250" s="475">
        <v>-361</v>
      </c>
      <c r="N250" s="476">
        <v>-366</v>
      </c>
      <c r="O250" s="475">
        <v>-238</v>
      </c>
      <c r="P250" s="476">
        <v>-221</v>
      </c>
      <c r="R250" s="483">
        <v>-3176</v>
      </c>
      <c r="S250" s="483">
        <v>-2438</v>
      </c>
      <c r="T250" s="483">
        <v>-1652</v>
      </c>
    </row>
    <row r="251" spans="1:20" x14ac:dyDescent="0.35">
      <c r="A251" s="474" t="s">
        <v>553</v>
      </c>
      <c r="B251" s="474"/>
      <c r="C251" s="471"/>
      <c r="D251" s="471"/>
      <c r="E251" s="471"/>
      <c r="F251" s="472"/>
      <c r="G251" s="471"/>
      <c r="H251" s="471"/>
      <c r="I251" s="471"/>
      <c r="J251" s="472"/>
      <c r="K251" s="475">
        <v>0</v>
      </c>
      <c r="L251" s="475">
        <v>-362</v>
      </c>
      <c r="M251" s="475">
        <v>-171</v>
      </c>
      <c r="N251" s="476">
        <v>-172</v>
      </c>
      <c r="O251" s="475">
        <v>-349</v>
      </c>
      <c r="P251" s="476">
        <v>-177</v>
      </c>
      <c r="R251" s="473"/>
      <c r="S251" s="473"/>
      <c r="T251" s="483">
        <v>-705</v>
      </c>
    </row>
    <row r="252" spans="1:20" x14ac:dyDescent="0.35">
      <c r="A252" s="474" t="s">
        <v>555</v>
      </c>
      <c r="B252" s="474"/>
      <c r="C252" s="471"/>
      <c r="D252" s="471"/>
      <c r="E252" s="471"/>
      <c r="F252" s="472"/>
      <c r="G252" s="471"/>
      <c r="H252" s="471"/>
      <c r="I252" s="471"/>
      <c r="J252" s="472"/>
      <c r="K252" s="471"/>
      <c r="L252" s="475">
        <v>0</v>
      </c>
      <c r="M252" s="475">
        <v>187</v>
      </c>
      <c r="N252" s="476">
        <v>200</v>
      </c>
      <c r="O252" s="475">
        <v>547</v>
      </c>
      <c r="P252" s="476">
        <v>723</v>
      </c>
      <c r="R252" s="473"/>
      <c r="S252" s="473"/>
      <c r="T252" s="483">
        <v>387</v>
      </c>
    </row>
    <row r="253" spans="1:20" x14ac:dyDescent="0.35">
      <c r="A253" s="474" t="s">
        <v>556</v>
      </c>
      <c r="B253" s="474"/>
      <c r="C253" s="471"/>
      <c r="D253" s="471"/>
      <c r="E253" s="471"/>
      <c r="F253" s="472"/>
      <c r="G253" s="471"/>
      <c r="H253" s="471"/>
      <c r="I253" s="471"/>
      <c r="J253" s="472"/>
      <c r="K253" s="471"/>
      <c r="L253" s="475">
        <v>0</v>
      </c>
      <c r="M253" s="475">
        <v>-332</v>
      </c>
      <c r="N253" s="476">
        <v>0</v>
      </c>
      <c r="O253" s="471"/>
      <c r="P253" s="472"/>
      <c r="R253" s="473"/>
      <c r="S253" s="473"/>
      <c r="T253" s="483">
        <v>-332</v>
      </c>
    </row>
    <row r="254" spans="1:20" x14ac:dyDescent="0.35">
      <c r="A254" s="474" t="s">
        <v>557</v>
      </c>
      <c r="B254" s="474"/>
      <c r="C254" s="471"/>
      <c r="D254" s="471"/>
      <c r="E254" s="471"/>
      <c r="F254" s="472"/>
      <c r="G254" s="471"/>
      <c r="H254" s="471"/>
      <c r="I254" s="471"/>
      <c r="J254" s="472"/>
      <c r="K254" s="471"/>
      <c r="L254" s="471"/>
      <c r="M254" s="471"/>
      <c r="N254" s="472"/>
      <c r="O254" s="475">
        <v>0</v>
      </c>
      <c r="P254" s="476">
        <v>-98</v>
      </c>
      <c r="R254" s="473"/>
      <c r="S254" s="473"/>
      <c r="T254" s="473"/>
    </row>
    <row r="255" spans="1:20" x14ac:dyDescent="0.35">
      <c r="A255" s="484" t="s">
        <v>558</v>
      </c>
      <c r="B255" s="484"/>
      <c r="C255" s="485"/>
      <c r="D255" s="485"/>
      <c r="E255" s="485"/>
      <c r="F255" s="488">
        <f t="shared" ref="F255:P255" si="15">SUM(F239:F254)</f>
        <v>-3176</v>
      </c>
      <c r="G255" s="487">
        <f t="shared" si="15"/>
        <v>81757</v>
      </c>
      <c r="H255" s="487">
        <f t="shared" si="15"/>
        <v>-28795</v>
      </c>
      <c r="I255" s="487">
        <f t="shared" si="15"/>
        <v>-2606</v>
      </c>
      <c r="J255" s="488">
        <f t="shared" si="15"/>
        <v>-3952</v>
      </c>
      <c r="K255" s="487">
        <f t="shared" si="15"/>
        <v>-50762</v>
      </c>
      <c r="L255" s="487">
        <f t="shared" si="15"/>
        <v>118631</v>
      </c>
      <c r="M255" s="487">
        <f t="shared" si="15"/>
        <v>-3497</v>
      </c>
      <c r="N255" s="488">
        <f t="shared" si="15"/>
        <v>-524</v>
      </c>
      <c r="O255" s="487">
        <f t="shared" si="15"/>
        <v>-40</v>
      </c>
      <c r="P255" s="488">
        <f t="shared" si="15"/>
        <v>227</v>
      </c>
      <c r="R255" s="492">
        <f>SUM(R239:R254)</f>
        <v>-3176</v>
      </c>
      <c r="S255" s="492">
        <f>SUM(S239:S254)</f>
        <v>46404</v>
      </c>
      <c r="T255" s="492">
        <f>SUM(T239:T254)</f>
        <v>63848</v>
      </c>
    </row>
    <row r="256" spans="1:20" x14ac:dyDescent="0.35">
      <c r="C256" s="471"/>
      <c r="D256" s="471"/>
      <c r="E256" s="471"/>
      <c r="F256" s="472"/>
      <c r="G256" s="471"/>
      <c r="H256" s="471"/>
      <c r="I256" s="471"/>
      <c r="J256" s="472"/>
      <c r="K256" s="471"/>
      <c r="L256" s="471"/>
      <c r="M256" s="471"/>
      <c r="N256" s="472"/>
      <c r="O256" s="471"/>
      <c r="P256" s="472"/>
      <c r="R256" s="473"/>
      <c r="S256" s="473"/>
      <c r="T256" s="473"/>
    </row>
    <row r="257" spans="1:20" x14ac:dyDescent="0.35">
      <c r="A257" s="474" t="s">
        <v>559</v>
      </c>
      <c r="B257" s="474"/>
      <c r="C257" s="471"/>
      <c r="D257" s="471"/>
      <c r="E257" s="471"/>
      <c r="F257" s="476">
        <v>-130</v>
      </c>
      <c r="G257" s="475">
        <v>-80</v>
      </c>
      <c r="H257" s="475">
        <v>-1061</v>
      </c>
      <c r="I257" s="475">
        <v>-524</v>
      </c>
      <c r="J257" s="476">
        <v>2686</v>
      </c>
      <c r="K257" s="475">
        <v>-310</v>
      </c>
      <c r="L257" s="475">
        <v>-346</v>
      </c>
      <c r="M257" s="475">
        <v>134</v>
      </c>
      <c r="N257" s="476">
        <v>244</v>
      </c>
      <c r="O257" s="475">
        <v>58</v>
      </c>
      <c r="P257" s="476">
        <v>-2604</v>
      </c>
      <c r="R257" s="483">
        <v>-130</v>
      </c>
      <c r="S257" s="483">
        <v>1021</v>
      </c>
      <c r="T257" s="483">
        <v>-278</v>
      </c>
    </row>
    <row r="258" spans="1:20" x14ac:dyDescent="0.35">
      <c r="A258" s="484" t="s">
        <v>560</v>
      </c>
      <c r="B258" s="484"/>
      <c r="C258" s="485"/>
      <c r="D258" s="485"/>
      <c r="E258" s="485"/>
      <c r="F258" s="497">
        <v>50488</v>
      </c>
      <c r="G258" s="487">
        <f t="shared" ref="G258:P258" si="16">SUM(G255,G236,G228,G257)</f>
        <v>81514</v>
      </c>
      <c r="H258" s="487">
        <f t="shared" si="16"/>
        <v>-12767</v>
      </c>
      <c r="I258" s="487">
        <f t="shared" si="16"/>
        <v>6772</v>
      </c>
      <c r="J258" s="488">
        <f t="shared" si="16"/>
        <v>29188</v>
      </c>
      <c r="K258" s="487">
        <f t="shared" si="16"/>
        <v>-39486</v>
      </c>
      <c r="L258" s="487">
        <f t="shared" si="16"/>
        <v>143794</v>
      </c>
      <c r="M258" s="487">
        <f t="shared" si="16"/>
        <v>18410</v>
      </c>
      <c r="N258" s="488">
        <f t="shared" si="16"/>
        <v>17102</v>
      </c>
      <c r="O258" s="487">
        <f t="shared" si="16"/>
        <v>15129</v>
      </c>
      <c r="P258" s="488">
        <f t="shared" si="16"/>
        <v>44561</v>
      </c>
      <c r="R258" s="492">
        <f>SUM(R255,R236,R228,R257)</f>
        <v>50488</v>
      </c>
      <c r="S258" s="492">
        <f>SUM(S255,S236,S228,S257)</f>
        <v>104707</v>
      </c>
      <c r="T258" s="492">
        <f>SUM(T255,T236,T228,T257)</f>
        <v>139820</v>
      </c>
    </row>
    <row r="259" spans="1:20" x14ac:dyDescent="0.35">
      <c r="C259" s="471"/>
      <c r="D259" s="471"/>
      <c r="E259" s="471"/>
      <c r="F259" s="472"/>
      <c r="G259" s="471"/>
      <c r="H259" s="471"/>
      <c r="I259" s="471"/>
      <c r="J259" s="472"/>
      <c r="K259" s="530"/>
      <c r="L259" s="471"/>
      <c r="M259" s="471"/>
      <c r="N259" s="472"/>
      <c r="O259" s="471"/>
      <c r="P259" s="472"/>
      <c r="R259" s="473"/>
      <c r="S259" s="473"/>
      <c r="T259" s="473"/>
    </row>
    <row r="260" spans="1:20" x14ac:dyDescent="0.35">
      <c r="A260" s="474" t="s">
        <v>561</v>
      </c>
      <c r="B260" s="474"/>
      <c r="C260" s="471"/>
      <c r="D260" s="471"/>
      <c r="E260" s="471"/>
      <c r="F260" s="476">
        <v>30258</v>
      </c>
      <c r="G260" s="475">
        <v>48263</v>
      </c>
      <c r="H260" s="475">
        <v>48263</v>
      </c>
      <c r="I260" s="475">
        <v>48263</v>
      </c>
      <c r="J260" s="476">
        <v>48263</v>
      </c>
      <c r="K260" s="475">
        <v>152970</v>
      </c>
      <c r="L260" s="475">
        <v>152970</v>
      </c>
      <c r="M260" s="475">
        <v>152970</v>
      </c>
      <c r="N260" s="476">
        <v>152970</v>
      </c>
      <c r="O260" s="475">
        <v>292790</v>
      </c>
      <c r="P260" s="476">
        <v>292790</v>
      </c>
      <c r="R260" s="473"/>
      <c r="S260" s="473"/>
      <c r="T260" s="473"/>
    </row>
    <row r="261" spans="1:20" ht="15" thickBot="1" x14ac:dyDescent="0.4">
      <c r="A261" s="498" t="s">
        <v>562</v>
      </c>
      <c r="B261" s="498"/>
      <c r="C261" s="531"/>
      <c r="D261" s="531"/>
      <c r="E261" s="531"/>
      <c r="F261" s="532">
        <v>80746</v>
      </c>
      <c r="G261" s="533">
        <v>129777</v>
      </c>
      <c r="H261" s="533">
        <v>117010</v>
      </c>
      <c r="I261" s="533">
        <v>123782</v>
      </c>
      <c r="J261" s="532">
        <v>152970</v>
      </c>
      <c r="K261" s="533">
        <v>113484</v>
      </c>
      <c r="L261" s="533">
        <v>257278</v>
      </c>
      <c r="M261" s="533">
        <v>275688</v>
      </c>
      <c r="N261" s="532">
        <v>292790</v>
      </c>
      <c r="O261" s="533">
        <v>307919</v>
      </c>
      <c r="P261" s="532">
        <v>352480</v>
      </c>
      <c r="R261" s="534"/>
      <c r="S261" s="534"/>
      <c r="T261" s="534"/>
    </row>
    <row r="262" spans="1:20" x14ac:dyDescent="0.35">
      <c r="F262" s="477"/>
      <c r="J262" s="477"/>
      <c r="N262" s="477"/>
      <c r="P262" s="477"/>
      <c r="R262" s="478"/>
      <c r="S262" s="478"/>
      <c r="T262" s="478"/>
    </row>
    <row r="263" spans="1:20" x14ac:dyDescent="0.35">
      <c r="A263" s="470" t="s">
        <v>563</v>
      </c>
      <c r="B263" s="470"/>
      <c r="F263" s="477"/>
      <c r="J263" s="477"/>
      <c r="N263" s="477"/>
      <c r="P263" s="477"/>
      <c r="R263" s="478"/>
      <c r="S263" s="478"/>
      <c r="T263" s="478"/>
    </row>
    <row r="264" spans="1:20" x14ac:dyDescent="0.35">
      <c r="A264" s="474" t="s">
        <v>565</v>
      </c>
      <c r="B264" s="474"/>
      <c r="F264" s="476">
        <v>5249</v>
      </c>
      <c r="G264" s="475">
        <v>968</v>
      </c>
      <c r="H264" s="475">
        <v>947</v>
      </c>
      <c r="I264" s="475">
        <v>1079</v>
      </c>
      <c r="J264" s="476">
        <v>1792</v>
      </c>
      <c r="K264" s="475">
        <v>298</v>
      </c>
      <c r="L264" s="475">
        <v>3438</v>
      </c>
      <c r="M264" s="475">
        <v>2333</v>
      </c>
      <c r="N264" s="476">
        <v>4292</v>
      </c>
      <c r="O264" s="475">
        <v>1713</v>
      </c>
      <c r="P264" s="476">
        <v>4468</v>
      </c>
      <c r="R264" s="483">
        <v>5249</v>
      </c>
      <c r="S264" s="483">
        <v>4786</v>
      </c>
      <c r="T264" s="483">
        <v>10361</v>
      </c>
    </row>
    <row r="265" spans="1:20" x14ac:dyDescent="0.35">
      <c r="A265" s="474" t="s">
        <v>564</v>
      </c>
      <c r="B265" s="474"/>
      <c r="F265" s="476">
        <v>55784</v>
      </c>
      <c r="G265" s="475">
        <v>8234</v>
      </c>
      <c r="H265" s="475">
        <v>11760</v>
      </c>
      <c r="I265" s="475">
        <v>11664</v>
      </c>
      <c r="J265" s="476">
        <v>9487</v>
      </c>
      <c r="K265" s="475">
        <v>7153</v>
      </c>
      <c r="L265" s="475">
        <v>6568</v>
      </c>
      <c r="M265" s="475">
        <v>4641</v>
      </c>
      <c r="N265" s="476">
        <v>4667</v>
      </c>
      <c r="O265" s="475">
        <v>4774</v>
      </c>
      <c r="P265" s="476">
        <v>5417</v>
      </c>
      <c r="R265" s="483">
        <v>55784</v>
      </c>
      <c r="S265" s="483">
        <v>41145</v>
      </c>
      <c r="T265" s="483">
        <v>23029</v>
      </c>
    </row>
    <row r="266" spans="1:20" x14ac:dyDescent="0.35">
      <c r="F266" s="477"/>
      <c r="J266" s="477"/>
      <c r="K266" s="471"/>
      <c r="L266" s="471"/>
      <c r="M266" s="471"/>
      <c r="N266" s="472"/>
      <c r="O266" s="471"/>
      <c r="P266" s="477"/>
      <c r="R266" s="478"/>
      <c r="S266" s="478"/>
      <c r="T266" s="478"/>
    </row>
    <row r="267" spans="1:20" x14ac:dyDescent="0.35">
      <c r="A267" s="470" t="s">
        <v>1558</v>
      </c>
      <c r="B267" s="470"/>
      <c r="F267" s="477"/>
      <c r="J267" s="477"/>
      <c r="K267" s="471"/>
      <c r="L267" s="471"/>
      <c r="M267" s="471"/>
      <c r="N267" s="472"/>
      <c r="O267" s="471"/>
      <c r="P267" s="477"/>
      <c r="R267" s="478"/>
      <c r="S267" s="478"/>
      <c r="T267" s="478"/>
    </row>
    <row r="268" spans="1:20" x14ac:dyDescent="0.35">
      <c r="A268" s="474" t="s">
        <v>1559</v>
      </c>
      <c r="B268" s="474"/>
      <c r="F268" s="476">
        <v>1860</v>
      </c>
      <c r="J268" s="477"/>
      <c r="K268" s="471"/>
      <c r="L268" s="471"/>
      <c r="M268" s="471"/>
      <c r="N268" s="472"/>
      <c r="O268" s="471"/>
      <c r="P268" s="477"/>
      <c r="R268" s="483">
        <v>1860</v>
      </c>
      <c r="S268" s="478"/>
      <c r="T268" s="478"/>
    </row>
    <row r="269" spans="1:20" x14ac:dyDescent="0.35">
      <c r="A269" s="474" t="s">
        <v>1560</v>
      </c>
      <c r="B269" s="474"/>
      <c r="F269" s="477"/>
      <c r="J269" s="477"/>
      <c r="L269" s="475">
        <v>3006</v>
      </c>
      <c r="M269" s="475">
        <v>-2819</v>
      </c>
      <c r="N269" s="477"/>
      <c r="P269" s="477"/>
      <c r="R269" s="478"/>
      <c r="S269" s="478"/>
      <c r="T269" s="478"/>
    </row>
    <row r="270" spans="1:20" x14ac:dyDescent="0.35">
      <c r="A270" s="474" t="s">
        <v>1561</v>
      </c>
      <c r="B270" s="474"/>
      <c r="F270" s="476">
        <v>651</v>
      </c>
      <c r="G270" s="475">
        <v>68</v>
      </c>
      <c r="H270" s="475">
        <v>206</v>
      </c>
      <c r="I270" s="475">
        <v>-237</v>
      </c>
      <c r="J270" s="476">
        <v>51</v>
      </c>
      <c r="K270" s="475">
        <v>295</v>
      </c>
      <c r="L270" s="475">
        <v>2502</v>
      </c>
      <c r="M270" s="475">
        <v>-1</v>
      </c>
      <c r="N270" s="476">
        <v>847</v>
      </c>
      <c r="O270" s="475">
        <v>206</v>
      </c>
      <c r="P270" s="476">
        <v>-183</v>
      </c>
      <c r="R270" s="483">
        <v>651</v>
      </c>
      <c r="S270" s="483">
        <v>88</v>
      </c>
      <c r="T270" s="483">
        <v>3643</v>
      </c>
    </row>
    <row r="271" spans="1:20" x14ac:dyDescent="0.35">
      <c r="A271" s="474"/>
      <c r="B271" s="474"/>
      <c r="F271" s="472"/>
      <c r="G271" s="471"/>
      <c r="H271" s="471"/>
      <c r="I271" s="471"/>
      <c r="J271" s="472"/>
      <c r="K271" s="471"/>
      <c r="L271" s="471"/>
      <c r="M271" s="471"/>
      <c r="N271" s="472"/>
      <c r="O271" s="471"/>
      <c r="P271" s="472"/>
      <c r="R271" s="478"/>
      <c r="S271" s="478"/>
      <c r="T271" s="478"/>
    </row>
    <row r="272" spans="1:20" x14ac:dyDescent="0.35">
      <c r="A272" s="470" t="s">
        <v>1562</v>
      </c>
      <c r="B272" s="470"/>
      <c r="F272" s="472"/>
      <c r="G272" s="471"/>
      <c r="H272" s="471"/>
      <c r="I272" s="471"/>
      <c r="J272" s="472"/>
      <c r="K272" s="471"/>
      <c r="L272" s="471"/>
      <c r="M272" s="471"/>
      <c r="N272" s="472"/>
      <c r="O272" s="471"/>
      <c r="P272" s="472"/>
      <c r="R272" s="478"/>
      <c r="S272" s="478"/>
      <c r="T272" s="478"/>
    </row>
    <row r="273" spans="1:20" x14ac:dyDescent="0.35">
      <c r="A273" s="505" t="s">
        <v>518</v>
      </c>
      <c r="B273" s="505"/>
      <c r="F273" s="477"/>
      <c r="J273" s="477"/>
      <c r="N273" s="477"/>
      <c r="P273" s="477"/>
      <c r="R273" s="478"/>
      <c r="S273" s="478"/>
      <c r="T273" s="478"/>
    </row>
    <row r="274" spans="1:20" x14ac:dyDescent="0.35">
      <c r="A274" s="506" t="s">
        <v>352</v>
      </c>
      <c r="B274" s="506"/>
      <c r="F274" s="477"/>
      <c r="G274" s="475">
        <v>-36530</v>
      </c>
      <c r="J274" s="477"/>
      <c r="N274" s="477"/>
      <c r="P274" s="477"/>
      <c r="R274" s="478"/>
      <c r="S274" s="478"/>
      <c r="T274" s="478"/>
    </row>
    <row r="275" spans="1:20" x14ac:dyDescent="0.35">
      <c r="A275" s="521" t="s">
        <v>1554</v>
      </c>
      <c r="B275" s="521"/>
      <c r="F275" s="477"/>
      <c r="J275" s="477"/>
      <c r="N275" s="477"/>
      <c r="P275" s="477"/>
      <c r="R275" s="478"/>
      <c r="S275" s="478"/>
      <c r="T275" s="478"/>
    </row>
    <row r="276" spans="1:20" x14ac:dyDescent="0.35">
      <c r="A276" s="522" t="s">
        <v>343</v>
      </c>
      <c r="B276" s="522"/>
      <c r="F276" s="477"/>
      <c r="G276" s="475">
        <v>2105</v>
      </c>
      <c r="J276" s="477"/>
      <c r="N276" s="477"/>
      <c r="P276" s="477"/>
      <c r="R276" s="478"/>
      <c r="S276" s="478"/>
      <c r="T276" s="478"/>
    </row>
    <row r="277" spans="1:20" x14ac:dyDescent="0.35">
      <c r="A277" s="522" t="s">
        <v>348</v>
      </c>
      <c r="B277" s="522"/>
      <c r="F277" s="477"/>
      <c r="G277" s="475">
        <v>10533</v>
      </c>
      <c r="J277" s="477"/>
      <c r="N277" s="477"/>
      <c r="P277" s="477"/>
      <c r="R277" s="478"/>
      <c r="S277" s="478"/>
      <c r="T277" s="478"/>
    </row>
    <row r="278" spans="1:20" x14ac:dyDescent="0.35">
      <c r="A278" s="522" t="s">
        <v>519</v>
      </c>
      <c r="B278" s="522"/>
      <c r="F278" s="477"/>
      <c r="G278" s="475">
        <v>569</v>
      </c>
      <c r="J278" s="477"/>
      <c r="N278" s="477"/>
      <c r="P278" s="477"/>
      <c r="R278" s="478"/>
      <c r="S278" s="478"/>
      <c r="T278" s="478"/>
    </row>
    <row r="279" spans="1:20" x14ac:dyDescent="0.35">
      <c r="A279" s="522" t="s">
        <v>520</v>
      </c>
      <c r="B279" s="522"/>
      <c r="F279" s="477"/>
      <c r="G279" s="475">
        <v>102</v>
      </c>
      <c r="J279" s="477"/>
      <c r="N279" s="477"/>
      <c r="P279" s="477"/>
      <c r="R279" s="478"/>
      <c r="S279" s="478"/>
      <c r="T279" s="478"/>
    </row>
    <row r="280" spans="1:20" x14ac:dyDescent="0.35">
      <c r="A280" s="522" t="s">
        <v>521</v>
      </c>
      <c r="B280" s="522"/>
      <c r="F280" s="477"/>
      <c r="G280" s="475">
        <v>-997</v>
      </c>
      <c r="J280" s="477"/>
      <c r="N280" s="477"/>
      <c r="P280" s="477"/>
      <c r="R280" s="478"/>
      <c r="S280" s="478"/>
      <c r="T280" s="478"/>
    </row>
    <row r="281" spans="1:20" x14ac:dyDescent="0.35">
      <c r="A281" s="522" t="s">
        <v>1563</v>
      </c>
      <c r="B281" s="522"/>
      <c r="F281" s="477"/>
      <c r="G281" s="475">
        <v>3976</v>
      </c>
      <c r="J281" s="477"/>
      <c r="N281" s="477"/>
      <c r="P281" s="477"/>
      <c r="R281" s="478"/>
      <c r="S281" s="478"/>
      <c r="T281" s="478"/>
    </row>
    <row r="282" spans="1:20" x14ac:dyDescent="0.35">
      <c r="A282" s="522" t="s">
        <v>1564</v>
      </c>
      <c r="B282" s="522"/>
      <c r="F282" s="477"/>
      <c r="G282" s="475">
        <v>-82</v>
      </c>
      <c r="J282" s="477"/>
      <c r="N282" s="477"/>
      <c r="P282" s="477"/>
      <c r="R282" s="478"/>
      <c r="S282" s="478"/>
      <c r="T282" s="478"/>
    </row>
    <row r="283" spans="1:20" x14ac:dyDescent="0.35">
      <c r="A283" s="522" t="s">
        <v>1565</v>
      </c>
      <c r="B283" s="522"/>
      <c r="F283" s="477"/>
      <c r="G283" s="475">
        <v>8</v>
      </c>
      <c r="J283" s="477"/>
      <c r="N283" s="477"/>
      <c r="P283" s="477"/>
      <c r="R283" s="478"/>
      <c r="S283" s="478"/>
      <c r="T283" s="478"/>
    </row>
    <row r="284" spans="1:20" x14ac:dyDescent="0.35">
      <c r="A284" s="521" t="s">
        <v>1555</v>
      </c>
      <c r="B284" s="521"/>
      <c r="F284" s="477"/>
      <c r="J284" s="477"/>
      <c r="N284" s="477"/>
      <c r="P284" s="477"/>
      <c r="R284" s="478"/>
      <c r="S284" s="478"/>
      <c r="T284" s="478"/>
    </row>
    <row r="285" spans="1:20" x14ac:dyDescent="0.35">
      <c r="A285" s="522" t="s">
        <v>525</v>
      </c>
      <c r="B285" s="522"/>
      <c r="F285" s="477"/>
      <c r="G285" s="475">
        <v>9384</v>
      </c>
      <c r="J285" s="477"/>
      <c r="N285" s="477"/>
      <c r="P285" s="477"/>
      <c r="R285" s="478"/>
      <c r="S285" s="478"/>
      <c r="T285" s="478"/>
    </row>
    <row r="286" spans="1:20" x14ac:dyDescent="0.35">
      <c r="A286" s="522" t="s">
        <v>470</v>
      </c>
      <c r="B286" s="522"/>
      <c r="F286" s="477"/>
      <c r="G286" s="475">
        <v>-4604</v>
      </c>
      <c r="J286" s="477"/>
      <c r="N286" s="477"/>
      <c r="P286" s="477"/>
      <c r="R286" s="478"/>
      <c r="S286" s="478"/>
      <c r="T286" s="478"/>
    </row>
    <row r="287" spans="1:20" x14ac:dyDescent="0.35">
      <c r="A287" s="522" t="s">
        <v>477</v>
      </c>
      <c r="B287" s="522"/>
      <c r="F287" s="477"/>
      <c r="G287" s="475">
        <v>-62</v>
      </c>
      <c r="J287" s="477"/>
      <c r="N287" s="477"/>
      <c r="P287" s="477"/>
      <c r="R287" s="478"/>
      <c r="S287" s="478"/>
      <c r="T287" s="478"/>
    </row>
    <row r="288" spans="1:20" x14ac:dyDescent="0.35">
      <c r="A288" s="522" t="s">
        <v>480</v>
      </c>
      <c r="B288" s="522"/>
      <c r="F288" s="477"/>
      <c r="G288" s="475">
        <v>-8871</v>
      </c>
      <c r="J288" s="477"/>
      <c r="N288" s="477"/>
      <c r="P288" s="477"/>
      <c r="R288" s="478"/>
      <c r="S288" s="478"/>
      <c r="T288" s="478"/>
    </row>
    <row r="289" spans="1:20" x14ac:dyDescent="0.35">
      <c r="A289" s="522" t="s">
        <v>527</v>
      </c>
      <c r="B289" s="522"/>
      <c r="F289" s="477"/>
      <c r="G289" s="475">
        <v>4102</v>
      </c>
      <c r="J289" s="477"/>
      <c r="N289" s="477"/>
      <c r="P289" s="477"/>
      <c r="R289" s="478"/>
      <c r="S289" s="478"/>
      <c r="T289" s="478"/>
    </row>
    <row r="290" spans="1:20" x14ac:dyDescent="0.35">
      <c r="A290" s="522" t="s">
        <v>528</v>
      </c>
      <c r="B290" s="522"/>
      <c r="F290" s="477"/>
      <c r="G290" s="475">
        <v>11</v>
      </c>
      <c r="J290" s="477"/>
      <c r="N290" s="477"/>
      <c r="P290" s="477"/>
      <c r="R290" s="478"/>
      <c r="S290" s="478"/>
      <c r="T290" s="478"/>
    </row>
    <row r="291" spans="1:20" x14ac:dyDescent="0.35">
      <c r="A291" s="522" t="s">
        <v>530</v>
      </c>
      <c r="B291" s="522"/>
      <c r="F291" s="477"/>
      <c r="G291" s="475">
        <v>767</v>
      </c>
      <c r="J291" s="477"/>
      <c r="N291" s="477"/>
      <c r="P291" s="477"/>
      <c r="R291" s="478"/>
      <c r="S291" s="478"/>
      <c r="T291" s="478"/>
    </row>
    <row r="292" spans="1:20" x14ac:dyDescent="0.35">
      <c r="A292" s="522" t="s">
        <v>1566</v>
      </c>
      <c r="B292" s="522"/>
      <c r="F292" s="477"/>
      <c r="G292" s="475">
        <v>373</v>
      </c>
      <c r="J292" s="477"/>
      <c r="N292" s="477"/>
      <c r="P292" s="477"/>
      <c r="R292" s="478"/>
      <c r="S292" s="478"/>
      <c r="T292" s="478"/>
    </row>
    <row r="293" spans="1:20" x14ac:dyDescent="0.35">
      <c r="A293" s="507" t="s">
        <v>531</v>
      </c>
      <c r="B293" s="507"/>
      <c r="C293" s="508"/>
      <c r="D293" s="508"/>
      <c r="E293" s="508"/>
      <c r="F293" s="509"/>
      <c r="G293" s="487">
        <f>SUM(G285:G292,G276:G283,G274)</f>
        <v>-19216</v>
      </c>
      <c r="H293" s="508"/>
      <c r="I293" s="508"/>
      <c r="J293" s="509"/>
      <c r="K293" s="508"/>
      <c r="L293" s="508"/>
      <c r="M293" s="508"/>
      <c r="N293" s="509"/>
      <c r="O293" s="508"/>
      <c r="P293" s="509"/>
      <c r="R293" s="510"/>
      <c r="S293" s="510"/>
      <c r="T293" s="510"/>
    </row>
    <row r="294" spans="1:20" x14ac:dyDescent="0.35">
      <c r="F294" s="477"/>
      <c r="J294" s="477"/>
      <c r="N294" s="477"/>
      <c r="P294" s="477"/>
      <c r="R294" s="478"/>
      <c r="S294" s="478"/>
      <c r="T294" s="478"/>
    </row>
    <row r="295" spans="1:20" x14ac:dyDescent="0.35">
      <c r="A295" s="505" t="s">
        <v>532</v>
      </c>
      <c r="B295" s="505"/>
      <c r="F295" s="477"/>
      <c r="J295" s="477"/>
      <c r="N295" s="477"/>
      <c r="P295" s="477"/>
      <c r="R295" s="478"/>
      <c r="S295" s="478"/>
      <c r="T295" s="478"/>
    </row>
    <row r="296" spans="1:20" x14ac:dyDescent="0.35">
      <c r="A296" s="506" t="s">
        <v>533</v>
      </c>
      <c r="B296" s="506"/>
      <c r="F296" s="477"/>
      <c r="G296" s="475">
        <v>-163</v>
      </c>
      <c r="J296" s="477"/>
      <c r="N296" s="477"/>
      <c r="P296" s="477"/>
      <c r="R296" s="478"/>
      <c r="S296" s="478"/>
      <c r="T296" s="478"/>
    </row>
    <row r="297" spans="1:20" x14ac:dyDescent="0.35">
      <c r="A297" s="506" t="s">
        <v>536</v>
      </c>
      <c r="B297" s="506"/>
      <c r="F297" s="477"/>
      <c r="G297" s="475">
        <v>-951</v>
      </c>
      <c r="J297" s="477"/>
      <c r="N297" s="477"/>
      <c r="P297" s="477"/>
      <c r="R297" s="478"/>
      <c r="S297" s="478"/>
      <c r="T297" s="478"/>
    </row>
    <row r="298" spans="1:20" x14ac:dyDescent="0.35">
      <c r="A298" s="506" t="s">
        <v>537</v>
      </c>
      <c r="B298" s="506"/>
      <c r="F298" s="477"/>
      <c r="G298" s="475">
        <v>-929</v>
      </c>
      <c r="J298" s="477"/>
      <c r="N298" s="477"/>
      <c r="P298" s="477"/>
      <c r="R298" s="478"/>
      <c r="S298" s="478"/>
      <c r="T298" s="478"/>
    </row>
    <row r="299" spans="1:20" x14ac:dyDescent="0.35">
      <c r="A299" s="507" t="s">
        <v>538</v>
      </c>
      <c r="B299" s="507"/>
      <c r="C299" s="508"/>
      <c r="D299" s="508"/>
      <c r="E299" s="508"/>
      <c r="F299" s="509"/>
      <c r="G299" s="487">
        <f>SUM(G296:G298)</f>
        <v>-2043</v>
      </c>
      <c r="H299" s="508"/>
      <c r="I299" s="508"/>
      <c r="J299" s="509"/>
      <c r="K299" s="508"/>
      <c r="L299" s="508"/>
      <c r="M299" s="508"/>
      <c r="N299" s="509"/>
      <c r="O299" s="508"/>
      <c r="P299" s="509"/>
      <c r="R299" s="510"/>
      <c r="S299" s="510"/>
      <c r="T299" s="510"/>
    </row>
    <row r="300" spans="1:20" x14ac:dyDescent="0.35">
      <c r="F300" s="477"/>
      <c r="J300" s="477"/>
      <c r="N300" s="477"/>
      <c r="P300" s="477"/>
      <c r="R300" s="478"/>
      <c r="S300" s="478"/>
      <c r="T300" s="478"/>
    </row>
    <row r="301" spans="1:20" x14ac:dyDescent="0.35">
      <c r="A301" s="505" t="s">
        <v>539</v>
      </c>
      <c r="B301" s="505"/>
      <c r="F301" s="477"/>
      <c r="J301" s="477"/>
      <c r="N301" s="477"/>
      <c r="P301" s="477"/>
      <c r="R301" s="478"/>
      <c r="S301" s="478"/>
      <c r="T301" s="478"/>
    </row>
    <row r="302" spans="1:20" x14ac:dyDescent="0.35">
      <c r="A302" s="506" t="s">
        <v>543</v>
      </c>
      <c r="B302" s="506"/>
      <c r="F302" s="477"/>
      <c r="G302" s="475">
        <v>41143</v>
      </c>
      <c r="J302" s="477"/>
      <c r="N302" s="477"/>
      <c r="P302" s="477"/>
      <c r="R302" s="478"/>
      <c r="S302" s="478"/>
      <c r="T302" s="478"/>
    </row>
    <row r="303" spans="1:20" x14ac:dyDescent="0.35">
      <c r="A303" s="506" t="s">
        <v>1567</v>
      </c>
      <c r="B303" s="506"/>
      <c r="F303" s="477"/>
      <c r="G303" s="475">
        <v>-34000</v>
      </c>
      <c r="J303" s="477"/>
      <c r="N303" s="477"/>
      <c r="P303" s="477"/>
      <c r="R303" s="478"/>
      <c r="S303" s="478"/>
      <c r="T303" s="478"/>
    </row>
    <row r="304" spans="1:20" x14ac:dyDescent="0.35">
      <c r="A304" s="506" t="s">
        <v>1568</v>
      </c>
      <c r="B304" s="506"/>
      <c r="F304" s="477"/>
      <c r="G304" s="475">
        <v>-17991</v>
      </c>
      <c r="J304" s="477"/>
      <c r="N304" s="477"/>
      <c r="P304" s="477"/>
      <c r="R304" s="478"/>
      <c r="S304" s="478"/>
      <c r="T304" s="478"/>
    </row>
    <row r="305" spans="1:20" x14ac:dyDescent="0.35">
      <c r="A305" s="506" t="s">
        <v>1569</v>
      </c>
      <c r="B305" s="506"/>
      <c r="F305" s="477"/>
      <c r="G305" s="475">
        <v>-274</v>
      </c>
      <c r="J305" s="477"/>
      <c r="N305" s="477"/>
      <c r="P305" s="477"/>
      <c r="R305" s="478"/>
      <c r="S305" s="478"/>
      <c r="T305" s="478"/>
    </row>
    <row r="306" spans="1:20" x14ac:dyDescent="0.35">
      <c r="A306" s="507" t="s">
        <v>558</v>
      </c>
      <c r="B306" s="507"/>
      <c r="C306" s="508"/>
      <c r="D306" s="508"/>
      <c r="E306" s="508"/>
      <c r="F306" s="509"/>
      <c r="G306" s="487">
        <f>SUM(G302:G305)</f>
        <v>-11122</v>
      </c>
      <c r="H306" s="508"/>
      <c r="I306" s="508"/>
      <c r="J306" s="509"/>
      <c r="K306" s="508"/>
      <c r="L306" s="508"/>
      <c r="M306" s="508"/>
      <c r="N306" s="509"/>
      <c r="O306" s="508"/>
      <c r="P306" s="509"/>
      <c r="R306" s="510"/>
      <c r="S306" s="510"/>
      <c r="T306" s="510"/>
    </row>
    <row r="307" spans="1:20" x14ac:dyDescent="0.35">
      <c r="F307" s="477"/>
      <c r="J307" s="477"/>
      <c r="N307" s="477"/>
      <c r="P307" s="477"/>
      <c r="R307" s="478"/>
      <c r="S307" s="478"/>
      <c r="T307" s="478"/>
    </row>
    <row r="308" spans="1:20" x14ac:dyDescent="0.35">
      <c r="A308" s="506" t="s">
        <v>559</v>
      </c>
      <c r="B308" s="506"/>
      <c r="F308" s="477"/>
      <c r="G308" s="475">
        <v>-102</v>
      </c>
      <c r="J308" s="477"/>
      <c r="N308" s="477"/>
      <c r="P308" s="477"/>
      <c r="R308" s="478"/>
      <c r="S308" s="478"/>
      <c r="T308" s="478"/>
    </row>
    <row r="309" spans="1:20" x14ac:dyDescent="0.35">
      <c r="A309" s="507" t="s">
        <v>560</v>
      </c>
      <c r="B309" s="507"/>
      <c r="C309" s="508"/>
      <c r="D309" s="508"/>
      <c r="E309" s="508"/>
      <c r="F309" s="509"/>
      <c r="G309" s="487">
        <f>SUM(G308,G306,G299,G293)</f>
        <v>-32483</v>
      </c>
      <c r="H309" s="508"/>
      <c r="I309" s="508"/>
      <c r="J309" s="509"/>
      <c r="K309" s="508"/>
      <c r="L309" s="508"/>
      <c r="M309" s="508"/>
      <c r="N309" s="509"/>
      <c r="O309" s="508"/>
      <c r="P309" s="509"/>
      <c r="R309" s="510"/>
      <c r="S309" s="510"/>
      <c r="T309" s="510"/>
    </row>
    <row r="310" spans="1:20" x14ac:dyDescent="0.35">
      <c r="F310" s="477"/>
      <c r="J310" s="477"/>
      <c r="N310" s="477"/>
      <c r="P310" s="477"/>
      <c r="R310" s="478"/>
      <c r="S310" s="478"/>
      <c r="T310" s="478"/>
    </row>
    <row r="311" spans="1:20" x14ac:dyDescent="0.35">
      <c r="A311" s="474" t="s">
        <v>561</v>
      </c>
      <c r="B311" s="474"/>
      <c r="F311" s="477"/>
      <c r="G311" s="475">
        <v>80746</v>
      </c>
      <c r="J311" s="477"/>
      <c r="N311" s="477"/>
      <c r="P311" s="477"/>
      <c r="R311" s="478"/>
      <c r="S311" s="478"/>
      <c r="T311" s="478"/>
    </row>
    <row r="312" spans="1:20" ht="15" thickBot="1" x14ac:dyDescent="0.4">
      <c r="A312" s="498" t="s">
        <v>562</v>
      </c>
      <c r="B312" s="498"/>
      <c r="C312" s="535"/>
      <c r="D312" s="535"/>
      <c r="E312" s="535"/>
      <c r="F312" s="536"/>
      <c r="G312" s="533">
        <v>48263</v>
      </c>
      <c r="H312" s="535"/>
      <c r="I312" s="535"/>
      <c r="J312" s="536"/>
      <c r="K312" s="535"/>
      <c r="L312" s="535"/>
      <c r="M312" s="535"/>
      <c r="N312" s="536"/>
      <c r="O312" s="535"/>
      <c r="P312" s="536"/>
      <c r="R312" s="537"/>
      <c r="S312" s="537"/>
      <c r="T312" s="537"/>
    </row>
    <row r="313" spans="1:20" x14ac:dyDescent="0.35">
      <c r="F313" s="477"/>
      <c r="J313" s="477"/>
      <c r="N313" s="477"/>
      <c r="P313" s="477"/>
      <c r="R313" s="478"/>
      <c r="S313" s="478"/>
      <c r="T313" s="478"/>
    </row>
    <row r="314" spans="1:20" x14ac:dyDescent="0.35">
      <c r="A314" s="470" t="s">
        <v>563</v>
      </c>
      <c r="B314" s="470"/>
      <c r="F314" s="477"/>
      <c r="J314" s="477"/>
      <c r="N314" s="477"/>
      <c r="P314" s="477"/>
      <c r="R314" s="478"/>
      <c r="S314" s="478"/>
      <c r="T314" s="478"/>
    </row>
    <row r="315" spans="1:20" x14ac:dyDescent="0.35">
      <c r="A315" s="474" t="s">
        <v>565</v>
      </c>
      <c r="B315" s="474"/>
      <c r="F315" s="477"/>
      <c r="G315" s="475">
        <v>279</v>
      </c>
      <c r="J315" s="477"/>
      <c r="N315" s="477"/>
      <c r="P315" s="477"/>
      <c r="R315" s="478"/>
      <c r="S315" s="478"/>
      <c r="T315" s="478"/>
    </row>
    <row r="316" spans="1:20" x14ac:dyDescent="0.35">
      <c r="A316" s="474" t="s">
        <v>564</v>
      </c>
      <c r="B316" s="474"/>
      <c r="F316" s="477"/>
      <c r="G316" s="475">
        <v>224</v>
      </c>
      <c r="J316" s="477"/>
      <c r="N316" s="477"/>
      <c r="P316" s="477"/>
      <c r="R316" s="478"/>
      <c r="S316" s="478"/>
      <c r="T316" s="478"/>
    </row>
    <row r="317" spans="1:20" x14ac:dyDescent="0.35">
      <c r="F317" s="477"/>
      <c r="J317" s="477"/>
      <c r="N317" s="477"/>
      <c r="P317" s="477"/>
      <c r="R317" s="478"/>
      <c r="S317" s="478"/>
      <c r="T317" s="478"/>
    </row>
    <row r="318" spans="1:20" x14ac:dyDescent="0.35">
      <c r="A318" s="470" t="s">
        <v>1558</v>
      </c>
      <c r="B318" s="470"/>
      <c r="F318" s="477"/>
      <c r="J318" s="477"/>
      <c r="N318" s="477"/>
      <c r="P318" s="477"/>
      <c r="R318" s="478"/>
      <c r="S318" s="478"/>
      <c r="T318" s="478"/>
    </row>
    <row r="319" spans="1:20" x14ac:dyDescent="0.35">
      <c r="A319" s="474" t="s">
        <v>1570</v>
      </c>
      <c r="B319" s="474"/>
      <c r="F319" s="477"/>
      <c r="G319" s="475">
        <v>289</v>
      </c>
      <c r="J319" s="477"/>
      <c r="N319" s="477"/>
      <c r="P319" s="477"/>
      <c r="R319" s="478"/>
      <c r="S319" s="478"/>
      <c r="T319" s="478"/>
    </row>
    <row r="320" spans="1:20" x14ac:dyDescent="0.35">
      <c r="A320" s="474" t="s">
        <v>1571</v>
      </c>
      <c r="B320" s="474"/>
      <c r="F320" s="477"/>
      <c r="G320" s="475">
        <v>781</v>
      </c>
      <c r="J320" s="477"/>
      <c r="N320" s="477"/>
      <c r="P320" s="477"/>
      <c r="R320" s="478"/>
      <c r="S320" s="478"/>
      <c r="T320" s="478"/>
    </row>
    <row r="321" spans="1:20" x14ac:dyDescent="0.35">
      <c r="F321" s="477"/>
      <c r="J321" s="477"/>
      <c r="N321" s="477"/>
      <c r="P321" s="477"/>
      <c r="R321" s="478"/>
      <c r="S321" s="478"/>
      <c r="T321" s="478"/>
    </row>
    <row r="322" spans="1:20" x14ac:dyDescent="0.35">
      <c r="A322" s="479" t="s">
        <v>364</v>
      </c>
      <c r="B322" s="479"/>
      <c r="C322" s="467"/>
      <c r="D322" s="467"/>
      <c r="E322" s="467"/>
      <c r="F322" s="468"/>
      <c r="G322" s="467"/>
      <c r="H322" s="467"/>
      <c r="I322" s="467"/>
      <c r="J322" s="468"/>
      <c r="K322" s="467"/>
      <c r="L322" s="467"/>
      <c r="M322" s="467"/>
      <c r="N322" s="468"/>
      <c r="O322" s="467"/>
      <c r="P322" s="468"/>
      <c r="R322" s="469"/>
      <c r="S322" s="469"/>
      <c r="T322" s="469"/>
    </row>
    <row r="323" spans="1:20" x14ac:dyDescent="0.35">
      <c r="A323" s="513" t="s">
        <v>364</v>
      </c>
      <c r="B323" s="513"/>
      <c r="C323" s="471"/>
      <c r="D323" s="471"/>
      <c r="E323" s="471"/>
      <c r="F323" s="472"/>
      <c r="G323" s="471"/>
      <c r="H323" s="471"/>
      <c r="I323" s="471"/>
      <c r="J323" s="472"/>
      <c r="K323" s="471"/>
      <c r="L323" s="471"/>
      <c r="M323" s="471"/>
      <c r="N323" s="472"/>
      <c r="O323" s="471"/>
      <c r="P323" s="472"/>
      <c r="R323" s="473"/>
      <c r="S323" s="473"/>
      <c r="T323" s="473"/>
    </row>
    <row r="324" spans="1:20" x14ac:dyDescent="0.35">
      <c r="A324" s="474" t="s">
        <v>352</v>
      </c>
      <c r="B324" s="474"/>
      <c r="C324" s="475">
        <v>3196</v>
      </c>
      <c r="D324" s="475">
        <v>10720</v>
      </c>
      <c r="E324" s="475">
        <v>11587</v>
      </c>
      <c r="F324" s="476">
        <v>8747</v>
      </c>
      <c r="G324" s="475">
        <v>-21814</v>
      </c>
      <c r="H324" s="475">
        <v>-16366</v>
      </c>
      <c r="I324" s="475">
        <v>-3452</v>
      </c>
      <c r="J324" s="476">
        <v>-5860</v>
      </c>
      <c r="K324" s="475">
        <v>-19389</v>
      </c>
      <c r="L324" s="475">
        <v>3770</v>
      </c>
      <c r="M324" s="475">
        <v>16285</v>
      </c>
      <c r="N324" s="476">
        <v>15385</v>
      </c>
      <c r="O324" s="475">
        <v>13013</v>
      </c>
      <c r="P324" s="476">
        <v>14236</v>
      </c>
      <c r="R324" s="483">
        <v>34250</v>
      </c>
      <c r="S324" s="483">
        <v>-47492</v>
      </c>
      <c r="T324" s="483">
        <v>16051</v>
      </c>
    </row>
    <row r="325" spans="1:20" x14ac:dyDescent="0.35">
      <c r="A325" s="506" t="s">
        <v>359</v>
      </c>
      <c r="B325" s="506"/>
      <c r="C325" s="475">
        <v>13023</v>
      </c>
      <c r="D325" s="475">
        <v>12829</v>
      </c>
      <c r="E325" s="475">
        <v>12757</v>
      </c>
      <c r="F325" s="476">
        <v>12410</v>
      </c>
      <c r="G325" s="475">
        <v>12830</v>
      </c>
      <c r="H325" s="475">
        <v>13663</v>
      </c>
      <c r="I325" s="475">
        <v>11630</v>
      </c>
      <c r="J325" s="476">
        <v>9261</v>
      </c>
      <c r="K325" s="475">
        <v>6717</v>
      </c>
      <c r="L325" s="475">
        <v>10452</v>
      </c>
      <c r="M325" s="475">
        <v>4706</v>
      </c>
      <c r="N325" s="476">
        <v>3097</v>
      </c>
      <c r="O325" s="475">
        <v>-850</v>
      </c>
      <c r="P325" s="476">
        <v>3112</v>
      </c>
      <c r="R325" s="483">
        <v>51019</v>
      </c>
      <c r="S325" s="483">
        <v>47384</v>
      </c>
      <c r="T325" s="483">
        <v>24972</v>
      </c>
    </row>
    <row r="326" spans="1:20" x14ac:dyDescent="0.35">
      <c r="A326" s="506" t="s">
        <v>360</v>
      </c>
      <c r="B326" s="506"/>
      <c r="C326" s="475">
        <v>902</v>
      </c>
      <c r="D326" s="475">
        <v>2184</v>
      </c>
      <c r="E326" s="475">
        <v>2172</v>
      </c>
      <c r="F326" s="476">
        <v>1640</v>
      </c>
      <c r="G326" s="475">
        <v>-4920</v>
      </c>
      <c r="H326" s="475">
        <v>-3499</v>
      </c>
      <c r="I326" s="475">
        <v>-2889</v>
      </c>
      <c r="J326" s="476">
        <v>-47</v>
      </c>
      <c r="K326" s="475">
        <v>-4435</v>
      </c>
      <c r="L326" s="475">
        <v>3063</v>
      </c>
      <c r="M326" s="475">
        <v>3397</v>
      </c>
      <c r="N326" s="476">
        <v>6837</v>
      </c>
      <c r="O326" s="475">
        <v>4935</v>
      </c>
      <c r="P326" s="476">
        <v>5432</v>
      </c>
      <c r="R326" s="483">
        <v>6898</v>
      </c>
      <c r="S326" s="483">
        <v>-11355</v>
      </c>
      <c r="T326" s="483">
        <v>8862</v>
      </c>
    </row>
    <row r="327" spans="1:20" x14ac:dyDescent="0.35">
      <c r="A327" s="506" t="s">
        <v>343</v>
      </c>
      <c r="B327" s="506"/>
      <c r="C327" s="475">
        <v>6268</v>
      </c>
      <c r="D327" s="475">
        <v>6545</v>
      </c>
      <c r="E327" s="475">
        <v>6552</v>
      </c>
      <c r="F327" s="476">
        <v>6588</v>
      </c>
      <c r="G327" s="475">
        <v>24487</v>
      </c>
      <c r="H327" s="475">
        <v>36572</v>
      </c>
      <c r="I327" s="475">
        <v>36756</v>
      </c>
      <c r="J327" s="476">
        <v>37242</v>
      </c>
      <c r="K327" s="475">
        <v>34763</v>
      </c>
      <c r="L327" s="475">
        <v>35918</v>
      </c>
      <c r="M327" s="475">
        <v>35812</v>
      </c>
      <c r="N327" s="476">
        <v>36322</v>
      </c>
      <c r="O327" s="475">
        <v>34034</v>
      </c>
      <c r="P327" s="476">
        <v>34407</v>
      </c>
      <c r="R327" s="483">
        <v>25953</v>
      </c>
      <c r="S327" s="483">
        <v>135057</v>
      </c>
      <c r="T327" s="483">
        <v>142815</v>
      </c>
    </row>
    <row r="328" spans="1:20" x14ac:dyDescent="0.35">
      <c r="A328" s="506" t="s">
        <v>348</v>
      </c>
      <c r="B328" s="506"/>
      <c r="C328" s="471"/>
      <c r="D328" s="471"/>
      <c r="E328" s="471"/>
      <c r="F328" s="472"/>
      <c r="G328" s="471"/>
      <c r="H328" s="471"/>
      <c r="I328" s="471"/>
      <c r="J328" s="472"/>
      <c r="K328" s="475">
        <v>13938</v>
      </c>
      <c r="L328" s="471"/>
      <c r="M328" s="471"/>
      <c r="N328" s="472"/>
      <c r="O328" s="471"/>
      <c r="P328" s="472"/>
      <c r="R328" s="473"/>
      <c r="S328" s="473"/>
      <c r="T328" s="483">
        <v>13938</v>
      </c>
    </row>
    <row r="329" spans="1:20" x14ac:dyDescent="0.35">
      <c r="A329" s="506" t="s">
        <v>361</v>
      </c>
      <c r="B329" s="506"/>
      <c r="C329" s="475">
        <v>354</v>
      </c>
      <c r="D329" s="475">
        <v>324</v>
      </c>
      <c r="E329" s="475">
        <v>274</v>
      </c>
      <c r="F329" s="476">
        <v>264</v>
      </c>
      <c r="G329" s="475">
        <v>281</v>
      </c>
      <c r="H329" s="475">
        <v>520</v>
      </c>
      <c r="I329" s="475">
        <v>530</v>
      </c>
      <c r="J329" s="476">
        <v>545</v>
      </c>
      <c r="K329" s="475">
        <v>562</v>
      </c>
      <c r="L329" s="475">
        <v>2664</v>
      </c>
      <c r="M329" s="475">
        <v>1343</v>
      </c>
      <c r="N329" s="476">
        <v>4961</v>
      </c>
      <c r="O329" s="475">
        <v>1859</v>
      </c>
      <c r="P329" s="476">
        <v>1943</v>
      </c>
      <c r="R329" s="483">
        <v>1216</v>
      </c>
      <c r="S329" s="483">
        <v>1876</v>
      </c>
      <c r="T329" s="483">
        <v>9530</v>
      </c>
    </row>
    <row r="330" spans="1:20" x14ac:dyDescent="0.35">
      <c r="A330" s="506" t="s">
        <v>234</v>
      </c>
      <c r="B330" s="506"/>
      <c r="C330" s="471"/>
      <c r="D330" s="471"/>
      <c r="E330" s="475">
        <v>349</v>
      </c>
      <c r="F330" s="476">
        <v>849</v>
      </c>
      <c r="G330" s="475">
        <v>9446</v>
      </c>
      <c r="H330" s="475">
        <v>76</v>
      </c>
      <c r="I330" s="475">
        <v>56</v>
      </c>
      <c r="J330" s="476">
        <v>568</v>
      </c>
      <c r="K330" s="475">
        <v>3984</v>
      </c>
      <c r="L330" s="475">
        <v>382</v>
      </c>
      <c r="M330" s="475">
        <v>2144</v>
      </c>
      <c r="N330" s="476">
        <v>2804</v>
      </c>
      <c r="O330" s="475">
        <v>1498</v>
      </c>
      <c r="P330" s="476">
        <v>1179</v>
      </c>
      <c r="R330" s="483">
        <v>1198</v>
      </c>
      <c r="S330" s="483">
        <v>10146</v>
      </c>
      <c r="T330" s="483">
        <v>9314</v>
      </c>
    </row>
    <row r="331" spans="1:20" x14ac:dyDescent="0.35">
      <c r="A331" s="506" t="s">
        <v>362</v>
      </c>
      <c r="B331" s="506"/>
      <c r="C331" s="471"/>
      <c r="D331" s="471"/>
      <c r="E331" s="471"/>
      <c r="F331" s="472"/>
      <c r="G331" s="471"/>
      <c r="H331" s="475">
        <v>262</v>
      </c>
      <c r="I331" s="475">
        <v>26</v>
      </c>
      <c r="J331" s="476">
        <v>3125</v>
      </c>
      <c r="K331" s="475">
        <v>450</v>
      </c>
      <c r="L331" s="475">
        <v>73</v>
      </c>
      <c r="M331" s="475">
        <v>63</v>
      </c>
      <c r="N331" s="472"/>
      <c r="O331" s="475">
        <v>-889</v>
      </c>
      <c r="P331" s="476">
        <v>525</v>
      </c>
      <c r="R331" s="473"/>
      <c r="S331" s="483">
        <v>3413</v>
      </c>
      <c r="T331" s="483">
        <v>584</v>
      </c>
    </row>
    <row r="332" spans="1:20" x14ac:dyDescent="0.35">
      <c r="A332" s="506" t="s">
        <v>363</v>
      </c>
      <c r="B332" s="506"/>
      <c r="C332" s="475">
        <v>1349</v>
      </c>
      <c r="D332" s="475">
        <v>760</v>
      </c>
      <c r="E332" s="475">
        <v>-200</v>
      </c>
      <c r="F332" s="476">
        <v>1330</v>
      </c>
      <c r="G332" s="475">
        <v>-121</v>
      </c>
      <c r="H332" s="475">
        <v>427</v>
      </c>
      <c r="I332" s="475">
        <v>630</v>
      </c>
      <c r="J332" s="476">
        <v>-189</v>
      </c>
      <c r="K332" s="471"/>
      <c r="L332" s="471"/>
      <c r="M332" s="475">
        <v>194</v>
      </c>
      <c r="N332" s="476">
        <v>32</v>
      </c>
      <c r="O332" s="471"/>
      <c r="P332" s="477"/>
      <c r="R332" s="483">
        <v>3239</v>
      </c>
      <c r="S332" s="483">
        <v>747</v>
      </c>
      <c r="T332" s="483">
        <v>228</v>
      </c>
    </row>
    <row r="333" spans="1:20" x14ac:dyDescent="0.35">
      <c r="A333" s="511" t="s">
        <v>364</v>
      </c>
      <c r="B333" s="511"/>
      <c r="C333" s="487">
        <f t="shared" ref="C333:P333" si="17">SUM(C324,C325:C332)</f>
        <v>25092</v>
      </c>
      <c r="D333" s="487">
        <f t="shared" si="17"/>
        <v>33362</v>
      </c>
      <c r="E333" s="487">
        <f t="shared" si="17"/>
        <v>33491</v>
      </c>
      <c r="F333" s="488">
        <f t="shared" si="17"/>
        <v>31828</v>
      </c>
      <c r="G333" s="487">
        <f t="shared" si="17"/>
        <v>20189</v>
      </c>
      <c r="H333" s="487">
        <f t="shared" si="17"/>
        <v>31655</v>
      </c>
      <c r="I333" s="487">
        <f t="shared" si="17"/>
        <v>43287</v>
      </c>
      <c r="J333" s="488">
        <f t="shared" si="17"/>
        <v>44645</v>
      </c>
      <c r="K333" s="487">
        <f t="shared" si="17"/>
        <v>36590</v>
      </c>
      <c r="L333" s="487">
        <f t="shared" si="17"/>
        <v>56322</v>
      </c>
      <c r="M333" s="487">
        <f t="shared" si="17"/>
        <v>63944</v>
      </c>
      <c r="N333" s="488">
        <f t="shared" si="17"/>
        <v>69438</v>
      </c>
      <c r="O333" s="487">
        <f t="shared" si="17"/>
        <v>53600</v>
      </c>
      <c r="P333" s="488">
        <f t="shared" si="17"/>
        <v>60834</v>
      </c>
      <c r="R333" s="492">
        <f>SUM(R324,R325:R332)</f>
        <v>123773</v>
      </c>
      <c r="S333" s="492">
        <f>SUM(S324,S325:S332)</f>
        <v>139776</v>
      </c>
      <c r="T333" s="492">
        <f>SUM(T324,T325:T332)</f>
        <v>226294</v>
      </c>
    </row>
    <row r="334" spans="1:20" x14ac:dyDescent="0.35">
      <c r="F334" s="477"/>
      <c r="J334" s="477"/>
      <c r="N334" s="477"/>
      <c r="P334" s="477"/>
      <c r="R334" s="478"/>
      <c r="S334" s="478"/>
      <c r="T334" s="478"/>
    </row>
    <row r="335" spans="1:20" x14ac:dyDescent="0.35">
      <c r="A335" s="512" t="s">
        <v>784</v>
      </c>
      <c r="B335" s="512"/>
      <c r="C335" s="475">
        <v>109687</v>
      </c>
      <c r="D335" s="475">
        <v>121621</v>
      </c>
      <c r="E335" s="475">
        <v>123769</v>
      </c>
      <c r="F335" s="476">
        <v>126690</v>
      </c>
      <c r="G335" s="475">
        <v>74054</v>
      </c>
      <c r="H335" s="475">
        <v>104993</v>
      </c>
      <c r="I335" s="475">
        <v>136778</v>
      </c>
      <c r="J335" s="476">
        <v>156544</v>
      </c>
      <c r="K335" s="475">
        <v>132070</v>
      </c>
      <c r="L335" s="475">
        <v>174826</v>
      </c>
      <c r="M335" s="475">
        <v>192867</v>
      </c>
      <c r="N335" s="476">
        <v>212532</v>
      </c>
      <c r="O335" s="475">
        <v>189881</v>
      </c>
      <c r="P335" s="476">
        <v>201561</v>
      </c>
      <c r="R335" s="483">
        <v>481767</v>
      </c>
      <c r="S335" s="483">
        <v>472369</v>
      </c>
      <c r="T335" s="483">
        <v>712295</v>
      </c>
    </row>
    <row r="336" spans="1:20" x14ac:dyDescent="0.35">
      <c r="A336" s="512" t="s">
        <v>1572</v>
      </c>
      <c r="B336" s="512"/>
      <c r="C336" s="481">
        <v>2.9000000000000001E-2</v>
      </c>
      <c r="D336" s="481">
        <v>8.8000000000000009E-2</v>
      </c>
      <c r="E336" s="481">
        <v>9.4E-2</v>
      </c>
      <c r="F336" s="480">
        <v>6.9000000000000006E-2</v>
      </c>
      <c r="G336" s="481">
        <v>-0.29499999999999998</v>
      </c>
      <c r="H336" s="481">
        <v>-0.156</v>
      </c>
      <c r="I336" s="481">
        <v>-2.5000000000000001E-2</v>
      </c>
      <c r="J336" s="480">
        <v>-3.7000000000000012E-2</v>
      </c>
      <c r="K336" s="481">
        <v>-0.14699999999999999</v>
      </c>
      <c r="L336" s="481">
        <v>2.1999999999999999E-2</v>
      </c>
      <c r="M336" s="481">
        <v>8.4000000000000005E-2</v>
      </c>
      <c r="N336" s="480">
        <v>7.2000000000000008E-2</v>
      </c>
      <c r="O336" s="481">
        <v>6.9000000000000006E-2</v>
      </c>
      <c r="P336" s="480">
        <v>7.0999999999999994E-2</v>
      </c>
      <c r="R336" s="473"/>
      <c r="S336" s="473"/>
      <c r="T336" s="482">
        <v>2.3E-2</v>
      </c>
    </row>
    <row r="337" spans="1:20" x14ac:dyDescent="0.35">
      <c r="A337" s="512" t="s">
        <v>1573</v>
      </c>
      <c r="B337" s="512"/>
      <c r="C337" s="481">
        <v>0.22900000000000001</v>
      </c>
      <c r="D337" s="481">
        <v>0.27400000000000002</v>
      </c>
      <c r="E337" s="481">
        <v>0.27100000000000002</v>
      </c>
      <c r="F337" s="480">
        <v>0.251</v>
      </c>
      <c r="G337" s="481">
        <v>0.27</v>
      </c>
      <c r="H337" s="481">
        <v>0.30099999999999999</v>
      </c>
      <c r="I337" s="481">
        <v>0.316</v>
      </c>
      <c r="J337" s="480">
        <v>0.28499999999999998</v>
      </c>
      <c r="K337" s="481">
        <v>0.27700000000000002</v>
      </c>
      <c r="L337" s="481">
        <v>0.32200000000000001</v>
      </c>
      <c r="M337" s="481">
        <v>0.33200000000000002</v>
      </c>
      <c r="N337" s="480">
        <v>0.32700000000000001</v>
      </c>
      <c r="O337" s="481">
        <v>0.28199999999999997</v>
      </c>
      <c r="P337" s="480">
        <v>0.30199999999999999</v>
      </c>
      <c r="R337" s="482">
        <v>0.26</v>
      </c>
      <c r="S337" s="482">
        <v>0.29599999999999999</v>
      </c>
      <c r="T337" s="482">
        <v>0.318</v>
      </c>
    </row>
    <row r="338" spans="1:20" x14ac:dyDescent="0.35">
      <c r="F338" s="477"/>
      <c r="J338" s="477"/>
      <c r="N338" s="477"/>
      <c r="P338" s="477"/>
      <c r="R338" s="478"/>
      <c r="S338" s="478"/>
      <c r="T338" s="478"/>
    </row>
    <row r="339" spans="1:20" x14ac:dyDescent="0.35">
      <c r="A339" s="513" t="s">
        <v>1574</v>
      </c>
      <c r="B339" s="513"/>
      <c r="F339" s="477"/>
      <c r="G339" s="460"/>
      <c r="J339" s="477"/>
      <c r="N339" s="477"/>
      <c r="P339" s="477"/>
      <c r="R339" s="478"/>
      <c r="S339" s="478"/>
      <c r="T339" s="478"/>
    </row>
    <row r="340" spans="1:20" x14ac:dyDescent="0.35">
      <c r="A340" s="474" t="s">
        <v>352</v>
      </c>
      <c r="B340" s="474"/>
      <c r="F340" s="477"/>
      <c r="G340" s="475">
        <v>-36530</v>
      </c>
      <c r="H340" s="460"/>
      <c r="J340" s="477"/>
      <c r="N340" s="477"/>
      <c r="P340" s="477"/>
      <c r="R340" s="478"/>
      <c r="S340" s="478"/>
      <c r="T340" s="478"/>
    </row>
    <row r="341" spans="1:20" x14ac:dyDescent="0.35">
      <c r="A341" s="506" t="s">
        <v>790</v>
      </c>
      <c r="B341" s="506"/>
      <c r="F341" s="477"/>
      <c r="G341" s="475">
        <v>4489</v>
      </c>
      <c r="H341" s="460"/>
      <c r="J341" s="477"/>
      <c r="L341" s="538"/>
      <c r="N341" s="477"/>
      <c r="P341" s="477"/>
      <c r="R341" s="478"/>
      <c r="S341" s="478"/>
      <c r="T341" s="478"/>
    </row>
    <row r="342" spans="1:20" x14ac:dyDescent="0.35">
      <c r="A342" s="506" t="s">
        <v>360</v>
      </c>
      <c r="B342" s="506"/>
      <c r="F342" s="477"/>
      <c r="G342" s="475">
        <v>-871</v>
      </c>
      <c r="H342" s="460"/>
      <c r="J342" s="477"/>
      <c r="N342" s="477"/>
      <c r="P342" s="477"/>
      <c r="R342" s="478"/>
      <c r="S342" s="478"/>
      <c r="T342" s="478"/>
    </row>
    <row r="343" spans="1:20" x14ac:dyDescent="0.35">
      <c r="A343" s="506" t="s">
        <v>343</v>
      </c>
      <c r="B343" s="506"/>
      <c r="F343" s="477"/>
      <c r="G343" s="475">
        <v>2105</v>
      </c>
      <c r="H343" s="460"/>
      <c r="J343" s="477"/>
      <c r="N343" s="477"/>
      <c r="P343" s="477"/>
      <c r="R343" s="478"/>
      <c r="S343" s="478"/>
      <c r="T343" s="478"/>
    </row>
    <row r="344" spans="1:20" x14ac:dyDescent="0.35">
      <c r="A344" s="506" t="s">
        <v>348</v>
      </c>
      <c r="B344" s="506"/>
      <c r="F344" s="477"/>
      <c r="G344" s="475">
        <v>10533</v>
      </c>
      <c r="H344" s="460"/>
      <c r="J344" s="477"/>
      <c r="N344" s="477"/>
      <c r="P344" s="477"/>
      <c r="R344" s="478"/>
      <c r="S344" s="478"/>
      <c r="T344" s="478"/>
    </row>
    <row r="345" spans="1:20" x14ac:dyDescent="0.35">
      <c r="A345" s="506" t="s">
        <v>361</v>
      </c>
      <c r="B345" s="506"/>
      <c r="F345" s="477"/>
      <c r="G345" s="475">
        <v>3976</v>
      </c>
      <c r="H345" s="460"/>
      <c r="J345" s="477"/>
      <c r="N345" s="477"/>
      <c r="P345" s="477"/>
      <c r="R345" s="478"/>
      <c r="S345" s="478"/>
      <c r="T345" s="478"/>
    </row>
    <row r="346" spans="1:20" x14ac:dyDescent="0.35">
      <c r="A346" s="506" t="s">
        <v>234</v>
      </c>
      <c r="B346" s="506"/>
      <c r="F346" s="477"/>
      <c r="G346" s="475">
        <v>22840</v>
      </c>
      <c r="H346" s="460"/>
      <c r="J346" s="477"/>
      <c r="N346" s="477"/>
      <c r="P346" s="477"/>
      <c r="R346" s="478"/>
      <c r="S346" s="478"/>
      <c r="T346" s="478"/>
    </row>
    <row r="347" spans="1:20" x14ac:dyDescent="0.35">
      <c r="A347" s="506" t="s">
        <v>1575</v>
      </c>
      <c r="B347" s="506"/>
      <c r="F347" s="477"/>
      <c r="G347" s="475">
        <v>327</v>
      </c>
      <c r="H347" s="460"/>
      <c r="J347" s="477"/>
      <c r="N347" s="477"/>
      <c r="P347" s="477"/>
      <c r="R347" s="478"/>
      <c r="S347" s="478"/>
      <c r="T347" s="478"/>
    </row>
    <row r="348" spans="1:20" x14ac:dyDescent="0.35">
      <c r="A348" s="506" t="s">
        <v>363</v>
      </c>
      <c r="B348" s="506"/>
      <c r="F348" s="477"/>
      <c r="G348" s="475">
        <v>153</v>
      </c>
      <c r="H348" s="460"/>
      <c r="J348" s="477"/>
      <c r="N348" s="477"/>
      <c r="P348" s="477"/>
      <c r="R348" s="478"/>
      <c r="S348" s="478"/>
      <c r="T348" s="478"/>
    </row>
    <row r="349" spans="1:20" x14ac:dyDescent="0.35">
      <c r="A349" s="511" t="s">
        <v>364</v>
      </c>
      <c r="B349" s="511"/>
      <c r="C349" s="493"/>
      <c r="D349" s="493"/>
      <c r="E349" s="493"/>
      <c r="F349" s="494"/>
      <c r="G349" s="539">
        <f>SUM(G340,G341:G348)</f>
        <v>7022</v>
      </c>
      <c r="H349" s="484"/>
      <c r="I349" s="493"/>
      <c r="J349" s="494"/>
      <c r="K349" s="493"/>
      <c r="L349" s="493"/>
      <c r="M349" s="493"/>
      <c r="N349" s="494"/>
      <c r="O349" s="493"/>
      <c r="P349" s="494"/>
      <c r="R349" s="495"/>
      <c r="S349" s="495"/>
      <c r="T349" s="495"/>
    </row>
    <row r="350" spans="1:20" x14ac:dyDescent="0.35">
      <c r="F350" s="477"/>
      <c r="H350" s="460"/>
      <c r="J350" s="477"/>
      <c r="N350" s="477"/>
      <c r="P350" s="477"/>
      <c r="R350" s="478"/>
      <c r="S350" s="478"/>
      <c r="T350" s="478"/>
    </row>
    <row r="351" spans="1:20" x14ac:dyDescent="0.35">
      <c r="A351" s="512" t="s">
        <v>784</v>
      </c>
      <c r="B351" s="512"/>
      <c r="F351" s="477"/>
      <c r="G351" s="475">
        <v>36785</v>
      </c>
      <c r="H351" s="460"/>
      <c r="J351" s="477"/>
      <c r="N351" s="477"/>
      <c r="P351" s="477"/>
      <c r="R351" s="478"/>
      <c r="S351" s="478"/>
      <c r="T351" s="478"/>
    </row>
    <row r="352" spans="1:20" x14ac:dyDescent="0.35">
      <c r="A352" s="512" t="s">
        <v>1572</v>
      </c>
      <c r="B352" s="512"/>
      <c r="F352" s="477"/>
      <c r="G352" s="481">
        <v>-0.99299999999999999</v>
      </c>
      <c r="H352" s="460"/>
      <c r="J352" s="477"/>
      <c r="N352" s="477"/>
      <c r="P352" s="477"/>
      <c r="R352" s="478"/>
      <c r="S352" s="478"/>
      <c r="T352" s="478"/>
    </row>
    <row r="353" spans="1:20" x14ac:dyDescent="0.35">
      <c r="A353" s="512" t="s">
        <v>1573</v>
      </c>
      <c r="B353" s="512"/>
      <c r="F353" s="477"/>
      <c r="G353" s="481">
        <v>0.191</v>
      </c>
      <c r="H353" s="460"/>
      <c r="J353" s="477"/>
      <c r="N353" s="477"/>
      <c r="P353" s="477"/>
      <c r="R353" s="478"/>
      <c r="S353" s="478"/>
      <c r="T353" s="478"/>
    </row>
    <row r="354" spans="1:20" x14ac:dyDescent="0.35">
      <c r="F354" s="477"/>
      <c r="J354" s="477"/>
      <c r="N354" s="477"/>
      <c r="P354" s="477"/>
      <c r="R354" s="478"/>
      <c r="S354" s="478"/>
      <c r="T354" s="478"/>
    </row>
    <row r="355" spans="1:20" x14ac:dyDescent="0.35">
      <c r="A355" s="479" t="s">
        <v>1576</v>
      </c>
      <c r="B355" s="479"/>
      <c r="C355" s="467"/>
      <c r="D355" s="467"/>
      <c r="E355" s="467"/>
      <c r="F355" s="468"/>
      <c r="G355" s="467"/>
      <c r="H355" s="467"/>
      <c r="I355" s="467"/>
      <c r="J355" s="468"/>
      <c r="K355" s="467"/>
      <c r="L355" s="467"/>
      <c r="M355" s="467"/>
      <c r="N355" s="468"/>
      <c r="O355" s="467"/>
      <c r="P355" s="468"/>
      <c r="R355" s="469"/>
      <c r="S355" s="469"/>
      <c r="T355" s="469"/>
    </row>
    <row r="356" spans="1:20" x14ac:dyDescent="0.35">
      <c r="A356" s="513" t="s">
        <v>1577</v>
      </c>
      <c r="B356" s="513"/>
      <c r="F356" s="477"/>
      <c r="J356" s="477"/>
      <c r="N356" s="477"/>
      <c r="P356" s="477"/>
      <c r="R356" s="478"/>
      <c r="S356" s="478"/>
      <c r="T356" s="478"/>
    </row>
    <row r="357" spans="1:20" x14ac:dyDescent="0.35">
      <c r="A357" s="505" t="s">
        <v>1491</v>
      </c>
      <c r="B357" s="505"/>
      <c r="C357" s="471"/>
      <c r="D357" s="471"/>
      <c r="E357" s="471"/>
      <c r="F357" s="472"/>
      <c r="G357" s="471"/>
      <c r="H357" s="471"/>
      <c r="I357" s="471"/>
      <c r="J357" s="472"/>
      <c r="K357" s="471"/>
      <c r="L357" s="471"/>
      <c r="M357" s="471"/>
      <c r="N357" s="472"/>
      <c r="O357" s="471"/>
      <c r="P357" s="472"/>
      <c r="R357" s="473"/>
      <c r="S357" s="473"/>
      <c r="T357" s="473"/>
    </row>
    <row r="358" spans="1:20" x14ac:dyDescent="0.35">
      <c r="A358" s="506" t="s">
        <v>352</v>
      </c>
      <c r="B358" s="506"/>
      <c r="C358" s="475">
        <v>3196</v>
      </c>
      <c r="D358" s="475">
        <v>10720</v>
      </c>
      <c r="E358" s="475">
        <v>11587</v>
      </c>
      <c r="F358" s="476">
        <v>8747</v>
      </c>
      <c r="G358" s="475">
        <v>-21814</v>
      </c>
      <c r="H358" s="475">
        <v>-16366</v>
      </c>
      <c r="I358" s="475">
        <v>-3452</v>
      </c>
      <c r="J358" s="476">
        <v>-5860</v>
      </c>
      <c r="K358" s="475">
        <v>-19389</v>
      </c>
      <c r="L358" s="475">
        <v>3770</v>
      </c>
      <c r="M358" s="475">
        <v>16285</v>
      </c>
      <c r="N358" s="476">
        <v>15385</v>
      </c>
      <c r="O358" s="475">
        <v>13013</v>
      </c>
      <c r="P358" s="476">
        <v>14236</v>
      </c>
      <c r="R358" s="483">
        <v>34250</v>
      </c>
      <c r="S358" s="483">
        <v>-47492</v>
      </c>
      <c r="T358" s="483">
        <v>16051</v>
      </c>
    </row>
    <row r="359" spans="1:20" x14ac:dyDescent="0.35">
      <c r="A359" s="522" t="s">
        <v>360</v>
      </c>
      <c r="B359" s="522"/>
      <c r="C359" s="475">
        <v>902</v>
      </c>
      <c r="D359" s="475">
        <v>2184</v>
      </c>
      <c r="E359" s="475">
        <v>2172</v>
      </c>
      <c r="F359" s="476">
        <v>1640</v>
      </c>
      <c r="G359" s="475">
        <v>-4920</v>
      </c>
      <c r="H359" s="475">
        <v>-3499</v>
      </c>
      <c r="I359" s="475">
        <v>-2889</v>
      </c>
      <c r="J359" s="476">
        <v>-47</v>
      </c>
      <c r="K359" s="475">
        <v>-4435</v>
      </c>
      <c r="L359" s="475">
        <v>3063</v>
      </c>
      <c r="M359" s="475">
        <v>3397</v>
      </c>
      <c r="N359" s="476">
        <v>6837</v>
      </c>
      <c r="O359" s="475">
        <v>4935</v>
      </c>
      <c r="P359" s="476">
        <v>5432</v>
      </c>
      <c r="R359" s="483">
        <v>6898</v>
      </c>
      <c r="S359" s="483">
        <v>-11355</v>
      </c>
      <c r="T359" s="483">
        <v>8862</v>
      </c>
    </row>
    <row r="360" spans="1:20" x14ac:dyDescent="0.35">
      <c r="A360" s="507" t="s">
        <v>350</v>
      </c>
      <c r="B360" s="507"/>
      <c r="C360" s="487">
        <f t="shared" ref="C360:P360" si="18">SUM(C358,C359)</f>
        <v>4098</v>
      </c>
      <c r="D360" s="487">
        <f t="shared" si="18"/>
        <v>12904</v>
      </c>
      <c r="E360" s="487">
        <f t="shared" si="18"/>
        <v>13759</v>
      </c>
      <c r="F360" s="488">
        <f t="shared" si="18"/>
        <v>10387</v>
      </c>
      <c r="G360" s="487">
        <f t="shared" si="18"/>
        <v>-26734</v>
      </c>
      <c r="H360" s="487">
        <f t="shared" si="18"/>
        <v>-19865</v>
      </c>
      <c r="I360" s="487">
        <f t="shared" si="18"/>
        <v>-6341</v>
      </c>
      <c r="J360" s="488">
        <f t="shared" si="18"/>
        <v>-5907</v>
      </c>
      <c r="K360" s="487">
        <f t="shared" si="18"/>
        <v>-23824</v>
      </c>
      <c r="L360" s="487">
        <f t="shared" si="18"/>
        <v>6833</v>
      </c>
      <c r="M360" s="487">
        <f t="shared" si="18"/>
        <v>19682</v>
      </c>
      <c r="N360" s="488">
        <f t="shared" si="18"/>
        <v>22222</v>
      </c>
      <c r="O360" s="487">
        <f t="shared" si="18"/>
        <v>17948</v>
      </c>
      <c r="P360" s="488">
        <f t="shared" si="18"/>
        <v>19668</v>
      </c>
      <c r="R360" s="492">
        <f>SUM(R358,R359)</f>
        <v>41148</v>
      </c>
      <c r="S360" s="492">
        <f>SUM(S358,S359)</f>
        <v>-58847</v>
      </c>
      <c r="T360" s="492">
        <f>SUM(T358,T359)</f>
        <v>24913</v>
      </c>
    </row>
    <row r="361" spans="1:20" x14ac:dyDescent="0.35">
      <c r="A361" s="506"/>
      <c r="B361" s="506"/>
      <c r="C361" s="471"/>
      <c r="D361" s="471"/>
      <c r="E361" s="471"/>
      <c r="F361" s="472"/>
      <c r="G361" s="471"/>
      <c r="H361" s="471"/>
      <c r="I361" s="471"/>
      <c r="J361" s="472"/>
      <c r="K361" s="471"/>
      <c r="L361" s="471"/>
      <c r="M361" s="471"/>
      <c r="N361" s="472"/>
      <c r="O361" s="471"/>
      <c r="P361" s="472"/>
      <c r="R361" s="473"/>
      <c r="S361" s="473"/>
      <c r="T361" s="473"/>
    </row>
    <row r="362" spans="1:20" x14ac:dyDescent="0.35">
      <c r="A362" s="506" t="s">
        <v>1578</v>
      </c>
      <c r="B362" s="506"/>
      <c r="C362" s="475">
        <v>768</v>
      </c>
      <c r="D362" s="475">
        <v>785</v>
      </c>
      <c r="E362" s="475">
        <v>802</v>
      </c>
      <c r="F362" s="476">
        <v>819</v>
      </c>
      <c r="G362" s="475">
        <v>578</v>
      </c>
      <c r="H362" s="475">
        <v>877</v>
      </c>
      <c r="I362" s="475">
        <v>889</v>
      </c>
      <c r="J362" s="476">
        <v>898</v>
      </c>
      <c r="K362" s="475">
        <v>14911</v>
      </c>
      <c r="L362" s="475">
        <v>4355</v>
      </c>
      <c r="M362" s="475">
        <v>437</v>
      </c>
      <c r="N362" s="476">
        <v>440</v>
      </c>
      <c r="O362" s="475">
        <v>-4815</v>
      </c>
      <c r="P362" s="476">
        <v>-1669</v>
      </c>
      <c r="R362" s="483">
        <v>3174</v>
      </c>
      <c r="S362" s="483">
        <v>3242</v>
      </c>
      <c r="T362" s="483">
        <v>20143</v>
      </c>
    </row>
    <row r="363" spans="1:20" x14ac:dyDescent="0.35">
      <c r="A363" s="506" t="s">
        <v>1579</v>
      </c>
      <c r="B363" s="506"/>
      <c r="C363" s="475">
        <v>2758</v>
      </c>
      <c r="D363" s="475">
        <v>2800</v>
      </c>
      <c r="E363" s="475">
        <v>2758</v>
      </c>
      <c r="F363" s="476">
        <v>2758</v>
      </c>
      <c r="G363" s="475">
        <v>22791</v>
      </c>
      <c r="H363" s="475">
        <v>34135</v>
      </c>
      <c r="I363" s="475">
        <v>34223</v>
      </c>
      <c r="J363" s="476">
        <v>34270</v>
      </c>
      <c r="K363" s="475">
        <v>31512</v>
      </c>
      <c r="L363" s="475">
        <v>31786</v>
      </c>
      <c r="M363" s="475">
        <v>31749</v>
      </c>
      <c r="N363" s="476">
        <v>31818</v>
      </c>
      <c r="O363" s="475">
        <v>29115</v>
      </c>
      <c r="P363" s="476">
        <v>29029</v>
      </c>
      <c r="R363" s="483">
        <v>11074</v>
      </c>
      <c r="S363" s="483">
        <v>125419</v>
      </c>
      <c r="T363" s="483">
        <v>126865</v>
      </c>
    </row>
    <row r="364" spans="1:20" x14ac:dyDescent="0.35">
      <c r="A364" s="506" t="s">
        <v>361</v>
      </c>
      <c r="B364" s="506"/>
      <c r="C364" s="475">
        <v>354</v>
      </c>
      <c r="D364" s="475">
        <v>324</v>
      </c>
      <c r="E364" s="475">
        <v>274</v>
      </c>
      <c r="F364" s="476">
        <v>264</v>
      </c>
      <c r="G364" s="475">
        <v>281</v>
      </c>
      <c r="H364" s="475">
        <v>520</v>
      </c>
      <c r="I364" s="475">
        <v>530</v>
      </c>
      <c r="J364" s="476">
        <v>545</v>
      </c>
      <c r="K364" s="475">
        <v>562</v>
      </c>
      <c r="L364" s="475">
        <v>2664</v>
      </c>
      <c r="M364" s="475">
        <v>1343</v>
      </c>
      <c r="N364" s="476">
        <v>4961</v>
      </c>
      <c r="O364" s="475">
        <v>1859</v>
      </c>
      <c r="P364" s="476">
        <v>1943</v>
      </c>
      <c r="R364" s="483">
        <v>1216</v>
      </c>
      <c r="S364" s="483">
        <v>1876</v>
      </c>
      <c r="T364" s="483">
        <v>9530</v>
      </c>
    </row>
    <row r="365" spans="1:20" x14ac:dyDescent="0.35">
      <c r="A365" s="506" t="s">
        <v>234</v>
      </c>
      <c r="B365" s="506"/>
      <c r="C365" s="471"/>
      <c r="D365" s="471"/>
      <c r="E365" s="475">
        <v>349</v>
      </c>
      <c r="F365" s="476">
        <v>849</v>
      </c>
      <c r="G365" s="475">
        <v>9446</v>
      </c>
      <c r="H365" s="475">
        <v>76</v>
      </c>
      <c r="I365" s="475">
        <v>56</v>
      </c>
      <c r="J365" s="476">
        <v>568</v>
      </c>
      <c r="K365" s="475">
        <v>3984</v>
      </c>
      <c r="L365" s="475">
        <v>382</v>
      </c>
      <c r="M365" s="475">
        <v>2144</v>
      </c>
      <c r="N365" s="476">
        <v>2804</v>
      </c>
      <c r="O365" s="475">
        <v>1498</v>
      </c>
      <c r="P365" s="476">
        <v>1179</v>
      </c>
      <c r="R365" s="483">
        <v>1198</v>
      </c>
      <c r="S365" s="483">
        <v>10146</v>
      </c>
      <c r="T365" s="483">
        <v>9314</v>
      </c>
    </row>
    <row r="366" spans="1:20" x14ac:dyDescent="0.35">
      <c r="A366" s="506" t="s">
        <v>362</v>
      </c>
      <c r="B366" s="506"/>
      <c r="C366" s="471"/>
      <c r="D366" s="471"/>
      <c r="E366" s="471"/>
      <c r="F366" s="472"/>
      <c r="G366" s="471"/>
      <c r="H366" s="475">
        <v>262</v>
      </c>
      <c r="I366" s="475">
        <v>26</v>
      </c>
      <c r="J366" s="476">
        <v>3125</v>
      </c>
      <c r="K366" s="475">
        <v>450</v>
      </c>
      <c r="L366" s="475">
        <v>73</v>
      </c>
      <c r="M366" s="475">
        <v>63</v>
      </c>
      <c r="N366" s="472"/>
      <c r="O366" s="475">
        <v>-889</v>
      </c>
      <c r="P366" s="476">
        <v>525</v>
      </c>
      <c r="R366" s="473"/>
      <c r="S366" s="483">
        <v>3413</v>
      </c>
      <c r="T366" s="483">
        <v>584</v>
      </c>
    </row>
    <row r="367" spans="1:20" x14ac:dyDescent="0.35">
      <c r="A367" s="506" t="s">
        <v>363</v>
      </c>
      <c r="B367" s="506"/>
      <c r="C367" s="475">
        <v>1349</v>
      </c>
      <c r="D367" s="475">
        <v>760</v>
      </c>
      <c r="E367" s="475">
        <v>-200</v>
      </c>
      <c r="F367" s="476">
        <v>1330</v>
      </c>
      <c r="G367" s="475">
        <v>-121</v>
      </c>
      <c r="H367" s="475">
        <v>427</v>
      </c>
      <c r="I367" s="475">
        <v>630</v>
      </c>
      <c r="J367" s="476">
        <v>-189</v>
      </c>
      <c r="K367" s="471"/>
      <c r="L367" s="471"/>
      <c r="M367" s="475">
        <v>194</v>
      </c>
      <c r="N367" s="476">
        <v>32</v>
      </c>
      <c r="O367" s="471"/>
      <c r="P367" s="472"/>
      <c r="R367" s="483">
        <v>3239</v>
      </c>
      <c r="S367" s="483">
        <v>747</v>
      </c>
      <c r="T367" s="483">
        <v>228</v>
      </c>
    </row>
    <row r="368" spans="1:20" x14ac:dyDescent="0.35">
      <c r="A368" s="507" t="s">
        <v>1580</v>
      </c>
      <c r="B368" s="507"/>
      <c r="C368" s="487">
        <f t="shared" ref="C368:P368" si="19">SUM(C362:C367,C360)</f>
        <v>9327</v>
      </c>
      <c r="D368" s="487">
        <f t="shared" si="19"/>
        <v>17573</v>
      </c>
      <c r="E368" s="487">
        <f t="shared" si="19"/>
        <v>17742</v>
      </c>
      <c r="F368" s="488">
        <f t="shared" si="19"/>
        <v>16407</v>
      </c>
      <c r="G368" s="487">
        <f t="shared" si="19"/>
        <v>6241</v>
      </c>
      <c r="H368" s="487">
        <f t="shared" si="19"/>
        <v>16432</v>
      </c>
      <c r="I368" s="487">
        <f t="shared" si="19"/>
        <v>30013</v>
      </c>
      <c r="J368" s="488">
        <f t="shared" si="19"/>
        <v>33310</v>
      </c>
      <c r="K368" s="487">
        <f t="shared" si="19"/>
        <v>27595</v>
      </c>
      <c r="L368" s="487">
        <f t="shared" si="19"/>
        <v>46093</v>
      </c>
      <c r="M368" s="487">
        <f t="shared" si="19"/>
        <v>55612</v>
      </c>
      <c r="N368" s="488">
        <f t="shared" si="19"/>
        <v>62277</v>
      </c>
      <c r="O368" s="487">
        <f t="shared" si="19"/>
        <v>44716</v>
      </c>
      <c r="P368" s="488">
        <f t="shared" si="19"/>
        <v>50675</v>
      </c>
      <c r="R368" s="492">
        <f>SUM(R362:R367,R360)</f>
        <v>61049</v>
      </c>
      <c r="S368" s="492">
        <f>SUM(S362:S367,S360)</f>
        <v>85996</v>
      </c>
      <c r="T368" s="492">
        <f>SUM(T362:T367,T360)</f>
        <v>191577</v>
      </c>
    </row>
    <row r="369" spans="1:20" x14ac:dyDescent="0.35">
      <c r="A369" s="505"/>
      <c r="B369" s="505"/>
      <c r="C369" s="526"/>
      <c r="D369" s="526"/>
      <c r="E369" s="526"/>
      <c r="F369" s="527"/>
      <c r="G369" s="526"/>
      <c r="H369" s="526"/>
      <c r="I369" s="526"/>
      <c r="J369" s="527"/>
      <c r="K369" s="526"/>
      <c r="L369" s="526"/>
      <c r="M369" s="526"/>
      <c r="N369" s="527"/>
      <c r="O369" s="526"/>
      <c r="P369" s="527"/>
      <c r="R369" s="540"/>
      <c r="S369" s="540"/>
      <c r="T369" s="540"/>
    </row>
    <row r="370" spans="1:20" x14ac:dyDescent="0.35">
      <c r="A370" s="474" t="s">
        <v>814</v>
      </c>
      <c r="B370" s="474"/>
      <c r="C370" s="475">
        <v>2462</v>
      </c>
      <c r="D370" s="475">
        <v>4639</v>
      </c>
      <c r="E370" s="475">
        <v>4684</v>
      </c>
      <c r="F370" s="476">
        <v>4332</v>
      </c>
      <c r="G370" s="475">
        <v>1604</v>
      </c>
      <c r="H370" s="475">
        <v>4223</v>
      </c>
      <c r="I370" s="475">
        <v>7713</v>
      </c>
      <c r="J370" s="476">
        <v>8561</v>
      </c>
      <c r="K370" s="475">
        <v>7092</v>
      </c>
      <c r="L370" s="475">
        <v>12896</v>
      </c>
      <c r="M370" s="475">
        <v>13443</v>
      </c>
      <c r="N370" s="476">
        <v>15747</v>
      </c>
      <c r="O370" s="475">
        <v>11219</v>
      </c>
      <c r="P370" s="476">
        <v>12669</v>
      </c>
      <c r="R370" s="483">
        <v>16117</v>
      </c>
      <c r="S370" s="483">
        <v>22101</v>
      </c>
      <c r="T370" s="483">
        <v>49178</v>
      </c>
    </row>
    <row r="371" spans="1:20" x14ac:dyDescent="0.35">
      <c r="A371" s="511" t="s">
        <v>1491</v>
      </c>
      <c r="B371" s="511"/>
      <c r="C371" s="487">
        <f t="shared" ref="C371:P371" si="20">C368-C370</f>
        <v>6865</v>
      </c>
      <c r="D371" s="487">
        <f t="shared" si="20"/>
        <v>12934</v>
      </c>
      <c r="E371" s="487">
        <f t="shared" si="20"/>
        <v>13058</v>
      </c>
      <c r="F371" s="488">
        <f t="shared" si="20"/>
        <v>12075</v>
      </c>
      <c r="G371" s="487">
        <f t="shared" si="20"/>
        <v>4637</v>
      </c>
      <c r="H371" s="487">
        <f t="shared" si="20"/>
        <v>12209</v>
      </c>
      <c r="I371" s="487">
        <f t="shared" si="20"/>
        <v>22300</v>
      </c>
      <c r="J371" s="488">
        <f t="shared" si="20"/>
        <v>24749</v>
      </c>
      <c r="K371" s="487">
        <f t="shared" si="20"/>
        <v>20503</v>
      </c>
      <c r="L371" s="487">
        <f t="shared" si="20"/>
        <v>33197</v>
      </c>
      <c r="M371" s="487">
        <f t="shared" si="20"/>
        <v>42169</v>
      </c>
      <c r="N371" s="488">
        <f t="shared" si="20"/>
        <v>46530</v>
      </c>
      <c r="O371" s="487">
        <f t="shared" si="20"/>
        <v>33497</v>
      </c>
      <c r="P371" s="488">
        <f t="shared" si="20"/>
        <v>38006</v>
      </c>
      <c r="R371" s="492">
        <f>R368-R370</f>
        <v>44932</v>
      </c>
      <c r="S371" s="492">
        <f>S368-S370</f>
        <v>63895</v>
      </c>
      <c r="T371" s="492">
        <f>T368-T370</f>
        <v>142399</v>
      </c>
    </row>
    <row r="372" spans="1:20" x14ac:dyDescent="0.35">
      <c r="F372" s="477"/>
      <c r="J372" s="477"/>
      <c r="N372" s="477"/>
      <c r="P372" s="477"/>
      <c r="R372" s="478"/>
      <c r="S372" s="478"/>
      <c r="T372" s="478"/>
    </row>
    <row r="373" spans="1:20" x14ac:dyDescent="0.35">
      <c r="A373" s="513" t="s">
        <v>1581</v>
      </c>
      <c r="B373" s="513"/>
      <c r="F373" s="477"/>
      <c r="J373" s="477"/>
      <c r="N373" s="477"/>
      <c r="P373" s="477"/>
      <c r="R373" s="478"/>
      <c r="S373" s="478"/>
      <c r="T373" s="478"/>
    </row>
    <row r="374" spans="1:20" x14ac:dyDescent="0.35">
      <c r="A374" s="505" t="s">
        <v>1491</v>
      </c>
      <c r="B374" s="505"/>
      <c r="F374" s="477"/>
      <c r="J374" s="477"/>
      <c r="N374" s="477"/>
      <c r="P374" s="477"/>
      <c r="R374" s="478"/>
      <c r="S374" s="478"/>
      <c r="T374" s="478"/>
    </row>
    <row r="375" spans="1:20" x14ac:dyDescent="0.35">
      <c r="A375" s="506" t="s">
        <v>352</v>
      </c>
      <c r="B375" s="506"/>
      <c r="F375" s="477"/>
      <c r="G375" s="475">
        <v>-36530</v>
      </c>
      <c r="H375" s="460"/>
      <c r="J375" s="477"/>
      <c r="N375" s="477"/>
      <c r="P375" s="477"/>
      <c r="R375" s="478"/>
      <c r="S375" s="478"/>
      <c r="T375" s="478"/>
    </row>
    <row r="376" spans="1:20" x14ac:dyDescent="0.35">
      <c r="A376" s="522" t="s">
        <v>360</v>
      </c>
      <c r="B376" s="522"/>
      <c r="F376" s="477"/>
      <c r="G376" s="475">
        <v>-871</v>
      </c>
      <c r="H376" s="460"/>
      <c r="J376" s="477"/>
      <c r="N376" s="477"/>
      <c r="P376" s="477"/>
      <c r="R376" s="478"/>
      <c r="S376" s="478"/>
      <c r="T376" s="478"/>
    </row>
    <row r="377" spans="1:20" x14ac:dyDescent="0.35">
      <c r="A377" s="523" t="s">
        <v>350</v>
      </c>
      <c r="B377" s="523"/>
      <c r="C377" s="508"/>
      <c r="D377" s="508"/>
      <c r="E377" s="508"/>
      <c r="F377" s="509"/>
      <c r="G377" s="539">
        <f>SUM(G375,G376)</f>
        <v>-37401</v>
      </c>
      <c r="H377" s="541"/>
      <c r="I377" s="508"/>
      <c r="J377" s="509"/>
      <c r="K377" s="508"/>
      <c r="L377" s="508"/>
      <c r="M377" s="508"/>
      <c r="N377" s="509"/>
      <c r="O377" s="508"/>
      <c r="P377" s="509"/>
      <c r="R377" s="510"/>
      <c r="S377" s="510"/>
      <c r="T377" s="510"/>
    </row>
    <row r="378" spans="1:20" x14ac:dyDescent="0.35">
      <c r="A378" s="506"/>
      <c r="B378" s="506"/>
      <c r="F378" s="477"/>
      <c r="G378" s="460"/>
      <c r="H378" s="460"/>
      <c r="J378" s="477"/>
      <c r="N378" s="477"/>
      <c r="P378" s="477"/>
      <c r="R378" s="478"/>
      <c r="S378" s="478"/>
      <c r="T378" s="478"/>
    </row>
    <row r="379" spans="1:20" x14ac:dyDescent="0.35">
      <c r="A379" s="506" t="s">
        <v>1578</v>
      </c>
      <c r="B379" s="506"/>
      <c r="F379" s="477"/>
      <c r="G379" s="475">
        <v>11102</v>
      </c>
      <c r="H379" s="460"/>
      <c r="J379" s="477"/>
      <c r="N379" s="477"/>
      <c r="P379" s="477"/>
      <c r="R379" s="478"/>
      <c r="S379" s="478"/>
      <c r="T379" s="478"/>
    </row>
    <row r="380" spans="1:20" x14ac:dyDescent="0.35">
      <c r="A380" s="506" t="s">
        <v>1579</v>
      </c>
      <c r="B380" s="506"/>
      <c r="F380" s="477"/>
      <c r="G380" s="475">
        <v>848</v>
      </c>
      <c r="H380" s="460"/>
      <c r="J380" s="477"/>
      <c r="N380" s="477"/>
      <c r="P380" s="477"/>
      <c r="R380" s="478"/>
      <c r="S380" s="478"/>
      <c r="T380" s="478"/>
    </row>
    <row r="381" spans="1:20" x14ac:dyDescent="0.35">
      <c r="A381" s="506" t="s">
        <v>361</v>
      </c>
      <c r="B381" s="506"/>
      <c r="F381" s="477"/>
      <c r="G381" s="475">
        <v>3976</v>
      </c>
      <c r="H381" s="460"/>
      <c r="J381" s="477"/>
      <c r="N381" s="477"/>
      <c r="P381" s="477"/>
      <c r="R381" s="478"/>
      <c r="S381" s="478"/>
      <c r="T381" s="478"/>
    </row>
    <row r="382" spans="1:20" x14ac:dyDescent="0.35">
      <c r="A382" s="506" t="s">
        <v>234</v>
      </c>
      <c r="B382" s="506"/>
      <c r="F382" s="477"/>
      <c r="G382" s="475">
        <v>22840</v>
      </c>
      <c r="H382" s="460"/>
      <c r="J382" s="477"/>
      <c r="N382" s="477"/>
      <c r="P382" s="477"/>
      <c r="R382" s="478"/>
      <c r="S382" s="478"/>
      <c r="T382" s="478"/>
    </row>
    <row r="383" spans="1:20" x14ac:dyDescent="0.35">
      <c r="A383" s="506" t="s">
        <v>362</v>
      </c>
      <c r="B383" s="506"/>
      <c r="F383" s="477"/>
      <c r="G383" s="475">
        <v>327</v>
      </c>
      <c r="H383" s="460"/>
      <c r="J383" s="477"/>
      <c r="N383" s="477"/>
      <c r="P383" s="477"/>
      <c r="R383" s="478"/>
      <c r="S383" s="478"/>
      <c r="T383" s="478"/>
    </row>
    <row r="384" spans="1:20" x14ac:dyDescent="0.35">
      <c r="A384" s="506" t="s">
        <v>363</v>
      </c>
      <c r="B384" s="506"/>
      <c r="F384" s="477"/>
      <c r="G384" s="475">
        <v>153</v>
      </c>
      <c r="H384" s="460"/>
      <c r="J384" s="477"/>
      <c r="N384" s="477"/>
      <c r="P384" s="477"/>
      <c r="R384" s="478"/>
      <c r="S384" s="478"/>
      <c r="T384" s="478"/>
    </row>
    <row r="385" spans="1:20" x14ac:dyDescent="0.35">
      <c r="A385" s="507" t="s">
        <v>1580</v>
      </c>
      <c r="B385" s="507"/>
      <c r="C385" s="508"/>
      <c r="D385" s="508"/>
      <c r="E385" s="508"/>
      <c r="F385" s="509"/>
      <c r="G385" s="539">
        <f>SUM(G377,G379:G384)</f>
        <v>1845</v>
      </c>
      <c r="H385" s="541"/>
      <c r="I385" s="508"/>
      <c r="J385" s="509"/>
      <c r="K385" s="508"/>
      <c r="L385" s="508"/>
      <c r="M385" s="508"/>
      <c r="N385" s="509"/>
      <c r="O385" s="508"/>
      <c r="P385" s="509"/>
      <c r="R385" s="510"/>
      <c r="S385" s="510"/>
      <c r="T385" s="510"/>
    </row>
    <row r="386" spans="1:20" x14ac:dyDescent="0.35">
      <c r="A386" s="505"/>
      <c r="B386" s="505"/>
      <c r="F386" s="477"/>
      <c r="H386" s="460"/>
      <c r="J386" s="477"/>
      <c r="N386" s="477"/>
      <c r="P386" s="477"/>
      <c r="R386" s="478"/>
      <c r="S386" s="478"/>
      <c r="T386" s="478"/>
    </row>
    <row r="387" spans="1:20" x14ac:dyDescent="0.35">
      <c r="A387" s="474" t="s">
        <v>814</v>
      </c>
      <c r="B387" s="474"/>
      <c r="F387" s="477"/>
      <c r="G387" s="475">
        <v>474</v>
      </c>
      <c r="H387" s="460"/>
      <c r="J387" s="477"/>
      <c r="N387" s="477"/>
      <c r="P387" s="477"/>
      <c r="R387" s="478"/>
      <c r="S387" s="478"/>
      <c r="T387" s="478"/>
    </row>
    <row r="388" spans="1:20" x14ac:dyDescent="0.35">
      <c r="A388" s="511" t="s">
        <v>1491</v>
      </c>
      <c r="B388" s="511"/>
      <c r="C388" s="508"/>
      <c r="D388" s="508"/>
      <c r="E388" s="508"/>
      <c r="F388" s="509"/>
      <c r="G388" s="539">
        <f>G385-G387</f>
        <v>1371</v>
      </c>
      <c r="H388" s="484"/>
      <c r="I388" s="508"/>
      <c r="J388" s="509"/>
      <c r="K388" s="508"/>
      <c r="L388" s="508"/>
      <c r="M388" s="508"/>
      <c r="N388" s="509"/>
      <c r="O388" s="508"/>
      <c r="P388" s="509"/>
      <c r="R388" s="510"/>
      <c r="S388" s="510"/>
      <c r="T388" s="510"/>
    </row>
    <row r="389" spans="1:20" x14ac:dyDescent="0.35">
      <c r="F389" s="477"/>
      <c r="J389" s="477"/>
      <c r="N389" s="477"/>
      <c r="P389" s="477"/>
      <c r="R389" s="478"/>
      <c r="S389" s="478"/>
      <c r="T389" s="478"/>
    </row>
    <row r="390" spans="1:20" x14ac:dyDescent="0.35">
      <c r="A390" s="513" t="s">
        <v>1582</v>
      </c>
      <c r="B390" s="513"/>
      <c r="C390" s="471"/>
      <c r="D390" s="471"/>
      <c r="E390" s="471"/>
      <c r="F390" s="472"/>
      <c r="G390" s="471"/>
      <c r="H390" s="471"/>
      <c r="I390" s="471"/>
      <c r="J390" s="472"/>
      <c r="K390" s="471"/>
      <c r="L390" s="471"/>
      <c r="M390" s="471"/>
      <c r="N390" s="472"/>
      <c r="O390" s="471"/>
      <c r="P390" s="472"/>
      <c r="R390" s="473"/>
      <c r="S390" s="473"/>
      <c r="T390" s="473"/>
    </row>
    <row r="391" spans="1:20" x14ac:dyDescent="0.35">
      <c r="A391" s="474" t="s">
        <v>1583</v>
      </c>
      <c r="B391" s="474"/>
      <c r="C391" s="471"/>
      <c r="D391" s="471"/>
      <c r="E391" s="471"/>
      <c r="F391" s="472"/>
      <c r="G391" s="502">
        <f>S391-SUM(H391,I391,J391)</f>
        <v>-0.15999999999999998</v>
      </c>
      <c r="H391" s="502">
        <v>-0.13</v>
      </c>
      <c r="I391" s="502">
        <v>-0.03</v>
      </c>
      <c r="J391" s="503">
        <v>-0.05</v>
      </c>
      <c r="K391" s="502">
        <v>-0.15</v>
      </c>
      <c r="L391" s="502">
        <v>0.03</v>
      </c>
      <c r="M391" s="502">
        <v>0.11</v>
      </c>
      <c r="N391" s="503">
        <v>0.1</v>
      </c>
      <c r="O391" s="502">
        <v>0.09</v>
      </c>
      <c r="P391" s="503">
        <v>0.09</v>
      </c>
      <c r="R391" s="504">
        <v>0.21</v>
      </c>
      <c r="S391" s="504">
        <v>-0.37</v>
      </c>
      <c r="T391" s="504">
        <v>0.11</v>
      </c>
    </row>
    <row r="392" spans="1:20" x14ac:dyDescent="0.35">
      <c r="A392" s="505" t="s">
        <v>1584</v>
      </c>
      <c r="B392" s="505"/>
      <c r="C392" s="471"/>
      <c r="D392" s="471"/>
      <c r="E392" s="471"/>
      <c r="F392" s="472"/>
      <c r="G392" s="471"/>
      <c r="H392" s="471"/>
      <c r="I392" s="471"/>
      <c r="J392" s="472"/>
      <c r="K392" s="471"/>
      <c r="L392" s="471"/>
      <c r="M392" s="471"/>
      <c r="N392" s="472"/>
      <c r="O392" s="471"/>
      <c r="P392" s="472"/>
      <c r="R392" s="473"/>
      <c r="S392" s="473"/>
      <c r="T392" s="473"/>
    </row>
    <row r="393" spans="1:20" x14ac:dyDescent="0.35">
      <c r="A393" s="506" t="s">
        <v>881</v>
      </c>
      <c r="B393" s="506"/>
      <c r="C393" s="471"/>
      <c r="D393" s="471"/>
      <c r="E393" s="471"/>
      <c r="F393" s="472"/>
      <c r="G393" s="471">
        <f t="shared" ref="G393:G401" si="21">S393-SUM(H393,I393,J393)</f>
        <v>-3.9999999999999994E-2</v>
      </c>
      <c r="H393" s="502">
        <v>-0.03</v>
      </c>
      <c r="I393" s="502">
        <v>-0.02</v>
      </c>
      <c r="J393" s="472">
        <v>0</v>
      </c>
      <c r="K393" s="502">
        <v>-0.03</v>
      </c>
      <c r="L393" s="502">
        <v>0.02</v>
      </c>
      <c r="M393" s="502">
        <v>0.02</v>
      </c>
      <c r="N393" s="503">
        <v>0.04</v>
      </c>
      <c r="O393" s="502">
        <v>0.03</v>
      </c>
      <c r="P393" s="503">
        <v>0.04</v>
      </c>
      <c r="R393" s="504">
        <v>0.04</v>
      </c>
      <c r="S393" s="504">
        <v>-0.09</v>
      </c>
      <c r="T393" s="504">
        <v>0.06</v>
      </c>
    </row>
    <row r="394" spans="1:20" x14ac:dyDescent="0.35">
      <c r="A394" s="506" t="s">
        <v>1578</v>
      </c>
      <c r="B394" s="506"/>
      <c r="C394" s="471"/>
      <c r="D394" s="471"/>
      <c r="E394" s="471"/>
      <c r="F394" s="472"/>
      <c r="G394" s="502">
        <f t="shared" si="21"/>
        <v>-9.9999999999999985E-3</v>
      </c>
      <c r="H394" s="502">
        <v>0.01</v>
      </c>
      <c r="I394" s="502">
        <v>0.01</v>
      </c>
      <c r="J394" s="503">
        <v>0.01</v>
      </c>
      <c r="K394" s="502">
        <v>0.11</v>
      </c>
      <c r="L394" s="502">
        <v>0.03</v>
      </c>
      <c r="M394" s="471">
        <v>0</v>
      </c>
      <c r="N394" s="472">
        <v>0</v>
      </c>
      <c r="O394" s="502">
        <v>-0.03</v>
      </c>
      <c r="P394" s="503">
        <v>-0.01</v>
      </c>
      <c r="R394" s="504">
        <v>0.02</v>
      </c>
      <c r="S394" s="504">
        <v>0.02</v>
      </c>
      <c r="T394" s="504">
        <v>0.14000000000000001</v>
      </c>
    </row>
    <row r="395" spans="1:20" x14ac:dyDescent="0.35">
      <c r="A395" s="506" t="s">
        <v>1579</v>
      </c>
      <c r="B395" s="506"/>
      <c r="C395" s="471"/>
      <c r="D395" s="471"/>
      <c r="E395" s="471"/>
      <c r="F395" s="472"/>
      <c r="G395" s="502">
        <f t="shared" si="21"/>
        <v>0.16999999999999993</v>
      </c>
      <c r="H395" s="502">
        <v>0.27</v>
      </c>
      <c r="I395" s="502">
        <v>0.26</v>
      </c>
      <c r="J395" s="503">
        <v>0.26</v>
      </c>
      <c r="K395" s="502">
        <v>0.24</v>
      </c>
      <c r="L395" s="502">
        <v>0.25</v>
      </c>
      <c r="M395" s="502">
        <v>0.21</v>
      </c>
      <c r="N395" s="503">
        <v>0.21</v>
      </c>
      <c r="O395" s="502">
        <v>0.19</v>
      </c>
      <c r="P395" s="503">
        <v>0.19</v>
      </c>
      <c r="R395" s="504">
        <v>7.0000000000000007E-2</v>
      </c>
      <c r="S395" s="504">
        <v>0.96</v>
      </c>
      <c r="T395" s="504">
        <v>0.9</v>
      </c>
    </row>
    <row r="396" spans="1:20" x14ac:dyDescent="0.35">
      <c r="A396" s="506" t="s">
        <v>361</v>
      </c>
      <c r="B396" s="506"/>
      <c r="C396" s="471"/>
      <c r="D396" s="471"/>
      <c r="E396" s="471"/>
      <c r="F396" s="472"/>
      <c r="G396" s="471">
        <f t="shared" si="21"/>
        <v>0.01</v>
      </c>
      <c r="H396" s="471">
        <v>0</v>
      </c>
      <c r="I396" s="471">
        <v>0</v>
      </c>
      <c r="J396" s="472">
        <v>0</v>
      </c>
      <c r="K396" s="471">
        <v>0</v>
      </c>
      <c r="L396" s="502">
        <v>0.02</v>
      </c>
      <c r="M396" s="502">
        <v>0.01</v>
      </c>
      <c r="N396" s="503">
        <v>0.03</v>
      </c>
      <c r="O396" s="502">
        <v>0.01</v>
      </c>
      <c r="P396" s="503">
        <v>0.01</v>
      </c>
      <c r="R396" s="504">
        <v>0.01</v>
      </c>
      <c r="S396" s="504">
        <v>0.01</v>
      </c>
      <c r="T396" s="504">
        <v>7.0000000000000007E-2</v>
      </c>
    </row>
    <row r="397" spans="1:20" x14ac:dyDescent="0.35">
      <c r="A397" s="506" t="s">
        <v>234</v>
      </c>
      <c r="B397" s="506"/>
      <c r="C397" s="471"/>
      <c r="D397" s="471"/>
      <c r="E397" s="471"/>
      <c r="F397" s="472"/>
      <c r="G397" s="471">
        <f t="shared" si="21"/>
        <v>0.08</v>
      </c>
      <c r="H397" s="471">
        <v>0</v>
      </c>
      <c r="I397" s="471">
        <v>0</v>
      </c>
      <c r="J397" s="472">
        <v>0</v>
      </c>
      <c r="K397" s="502">
        <v>0.03</v>
      </c>
      <c r="L397" s="471">
        <v>0</v>
      </c>
      <c r="M397" s="502">
        <v>0.01</v>
      </c>
      <c r="N397" s="503">
        <v>0.02</v>
      </c>
      <c r="O397" s="502">
        <v>0.01</v>
      </c>
      <c r="P397" s="503">
        <v>0.01</v>
      </c>
      <c r="R397" s="504">
        <v>0.01</v>
      </c>
      <c r="S397" s="504">
        <v>0.08</v>
      </c>
      <c r="T397" s="504">
        <v>7.0000000000000007E-2</v>
      </c>
    </row>
    <row r="398" spans="1:20" x14ac:dyDescent="0.35">
      <c r="A398" s="506" t="s">
        <v>362</v>
      </c>
      <c r="B398" s="506"/>
      <c r="C398" s="471"/>
      <c r="D398" s="471"/>
      <c r="E398" s="471"/>
      <c r="F398" s="472"/>
      <c r="G398" s="502">
        <f t="shared" si="21"/>
        <v>9.9999999999999985E-3</v>
      </c>
      <c r="H398" s="471">
        <v>0</v>
      </c>
      <c r="I398" s="471">
        <v>0</v>
      </c>
      <c r="J398" s="503">
        <v>0.02</v>
      </c>
      <c r="K398" s="471">
        <v>0</v>
      </c>
      <c r="L398" s="471">
        <v>0</v>
      </c>
      <c r="M398" s="471">
        <v>0</v>
      </c>
      <c r="N398" s="472">
        <f>T398-SUM(K398,L398,M398)</f>
        <v>0</v>
      </c>
      <c r="O398" s="502">
        <v>-0.01</v>
      </c>
      <c r="P398" s="472">
        <v>0</v>
      </c>
      <c r="R398" s="478"/>
      <c r="S398" s="504">
        <v>0.03</v>
      </c>
      <c r="T398" s="473">
        <v>0</v>
      </c>
    </row>
    <row r="399" spans="1:20" x14ac:dyDescent="0.35">
      <c r="A399" s="506" t="s">
        <v>363</v>
      </c>
      <c r="B399" s="506"/>
      <c r="C399" s="471"/>
      <c r="D399" s="471"/>
      <c r="E399" s="471"/>
      <c r="F399" s="472"/>
      <c r="G399" s="471">
        <f t="shared" si="21"/>
        <v>0.01</v>
      </c>
      <c r="H399" s="471">
        <v>0</v>
      </c>
      <c r="I399" s="471">
        <v>0</v>
      </c>
      <c r="J399" s="472">
        <v>0</v>
      </c>
      <c r="K399" s="471"/>
      <c r="L399" s="471"/>
      <c r="M399" s="471">
        <v>0</v>
      </c>
      <c r="N399" s="472">
        <v>0</v>
      </c>
      <c r="O399" s="471"/>
      <c r="P399" s="472"/>
      <c r="R399" s="504">
        <v>0.02</v>
      </c>
      <c r="S399" s="504">
        <v>0.01</v>
      </c>
      <c r="T399" s="473">
        <v>0</v>
      </c>
    </row>
    <row r="400" spans="1:20" x14ac:dyDescent="0.35">
      <c r="A400" s="506" t="s">
        <v>1585</v>
      </c>
      <c r="B400" s="506"/>
      <c r="C400" s="471"/>
      <c r="D400" s="471"/>
      <c r="E400" s="471"/>
      <c r="F400" s="472"/>
      <c r="G400" s="502">
        <f t="shared" si="21"/>
        <v>-1.0000000000000009E-2</v>
      </c>
      <c r="H400" s="502">
        <v>-0.03</v>
      </c>
      <c r="I400" s="502">
        <v>-0.06</v>
      </c>
      <c r="J400" s="503">
        <v>-7.0000000000000007E-2</v>
      </c>
      <c r="K400" s="502">
        <v>-0.05</v>
      </c>
      <c r="L400" s="502">
        <v>-0.1</v>
      </c>
      <c r="M400" s="502">
        <v>-0.09</v>
      </c>
      <c r="N400" s="503">
        <v>-0.1</v>
      </c>
      <c r="O400" s="502">
        <v>-7.0000000000000007E-2</v>
      </c>
      <c r="P400" s="503">
        <v>-0.08</v>
      </c>
      <c r="R400" s="504">
        <v>-0.1</v>
      </c>
      <c r="S400" s="504">
        <v>-0.17</v>
      </c>
      <c r="T400" s="504">
        <v>-0.35</v>
      </c>
    </row>
    <row r="401" spans="1:20" x14ac:dyDescent="0.35">
      <c r="A401" s="511" t="s">
        <v>1586</v>
      </c>
      <c r="B401" s="511"/>
      <c r="C401" s="485"/>
      <c r="D401" s="485"/>
      <c r="E401" s="485"/>
      <c r="F401" s="486"/>
      <c r="G401" s="542">
        <f t="shared" si="21"/>
        <v>3.999999999999998E-2</v>
      </c>
      <c r="H401" s="542">
        <v>0.09</v>
      </c>
      <c r="I401" s="542">
        <v>0.17</v>
      </c>
      <c r="J401" s="543">
        <v>0.19</v>
      </c>
      <c r="K401" s="542">
        <v>0.16</v>
      </c>
      <c r="L401" s="544">
        <f>SUM(L391,L393:L400)</f>
        <v>0.25</v>
      </c>
      <c r="M401" s="542">
        <v>0.28000000000000003</v>
      </c>
      <c r="N401" s="543">
        <v>0.31</v>
      </c>
      <c r="O401" s="542">
        <v>0.22</v>
      </c>
      <c r="P401" s="545">
        <f>SUM(P391,P393:P400)</f>
        <v>0.25</v>
      </c>
      <c r="R401" s="546">
        <v>0.27</v>
      </c>
      <c r="S401" s="546">
        <v>0.49</v>
      </c>
      <c r="T401" s="546">
        <v>1.01</v>
      </c>
    </row>
    <row r="402" spans="1:20" x14ac:dyDescent="0.35">
      <c r="A402" s="512"/>
      <c r="B402" s="512"/>
      <c r="C402" s="471"/>
      <c r="D402" s="471"/>
      <c r="E402" s="471"/>
      <c r="F402" s="472"/>
      <c r="G402" s="471"/>
      <c r="H402" s="471"/>
      <c r="I402" s="471"/>
      <c r="J402" s="472"/>
      <c r="K402" s="471"/>
      <c r="L402" s="471"/>
      <c r="M402" s="471"/>
      <c r="N402" s="472"/>
      <c r="O402" s="471"/>
      <c r="P402" s="472"/>
      <c r="R402" s="473"/>
      <c r="S402" s="473"/>
      <c r="T402" s="473"/>
    </row>
    <row r="403" spans="1:20" x14ac:dyDescent="0.35">
      <c r="A403" s="513" t="s">
        <v>1587</v>
      </c>
      <c r="B403" s="513"/>
      <c r="C403" s="471"/>
      <c r="D403" s="471"/>
      <c r="E403" s="471"/>
      <c r="F403" s="472"/>
      <c r="G403" s="471"/>
      <c r="H403" s="471"/>
      <c r="I403" s="471"/>
      <c r="J403" s="472"/>
      <c r="K403" s="471"/>
      <c r="L403" s="471"/>
      <c r="M403" s="471"/>
      <c r="N403" s="472"/>
      <c r="O403" s="471"/>
      <c r="P403" s="472"/>
      <c r="R403" s="473"/>
      <c r="S403" s="473"/>
      <c r="T403" s="473"/>
    </row>
    <row r="404" spans="1:20" x14ac:dyDescent="0.35">
      <c r="A404" s="474" t="s">
        <v>1588</v>
      </c>
      <c r="B404" s="474"/>
      <c r="C404" s="471"/>
      <c r="D404" s="471"/>
      <c r="E404" s="471"/>
      <c r="F404" s="472"/>
      <c r="G404" s="471"/>
      <c r="H404" s="475">
        <v>130000000</v>
      </c>
      <c r="I404" s="475">
        <v>130000000</v>
      </c>
      <c r="J404" s="476">
        <v>130000000</v>
      </c>
      <c r="K404" s="471"/>
      <c r="L404" s="475">
        <v>135368909</v>
      </c>
      <c r="M404" s="475">
        <v>152400419</v>
      </c>
      <c r="N404" s="476">
        <v>152284628</v>
      </c>
      <c r="O404" s="471"/>
      <c r="P404" s="472"/>
      <c r="R404" s="483">
        <v>163879766</v>
      </c>
      <c r="S404" s="483">
        <v>130000000</v>
      </c>
      <c r="T404" s="483">
        <v>141687384</v>
      </c>
    </row>
    <row r="405" spans="1:20" x14ac:dyDescent="0.35">
      <c r="A405" s="474" t="s">
        <v>1589</v>
      </c>
      <c r="B405" s="474"/>
      <c r="C405" s="471"/>
      <c r="D405" s="471"/>
      <c r="E405" s="471"/>
      <c r="F405" s="472"/>
      <c r="G405" s="471"/>
      <c r="H405" s="475">
        <v>130000000</v>
      </c>
      <c r="I405" s="475">
        <v>130000000</v>
      </c>
      <c r="J405" s="476">
        <v>130000000</v>
      </c>
      <c r="K405" s="471"/>
      <c r="L405" s="475">
        <v>135368909</v>
      </c>
      <c r="M405" s="475">
        <v>152400419</v>
      </c>
      <c r="N405" s="476">
        <v>152284628</v>
      </c>
      <c r="O405" s="471"/>
      <c r="P405" s="472"/>
      <c r="R405" s="473"/>
      <c r="S405" s="483">
        <v>130000000</v>
      </c>
      <c r="T405" s="483">
        <v>141687384</v>
      </c>
    </row>
    <row r="406" spans="1:20" x14ac:dyDescent="0.35">
      <c r="A406" s="474" t="s">
        <v>1590</v>
      </c>
      <c r="B406" s="474"/>
      <c r="C406" s="471"/>
      <c r="D406" s="471"/>
      <c r="E406" s="471"/>
      <c r="F406" s="472"/>
      <c r="G406" s="471"/>
      <c r="H406" s="471"/>
      <c r="I406" s="471"/>
      <c r="J406" s="472"/>
      <c r="K406" s="475">
        <v>130000000</v>
      </c>
      <c r="L406" s="471"/>
      <c r="M406" s="471"/>
      <c r="N406" s="472"/>
      <c r="O406" s="475">
        <v>152348806</v>
      </c>
      <c r="P406" s="476">
        <v>152360350</v>
      </c>
      <c r="R406" s="473"/>
      <c r="S406" s="473"/>
      <c r="T406" s="473"/>
    </row>
    <row r="407" spans="1:20" x14ac:dyDescent="0.35">
      <c r="A407" s="506"/>
      <c r="B407" s="506"/>
      <c r="C407" s="471"/>
      <c r="D407" s="471"/>
      <c r="E407" s="471"/>
      <c r="F407" s="472"/>
      <c r="G407" s="471"/>
      <c r="H407" s="471"/>
      <c r="I407" s="471"/>
      <c r="J407" s="472"/>
      <c r="K407" s="471"/>
      <c r="L407" s="471"/>
      <c r="M407" s="471"/>
      <c r="N407" s="472"/>
      <c r="O407" s="471"/>
      <c r="P407" s="472"/>
      <c r="R407" s="473"/>
      <c r="S407" s="473"/>
      <c r="T407" s="473"/>
    </row>
    <row r="408" spans="1:20" x14ac:dyDescent="0.35">
      <c r="A408" s="513" t="s">
        <v>1591</v>
      </c>
      <c r="B408" s="513"/>
      <c r="C408" s="471"/>
      <c r="D408" s="471"/>
      <c r="E408" s="471"/>
      <c r="F408" s="472"/>
      <c r="G408" s="471"/>
      <c r="H408" s="471"/>
      <c r="I408" s="471"/>
      <c r="J408" s="472"/>
      <c r="K408" s="471"/>
      <c r="L408" s="471"/>
      <c r="M408" s="471"/>
      <c r="N408" s="472"/>
      <c r="O408" s="471"/>
      <c r="P408" s="472"/>
      <c r="R408" s="473"/>
      <c r="S408" s="473"/>
      <c r="T408" s="473"/>
    </row>
    <row r="409" spans="1:20" x14ac:dyDescent="0.35">
      <c r="A409" s="474" t="s">
        <v>1583</v>
      </c>
      <c r="B409" s="474"/>
      <c r="C409" s="471"/>
      <c r="D409" s="471"/>
      <c r="E409" s="471"/>
      <c r="F409" s="472"/>
      <c r="G409" s="502">
        <v>-0.24</v>
      </c>
      <c r="H409" s="471"/>
      <c r="I409" s="471"/>
      <c r="J409" s="472"/>
      <c r="K409" s="471"/>
      <c r="L409" s="471"/>
      <c r="M409" s="471"/>
      <c r="N409" s="472"/>
      <c r="O409" s="471"/>
      <c r="P409" s="472"/>
      <c r="R409" s="473"/>
      <c r="S409" s="473"/>
      <c r="T409" s="473"/>
    </row>
    <row r="410" spans="1:20" x14ac:dyDescent="0.35">
      <c r="A410" s="505" t="s">
        <v>1584</v>
      </c>
      <c r="B410" s="505"/>
      <c r="C410" s="471"/>
      <c r="D410" s="471"/>
      <c r="E410" s="471"/>
      <c r="F410" s="472"/>
      <c r="G410" s="471"/>
      <c r="H410" s="471"/>
      <c r="I410" s="471"/>
      <c r="J410" s="472"/>
      <c r="K410" s="471"/>
      <c r="L410" s="471"/>
      <c r="M410" s="471"/>
      <c r="N410" s="472"/>
      <c r="O410" s="471"/>
      <c r="P410" s="472"/>
      <c r="R410" s="473"/>
      <c r="S410" s="473"/>
      <c r="T410" s="473"/>
    </row>
    <row r="411" spans="1:20" x14ac:dyDescent="0.35">
      <c r="A411" s="506" t="s">
        <v>881</v>
      </c>
      <c r="B411" s="506"/>
      <c r="C411" s="471"/>
      <c r="D411" s="471"/>
      <c r="E411" s="471"/>
      <c r="F411" s="472"/>
      <c r="G411" s="502">
        <v>-0.01</v>
      </c>
      <c r="H411" s="471"/>
      <c r="I411" s="471"/>
      <c r="J411" s="472"/>
      <c r="K411" s="471"/>
      <c r="L411" s="471"/>
      <c r="M411" s="471"/>
      <c r="N411" s="472"/>
      <c r="O411" s="471"/>
      <c r="P411" s="472"/>
      <c r="R411" s="473"/>
      <c r="S411" s="473"/>
      <c r="T411" s="473"/>
    </row>
    <row r="412" spans="1:20" x14ac:dyDescent="0.35">
      <c r="A412" s="506" t="s">
        <v>1592</v>
      </c>
      <c r="B412" s="506"/>
      <c r="C412" s="471"/>
      <c r="D412" s="471"/>
      <c r="E412" s="471"/>
      <c r="F412" s="472"/>
      <c r="G412" s="502">
        <v>7.0000000000000007E-2</v>
      </c>
      <c r="H412" s="471"/>
      <c r="I412" s="471"/>
      <c r="J412" s="472"/>
      <c r="K412" s="471"/>
      <c r="L412" s="471"/>
      <c r="M412" s="471"/>
      <c r="N412" s="472"/>
      <c r="O412" s="471"/>
      <c r="P412" s="472"/>
      <c r="R412" s="473"/>
      <c r="S412" s="473"/>
      <c r="T412" s="473"/>
    </row>
    <row r="413" spans="1:20" x14ac:dyDescent="0.35">
      <c r="A413" s="506" t="s">
        <v>1579</v>
      </c>
      <c r="B413" s="506"/>
      <c r="C413" s="471"/>
      <c r="D413" s="471"/>
      <c r="E413" s="471"/>
      <c r="F413" s="472"/>
      <c r="G413" s="502">
        <v>0.01</v>
      </c>
      <c r="H413" s="471"/>
      <c r="I413" s="471"/>
      <c r="J413" s="472"/>
      <c r="K413" s="471"/>
      <c r="L413" s="471"/>
      <c r="M413" s="471"/>
      <c r="N413" s="472"/>
      <c r="O413" s="471"/>
      <c r="P413" s="472"/>
      <c r="R413" s="473"/>
      <c r="S413" s="473"/>
      <c r="T413" s="473"/>
    </row>
    <row r="414" spans="1:20" x14ac:dyDescent="0.35">
      <c r="A414" s="506" t="s">
        <v>361</v>
      </c>
      <c r="B414" s="506"/>
      <c r="C414" s="471"/>
      <c r="D414" s="471"/>
      <c r="E414" s="471"/>
      <c r="F414" s="472"/>
      <c r="G414" s="502">
        <v>0.03</v>
      </c>
      <c r="H414" s="471"/>
      <c r="I414" s="471"/>
      <c r="J414" s="472"/>
      <c r="K414" s="471"/>
      <c r="L414" s="471"/>
      <c r="M414" s="471"/>
      <c r="N414" s="472"/>
      <c r="O414" s="471"/>
      <c r="P414" s="472"/>
      <c r="R414" s="473"/>
      <c r="S414" s="473"/>
      <c r="T414" s="473"/>
    </row>
    <row r="415" spans="1:20" x14ac:dyDescent="0.35">
      <c r="A415" s="506" t="s">
        <v>234</v>
      </c>
      <c r="B415" s="506"/>
      <c r="C415" s="471"/>
      <c r="D415" s="471"/>
      <c r="E415" s="471"/>
      <c r="F415" s="472"/>
      <c r="G415" s="502">
        <v>0.15</v>
      </c>
      <c r="H415" s="471"/>
      <c r="I415" s="471"/>
      <c r="J415" s="472"/>
      <c r="K415" s="471"/>
      <c r="L415" s="471"/>
      <c r="M415" s="471"/>
      <c r="N415" s="472"/>
      <c r="O415" s="471"/>
      <c r="P415" s="472"/>
      <c r="R415" s="473"/>
      <c r="S415" s="473"/>
      <c r="T415" s="473"/>
    </row>
    <row r="416" spans="1:20" x14ac:dyDescent="0.35">
      <c r="A416" s="506" t="s">
        <v>362</v>
      </c>
      <c r="B416" s="506"/>
      <c r="C416" s="471"/>
      <c r="D416" s="471"/>
      <c r="E416" s="471"/>
      <c r="F416" s="472"/>
      <c r="G416" s="471">
        <v>0</v>
      </c>
      <c r="H416" s="471"/>
      <c r="I416" s="471"/>
      <c r="J416" s="472"/>
      <c r="K416" s="471"/>
      <c r="L416" s="471"/>
      <c r="M416" s="471"/>
      <c r="N416" s="472"/>
      <c r="O416" s="471"/>
      <c r="P416" s="472"/>
      <c r="R416" s="473"/>
      <c r="S416" s="473"/>
      <c r="T416" s="473"/>
    </row>
    <row r="417" spans="1:20" x14ac:dyDescent="0.35">
      <c r="A417" s="506" t="s">
        <v>363</v>
      </c>
      <c r="B417" s="506"/>
      <c r="C417" s="471"/>
      <c r="D417" s="471"/>
      <c r="E417" s="471"/>
      <c r="F417" s="472"/>
      <c r="G417" s="471">
        <v>0</v>
      </c>
      <c r="H417" s="471"/>
      <c r="I417" s="471"/>
      <c r="J417" s="472"/>
      <c r="K417" s="471"/>
      <c r="L417" s="471"/>
      <c r="M417" s="471"/>
      <c r="N417" s="472"/>
      <c r="O417" s="471"/>
      <c r="P417" s="472"/>
      <c r="R417" s="473"/>
      <c r="S417" s="473"/>
      <c r="T417" s="473"/>
    </row>
    <row r="418" spans="1:20" x14ac:dyDescent="0.35">
      <c r="A418" s="506" t="s">
        <v>1585</v>
      </c>
      <c r="B418" s="506"/>
      <c r="C418" s="471"/>
      <c r="D418" s="471"/>
      <c r="E418" s="471"/>
      <c r="F418" s="472"/>
      <c r="G418" s="471">
        <v>0</v>
      </c>
      <c r="H418" s="471"/>
      <c r="I418" s="471"/>
      <c r="J418" s="472"/>
      <c r="K418" s="471"/>
      <c r="L418" s="471"/>
      <c r="M418" s="471"/>
      <c r="N418" s="472"/>
      <c r="O418" s="471"/>
      <c r="P418" s="472"/>
      <c r="R418" s="473"/>
      <c r="S418" s="473"/>
      <c r="T418" s="473"/>
    </row>
    <row r="419" spans="1:20" x14ac:dyDescent="0.35">
      <c r="A419" s="511" t="s">
        <v>1586</v>
      </c>
      <c r="B419" s="511"/>
      <c r="C419" s="547"/>
      <c r="D419" s="547"/>
      <c r="E419" s="547"/>
      <c r="F419" s="548"/>
      <c r="G419" s="542">
        <v>0.01</v>
      </c>
      <c r="H419" s="547"/>
      <c r="I419" s="547"/>
      <c r="J419" s="548"/>
      <c r="K419" s="547"/>
      <c r="L419" s="547"/>
      <c r="M419" s="547"/>
      <c r="N419" s="548"/>
      <c r="O419" s="547"/>
      <c r="P419" s="548"/>
      <c r="R419" s="549"/>
      <c r="S419" s="549"/>
      <c r="T419" s="549"/>
    </row>
    <row r="420" spans="1:20" x14ac:dyDescent="0.35">
      <c r="A420" s="512"/>
      <c r="B420" s="512"/>
      <c r="C420" s="471"/>
      <c r="D420" s="471"/>
      <c r="E420" s="471"/>
      <c r="F420" s="472"/>
      <c r="G420" s="471"/>
      <c r="H420" s="471"/>
      <c r="I420" s="471"/>
      <c r="J420" s="472"/>
      <c r="K420" s="471"/>
      <c r="L420" s="471"/>
      <c r="M420" s="471"/>
      <c r="N420" s="472"/>
      <c r="O420" s="471"/>
      <c r="P420" s="472"/>
      <c r="R420" s="473"/>
      <c r="S420" s="473"/>
      <c r="T420" s="473"/>
    </row>
    <row r="421" spans="1:20" x14ac:dyDescent="0.35">
      <c r="A421" s="513" t="s">
        <v>1587</v>
      </c>
      <c r="B421" s="513"/>
      <c r="C421" s="471"/>
      <c r="D421" s="471"/>
      <c r="E421" s="471"/>
      <c r="F421" s="472"/>
      <c r="G421" s="471"/>
      <c r="H421" s="471"/>
      <c r="I421" s="471"/>
      <c r="J421" s="472"/>
      <c r="K421" s="471"/>
      <c r="L421" s="471"/>
      <c r="M421" s="471"/>
      <c r="N421" s="472"/>
      <c r="O421" s="471"/>
      <c r="P421" s="472"/>
      <c r="R421" s="473"/>
      <c r="S421" s="473"/>
      <c r="T421" s="473"/>
    </row>
    <row r="422" spans="1:20" x14ac:dyDescent="0.35">
      <c r="A422" s="474" t="s">
        <v>1588</v>
      </c>
      <c r="B422" s="474"/>
      <c r="C422" s="471"/>
      <c r="D422" s="471"/>
      <c r="E422" s="471"/>
      <c r="F422" s="472"/>
      <c r="G422" s="475">
        <v>149686460</v>
      </c>
      <c r="H422" s="471"/>
      <c r="I422" s="471"/>
      <c r="J422" s="472"/>
      <c r="K422" s="471"/>
      <c r="L422" s="471"/>
      <c r="M422" s="471"/>
      <c r="N422" s="472"/>
      <c r="O422" s="471"/>
      <c r="P422" s="472"/>
      <c r="R422" s="473"/>
      <c r="S422" s="473"/>
      <c r="T422" s="473"/>
    </row>
    <row r="423" spans="1:20" x14ac:dyDescent="0.35">
      <c r="A423" s="474" t="s">
        <v>1589</v>
      </c>
      <c r="B423" s="474"/>
      <c r="C423" s="471"/>
      <c r="D423" s="471"/>
      <c r="E423" s="471"/>
      <c r="F423" s="472"/>
      <c r="G423" s="475">
        <v>149686460</v>
      </c>
      <c r="H423" s="471"/>
      <c r="I423" s="471"/>
      <c r="J423" s="472"/>
      <c r="K423" s="471"/>
      <c r="L423" s="471"/>
      <c r="M423" s="471"/>
      <c r="N423" s="472"/>
      <c r="O423" s="471"/>
      <c r="P423" s="472"/>
      <c r="R423" s="473"/>
      <c r="S423" s="473"/>
      <c r="T423" s="473"/>
    </row>
    <row r="424" spans="1:20" x14ac:dyDescent="0.35">
      <c r="F424" s="477"/>
      <c r="J424" s="477"/>
      <c r="N424" s="477"/>
      <c r="P424" s="477"/>
      <c r="R424" s="478"/>
      <c r="S424" s="478"/>
      <c r="T424" s="478"/>
    </row>
    <row r="425" spans="1:20" x14ac:dyDescent="0.35">
      <c r="A425" s="479" t="s">
        <v>1593</v>
      </c>
      <c r="B425" s="479"/>
      <c r="C425" s="467"/>
      <c r="D425" s="467"/>
      <c r="E425" s="467"/>
      <c r="F425" s="468"/>
      <c r="G425" s="467"/>
      <c r="H425" s="467"/>
      <c r="I425" s="467"/>
      <c r="J425" s="468"/>
      <c r="K425" s="467"/>
      <c r="L425" s="467"/>
      <c r="M425" s="467"/>
      <c r="N425" s="468"/>
      <c r="O425" s="467"/>
      <c r="P425" s="468"/>
      <c r="R425" s="469"/>
      <c r="S425" s="469"/>
      <c r="T425" s="469"/>
    </row>
    <row r="426" spans="1:20" x14ac:dyDescent="0.35">
      <c r="A426" s="513" t="s">
        <v>1593</v>
      </c>
      <c r="B426" s="513"/>
      <c r="C426" s="471"/>
      <c r="D426" s="471"/>
      <c r="E426" s="471"/>
      <c r="F426" s="472"/>
      <c r="G426" s="471"/>
      <c r="H426" s="471"/>
      <c r="I426" s="471"/>
      <c r="J426" s="472"/>
      <c r="K426" s="471"/>
      <c r="L426" s="471"/>
      <c r="M426" s="471"/>
      <c r="N426" s="472"/>
      <c r="O426" s="471"/>
      <c r="P426" s="476"/>
      <c r="R426" s="473"/>
      <c r="S426" s="473"/>
      <c r="T426" s="473"/>
    </row>
    <row r="427" spans="1:20" x14ac:dyDescent="0.35">
      <c r="A427" s="474" t="s">
        <v>1594</v>
      </c>
      <c r="B427" s="474"/>
      <c r="C427" s="471"/>
      <c r="D427" s="471"/>
      <c r="E427" s="471"/>
      <c r="F427" s="476">
        <v>46639</v>
      </c>
      <c r="G427" s="471"/>
      <c r="H427" s="471"/>
      <c r="I427" s="471"/>
      <c r="J427" s="476">
        <v>15214</v>
      </c>
      <c r="K427" s="475">
        <v>16793</v>
      </c>
      <c r="L427" s="475">
        <v>17626</v>
      </c>
      <c r="M427" s="475">
        <v>18687</v>
      </c>
      <c r="N427" s="476">
        <v>20462</v>
      </c>
      <c r="O427" s="475">
        <v>22385</v>
      </c>
      <c r="P427" s="476">
        <v>23450</v>
      </c>
      <c r="R427" s="473"/>
      <c r="S427" s="473"/>
      <c r="T427" s="473"/>
    </row>
    <row r="428" spans="1:20" x14ac:dyDescent="0.35">
      <c r="A428" s="474" t="s">
        <v>1595</v>
      </c>
      <c r="B428" s="474"/>
      <c r="C428" s="471"/>
      <c r="D428" s="471"/>
      <c r="E428" s="471"/>
      <c r="F428" s="476">
        <v>81800</v>
      </c>
      <c r="G428" s="471"/>
      <c r="H428" s="471"/>
      <c r="I428" s="471"/>
      <c r="J428" s="476">
        <v>220000</v>
      </c>
      <c r="K428" s="475">
        <v>221405</v>
      </c>
      <c r="L428" s="475">
        <v>221405</v>
      </c>
      <c r="M428" s="475">
        <v>221405</v>
      </c>
      <c r="N428" s="476">
        <v>225005</v>
      </c>
      <c r="O428" s="475">
        <v>231105</v>
      </c>
      <c r="P428" s="476">
        <v>231105</v>
      </c>
      <c r="R428" s="473"/>
      <c r="S428" s="473"/>
      <c r="T428" s="473"/>
    </row>
    <row r="429" spans="1:20" x14ac:dyDescent="0.35">
      <c r="A429" s="474" t="s">
        <v>1596</v>
      </c>
      <c r="B429" s="474"/>
      <c r="C429" s="471"/>
      <c r="D429" s="471"/>
      <c r="E429" s="471"/>
      <c r="F429" s="476">
        <v>56607</v>
      </c>
      <c r="G429" s="471"/>
      <c r="H429" s="471"/>
      <c r="I429" s="471"/>
      <c r="J429" s="476">
        <v>14438</v>
      </c>
      <c r="K429" s="475">
        <v>18610</v>
      </c>
      <c r="L429" s="475">
        <v>26876</v>
      </c>
      <c r="M429" s="475">
        <v>31824</v>
      </c>
      <c r="N429" s="476">
        <v>37326</v>
      </c>
      <c r="O429" s="475">
        <v>38049</v>
      </c>
      <c r="P429" s="476">
        <v>44192</v>
      </c>
      <c r="R429" s="473"/>
      <c r="S429" s="473"/>
      <c r="T429" s="473"/>
    </row>
    <row r="430" spans="1:20" x14ac:dyDescent="0.35">
      <c r="A430" s="474" t="s">
        <v>1597</v>
      </c>
      <c r="B430" s="474"/>
      <c r="C430" s="471"/>
      <c r="D430" s="471"/>
      <c r="E430" s="471"/>
      <c r="F430" s="476">
        <v>5204</v>
      </c>
      <c r="G430" s="471"/>
      <c r="H430" s="471"/>
      <c r="I430" s="471"/>
      <c r="J430" s="476">
        <v>2402</v>
      </c>
      <c r="K430" s="475">
        <v>2508</v>
      </c>
      <c r="L430" s="475">
        <v>2510</v>
      </c>
      <c r="M430" s="475">
        <v>3000</v>
      </c>
      <c r="N430" s="476">
        <v>3001</v>
      </c>
      <c r="O430" s="475">
        <v>2922</v>
      </c>
      <c r="P430" s="476">
        <v>2902</v>
      </c>
      <c r="R430" s="473"/>
      <c r="S430" s="473"/>
      <c r="T430" s="473"/>
    </row>
    <row r="431" spans="1:20" x14ac:dyDescent="0.35">
      <c r="A431" s="484" t="s">
        <v>1598</v>
      </c>
      <c r="B431" s="484"/>
      <c r="C431" s="485"/>
      <c r="D431" s="485"/>
      <c r="E431" s="485"/>
      <c r="F431" s="488">
        <f>SUM(F427:F430)</f>
        <v>190250</v>
      </c>
      <c r="G431" s="485"/>
      <c r="H431" s="485"/>
      <c r="I431" s="485"/>
      <c r="J431" s="488">
        <f t="shared" ref="J431:P431" si="22">SUM(J427:J430)</f>
        <v>252054</v>
      </c>
      <c r="K431" s="487">
        <f t="shared" si="22"/>
        <v>259316</v>
      </c>
      <c r="L431" s="487">
        <f t="shared" si="22"/>
        <v>268417</v>
      </c>
      <c r="M431" s="487">
        <f t="shared" si="22"/>
        <v>274916</v>
      </c>
      <c r="N431" s="488">
        <f t="shared" si="22"/>
        <v>285794</v>
      </c>
      <c r="O431" s="487">
        <f t="shared" si="22"/>
        <v>294461</v>
      </c>
      <c r="P431" s="488">
        <f t="shared" si="22"/>
        <v>301649</v>
      </c>
      <c r="R431" s="489"/>
      <c r="S431" s="489"/>
      <c r="T431" s="489"/>
    </row>
    <row r="432" spans="1:20" x14ac:dyDescent="0.35">
      <c r="C432" s="471"/>
      <c r="D432" s="471"/>
      <c r="E432" s="471"/>
      <c r="F432" s="472"/>
      <c r="G432" s="471"/>
      <c r="H432" s="471"/>
      <c r="I432" s="471"/>
      <c r="J432" s="472"/>
      <c r="K432" s="471"/>
      <c r="L432" s="471"/>
      <c r="M432" s="471"/>
      <c r="N432" s="472"/>
      <c r="O432" s="471"/>
      <c r="P432" s="472"/>
      <c r="R432" s="473"/>
      <c r="S432" s="473"/>
      <c r="T432" s="473"/>
    </row>
    <row r="433" spans="1:20" x14ac:dyDescent="0.35">
      <c r="A433" s="474" t="s">
        <v>1599</v>
      </c>
      <c r="B433" s="474"/>
      <c r="C433" s="471"/>
      <c r="D433" s="471"/>
      <c r="E433" s="471"/>
      <c r="F433" s="476">
        <v>-161156</v>
      </c>
      <c r="G433" s="471"/>
      <c r="H433" s="471"/>
      <c r="I433" s="471"/>
      <c r="J433" s="476">
        <v>-61772</v>
      </c>
      <c r="K433" s="475">
        <v>-78714</v>
      </c>
      <c r="L433" s="475">
        <v>-96178</v>
      </c>
      <c r="M433" s="475">
        <v>-113586</v>
      </c>
      <c r="N433" s="476">
        <v>-131485</v>
      </c>
      <c r="O433" s="475">
        <v>-148069</v>
      </c>
      <c r="P433" s="476">
        <v>-165113</v>
      </c>
      <c r="R433" s="473"/>
      <c r="S433" s="473"/>
      <c r="T433" s="473"/>
    </row>
    <row r="434" spans="1:20" x14ac:dyDescent="0.35">
      <c r="A434" s="484" t="s">
        <v>473</v>
      </c>
      <c r="B434" s="484"/>
      <c r="C434" s="485"/>
      <c r="D434" s="485"/>
      <c r="E434" s="485"/>
      <c r="F434" s="488">
        <f>SUM(F433,F431)</f>
        <v>29094</v>
      </c>
      <c r="G434" s="485"/>
      <c r="H434" s="485"/>
      <c r="I434" s="485"/>
      <c r="J434" s="488">
        <f t="shared" ref="J434:P434" si="23">SUM(J433,J431)</f>
        <v>190282</v>
      </c>
      <c r="K434" s="487">
        <f t="shared" si="23"/>
        <v>180602</v>
      </c>
      <c r="L434" s="487">
        <f t="shared" si="23"/>
        <v>172239</v>
      </c>
      <c r="M434" s="487">
        <f t="shared" si="23"/>
        <v>161330</v>
      </c>
      <c r="N434" s="488">
        <f t="shared" si="23"/>
        <v>154309</v>
      </c>
      <c r="O434" s="487">
        <f t="shared" si="23"/>
        <v>146392</v>
      </c>
      <c r="P434" s="488">
        <f t="shared" si="23"/>
        <v>136536</v>
      </c>
      <c r="R434" s="489"/>
      <c r="S434" s="489"/>
      <c r="T434" s="489"/>
    </row>
    <row r="435" spans="1:20" x14ac:dyDescent="0.35">
      <c r="F435" s="477"/>
      <c r="J435" s="477"/>
      <c r="N435" s="477"/>
      <c r="P435" s="477"/>
      <c r="R435" s="478"/>
      <c r="S435" s="478"/>
      <c r="T435" s="478"/>
    </row>
    <row r="436" spans="1:20" x14ac:dyDescent="0.35">
      <c r="A436" s="479" t="s">
        <v>1600</v>
      </c>
      <c r="B436" s="479"/>
      <c r="C436" s="467"/>
      <c r="D436" s="467"/>
      <c r="E436" s="467"/>
      <c r="F436" s="468"/>
      <c r="G436" s="467"/>
      <c r="H436" s="467"/>
      <c r="I436" s="467"/>
      <c r="J436" s="468"/>
      <c r="K436" s="467"/>
      <c r="L436" s="467"/>
      <c r="M436" s="467"/>
      <c r="N436" s="468"/>
      <c r="O436" s="467"/>
      <c r="P436" s="468"/>
      <c r="R436" s="469"/>
      <c r="S436" s="469"/>
      <c r="T436" s="469"/>
    </row>
    <row r="437" spans="1:20" x14ac:dyDescent="0.35">
      <c r="A437" s="460" t="s">
        <v>1601</v>
      </c>
      <c r="B437" s="460"/>
      <c r="C437" s="471"/>
      <c r="D437" s="471"/>
      <c r="E437" s="471"/>
      <c r="F437" s="472"/>
      <c r="G437" s="471"/>
      <c r="H437" s="471"/>
      <c r="I437" s="471"/>
      <c r="J437" s="476">
        <v>149875000</v>
      </c>
      <c r="K437" s="471"/>
      <c r="L437" s="475">
        <v>152856250</v>
      </c>
      <c r="M437" s="475">
        <v>152875076</v>
      </c>
      <c r="N437" s="476">
        <v>152941584</v>
      </c>
      <c r="O437" s="475">
        <v>152982128</v>
      </c>
      <c r="P437" s="476">
        <v>153236293</v>
      </c>
      <c r="R437" s="473"/>
      <c r="S437" s="473"/>
      <c r="T437" s="473"/>
    </row>
    <row r="438" spans="1:20" x14ac:dyDescent="0.35">
      <c r="A438" s="460" t="s">
        <v>415</v>
      </c>
      <c r="B438" s="460"/>
      <c r="C438" s="471"/>
      <c r="D438" s="471"/>
      <c r="E438" s="471"/>
      <c r="F438" s="472"/>
      <c r="G438" s="471"/>
      <c r="H438" s="471"/>
      <c r="I438" s="471"/>
      <c r="J438" s="476">
        <v>4000</v>
      </c>
      <c r="K438" s="475">
        <v>4200</v>
      </c>
      <c r="L438" s="475">
        <v>4700</v>
      </c>
      <c r="M438" s="475">
        <v>5100</v>
      </c>
      <c r="N438" s="476">
        <v>5500</v>
      </c>
      <c r="O438" s="471"/>
      <c r="P438" s="472"/>
      <c r="R438" s="473"/>
      <c r="S438" s="473"/>
      <c r="T438" s="473"/>
    </row>
    <row r="439" spans="1:20" x14ac:dyDescent="0.35">
      <c r="A439" s="460" t="s">
        <v>343</v>
      </c>
      <c r="B439" s="460"/>
      <c r="C439" s="471"/>
      <c r="D439" s="471"/>
      <c r="E439" s="471"/>
      <c r="F439" s="472"/>
      <c r="G439" s="460"/>
      <c r="H439" s="471"/>
      <c r="I439" s="471"/>
      <c r="J439" s="472"/>
      <c r="K439" s="471"/>
      <c r="L439" s="471"/>
      <c r="M439" s="471"/>
      <c r="N439" s="472"/>
      <c r="O439" s="471"/>
      <c r="P439" s="472"/>
      <c r="R439" s="483">
        <v>3173</v>
      </c>
      <c r="S439" s="483">
        <v>2282</v>
      </c>
      <c r="T439" s="483">
        <v>1441</v>
      </c>
    </row>
    <row r="440" spans="1:20" x14ac:dyDescent="0.35">
      <c r="A440" s="460" t="s">
        <v>1602</v>
      </c>
      <c r="B440" s="460"/>
      <c r="C440" s="471"/>
      <c r="D440" s="471"/>
      <c r="E440" s="471"/>
      <c r="F440" s="472"/>
      <c r="G440" s="475">
        <v>231</v>
      </c>
      <c r="H440" s="471"/>
      <c r="I440" s="471"/>
      <c r="J440" s="472"/>
      <c r="K440" s="471"/>
      <c r="L440" s="471"/>
      <c r="M440" s="471"/>
      <c r="N440" s="472"/>
      <c r="O440" s="471"/>
      <c r="P440" s="472"/>
      <c r="R440" s="473"/>
      <c r="S440" s="473"/>
      <c r="T440" s="473"/>
    </row>
    <row r="441" spans="1:20" x14ac:dyDescent="0.35">
      <c r="A441" s="460" t="s">
        <v>1603</v>
      </c>
      <c r="B441" s="460"/>
      <c r="C441" s="471"/>
      <c r="D441" s="471"/>
      <c r="E441" s="471"/>
      <c r="F441" s="472"/>
      <c r="G441" s="475">
        <v>11.3</v>
      </c>
      <c r="H441" s="475">
        <v>16.8</v>
      </c>
      <c r="I441" s="475">
        <v>16.899999999999999</v>
      </c>
      <c r="J441" s="472">
        <f>S441-SUM(G441,H441,I441)</f>
        <v>17.299999999999997</v>
      </c>
      <c r="K441" s="475">
        <v>16.5</v>
      </c>
      <c r="L441" s="475">
        <v>17.5</v>
      </c>
      <c r="M441" s="475">
        <v>17.399999999999999</v>
      </c>
      <c r="N441" s="472">
        <f>T441-SUM(K441,L441,M441)</f>
        <v>18.000000000000007</v>
      </c>
      <c r="O441" s="475">
        <v>16.8</v>
      </c>
      <c r="P441" s="476">
        <v>17.3</v>
      </c>
      <c r="R441" s="483">
        <v>14.9</v>
      </c>
      <c r="S441" s="483">
        <v>62.3</v>
      </c>
      <c r="T441" s="483">
        <v>69.400000000000006</v>
      </c>
    </row>
    <row r="442" spans="1:20" x14ac:dyDescent="0.35">
      <c r="A442" s="512" t="s">
        <v>1604</v>
      </c>
      <c r="B442" s="512"/>
      <c r="C442" s="471"/>
      <c r="D442" s="471"/>
      <c r="E442" s="471"/>
      <c r="F442" s="472"/>
      <c r="G442" s="475">
        <v>1.3</v>
      </c>
      <c r="H442" s="471"/>
      <c r="I442" s="471"/>
      <c r="J442" s="472"/>
      <c r="K442" s="471"/>
      <c r="L442" s="471"/>
      <c r="M442" s="471"/>
      <c r="N442" s="472"/>
      <c r="O442" s="471"/>
      <c r="P442" s="472"/>
      <c r="R442" s="473"/>
      <c r="S442" s="473"/>
      <c r="T442" s="473"/>
    </row>
    <row r="443" spans="1:20" x14ac:dyDescent="0.35">
      <c r="A443" s="460" t="s">
        <v>1605</v>
      </c>
      <c r="B443" s="460"/>
      <c r="C443" s="471"/>
      <c r="D443" s="471"/>
      <c r="E443" s="471"/>
      <c r="F443" s="472"/>
      <c r="G443" s="475">
        <v>13.2</v>
      </c>
      <c r="H443" s="475">
        <v>19.8</v>
      </c>
      <c r="I443" s="475">
        <v>19.899999999999999</v>
      </c>
      <c r="J443" s="472">
        <f>S443-SUM(G443,H443,I443)</f>
        <v>19.800000000000004</v>
      </c>
      <c r="K443" s="475">
        <v>18.3</v>
      </c>
      <c r="L443" s="475">
        <v>18.399999999999999</v>
      </c>
      <c r="M443" s="475">
        <v>18.399999999999999</v>
      </c>
      <c r="N443" s="472">
        <f>T443-SUM(K443,L443,M443)</f>
        <v>18.399999999999999</v>
      </c>
      <c r="O443" s="475">
        <v>17.2</v>
      </c>
      <c r="P443" s="476">
        <v>17.100000000000001</v>
      </c>
      <c r="R443" s="483">
        <v>11.1</v>
      </c>
      <c r="S443" s="483">
        <v>72.7</v>
      </c>
      <c r="T443" s="483">
        <v>73.5</v>
      </c>
    </row>
    <row r="444" spans="1:20" x14ac:dyDescent="0.35">
      <c r="A444" s="512" t="s">
        <v>1606</v>
      </c>
      <c r="B444" s="512"/>
      <c r="C444" s="471"/>
      <c r="D444" s="471"/>
      <c r="E444" s="471"/>
      <c r="F444" s="472"/>
      <c r="G444" s="475">
        <v>0.8</v>
      </c>
      <c r="H444" s="471"/>
      <c r="I444" s="471"/>
      <c r="J444" s="472"/>
      <c r="K444" s="471"/>
      <c r="L444" s="471"/>
      <c r="M444" s="471"/>
      <c r="N444" s="472"/>
      <c r="O444" s="471"/>
      <c r="P444" s="472"/>
      <c r="R444" s="473"/>
      <c r="S444" s="473"/>
      <c r="T444" s="473"/>
    </row>
    <row r="445" spans="1:20" x14ac:dyDescent="0.35">
      <c r="C445" s="471"/>
      <c r="D445" s="471"/>
      <c r="E445" s="471"/>
      <c r="F445" s="472"/>
      <c r="G445" s="471"/>
      <c r="H445" s="471"/>
      <c r="I445" s="471"/>
      <c r="J445" s="472"/>
      <c r="K445" s="471"/>
      <c r="L445" s="471"/>
      <c r="M445" s="471"/>
      <c r="N445" s="472"/>
      <c r="O445" s="471"/>
      <c r="P445" s="472"/>
      <c r="R445" s="473"/>
      <c r="S445" s="473"/>
      <c r="T445" s="473"/>
    </row>
    <row r="446" spans="1:20" x14ac:dyDescent="0.35">
      <c r="A446" s="470" t="s">
        <v>361</v>
      </c>
      <c r="B446" s="470"/>
      <c r="C446" s="471"/>
      <c r="D446" s="471"/>
      <c r="E446" s="471"/>
      <c r="F446" s="472"/>
      <c r="G446" s="471"/>
      <c r="H446" s="471"/>
      <c r="I446" s="471"/>
      <c r="J446" s="472"/>
      <c r="K446" s="471"/>
      <c r="L446" s="471"/>
      <c r="M446" s="471"/>
      <c r="N446" s="472"/>
      <c r="O446" s="471"/>
      <c r="P446" s="472"/>
      <c r="R446" s="473"/>
      <c r="S446" s="473"/>
      <c r="T446" s="473"/>
    </row>
    <row r="447" spans="1:20" x14ac:dyDescent="0.35">
      <c r="A447" s="474" t="s">
        <v>1607</v>
      </c>
      <c r="B447" s="474"/>
      <c r="C447" s="471"/>
      <c r="D447" s="471"/>
      <c r="E447" s="471"/>
      <c r="F447" s="472"/>
      <c r="G447" s="460"/>
      <c r="H447" s="475">
        <v>26</v>
      </c>
      <c r="I447" s="475">
        <v>28</v>
      </c>
      <c r="J447" s="461"/>
      <c r="K447" s="475">
        <v>33</v>
      </c>
      <c r="L447" s="475">
        <v>41</v>
      </c>
      <c r="M447" s="475">
        <v>3</v>
      </c>
      <c r="N447" s="472">
        <f>T447-SUM(K447,L447,M447)</f>
        <v>86</v>
      </c>
      <c r="O447" s="475">
        <v>274</v>
      </c>
      <c r="P447" s="476">
        <v>277</v>
      </c>
      <c r="R447" s="483">
        <v>171</v>
      </c>
      <c r="S447" s="483">
        <v>100</v>
      </c>
      <c r="T447" s="483">
        <v>163</v>
      </c>
    </row>
    <row r="448" spans="1:20" x14ac:dyDescent="0.35">
      <c r="A448" s="474" t="s">
        <v>341</v>
      </c>
      <c r="B448" s="474"/>
      <c r="C448" s="471"/>
      <c r="D448" s="471"/>
      <c r="E448" s="471"/>
      <c r="F448" s="472"/>
      <c r="G448" s="460"/>
      <c r="H448" s="475">
        <v>49</v>
      </c>
      <c r="I448" s="475">
        <v>50</v>
      </c>
      <c r="J448" s="461"/>
      <c r="K448" s="475">
        <v>54</v>
      </c>
      <c r="L448" s="475">
        <v>67</v>
      </c>
      <c r="M448" s="475">
        <v>55</v>
      </c>
      <c r="N448" s="472">
        <f>T448-SUM(K448,L448,M448)</f>
        <v>283</v>
      </c>
      <c r="O448" s="475">
        <v>204</v>
      </c>
      <c r="P448" s="476">
        <v>312</v>
      </c>
      <c r="R448" s="483">
        <v>92</v>
      </c>
      <c r="S448" s="483">
        <v>179</v>
      </c>
      <c r="T448" s="483">
        <v>459</v>
      </c>
    </row>
    <row r="449" spans="1:20" x14ac:dyDescent="0.35">
      <c r="A449" s="474" t="s">
        <v>357</v>
      </c>
      <c r="B449" s="474"/>
      <c r="C449" s="471"/>
      <c r="D449" s="471"/>
      <c r="E449" s="471"/>
      <c r="F449" s="472"/>
      <c r="G449" s="460"/>
      <c r="H449" s="475">
        <v>445</v>
      </c>
      <c r="I449" s="475">
        <v>452</v>
      </c>
      <c r="J449" s="461"/>
      <c r="K449" s="475">
        <v>475</v>
      </c>
      <c r="L449" s="475">
        <v>2556</v>
      </c>
      <c r="M449" s="475">
        <v>1285</v>
      </c>
      <c r="N449" s="472">
        <f>T449-SUM(K449,L449,M449)</f>
        <v>4592</v>
      </c>
      <c r="O449" s="475">
        <v>1381</v>
      </c>
      <c r="P449" s="476">
        <v>1354</v>
      </c>
      <c r="R449" s="483">
        <v>953</v>
      </c>
      <c r="S449" s="483">
        <v>1597</v>
      </c>
      <c r="T449" s="483">
        <v>8908</v>
      </c>
    </row>
    <row r="450" spans="1:20" x14ac:dyDescent="0.35">
      <c r="A450" s="484" t="s">
        <v>1608</v>
      </c>
      <c r="B450" s="484"/>
      <c r="C450" s="485"/>
      <c r="D450" s="485"/>
      <c r="E450" s="485"/>
      <c r="F450" s="486"/>
      <c r="G450" s="550"/>
      <c r="H450" s="487">
        <f>SUM(H447:H449)</f>
        <v>520</v>
      </c>
      <c r="I450" s="487">
        <f>SUM(I447:I449)</f>
        <v>530</v>
      </c>
      <c r="J450" s="491"/>
      <c r="K450" s="487">
        <f>SUM(K447:K449)</f>
        <v>562</v>
      </c>
      <c r="L450" s="487">
        <f>SUM(L447:L449)</f>
        <v>2664</v>
      </c>
      <c r="M450" s="487">
        <f>SUM(M447:M449)</f>
        <v>1343</v>
      </c>
      <c r="N450" s="486">
        <f>T450-SUM(K450,L450,M450)</f>
        <v>4961</v>
      </c>
      <c r="O450" s="487">
        <f>SUM(O447:O449)</f>
        <v>1859</v>
      </c>
      <c r="P450" s="488">
        <f>SUM(P447:P449)</f>
        <v>1943</v>
      </c>
      <c r="R450" s="492">
        <f>SUM(R447:R449)</f>
        <v>1216</v>
      </c>
      <c r="S450" s="492">
        <f>SUM(S447:S449)</f>
        <v>1876</v>
      </c>
      <c r="T450" s="492">
        <f>SUM(T447:T449)</f>
        <v>9530</v>
      </c>
    </row>
    <row r="451" spans="1:20" x14ac:dyDescent="0.35">
      <c r="F451" s="477"/>
      <c r="J451" s="477"/>
      <c r="N451" s="477"/>
      <c r="P451" s="477"/>
      <c r="R451" s="478"/>
      <c r="S451" s="478"/>
      <c r="T451" s="478"/>
    </row>
    <row r="452" spans="1:20" x14ac:dyDescent="0.35">
      <c r="A452" s="513" t="s">
        <v>1609</v>
      </c>
      <c r="B452" s="513"/>
      <c r="F452" s="477"/>
      <c r="J452" s="477"/>
      <c r="N452" s="477"/>
      <c r="P452" s="477"/>
      <c r="R452" s="478"/>
      <c r="S452" s="478"/>
      <c r="T452" s="478"/>
    </row>
    <row r="453" spans="1:20" x14ac:dyDescent="0.35">
      <c r="A453" s="474" t="s">
        <v>1607</v>
      </c>
      <c r="B453" s="474"/>
      <c r="F453" s="477"/>
      <c r="G453" s="475">
        <v>156</v>
      </c>
      <c r="J453" s="477"/>
      <c r="N453" s="477"/>
      <c r="P453" s="477"/>
      <c r="R453" s="478"/>
      <c r="S453" s="478"/>
      <c r="T453" s="478"/>
    </row>
    <row r="454" spans="1:20" x14ac:dyDescent="0.35">
      <c r="A454" s="474" t="s">
        <v>357</v>
      </c>
      <c r="B454" s="474"/>
      <c r="F454" s="477"/>
      <c r="G454" s="475">
        <v>3820</v>
      </c>
      <c r="J454" s="477"/>
      <c r="N454" s="477"/>
      <c r="P454" s="477"/>
      <c r="R454" s="478"/>
      <c r="S454" s="478"/>
      <c r="T454" s="478"/>
    </row>
    <row r="455" spans="1:20" x14ac:dyDescent="0.35">
      <c r="A455" s="484" t="s">
        <v>1608</v>
      </c>
      <c r="B455" s="484"/>
      <c r="C455" s="508"/>
      <c r="D455" s="508"/>
      <c r="E455" s="508"/>
      <c r="F455" s="509"/>
      <c r="G455" s="487">
        <f>SUM(G453:G454)</f>
        <v>3976</v>
      </c>
      <c r="H455" s="508"/>
      <c r="I455" s="508"/>
      <c r="J455" s="509"/>
      <c r="K455" s="508"/>
      <c r="L455" s="508"/>
      <c r="M455" s="508"/>
      <c r="N455" s="509"/>
      <c r="O455" s="508"/>
      <c r="P455" s="509"/>
      <c r="R455" s="510"/>
      <c r="S455" s="510"/>
      <c r="T455" s="510"/>
    </row>
    <row r="456" spans="1:20" x14ac:dyDescent="0.35">
      <c r="F456" s="477"/>
      <c r="J456" s="477"/>
      <c r="N456" s="477"/>
      <c r="P456" s="477"/>
      <c r="R456" s="478"/>
      <c r="S456" s="478"/>
      <c r="T456" s="478"/>
    </row>
    <row r="457" spans="1:20" x14ac:dyDescent="0.35">
      <c r="A457" s="513" t="s">
        <v>1610</v>
      </c>
      <c r="B457" s="513"/>
      <c r="F457" s="477"/>
      <c r="J457" s="477"/>
      <c r="N457" s="477"/>
      <c r="P457" s="477"/>
      <c r="R457" s="478"/>
      <c r="S457" s="478"/>
      <c r="T457" s="478"/>
    </row>
    <row r="458" spans="1:20" x14ac:dyDescent="0.35">
      <c r="A458" s="505" t="s">
        <v>821</v>
      </c>
      <c r="B458" s="505"/>
      <c r="C458" s="471"/>
      <c r="D458" s="471"/>
      <c r="E458" s="471"/>
      <c r="F458" s="472"/>
      <c r="G458" s="471"/>
      <c r="H458" s="471"/>
      <c r="I458" s="471"/>
      <c r="J458" s="472"/>
      <c r="K458" s="471"/>
      <c r="L458" s="471"/>
      <c r="M458" s="471"/>
      <c r="N458" s="472"/>
      <c r="O458" s="471"/>
      <c r="P458" s="472"/>
      <c r="R458" s="473"/>
      <c r="S458" s="473"/>
      <c r="T458" s="473"/>
    </row>
    <row r="459" spans="1:20" x14ac:dyDescent="0.35">
      <c r="A459" s="506" t="s">
        <v>1611</v>
      </c>
      <c r="B459" s="506"/>
      <c r="C459" s="471"/>
      <c r="D459" s="471"/>
      <c r="E459" s="471"/>
      <c r="F459" s="476">
        <v>36550</v>
      </c>
      <c r="G459" s="471"/>
      <c r="H459" s="471"/>
      <c r="I459" s="471"/>
      <c r="J459" s="476">
        <v>41498</v>
      </c>
      <c r="K459" s="471"/>
      <c r="L459" s="471"/>
      <c r="M459" s="471"/>
      <c r="N459" s="476">
        <v>25227</v>
      </c>
      <c r="O459" s="471"/>
      <c r="P459" s="472"/>
      <c r="R459" s="473"/>
      <c r="S459" s="473"/>
      <c r="T459" s="473"/>
    </row>
    <row r="460" spans="1:20" x14ac:dyDescent="0.35">
      <c r="A460" s="506" t="s">
        <v>1612</v>
      </c>
      <c r="B460" s="506"/>
      <c r="C460" s="471"/>
      <c r="D460" s="471"/>
      <c r="E460" s="471"/>
      <c r="F460" s="476">
        <v>9754</v>
      </c>
      <c r="G460" s="471"/>
      <c r="H460" s="471"/>
      <c r="I460" s="471"/>
      <c r="J460" s="476">
        <v>9200</v>
      </c>
      <c r="K460" s="471"/>
      <c r="L460" s="471"/>
      <c r="M460" s="471"/>
      <c r="N460" s="476">
        <v>8172</v>
      </c>
      <c r="O460" s="471"/>
      <c r="P460" s="472"/>
      <c r="R460" s="473"/>
      <c r="S460" s="473"/>
      <c r="T460" s="473"/>
    </row>
    <row r="461" spans="1:20" x14ac:dyDescent="0.35">
      <c r="A461" s="506" t="s">
        <v>1613</v>
      </c>
      <c r="B461" s="506"/>
      <c r="C461" s="471"/>
      <c r="D461" s="471"/>
      <c r="E461" s="471"/>
      <c r="F461" s="476">
        <v>8277</v>
      </c>
      <c r="G461" s="471"/>
      <c r="H461" s="471"/>
      <c r="I461" s="471"/>
      <c r="J461" s="476">
        <v>8808</v>
      </c>
      <c r="K461" s="471"/>
      <c r="L461" s="471"/>
      <c r="M461" s="471"/>
      <c r="N461" s="476">
        <v>5556</v>
      </c>
      <c r="O461" s="471"/>
      <c r="P461" s="472"/>
      <c r="R461" s="473"/>
      <c r="S461" s="473"/>
      <c r="T461" s="473"/>
    </row>
    <row r="462" spans="1:20" x14ac:dyDescent="0.35">
      <c r="A462" s="506" t="s">
        <v>528</v>
      </c>
      <c r="B462" s="506"/>
      <c r="C462" s="471"/>
      <c r="D462" s="471"/>
      <c r="E462" s="471"/>
      <c r="F462" s="476">
        <v>205</v>
      </c>
      <c r="G462" s="471"/>
      <c r="H462" s="471"/>
      <c r="I462" s="471"/>
      <c r="J462" s="476">
        <v>109</v>
      </c>
      <c r="K462" s="471"/>
      <c r="L462" s="471"/>
      <c r="M462" s="471"/>
      <c r="N462" s="476">
        <v>172</v>
      </c>
      <c r="O462" s="471"/>
      <c r="P462" s="472"/>
      <c r="R462" s="473"/>
      <c r="S462" s="473"/>
      <c r="T462" s="473"/>
    </row>
    <row r="463" spans="1:20" x14ac:dyDescent="0.35">
      <c r="A463" s="506" t="s">
        <v>1614</v>
      </c>
      <c r="B463" s="506"/>
      <c r="C463" s="471"/>
      <c r="D463" s="471"/>
      <c r="E463" s="471"/>
      <c r="F463" s="476">
        <v>290</v>
      </c>
      <c r="G463" s="471"/>
      <c r="H463" s="471"/>
      <c r="I463" s="471"/>
      <c r="J463" s="476">
        <v>277</v>
      </c>
      <c r="K463" s="471"/>
      <c r="L463" s="471"/>
      <c r="M463" s="471"/>
      <c r="N463" s="476">
        <v>203</v>
      </c>
      <c r="O463" s="471"/>
      <c r="P463" s="472"/>
      <c r="R463" s="473"/>
      <c r="S463" s="473"/>
      <c r="T463" s="473"/>
    </row>
    <row r="464" spans="1:20" x14ac:dyDescent="0.35">
      <c r="A464" s="506" t="s">
        <v>1615</v>
      </c>
      <c r="B464" s="506"/>
      <c r="C464" s="471"/>
      <c r="D464" s="471"/>
      <c r="E464" s="471"/>
      <c r="F464" s="476">
        <v>2128</v>
      </c>
      <c r="G464" s="471"/>
      <c r="H464" s="471"/>
      <c r="I464" s="471"/>
      <c r="J464" s="476">
        <v>2211</v>
      </c>
      <c r="K464" s="471"/>
      <c r="L464" s="471"/>
      <c r="M464" s="471"/>
      <c r="N464" s="476">
        <v>3118</v>
      </c>
      <c r="O464" s="471"/>
      <c r="P464" s="472"/>
      <c r="R464" s="473"/>
      <c r="S464" s="473"/>
      <c r="T464" s="473"/>
    </row>
    <row r="465" spans="1:20" x14ac:dyDescent="0.35">
      <c r="A465" s="506" t="s">
        <v>1563</v>
      </c>
      <c r="B465" s="506"/>
      <c r="C465" s="471"/>
      <c r="D465" s="471"/>
      <c r="E465" s="471"/>
      <c r="F465" s="476">
        <v>561</v>
      </c>
      <c r="G465" s="471"/>
      <c r="H465" s="471"/>
      <c r="I465" s="471"/>
      <c r="J465" s="476">
        <v>195</v>
      </c>
      <c r="K465" s="471"/>
      <c r="L465" s="471"/>
      <c r="M465" s="471"/>
      <c r="N465" s="476">
        <v>586</v>
      </c>
      <c r="O465" s="471"/>
      <c r="P465" s="472"/>
      <c r="R465" s="473"/>
      <c r="S465" s="473"/>
      <c r="T465" s="473"/>
    </row>
    <row r="466" spans="1:20" x14ac:dyDescent="0.35">
      <c r="A466" s="506" t="s">
        <v>1616</v>
      </c>
      <c r="B466" s="506"/>
      <c r="C466" s="471"/>
      <c r="D466" s="471"/>
      <c r="E466" s="471"/>
      <c r="F466" s="476">
        <v>1381</v>
      </c>
      <c r="G466" s="471"/>
      <c r="H466" s="471"/>
      <c r="I466" s="471"/>
      <c r="J466" s="476">
        <v>3997</v>
      </c>
      <c r="K466" s="471"/>
      <c r="L466" s="471"/>
      <c r="M466" s="471"/>
      <c r="N466" s="476">
        <v>2346</v>
      </c>
      <c r="O466" s="471"/>
      <c r="P466" s="472"/>
      <c r="R466" s="473"/>
      <c r="S466" s="473"/>
      <c r="T466" s="473"/>
    </row>
    <row r="467" spans="1:20" x14ac:dyDescent="0.35">
      <c r="A467" s="506" t="s">
        <v>1617</v>
      </c>
      <c r="B467" s="506"/>
      <c r="C467" s="471"/>
      <c r="D467" s="471"/>
      <c r="E467" s="471"/>
      <c r="F467" s="476">
        <v>8861</v>
      </c>
      <c r="G467" s="471"/>
      <c r="H467" s="471"/>
      <c r="I467" s="471"/>
      <c r="J467" s="472"/>
      <c r="K467" s="471"/>
      <c r="L467" s="471"/>
      <c r="M467" s="471"/>
      <c r="N467" s="472"/>
      <c r="O467" s="471"/>
      <c r="P467" s="472"/>
      <c r="R467" s="473"/>
      <c r="S467" s="473"/>
      <c r="T467" s="473"/>
    </row>
    <row r="468" spans="1:20" x14ac:dyDescent="0.35">
      <c r="A468" s="506" t="s">
        <v>1618</v>
      </c>
      <c r="B468" s="506"/>
      <c r="C468" s="471"/>
      <c r="D468" s="471"/>
      <c r="E468" s="471"/>
      <c r="F468" s="476">
        <v>5633</v>
      </c>
      <c r="G468" s="471"/>
      <c r="H468" s="471"/>
      <c r="I468" s="471"/>
      <c r="J468" s="476">
        <v>8679</v>
      </c>
      <c r="K468" s="471"/>
      <c r="L468" s="471"/>
      <c r="M468" s="471"/>
      <c r="N468" s="476">
        <v>9382</v>
      </c>
      <c r="O468" s="471"/>
      <c r="P468" s="472"/>
      <c r="R468" s="473"/>
      <c r="S468" s="473"/>
      <c r="T468" s="473"/>
    </row>
    <row r="469" spans="1:20" x14ac:dyDescent="0.35">
      <c r="A469" s="506" t="s">
        <v>1619</v>
      </c>
      <c r="B469" s="506"/>
      <c r="F469" s="476">
        <v>11317</v>
      </c>
      <c r="J469" s="477"/>
      <c r="N469" s="477"/>
      <c r="P469" s="477"/>
      <c r="R469" s="478"/>
      <c r="S469" s="478"/>
      <c r="T469" s="478"/>
    </row>
    <row r="470" spans="1:20" x14ac:dyDescent="0.35">
      <c r="A470" s="506" t="s">
        <v>1620</v>
      </c>
      <c r="B470" s="506"/>
      <c r="C470" s="471"/>
      <c r="D470" s="471"/>
      <c r="E470" s="471"/>
      <c r="F470" s="476">
        <v>-61349</v>
      </c>
      <c r="G470" s="471"/>
      <c r="H470" s="471"/>
      <c r="I470" s="471"/>
      <c r="J470" s="476">
        <v>-4560</v>
      </c>
      <c r="K470" s="471"/>
      <c r="L470" s="471"/>
      <c r="M470" s="471"/>
      <c r="N470" s="476">
        <v>-2367</v>
      </c>
      <c r="O470" s="471"/>
      <c r="P470" s="472"/>
      <c r="R470" s="473"/>
      <c r="S470" s="473"/>
      <c r="T470" s="473"/>
    </row>
    <row r="471" spans="1:20" x14ac:dyDescent="0.35">
      <c r="A471" s="507" t="s">
        <v>1621</v>
      </c>
      <c r="B471" s="507"/>
      <c r="C471" s="485"/>
      <c r="D471" s="485"/>
      <c r="E471" s="485"/>
      <c r="F471" s="488">
        <f>SUM(F459:F470)</f>
        <v>23608</v>
      </c>
      <c r="G471" s="485"/>
      <c r="H471" s="485"/>
      <c r="I471" s="485"/>
      <c r="J471" s="488">
        <f>SUM(J459:J470)</f>
        <v>70414</v>
      </c>
      <c r="K471" s="485"/>
      <c r="L471" s="485"/>
      <c r="M471" s="485"/>
      <c r="N471" s="488">
        <f>SUM(N459:N470)</f>
        <v>52395</v>
      </c>
      <c r="O471" s="485"/>
      <c r="P471" s="486"/>
      <c r="R471" s="489"/>
      <c r="S471" s="489"/>
      <c r="T471" s="489"/>
    </row>
    <row r="472" spans="1:20" x14ac:dyDescent="0.35">
      <c r="A472" s="474"/>
      <c r="B472" s="474"/>
      <c r="C472" s="471"/>
      <c r="D472" s="471"/>
      <c r="E472" s="471"/>
      <c r="F472" s="551"/>
      <c r="G472" s="471"/>
      <c r="H472" s="471"/>
      <c r="I472" s="471"/>
      <c r="J472" s="551"/>
      <c r="K472" s="471"/>
      <c r="L472" s="471"/>
      <c r="M472" s="471"/>
      <c r="N472" s="551"/>
      <c r="O472" s="471"/>
      <c r="P472" s="472"/>
      <c r="R472" s="473"/>
      <c r="S472" s="473"/>
      <c r="T472" s="473"/>
    </row>
    <row r="473" spans="1:20" x14ac:dyDescent="0.35">
      <c r="A473" s="505" t="s">
        <v>831</v>
      </c>
      <c r="B473" s="505"/>
      <c r="C473" s="471"/>
      <c r="D473" s="471"/>
      <c r="E473" s="471"/>
      <c r="F473" s="551"/>
      <c r="G473" s="471"/>
      <c r="H473" s="471"/>
      <c r="I473" s="471"/>
      <c r="J473" s="551"/>
      <c r="K473" s="471"/>
      <c r="L473" s="471"/>
      <c r="M473" s="471"/>
      <c r="N473" s="551"/>
      <c r="O473" s="471"/>
      <c r="P473" s="472"/>
      <c r="R473" s="473"/>
      <c r="S473" s="473"/>
      <c r="T473" s="473"/>
    </row>
    <row r="474" spans="1:20" x14ac:dyDescent="0.35">
      <c r="A474" s="506" t="s">
        <v>1619</v>
      </c>
      <c r="B474" s="506"/>
      <c r="C474" s="471"/>
      <c r="D474" s="471"/>
      <c r="E474" s="471"/>
      <c r="F474" s="477"/>
      <c r="G474" s="471"/>
      <c r="H474" s="471"/>
      <c r="I474" s="471"/>
      <c r="J474" s="476">
        <v>-130523</v>
      </c>
      <c r="K474" s="471"/>
      <c r="L474" s="471"/>
      <c r="M474" s="471"/>
      <c r="N474" s="476">
        <v>-107080</v>
      </c>
      <c r="O474" s="471"/>
      <c r="P474" s="472"/>
      <c r="R474" s="473"/>
      <c r="S474" s="473"/>
      <c r="T474" s="473"/>
    </row>
    <row r="475" spans="1:20" x14ac:dyDescent="0.35">
      <c r="A475" s="506" t="s">
        <v>1622</v>
      </c>
      <c r="B475" s="506"/>
      <c r="C475" s="471"/>
      <c r="D475" s="471"/>
      <c r="E475" s="471"/>
      <c r="F475" s="476">
        <v>-2179</v>
      </c>
      <c r="G475" s="471"/>
      <c r="H475" s="471"/>
      <c r="I475" s="471"/>
      <c r="J475" s="476">
        <v>-22124</v>
      </c>
      <c r="K475" s="471"/>
      <c r="L475" s="471"/>
      <c r="M475" s="471"/>
      <c r="N475" s="476">
        <v>-19809</v>
      </c>
      <c r="O475" s="471"/>
      <c r="P475" s="472"/>
      <c r="R475" s="473"/>
      <c r="S475" s="473"/>
      <c r="T475" s="473"/>
    </row>
    <row r="476" spans="1:20" x14ac:dyDescent="0.35">
      <c r="A476" s="506" t="s">
        <v>158</v>
      </c>
      <c r="B476" s="506"/>
      <c r="C476" s="471"/>
      <c r="D476" s="471"/>
      <c r="E476" s="471"/>
      <c r="F476" s="476">
        <v>-33200</v>
      </c>
      <c r="G476" s="471"/>
      <c r="H476" s="471"/>
      <c r="I476" s="471"/>
      <c r="J476" s="476">
        <v>-3600</v>
      </c>
      <c r="K476" s="471"/>
      <c r="L476" s="471"/>
      <c r="M476" s="471"/>
      <c r="N476" s="476">
        <v>-7340</v>
      </c>
      <c r="O476" s="471"/>
      <c r="P476" s="472"/>
      <c r="R476" s="473"/>
      <c r="S476" s="473"/>
      <c r="T476" s="473"/>
    </row>
    <row r="477" spans="1:20" x14ac:dyDescent="0.35">
      <c r="A477" s="506" t="s">
        <v>1623</v>
      </c>
      <c r="B477" s="506"/>
      <c r="C477" s="471"/>
      <c r="D477" s="471"/>
      <c r="E477" s="471"/>
      <c r="F477" s="476">
        <v>-64</v>
      </c>
      <c r="G477" s="471"/>
      <c r="H477" s="471"/>
      <c r="I477" s="471"/>
      <c r="J477" s="476">
        <v>-130</v>
      </c>
      <c r="K477" s="471"/>
      <c r="L477" s="471"/>
      <c r="M477" s="471"/>
      <c r="N477" s="476">
        <v>-1406</v>
      </c>
      <c r="O477" s="471"/>
      <c r="P477" s="472"/>
      <c r="R477" s="473"/>
      <c r="S477" s="473"/>
      <c r="T477" s="473"/>
    </row>
    <row r="478" spans="1:20" x14ac:dyDescent="0.35">
      <c r="A478" s="507" t="s">
        <v>1624</v>
      </c>
      <c r="B478" s="507"/>
      <c r="C478" s="485"/>
      <c r="D478" s="485"/>
      <c r="E478" s="485"/>
      <c r="F478" s="488">
        <f>SUM(F474:F477)</f>
        <v>-35443</v>
      </c>
      <c r="G478" s="485"/>
      <c r="H478" s="485"/>
      <c r="I478" s="485"/>
      <c r="J478" s="488">
        <f>SUM(J474:J477)</f>
        <v>-156377</v>
      </c>
      <c r="K478" s="485"/>
      <c r="L478" s="485"/>
      <c r="M478" s="485"/>
      <c r="N478" s="488">
        <f>SUM(N474:N477)</f>
        <v>-135635</v>
      </c>
      <c r="O478" s="485"/>
      <c r="P478" s="486"/>
      <c r="R478" s="489"/>
      <c r="S478" s="489"/>
      <c r="T478" s="489"/>
    </row>
    <row r="479" spans="1:20" x14ac:dyDescent="0.35">
      <c r="A479" s="474"/>
      <c r="B479" s="474"/>
      <c r="C479" s="471"/>
      <c r="D479" s="471"/>
      <c r="E479" s="471"/>
      <c r="F479" s="472"/>
      <c r="G479" s="471"/>
      <c r="H479" s="471"/>
      <c r="I479" s="471"/>
      <c r="J479" s="472"/>
      <c r="K479" s="471"/>
      <c r="L479" s="471"/>
      <c r="M479" s="471"/>
      <c r="N479" s="472"/>
      <c r="O479" s="471"/>
      <c r="P479" s="472"/>
      <c r="R479" s="473"/>
      <c r="S479" s="473"/>
      <c r="T479" s="473"/>
    </row>
    <row r="480" spans="1:20" x14ac:dyDescent="0.35">
      <c r="A480" s="511" t="s">
        <v>1625</v>
      </c>
      <c r="B480" s="511"/>
      <c r="C480" s="485"/>
      <c r="D480" s="485"/>
      <c r="E480" s="485"/>
      <c r="F480" s="488">
        <f>SUM(F478,F471)</f>
        <v>-11835</v>
      </c>
      <c r="G480" s="485"/>
      <c r="H480" s="485"/>
      <c r="I480" s="485"/>
      <c r="J480" s="488">
        <f>SUM(J478,J471)</f>
        <v>-85963</v>
      </c>
      <c r="K480" s="485"/>
      <c r="L480" s="485"/>
      <c r="M480" s="485"/>
      <c r="N480" s="488">
        <f>SUM(N478,N471)</f>
        <v>-83240</v>
      </c>
      <c r="O480" s="485"/>
      <c r="P480" s="486"/>
      <c r="R480" s="489"/>
      <c r="S480" s="489"/>
      <c r="T480" s="489"/>
    </row>
    <row r="481" spans="1:20" x14ac:dyDescent="0.35">
      <c r="F481" s="477"/>
      <c r="J481" s="477"/>
      <c r="N481" s="477"/>
      <c r="P481" s="477"/>
      <c r="R481" s="478"/>
      <c r="S481" s="478"/>
      <c r="T481" s="478"/>
    </row>
    <row r="482" spans="1:20" x14ac:dyDescent="0.35">
      <c r="A482" s="470" t="s">
        <v>1626</v>
      </c>
      <c r="B482" s="470"/>
      <c r="C482" s="471"/>
      <c r="D482" s="471"/>
      <c r="E482" s="471"/>
      <c r="F482" s="472"/>
      <c r="G482" s="471"/>
      <c r="H482" s="471"/>
      <c r="I482" s="471"/>
      <c r="J482" s="472"/>
      <c r="K482" s="471"/>
      <c r="L482" s="471"/>
      <c r="M482" s="471"/>
      <c r="N482" s="472"/>
      <c r="O482" s="471"/>
      <c r="P482" s="472"/>
      <c r="R482" s="473"/>
      <c r="S482" s="473"/>
      <c r="T482" s="473"/>
    </row>
    <row r="483" spans="1:20" x14ac:dyDescent="0.35">
      <c r="A483" s="474" t="s">
        <v>495</v>
      </c>
      <c r="B483" s="474"/>
      <c r="C483" s="471"/>
      <c r="D483" s="471"/>
      <c r="E483" s="471"/>
      <c r="F483" s="476">
        <v>175488</v>
      </c>
      <c r="G483" s="471"/>
      <c r="H483" s="471"/>
      <c r="I483" s="471"/>
      <c r="J483" s="476">
        <v>197607</v>
      </c>
      <c r="K483" s="471"/>
      <c r="L483" s="471"/>
      <c r="M483" s="471"/>
      <c r="N483" s="476">
        <v>120130</v>
      </c>
      <c r="O483" s="471"/>
      <c r="P483" s="472"/>
      <c r="R483" s="473"/>
      <c r="S483" s="473"/>
      <c r="T483" s="473"/>
    </row>
    <row r="484" spans="1:20" x14ac:dyDescent="0.35">
      <c r="A484" s="474" t="s">
        <v>496</v>
      </c>
      <c r="B484" s="474"/>
      <c r="C484" s="471"/>
      <c r="D484" s="471"/>
      <c r="E484" s="471"/>
      <c r="F484" s="476">
        <v>172905</v>
      </c>
      <c r="G484" s="471"/>
      <c r="H484" s="471"/>
      <c r="I484" s="471"/>
      <c r="J484" s="476">
        <v>166196</v>
      </c>
      <c r="K484" s="471"/>
      <c r="L484" s="471"/>
      <c r="M484" s="471"/>
      <c r="N484" s="476">
        <v>147539</v>
      </c>
      <c r="O484" s="471"/>
      <c r="P484" s="472"/>
      <c r="R484" s="473"/>
      <c r="S484" s="473"/>
      <c r="T484" s="473"/>
    </row>
    <row r="485" spans="1:20" x14ac:dyDescent="0.35">
      <c r="A485" s="474" t="s">
        <v>1627</v>
      </c>
      <c r="B485" s="474"/>
      <c r="C485" s="471"/>
      <c r="D485" s="471"/>
      <c r="E485" s="471"/>
      <c r="F485" s="476">
        <v>36242</v>
      </c>
      <c r="G485" s="471"/>
      <c r="H485" s="471"/>
      <c r="I485" s="471"/>
      <c r="J485" s="476">
        <v>35992</v>
      </c>
      <c r="K485" s="471"/>
      <c r="L485" s="471"/>
      <c r="M485" s="471"/>
      <c r="N485" s="476">
        <v>25063</v>
      </c>
      <c r="O485" s="471"/>
      <c r="P485" s="472"/>
      <c r="R485" s="473"/>
      <c r="S485" s="473"/>
      <c r="T485" s="473"/>
    </row>
    <row r="486" spans="1:20" x14ac:dyDescent="0.35">
      <c r="A486" s="484" t="s">
        <v>1517</v>
      </c>
      <c r="B486" s="484"/>
      <c r="C486" s="485"/>
      <c r="D486" s="485"/>
      <c r="E486" s="485"/>
      <c r="F486" s="488">
        <f>SUM(F483:F485)</f>
        <v>384635</v>
      </c>
      <c r="G486" s="485"/>
      <c r="H486" s="485"/>
      <c r="I486" s="485"/>
      <c r="J486" s="488">
        <f>SUM(J483:J485)</f>
        <v>399795</v>
      </c>
      <c r="K486" s="485"/>
      <c r="L486" s="485"/>
      <c r="M486" s="485"/>
      <c r="N486" s="488">
        <f>SUM(N483:N485)</f>
        <v>292732</v>
      </c>
      <c r="O486" s="485"/>
      <c r="P486" s="486"/>
      <c r="R486" s="489"/>
      <c r="S486" s="489"/>
      <c r="T486" s="489"/>
    </row>
    <row r="487" spans="1:20" x14ac:dyDescent="0.35">
      <c r="F487" s="477"/>
      <c r="J487" s="477"/>
      <c r="N487" s="477"/>
      <c r="P487" s="477"/>
      <c r="R487" s="478"/>
      <c r="S487" s="478"/>
      <c r="T487" s="478"/>
    </row>
    <row r="488" spans="1:20" x14ac:dyDescent="0.35">
      <c r="A488" s="552" t="s">
        <v>1628</v>
      </c>
      <c r="B488" s="552"/>
      <c r="F488" s="477"/>
      <c r="J488" s="477"/>
      <c r="N488" s="477"/>
      <c r="P488" s="477"/>
      <c r="R488" s="478"/>
      <c r="S488" s="478"/>
      <c r="T488" s="478"/>
    </row>
    <row r="489" spans="1:20" x14ac:dyDescent="0.35">
      <c r="A489" s="474" t="s">
        <v>1629</v>
      </c>
      <c r="B489" s="474"/>
      <c r="C489" s="471"/>
      <c r="D489" s="471"/>
      <c r="E489" s="471"/>
      <c r="F489" s="472"/>
      <c r="G489" s="460"/>
      <c r="H489" s="471"/>
      <c r="I489" s="471"/>
      <c r="J489" s="472"/>
      <c r="K489" s="471"/>
      <c r="L489" s="471"/>
      <c r="M489" s="471"/>
      <c r="N489" s="472"/>
      <c r="O489" s="471"/>
      <c r="P489" s="472"/>
      <c r="R489" s="483">
        <v>29196</v>
      </c>
      <c r="S489" s="483">
        <v>-68008</v>
      </c>
      <c r="T489" s="483">
        <v>-7791</v>
      </c>
    </row>
    <row r="490" spans="1:20" x14ac:dyDescent="0.35">
      <c r="A490" s="474" t="s">
        <v>1630</v>
      </c>
      <c r="B490" s="474"/>
      <c r="C490" s="471"/>
      <c r="D490" s="471"/>
      <c r="E490" s="471"/>
      <c r="F490" s="472"/>
      <c r="G490" s="460"/>
      <c r="H490" s="471"/>
      <c r="I490" s="471"/>
      <c r="J490" s="472"/>
      <c r="K490" s="471"/>
      <c r="L490" s="471"/>
      <c r="M490" s="471"/>
      <c r="N490" s="472"/>
      <c r="O490" s="471"/>
      <c r="P490" s="472"/>
      <c r="R490" s="483">
        <v>11952</v>
      </c>
      <c r="S490" s="483">
        <v>9161</v>
      </c>
      <c r="T490" s="483">
        <v>32704</v>
      </c>
    </row>
    <row r="491" spans="1:20" x14ac:dyDescent="0.35">
      <c r="A491" s="511" t="s">
        <v>1631</v>
      </c>
      <c r="B491" s="511"/>
      <c r="C491" s="485"/>
      <c r="D491" s="485"/>
      <c r="E491" s="485"/>
      <c r="F491" s="486"/>
      <c r="G491" s="550"/>
      <c r="H491" s="485"/>
      <c r="I491" s="485"/>
      <c r="J491" s="486"/>
      <c r="K491" s="485"/>
      <c r="L491" s="485"/>
      <c r="M491" s="485"/>
      <c r="N491" s="486"/>
      <c r="O491" s="485"/>
      <c r="P491" s="486"/>
      <c r="R491" s="492">
        <f>SUM(R489:R490)</f>
        <v>41148</v>
      </c>
      <c r="S491" s="492">
        <f>SUM(S489:S490)</f>
        <v>-58847</v>
      </c>
      <c r="T491" s="492">
        <f>SUM(T489:T490)</f>
        <v>24913</v>
      </c>
    </row>
    <row r="492" spans="1:20" x14ac:dyDescent="0.35">
      <c r="F492" s="477"/>
      <c r="J492" s="477"/>
      <c r="N492" s="477"/>
      <c r="P492" s="477"/>
      <c r="R492" s="478"/>
      <c r="S492" s="478"/>
      <c r="T492" s="478"/>
    </row>
    <row r="493" spans="1:20" x14ac:dyDescent="0.35">
      <c r="A493" s="470" t="s">
        <v>1632</v>
      </c>
      <c r="B493" s="470"/>
      <c r="F493" s="477"/>
      <c r="J493" s="477"/>
      <c r="N493" s="477"/>
      <c r="P493" s="477"/>
      <c r="R493" s="478"/>
      <c r="S493" s="478"/>
      <c r="T493" s="478"/>
    </row>
    <row r="494" spans="1:20" x14ac:dyDescent="0.35">
      <c r="A494" s="474" t="s">
        <v>1629</v>
      </c>
      <c r="B494" s="474"/>
      <c r="F494" s="477"/>
      <c r="G494" s="475">
        <v>-38181</v>
      </c>
      <c r="J494" s="477"/>
      <c r="N494" s="477"/>
      <c r="P494" s="477"/>
      <c r="R494" s="478"/>
      <c r="S494" s="478"/>
      <c r="T494" s="478"/>
    </row>
    <row r="495" spans="1:20" x14ac:dyDescent="0.35">
      <c r="A495" s="474" t="s">
        <v>1630</v>
      </c>
      <c r="B495" s="474"/>
      <c r="F495" s="477"/>
      <c r="G495" s="475">
        <v>780</v>
      </c>
      <c r="J495" s="477"/>
      <c r="N495" s="477"/>
      <c r="P495" s="477"/>
      <c r="R495" s="478"/>
      <c r="S495" s="478"/>
      <c r="T495" s="478"/>
    </row>
    <row r="496" spans="1:20" x14ac:dyDescent="0.35">
      <c r="A496" s="511" t="s">
        <v>1631</v>
      </c>
      <c r="B496" s="511"/>
      <c r="C496" s="508"/>
      <c r="D496" s="508"/>
      <c r="E496" s="508"/>
      <c r="F496" s="509"/>
      <c r="G496" s="487">
        <f>SUM(G494:G495)</f>
        <v>-37401</v>
      </c>
      <c r="H496" s="508"/>
      <c r="I496" s="508"/>
      <c r="J496" s="509"/>
      <c r="K496" s="508"/>
      <c r="L496" s="508"/>
      <c r="M496" s="508"/>
      <c r="N496" s="509"/>
      <c r="O496" s="508"/>
      <c r="P496" s="509"/>
      <c r="R496" s="510"/>
      <c r="S496" s="510"/>
      <c r="T496" s="510"/>
    </row>
    <row r="497" spans="1:20" x14ac:dyDescent="0.35">
      <c r="F497" s="477"/>
      <c r="J497" s="477"/>
      <c r="N497" s="477"/>
      <c r="P497" s="477"/>
      <c r="R497" s="478"/>
      <c r="S497" s="478"/>
      <c r="T497" s="478"/>
    </row>
    <row r="498" spans="1:20" x14ac:dyDescent="0.35">
      <c r="A498" s="552" t="s">
        <v>351</v>
      </c>
      <c r="B498" s="552"/>
      <c r="F498" s="477"/>
      <c r="J498" s="477"/>
      <c r="N498" s="477"/>
      <c r="P498" s="477"/>
      <c r="R498" s="478"/>
      <c r="S498" s="478"/>
      <c r="T498" s="478"/>
    </row>
    <row r="499" spans="1:20" x14ac:dyDescent="0.35">
      <c r="A499" s="553" t="s">
        <v>1408</v>
      </c>
      <c r="B499" s="553"/>
      <c r="F499" s="477"/>
      <c r="J499" s="477"/>
      <c r="N499" s="477"/>
      <c r="P499" s="477"/>
      <c r="R499" s="478"/>
      <c r="S499" s="478"/>
      <c r="T499" s="478"/>
    </row>
    <row r="500" spans="1:20" x14ac:dyDescent="0.35">
      <c r="A500" s="506" t="s">
        <v>495</v>
      </c>
      <c r="B500" s="506"/>
      <c r="C500" s="471"/>
      <c r="D500" s="471"/>
      <c r="E500" s="471"/>
      <c r="F500" s="472"/>
      <c r="G500" s="460"/>
      <c r="H500" s="471"/>
      <c r="I500" s="471"/>
      <c r="J500" s="472"/>
      <c r="K500" s="471"/>
      <c r="L500" s="471"/>
      <c r="M500" s="471"/>
      <c r="N500" s="472"/>
      <c r="O500" s="471"/>
      <c r="P500" s="472"/>
      <c r="R500" s="483">
        <v>-96</v>
      </c>
      <c r="S500" s="483">
        <v>51</v>
      </c>
      <c r="T500" s="483">
        <v>58</v>
      </c>
    </row>
    <row r="501" spans="1:20" x14ac:dyDescent="0.35">
      <c r="A501" s="506" t="s">
        <v>496</v>
      </c>
      <c r="B501" s="506"/>
      <c r="C501" s="471"/>
      <c r="D501" s="471"/>
      <c r="E501" s="471"/>
      <c r="F501" s="472"/>
      <c r="G501" s="460"/>
      <c r="H501" s="471"/>
      <c r="I501" s="471"/>
      <c r="J501" s="472"/>
      <c r="K501" s="471"/>
      <c r="L501" s="471"/>
      <c r="M501" s="471"/>
      <c r="N501" s="472"/>
      <c r="O501" s="471"/>
      <c r="P501" s="472"/>
      <c r="R501" s="483">
        <v>784</v>
      </c>
      <c r="S501" s="483">
        <v>1994</v>
      </c>
      <c r="T501" s="483">
        <v>4003</v>
      </c>
    </row>
    <row r="502" spans="1:20" x14ac:dyDescent="0.35">
      <c r="A502" s="506" t="s">
        <v>1627</v>
      </c>
      <c r="B502" s="506"/>
      <c r="C502" s="471"/>
      <c r="D502" s="471"/>
      <c r="E502" s="471"/>
      <c r="F502" s="472"/>
      <c r="G502" s="460"/>
      <c r="H502" s="471"/>
      <c r="I502" s="471"/>
      <c r="J502" s="472"/>
      <c r="K502" s="471"/>
      <c r="L502" s="471"/>
      <c r="M502" s="471"/>
      <c r="N502" s="472"/>
      <c r="O502" s="471"/>
      <c r="P502" s="472"/>
      <c r="R502" s="483">
        <v>4161</v>
      </c>
      <c r="S502" s="483">
        <v>3818</v>
      </c>
      <c r="T502" s="483">
        <v>7618</v>
      </c>
    </row>
    <row r="503" spans="1:20" x14ac:dyDescent="0.35">
      <c r="A503" s="507" t="s">
        <v>1633</v>
      </c>
      <c r="B503" s="507"/>
      <c r="C503" s="485"/>
      <c r="D503" s="485"/>
      <c r="E503" s="485"/>
      <c r="F503" s="486"/>
      <c r="G503" s="550"/>
      <c r="H503" s="485"/>
      <c r="I503" s="485"/>
      <c r="J503" s="486"/>
      <c r="K503" s="485"/>
      <c r="L503" s="485"/>
      <c r="M503" s="485"/>
      <c r="N503" s="486"/>
      <c r="O503" s="485"/>
      <c r="P503" s="486"/>
      <c r="R503" s="492">
        <f>SUM(R500:R502)</f>
        <v>4849</v>
      </c>
      <c r="S503" s="492">
        <f>SUM(S500:S502)</f>
        <v>5863</v>
      </c>
      <c r="T503" s="492">
        <f>SUM(T500:T502)</f>
        <v>11679</v>
      </c>
    </row>
    <row r="504" spans="1:20" x14ac:dyDescent="0.35">
      <c r="A504" s="512"/>
      <c r="B504" s="512"/>
      <c r="F504" s="477"/>
      <c r="G504" s="460"/>
      <c r="J504" s="477"/>
      <c r="N504" s="477"/>
      <c r="P504" s="477"/>
      <c r="R504" s="478"/>
      <c r="S504" s="478"/>
      <c r="T504" s="478"/>
    </row>
    <row r="505" spans="1:20" x14ac:dyDescent="0.35">
      <c r="A505" s="505" t="s">
        <v>1634</v>
      </c>
      <c r="B505" s="505"/>
      <c r="C505" s="471"/>
      <c r="D505" s="471"/>
      <c r="E505" s="471"/>
      <c r="F505" s="472"/>
      <c r="G505" s="460"/>
      <c r="H505" s="471"/>
      <c r="I505" s="471"/>
      <c r="J505" s="472"/>
      <c r="K505" s="471"/>
      <c r="L505" s="471"/>
      <c r="M505" s="471"/>
      <c r="N505" s="472"/>
      <c r="O505" s="471"/>
      <c r="P505" s="472"/>
      <c r="R505" s="473"/>
      <c r="S505" s="473"/>
      <c r="T505" s="473"/>
    </row>
    <row r="506" spans="1:20" x14ac:dyDescent="0.35">
      <c r="A506" s="506" t="s">
        <v>495</v>
      </c>
      <c r="B506" s="506"/>
      <c r="C506" s="471"/>
      <c r="D506" s="471"/>
      <c r="E506" s="471"/>
      <c r="F506" s="472"/>
      <c r="G506" s="460"/>
      <c r="H506" s="471"/>
      <c r="I506" s="471"/>
      <c r="J506" s="472"/>
      <c r="K506" s="471"/>
      <c r="L506" s="471"/>
      <c r="M506" s="471"/>
      <c r="N506" s="472"/>
      <c r="O506" s="471"/>
      <c r="P506" s="472"/>
      <c r="R506" s="483">
        <v>1778</v>
      </c>
      <c r="S506" s="483">
        <v>-16144</v>
      </c>
      <c r="T506" s="483">
        <v>549</v>
      </c>
    </row>
    <row r="507" spans="1:20" x14ac:dyDescent="0.35">
      <c r="A507" s="506" t="s">
        <v>496</v>
      </c>
      <c r="B507" s="506"/>
      <c r="C507" s="471"/>
      <c r="D507" s="471"/>
      <c r="E507" s="471"/>
      <c r="F507" s="472"/>
      <c r="G507" s="460"/>
      <c r="H507" s="471"/>
      <c r="I507" s="471"/>
      <c r="J507" s="472"/>
      <c r="K507" s="471"/>
      <c r="L507" s="471"/>
      <c r="M507" s="471"/>
      <c r="N507" s="472"/>
      <c r="O507" s="471"/>
      <c r="P507" s="472"/>
      <c r="R507" s="483">
        <v>389</v>
      </c>
      <c r="S507" s="483">
        <v>-784</v>
      </c>
      <c r="T507" s="483">
        <v>-4495</v>
      </c>
    </row>
    <row r="508" spans="1:20" x14ac:dyDescent="0.35">
      <c r="A508" s="506" t="s">
        <v>1627</v>
      </c>
      <c r="B508" s="506"/>
      <c r="C508" s="471"/>
      <c r="D508" s="471"/>
      <c r="E508" s="471"/>
      <c r="F508" s="472"/>
      <c r="G508" s="460"/>
      <c r="H508" s="471"/>
      <c r="I508" s="471"/>
      <c r="J508" s="472"/>
      <c r="K508" s="471"/>
      <c r="L508" s="471"/>
      <c r="M508" s="471"/>
      <c r="N508" s="472"/>
      <c r="O508" s="471"/>
      <c r="P508" s="472"/>
      <c r="R508" s="483">
        <v>-118</v>
      </c>
      <c r="S508" s="483">
        <v>-290</v>
      </c>
      <c r="T508" s="483">
        <v>1129</v>
      </c>
    </row>
    <row r="509" spans="1:20" x14ac:dyDescent="0.35">
      <c r="A509" s="507" t="s">
        <v>1635</v>
      </c>
      <c r="B509" s="507"/>
      <c r="C509" s="485"/>
      <c r="D509" s="485"/>
      <c r="E509" s="485"/>
      <c r="F509" s="486"/>
      <c r="G509" s="550"/>
      <c r="H509" s="485"/>
      <c r="I509" s="485"/>
      <c r="J509" s="486"/>
      <c r="K509" s="485"/>
      <c r="L509" s="485"/>
      <c r="M509" s="485"/>
      <c r="N509" s="486"/>
      <c r="O509" s="485"/>
      <c r="P509" s="486"/>
      <c r="R509" s="492">
        <f>SUM(R506:R508)</f>
        <v>2049</v>
      </c>
      <c r="S509" s="492">
        <f>SUM(S506:S508)</f>
        <v>-17218</v>
      </c>
      <c r="T509" s="492">
        <f>SUM(T506:T508)</f>
        <v>-2817</v>
      </c>
    </row>
    <row r="510" spans="1:20" x14ac:dyDescent="0.35">
      <c r="A510" s="505"/>
      <c r="B510" s="505"/>
      <c r="C510" s="526"/>
      <c r="D510" s="526"/>
      <c r="E510" s="526"/>
      <c r="F510" s="527"/>
      <c r="H510" s="526"/>
      <c r="I510" s="526"/>
      <c r="J510" s="527"/>
      <c r="K510" s="526"/>
      <c r="L510" s="526"/>
      <c r="M510" s="526"/>
      <c r="N510" s="527"/>
      <c r="O510" s="526"/>
      <c r="P510" s="527"/>
      <c r="R510" s="540"/>
      <c r="S510" s="540"/>
      <c r="T510" s="540"/>
    </row>
    <row r="511" spans="1:20" x14ac:dyDescent="0.35">
      <c r="A511" s="511" t="s">
        <v>1517</v>
      </c>
      <c r="B511" s="511"/>
      <c r="C511" s="485"/>
      <c r="D511" s="485"/>
      <c r="E511" s="485"/>
      <c r="F511" s="486"/>
      <c r="G511" s="550"/>
      <c r="H511" s="485"/>
      <c r="I511" s="485"/>
      <c r="J511" s="486"/>
      <c r="K511" s="485"/>
      <c r="L511" s="485"/>
      <c r="M511" s="485"/>
      <c r="N511" s="486"/>
      <c r="O511" s="485"/>
      <c r="P511" s="486"/>
      <c r="R511" s="492">
        <f>SUM(R509,R503)</f>
        <v>6898</v>
      </c>
      <c r="S511" s="492">
        <f>SUM(S509,S503)</f>
        <v>-11355</v>
      </c>
      <c r="T511" s="492">
        <f>SUM(T509,T503)</f>
        <v>8862</v>
      </c>
    </row>
    <row r="512" spans="1:20" x14ac:dyDescent="0.35">
      <c r="A512" s="512"/>
      <c r="B512" s="512"/>
      <c r="F512" s="477"/>
      <c r="G512" s="460"/>
      <c r="J512" s="477"/>
      <c r="N512" s="477"/>
      <c r="P512" s="477"/>
      <c r="R512" s="478"/>
      <c r="S512" s="478"/>
      <c r="T512" s="478"/>
    </row>
    <row r="513" spans="1:20" x14ac:dyDescent="0.35">
      <c r="A513" s="552" t="s">
        <v>1636</v>
      </c>
      <c r="B513" s="552"/>
      <c r="F513" s="477"/>
      <c r="J513" s="477"/>
      <c r="N513" s="477"/>
      <c r="P513" s="477"/>
      <c r="R513" s="478"/>
      <c r="S513" s="478"/>
      <c r="T513" s="478"/>
    </row>
    <row r="514" spans="1:20" x14ac:dyDescent="0.35">
      <c r="A514" s="553" t="s">
        <v>1408</v>
      </c>
      <c r="B514" s="553"/>
      <c r="F514" s="477"/>
      <c r="J514" s="477"/>
      <c r="N514" s="477"/>
      <c r="P514" s="477"/>
      <c r="R514" s="478"/>
      <c r="S514" s="478"/>
      <c r="T514" s="478"/>
    </row>
    <row r="515" spans="1:20" x14ac:dyDescent="0.35">
      <c r="A515" s="506" t="s">
        <v>495</v>
      </c>
      <c r="B515" s="506"/>
      <c r="F515" s="477"/>
      <c r="G515" s="475">
        <v>-2</v>
      </c>
      <c r="J515" s="477"/>
      <c r="N515" s="477"/>
      <c r="P515" s="477"/>
      <c r="R515" s="478"/>
      <c r="S515" s="478"/>
      <c r="T515" s="478"/>
    </row>
    <row r="516" spans="1:20" x14ac:dyDescent="0.35">
      <c r="A516" s="506" t="s">
        <v>496</v>
      </c>
      <c r="B516" s="506"/>
      <c r="F516" s="477"/>
      <c r="G516" s="475">
        <v>-79</v>
      </c>
      <c r="J516" s="477"/>
      <c r="N516" s="477"/>
      <c r="P516" s="477"/>
      <c r="R516" s="478"/>
      <c r="S516" s="478"/>
      <c r="T516" s="478"/>
    </row>
    <row r="517" spans="1:20" x14ac:dyDescent="0.35">
      <c r="A517" s="506" t="s">
        <v>1627</v>
      </c>
      <c r="B517" s="506"/>
      <c r="F517" s="477"/>
      <c r="G517" s="475">
        <v>128</v>
      </c>
      <c r="J517" s="477"/>
      <c r="N517" s="477"/>
      <c r="P517" s="477"/>
      <c r="R517" s="478"/>
      <c r="S517" s="478"/>
      <c r="T517" s="478"/>
    </row>
    <row r="518" spans="1:20" x14ac:dyDescent="0.35">
      <c r="A518" s="507" t="s">
        <v>1633</v>
      </c>
      <c r="B518" s="507"/>
      <c r="C518" s="508"/>
      <c r="D518" s="508"/>
      <c r="E518" s="508"/>
      <c r="F518" s="509"/>
      <c r="G518" s="539">
        <f>SUM(G515:G517)</f>
        <v>47</v>
      </c>
      <c r="H518" s="508"/>
      <c r="I518" s="508"/>
      <c r="J518" s="509"/>
      <c r="K518" s="508"/>
      <c r="L518" s="508"/>
      <c r="M518" s="508"/>
      <c r="N518" s="509"/>
      <c r="O518" s="508"/>
      <c r="P518" s="509"/>
      <c r="R518" s="510"/>
      <c r="S518" s="510"/>
      <c r="T518" s="510"/>
    </row>
    <row r="519" spans="1:20" x14ac:dyDescent="0.35">
      <c r="A519" s="512"/>
      <c r="B519" s="512"/>
      <c r="F519" s="477"/>
      <c r="J519" s="477"/>
      <c r="N519" s="477"/>
      <c r="P519" s="477"/>
      <c r="R519" s="478"/>
      <c r="S519" s="478"/>
      <c r="T519" s="478"/>
    </row>
    <row r="520" spans="1:20" x14ac:dyDescent="0.35">
      <c r="A520" s="505" t="s">
        <v>1637</v>
      </c>
      <c r="B520" s="505"/>
      <c r="F520" s="477"/>
      <c r="G520" s="471"/>
      <c r="J520" s="477"/>
      <c r="N520" s="477"/>
      <c r="P520" s="477"/>
      <c r="R520" s="478"/>
      <c r="S520" s="478"/>
      <c r="T520" s="478"/>
    </row>
    <row r="521" spans="1:20" x14ac:dyDescent="0.35">
      <c r="A521" s="506" t="s">
        <v>495</v>
      </c>
      <c r="B521" s="506"/>
      <c r="F521" s="477"/>
      <c r="G521" s="475">
        <v>-701</v>
      </c>
      <c r="J521" s="477"/>
      <c r="N521" s="477"/>
      <c r="P521" s="477"/>
      <c r="R521" s="478"/>
      <c r="S521" s="478"/>
      <c r="T521" s="478"/>
    </row>
    <row r="522" spans="1:20" x14ac:dyDescent="0.35">
      <c r="A522" s="506" t="s">
        <v>496</v>
      </c>
      <c r="B522" s="506"/>
      <c r="F522" s="477"/>
      <c r="G522" s="475">
        <v>-149</v>
      </c>
      <c r="J522" s="477"/>
      <c r="N522" s="477"/>
      <c r="P522" s="477"/>
      <c r="R522" s="478"/>
      <c r="S522" s="478"/>
      <c r="T522" s="478"/>
    </row>
    <row r="523" spans="1:20" x14ac:dyDescent="0.35">
      <c r="A523" s="506" t="s">
        <v>1627</v>
      </c>
      <c r="B523" s="506"/>
      <c r="F523" s="477"/>
      <c r="G523" s="475">
        <v>-68</v>
      </c>
      <c r="J523" s="477"/>
      <c r="N523" s="477"/>
      <c r="P523" s="477"/>
      <c r="R523" s="478"/>
      <c r="S523" s="478"/>
      <c r="T523" s="478"/>
    </row>
    <row r="524" spans="1:20" x14ac:dyDescent="0.35">
      <c r="A524" s="507" t="s">
        <v>1635</v>
      </c>
      <c r="B524" s="507"/>
      <c r="C524" s="508"/>
      <c r="D524" s="508"/>
      <c r="E524" s="508"/>
      <c r="F524" s="509"/>
      <c r="G524" s="539">
        <f>SUM(G521:G523)</f>
        <v>-918</v>
      </c>
      <c r="H524" s="508"/>
      <c r="I524" s="508"/>
      <c r="J524" s="509"/>
      <c r="K524" s="508"/>
      <c r="L524" s="508"/>
      <c r="M524" s="508"/>
      <c r="N524" s="509"/>
      <c r="O524" s="508"/>
      <c r="P524" s="509"/>
      <c r="R524" s="510"/>
      <c r="S524" s="510"/>
      <c r="T524" s="510"/>
    </row>
    <row r="525" spans="1:20" x14ac:dyDescent="0.35">
      <c r="A525" s="505"/>
      <c r="B525" s="505"/>
      <c r="F525" s="477"/>
      <c r="G525" s="526"/>
      <c r="J525" s="477"/>
      <c r="N525" s="477"/>
      <c r="P525" s="477"/>
      <c r="R525" s="478"/>
      <c r="S525" s="478"/>
      <c r="T525" s="478"/>
    </row>
    <row r="526" spans="1:20" x14ac:dyDescent="0.35">
      <c r="A526" s="511" t="s">
        <v>1517</v>
      </c>
      <c r="B526" s="511"/>
      <c r="C526" s="508"/>
      <c r="D526" s="508"/>
      <c r="E526" s="508"/>
      <c r="F526" s="509"/>
      <c r="G526" s="539">
        <f>SUM(G524,G518)</f>
        <v>-871</v>
      </c>
      <c r="H526" s="508"/>
      <c r="I526" s="508"/>
      <c r="J526" s="509"/>
      <c r="K526" s="508"/>
      <c r="L526" s="508"/>
      <c r="M526" s="508"/>
      <c r="N526" s="509"/>
      <c r="O526" s="508"/>
      <c r="P526" s="509"/>
      <c r="R526" s="510"/>
      <c r="S526" s="510"/>
      <c r="T526" s="510"/>
    </row>
    <row r="527" spans="1:20" x14ac:dyDescent="0.35">
      <c r="A527" s="474"/>
      <c r="B527" s="474"/>
      <c r="F527" s="477"/>
      <c r="J527" s="477"/>
      <c r="N527" s="477"/>
      <c r="P527" s="477"/>
      <c r="R527" s="478"/>
      <c r="S527" s="478"/>
      <c r="T527" s="478"/>
    </row>
    <row r="528" spans="1:20" x14ac:dyDescent="0.35">
      <c r="A528" s="513" t="s">
        <v>1638</v>
      </c>
      <c r="B528" s="513"/>
      <c r="C528" s="471"/>
      <c r="D528" s="471"/>
      <c r="E528" s="471"/>
      <c r="F528" s="472"/>
      <c r="G528" s="471"/>
      <c r="H528" s="471"/>
      <c r="I528" s="471"/>
      <c r="J528" s="472"/>
      <c r="K528" s="471"/>
      <c r="L528" s="471"/>
      <c r="M528" s="471"/>
      <c r="N528" s="472"/>
      <c r="O528" s="471"/>
      <c r="P528" s="472"/>
      <c r="R528" s="473"/>
      <c r="S528" s="473"/>
      <c r="T528" s="473"/>
    </row>
    <row r="529" spans="1:20" x14ac:dyDescent="0.35">
      <c r="A529" s="474" t="s">
        <v>1639</v>
      </c>
      <c r="B529" s="474"/>
      <c r="C529" s="471"/>
      <c r="D529" s="471"/>
      <c r="E529" s="471"/>
      <c r="F529" s="472"/>
      <c r="G529" s="460"/>
      <c r="H529" s="471"/>
      <c r="I529" s="471"/>
      <c r="J529" s="472"/>
      <c r="K529" s="471"/>
      <c r="L529" s="471"/>
      <c r="M529" s="471"/>
      <c r="N529" s="472"/>
      <c r="O529" s="471"/>
      <c r="P529" s="472"/>
      <c r="R529" s="482">
        <v>0.21</v>
      </c>
      <c r="S529" s="482">
        <v>0.21</v>
      </c>
      <c r="T529" s="482">
        <v>0.21</v>
      </c>
    </row>
    <row r="530" spans="1:20" x14ac:dyDescent="0.35">
      <c r="A530" s="474" t="s">
        <v>1640</v>
      </c>
      <c r="B530" s="474"/>
      <c r="C530" s="471"/>
      <c r="D530" s="471"/>
      <c r="E530" s="471"/>
      <c r="F530" s="472"/>
      <c r="G530" s="460"/>
      <c r="H530" s="471"/>
      <c r="I530" s="471"/>
      <c r="J530" s="472"/>
      <c r="K530" s="471"/>
      <c r="L530" s="471"/>
      <c r="M530" s="471"/>
      <c r="N530" s="472"/>
      <c r="O530" s="471"/>
      <c r="P530" s="472"/>
      <c r="R530" s="482">
        <v>4.8399999999999999E-2</v>
      </c>
      <c r="S530" s="482">
        <v>-1.4999999999999999E-2</v>
      </c>
      <c r="T530" s="482">
        <v>-5.3199999999999997E-2</v>
      </c>
    </row>
    <row r="531" spans="1:20" x14ac:dyDescent="0.35">
      <c r="A531" s="474" t="s">
        <v>1641</v>
      </c>
      <c r="B531" s="474"/>
      <c r="C531" s="471"/>
      <c r="D531" s="471"/>
      <c r="E531" s="471"/>
      <c r="F531" s="472"/>
      <c r="G531" s="460"/>
      <c r="H531" s="471"/>
      <c r="I531" s="471"/>
      <c r="J531" s="472"/>
      <c r="K531" s="471"/>
      <c r="L531" s="471"/>
      <c r="M531" s="471"/>
      <c r="N531" s="472"/>
      <c r="O531" s="471"/>
      <c r="P531" s="472"/>
      <c r="R531" s="482">
        <v>1.2800000000000001E-2</v>
      </c>
      <c r="S531" s="482">
        <v>-1.4E-3</v>
      </c>
      <c r="T531" s="482">
        <v>3.2500000000000001E-2</v>
      </c>
    </row>
    <row r="532" spans="1:20" x14ac:dyDescent="0.35">
      <c r="A532" s="474" t="s">
        <v>1642</v>
      </c>
      <c r="B532" s="474"/>
      <c r="C532" s="471"/>
      <c r="D532" s="471"/>
      <c r="E532" s="471"/>
      <c r="F532" s="472"/>
      <c r="G532" s="460"/>
      <c r="H532" s="471"/>
      <c r="I532" s="471"/>
      <c r="J532" s="472"/>
      <c r="K532" s="471"/>
      <c r="L532" s="471"/>
      <c r="M532" s="471"/>
      <c r="N532" s="472"/>
      <c r="O532" s="471"/>
      <c r="P532" s="472"/>
      <c r="R532" s="482">
        <v>-0.1381</v>
      </c>
      <c r="S532" s="473">
        <v>0</v>
      </c>
      <c r="T532" s="482">
        <v>-2.7199999999999998E-2</v>
      </c>
    </row>
    <row r="533" spans="1:20" x14ac:dyDescent="0.35">
      <c r="A533" s="474" t="s">
        <v>1643</v>
      </c>
      <c r="B533" s="474"/>
      <c r="C533" s="471"/>
      <c r="D533" s="471"/>
      <c r="E533" s="471"/>
      <c r="F533" s="472"/>
      <c r="G533" s="460"/>
      <c r="H533" s="471"/>
      <c r="I533" s="471"/>
      <c r="J533" s="472"/>
      <c r="K533" s="471"/>
      <c r="L533" s="471"/>
      <c r="M533" s="471"/>
      <c r="N533" s="472"/>
      <c r="O533" s="471"/>
      <c r="P533" s="472"/>
      <c r="R533" s="482">
        <v>3.4099999999999998E-2</v>
      </c>
      <c r="S533" s="482">
        <v>2.7099999999999999E-2</v>
      </c>
      <c r="T533" s="482">
        <v>7.9199999999999993E-2</v>
      </c>
    </row>
    <row r="534" spans="1:20" x14ac:dyDescent="0.35">
      <c r="A534" s="474" t="s">
        <v>1644</v>
      </c>
      <c r="B534" s="474"/>
      <c r="C534" s="471"/>
      <c r="D534" s="471"/>
      <c r="E534" s="471"/>
      <c r="F534" s="472"/>
      <c r="G534" s="460"/>
      <c r="H534" s="471"/>
      <c r="I534" s="471"/>
      <c r="J534" s="472"/>
      <c r="K534" s="471"/>
      <c r="L534" s="471"/>
      <c r="M534" s="471"/>
      <c r="N534" s="472"/>
      <c r="O534" s="471"/>
      <c r="P534" s="472"/>
      <c r="R534" s="473"/>
      <c r="S534" s="482">
        <v>-1.09E-2</v>
      </c>
      <c r="T534" s="482">
        <v>5.21E-2</v>
      </c>
    </row>
    <row r="535" spans="1:20" x14ac:dyDescent="0.35">
      <c r="A535" s="474" t="s">
        <v>361</v>
      </c>
      <c r="B535" s="474"/>
      <c r="C535" s="471"/>
      <c r="D535" s="471"/>
      <c r="E535" s="471"/>
      <c r="F535" s="472"/>
      <c r="G535" s="460"/>
      <c r="H535" s="471"/>
      <c r="I535" s="471"/>
      <c r="J535" s="472"/>
      <c r="K535" s="471"/>
      <c r="L535" s="471"/>
      <c r="M535" s="471"/>
      <c r="N535" s="472"/>
      <c r="O535" s="471"/>
      <c r="P535" s="472"/>
      <c r="R535" s="482">
        <v>4.6999999999999993E-3</v>
      </c>
      <c r="S535" s="482">
        <v>-4.0000000000000001E-3</v>
      </c>
      <c r="T535" s="482">
        <v>5.8200000000000002E-2</v>
      </c>
    </row>
    <row r="536" spans="1:20" x14ac:dyDescent="0.35">
      <c r="A536" s="474" t="s">
        <v>1645</v>
      </c>
      <c r="B536" s="474"/>
      <c r="C536" s="471"/>
      <c r="D536" s="471"/>
      <c r="E536" s="471"/>
      <c r="F536" s="472"/>
      <c r="G536" s="460"/>
      <c r="H536" s="471"/>
      <c r="I536" s="471"/>
      <c r="J536" s="472"/>
      <c r="K536" s="471"/>
      <c r="L536" s="471"/>
      <c r="M536" s="471"/>
      <c r="N536" s="472"/>
      <c r="O536" s="471"/>
      <c r="P536" s="472"/>
      <c r="R536" s="482">
        <v>1.37E-2</v>
      </c>
      <c r="S536" s="473"/>
      <c r="T536" s="482">
        <v>2.23E-2</v>
      </c>
    </row>
    <row r="537" spans="1:20" x14ac:dyDescent="0.35">
      <c r="A537" s="474" t="s">
        <v>1646</v>
      </c>
      <c r="B537" s="474"/>
      <c r="C537" s="471"/>
      <c r="D537" s="471"/>
      <c r="E537" s="471"/>
      <c r="F537" s="472"/>
      <c r="G537" s="460"/>
      <c r="H537" s="471"/>
      <c r="I537" s="471"/>
      <c r="J537" s="472"/>
      <c r="K537" s="471"/>
      <c r="L537" s="471"/>
      <c r="M537" s="471"/>
      <c r="N537" s="472"/>
      <c r="O537" s="471"/>
      <c r="P537" s="472"/>
      <c r="R537" s="482">
        <v>-2.0299999999999999E-2</v>
      </c>
      <c r="S537" s="482">
        <v>8.5000000000000006E-3</v>
      </c>
      <c r="T537" s="482">
        <v>-7.1500000000000008E-2</v>
      </c>
    </row>
    <row r="538" spans="1:20" x14ac:dyDescent="0.35">
      <c r="A538" s="474" t="s">
        <v>1647</v>
      </c>
      <c r="B538" s="474"/>
      <c r="C538" s="471"/>
      <c r="D538" s="471"/>
      <c r="E538" s="471"/>
      <c r="F538" s="472"/>
      <c r="G538" s="460"/>
      <c r="H538" s="471"/>
      <c r="I538" s="471"/>
      <c r="J538" s="472"/>
      <c r="K538" s="471"/>
      <c r="L538" s="471"/>
      <c r="M538" s="471"/>
      <c r="N538" s="472"/>
      <c r="O538" s="471"/>
      <c r="P538" s="472"/>
      <c r="R538" s="482">
        <v>7.8000000000000014E-3</v>
      </c>
      <c r="S538" s="482">
        <v>-1.9E-2</v>
      </c>
      <c r="T538" s="482">
        <v>5.3400000000000003E-2</v>
      </c>
    </row>
    <row r="539" spans="1:20" x14ac:dyDescent="0.35">
      <c r="A539" s="474" t="s">
        <v>363</v>
      </c>
      <c r="B539" s="474"/>
      <c r="C539" s="471"/>
      <c r="D539" s="471"/>
      <c r="E539" s="471"/>
      <c r="F539" s="472"/>
      <c r="G539" s="460"/>
      <c r="H539" s="471"/>
      <c r="I539" s="471"/>
      <c r="J539" s="472"/>
      <c r="K539" s="471"/>
      <c r="L539" s="471"/>
      <c r="M539" s="471"/>
      <c r="N539" s="472"/>
      <c r="O539" s="471"/>
      <c r="P539" s="472"/>
      <c r="R539" s="482">
        <v>-6.0000000000000001E-3</v>
      </c>
      <c r="S539" s="482">
        <v>-2.3999999999999998E-3</v>
      </c>
      <c r="T539" s="482">
        <v>-1E-4</v>
      </c>
    </row>
    <row r="540" spans="1:20" x14ac:dyDescent="0.35">
      <c r="A540" s="511" t="s">
        <v>1648</v>
      </c>
      <c r="B540" s="511"/>
      <c r="C540" s="485"/>
      <c r="D540" s="485"/>
      <c r="E540" s="485"/>
      <c r="F540" s="486"/>
      <c r="G540" s="550"/>
      <c r="H540" s="485"/>
      <c r="I540" s="485"/>
      <c r="J540" s="486"/>
      <c r="K540" s="485"/>
      <c r="L540" s="485"/>
      <c r="M540" s="485"/>
      <c r="N540" s="486"/>
      <c r="O540" s="485"/>
      <c r="P540" s="486"/>
      <c r="R540" s="554">
        <v>0.1671</v>
      </c>
      <c r="S540" s="554">
        <v>0.19289999999999999</v>
      </c>
      <c r="T540" s="555">
        <f>SUM(T529:T539)</f>
        <v>0.35570000000000002</v>
      </c>
    </row>
    <row r="541" spans="1:20" x14ac:dyDescent="0.35">
      <c r="A541" s="512"/>
      <c r="B541" s="512"/>
      <c r="F541" s="477"/>
      <c r="J541" s="477"/>
      <c r="N541" s="477"/>
      <c r="P541" s="477"/>
      <c r="R541" s="478"/>
      <c r="S541" s="478"/>
      <c r="T541" s="478"/>
    </row>
    <row r="542" spans="1:20" x14ac:dyDescent="0.35">
      <c r="A542" s="513" t="s">
        <v>1649</v>
      </c>
      <c r="B542" s="513"/>
      <c r="F542" s="477"/>
      <c r="J542" s="477"/>
      <c r="N542" s="477"/>
      <c r="P542" s="477"/>
      <c r="R542" s="478"/>
      <c r="S542" s="478"/>
      <c r="T542" s="478"/>
    </row>
    <row r="543" spans="1:20" x14ac:dyDescent="0.35">
      <c r="A543" s="474" t="s">
        <v>1639</v>
      </c>
      <c r="B543" s="474"/>
      <c r="F543" s="477"/>
      <c r="G543" s="481">
        <v>0.21</v>
      </c>
      <c r="J543" s="477"/>
      <c r="N543" s="477"/>
      <c r="P543" s="477"/>
      <c r="R543" s="478"/>
      <c r="S543" s="478"/>
      <c r="T543" s="478"/>
    </row>
    <row r="544" spans="1:20" x14ac:dyDescent="0.35">
      <c r="A544" s="474" t="s">
        <v>1640</v>
      </c>
      <c r="B544" s="474"/>
      <c r="F544" s="477"/>
      <c r="G544" s="481">
        <v>-9.8999999999999991E-3</v>
      </c>
      <c r="J544" s="477"/>
      <c r="N544" s="477"/>
      <c r="P544" s="477"/>
      <c r="R544" s="478"/>
      <c r="S544" s="478"/>
      <c r="T544" s="478"/>
    </row>
    <row r="545" spans="1:20" x14ac:dyDescent="0.35">
      <c r="A545" s="474" t="s">
        <v>1641</v>
      </c>
      <c r="B545" s="474"/>
      <c r="F545" s="477"/>
      <c r="G545" s="481">
        <v>5.9999999999999995E-4</v>
      </c>
      <c r="J545" s="477"/>
      <c r="N545" s="477"/>
      <c r="P545" s="477"/>
      <c r="R545" s="478"/>
      <c r="S545" s="478"/>
      <c r="T545" s="478"/>
    </row>
    <row r="546" spans="1:20" x14ac:dyDescent="0.35">
      <c r="A546" s="474" t="s">
        <v>1642</v>
      </c>
      <c r="B546" s="474"/>
      <c r="F546" s="477"/>
      <c r="G546" s="481">
        <v>-0.1237</v>
      </c>
      <c r="J546" s="477"/>
      <c r="N546" s="477"/>
      <c r="P546" s="477"/>
      <c r="R546" s="478"/>
      <c r="S546" s="478"/>
      <c r="T546" s="478"/>
    </row>
    <row r="547" spans="1:20" x14ac:dyDescent="0.35">
      <c r="A547" s="474" t="s">
        <v>1643</v>
      </c>
      <c r="B547" s="474"/>
      <c r="F547" s="477"/>
      <c r="G547" s="481">
        <v>-3.3999999999999998E-3</v>
      </c>
      <c r="J547" s="477"/>
      <c r="N547" s="477"/>
      <c r="P547" s="477"/>
      <c r="R547" s="478"/>
      <c r="S547" s="478"/>
      <c r="T547" s="478"/>
    </row>
    <row r="548" spans="1:20" x14ac:dyDescent="0.35">
      <c r="A548" s="474" t="s">
        <v>1644</v>
      </c>
      <c r="B548" s="474"/>
      <c r="F548" s="477"/>
      <c r="G548" s="481">
        <v>-3.1399999999999997E-2</v>
      </c>
      <c r="J548" s="477"/>
      <c r="N548" s="477"/>
      <c r="P548" s="477"/>
      <c r="R548" s="478"/>
      <c r="S548" s="478"/>
      <c r="T548" s="478"/>
    </row>
    <row r="549" spans="1:20" x14ac:dyDescent="0.35">
      <c r="A549" s="474" t="s">
        <v>361</v>
      </c>
      <c r="B549" s="474"/>
      <c r="F549" s="477"/>
      <c r="G549" s="481">
        <v>-2.23E-2</v>
      </c>
      <c r="J549" s="477"/>
      <c r="N549" s="477"/>
      <c r="P549" s="477"/>
      <c r="R549" s="478"/>
      <c r="S549" s="478"/>
      <c r="T549" s="478"/>
    </row>
    <row r="550" spans="1:20" x14ac:dyDescent="0.35">
      <c r="A550" s="474" t="s">
        <v>1646</v>
      </c>
      <c r="B550" s="474"/>
      <c r="F550" s="477"/>
      <c r="G550" s="481">
        <v>3.5000000000000001E-3</v>
      </c>
      <c r="J550" s="477"/>
      <c r="N550" s="477"/>
      <c r="P550" s="477"/>
      <c r="R550" s="478"/>
      <c r="S550" s="478"/>
      <c r="T550" s="478"/>
    </row>
    <row r="551" spans="1:20" x14ac:dyDescent="0.35">
      <c r="A551" s="474" t="s">
        <v>363</v>
      </c>
      <c r="B551" s="474"/>
      <c r="F551" s="477"/>
      <c r="G551" s="481">
        <v>-1E-4</v>
      </c>
      <c r="J551" s="477"/>
      <c r="N551" s="477"/>
      <c r="P551" s="477"/>
      <c r="R551" s="478"/>
      <c r="S551" s="478"/>
      <c r="T551" s="478"/>
    </row>
    <row r="552" spans="1:20" x14ac:dyDescent="0.35">
      <c r="A552" s="511" t="s">
        <v>1648</v>
      </c>
      <c r="B552" s="511"/>
      <c r="C552" s="508"/>
      <c r="D552" s="508"/>
      <c r="E552" s="508"/>
      <c r="F552" s="509"/>
      <c r="G552" s="556">
        <v>2.3300000000000001E-2</v>
      </c>
      <c r="H552" s="508"/>
      <c r="I552" s="508"/>
      <c r="J552" s="509"/>
      <c r="K552" s="508"/>
      <c r="L552" s="508"/>
      <c r="M552" s="508"/>
      <c r="N552" s="509"/>
      <c r="O552" s="508"/>
      <c r="P552" s="509"/>
      <c r="R552" s="510"/>
      <c r="S552" s="510"/>
      <c r="T552" s="510"/>
    </row>
    <row r="553" spans="1:20" x14ac:dyDescent="0.35">
      <c r="F553" s="477"/>
      <c r="J553" s="477"/>
      <c r="N553" s="477"/>
      <c r="P553" s="477"/>
      <c r="R553" s="478"/>
      <c r="S553" s="478"/>
      <c r="T553" s="478"/>
    </row>
    <row r="554" spans="1:20" x14ac:dyDescent="0.35">
      <c r="A554" s="470" t="s">
        <v>1650</v>
      </c>
      <c r="B554" s="470"/>
      <c r="C554" s="471"/>
      <c r="D554" s="471"/>
      <c r="E554" s="471"/>
      <c r="F554" s="472"/>
      <c r="G554" s="471"/>
      <c r="H554" s="471"/>
      <c r="I554" s="471"/>
      <c r="J554" s="472"/>
      <c r="K554" s="471"/>
      <c r="L554" s="471"/>
      <c r="M554" s="471"/>
      <c r="N554" s="472"/>
      <c r="O554" s="471"/>
      <c r="P554" s="472"/>
      <c r="R554" s="473"/>
      <c r="S554" s="473"/>
      <c r="T554" s="473"/>
    </row>
    <row r="555" spans="1:20" x14ac:dyDescent="0.35">
      <c r="A555" s="505" t="s">
        <v>1651</v>
      </c>
      <c r="B555" s="505"/>
      <c r="C555" s="471"/>
      <c r="D555" s="471"/>
      <c r="E555" s="471"/>
      <c r="F555" s="472"/>
      <c r="G555" s="471"/>
      <c r="H555" s="471"/>
      <c r="I555" s="471"/>
      <c r="J555" s="472"/>
      <c r="K555" s="471"/>
      <c r="L555" s="471"/>
      <c r="M555" s="471"/>
      <c r="N555" s="472"/>
      <c r="O555" s="471"/>
      <c r="P555" s="472"/>
      <c r="R555" s="473"/>
      <c r="S555" s="473"/>
      <c r="T555" s="473"/>
    </row>
    <row r="556" spans="1:20" x14ac:dyDescent="0.35">
      <c r="A556" s="506" t="s">
        <v>1652</v>
      </c>
      <c r="B556" s="506"/>
      <c r="C556" s="471"/>
      <c r="D556" s="471"/>
      <c r="E556" s="471"/>
      <c r="F556" s="472"/>
      <c r="G556" s="471"/>
      <c r="H556" s="471"/>
      <c r="I556" s="471"/>
      <c r="J556" s="472"/>
      <c r="K556" s="471"/>
      <c r="L556" s="471"/>
      <c r="M556" s="471"/>
      <c r="N556" s="472"/>
      <c r="O556" s="475">
        <v>1759</v>
      </c>
      <c r="P556" s="476">
        <v>1828</v>
      </c>
      <c r="R556" s="473"/>
      <c r="S556" s="473"/>
      <c r="T556" s="473"/>
    </row>
    <row r="557" spans="1:20" x14ac:dyDescent="0.35">
      <c r="A557" s="506" t="s">
        <v>1653</v>
      </c>
      <c r="B557" s="506"/>
      <c r="C557" s="471"/>
      <c r="D557" s="471"/>
      <c r="E557" s="471"/>
      <c r="F557" s="472"/>
      <c r="G557" s="471"/>
      <c r="H557" s="471"/>
      <c r="I557" s="471"/>
      <c r="J557" s="472"/>
      <c r="K557" s="471"/>
      <c r="L557" s="471"/>
      <c r="M557" s="471"/>
      <c r="N557" s="472"/>
      <c r="O557" s="475">
        <v>58</v>
      </c>
      <c r="P557" s="476">
        <v>55</v>
      </c>
      <c r="R557" s="473"/>
      <c r="S557" s="473"/>
      <c r="T557" s="473"/>
    </row>
    <row r="558" spans="1:20" x14ac:dyDescent="0.35">
      <c r="A558" s="506" t="s">
        <v>1654</v>
      </c>
      <c r="B558" s="506"/>
      <c r="C558" s="471"/>
      <c r="D558" s="471"/>
      <c r="E558" s="471"/>
      <c r="F558" s="472"/>
      <c r="G558" s="471"/>
      <c r="H558" s="471"/>
      <c r="I558" s="471"/>
      <c r="J558" s="472"/>
      <c r="K558" s="471"/>
      <c r="L558" s="471"/>
      <c r="M558" s="471"/>
      <c r="N558" s="472"/>
      <c r="O558" s="475">
        <v>6</v>
      </c>
      <c r="P558" s="476">
        <v>8</v>
      </c>
      <c r="R558" s="473"/>
      <c r="S558" s="473"/>
      <c r="T558" s="473"/>
    </row>
    <row r="559" spans="1:20" x14ac:dyDescent="0.35">
      <c r="A559" s="506" t="s">
        <v>1655</v>
      </c>
      <c r="B559" s="506"/>
      <c r="C559" s="471"/>
      <c r="D559" s="471"/>
      <c r="E559" s="471"/>
      <c r="F559" s="472"/>
      <c r="G559" s="471"/>
      <c r="H559" s="471"/>
      <c r="I559" s="471"/>
      <c r="J559" s="472"/>
      <c r="K559" s="471"/>
      <c r="L559" s="471"/>
      <c r="M559" s="471"/>
      <c r="N559" s="472"/>
      <c r="O559" s="471"/>
      <c r="P559" s="476">
        <v>-12</v>
      </c>
      <c r="R559" s="473"/>
      <c r="S559" s="473"/>
      <c r="T559" s="473"/>
    </row>
    <row r="560" spans="1:20" x14ac:dyDescent="0.35">
      <c r="A560" s="507" t="s">
        <v>1656</v>
      </c>
      <c r="B560" s="507"/>
      <c r="C560" s="485"/>
      <c r="D560" s="485"/>
      <c r="E560" s="485"/>
      <c r="F560" s="486"/>
      <c r="G560" s="485"/>
      <c r="H560" s="485"/>
      <c r="I560" s="485"/>
      <c r="J560" s="486"/>
      <c r="K560" s="485"/>
      <c r="L560" s="485"/>
      <c r="M560" s="485"/>
      <c r="N560" s="486"/>
      <c r="O560" s="487">
        <f>SUM(O556:O559)</f>
        <v>1823</v>
      </c>
      <c r="P560" s="497">
        <v>1878</v>
      </c>
      <c r="R560" s="489"/>
      <c r="S560" s="489"/>
      <c r="T560" s="489"/>
    </row>
    <row r="561" spans="1:20" x14ac:dyDescent="0.35">
      <c r="A561" s="474"/>
      <c r="B561" s="474"/>
      <c r="C561" s="471"/>
      <c r="D561" s="471"/>
      <c r="E561" s="471"/>
      <c r="F561" s="472"/>
      <c r="G561" s="471"/>
      <c r="H561" s="471"/>
      <c r="I561" s="471"/>
      <c r="J561" s="472"/>
      <c r="K561" s="471"/>
      <c r="L561" s="471"/>
      <c r="M561" s="471"/>
      <c r="N561" s="472"/>
      <c r="O561" s="471"/>
      <c r="P561" s="472"/>
      <c r="R561" s="473"/>
      <c r="S561" s="473"/>
      <c r="T561" s="473"/>
    </row>
    <row r="562" spans="1:20" x14ac:dyDescent="0.35">
      <c r="A562" s="505" t="s">
        <v>1657</v>
      </c>
      <c r="B562" s="505"/>
      <c r="C562" s="471"/>
      <c r="D562" s="471"/>
      <c r="E562" s="471"/>
      <c r="F562" s="472"/>
      <c r="G562" s="471"/>
      <c r="H562" s="471"/>
      <c r="I562" s="471"/>
      <c r="J562" s="472"/>
      <c r="K562" s="471"/>
      <c r="L562" s="471"/>
      <c r="M562" s="471"/>
      <c r="N562" s="472"/>
      <c r="O562" s="471"/>
      <c r="P562" s="472"/>
      <c r="R562" s="473"/>
      <c r="S562" s="473"/>
      <c r="T562" s="473"/>
    </row>
    <row r="563" spans="1:20" x14ac:dyDescent="0.35">
      <c r="A563" s="506" t="s">
        <v>1658</v>
      </c>
      <c r="B563" s="506"/>
      <c r="C563" s="471"/>
      <c r="D563" s="471"/>
      <c r="E563" s="471"/>
      <c r="F563" s="472"/>
      <c r="G563" s="471"/>
      <c r="H563" s="471"/>
      <c r="I563" s="471"/>
      <c r="J563" s="472"/>
      <c r="K563" s="471"/>
      <c r="L563" s="471"/>
      <c r="M563" s="471"/>
      <c r="N563" s="472"/>
      <c r="O563" s="475">
        <v>210</v>
      </c>
      <c r="P563" s="476">
        <v>190</v>
      </c>
      <c r="R563" s="473"/>
      <c r="S563" s="473"/>
      <c r="T563" s="473"/>
    </row>
    <row r="564" spans="1:20" x14ac:dyDescent="0.35">
      <c r="A564" s="506" t="s">
        <v>1659</v>
      </c>
      <c r="B564" s="506"/>
      <c r="C564" s="471"/>
      <c r="D564" s="471"/>
      <c r="E564" s="471"/>
      <c r="F564" s="472"/>
      <c r="G564" s="471"/>
      <c r="H564" s="471"/>
      <c r="I564" s="471"/>
      <c r="J564" s="472"/>
      <c r="K564" s="471"/>
      <c r="L564" s="471"/>
      <c r="M564" s="471"/>
      <c r="N564" s="472"/>
      <c r="O564" s="475">
        <v>11</v>
      </c>
      <c r="P564" s="476">
        <v>10</v>
      </c>
      <c r="R564" s="473"/>
      <c r="S564" s="473"/>
      <c r="T564" s="473"/>
    </row>
    <row r="565" spans="1:20" x14ac:dyDescent="0.35">
      <c r="A565" s="507" t="s">
        <v>1660</v>
      </c>
      <c r="B565" s="507"/>
      <c r="C565" s="485"/>
      <c r="D565" s="485"/>
      <c r="E565" s="485"/>
      <c r="F565" s="486"/>
      <c r="G565" s="485"/>
      <c r="H565" s="485"/>
      <c r="I565" s="485"/>
      <c r="J565" s="486"/>
      <c r="K565" s="485"/>
      <c r="L565" s="485"/>
      <c r="M565" s="485"/>
      <c r="N565" s="486"/>
      <c r="O565" s="487">
        <f>SUM(O563:O564)</f>
        <v>221</v>
      </c>
      <c r="P565" s="488">
        <f>SUM(P563:P564)</f>
        <v>200</v>
      </c>
      <c r="R565" s="489"/>
      <c r="S565" s="489"/>
      <c r="T565" s="489"/>
    </row>
    <row r="566" spans="1:20" x14ac:dyDescent="0.35">
      <c r="A566" s="474"/>
      <c r="B566" s="474"/>
      <c r="C566" s="471"/>
      <c r="D566" s="471"/>
      <c r="E566" s="471"/>
      <c r="F566" s="472"/>
      <c r="G566" s="471"/>
      <c r="H566" s="471"/>
      <c r="I566" s="471"/>
      <c r="J566" s="472"/>
      <c r="K566" s="471"/>
      <c r="L566" s="471"/>
      <c r="M566" s="471"/>
      <c r="N566" s="472"/>
      <c r="O566" s="471"/>
      <c r="P566" s="472"/>
      <c r="R566" s="473"/>
      <c r="S566" s="473"/>
      <c r="T566" s="473"/>
    </row>
    <row r="567" spans="1:20" x14ac:dyDescent="0.35">
      <c r="A567" s="511" t="s">
        <v>1661</v>
      </c>
      <c r="B567" s="511"/>
      <c r="C567" s="485"/>
      <c r="D567" s="485"/>
      <c r="E567" s="485"/>
      <c r="F567" s="486"/>
      <c r="G567" s="485"/>
      <c r="H567" s="485"/>
      <c r="I567" s="485"/>
      <c r="J567" s="486"/>
      <c r="K567" s="485"/>
      <c r="L567" s="485"/>
      <c r="M567" s="485"/>
      <c r="N567" s="486"/>
      <c r="O567" s="487">
        <f>SUM(O565,O560)</f>
        <v>2044</v>
      </c>
      <c r="P567" s="488">
        <f>SUM(P565,P560)</f>
        <v>2078</v>
      </c>
      <c r="R567" s="489"/>
      <c r="S567" s="489"/>
      <c r="T567" s="489"/>
    </row>
    <row r="568" spans="1:20" x14ac:dyDescent="0.35">
      <c r="F568" s="477"/>
      <c r="J568" s="477"/>
      <c r="N568" s="477"/>
      <c r="P568" s="477"/>
      <c r="R568" s="478"/>
      <c r="S568" s="478"/>
      <c r="T568" s="478"/>
    </row>
    <row r="569" spans="1:20" x14ac:dyDescent="0.35">
      <c r="A569" s="470" t="s">
        <v>1662</v>
      </c>
      <c r="B569" s="470"/>
      <c r="F569" s="477"/>
      <c r="J569" s="477"/>
      <c r="N569" s="477"/>
      <c r="P569" s="477"/>
      <c r="R569" s="478"/>
      <c r="S569" s="478"/>
      <c r="T569" s="478"/>
    </row>
    <row r="570" spans="1:20" x14ac:dyDescent="0.35">
      <c r="A570" s="505" t="s">
        <v>1663</v>
      </c>
      <c r="B570" s="505"/>
      <c r="C570" s="471"/>
      <c r="D570" s="471"/>
      <c r="E570" s="471"/>
      <c r="F570" s="472"/>
      <c r="G570" s="471"/>
      <c r="H570" s="471"/>
      <c r="I570" s="471"/>
      <c r="J570" s="472"/>
      <c r="K570" s="471"/>
      <c r="L570" s="471"/>
      <c r="M570" s="471"/>
      <c r="N570" s="472"/>
      <c r="O570" s="471"/>
      <c r="P570" s="472"/>
      <c r="R570" s="473"/>
      <c r="S570" s="473"/>
      <c r="T570" s="473"/>
    </row>
    <row r="571" spans="1:20" x14ac:dyDescent="0.35">
      <c r="A571" s="506" t="s">
        <v>1664</v>
      </c>
      <c r="B571" s="506"/>
      <c r="C571" s="471"/>
      <c r="D571" s="471"/>
      <c r="E571" s="471"/>
      <c r="F571" s="472"/>
      <c r="G571" s="471"/>
      <c r="H571" s="471"/>
      <c r="I571" s="471"/>
      <c r="J571" s="476">
        <v>1777</v>
      </c>
      <c r="K571" s="471"/>
      <c r="L571" s="471"/>
      <c r="M571" s="471"/>
      <c r="N571" s="472"/>
      <c r="O571" s="471"/>
      <c r="P571" s="472"/>
      <c r="R571" s="473"/>
      <c r="S571" s="473"/>
      <c r="T571" s="473"/>
    </row>
    <row r="572" spans="1:20" x14ac:dyDescent="0.35">
      <c r="A572" s="506" t="s">
        <v>1665</v>
      </c>
      <c r="B572" s="506"/>
      <c r="C572" s="471"/>
      <c r="D572" s="471"/>
      <c r="E572" s="471"/>
      <c r="F572" s="472"/>
      <c r="G572" s="471"/>
      <c r="H572" s="471"/>
      <c r="I572" s="471"/>
      <c r="J572" s="461"/>
      <c r="K572" s="460"/>
      <c r="L572" s="460"/>
      <c r="M572" s="460"/>
      <c r="N572" s="461"/>
      <c r="O572" s="475">
        <v>606</v>
      </c>
      <c r="P572" s="476">
        <v>435</v>
      </c>
      <c r="R572" s="473"/>
      <c r="S572" s="464"/>
      <c r="T572" s="473"/>
    </row>
    <row r="573" spans="1:20" x14ac:dyDescent="0.35">
      <c r="A573" s="506" t="s">
        <v>1666</v>
      </c>
      <c r="B573" s="506"/>
      <c r="C573" s="471"/>
      <c r="D573" s="471"/>
      <c r="E573" s="471"/>
      <c r="F573" s="472"/>
      <c r="G573" s="471"/>
      <c r="H573" s="471"/>
      <c r="I573" s="471"/>
      <c r="J573" s="476">
        <v>916</v>
      </c>
      <c r="K573" s="471"/>
      <c r="L573" s="471"/>
      <c r="M573" s="471"/>
      <c r="N573" s="476">
        <v>914</v>
      </c>
      <c r="O573" s="471"/>
      <c r="P573" s="472"/>
      <c r="R573" s="473"/>
      <c r="S573" s="473"/>
      <c r="T573" s="473"/>
    </row>
    <row r="574" spans="1:20" x14ac:dyDescent="0.35">
      <c r="A574" s="506" t="s">
        <v>1667</v>
      </c>
      <c r="B574" s="506"/>
      <c r="C574" s="471"/>
      <c r="D574" s="471"/>
      <c r="E574" s="471"/>
      <c r="F574" s="472"/>
      <c r="G574" s="471"/>
      <c r="H574" s="471"/>
      <c r="I574" s="471"/>
      <c r="J574" s="476">
        <v>106</v>
      </c>
      <c r="K574" s="471"/>
      <c r="L574" s="471"/>
      <c r="M574" s="471"/>
      <c r="N574" s="476">
        <v>106</v>
      </c>
      <c r="O574" s="475">
        <v>106</v>
      </c>
      <c r="P574" s="476">
        <v>108</v>
      </c>
      <c r="R574" s="473"/>
      <c r="S574" s="473"/>
      <c r="T574" s="473"/>
    </row>
    <row r="575" spans="1:20" x14ac:dyDescent="0.35">
      <c r="A575" s="507" t="s">
        <v>1668</v>
      </c>
      <c r="B575" s="507"/>
      <c r="C575" s="485"/>
      <c r="D575" s="485"/>
      <c r="E575" s="485"/>
      <c r="F575" s="486"/>
      <c r="G575" s="485"/>
      <c r="H575" s="485"/>
      <c r="I575" s="485"/>
      <c r="J575" s="488">
        <f>SUM(J571:J574)</f>
        <v>2799</v>
      </c>
      <c r="K575" s="485"/>
      <c r="L575" s="485"/>
      <c r="M575" s="485"/>
      <c r="N575" s="488">
        <f>SUM(N571:N574)</f>
        <v>1020</v>
      </c>
      <c r="O575" s="487">
        <f>SUM(O571:O574)</f>
        <v>712</v>
      </c>
      <c r="P575" s="488">
        <f>SUM(P571:P574)</f>
        <v>543</v>
      </c>
      <c r="R575" s="489"/>
      <c r="S575" s="489"/>
      <c r="T575" s="489"/>
    </row>
    <row r="576" spans="1:20" x14ac:dyDescent="0.35">
      <c r="A576" s="474"/>
      <c r="B576" s="474"/>
      <c r="C576" s="471"/>
      <c r="D576" s="471"/>
      <c r="E576" s="471"/>
      <c r="F576" s="472"/>
      <c r="G576" s="471"/>
      <c r="H576" s="471"/>
      <c r="I576" s="471"/>
      <c r="J576" s="472"/>
      <c r="K576" s="471"/>
      <c r="L576" s="471"/>
      <c r="M576" s="471"/>
      <c r="N576" s="472"/>
      <c r="O576" s="471"/>
      <c r="P576" s="472"/>
      <c r="R576" s="473"/>
      <c r="S576" s="473"/>
      <c r="T576" s="473"/>
    </row>
    <row r="577" spans="1:20" x14ac:dyDescent="0.35">
      <c r="A577" s="506" t="s">
        <v>1669</v>
      </c>
      <c r="B577" s="506"/>
      <c r="C577" s="471"/>
      <c r="D577" s="471"/>
      <c r="E577" s="471"/>
      <c r="F577" s="472"/>
      <c r="G577" s="471"/>
      <c r="H577" s="471"/>
      <c r="I577" s="471"/>
      <c r="J577" s="476">
        <v>-132</v>
      </c>
      <c r="K577" s="471"/>
      <c r="L577" s="471"/>
      <c r="M577" s="471"/>
      <c r="N577" s="476">
        <v>-32</v>
      </c>
      <c r="O577" s="475">
        <v>-18</v>
      </c>
      <c r="P577" s="476">
        <v>-11</v>
      </c>
      <c r="R577" s="473"/>
      <c r="S577" s="473"/>
      <c r="T577" s="473"/>
    </row>
    <row r="578" spans="1:20" x14ac:dyDescent="0.35">
      <c r="A578" s="507" t="s">
        <v>1670</v>
      </c>
      <c r="B578" s="507"/>
      <c r="C578" s="485"/>
      <c r="D578" s="485"/>
      <c r="E578" s="485"/>
      <c r="F578" s="486"/>
      <c r="G578" s="485"/>
      <c r="H578" s="485"/>
      <c r="I578" s="485"/>
      <c r="J578" s="488">
        <f>SUM(J577,J575)</f>
        <v>2667</v>
      </c>
      <c r="K578" s="485"/>
      <c r="L578" s="485"/>
      <c r="M578" s="485"/>
      <c r="N578" s="488">
        <f>SUM(N577,N575)</f>
        <v>988</v>
      </c>
      <c r="O578" s="487">
        <f>SUM(O577,O575)</f>
        <v>694</v>
      </c>
      <c r="P578" s="488">
        <f>SUM(P577,P575)</f>
        <v>532</v>
      </c>
      <c r="R578" s="489"/>
      <c r="S578" s="489"/>
      <c r="T578" s="489"/>
    </row>
    <row r="579" spans="1:20" x14ac:dyDescent="0.35">
      <c r="A579" s="474"/>
      <c r="B579" s="474"/>
      <c r="C579" s="471"/>
      <c r="D579" s="471"/>
      <c r="E579" s="471"/>
      <c r="F579" s="472"/>
      <c r="G579" s="471"/>
      <c r="H579" s="471"/>
      <c r="I579" s="471"/>
      <c r="J579" s="472"/>
      <c r="K579" s="471"/>
      <c r="L579" s="471"/>
      <c r="M579" s="471"/>
      <c r="N579" s="472"/>
      <c r="O579" s="471"/>
      <c r="P579" s="472"/>
      <c r="R579" s="473"/>
      <c r="S579" s="473"/>
      <c r="T579" s="473"/>
    </row>
    <row r="580" spans="1:20" x14ac:dyDescent="0.35">
      <c r="A580" s="506" t="s">
        <v>1671</v>
      </c>
      <c r="B580" s="506"/>
      <c r="C580" s="471"/>
      <c r="D580" s="471"/>
      <c r="E580" s="471"/>
      <c r="F580" s="472"/>
      <c r="G580" s="471"/>
      <c r="H580" s="471"/>
      <c r="I580" s="471"/>
      <c r="J580" s="476">
        <v>-1679</v>
      </c>
      <c r="K580" s="471"/>
      <c r="L580" s="471"/>
      <c r="M580" s="471"/>
      <c r="N580" s="476">
        <v>-884</v>
      </c>
      <c r="O580" s="471"/>
      <c r="P580" s="472"/>
      <c r="R580" s="473"/>
      <c r="S580" s="473"/>
      <c r="T580" s="473"/>
    </row>
    <row r="581" spans="1:20" x14ac:dyDescent="0.35">
      <c r="A581" s="507" t="s">
        <v>1672</v>
      </c>
      <c r="B581" s="507"/>
      <c r="C581" s="485"/>
      <c r="D581" s="485"/>
      <c r="E581" s="485"/>
      <c r="F581" s="486"/>
      <c r="G581" s="485"/>
      <c r="H581" s="485"/>
      <c r="I581" s="485"/>
      <c r="J581" s="488">
        <f>SUM(J580,J578)</f>
        <v>988</v>
      </c>
      <c r="K581" s="485"/>
      <c r="L581" s="485"/>
      <c r="M581" s="485"/>
      <c r="N581" s="488">
        <f>SUM(N580,N578)</f>
        <v>104</v>
      </c>
      <c r="O581" s="485"/>
      <c r="P581" s="486"/>
      <c r="R581" s="489"/>
      <c r="S581" s="489"/>
      <c r="T581" s="489"/>
    </row>
    <row r="582" spans="1:20" x14ac:dyDescent="0.35">
      <c r="F582" s="477"/>
      <c r="J582" s="477"/>
      <c r="N582" s="477"/>
      <c r="P582" s="477"/>
      <c r="R582" s="478"/>
      <c r="S582" s="478"/>
      <c r="T582" s="478"/>
    </row>
    <row r="583" spans="1:20" x14ac:dyDescent="0.35">
      <c r="A583" s="505" t="s">
        <v>1673</v>
      </c>
      <c r="B583" s="505"/>
      <c r="C583" s="471"/>
      <c r="D583" s="471"/>
      <c r="E583" s="471"/>
      <c r="F583" s="472"/>
      <c r="G583" s="471"/>
      <c r="H583" s="471"/>
      <c r="I583" s="471"/>
      <c r="J583" s="472"/>
      <c r="K583" s="471"/>
      <c r="L583" s="471"/>
      <c r="M583" s="471"/>
      <c r="N583" s="472"/>
      <c r="O583" s="471"/>
      <c r="P583" s="472"/>
      <c r="R583" s="473"/>
      <c r="S583" s="473"/>
      <c r="T583" s="473"/>
    </row>
    <row r="584" spans="1:20" x14ac:dyDescent="0.35">
      <c r="A584" s="506" t="s">
        <v>1664</v>
      </c>
      <c r="B584" s="506"/>
      <c r="C584" s="471"/>
      <c r="D584" s="471"/>
      <c r="E584" s="471"/>
      <c r="F584" s="472"/>
      <c r="G584" s="471"/>
      <c r="H584" s="471"/>
      <c r="I584" s="471"/>
      <c r="J584" s="476">
        <v>5666</v>
      </c>
      <c r="K584" s="471"/>
      <c r="L584" s="471"/>
      <c r="M584" s="471"/>
      <c r="N584" s="472"/>
      <c r="O584" s="471"/>
      <c r="P584" s="472"/>
      <c r="R584" s="473"/>
      <c r="S584" s="473"/>
      <c r="T584" s="473"/>
    </row>
    <row r="585" spans="1:20" x14ac:dyDescent="0.35">
      <c r="A585" s="506" t="s">
        <v>1665</v>
      </c>
      <c r="B585" s="506"/>
      <c r="C585" s="471"/>
      <c r="D585" s="471"/>
      <c r="E585" s="471"/>
      <c r="F585" s="472"/>
      <c r="G585" s="471"/>
      <c r="H585" s="471"/>
      <c r="I585" s="471"/>
      <c r="J585" s="461"/>
      <c r="K585" s="460"/>
      <c r="L585" s="460"/>
      <c r="M585" s="460"/>
      <c r="N585" s="461"/>
      <c r="O585" s="475">
        <v>5722</v>
      </c>
      <c r="P585" s="476">
        <v>3919</v>
      </c>
      <c r="R585" s="473"/>
      <c r="S585" s="464"/>
      <c r="T585" s="473"/>
    </row>
    <row r="586" spans="1:20" x14ac:dyDescent="0.35">
      <c r="A586" s="506" t="s">
        <v>1666</v>
      </c>
      <c r="B586" s="506"/>
      <c r="C586" s="471"/>
      <c r="D586" s="471"/>
      <c r="E586" s="471"/>
      <c r="F586" s="472"/>
      <c r="G586" s="471"/>
      <c r="H586" s="471"/>
      <c r="I586" s="471"/>
      <c r="J586" s="476">
        <v>3620</v>
      </c>
      <c r="K586" s="471"/>
      <c r="L586" s="471"/>
      <c r="M586" s="471"/>
      <c r="N586" s="476">
        <v>7303</v>
      </c>
      <c r="O586" s="471"/>
      <c r="P586" s="472"/>
      <c r="R586" s="473"/>
      <c r="S586" s="473"/>
      <c r="T586" s="473"/>
    </row>
    <row r="587" spans="1:20" x14ac:dyDescent="0.35">
      <c r="A587" s="506" t="s">
        <v>1667</v>
      </c>
      <c r="B587" s="506"/>
      <c r="C587" s="471"/>
      <c r="D587" s="471"/>
      <c r="E587" s="471"/>
      <c r="F587" s="472"/>
      <c r="G587" s="471"/>
      <c r="H587" s="471"/>
      <c r="I587" s="471"/>
      <c r="J587" s="476">
        <v>2010</v>
      </c>
      <c r="K587" s="471"/>
      <c r="L587" s="471"/>
      <c r="M587" s="471"/>
      <c r="N587" s="476">
        <v>6110</v>
      </c>
      <c r="O587" s="475">
        <v>5840</v>
      </c>
      <c r="P587" s="476">
        <v>6153</v>
      </c>
      <c r="R587" s="473"/>
      <c r="S587" s="473"/>
      <c r="T587" s="473"/>
    </row>
    <row r="588" spans="1:20" x14ac:dyDescent="0.35">
      <c r="A588" s="506" t="s">
        <v>1674</v>
      </c>
      <c r="B588" s="506"/>
      <c r="C588" s="471"/>
      <c r="D588" s="471"/>
      <c r="E588" s="471"/>
      <c r="F588" s="472"/>
      <c r="G588" s="471"/>
      <c r="H588" s="471"/>
      <c r="I588" s="471"/>
      <c r="J588" s="476">
        <v>1725</v>
      </c>
      <c r="K588" s="471"/>
      <c r="L588" s="471"/>
      <c r="M588" s="471"/>
      <c r="N588" s="476">
        <v>5354</v>
      </c>
      <c r="O588" s="475">
        <v>4995</v>
      </c>
      <c r="P588" s="476">
        <v>5357</v>
      </c>
      <c r="R588" s="473"/>
      <c r="S588" s="473"/>
      <c r="T588" s="473"/>
    </row>
    <row r="589" spans="1:20" x14ac:dyDescent="0.35">
      <c r="A589" s="506" t="s">
        <v>1675</v>
      </c>
      <c r="B589" s="506"/>
      <c r="C589" s="471"/>
      <c r="D589" s="471"/>
      <c r="E589" s="471"/>
      <c r="F589" s="472"/>
      <c r="G589" s="471"/>
      <c r="H589" s="471"/>
      <c r="I589" s="471"/>
      <c r="J589" s="476">
        <v>519</v>
      </c>
      <c r="K589" s="471"/>
      <c r="L589" s="471"/>
      <c r="M589" s="471"/>
      <c r="N589" s="476">
        <v>2124</v>
      </c>
      <c r="O589" s="475">
        <v>1708</v>
      </c>
      <c r="P589" s="476">
        <v>2096</v>
      </c>
      <c r="R589" s="473"/>
      <c r="S589" s="473"/>
      <c r="T589" s="473"/>
    </row>
    <row r="590" spans="1:20" x14ac:dyDescent="0.35">
      <c r="A590" s="506" t="s">
        <v>1676</v>
      </c>
      <c r="B590" s="506"/>
      <c r="C590" s="471"/>
      <c r="D590" s="471"/>
      <c r="E590" s="471"/>
      <c r="F590" s="472"/>
      <c r="G590" s="471"/>
      <c r="H590" s="471"/>
      <c r="I590" s="471"/>
      <c r="J590" s="472"/>
      <c r="K590" s="471"/>
      <c r="L590" s="471"/>
      <c r="M590" s="471"/>
      <c r="N590" s="476">
        <v>1653</v>
      </c>
      <c r="O590" s="475">
        <v>1236</v>
      </c>
      <c r="P590" s="476">
        <v>1584</v>
      </c>
      <c r="R590" s="473"/>
      <c r="S590" s="473"/>
      <c r="T590" s="473"/>
    </row>
    <row r="591" spans="1:20" x14ac:dyDescent="0.35">
      <c r="A591" s="506" t="s">
        <v>1677</v>
      </c>
      <c r="B591" s="506"/>
      <c r="C591" s="471"/>
      <c r="D591" s="471"/>
      <c r="E591" s="471"/>
      <c r="F591" s="472"/>
      <c r="G591" s="471"/>
      <c r="H591" s="471"/>
      <c r="I591" s="471"/>
      <c r="J591" s="476">
        <v>476</v>
      </c>
      <c r="K591" s="471"/>
      <c r="L591" s="471"/>
      <c r="M591" s="471"/>
      <c r="N591" s="476">
        <v>459</v>
      </c>
      <c r="O591" s="475">
        <v>397</v>
      </c>
      <c r="P591" s="476">
        <v>402</v>
      </c>
      <c r="R591" s="473"/>
      <c r="S591" s="473"/>
      <c r="T591" s="473"/>
    </row>
    <row r="592" spans="1:20" x14ac:dyDescent="0.35">
      <c r="A592" s="507" t="s">
        <v>1668</v>
      </c>
      <c r="B592" s="507"/>
      <c r="C592" s="485"/>
      <c r="D592" s="485"/>
      <c r="E592" s="485"/>
      <c r="F592" s="486"/>
      <c r="G592" s="485"/>
      <c r="H592" s="485"/>
      <c r="I592" s="485"/>
      <c r="J592" s="488">
        <f>SUM(J584:J591)</f>
        <v>14016</v>
      </c>
      <c r="K592" s="485"/>
      <c r="L592" s="485"/>
      <c r="M592" s="485"/>
      <c r="N592" s="488">
        <f>SUM(N584:N591)</f>
        <v>23003</v>
      </c>
      <c r="O592" s="487">
        <f>SUM(O584:O591)</f>
        <v>19898</v>
      </c>
      <c r="P592" s="488">
        <f>SUM(P584:P591)</f>
        <v>19511</v>
      </c>
      <c r="R592" s="489"/>
      <c r="S592" s="489"/>
      <c r="T592" s="489"/>
    </row>
    <row r="593" spans="1:20" x14ac:dyDescent="0.35">
      <c r="A593" s="521"/>
      <c r="B593" s="521"/>
      <c r="C593" s="526"/>
      <c r="D593" s="526"/>
      <c r="E593" s="526"/>
      <c r="F593" s="527"/>
      <c r="G593" s="526"/>
      <c r="H593" s="526"/>
      <c r="I593" s="526"/>
      <c r="J593" s="527"/>
      <c r="K593" s="526"/>
      <c r="L593" s="526"/>
      <c r="M593" s="526"/>
      <c r="N593" s="527"/>
      <c r="O593" s="526"/>
      <c r="P593" s="527"/>
      <c r="R593" s="540"/>
      <c r="S593" s="540"/>
      <c r="T593" s="540"/>
    </row>
    <row r="594" spans="1:20" x14ac:dyDescent="0.35">
      <c r="A594" s="506" t="s">
        <v>1669</v>
      </c>
      <c r="B594" s="506"/>
      <c r="C594" s="471"/>
      <c r="D594" s="471"/>
      <c r="E594" s="471"/>
      <c r="F594" s="472"/>
      <c r="G594" s="471"/>
      <c r="H594" s="471"/>
      <c r="I594" s="471"/>
      <c r="J594" s="472"/>
      <c r="K594" s="471"/>
      <c r="L594" s="471"/>
      <c r="M594" s="471"/>
      <c r="N594" s="472"/>
      <c r="O594" s="475">
        <v>-1465</v>
      </c>
      <c r="P594" s="476">
        <v>-1511</v>
      </c>
      <c r="R594" s="473"/>
      <c r="S594" s="473"/>
      <c r="T594" s="473"/>
    </row>
    <row r="595" spans="1:20" x14ac:dyDescent="0.35">
      <c r="A595" s="507" t="s">
        <v>1670</v>
      </c>
      <c r="B595" s="507"/>
      <c r="C595" s="485"/>
      <c r="D595" s="485"/>
      <c r="E595" s="485"/>
      <c r="F595" s="486"/>
      <c r="G595" s="485"/>
      <c r="H595" s="485"/>
      <c r="I595" s="485"/>
      <c r="J595" s="486"/>
      <c r="K595" s="485"/>
      <c r="L595" s="485"/>
      <c r="M595" s="485"/>
      <c r="N595" s="486"/>
      <c r="O595" s="487">
        <f>SUM(O592,O594)</f>
        <v>18433</v>
      </c>
      <c r="P595" s="488">
        <f>SUM(P592,P594)</f>
        <v>18000</v>
      </c>
      <c r="R595" s="489"/>
      <c r="S595" s="489"/>
      <c r="T595" s="489"/>
    </row>
    <row r="596" spans="1:20" x14ac:dyDescent="0.35">
      <c r="A596" s="474"/>
      <c r="B596" s="474"/>
      <c r="F596" s="477"/>
      <c r="J596" s="477"/>
      <c r="N596" s="477"/>
      <c r="P596" s="477"/>
      <c r="R596" s="478"/>
      <c r="S596" s="478"/>
      <c r="T596" s="478"/>
    </row>
    <row r="597" spans="1:20" x14ac:dyDescent="0.35">
      <c r="A597" s="505" t="s">
        <v>1517</v>
      </c>
      <c r="B597" s="505"/>
      <c r="C597" s="471"/>
      <c r="D597" s="471"/>
      <c r="E597" s="471"/>
      <c r="F597" s="472"/>
      <c r="G597" s="471"/>
      <c r="H597" s="471"/>
      <c r="I597" s="471"/>
      <c r="J597" s="472"/>
      <c r="K597" s="471"/>
      <c r="L597" s="471"/>
      <c r="M597" s="471"/>
      <c r="N597" s="472"/>
      <c r="O597" s="471"/>
      <c r="P597" s="472"/>
      <c r="R597" s="473"/>
      <c r="S597" s="473"/>
      <c r="T597" s="473"/>
    </row>
    <row r="598" spans="1:20" x14ac:dyDescent="0.35">
      <c r="A598" s="506" t="s">
        <v>1665</v>
      </c>
      <c r="B598" s="506"/>
      <c r="C598" s="471"/>
      <c r="D598" s="471"/>
      <c r="E598" s="471"/>
      <c r="F598" s="472"/>
      <c r="G598" s="471"/>
      <c r="H598" s="471"/>
      <c r="I598" s="471"/>
      <c r="J598" s="472"/>
      <c r="K598" s="471"/>
      <c r="L598" s="471"/>
      <c r="M598" s="471"/>
      <c r="N598" s="472"/>
      <c r="O598" s="475">
        <v>6328</v>
      </c>
      <c r="P598" s="476">
        <v>4354</v>
      </c>
      <c r="R598" s="473"/>
      <c r="S598" s="473"/>
      <c r="T598" s="473"/>
    </row>
    <row r="599" spans="1:20" x14ac:dyDescent="0.35">
      <c r="A599" s="506" t="s">
        <v>1667</v>
      </c>
      <c r="B599" s="506"/>
      <c r="C599" s="471"/>
      <c r="D599" s="471"/>
      <c r="E599" s="471"/>
      <c r="F599" s="472"/>
      <c r="G599" s="471"/>
      <c r="H599" s="471"/>
      <c r="I599" s="471"/>
      <c r="J599" s="472"/>
      <c r="K599" s="471"/>
      <c r="L599" s="471"/>
      <c r="M599" s="471"/>
      <c r="N599" s="472"/>
      <c r="O599" s="475">
        <v>5946</v>
      </c>
      <c r="P599" s="476">
        <v>6261</v>
      </c>
      <c r="R599" s="473"/>
      <c r="S599" s="473"/>
      <c r="T599" s="473"/>
    </row>
    <row r="600" spans="1:20" x14ac:dyDescent="0.35">
      <c r="A600" s="506" t="s">
        <v>1674</v>
      </c>
      <c r="B600" s="506"/>
      <c r="C600" s="471"/>
      <c r="D600" s="471"/>
      <c r="E600" s="471"/>
      <c r="F600" s="472"/>
      <c r="G600" s="471"/>
      <c r="H600" s="471"/>
      <c r="I600" s="471"/>
      <c r="J600" s="472"/>
      <c r="K600" s="471"/>
      <c r="L600" s="471"/>
      <c r="M600" s="471"/>
      <c r="N600" s="472"/>
      <c r="O600" s="475">
        <v>4995</v>
      </c>
      <c r="P600" s="476">
        <v>5357</v>
      </c>
      <c r="R600" s="473"/>
      <c r="S600" s="473"/>
      <c r="T600" s="473"/>
    </row>
    <row r="601" spans="1:20" x14ac:dyDescent="0.35">
      <c r="A601" s="506" t="s">
        <v>1675</v>
      </c>
      <c r="B601" s="506"/>
      <c r="C601" s="471"/>
      <c r="D601" s="471"/>
      <c r="E601" s="471"/>
      <c r="F601" s="472"/>
      <c r="G601" s="471"/>
      <c r="H601" s="471"/>
      <c r="I601" s="471"/>
      <c r="J601" s="472"/>
      <c r="K601" s="471"/>
      <c r="L601" s="471"/>
      <c r="M601" s="471"/>
      <c r="N601" s="472"/>
      <c r="O601" s="475">
        <v>1708</v>
      </c>
      <c r="P601" s="476">
        <v>2096</v>
      </c>
      <c r="R601" s="473"/>
      <c r="S601" s="473"/>
      <c r="T601" s="473"/>
    </row>
    <row r="602" spans="1:20" x14ac:dyDescent="0.35">
      <c r="A602" s="506" t="s">
        <v>1676</v>
      </c>
      <c r="B602" s="506"/>
      <c r="C602" s="471"/>
      <c r="D602" s="471"/>
      <c r="E602" s="471"/>
      <c r="F602" s="472"/>
      <c r="G602" s="471"/>
      <c r="H602" s="471"/>
      <c r="I602" s="471"/>
      <c r="J602" s="472"/>
      <c r="K602" s="471"/>
      <c r="L602" s="471"/>
      <c r="M602" s="471"/>
      <c r="N602" s="472"/>
      <c r="O602" s="475">
        <v>1236</v>
      </c>
      <c r="P602" s="476">
        <v>1584</v>
      </c>
      <c r="R602" s="473"/>
      <c r="S602" s="473"/>
      <c r="T602" s="473"/>
    </row>
    <row r="603" spans="1:20" x14ac:dyDescent="0.35">
      <c r="A603" s="506" t="s">
        <v>1677</v>
      </c>
      <c r="B603" s="506"/>
      <c r="C603" s="471"/>
      <c r="D603" s="471"/>
      <c r="E603" s="471"/>
      <c r="F603" s="472"/>
      <c r="G603" s="471"/>
      <c r="H603" s="471"/>
      <c r="I603" s="471"/>
      <c r="J603" s="472"/>
      <c r="K603" s="471"/>
      <c r="L603" s="471"/>
      <c r="M603" s="471"/>
      <c r="N603" s="472"/>
      <c r="O603" s="475">
        <v>397</v>
      </c>
      <c r="P603" s="476">
        <v>402</v>
      </c>
      <c r="R603" s="473"/>
      <c r="S603" s="473"/>
      <c r="T603" s="473"/>
    </row>
    <row r="604" spans="1:20" x14ac:dyDescent="0.35">
      <c r="A604" s="511" t="s">
        <v>1668</v>
      </c>
      <c r="B604" s="511"/>
      <c r="C604" s="485"/>
      <c r="D604" s="485"/>
      <c r="E604" s="485"/>
      <c r="F604" s="486"/>
      <c r="G604" s="485"/>
      <c r="H604" s="485"/>
      <c r="I604" s="485"/>
      <c r="J604" s="486"/>
      <c r="K604" s="485"/>
      <c r="L604" s="485"/>
      <c r="M604" s="485"/>
      <c r="N604" s="486"/>
      <c r="O604" s="487">
        <f>SUM(O598:O603)</f>
        <v>20610</v>
      </c>
      <c r="P604" s="488">
        <f>SUM(P598:P603)</f>
        <v>20054</v>
      </c>
      <c r="R604" s="489"/>
      <c r="S604" s="489"/>
      <c r="T604" s="489"/>
    </row>
    <row r="605" spans="1:20" x14ac:dyDescent="0.35">
      <c r="F605" s="477"/>
      <c r="J605" s="477"/>
      <c r="N605" s="477"/>
      <c r="P605" s="477"/>
      <c r="R605" s="478"/>
      <c r="S605" s="478"/>
      <c r="T605" s="478"/>
    </row>
    <row r="606" spans="1:20" x14ac:dyDescent="0.35">
      <c r="A606" s="470" t="s">
        <v>1678</v>
      </c>
      <c r="B606" s="470"/>
      <c r="F606" s="477"/>
      <c r="J606" s="477"/>
      <c r="N606" s="477"/>
      <c r="P606" s="477"/>
      <c r="R606" s="478"/>
      <c r="S606" s="478"/>
      <c r="T606" s="478"/>
    </row>
    <row r="607" spans="1:20" x14ac:dyDescent="0.35">
      <c r="A607" s="505" t="s">
        <v>1679</v>
      </c>
      <c r="B607" s="505"/>
      <c r="C607" s="471"/>
      <c r="D607" s="471"/>
      <c r="E607" s="471"/>
      <c r="F607" s="472"/>
      <c r="G607" s="471"/>
      <c r="H607" s="471"/>
      <c r="I607" s="471"/>
      <c r="J607" s="472"/>
      <c r="K607" s="471"/>
      <c r="L607" s="471"/>
      <c r="M607" s="471"/>
      <c r="N607" s="472"/>
      <c r="O607" s="471"/>
      <c r="P607" s="472"/>
      <c r="R607" s="473"/>
      <c r="S607" s="473"/>
      <c r="T607" s="473"/>
    </row>
    <row r="608" spans="1:20" x14ac:dyDescent="0.35">
      <c r="A608" s="506" t="s">
        <v>1622</v>
      </c>
      <c r="B608" s="506"/>
      <c r="C608" s="471"/>
      <c r="D608" s="471"/>
      <c r="E608" s="471"/>
      <c r="F608" s="476">
        <v>13224</v>
      </c>
      <c r="G608" s="471"/>
      <c r="H608" s="471"/>
      <c r="I608" s="471"/>
      <c r="J608" s="476">
        <v>95230</v>
      </c>
      <c r="K608" s="475">
        <v>95410</v>
      </c>
      <c r="L608" s="475">
        <v>95343</v>
      </c>
      <c r="M608" s="475">
        <v>95171</v>
      </c>
      <c r="N608" s="476">
        <v>95026</v>
      </c>
      <c r="O608" s="475">
        <v>94976</v>
      </c>
      <c r="P608" s="476">
        <v>94346</v>
      </c>
      <c r="R608" s="473"/>
      <c r="S608" s="473"/>
      <c r="T608" s="473"/>
    </row>
    <row r="609" spans="1:20" x14ac:dyDescent="0.35">
      <c r="A609" s="506" t="s">
        <v>1680</v>
      </c>
      <c r="B609" s="506"/>
      <c r="C609" s="471"/>
      <c r="D609" s="471"/>
      <c r="E609" s="471"/>
      <c r="F609" s="476">
        <v>158279</v>
      </c>
      <c r="G609" s="471"/>
      <c r="H609" s="471"/>
      <c r="I609" s="471"/>
      <c r="J609" s="476">
        <v>501210</v>
      </c>
      <c r="K609" s="475">
        <v>505109</v>
      </c>
      <c r="L609" s="475">
        <v>504774</v>
      </c>
      <c r="M609" s="475">
        <v>503788</v>
      </c>
      <c r="N609" s="476">
        <v>515524</v>
      </c>
      <c r="O609" s="475">
        <v>521411</v>
      </c>
      <c r="P609" s="476">
        <v>517866</v>
      </c>
      <c r="R609" s="473"/>
      <c r="S609" s="473"/>
      <c r="T609" s="473"/>
    </row>
    <row r="610" spans="1:20" x14ac:dyDescent="0.35">
      <c r="A610" s="507" t="s">
        <v>1517</v>
      </c>
      <c r="B610" s="507"/>
      <c r="C610" s="485"/>
      <c r="D610" s="485"/>
      <c r="E610" s="485"/>
      <c r="F610" s="488">
        <f>SUM(F608:F609)</f>
        <v>171503</v>
      </c>
      <c r="G610" s="485"/>
      <c r="H610" s="485"/>
      <c r="I610" s="485"/>
      <c r="J610" s="488">
        <f t="shared" ref="J610:P610" si="24">SUM(J608:J609)</f>
        <v>596440</v>
      </c>
      <c r="K610" s="487">
        <f t="shared" si="24"/>
        <v>600519</v>
      </c>
      <c r="L610" s="487">
        <f t="shared" si="24"/>
        <v>600117</v>
      </c>
      <c r="M610" s="487">
        <f t="shared" si="24"/>
        <v>598959</v>
      </c>
      <c r="N610" s="488">
        <f t="shared" si="24"/>
        <v>610550</v>
      </c>
      <c r="O610" s="487">
        <f t="shared" si="24"/>
        <v>616387</v>
      </c>
      <c r="P610" s="488">
        <f t="shared" si="24"/>
        <v>612212</v>
      </c>
      <c r="R610" s="489"/>
      <c r="S610" s="489"/>
      <c r="T610" s="489"/>
    </row>
    <row r="611" spans="1:20" x14ac:dyDescent="0.35">
      <c r="A611" s="474"/>
      <c r="B611" s="474"/>
      <c r="F611" s="477"/>
      <c r="J611" s="477"/>
      <c r="N611" s="477"/>
      <c r="P611" s="477"/>
      <c r="R611" s="478"/>
      <c r="S611" s="478"/>
      <c r="T611" s="478"/>
    </row>
    <row r="612" spans="1:20" x14ac:dyDescent="0.35">
      <c r="A612" s="505" t="s">
        <v>1681</v>
      </c>
      <c r="B612" s="505"/>
      <c r="C612" s="471"/>
      <c r="D612" s="471"/>
      <c r="E612" s="471"/>
      <c r="F612" s="472"/>
      <c r="G612" s="471"/>
      <c r="H612" s="471"/>
      <c r="I612" s="471"/>
      <c r="J612" s="472"/>
      <c r="K612" s="471"/>
      <c r="L612" s="471"/>
      <c r="M612" s="471"/>
      <c r="N612" s="472"/>
      <c r="O612" s="471"/>
      <c r="P612" s="472"/>
      <c r="R612" s="473"/>
      <c r="S612" s="473"/>
      <c r="T612" s="473"/>
    </row>
    <row r="613" spans="1:20" x14ac:dyDescent="0.35">
      <c r="A613" s="506" t="s">
        <v>1622</v>
      </c>
      <c r="B613" s="506"/>
      <c r="C613" s="471"/>
      <c r="D613" s="471"/>
      <c r="E613" s="471"/>
      <c r="F613" s="472"/>
      <c r="G613" s="471"/>
      <c r="H613" s="471"/>
      <c r="I613" s="471"/>
      <c r="J613" s="476">
        <v>-7528</v>
      </c>
      <c r="K613" s="475">
        <v>-9533</v>
      </c>
      <c r="L613" s="475">
        <v>-11515</v>
      </c>
      <c r="M613" s="475">
        <v>-13480</v>
      </c>
      <c r="N613" s="476">
        <v>-15441</v>
      </c>
      <c r="O613" s="475">
        <v>-17335</v>
      </c>
      <c r="P613" s="476">
        <v>-19111</v>
      </c>
      <c r="R613" s="473"/>
      <c r="S613" s="473"/>
      <c r="T613" s="473"/>
    </row>
    <row r="614" spans="1:20" x14ac:dyDescent="0.35">
      <c r="A614" s="506" t="s">
        <v>1680</v>
      </c>
      <c r="B614" s="506"/>
      <c r="C614" s="471"/>
      <c r="D614" s="471"/>
      <c r="E614" s="471"/>
      <c r="F614" s="476">
        <v>-105710</v>
      </c>
      <c r="G614" s="471"/>
      <c r="H614" s="471"/>
      <c r="I614" s="471"/>
      <c r="J614" s="476">
        <v>-65549</v>
      </c>
      <c r="K614" s="475">
        <v>-81992</v>
      </c>
      <c r="L614" s="475">
        <v>-98359</v>
      </c>
      <c r="M614" s="475">
        <v>-114572</v>
      </c>
      <c r="N614" s="476">
        <v>-130758</v>
      </c>
      <c r="O614" s="475">
        <v>-145983</v>
      </c>
      <c r="P614" s="476">
        <v>-160169</v>
      </c>
      <c r="R614" s="473"/>
      <c r="S614" s="473"/>
      <c r="T614" s="473"/>
    </row>
    <row r="615" spans="1:20" x14ac:dyDescent="0.35">
      <c r="A615" s="507" t="s">
        <v>1517</v>
      </c>
      <c r="B615" s="507"/>
      <c r="C615" s="485"/>
      <c r="D615" s="485"/>
      <c r="E615" s="485"/>
      <c r="F615" s="488">
        <f>SUM(F613:F614)</f>
        <v>-105710</v>
      </c>
      <c r="G615" s="485"/>
      <c r="H615" s="485"/>
      <c r="I615" s="485"/>
      <c r="J615" s="488">
        <f t="shared" ref="J615:P615" si="25">SUM(J613:J614)</f>
        <v>-73077</v>
      </c>
      <c r="K615" s="487">
        <f t="shared" si="25"/>
        <v>-91525</v>
      </c>
      <c r="L615" s="487">
        <f t="shared" si="25"/>
        <v>-109874</v>
      </c>
      <c r="M615" s="487">
        <f t="shared" si="25"/>
        <v>-128052</v>
      </c>
      <c r="N615" s="488">
        <f t="shared" si="25"/>
        <v>-146199</v>
      </c>
      <c r="O615" s="487">
        <f t="shared" si="25"/>
        <v>-163318</v>
      </c>
      <c r="P615" s="488">
        <f t="shared" si="25"/>
        <v>-179280</v>
      </c>
      <c r="R615" s="489"/>
      <c r="S615" s="489"/>
      <c r="T615" s="489"/>
    </row>
    <row r="616" spans="1:20" x14ac:dyDescent="0.35">
      <c r="A616" s="474"/>
      <c r="B616" s="474"/>
      <c r="F616" s="477"/>
      <c r="J616" s="477"/>
      <c r="N616" s="477"/>
      <c r="P616" s="477"/>
      <c r="R616" s="478"/>
      <c r="S616" s="478"/>
      <c r="T616" s="478"/>
    </row>
    <row r="617" spans="1:20" x14ac:dyDescent="0.35">
      <c r="A617" s="505" t="s">
        <v>1682</v>
      </c>
      <c r="B617" s="505"/>
      <c r="C617" s="471"/>
      <c r="D617" s="471"/>
      <c r="E617" s="471"/>
      <c r="F617" s="472"/>
      <c r="G617" s="471"/>
      <c r="H617" s="471"/>
      <c r="I617" s="471"/>
      <c r="J617" s="472"/>
      <c r="K617" s="471"/>
      <c r="L617" s="471"/>
      <c r="M617" s="471"/>
      <c r="N617" s="472"/>
      <c r="O617" s="471"/>
      <c r="P617" s="472"/>
      <c r="R617" s="473"/>
      <c r="S617" s="473"/>
      <c r="T617" s="473"/>
    </row>
    <row r="618" spans="1:20" x14ac:dyDescent="0.35">
      <c r="A618" s="506" t="s">
        <v>1622</v>
      </c>
      <c r="B618" s="506"/>
      <c r="C618" s="471"/>
      <c r="D618" s="471"/>
      <c r="E618" s="471"/>
      <c r="F618" s="476">
        <v>13224</v>
      </c>
      <c r="G618" s="471"/>
      <c r="H618" s="471"/>
      <c r="I618" s="471"/>
      <c r="J618" s="476">
        <v>87702</v>
      </c>
      <c r="K618" s="475">
        <v>85877</v>
      </c>
      <c r="L618" s="475">
        <v>83828</v>
      </c>
      <c r="M618" s="475">
        <v>81691</v>
      </c>
      <c r="N618" s="476">
        <v>79585</v>
      </c>
      <c r="O618" s="475">
        <v>77641</v>
      </c>
      <c r="P618" s="476">
        <v>75235</v>
      </c>
      <c r="R618" s="473"/>
      <c r="S618" s="473"/>
      <c r="T618" s="473"/>
    </row>
    <row r="619" spans="1:20" x14ac:dyDescent="0.35">
      <c r="A619" s="506" t="s">
        <v>1680</v>
      </c>
      <c r="B619" s="506"/>
      <c r="C619" s="471"/>
      <c r="D619" s="471"/>
      <c r="E619" s="471"/>
      <c r="F619" s="476">
        <v>52569</v>
      </c>
      <c r="G619" s="471"/>
      <c r="H619" s="471"/>
      <c r="I619" s="471"/>
      <c r="J619" s="476">
        <v>435661</v>
      </c>
      <c r="K619" s="475">
        <v>423117</v>
      </c>
      <c r="L619" s="475">
        <v>406415</v>
      </c>
      <c r="M619" s="475">
        <v>389216</v>
      </c>
      <c r="N619" s="476">
        <v>384766</v>
      </c>
      <c r="O619" s="475">
        <v>375428</v>
      </c>
      <c r="P619" s="476">
        <v>357697</v>
      </c>
      <c r="R619" s="473"/>
      <c r="S619" s="473"/>
      <c r="T619" s="473"/>
    </row>
    <row r="620" spans="1:20" x14ac:dyDescent="0.35">
      <c r="A620" s="511" t="s">
        <v>1517</v>
      </c>
      <c r="B620" s="511"/>
      <c r="C620" s="485"/>
      <c r="D620" s="485"/>
      <c r="E620" s="485"/>
      <c r="F620" s="488">
        <f>SUM(F618:F619)</f>
        <v>65793</v>
      </c>
      <c r="G620" s="485"/>
      <c r="H620" s="485"/>
      <c r="I620" s="485"/>
      <c r="J620" s="488">
        <f t="shared" ref="J620:P620" si="26">SUM(J618:J619)</f>
        <v>523363</v>
      </c>
      <c r="K620" s="487">
        <f t="shared" si="26"/>
        <v>508994</v>
      </c>
      <c r="L620" s="487">
        <f t="shared" si="26"/>
        <v>490243</v>
      </c>
      <c r="M620" s="487">
        <f t="shared" si="26"/>
        <v>470907</v>
      </c>
      <c r="N620" s="488">
        <f t="shared" si="26"/>
        <v>464351</v>
      </c>
      <c r="O620" s="487">
        <f t="shared" si="26"/>
        <v>453069</v>
      </c>
      <c r="P620" s="488">
        <f t="shared" si="26"/>
        <v>432932</v>
      </c>
      <c r="R620" s="489"/>
      <c r="S620" s="489"/>
      <c r="T620" s="489"/>
    </row>
    <row r="621" spans="1:20" x14ac:dyDescent="0.35">
      <c r="F621" s="477"/>
      <c r="J621" s="477"/>
      <c r="N621" s="477"/>
      <c r="P621" s="477"/>
      <c r="R621" s="478"/>
      <c r="S621" s="478"/>
      <c r="T621" s="478"/>
    </row>
    <row r="622" spans="1:20" x14ac:dyDescent="0.35">
      <c r="A622" s="470" t="s">
        <v>1683</v>
      </c>
      <c r="B622" s="470"/>
      <c r="C622" s="471"/>
      <c r="D622" s="471"/>
      <c r="E622" s="471"/>
      <c r="F622" s="472"/>
      <c r="G622" s="471"/>
      <c r="H622" s="471"/>
      <c r="I622" s="471"/>
      <c r="J622" s="472"/>
      <c r="K622" s="471"/>
      <c r="L622" s="471"/>
      <c r="M622" s="471"/>
      <c r="N622" s="472"/>
      <c r="O622" s="471"/>
      <c r="P622" s="472"/>
      <c r="R622" s="473"/>
      <c r="S622" s="473"/>
      <c r="T622" s="473"/>
    </row>
    <row r="623" spans="1:20" x14ac:dyDescent="0.35">
      <c r="A623" s="474" t="s">
        <v>1684</v>
      </c>
      <c r="B623" s="474"/>
      <c r="C623" s="471"/>
      <c r="D623" s="471"/>
      <c r="E623" s="471"/>
      <c r="F623" s="476">
        <v>401941</v>
      </c>
      <c r="G623" s="471"/>
      <c r="H623" s="471"/>
      <c r="I623" s="471"/>
      <c r="J623" s="476">
        <v>666650</v>
      </c>
      <c r="K623" s="475">
        <v>764724</v>
      </c>
      <c r="L623" s="475">
        <v>564724</v>
      </c>
      <c r="M623" s="475">
        <v>564724</v>
      </c>
      <c r="N623" s="476">
        <v>564724</v>
      </c>
      <c r="O623" s="475">
        <v>564724</v>
      </c>
      <c r="P623" s="476">
        <v>564724</v>
      </c>
      <c r="R623" s="473"/>
      <c r="S623" s="473"/>
      <c r="T623" s="473"/>
    </row>
    <row r="624" spans="1:20" x14ac:dyDescent="0.35">
      <c r="A624" s="474" t="s">
        <v>1685</v>
      </c>
      <c r="B624" s="474"/>
      <c r="C624" s="471"/>
      <c r="D624" s="471"/>
      <c r="E624" s="471"/>
      <c r="F624" s="476">
        <v>150000</v>
      </c>
      <c r="G624" s="471"/>
      <c r="H624" s="471"/>
      <c r="I624" s="471"/>
      <c r="J624" s="476">
        <v>145000</v>
      </c>
      <c r="K624" s="471"/>
      <c r="L624" s="471"/>
      <c r="M624" s="471"/>
      <c r="N624" s="472"/>
      <c r="O624" s="471"/>
      <c r="P624" s="472"/>
      <c r="R624" s="473"/>
      <c r="S624" s="473"/>
      <c r="T624" s="473"/>
    </row>
    <row r="625" spans="1:20" x14ac:dyDescent="0.35">
      <c r="A625" s="511" t="s">
        <v>1686</v>
      </c>
      <c r="B625" s="511"/>
      <c r="C625" s="485"/>
      <c r="D625" s="485"/>
      <c r="E625" s="485"/>
      <c r="F625" s="488">
        <f>SUM(F623:F624)</f>
        <v>551941</v>
      </c>
      <c r="G625" s="485"/>
      <c r="H625" s="485"/>
      <c r="I625" s="485"/>
      <c r="J625" s="488">
        <f>SUM(J623:J624)</f>
        <v>811650</v>
      </c>
      <c r="K625" s="487">
        <f>SUM(K623:K624)</f>
        <v>764724</v>
      </c>
      <c r="L625" s="487">
        <f>SUM(L623:L624)</f>
        <v>564724</v>
      </c>
      <c r="M625" s="487">
        <f>SUM(M623:M624)</f>
        <v>564724</v>
      </c>
      <c r="N625" s="488">
        <f>SUM(N623:N624)</f>
        <v>564724</v>
      </c>
      <c r="O625" s="485"/>
      <c r="P625" s="486"/>
      <c r="R625" s="489"/>
      <c r="S625" s="489"/>
      <c r="T625" s="489"/>
    </row>
    <row r="626" spans="1:20" x14ac:dyDescent="0.35">
      <c r="A626" s="474"/>
      <c r="B626" s="474"/>
      <c r="C626" s="471"/>
      <c r="D626" s="471"/>
      <c r="E626" s="471"/>
      <c r="F626" s="472"/>
      <c r="G626" s="471"/>
      <c r="H626" s="471"/>
      <c r="I626" s="471"/>
      <c r="J626" s="472"/>
      <c r="K626" s="471"/>
      <c r="L626" s="471"/>
      <c r="M626" s="471"/>
      <c r="N626" s="472"/>
      <c r="O626" s="471"/>
      <c r="P626" s="472"/>
      <c r="R626" s="473"/>
      <c r="S626" s="473"/>
      <c r="T626" s="473"/>
    </row>
    <row r="627" spans="1:20" x14ac:dyDescent="0.35">
      <c r="A627" s="474" t="s">
        <v>1687</v>
      </c>
      <c r="B627" s="474"/>
      <c r="C627" s="471"/>
      <c r="D627" s="471"/>
      <c r="E627" s="471"/>
      <c r="F627" s="461"/>
      <c r="G627" s="471"/>
      <c r="H627" s="471"/>
      <c r="I627" s="471"/>
      <c r="J627" s="476">
        <v>-6700</v>
      </c>
      <c r="K627" s="475">
        <v>-7705</v>
      </c>
      <c r="L627" s="471"/>
      <c r="M627" s="471"/>
      <c r="N627" s="472"/>
      <c r="O627" s="471"/>
      <c r="P627" s="472"/>
      <c r="R627" s="473"/>
      <c r="S627" s="473"/>
      <c r="T627" s="473"/>
    </row>
    <row r="628" spans="1:20" x14ac:dyDescent="0.35">
      <c r="A628" s="511" t="s">
        <v>1688</v>
      </c>
      <c r="B628" s="511"/>
      <c r="C628" s="485"/>
      <c r="D628" s="485"/>
      <c r="E628" s="485"/>
      <c r="F628" s="488">
        <f>SUM(F627,F625)</f>
        <v>551941</v>
      </c>
      <c r="G628" s="485"/>
      <c r="H628" s="485"/>
      <c r="I628" s="485"/>
      <c r="J628" s="488">
        <f>SUM(J627,J625)</f>
        <v>804950</v>
      </c>
      <c r="K628" s="487">
        <f>SUM(K627,K625)</f>
        <v>757019</v>
      </c>
      <c r="L628" s="487">
        <f>SUM(L627,L625)</f>
        <v>564724</v>
      </c>
      <c r="M628" s="487">
        <f>SUM(M627,M625)</f>
        <v>564724</v>
      </c>
      <c r="N628" s="488">
        <f>SUM(N627,N625)</f>
        <v>564724</v>
      </c>
      <c r="O628" s="485"/>
      <c r="P628" s="486"/>
      <c r="R628" s="489"/>
      <c r="S628" s="489"/>
      <c r="T628" s="489"/>
    </row>
    <row r="629" spans="1:20" x14ac:dyDescent="0.35">
      <c r="A629" s="474"/>
      <c r="B629" s="474"/>
      <c r="C629" s="471"/>
      <c r="D629" s="471"/>
      <c r="E629" s="471"/>
      <c r="F629" s="472"/>
      <c r="G629" s="471"/>
      <c r="H629" s="471"/>
      <c r="I629" s="471"/>
      <c r="J629" s="472"/>
      <c r="K629" s="471"/>
      <c r="L629" s="471"/>
      <c r="M629" s="471"/>
      <c r="N629" s="472"/>
      <c r="O629" s="471"/>
      <c r="P629" s="472"/>
      <c r="R629" s="473"/>
      <c r="S629" s="473"/>
      <c r="T629" s="473"/>
    </row>
    <row r="630" spans="1:20" x14ac:dyDescent="0.35">
      <c r="A630" s="474" t="s">
        <v>1689</v>
      </c>
      <c r="B630" s="474"/>
      <c r="C630" s="471"/>
      <c r="D630" s="471"/>
      <c r="E630" s="471"/>
      <c r="F630" s="476">
        <v>-11102</v>
      </c>
      <c r="G630" s="471"/>
      <c r="H630" s="471"/>
      <c r="I630" s="471"/>
      <c r="J630" s="476">
        <v>-26345</v>
      </c>
      <c r="K630" s="475">
        <v>-15111</v>
      </c>
      <c r="L630" s="475">
        <v>-10756</v>
      </c>
      <c r="M630" s="475">
        <v>-10319</v>
      </c>
      <c r="N630" s="476">
        <v>-9879</v>
      </c>
      <c r="O630" s="475">
        <v>-9434</v>
      </c>
      <c r="P630" s="476">
        <v>-8985</v>
      </c>
      <c r="R630" s="473"/>
      <c r="S630" s="473"/>
      <c r="T630" s="473"/>
    </row>
    <row r="631" spans="1:20" x14ac:dyDescent="0.35">
      <c r="A631" s="511" t="s">
        <v>830</v>
      </c>
      <c r="B631" s="511"/>
      <c r="C631" s="485"/>
      <c r="D631" s="485"/>
      <c r="E631" s="485"/>
      <c r="F631" s="488">
        <f>SUM(F623,F624,F627,F630)</f>
        <v>540839</v>
      </c>
      <c r="G631" s="485"/>
      <c r="H631" s="485"/>
      <c r="I631" s="485"/>
      <c r="J631" s="488">
        <f t="shared" ref="J631:P631" si="27">SUM(J623,J624,J627,J630)</f>
        <v>778605</v>
      </c>
      <c r="K631" s="487">
        <f t="shared" si="27"/>
        <v>741908</v>
      </c>
      <c r="L631" s="487">
        <f t="shared" si="27"/>
        <v>553968</v>
      </c>
      <c r="M631" s="487">
        <f t="shared" si="27"/>
        <v>554405</v>
      </c>
      <c r="N631" s="488">
        <f t="shared" si="27"/>
        <v>554845</v>
      </c>
      <c r="O631" s="487">
        <f t="shared" si="27"/>
        <v>555290</v>
      </c>
      <c r="P631" s="488">
        <f t="shared" si="27"/>
        <v>555739</v>
      </c>
      <c r="R631" s="489"/>
      <c r="S631" s="489"/>
      <c r="T631" s="489"/>
    </row>
    <row r="632" spans="1:20" x14ac:dyDescent="0.35">
      <c r="F632" s="477"/>
      <c r="J632" s="477"/>
      <c r="N632" s="477"/>
      <c r="P632" s="477"/>
      <c r="R632" s="478"/>
      <c r="S632" s="478"/>
      <c r="T632" s="478"/>
    </row>
    <row r="633" spans="1:20" x14ac:dyDescent="0.35">
      <c r="A633" s="470" t="s">
        <v>1690</v>
      </c>
      <c r="B633" s="470"/>
      <c r="C633" s="471"/>
      <c r="D633" s="471"/>
      <c r="E633" s="471"/>
      <c r="F633" s="472"/>
      <c r="G633" s="471"/>
      <c r="H633" s="471"/>
      <c r="I633" s="471"/>
      <c r="J633" s="472"/>
      <c r="K633" s="471"/>
      <c r="L633" s="471"/>
      <c r="M633" s="471"/>
      <c r="N633" s="472"/>
      <c r="O633" s="471"/>
      <c r="P633" s="472"/>
      <c r="R633" s="473"/>
      <c r="S633" s="473"/>
      <c r="T633" s="473"/>
    </row>
    <row r="634" spans="1:20" x14ac:dyDescent="0.35">
      <c r="A634" s="474" t="s">
        <v>1691</v>
      </c>
      <c r="B634" s="474"/>
      <c r="C634" s="471"/>
      <c r="D634" s="471"/>
      <c r="E634" s="471"/>
      <c r="F634" s="472"/>
      <c r="G634" s="471"/>
      <c r="H634" s="471"/>
      <c r="I634" s="471"/>
      <c r="J634" s="472"/>
      <c r="K634" s="471"/>
      <c r="L634" s="475">
        <v>4.7</v>
      </c>
      <c r="M634" s="475">
        <v>3.7</v>
      </c>
      <c r="N634" s="472"/>
      <c r="O634" s="475">
        <v>6</v>
      </c>
      <c r="P634" s="476">
        <v>4.7</v>
      </c>
      <c r="R634" s="473"/>
      <c r="S634" s="483">
        <v>-6</v>
      </c>
      <c r="T634" s="483">
        <v>11.9</v>
      </c>
    </row>
    <row r="635" spans="1:20" x14ac:dyDescent="0.35">
      <c r="A635" s="474" t="s">
        <v>1692</v>
      </c>
      <c r="B635" s="474"/>
      <c r="C635" s="471"/>
      <c r="D635" s="471"/>
      <c r="E635" s="471"/>
      <c r="F635" s="472"/>
      <c r="G635" s="471"/>
      <c r="H635" s="471"/>
      <c r="I635" s="471"/>
      <c r="J635" s="472"/>
      <c r="K635" s="475">
        <v>7.8</v>
      </c>
      <c r="L635" s="475">
        <v>27.4</v>
      </c>
      <c r="M635" s="475">
        <v>22.1</v>
      </c>
      <c r="N635" s="472">
        <f>T635-SUM(K635,L635,M635)</f>
        <v>20.5</v>
      </c>
      <c r="O635" s="475">
        <v>24</v>
      </c>
      <c r="P635" s="476">
        <v>10.1</v>
      </c>
      <c r="R635" s="473"/>
      <c r="S635" s="483">
        <v>23.2</v>
      </c>
      <c r="T635" s="483">
        <v>77.8</v>
      </c>
    </row>
    <row r="636" spans="1:20" x14ac:dyDescent="0.35">
      <c r="A636" s="474" t="s">
        <v>1693</v>
      </c>
      <c r="B636" s="474"/>
      <c r="C636" s="471"/>
      <c r="D636" s="471"/>
      <c r="E636" s="471"/>
      <c r="F636" s="472"/>
      <c r="G636" s="471"/>
      <c r="H636" s="471"/>
      <c r="I636" s="471"/>
      <c r="J636" s="472"/>
      <c r="K636" s="475">
        <v>-1.2</v>
      </c>
      <c r="L636" s="471"/>
      <c r="M636" s="471"/>
      <c r="N636" s="472"/>
      <c r="O636" s="475">
        <v>-0.6</v>
      </c>
      <c r="P636" s="472"/>
      <c r="R636" s="473"/>
      <c r="S636" s="473"/>
      <c r="T636" s="483">
        <v>-0.5</v>
      </c>
    </row>
    <row r="637" spans="1:20" x14ac:dyDescent="0.35">
      <c r="A637" s="474" t="s">
        <v>1694</v>
      </c>
      <c r="B637" s="474"/>
      <c r="C637" s="471"/>
      <c r="D637" s="471"/>
      <c r="E637" s="471"/>
      <c r="F637" s="472"/>
      <c r="G637" s="471"/>
      <c r="H637" s="471"/>
      <c r="I637" s="471"/>
      <c r="J637" s="472"/>
      <c r="K637" s="471"/>
      <c r="L637" s="471"/>
      <c r="M637" s="471"/>
      <c r="N637" s="472"/>
      <c r="O637" s="471"/>
      <c r="P637" s="472"/>
      <c r="R637" s="473"/>
      <c r="S637" s="483">
        <v>-1.7</v>
      </c>
      <c r="T637" s="473"/>
    </row>
    <row r="638" spans="1:20" x14ac:dyDescent="0.35">
      <c r="A638" s="474"/>
      <c r="B638" s="474"/>
      <c r="C638" s="471"/>
      <c r="D638" s="471"/>
      <c r="E638" s="471"/>
      <c r="F638" s="472"/>
      <c r="G638" s="471"/>
      <c r="H638" s="471"/>
      <c r="I638" s="471"/>
      <c r="J638" s="472"/>
      <c r="K638" s="471"/>
      <c r="L638" s="471"/>
      <c r="M638" s="471"/>
      <c r="N638" s="472"/>
      <c r="O638" s="471"/>
      <c r="P638" s="472"/>
      <c r="R638" s="473"/>
      <c r="S638" s="473"/>
      <c r="T638" s="473"/>
    </row>
    <row r="639" spans="1:20" x14ac:dyDescent="0.35">
      <c r="A639" s="557" t="s">
        <v>1695</v>
      </c>
      <c r="B639" s="557"/>
      <c r="C639" s="471"/>
      <c r="D639" s="471"/>
      <c r="E639" s="471"/>
      <c r="F639" s="472"/>
      <c r="G639" s="471"/>
      <c r="H639" s="471"/>
      <c r="I639" s="471"/>
      <c r="J639" s="472"/>
      <c r="K639" s="471"/>
      <c r="L639" s="471"/>
      <c r="M639" s="471"/>
      <c r="N639" s="472"/>
      <c r="O639" s="471"/>
      <c r="P639" s="472"/>
      <c r="R639" s="473"/>
      <c r="S639" s="473"/>
      <c r="T639" s="473"/>
    </row>
    <row r="640" spans="1:20" x14ac:dyDescent="0.35">
      <c r="A640" s="474" t="s">
        <v>1696</v>
      </c>
      <c r="B640" s="474"/>
      <c r="C640" s="471"/>
      <c r="D640" s="471"/>
      <c r="E640" s="471"/>
      <c r="F640" s="472"/>
      <c r="G640" s="471"/>
      <c r="H640" s="471"/>
      <c r="I640" s="471"/>
      <c r="J640" s="472"/>
      <c r="K640" s="475">
        <v>1.5</v>
      </c>
      <c r="L640" s="475">
        <v>3.3</v>
      </c>
      <c r="M640" s="475">
        <v>1.3</v>
      </c>
      <c r="N640" s="472"/>
      <c r="O640" s="475">
        <v>1.7</v>
      </c>
      <c r="P640" s="472"/>
      <c r="R640" s="473"/>
      <c r="S640" s="483">
        <v>1.7</v>
      </c>
      <c r="T640" s="473"/>
    </row>
    <row r="641" spans="1:20" x14ac:dyDescent="0.35">
      <c r="A641" s="474" t="s">
        <v>1697</v>
      </c>
      <c r="B641" s="474"/>
      <c r="C641" s="471"/>
      <c r="D641" s="471"/>
      <c r="E641" s="471"/>
      <c r="F641" s="472"/>
      <c r="G641" s="471"/>
      <c r="H641" s="471"/>
      <c r="I641" s="471"/>
      <c r="J641" s="472"/>
      <c r="K641" s="471"/>
      <c r="L641" s="471"/>
      <c r="M641" s="475">
        <v>0.6</v>
      </c>
      <c r="N641" s="472"/>
      <c r="O641" s="471"/>
      <c r="P641" s="472"/>
      <c r="R641" s="473"/>
      <c r="S641" s="473"/>
      <c r="T641" s="464"/>
    </row>
    <row r="642" spans="1:20" x14ac:dyDescent="0.35">
      <c r="A642" s="558" t="s">
        <v>1698</v>
      </c>
      <c r="B642" s="558"/>
      <c r="C642" s="471"/>
      <c r="D642" s="471"/>
      <c r="E642" s="471"/>
      <c r="F642" s="472"/>
      <c r="G642" s="471"/>
      <c r="H642" s="471"/>
      <c r="I642" s="471"/>
      <c r="J642" s="472"/>
      <c r="K642" s="471"/>
      <c r="L642" s="471"/>
      <c r="M642" s="471"/>
      <c r="N642" s="472"/>
      <c r="O642" s="471"/>
      <c r="P642" s="472"/>
      <c r="R642" s="473"/>
      <c r="S642" s="473"/>
      <c r="T642" s="483">
        <v>7.3</v>
      </c>
    </row>
    <row r="643" spans="1:20" x14ac:dyDescent="0.35">
      <c r="A643" s="474" t="s">
        <v>1699</v>
      </c>
      <c r="B643" s="474"/>
      <c r="C643" s="471"/>
      <c r="D643" s="471"/>
      <c r="E643" s="471"/>
      <c r="F643" s="472"/>
      <c r="G643" s="471"/>
      <c r="H643" s="471"/>
      <c r="I643" s="471"/>
      <c r="J643" s="472"/>
      <c r="K643" s="471"/>
      <c r="L643" s="475">
        <v>0.8</v>
      </c>
      <c r="M643" s="475">
        <v>1.1000000000000001</v>
      </c>
      <c r="N643" s="472"/>
      <c r="O643" s="475">
        <v>1.2</v>
      </c>
      <c r="P643" s="476">
        <v>1.5</v>
      </c>
      <c r="R643" s="473"/>
      <c r="S643" s="473"/>
      <c r="T643" s="483">
        <v>4.4000000000000004</v>
      </c>
    </row>
    <row r="644" spans="1:20" x14ac:dyDescent="0.35">
      <c r="A644" s="474" t="s">
        <v>1700</v>
      </c>
      <c r="B644" s="474"/>
      <c r="C644" s="471"/>
      <c r="D644" s="471"/>
      <c r="E644" s="471"/>
      <c r="F644" s="472"/>
      <c r="G644" s="471"/>
      <c r="H644" s="471"/>
      <c r="I644" s="471"/>
      <c r="J644" s="472"/>
      <c r="K644" s="471"/>
      <c r="L644" s="471"/>
      <c r="M644" s="471"/>
      <c r="N644" s="472"/>
      <c r="O644" s="471"/>
      <c r="P644" s="472"/>
      <c r="R644" s="473"/>
      <c r="S644" s="473"/>
      <c r="T644" s="483">
        <v>-2.5</v>
      </c>
    </row>
    <row r="645" spans="1:20" x14ac:dyDescent="0.35">
      <c r="F645" s="477"/>
      <c r="J645" s="477"/>
      <c r="N645" s="477"/>
      <c r="P645" s="477"/>
      <c r="R645" s="478"/>
      <c r="S645" s="478"/>
      <c r="T645" s="478"/>
    </row>
    <row r="646" spans="1:20" x14ac:dyDescent="0.35">
      <c r="A646" s="470" t="s">
        <v>1701</v>
      </c>
      <c r="B646" s="470"/>
      <c r="C646" s="471"/>
      <c r="D646" s="471"/>
      <c r="E646" s="471"/>
      <c r="F646" s="472"/>
      <c r="G646" s="471"/>
      <c r="H646" s="471"/>
      <c r="I646" s="471"/>
      <c r="J646" s="472"/>
      <c r="K646" s="471"/>
      <c r="L646" s="471"/>
      <c r="M646" s="471"/>
      <c r="N646" s="472"/>
      <c r="O646" s="471"/>
      <c r="P646" s="472"/>
      <c r="R646" s="473"/>
      <c r="S646" s="473"/>
      <c r="T646" s="473"/>
    </row>
    <row r="647" spans="1:20" x14ac:dyDescent="0.35">
      <c r="A647" s="474" t="s">
        <v>1691</v>
      </c>
      <c r="B647" s="474"/>
      <c r="C647" s="471"/>
      <c r="D647" s="471"/>
      <c r="E647" s="471"/>
      <c r="F647" s="472"/>
      <c r="G647" s="471"/>
      <c r="H647" s="471"/>
      <c r="I647" s="471"/>
      <c r="J647" s="472"/>
      <c r="K647" s="471"/>
      <c r="L647" s="475">
        <v>1.8</v>
      </c>
      <c r="M647" s="475">
        <v>2.4</v>
      </c>
      <c r="N647" s="472"/>
      <c r="O647" s="475">
        <v>2.8</v>
      </c>
      <c r="P647" s="476">
        <v>2.1</v>
      </c>
      <c r="R647" s="473"/>
      <c r="S647" s="473"/>
      <c r="T647" s="483">
        <v>7.3</v>
      </c>
    </row>
    <row r="648" spans="1:20" x14ac:dyDescent="0.35">
      <c r="A648" s="474" t="s">
        <v>1702</v>
      </c>
      <c r="B648" s="474"/>
      <c r="C648" s="471"/>
      <c r="D648" s="471"/>
      <c r="E648" s="471"/>
      <c r="F648" s="472"/>
      <c r="G648" s="471"/>
      <c r="H648" s="471"/>
      <c r="I648" s="471"/>
      <c r="J648" s="472"/>
      <c r="K648" s="475">
        <v>3.6</v>
      </c>
      <c r="L648" s="471"/>
      <c r="M648" s="475">
        <v>2.2000000000000002</v>
      </c>
      <c r="N648" s="472"/>
      <c r="O648" s="475">
        <v>-3.1</v>
      </c>
      <c r="P648" s="472"/>
      <c r="R648" s="473"/>
      <c r="S648" s="473"/>
      <c r="T648" s="483">
        <v>7.8</v>
      </c>
    </row>
    <row r="649" spans="1:20" x14ac:dyDescent="0.35">
      <c r="A649" s="474" t="s">
        <v>1703</v>
      </c>
      <c r="B649" s="474"/>
      <c r="C649" s="471"/>
      <c r="D649" s="471"/>
      <c r="E649" s="471"/>
      <c r="F649" s="472"/>
      <c r="G649" s="471"/>
      <c r="H649" s="471"/>
      <c r="I649" s="471"/>
      <c r="J649" s="472"/>
      <c r="K649" s="475">
        <v>-3.6</v>
      </c>
      <c r="L649" s="475">
        <v>2.1</v>
      </c>
      <c r="M649" s="475">
        <v>0.8</v>
      </c>
      <c r="N649" s="472">
        <f>T649-SUM(K649,L649,M649)</f>
        <v>4.2</v>
      </c>
      <c r="O649" s="475">
        <v>0.9</v>
      </c>
      <c r="P649" s="476">
        <v>-1.2</v>
      </c>
      <c r="R649" s="473"/>
      <c r="S649" s="483">
        <v>7.4</v>
      </c>
      <c r="T649" s="483">
        <v>3.5</v>
      </c>
    </row>
    <row r="650" spans="1:20" x14ac:dyDescent="0.35">
      <c r="A650" s="474" t="s">
        <v>1704</v>
      </c>
      <c r="B650" s="474"/>
      <c r="C650" s="471"/>
      <c r="D650" s="471"/>
      <c r="E650" s="471"/>
      <c r="F650" s="472"/>
      <c r="G650" s="471"/>
      <c r="H650" s="471"/>
      <c r="I650" s="471"/>
      <c r="J650" s="472"/>
      <c r="K650" s="471"/>
      <c r="L650" s="475">
        <v>3.1</v>
      </c>
      <c r="M650" s="475">
        <v>0.6</v>
      </c>
      <c r="N650" s="472"/>
      <c r="O650" s="475">
        <v>1.8</v>
      </c>
      <c r="P650" s="472"/>
      <c r="R650" s="473"/>
      <c r="S650" s="473"/>
      <c r="T650" s="483">
        <v>5.9</v>
      </c>
    </row>
    <row r="651" spans="1:20" x14ac:dyDescent="0.35">
      <c r="A651" s="474" t="s">
        <v>1705</v>
      </c>
      <c r="B651" s="474"/>
      <c r="C651" s="471"/>
      <c r="D651" s="471"/>
      <c r="E651" s="471"/>
      <c r="F651" s="472"/>
      <c r="G651" s="471"/>
      <c r="H651" s="471"/>
      <c r="I651" s="471"/>
      <c r="J651" s="472"/>
      <c r="K651" s="471"/>
      <c r="L651" s="475">
        <v>0.6</v>
      </c>
      <c r="M651" s="475">
        <v>0.8</v>
      </c>
      <c r="N651" s="472"/>
      <c r="O651" s="471"/>
      <c r="P651" s="472"/>
      <c r="R651" s="473"/>
      <c r="S651" s="483">
        <v>-3.4</v>
      </c>
      <c r="T651" s="483">
        <v>2</v>
      </c>
    </row>
    <row r="652" spans="1:20" x14ac:dyDescent="0.35">
      <c r="A652" s="474" t="s">
        <v>1706</v>
      </c>
      <c r="B652" s="474"/>
      <c r="C652" s="471"/>
      <c r="D652" s="471"/>
      <c r="E652" s="471"/>
      <c r="F652" s="472"/>
      <c r="G652" s="471"/>
      <c r="H652" s="471"/>
      <c r="I652" s="471"/>
      <c r="J652" s="472"/>
      <c r="K652" s="471"/>
      <c r="L652" s="471"/>
      <c r="M652" s="471"/>
      <c r="N652" s="472"/>
      <c r="O652" s="471"/>
      <c r="P652" s="476">
        <v>0.9</v>
      </c>
      <c r="R652" s="473"/>
      <c r="S652" s="483">
        <v>-4.5</v>
      </c>
      <c r="T652" s="473"/>
    </row>
    <row r="653" spans="1:20" x14ac:dyDescent="0.35">
      <c r="A653" s="474" t="s">
        <v>1707</v>
      </c>
      <c r="B653" s="474"/>
      <c r="F653" s="477"/>
      <c r="J653" s="477"/>
      <c r="N653" s="477"/>
      <c r="P653" s="476">
        <v>0.9</v>
      </c>
      <c r="R653" s="478"/>
      <c r="S653" s="478"/>
      <c r="T653" s="478"/>
    </row>
    <row r="654" spans="1:20" x14ac:dyDescent="0.35">
      <c r="A654" s="559" t="s">
        <v>1708</v>
      </c>
      <c r="B654" s="559"/>
      <c r="C654" s="560"/>
      <c r="D654" s="560"/>
      <c r="E654" s="560"/>
      <c r="F654" s="561"/>
      <c r="G654" s="560"/>
      <c r="H654" s="560"/>
      <c r="I654" s="560"/>
      <c r="J654" s="561"/>
      <c r="K654" s="560"/>
      <c r="L654" s="560"/>
      <c r="M654" s="560"/>
      <c r="N654" s="561"/>
      <c r="O654" s="560"/>
      <c r="P654" s="562">
        <v>1.3</v>
      </c>
      <c r="R654" s="563"/>
      <c r="S654" s="563"/>
      <c r="T654" s="563"/>
    </row>
  </sheetData>
  <hyperlinks>
    <hyperlink ref="L5" r:id="rId1" xr:uid="{CF8FFAEE-EB25-449A-9F89-4F685F6EA70A}"/>
    <hyperlink ref="M5" r:id="rId2" xr:uid="{403C2FA0-ADA1-4D9C-B9A5-C6EF217E5BD3}"/>
    <hyperlink ref="N5" r:id="rId3" xr:uid="{24C2E6DB-EFB1-453E-8D5F-D8E15F6434E7}"/>
    <hyperlink ref="O5" r:id="rId4" xr:uid="{DEB1AA94-7B3B-4DA5-B486-57534D9ACBEC}"/>
    <hyperlink ref="P5" r:id="rId5" xr:uid="{F44760A0-F42B-4C55-BCCE-A6F600BFB738}"/>
    <hyperlink ref="L6" r:id="rId6" xr:uid="{BF849FF6-B5EE-42B3-AC08-E62E0CB92D1B}"/>
    <hyperlink ref="M6" r:id="rId7" xr:uid="{5A03DA4F-F50E-4BCE-9340-F80A7AF4E11F}"/>
    <hyperlink ref="N6" r:id="rId8" xr:uid="{2E70735F-8204-4010-BDB4-1311D1930831}"/>
    <hyperlink ref="O6" r:id="rId9" xr:uid="{F9A875DE-006E-48D6-9D36-A2DACC7BA5BA}"/>
    <hyperlink ref="P6" r:id="rId10" xr:uid="{5035DE28-EC34-4781-B505-AD0E055CA7EE}"/>
    <hyperlink ref="A10" r:id="rId11" xr:uid="{A1220544-348F-44C1-8B1B-46D72D9FBA79}"/>
    <hyperlink ref="L10" r:id="rId12" display="https://www.daloopa.com/src/58816165" xr:uid="{2D0EC268-8C25-43A2-AC45-871EE16580CB}"/>
    <hyperlink ref="M10" r:id="rId13" display="https://www.daloopa.com/src/58816170" xr:uid="{C4457D17-09D3-4691-838F-E0393E164A19}"/>
    <hyperlink ref="N10" r:id="rId14" display="https://www.daloopa.com/src/58810742" xr:uid="{154DD717-C598-47A1-89C0-917BC8F2D444}"/>
    <hyperlink ref="O10" r:id="rId15" display="https://www.daloopa.com/src/58804632" xr:uid="{35ED67B6-D7FC-4672-AD67-947A8562AB82}"/>
    <hyperlink ref="P10" r:id="rId16" display="https://www.daloopa.com/src/59368559" xr:uid="{72209375-5326-408E-83D2-C4E9531F914D}"/>
    <hyperlink ref="A11" r:id="rId17" xr:uid="{5DCB117A-F45A-4F3C-9B71-DE0441884892}"/>
    <hyperlink ref="L11" r:id="rId18" display="https://www.daloopa.com/src/58816169" xr:uid="{A636E237-355A-4675-80EB-235F6363E0E2}"/>
    <hyperlink ref="M11" r:id="rId19" display="https://www.daloopa.com/src/58816174" xr:uid="{E26B87E2-EB43-4FD7-A6C9-54FE03F6735C}"/>
    <hyperlink ref="N11" r:id="rId20" display="https://www.daloopa.com/src/58810746" xr:uid="{59EDCC5C-7204-4959-A662-19F2A3C9E5BF}"/>
    <hyperlink ref="O11" r:id="rId21" display="https://www.daloopa.com/src/58804636" xr:uid="{4C8E679C-D981-4632-AC8C-1714B3D7FC3B}"/>
    <hyperlink ref="P11" r:id="rId22" display="https://www.daloopa.com/src/59368562" xr:uid="{77A6A072-8F1E-4DBA-B4CC-B9AFE52DDC82}"/>
    <hyperlink ref="A14" r:id="rId23" xr:uid="{D80C27ED-FCD7-4C42-883C-1315AECEBDF2}"/>
    <hyperlink ref="L14" r:id="rId24" display="https://www.daloopa.com/src/58816163" xr:uid="{F8D86D1A-2996-44B7-BDA8-EDBE83BBFEF4}"/>
    <hyperlink ref="M14" r:id="rId25" display="https://www.daloopa.com/src/58816171" xr:uid="{59ACA246-0C2B-4CFD-A55C-04E012AE2006}"/>
    <hyperlink ref="N14" r:id="rId26" display="https://www.daloopa.com/src/58810743" xr:uid="{E2F8FDEE-23B8-4F5C-8743-FE80CD6A85FC}"/>
    <hyperlink ref="O14" r:id="rId27" display="https://www.daloopa.com/src/58804634" xr:uid="{38D56A07-E10D-46E6-9DC1-9E89BBD90626}"/>
    <hyperlink ref="P14" r:id="rId28" display="https://www.daloopa.com/src/59368560" xr:uid="{B39F4164-E9CD-4BDC-B456-6BC101AE9A20}"/>
    <hyperlink ref="A15" r:id="rId29" xr:uid="{F6463B18-D8DF-40A4-A07A-937C6F31D309}"/>
    <hyperlink ref="L15" r:id="rId30" display="https://www.daloopa.com/src/58816168" xr:uid="{5550ECCE-326C-4F06-94E9-7E403164DD0B}"/>
    <hyperlink ref="M15" r:id="rId31" display="https://www.daloopa.com/src/58816176" xr:uid="{63C55E5A-50A3-4F85-B4FF-3E96B5E1875E}"/>
    <hyperlink ref="N15" r:id="rId32" display="https://www.daloopa.com/src/58810747" xr:uid="{79CEBBDC-B536-4F76-A851-55ABDEFFAB82}"/>
    <hyperlink ref="O15" r:id="rId33" display="https://www.daloopa.com/src/58804639" xr:uid="{B622D5A8-EC71-4732-A895-D9E54EDAA564}"/>
    <hyperlink ref="P15" r:id="rId34" display="https://www.daloopa.com/src/59368563" xr:uid="{17A1B5EE-2A90-45C0-B234-D7AC1777BCBB}"/>
    <hyperlink ref="A18" r:id="rId35" xr:uid="{8112A368-EFB2-46AE-8D8A-6CCD5B93E88C}"/>
    <hyperlink ref="L18" r:id="rId36" display="https://www.daloopa.com/src/58816164" xr:uid="{021E8FCE-84DB-4A9E-9448-5F09423CDD84}"/>
    <hyperlink ref="M18" r:id="rId37" display="https://www.daloopa.com/src/58816172" xr:uid="{EB9AED5B-2B93-4284-87CB-23EA61635D1C}"/>
    <hyperlink ref="N18" r:id="rId38" display="https://www.daloopa.com/src/58810744" xr:uid="{5317E1B3-135E-41D5-90E2-105D73686045}"/>
    <hyperlink ref="O18" r:id="rId39" display="https://www.daloopa.com/src/58804633" xr:uid="{0573287B-F6F2-4D76-B2AD-84E75DC6F54F}"/>
    <hyperlink ref="P18" r:id="rId40" display="https://www.daloopa.com/src/59368558" xr:uid="{60CE3760-5053-41B0-92A9-425291E3ADD0}"/>
    <hyperlink ref="A19" r:id="rId41" xr:uid="{73198A40-7E56-426F-A8A0-975CE77AA772}"/>
    <hyperlink ref="L19" r:id="rId42" display="https://www.daloopa.com/src/58816166" xr:uid="{AC52D097-1065-44AC-B1F4-6A68BABCFB7E}"/>
    <hyperlink ref="M19" r:id="rId43" display="https://www.daloopa.com/src/58816175" xr:uid="{BB7F6C64-028B-42A8-80B0-A71A74B1D963}"/>
    <hyperlink ref="N19" r:id="rId44" display="https://www.daloopa.com/src/58810749" xr:uid="{53A33C06-F758-4B46-A17F-D4C7EF7EC8B7}"/>
    <hyperlink ref="O19" r:id="rId45" display="https://www.daloopa.com/src/58804637" xr:uid="{4E1274EB-363F-4D5C-A151-4C294BE6A80C}"/>
    <hyperlink ref="P19" r:id="rId46" display="https://www.daloopa.com/src/59368564" xr:uid="{0099A337-4781-4E96-BD81-55B32C5CC72F}"/>
    <hyperlink ref="A22" r:id="rId47" xr:uid="{7F3B9F7B-5F43-4922-9DD3-D65FD1518F21}"/>
    <hyperlink ref="L22" r:id="rId48" display="https://www.daloopa.com/src/58816162" xr:uid="{2070BF0C-CA2D-4BFF-B940-67519A379033}"/>
    <hyperlink ref="M22" r:id="rId49" display="https://www.daloopa.com/src/58816173" xr:uid="{D3A69475-B076-4F20-8184-9F44C77E1AB6}"/>
    <hyperlink ref="N22" r:id="rId50" display="https://www.daloopa.com/src/58810745" xr:uid="{8A44D282-FEE8-4B59-BCC3-E3CD5F6E9A23}"/>
    <hyperlink ref="O22" r:id="rId51" display="https://www.daloopa.com/src/58804635" xr:uid="{D8A99B64-BE32-43C1-81AB-A7179C693E2D}"/>
    <hyperlink ref="P22" r:id="rId52" display="https://www.daloopa.com/src/59368557" xr:uid="{3071827D-6819-49F2-80A3-14D5191D721F}"/>
    <hyperlink ref="A23" r:id="rId53" xr:uid="{CE41E3C1-88E4-452D-9437-7AA8466E65D7}"/>
    <hyperlink ref="L23" r:id="rId54" display="https://www.daloopa.com/src/58816167" xr:uid="{B927B846-2362-4ACB-905E-0A3DE9EC8D70}"/>
    <hyperlink ref="M23" r:id="rId55" display="https://www.daloopa.com/src/58816177" xr:uid="{ED1FEC93-0AC5-45B6-93DC-EE493F7F8DA2}"/>
    <hyperlink ref="N23" r:id="rId56" display="https://www.daloopa.com/src/58810750" xr:uid="{D3F5444A-5F83-4CEC-9425-660ED98E7508}"/>
    <hyperlink ref="O23" r:id="rId57" display="https://www.daloopa.com/src/58804638" xr:uid="{73DB10F3-24B9-4E11-B5B0-8F0CD1CC251B}"/>
    <hyperlink ref="P23" r:id="rId58" display="https://www.daloopa.com/src/59368561" xr:uid="{92E3055C-9DB8-4DEA-962B-EAAE85A1EAFF}"/>
    <hyperlink ref="A27" r:id="rId59" xr:uid="{9A876064-2A82-429D-A982-1CD0193949B8}"/>
    <hyperlink ref="J27" r:id="rId60" display="https://www.daloopa.com/src/59066586" xr:uid="{DE9D68E9-C435-4F8F-9695-BE06BBBF2B74}"/>
    <hyperlink ref="N27" r:id="rId61" display="https://www.daloopa.com/src/59066393" xr:uid="{42735474-BD5E-4068-A7DC-69DF17B9E634}"/>
    <hyperlink ref="O27" r:id="rId62" display="https://www.daloopa.com/src/59066388" xr:uid="{61057525-9FFB-482E-9645-7CBE4A74E741}"/>
    <hyperlink ref="P27" r:id="rId63" display="https://www.daloopa.com/src/59374986" xr:uid="{4FE48BDF-0FB7-4F10-A8B7-A3987E00F546}"/>
    <hyperlink ref="A28" r:id="rId64" xr:uid="{BFA8E736-3D73-4388-A99B-D664A1DB127C}"/>
    <hyperlink ref="J28" r:id="rId65" display="https://www.daloopa.com/src/59066587" xr:uid="{00ACF677-92B6-42E1-99D7-ACF55F3CBA02}"/>
    <hyperlink ref="N28" r:id="rId66" display="https://www.daloopa.com/src/59066394" xr:uid="{2A17B2D2-29D4-42FB-8D9E-325CDCE6E2ED}"/>
    <hyperlink ref="O28" r:id="rId67" display="https://www.daloopa.com/src/59066389" xr:uid="{C3186C4A-40BA-49A9-9064-7064DE1D3F12}"/>
    <hyperlink ref="P28" r:id="rId68" display="https://www.daloopa.com/src/59374987" xr:uid="{E420FBE2-0CF9-4A62-80EF-F2FCE6D120E2}"/>
    <hyperlink ref="A29" r:id="rId69" xr:uid="{B27B506D-E442-4362-BC1E-31C3ECFB6F6D}"/>
    <hyperlink ref="J29" r:id="rId70" display="https://www.daloopa.com/src/59067982" xr:uid="{BC60BA8F-EAA2-409C-8BF6-ABC600D6F982}"/>
    <hyperlink ref="L29" r:id="rId71" display="https://www.daloopa.com/src/59066771" xr:uid="{C05F8059-1302-494B-874B-53EE7512EFE2}"/>
    <hyperlink ref="M29" r:id="rId72" display="https://www.daloopa.com/src/59066728" xr:uid="{D0B4D480-E4E1-4FCA-B83A-0287075CAD8E}"/>
    <hyperlink ref="N29" r:id="rId73" display="https://www.daloopa.com/src/59066397" xr:uid="{BA6BB19A-DF78-4E03-950D-4720922BE120}"/>
    <hyperlink ref="O29" r:id="rId74" display="https://www.daloopa.com/src/59066392" xr:uid="{FC9B5112-B1B1-43BE-9F02-F96FA6342A7A}"/>
    <hyperlink ref="P29" r:id="rId75" display="https://www.daloopa.com/src/59374990" xr:uid="{AF9F1912-C668-4D49-BE53-2F7F487BFF00}"/>
    <hyperlink ref="A30" r:id="rId76" xr:uid="{F362D785-B0DD-40AC-88AA-C37925E4077A}"/>
    <hyperlink ref="N30" r:id="rId77" display="https://www.daloopa.com/src/59066395" xr:uid="{88CC44E0-89A6-463C-BB69-AAE47A06459B}"/>
    <hyperlink ref="O30" r:id="rId78" display="https://www.daloopa.com/src/59066390" xr:uid="{28D070AB-FCAE-4AFF-970E-8EB4643ECB5F}"/>
    <hyperlink ref="P30" r:id="rId79" display="https://www.daloopa.com/src/59374988" xr:uid="{D9873F08-22BD-4F62-9118-D5DF04A7217D}"/>
    <hyperlink ref="A31" r:id="rId80" xr:uid="{F9760A76-E1F2-4592-A66C-BBDB60682328}"/>
    <hyperlink ref="N31" r:id="rId81" display="https://www.daloopa.com/src/59066396" xr:uid="{04BC475E-9F89-40E2-B361-B50C4DE5B797}"/>
    <hyperlink ref="O31" r:id="rId82" display="https://www.daloopa.com/src/59066391" xr:uid="{4D1365AE-C2A1-4573-8C2C-773FE7F68076}"/>
    <hyperlink ref="P31" r:id="rId83" display="https://www.daloopa.com/src/59374989" xr:uid="{0D773CCC-DAFC-405D-B221-3E71C62917B8}"/>
    <hyperlink ref="A32" r:id="rId84" xr:uid="{65628561-4C7F-4972-8478-CD2931919AED}"/>
    <hyperlink ref="L32" r:id="rId85" display="https://www.daloopa.com/src/59066769" xr:uid="{8EE9296D-A2DB-4728-B912-37A3A022CEFC}"/>
    <hyperlink ref="M32" r:id="rId86" display="https://www.daloopa.com/src/59066726" xr:uid="{39658C7E-0306-4053-89D2-DFF547A75B95}"/>
    <hyperlink ref="A33" r:id="rId87" xr:uid="{B068C2D4-6B2C-4FCF-BE82-386923454FF7}"/>
    <hyperlink ref="L33" r:id="rId88" display="https://www.daloopa.com/src/59066770" xr:uid="{5C171E67-2E53-4D42-BA1B-39ECBFA1F505}"/>
    <hyperlink ref="M33" r:id="rId89" display="https://www.daloopa.com/src/59066727" xr:uid="{E1446D32-73C7-4654-8680-31E5F36DB167}"/>
    <hyperlink ref="A36" r:id="rId90" xr:uid="{22655E90-7A04-411F-BAE8-F42D2BAA0E69}"/>
    <hyperlink ref="L36" r:id="rId91" display="https://www.daloopa.com/src/59069568" xr:uid="{333D95EF-51F4-449D-A612-83C1AC4C09F8}"/>
    <hyperlink ref="M36" r:id="rId92" display="https://www.daloopa.com/src/59069524" xr:uid="{AF358032-1695-4296-9DAB-BB3E18BB218F}"/>
    <hyperlink ref="N36" r:id="rId93" display="https://www.daloopa.com/src/59068034" xr:uid="{59DADCC5-FAD5-4A62-9271-A126C486B288}"/>
    <hyperlink ref="O36" r:id="rId94" display="https://www.daloopa.com/src/59068024" xr:uid="{954A6377-3806-4DF6-9174-CD2BB6FE1997}"/>
    <hyperlink ref="P36" r:id="rId95" display="https://www.daloopa.com/src/59374991" xr:uid="{5B9AD000-6CB9-478E-AE8A-1AD9A3D4B6A3}"/>
    <hyperlink ref="A37" r:id="rId96" xr:uid="{188CF9AC-1A71-4C0B-9DE1-D4EB24A195E5}"/>
    <hyperlink ref="J37" r:id="rId97" display="https://www.daloopa.com/src/59734138" xr:uid="{9096B31D-93EA-47A6-93BB-D48ACD52C05F}"/>
    <hyperlink ref="L37" r:id="rId98" display="https://www.daloopa.com/src/59069570" xr:uid="{DA388FFF-8F64-4A8F-BC08-906CC3B956AE}"/>
    <hyperlink ref="M37" r:id="rId99" display="https://www.daloopa.com/src/59069520" xr:uid="{CA496903-093F-4AC4-B995-72E9C5CDA5F7}"/>
    <hyperlink ref="N37" r:id="rId100" display="https://www.daloopa.com/src/59068030" xr:uid="{BBDB9FA8-FDF5-4D6D-8352-386117567C97}"/>
    <hyperlink ref="O37" r:id="rId101" display="https://www.daloopa.com/src/59068025" xr:uid="{7A66C193-3A5F-455E-92B9-267D7BD5C13F}"/>
    <hyperlink ref="P37" r:id="rId102" display="https://www.daloopa.com/src/59374992" xr:uid="{7619A53F-BCA4-4129-8F88-2B533B664D6B}"/>
    <hyperlink ref="A38" r:id="rId103" xr:uid="{08DE3F38-647A-447F-B743-550DEAA3ED82}"/>
    <hyperlink ref="L38" r:id="rId104" display="https://www.daloopa.com/src/59069571" xr:uid="{B13F1CE3-D4EC-484A-AC02-3EC8C7979222}"/>
    <hyperlink ref="M38" r:id="rId105" display="https://www.daloopa.com/src/59069521" xr:uid="{B24B6B28-24E2-4C85-8EC8-9AC884CD0DED}"/>
    <hyperlink ref="N38" r:id="rId106" display="https://www.daloopa.com/src/59068031" xr:uid="{57D8A1A3-9FA2-4094-A436-3DAE0FD748F1}"/>
    <hyperlink ref="O38" r:id="rId107" display="https://www.daloopa.com/src/59068026" xr:uid="{808C0E1B-2224-4154-B52F-8FBBA2F4E062}"/>
    <hyperlink ref="P38" r:id="rId108" display="https://www.daloopa.com/src/59374993" xr:uid="{D29044A3-8D55-4A21-BBDC-EE65952B02ED}"/>
    <hyperlink ref="A39" r:id="rId109" xr:uid="{264BA8D6-532D-4B27-8936-76F5FB86D32F}"/>
    <hyperlink ref="J39" r:id="rId110" display="https://www.daloopa.com/src/59734140" xr:uid="{A5323CB9-EA2B-4DC0-909C-4B0B2CC9E96B}"/>
    <hyperlink ref="L39" r:id="rId111" display="https://www.daloopa.com/src/59069569" xr:uid="{F773C139-C67C-40C7-83DF-71F1FB00F733}"/>
    <hyperlink ref="M39" r:id="rId112" display="https://www.daloopa.com/src/59069523" xr:uid="{E8B6009E-46D8-4B7D-9160-41B647081436}"/>
    <hyperlink ref="N39" r:id="rId113" display="https://www.daloopa.com/src/59068032" xr:uid="{60C97BA7-DD27-4729-8EF2-1452F7FA0C6E}"/>
    <hyperlink ref="O39" r:id="rId114" display="https://www.daloopa.com/src/59068028" xr:uid="{D442E173-D03B-444E-9654-4C02A0C07232}"/>
    <hyperlink ref="P39" r:id="rId115" display="https://www.daloopa.com/src/59374995" xr:uid="{D12C1CBC-B48E-4E11-86C2-529A4FACD2C5}"/>
    <hyperlink ref="A40" r:id="rId116" xr:uid="{779AF3DF-E2CB-415F-9A62-8642AC4F5090}"/>
    <hyperlink ref="J40" r:id="rId117" display="https://www.daloopa.com/src/59734139" xr:uid="{AA6AE354-724F-44D8-AD00-3D25A5AC88EF}"/>
    <hyperlink ref="L40" r:id="rId118" display="https://www.daloopa.com/src/59069572" xr:uid="{443E7DCE-CFC6-4D1A-B142-E187C29A2044}"/>
    <hyperlink ref="M40" r:id="rId119" display="https://www.daloopa.com/src/59069522" xr:uid="{829204D6-5F27-43D3-96F3-8E9BB386EF87}"/>
    <hyperlink ref="N40" r:id="rId120" display="https://www.daloopa.com/src/59068033" xr:uid="{A659EF46-0DC5-4C11-9A30-F9B145131C77}"/>
    <hyperlink ref="O40" r:id="rId121" display="https://www.daloopa.com/src/59068027" xr:uid="{03A7F3A7-4330-4451-A6FA-B0228F494F8F}"/>
    <hyperlink ref="P40" r:id="rId122" display="https://www.daloopa.com/src/59374994" xr:uid="{21CCA015-4DDB-4FA2-87F7-ACDBB2145D80}"/>
    <hyperlink ref="A43" r:id="rId123" xr:uid="{0A4B2425-506F-4F9D-B783-BF223E5FAA1B}"/>
    <hyperlink ref="G43" r:id="rId124" display="https://www.daloopa.com/src/59730559" xr:uid="{00A2DE30-F96D-4CC8-B98F-61D51AAA62F5}"/>
    <hyperlink ref="H43" r:id="rId125" display="https://www.daloopa.com/src/59730506" xr:uid="{B34AC6A9-4C55-484F-9DCB-EC1ABF9D7B7A}"/>
    <hyperlink ref="I43" r:id="rId126" display="https://www.daloopa.com/src/59730458" xr:uid="{346960E6-4EC9-4FC0-B011-F1B334D6045B}"/>
    <hyperlink ref="J43" r:id="rId127" display="https://www.daloopa.com/src/59730439" xr:uid="{BF9164C2-2F18-4D81-B1B4-C917CE7045E5}"/>
    <hyperlink ref="K43" r:id="rId128" display="https://www.daloopa.com/src/59730432" xr:uid="{160C064C-C967-4EE8-97F1-BAD939869779}"/>
    <hyperlink ref="L43" r:id="rId129" display="https://www.daloopa.com/src/59071656" xr:uid="{BFB48861-3AB3-420C-89E3-1FB748787D9E}"/>
    <hyperlink ref="M43" r:id="rId130" display="https://www.daloopa.com/src/59071642" xr:uid="{E4A393E3-FBFA-45BB-ABFC-E160B8493F2D}"/>
    <hyperlink ref="N43" r:id="rId131" display="https://www.daloopa.com/src/59071556" xr:uid="{50D9D55D-38BA-4586-93EB-D71200B8295C}"/>
    <hyperlink ref="O43" r:id="rId132" display="https://www.daloopa.com/src/59071494" xr:uid="{D40B2A8B-EE7A-495E-9779-41EB0B16D861}"/>
    <hyperlink ref="P43" r:id="rId133" display="https://www.daloopa.com/src/59375022" xr:uid="{638FF271-F1CC-4892-859A-99D1166EBF32}"/>
    <hyperlink ref="R43" r:id="rId134" display="https://www.daloopa.com/src/59730562" xr:uid="{939F13F6-E4BD-44D0-A039-EEF476A93FD6}"/>
    <hyperlink ref="T43" r:id="rId135" display="https://www.daloopa.com/src/59071652" xr:uid="{57B7F999-F75E-4F95-8FF9-75A4CC5D4AFF}"/>
    <hyperlink ref="A44" r:id="rId136" xr:uid="{7E83723A-0B18-4D42-9984-969371E53848}"/>
    <hyperlink ref="L44" r:id="rId137" display="https://www.daloopa.com/src/59071657" xr:uid="{9AFDF957-CB89-4E4A-BEE2-EB37B15157C1}"/>
    <hyperlink ref="M44" r:id="rId138" display="https://www.daloopa.com/src/59071643" xr:uid="{B5DCDF5E-55D5-4CFF-8858-51B4BBC9D085}"/>
    <hyperlink ref="N44" r:id="rId139" display="https://www.daloopa.com/src/59071557" xr:uid="{7F67A307-E020-4244-8062-C238A22CC225}"/>
    <hyperlink ref="O44" r:id="rId140" display="https://www.daloopa.com/src/59071495" xr:uid="{CADD7924-BBC1-449D-A1F3-0F66CC0E67C3}"/>
    <hyperlink ref="P44" r:id="rId141" display="https://www.daloopa.com/src/59375023" xr:uid="{049BD90B-D600-48F9-90D2-0C9EEBA36CF6}"/>
    <hyperlink ref="T44" r:id="rId142" display="https://www.daloopa.com/src/59071653" xr:uid="{260914BA-F3EB-4D44-8916-F4A831F0E505}"/>
    <hyperlink ref="A45" r:id="rId143" xr:uid="{C4DDDF4D-327B-4384-A494-8CBBB1F20EA3}"/>
    <hyperlink ref="O45" r:id="rId144" display="https://www.daloopa.com/src/59071496" xr:uid="{06E216C5-2513-4151-8A01-3DDEE016C313}"/>
    <hyperlink ref="P45" r:id="rId145" display="https://www.daloopa.com/src/59375024" xr:uid="{1F51F048-736E-4D8D-AB16-8E85700C5F84}"/>
    <hyperlink ref="A46" r:id="rId146" xr:uid="{3E473915-FD36-49E0-AE1C-587E8578A73B}"/>
    <hyperlink ref="K46" r:id="rId147" display="https://www.daloopa.com/src/59751932" xr:uid="{539B586D-E131-4431-8B97-1A8D82181A0B}"/>
    <hyperlink ref="L46" r:id="rId148" display="https://www.daloopa.com/src/59071658" xr:uid="{C59821FE-E24A-4870-B58D-6AA8815370E3}"/>
    <hyperlink ref="M46" r:id="rId149" display="https://www.daloopa.com/src/59071644" xr:uid="{D42F4659-3A20-4624-B0B1-740D55BCA224}"/>
    <hyperlink ref="N46" r:id="rId150" display="https://www.daloopa.com/src/59071655" xr:uid="{8FEC173E-A42C-465E-AC83-F2D142BA8310}"/>
    <hyperlink ref="T46" r:id="rId151" display="https://www.daloopa.com/src/59071654" xr:uid="{A5D90C99-D7F8-49C7-87C8-667D31EF3871}"/>
    <hyperlink ref="A49" r:id="rId152" xr:uid="{69A12C7B-4D9A-4117-BE6A-DEED9795637B}"/>
    <hyperlink ref="O49" r:id="rId153" display="https://www.daloopa.com/src/59073101" xr:uid="{8A8E3694-50A3-45CB-A78B-635A824F1DCF}"/>
    <hyperlink ref="P49" r:id="rId154" display="https://www.daloopa.com/src/59375039" xr:uid="{F5D76365-CF49-4ADE-9B23-AFBE433AC75C}"/>
    <hyperlink ref="A50" r:id="rId155" xr:uid="{E1FD3737-C71A-4718-A475-9A8E14427512}"/>
    <hyperlink ref="O50" r:id="rId156" display="https://www.daloopa.com/src/59073102" xr:uid="{B922BB95-8F94-4391-8C28-5A72566A4F8C}"/>
    <hyperlink ref="P50" r:id="rId157" display="https://www.daloopa.com/src/59375040" xr:uid="{AAE0A703-1CB9-45A1-8047-7BC0415FD97C}"/>
    <hyperlink ref="A51" r:id="rId158" xr:uid="{6D2F15AC-37F1-4ACA-A0BE-85E7DCE4A697}"/>
    <hyperlink ref="O51" r:id="rId159" display="https://www.daloopa.com/src/59073103" xr:uid="{12E4FE75-56D9-4CCD-918F-0CFF1704610E}"/>
    <hyperlink ref="P51" r:id="rId160" display="https://www.daloopa.com/src/59375041" xr:uid="{FBDD70E3-94E5-42EA-915B-0363E7047506}"/>
    <hyperlink ref="A54" r:id="rId161" xr:uid="{1A3C4E6A-9EE2-4055-A8A2-CA3745445B8D}"/>
    <hyperlink ref="K54" r:id="rId162" display="https://www.daloopa.com/src/59084281" xr:uid="{CDBA0DD8-4467-4AC1-BCCD-A5A9F7F13E39}"/>
    <hyperlink ref="L54" r:id="rId163" display="https://www.daloopa.com/src/59083036" xr:uid="{A1E1F59B-3FBD-4157-A3D8-1A7DACDF991A}"/>
    <hyperlink ref="M54" r:id="rId164" display="https://www.daloopa.com/src/59080199" xr:uid="{B59087D4-3E2F-4CE7-84C4-4205F1410C05}"/>
    <hyperlink ref="N54" r:id="rId165" display="https://www.daloopa.com/src/59379435" xr:uid="{D56908FF-0CB0-4A84-A282-FE825160BF35}"/>
    <hyperlink ref="O54" r:id="rId166" display="https://www.daloopa.com/src/59080109" xr:uid="{98188E34-CC2A-4087-A564-32FDFD9BBAD0}"/>
    <hyperlink ref="P54" r:id="rId167" display="https://www.daloopa.com/src/59373925" xr:uid="{99C4A4B6-C905-4DD5-820C-0E199694F1FB}"/>
    <hyperlink ref="S54" r:id="rId168" display="https://www.daloopa.com/src/59084120" xr:uid="{3C61A54C-0DE0-429E-A4DD-3E70FC50FA85}"/>
    <hyperlink ref="T54" r:id="rId169" display="https://www.daloopa.com/src/59083063" xr:uid="{0013B829-0806-42BB-AA73-9729A6BB4BD8}"/>
    <hyperlink ref="A55" r:id="rId170" xr:uid="{95F37DE9-AE4A-4348-87C6-3B6F95D4711B}"/>
    <hyperlink ref="O55" r:id="rId171" display="https://www.daloopa.com/src/59080110" xr:uid="{CF20B4BA-1FA4-4D7A-BFE5-AD2E308D2028}"/>
    <hyperlink ref="P55" r:id="rId172" display="https://www.daloopa.com/src/59373924" xr:uid="{B4F84E7A-A8F8-445A-A8BB-950D4FC100A2}"/>
    <hyperlink ref="A56" r:id="rId173" xr:uid="{5DF717D0-390B-4EBA-B976-A204BB483686}"/>
    <hyperlink ref="K56" r:id="rId174" display="https://www.daloopa.com/src/59084280" xr:uid="{99AAE06B-818F-4BB3-9861-CF0CA4D2D17A}"/>
    <hyperlink ref="L56" r:id="rId175" display="https://www.daloopa.com/src/59083035" xr:uid="{7C55B09B-A26D-438C-8926-71F86A2BD9EC}"/>
    <hyperlink ref="M56" r:id="rId176" display="https://www.daloopa.com/src/59080200" xr:uid="{8C56C6AA-A4B2-4815-B5C2-46F04F4340AB}"/>
    <hyperlink ref="N56" r:id="rId177" display="https://www.daloopa.com/src/59379436" xr:uid="{BD44A659-701C-4A00-95AB-59147474814E}"/>
    <hyperlink ref="O56" r:id="rId178" display="https://www.daloopa.com/src/59080108" xr:uid="{8F10E79F-A2CB-4624-9E18-FFD632F8F2F1}"/>
    <hyperlink ref="P56" r:id="rId179" display="https://www.daloopa.com/src/59373926" xr:uid="{D0856C36-77F4-45F3-B5B4-4A09F9A6AEA8}"/>
    <hyperlink ref="S56" r:id="rId180" display="https://www.daloopa.com/src/59084119" xr:uid="{D58CDBC9-F8AB-43DC-8D49-C5D9DA98E21B}"/>
    <hyperlink ref="T56" r:id="rId181" display="https://www.daloopa.com/src/59083061" xr:uid="{6A1F87A9-8B0E-4872-9FCA-B46C2F39AC6F}"/>
    <hyperlink ref="A57" r:id="rId182" xr:uid="{173707F4-3706-4BE6-AE70-FCBB2E835A17}"/>
    <hyperlink ref="L57" r:id="rId183" display="https://www.daloopa.com/src/59083034" xr:uid="{850CE48D-E498-469E-9962-3C4B65794576}"/>
    <hyperlink ref="T57" r:id="rId184" display="https://www.daloopa.com/src/59083062" xr:uid="{6AFC51A1-4B3D-404C-835A-9C9939759E93}"/>
    <hyperlink ref="A58" r:id="rId185" xr:uid="{DF5DAB92-76A8-4C7E-B2B3-DF8C798447DA}"/>
    <hyperlink ref="M58" r:id="rId186" display="https://www.daloopa.com/src/59080201" xr:uid="{778FC968-5C01-4581-B4DD-71C062CF8602}"/>
    <hyperlink ref="A62" r:id="rId187" xr:uid="{D8D50E85-C4E1-4A33-B2F8-9FF064EB3DA8}"/>
    <hyperlink ref="O62" r:id="rId188" display="https://www.daloopa.com/src/58946059" xr:uid="{C347EF21-6ED0-4E61-A368-7B12EFFCC29A}"/>
    <hyperlink ref="P62" r:id="rId189" display="https://www.daloopa.com/src/59371408" xr:uid="{D292179F-E83D-4623-9693-602C388B8FAB}"/>
    <hyperlink ref="A63" r:id="rId190" xr:uid="{794A23B7-5478-40D3-94A3-C7DFC5B2330B}"/>
    <hyperlink ref="O63" r:id="rId191" display="https://www.daloopa.com/src/58946058" xr:uid="{BA215A38-F419-4B4E-93C8-24FBB105ADEB}"/>
    <hyperlink ref="P63" r:id="rId192" display="https://www.daloopa.com/src/59371407" xr:uid="{46101FA6-11D6-4091-8961-5B56E5068055}"/>
    <hyperlink ref="A64" r:id="rId193" xr:uid="{A33707DF-1044-497A-AD16-86EAFF99D174}"/>
    <hyperlink ref="O64" r:id="rId194" display="https://www.daloopa.com/src/58946057" xr:uid="{A55F29E8-5BA9-45D6-A22C-253EB937272D}"/>
    <hyperlink ref="P64" r:id="rId195" display="https://www.daloopa.com/src/59371406" xr:uid="{38138888-D7F9-4B69-A88C-E412DCD91EEB}"/>
    <hyperlink ref="A67" r:id="rId196" xr:uid="{621F6E4C-B1D7-4C7C-8E13-4F3B73146FD7}"/>
    <hyperlink ref="O67" r:id="rId197" display="https://www.daloopa.com/src/58977061" xr:uid="{160CC7A1-816F-4AC8-92D8-70F8B5A096A7}"/>
    <hyperlink ref="P67" r:id="rId198" display="https://www.daloopa.com/src/59373410" xr:uid="{5B4FBA74-467E-44C2-81E6-FD75B6A31EFF}"/>
    <hyperlink ref="A68" r:id="rId199" xr:uid="{F912D0ED-ADB1-4E81-8A05-1078311AE77C}"/>
    <hyperlink ref="O68" r:id="rId200" display="https://www.daloopa.com/src/58977059" xr:uid="{A6384A5C-FC11-4B24-AB31-D05B8AA4F51D}"/>
    <hyperlink ref="P68" r:id="rId201" display="https://www.daloopa.com/src/59373411" xr:uid="{CF0D93D8-249D-4558-855A-4B7D97305478}"/>
    <hyperlink ref="A69" r:id="rId202" xr:uid="{36233C2B-63C5-44F9-B386-806BA9A11FA1}"/>
    <hyperlink ref="O69" r:id="rId203" display="https://www.daloopa.com/src/58977060" xr:uid="{BC3052E1-E671-4968-8753-8970070468B7}"/>
    <hyperlink ref="P69" r:id="rId204" display="https://www.daloopa.com/src/59373412" xr:uid="{D300081D-8115-488D-8AF3-8D19D289E736}"/>
    <hyperlink ref="A73" r:id="rId205" xr:uid="{F89180CF-626F-43DD-B727-77EE4719204F}"/>
    <hyperlink ref="K73" r:id="rId206" display="https://www.daloopa.com/src/58947614" xr:uid="{4F789307-7754-41C8-9D33-EB5EF8F7E70E}"/>
    <hyperlink ref="O73" r:id="rId207" display="https://www.daloopa.com/src/58946697" xr:uid="{C5099EF6-05EC-459E-BEF9-35CD08C440EB}"/>
    <hyperlink ref="P73" r:id="rId208" display="https://www.daloopa.com/src/59372934" xr:uid="{7299ACF8-44E2-4143-81C6-1489549CBDDE}"/>
    <hyperlink ref="R73" r:id="rId209" display="https://www.daloopa.com/src/58947570" xr:uid="{87CFA940-7FB8-4E83-9334-ABDBDD66219A}"/>
    <hyperlink ref="S73" r:id="rId210" display="https://www.daloopa.com/src/58947528" xr:uid="{80D7E112-2482-4437-8854-67E2863BB525}"/>
    <hyperlink ref="T73" r:id="rId211" display="https://www.daloopa.com/src/58947477" xr:uid="{5A1B7B69-DADF-4CA2-ADFA-8126F22E21A7}"/>
    <hyperlink ref="A74" r:id="rId212" xr:uid="{D15480D5-49A0-42EB-A1AD-E95D8A94D9B9}"/>
    <hyperlink ref="H74" r:id="rId213" display="https://www.daloopa.com/src/58947589" xr:uid="{2D1493DE-12B6-4A2B-A674-3BD8C3D8C319}"/>
    <hyperlink ref="I74" r:id="rId214" display="https://www.daloopa.com/src/58947520" xr:uid="{9318CB00-A012-41AE-A7E7-AC9667B0E294}"/>
    <hyperlink ref="L74" r:id="rId215" display="https://www.daloopa.com/src/58947585" xr:uid="{CCD766F8-8CCF-4087-AA76-0D8A522003AA}"/>
    <hyperlink ref="M74" r:id="rId216" display="https://www.daloopa.com/src/58947488" xr:uid="{9E83C894-CAC2-4A90-B339-2A2B8F57EFBD}"/>
    <hyperlink ref="A75" r:id="rId217" xr:uid="{ED22924D-FBAE-47B1-8CB6-EFCFDB17D512}"/>
    <hyperlink ref="H75" r:id="rId218" display="https://www.daloopa.com/src/58947590" xr:uid="{AD4D7A10-6330-46DA-B539-BEBD0D556806}"/>
    <hyperlink ref="I75" r:id="rId219" display="https://www.daloopa.com/src/58947523" xr:uid="{27B436C8-E6F6-4D9C-BFAA-D393604E946F}"/>
    <hyperlink ref="K75" r:id="rId220" display="https://www.daloopa.com/src/58947615" xr:uid="{AF728F88-9480-4D71-B939-088F40AA5664}"/>
    <hyperlink ref="L75" r:id="rId221" display="https://www.daloopa.com/src/58947586" xr:uid="{59C29833-352A-455D-ACCE-75AA341804CA}"/>
    <hyperlink ref="M75" r:id="rId222" display="https://www.daloopa.com/src/58947489" xr:uid="{4AB04E0F-C43B-48E3-948D-B30AAB0159E2}"/>
    <hyperlink ref="N75" r:id="rId223" display="https://www.daloopa.com/src/59379438" xr:uid="{785F4B45-8708-4747-8A3B-EFECE655C70F}"/>
    <hyperlink ref="O75" r:id="rId224" display="https://www.daloopa.com/src/58946696" xr:uid="{2B16A206-52BA-4075-91CA-0D7157AD15AE}"/>
    <hyperlink ref="P75" r:id="rId225" display="https://www.daloopa.com/src/59372936" xr:uid="{984886C2-1F31-47EA-BD20-7131B5E1F284}"/>
    <hyperlink ref="R75" r:id="rId226" display="https://www.daloopa.com/src/58947568" xr:uid="{1835253F-2977-4B00-84D1-EA1A7059601E}"/>
    <hyperlink ref="S75" r:id="rId227" display="https://www.daloopa.com/src/58947529" xr:uid="{BBA7F804-74D0-47FF-9C06-12B8B17119CF}"/>
    <hyperlink ref="T75" r:id="rId228" display="https://www.daloopa.com/src/58947474" xr:uid="{6016102B-5678-470E-9DBB-EDE81994D26C}"/>
    <hyperlink ref="A76" r:id="rId229" xr:uid="{699822A9-DB6C-4627-B90E-EBBD1F981502}"/>
    <hyperlink ref="H76" r:id="rId230" display="https://www.daloopa.com/src/58947591" xr:uid="{FD4E73B1-F93F-4E68-8423-7BC70222ED42}"/>
    <hyperlink ref="I76" r:id="rId231" display="https://www.daloopa.com/src/58947522" xr:uid="{939231A7-5B7E-412D-9800-6C44E8B143B4}"/>
    <hyperlink ref="K76" r:id="rId232" display="https://www.daloopa.com/src/58947616" xr:uid="{F04ADB81-1321-4CB2-B6C3-B352345EE4F3}"/>
    <hyperlink ref="L76" r:id="rId233" display="https://www.daloopa.com/src/58947587" xr:uid="{CC25AD7E-3C66-4E96-B187-B42B4A1E797E}"/>
    <hyperlink ref="M76" r:id="rId234" display="https://www.daloopa.com/src/58947490" xr:uid="{C994C775-E3B0-4AF9-804D-8B50A76A07B9}"/>
    <hyperlink ref="N76" r:id="rId235" display="https://www.daloopa.com/src/59379439" xr:uid="{09972162-4AD7-47FA-AC78-2CF6DA66EF8B}"/>
    <hyperlink ref="O76" r:id="rId236" display="https://www.daloopa.com/src/58946695" xr:uid="{16927238-1CB8-43D0-9FE0-DFE0757FC274}"/>
    <hyperlink ref="P76" r:id="rId237" display="https://www.daloopa.com/src/59372937" xr:uid="{F2B093DB-CC66-4CE1-B41B-7169BCEE5C96}"/>
    <hyperlink ref="R76" r:id="rId238" display="https://www.daloopa.com/src/58947571" xr:uid="{25D23201-DC31-4529-9252-06F7421C1CC0}"/>
    <hyperlink ref="S76" r:id="rId239" display="https://www.daloopa.com/src/58947531" xr:uid="{038C4662-35D8-4514-B6ED-C6133A1600C7}"/>
    <hyperlink ref="T76" r:id="rId240" display="https://www.daloopa.com/src/58947476" xr:uid="{54D56FC3-FA7E-4490-AA5E-6F857E44674A}"/>
    <hyperlink ref="A77" r:id="rId241" xr:uid="{6F7D14C5-1B57-4C66-87BF-6BB2A0CBFF11}"/>
    <hyperlink ref="H77" r:id="rId242" display="https://www.daloopa.com/src/58947592" xr:uid="{ECE8B227-E17C-4ABE-80ED-90476CC4E15A}"/>
    <hyperlink ref="I77" r:id="rId243" display="https://www.daloopa.com/src/58947521" xr:uid="{32AEA52A-6165-4A3F-AE8B-FD61F99C0A49}"/>
    <hyperlink ref="K77" r:id="rId244" display="https://www.daloopa.com/src/58947613" xr:uid="{EDC65C90-BBE4-497B-B62A-A0712208BA14}"/>
    <hyperlink ref="L77" r:id="rId245" display="https://www.daloopa.com/src/58947588" xr:uid="{DE747207-E27B-480C-835F-666A61A5BBD4}"/>
    <hyperlink ref="M77" r:id="rId246" display="https://www.daloopa.com/src/58947491" xr:uid="{AC8F9EF1-C489-46C5-9E68-29A67DBC2A44}"/>
    <hyperlink ref="N77" r:id="rId247" display="https://www.daloopa.com/src/59379440" xr:uid="{0050B413-56B3-4257-AECC-9D7AEBC6CC44}"/>
    <hyperlink ref="O77" r:id="rId248" display="https://www.daloopa.com/src/58946694" xr:uid="{19A9277C-5B3C-4B4D-AF2F-B4C7F3DDCBB5}"/>
    <hyperlink ref="P77" r:id="rId249" display="https://www.daloopa.com/src/59372935" xr:uid="{738F2B24-9BA5-4895-BC37-6123048597FE}"/>
    <hyperlink ref="R77" r:id="rId250" display="https://www.daloopa.com/src/58947569" xr:uid="{34A91488-8645-43DA-98EC-529E86DCDB57}"/>
    <hyperlink ref="S77" r:id="rId251" display="https://www.daloopa.com/src/58947530" xr:uid="{DE4CD3E1-C470-4BF9-93DB-8E2C16958B9E}"/>
    <hyperlink ref="T77" r:id="rId252" display="https://www.daloopa.com/src/58947475" xr:uid="{0198F063-4184-41AB-B409-773149D43065}"/>
    <hyperlink ref="A80" r:id="rId253" xr:uid="{3C34E37D-31A8-44E9-9B89-E617C0CAF23D}"/>
    <hyperlink ref="G80" r:id="rId254" display="https://www.daloopa.com/src/59706386" xr:uid="{4DFB34DC-7FF2-4F5A-9FA3-4A6B5AC19A7A}"/>
    <hyperlink ref="A81" r:id="rId255" xr:uid="{96242496-4C78-4B85-9428-9CF18DB263C3}"/>
    <hyperlink ref="G81" r:id="rId256" display="https://www.daloopa.com/src/59706385" xr:uid="{82F81084-CAF8-4B07-9C38-EC17E9645220}"/>
    <hyperlink ref="A82" r:id="rId257" xr:uid="{9679A0EA-F53E-492F-BDF7-5546311413A2}"/>
    <hyperlink ref="G82" r:id="rId258" display="https://www.daloopa.com/src/59706383" xr:uid="{190C5124-114C-4D99-8A83-D7836E998A69}"/>
    <hyperlink ref="A83" r:id="rId259" xr:uid="{B7BE2DA4-2201-4584-885C-416967E4A76C}"/>
    <hyperlink ref="G83" r:id="rId260" display="https://www.daloopa.com/src/59706384" xr:uid="{0BE213FF-973F-4B7A-A8E9-BDCB5135360F}"/>
    <hyperlink ref="A86" r:id="rId261" xr:uid="{5477405B-E164-436A-958E-A3B946F55EFF}"/>
    <hyperlink ref="F86" r:id="rId262" display="https://www.daloopa.com/src/58976354" xr:uid="{25449364-E9EA-44B1-B66A-B9854826EBC1}"/>
    <hyperlink ref="J86" r:id="rId263" display="https://www.daloopa.com/src/58976229" xr:uid="{ACCC5B3F-2774-4185-AB3F-757FBA5BBE76}"/>
    <hyperlink ref="N86" r:id="rId264" display="https://www.daloopa.com/src/58976225" xr:uid="{5FBBBD16-E491-4A75-94D3-48AADB6D3AE2}"/>
    <hyperlink ref="O86" r:id="rId265" display="https://www.daloopa.com/src/58975968" xr:uid="{ABE703E5-B597-4CCC-8AEF-5AF8AAE81A64}"/>
    <hyperlink ref="P86" r:id="rId266" display="https://www.daloopa.com/src/59372940" xr:uid="{13241268-9879-4DC4-8F9C-9978EFFD69DD}"/>
    <hyperlink ref="A87" r:id="rId267" xr:uid="{211CB146-B3DA-489D-BA4C-6F49F0370C59}"/>
    <hyperlink ref="F87" r:id="rId268" display="https://www.daloopa.com/src/58976352" xr:uid="{629FB3BE-5B25-44DC-86C4-18F316096A81}"/>
    <hyperlink ref="J87" r:id="rId269" display="https://www.daloopa.com/src/58976227" xr:uid="{AF589EA5-A203-4E60-9A65-FD5C3A6CD8B9}"/>
    <hyperlink ref="N87" r:id="rId270" display="https://www.daloopa.com/src/58976226" xr:uid="{F54128A8-09D3-4199-A9E2-411FA349AF67}"/>
    <hyperlink ref="O87" r:id="rId271" display="https://www.daloopa.com/src/58975969" xr:uid="{F8C4E0D6-D83B-489F-8FDA-B839B4E2CC6A}"/>
    <hyperlink ref="P87" r:id="rId272" display="https://www.daloopa.com/src/59372938" xr:uid="{1DD432D6-215A-41DE-8ED9-CBE9FF06B52B}"/>
    <hyperlink ref="A88" r:id="rId273" xr:uid="{3ABACCDE-AF83-491C-8D52-56E342BBD3BE}"/>
    <hyperlink ref="F88" r:id="rId274" display="https://www.daloopa.com/src/58976353" xr:uid="{1B2E6C6B-EEBD-4A8F-968A-8F44CE342BD4}"/>
    <hyperlink ref="J88" r:id="rId275" display="https://www.daloopa.com/src/58976228" xr:uid="{73F1E04D-C6C8-47C3-A3F4-367E081DF49B}"/>
    <hyperlink ref="N88" r:id="rId276" display="https://www.daloopa.com/src/58976224" xr:uid="{797DE089-1F93-456A-9707-5A3F0278FBE3}"/>
    <hyperlink ref="O88" r:id="rId277" display="https://www.daloopa.com/src/58975967" xr:uid="{85C3D6D7-417D-4D69-AB34-4126A938DCF6}"/>
    <hyperlink ref="P88" r:id="rId278" display="https://www.daloopa.com/src/59372939" xr:uid="{094A7B03-4357-4BFB-BE1B-C9F94F95958A}"/>
    <hyperlink ref="A91" r:id="rId279" xr:uid="{ACD630A5-129D-4EFB-9D42-CFD286B2483C}"/>
    <hyperlink ref="C91" r:id="rId280" display="https://www.daloopa.com/src/58882224" xr:uid="{31AEFEEC-DCBB-4AF5-B287-9CE6D297BB81}"/>
    <hyperlink ref="D91" r:id="rId281" display="https://www.daloopa.com/src/58882146" xr:uid="{6B3DE600-8728-4481-88DF-BE8478EB7459}"/>
    <hyperlink ref="E91" r:id="rId282" display="https://www.daloopa.com/src/58881410" xr:uid="{FDF6CFC9-A138-4CED-9C7D-7C9316DF030F}"/>
    <hyperlink ref="F91" r:id="rId283" display="https://www.daloopa.com/src/58881386" xr:uid="{8F92D93C-F133-42B5-AAD9-F3C81BC18083}"/>
    <hyperlink ref="G91" r:id="rId284" display="https://www.daloopa.com/src/59581275" xr:uid="{72512120-05A8-4260-86FF-52C8C9B81555}"/>
    <hyperlink ref="H91" r:id="rId285" display="https://www.daloopa.com/src/58873637" xr:uid="{93471E40-94D6-458A-BC8F-70A1C1B61047}"/>
    <hyperlink ref="I91" r:id="rId286" display="https://www.daloopa.com/src/58873667" xr:uid="{607ED564-C9F3-4C9E-B42A-858AFBE8FA08}"/>
    <hyperlink ref="J91" r:id="rId287" display="https://www.daloopa.com/src/58873697" xr:uid="{7AA9A2E7-AD34-4082-BB25-72F2C17A5634}"/>
    <hyperlink ref="K91" r:id="rId288" display="https://www.daloopa.com/src/58864805" xr:uid="{43DF64E1-9C89-4658-8265-384B22423D09}"/>
    <hyperlink ref="L91" r:id="rId289" display="https://www.daloopa.com/src/58815456" xr:uid="{EAE66812-7F98-4A8C-8412-029DE3CD5716}"/>
    <hyperlink ref="M91" r:id="rId290" display="https://www.daloopa.com/src/58815136" xr:uid="{5FBEAAA0-CA7E-4A46-A8C1-2F8E65387E73}"/>
    <hyperlink ref="N91" r:id="rId291" display="https://www.daloopa.com/src/58804872" xr:uid="{704B49D7-4CF6-4C60-B73A-D0597350A062}"/>
    <hyperlink ref="O91" r:id="rId292" display="https://www.daloopa.com/src/58800398" xr:uid="{0BE6181F-CAF5-4F02-9365-3FC10C1C8D81}"/>
    <hyperlink ref="P91" r:id="rId293" display="https://www.daloopa.com/src/59368455" xr:uid="{6872901F-E321-4DC2-9EEF-796019ECBC9F}"/>
    <hyperlink ref="R91" r:id="rId294" display="https://www.daloopa.com/src/58881598" xr:uid="{8E1FCAB4-1ED3-4EC1-A2CB-DA5551B3BB2A}"/>
    <hyperlink ref="S91" r:id="rId295" display="https://www.daloopa.com/src/58881253" xr:uid="{71B367B7-B883-4F49-B72A-547A6BB1A691}"/>
    <hyperlink ref="T91" r:id="rId296" display="https://www.daloopa.com/src/58815172" xr:uid="{18DADDB2-59D9-4F18-9B17-95C9B1D81791}"/>
    <hyperlink ref="A93" r:id="rId297" xr:uid="{835135EA-10B3-4BCB-A63F-BB7717D8810D}"/>
    <hyperlink ref="G93" r:id="rId298" display="https://www.daloopa.com/src/59581276" xr:uid="{88867ECF-FD78-4ADB-9CCF-BF2F18EC9DD6}"/>
    <hyperlink ref="H93" r:id="rId299" display="https://www.daloopa.com/src/58873627" xr:uid="{4E3DF608-5773-404A-AEA5-A0762D7F9C29}"/>
    <hyperlink ref="I93" r:id="rId300" display="https://www.daloopa.com/src/58873651" xr:uid="{225F118B-117A-49F7-8416-2200B7CD5854}"/>
    <hyperlink ref="J93" r:id="rId301" display="https://www.daloopa.com/src/58873698" xr:uid="{AAF67CD9-7B1D-483A-8BBB-8F61AC2FBEFF}"/>
    <hyperlink ref="K93" r:id="rId302" display="https://www.daloopa.com/src/58864791" xr:uid="{AB0CF66D-B343-4D3F-A84D-421958B25B6A}"/>
    <hyperlink ref="L93" r:id="rId303" display="https://www.daloopa.com/src/58815462" xr:uid="{B8BEA353-74E4-4FB7-B9F9-1C65EBFBA8FC}"/>
    <hyperlink ref="M93" r:id="rId304" display="https://www.daloopa.com/src/58815135" xr:uid="{5511CFE6-C2AD-4E24-B145-308D99862305}"/>
    <hyperlink ref="N93" r:id="rId305" display="https://www.daloopa.com/src/58804871" xr:uid="{A5B1AEEF-9BD0-4F93-A5C7-4726D28177D5}"/>
    <hyperlink ref="O93" r:id="rId306" display="https://www.daloopa.com/src/58800413" xr:uid="{2DD396D6-7978-4E48-B8DE-E3E830D91C98}"/>
    <hyperlink ref="P93" r:id="rId307" display="https://www.daloopa.com/src/59368457" xr:uid="{D0EB2B12-ECCC-4EB0-BF34-4D943268D341}"/>
    <hyperlink ref="R93" r:id="rId308" display="https://www.daloopa.com/src/58881604" xr:uid="{A4A5FE30-FE10-411D-B02F-9DD60A56F55D}"/>
    <hyperlink ref="S93" r:id="rId309" display="https://www.daloopa.com/src/58881254" xr:uid="{31F1B7BF-6F51-4976-B423-1594EDFF8F5F}"/>
    <hyperlink ref="T93" r:id="rId310" display="https://www.daloopa.com/src/58815187" xr:uid="{779C3C95-398E-42A8-8E0C-4DB5BDC62971}"/>
    <hyperlink ref="A94" r:id="rId311" xr:uid="{4698A2D4-8128-411B-8FAE-2EF2EC8301C3}"/>
    <hyperlink ref="G94" r:id="rId312" display="https://www.daloopa.com/src/59581266" xr:uid="{134B7202-D636-44F4-9EFC-1433F62641CA}"/>
    <hyperlink ref="H94" r:id="rId313" display="https://www.daloopa.com/src/58873629" xr:uid="{E46085F7-A9C8-453F-B583-ABD2E98CD03F}"/>
    <hyperlink ref="I94" r:id="rId314" display="https://www.daloopa.com/src/58873658" xr:uid="{769F64FB-75BA-491E-B070-E83077577DF2}"/>
    <hyperlink ref="J94" r:id="rId315" display="https://www.daloopa.com/src/58873701" xr:uid="{9DA4F191-2FB8-4257-9F15-ECF19CA30A51}"/>
    <hyperlink ref="K94" r:id="rId316" display="https://www.daloopa.com/src/58864793" xr:uid="{83E13E51-1A44-4BA3-8AED-01B911E57739}"/>
    <hyperlink ref="L94" r:id="rId317" display="https://www.daloopa.com/src/58815461" xr:uid="{31563D48-D402-40A4-A173-3044A268FE1F}"/>
    <hyperlink ref="M94" r:id="rId318" display="https://www.daloopa.com/src/58815134" xr:uid="{8414A368-82C2-44C2-94D2-7AA6AF4345E4}"/>
    <hyperlink ref="N94" r:id="rId319" display="https://www.daloopa.com/src/58804870" xr:uid="{49327E06-99B4-4749-8AB9-A5346C908F00}"/>
    <hyperlink ref="O94" r:id="rId320" display="https://www.daloopa.com/src/58800412" xr:uid="{2514187F-8ED8-49EE-8736-01842110A00C}"/>
    <hyperlink ref="P94" r:id="rId321" display="https://www.daloopa.com/src/59368452" xr:uid="{FA4D0E60-0485-4200-8247-EBFEE2CD2318}"/>
    <hyperlink ref="R94" r:id="rId322" display="https://www.daloopa.com/src/58881601" xr:uid="{2BFD87C2-F735-469E-816F-94EC92CBC24B}"/>
    <hyperlink ref="S94" r:id="rId323" display="https://www.daloopa.com/src/58881261" xr:uid="{759526FC-B0BE-476F-A47F-A7C3480DD117}"/>
    <hyperlink ref="T94" r:id="rId324" display="https://www.daloopa.com/src/58815175" xr:uid="{125B7D51-B6FB-4945-9EFC-572F6091876B}"/>
    <hyperlink ref="A95" r:id="rId325" xr:uid="{BC4BA51B-8617-4DAC-B1A0-1A68F569F1C7}"/>
    <hyperlink ref="G95" r:id="rId326" display="https://www.daloopa.com/src/59581280" xr:uid="{D469918D-1613-4D35-B61B-0BE01F77C41F}"/>
    <hyperlink ref="H95" r:id="rId327" display="https://www.daloopa.com/src/58873625" xr:uid="{64FDC5AA-7C36-4A34-98EA-A0DFF56F282A}"/>
    <hyperlink ref="I95" r:id="rId328" display="https://www.daloopa.com/src/58873650" xr:uid="{467570D7-427F-4007-A96F-F366E1B86496}"/>
    <hyperlink ref="J95" r:id="rId329" display="https://www.daloopa.com/src/58873696" xr:uid="{9EFE4F03-C85F-453A-8E17-57F856337826}"/>
    <hyperlink ref="K95" r:id="rId330" display="https://www.daloopa.com/src/58864794" xr:uid="{59C1D75C-652E-457D-BBF4-D3230CF2832A}"/>
    <hyperlink ref="L95" r:id="rId331" display="https://www.daloopa.com/src/58815460" xr:uid="{41409B68-294A-49E0-8D4A-74DC3C901266}"/>
    <hyperlink ref="M95" r:id="rId332" display="https://www.daloopa.com/src/58815149" xr:uid="{E50EAD5A-85DA-4EC9-9D3B-78ACC746D47F}"/>
    <hyperlink ref="N95" r:id="rId333" display="https://www.daloopa.com/src/58804873" xr:uid="{0E8A26E1-57FD-4941-B8AD-626AE9EBF5CD}"/>
    <hyperlink ref="O95" r:id="rId334" display="https://www.daloopa.com/src/58800411" xr:uid="{4A95068D-0EA7-4E46-A5FD-BFD183617601}"/>
    <hyperlink ref="P95" r:id="rId335" display="https://www.daloopa.com/src/59368459" xr:uid="{4D988B0E-EEFC-418B-8452-15401789A011}"/>
    <hyperlink ref="R95" r:id="rId336" display="https://www.daloopa.com/src/58881603" xr:uid="{B2322DDB-77F4-4641-93BD-360FD6EC8A37}"/>
    <hyperlink ref="S95" r:id="rId337" display="https://www.daloopa.com/src/58881262" xr:uid="{7BE904B0-7C58-4A51-BA6B-A9D04B58A9CF}"/>
    <hyperlink ref="T95" r:id="rId338" display="https://www.daloopa.com/src/58815177" xr:uid="{D2C70A0F-8763-4FF2-8964-792AC65335BE}"/>
    <hyperlink ref="A96" r:id="rId339" xr:uid="{B9135029-09B0-4A92-9236-D727C2A8813B}"/>
    <hyperlink ref="G96" r:id="rId340" display="https://www.daloopa.com/src/59581282" xr:uid="{4CAEFB47-CCCA-4C9B-94D1-761FD8317C02}"/>
    <hyperlink ref="H96" r:id="rId341" display="https://www.daloopa.com/src/58873624" xr:uid="{4AD4EDD5-C877-437D-B081-881DA91EFC25}"/>
    <hyperlink ref="I96" r:id="rId342" display="https://www.daloopa.com/src/58873652" xr:uid="{85664520-4F10-43CF-BC04-7D91275EE1F7}"/>
    <hyperlink ref="J96" r:id="rId343" display="https://www.daloopa.com/src/58873699" xr:uid="{191A7DA5-71B5-4C51-97C7-ADCE9B357384}"/>
    <hyperlink ref="K96" r:id="rId344" display="https://www.daloopa.com/src/58864795" xr:uid="{42ADE004-5C40-4D07-A074-8926EB371B19}"/>
    <hyperlink ref="L96" r:id="rId345" display="https://www.daloopa.com/src/58815459" xr:uid="{A77FEDBA-9484-4719-AD05-BC262A069A84}"/>
    <hyperlink ref="M96" r:id="rId346" display="https://www.daloopa.com/src/58815148" xr:uid="{3A59A3B4-8805-45B4-8349-11AFACB330BC}"/>
    <hyperlink ref="N96" r:id="rId347" display="https://www.daloopa.com/src/58804874" xr:uid="{67A7E91A-0DAD-4C37-B719-34BD7A3E2D64}"/>
    <hyperlink ref="O96" r:id="rId348" display="https://www.daloopa.com/src/58800410" xr:uid="{DFFEACED-B664-429F-AFD1-EA99C752AFA4}"/>
    <hyperlink ref="P96" r:id="rId349" display="https://www.daloopa.com/src/59368443" xr:uid="{BC05AF3C-63E9-486B-B942-B14D9A8152F3}"/>
    <hyperlink ref="R96" r:id="rId350" display="https://www.daloopa.com/src/58881599" xr:uid="{67ED6E7F-5912-4673-9AB0-1E1C88FC0BD0}"/>
    <hyperlink ref="S96" r:id="rId351" display="https://www.daloopa.com/src/58881255" xr:uid="{37077215-3E50-4E09-A803-73582229AAAB}"/>
    <hyperlink ref="T96" r:id="rId352" display="https://www.daloopa.com/src/58815180" xr:uid="{068BB50A-2909-49A3-AF80-402FD45D1EB7}"/>
    <hyperlink ref="A97" r:id="rId353" xr:uid="{AD06F96B-15C5-4415-8F9A-4B3ACDC8DF7B}"/>
    <hyperlink ref="C97" r:id="rId354" display="https://www.daloopa.com/src/58882227" xr:uid="{1158E844-8C31-41E1-91D5-9BB7D1B7F02E}"/>
    <hyperlink ref="D97" r:id="rId355" display="https://www.daloopa.com/src/58882147" xr:uid="{B351C155-BBBE-465F-91E9-92B6211CE78D}"/>
    <hyperlink ref="E97" r:id="rId356" display="https://www.daloopa.com/src/58881411" xr:uid="{AC5B2A8B-C524-4272-B6E7-4EF79CAA20B0}"/>
    <hyperlink ref="F97" r:id="rId357" display="https://www.daloopa.com/src/58881387" xr:uid="{DCAD27F5-F1C7-44A3-AC9C-22727AD88A9C}"/>
    <hyperlink ref="G97" r:id="rId358" display="https://www.daloopa.com/src/59581281" xr:uid="{8132933C-92DA-44A6-97F8-778F20D469F6}"/>
    <hyperlink ref="H97" r:id="rId359" display="https://www.daloopa.com/src/58873638" xr:uid="{901F0F9D-769A-4427-8DCC-384B245027C7}"/>
    <hyperlink ref="I97" r:id="rId360" display="https://www.daloopa.com/src/58873666" xr:uid="{BF61189D-00CA-4AC2-948A-39242A5D74D3}"/>
    <hyperlink ref="J97" r:id="rId361" display="https://www.daloopa.com/src/58873695" xr:uid="{C1FE4C31-FB90-4900-82C8-81E7CC6526E6}"/>
    <hyperlink ref="K97" r:id="rId362" display="https://www.daloopa.com/src/58864806" xr:uid="{1CE95DEA-5BB6-4012-B058-D92BF8762347}"/>
    <hyperlink ref="L97" r:id="rId363" display="https://www.daloopa.com/src/58815452" xr:uid="{641194F7-69C9-402B-987F-CE77E8186E9E}"/>
    <hyperlink ref="M97" r:id="rId364" display="https://www.daloopa.com/src/58815147" xr:uid="{1DACDE7D-5CFC-40A1-9C1E-709581BE66B3}"/>
    <hyperlink ref="N97" r:id="rId365" display="https://www.daloopa.com/src/58804876" xr:uid="{C292622F-FDBC-4FBB-8A3C-99787E8260F9}"/>
    <hyperlink ref="O97" r:id="rId366" display="https://www.daloopa.com/src/58800399" xr:uid="{4BA9560D-94FF-43CE-9B45-B30E57CA65B0}"/>
    <hyperlink ref="P97" r:id="rId367" display="https://www.daloopa.com/src/59368453" xr:uid="{0C981313-014D-47CC-9AB9-B7B847FA3617}"/>
    <hyperlink ref="R97" r:id="rId368" display="https://www.daloopa.com/src/58881602" xr:uid="{9A624289-17D2-491B-9ED5-6AD3B825F4EE}"/>
    <hyperlink ref="S97" r:id="rId369" display="https://www.daloopa.com/src/58881247" xr:uid="{5BF661E3-D3E6-4B81-970F-5FB5402EEA82}"/>
    <hyperlink ref="T97" r:id="rId370" display="https://www.daloopa.com/src/58815183" xr:uid="{F8A1FB1D-5B6D-495B-8FD8-A292E3599FF3}"/>
    <hyperlink ref="A99" r:id="rId371" xr:uid="{8C9EB634-A4F7-4993-8D3C-DD249C5DAA7B}"/>
    <hyperlink ref="C99" r:id="rId372" display="https://www.daloopa.com/src/58882225" xr:uid="{5AD57052-47FB-445D-AF5D-31B4C242734D}"/>
    <hyperlink ref="D99" r:id="rId373" display="https://www.daloopa.com/src/58882148" xr:uid="{42D7D1C1-DBD7-447A-9D9A-2482C13E1544}"/>
    <hyperlink ref="E99" r:id="rId374" display="https://www.daloopa.com/src/58881409" xr:uid="{27BCBD7B-7BC2-4BEE-8623-38601AD23611}"/>
    <hyperlink ref="F99" r:id="rId375" display="https://www.daloopa.com/src/58881388" xr:uid="{AB1D67CA-3B60-462D-8F4C-70995BF5455B}"/>
    <hyperlink ref="G99" r:id="rId376" display="https://www.daloopa.com/src/59581270" xr:uid="{B47487EB-9597-43B2-8245-A50599C84C2F}"/>
    <hyperlink ref="H99" r:id="rId377" display="https://www.daloopa.com/src/58873628" xr:uid="{1D7F8F08-39F8-4091-B763-A42529C127AD}"/>
    <hyperlink ref="I99" r:id="rId378" display="https://www.daloopa.com/src/58873660" xr:uid="{99318C30-4756-4198-B136-AF70F987876D}"/>
    <hyperlink ref="J99" r:id="rId379" display="https://www.daloopa.com/src/58873705" xr:uid="{2EF2B1E3-B35B-40F3-BD44-51EF658F04B7}"/>
    <hyperlink ref="K99" r:id="rId380" display="https://www.daloopa.com/src/58864797" xr:uid="{9C6E12D5-B593-480C-8302-CA241A24E2B5}"/>
    <hyperlink ref="L99" r:id="rId381" display="https://www.daloopa.com/src/58815458" xr:uid="{6CDBD56B-1052-4EBC-AC6D-8CAEBADA2FB4}"/>
    <hyperlink ref="M99" r:id="rId382" display="https://www.daloopa.com/src/58815146" xr:uid="{E00D1107-6F93-427C-842F-7FF165CFA07C}"/>
    <hyperlink ref="N99" r:id="rId383" display="https://www.daloopa.com/src/58804877" xr:uid="{53F8EEC0-B81B-4D10-A341-AD3A96E8C9A6}"/>
    <hyperlink ref="O99" r:id="rId384" display="https://www.daloopa.com/src/58800406" xr:uid="{FAF4DAA8-4A1C-4612-A0E3-78D7FA3244D5}"/>
    <hyperlink ref="P99" r:id="rId385" display="https://www.daloopa.com/src/59368456" xr:uid="{1F94042E-DEE8-4A77-8D24-C83751B36FBD}"/>
    <hyperlink ref="R99" r:id="rId386" display="https://www.daloopa.com/src/58881600" xr:uid="{3C50AA54-C37C-4DA6-AAB8-239E7511E7FD}"/>
    <hyperlink ref="S99" r:id="rId387" display="https://www.daloopa.com/src/58881258" xr:uid="{1F94B79D-B62A-4314-96C4-473E9095B084}"/>
    <hyperlink ref="T99" r:id="rId388" display="https://www.daloopa.com/src/58815186" xr:uid="{58AB7413-F180-4BFC-B818-B5424ED0D984}"/>
    <hyperlink ref="A102" r:id="rId389" xr:uid="{46ED3676-13A2-40AD-A916-4A60994E798D}"/>
    <hyperlink ref="K102" r:id="rId390" display="https://www.daloopa.com/src/58864802" xr:uid="{6CA90631-4113-4CC4-8B56-6E6BB570F756}"/>
    <hyperlink ref="O102" r:id="rId391" display="https://www.daloopa.com/src/58800404" xr:uid="{F176D3CC-762D-49B8-91A5-60A00AB4CFFF}"/>
    <hyperlink ref="P102" r:id="rId392" display="https://www.daloopa.com/src/59368446" xr:uid="{0383196C-F7D3-4AB6-9A62-D69BEAFE3999}"/>
    <hyperlink ref="A103" r:id="rId393" xr:uid="{DFAB269F-EF3A-4EC2-AA14-9CBD4F9831E7}"/>
    <hyperlink ref="G103" r:id="rId394" display="https://www.daloopa.com/src/59581279" xr:uid="{7CA5C24A-CFD5-451C-A56F-FA860220F73C}"/>
    <hyperlink ref="H103" r:id="rId395" display="https://www.daloopa.com/src/58873626" xr:uid="{4D874E26-E7D2-4D74-82E9-AE1594D24C1E}"/>
    <hyperlink ref="I103" r:id="rId396" display="https://www.daloopa.com/src/58873653" xr:uid="{63D5929C-5DCE-452F-9176-04CE45ED27B2}"/>
    <hyperlink ref="J103" r:id="rId397" display="https://www.daloopa.com/src/58873706" xr:uid="{AC2A826C-58CE-4D90-9B50-7B7534BEE1BC}"/>
    <hyperlink ref="L103" r:id="rId398" display="https://www.daloopa.com/src/58815457" xr:uid="{26173959-0820-4E12-8733-D08CCF606729}"/>
    <hyperlink ref="M103" r:id="rId399" display="https://www.daloopa.com/src/58815145" xr:uid="{17ACD83A-84BA-4BA1-B6E0-5B7BFB545AC0}"/>
    <hyperlink ref="N103" r:id="rId400" display="https://www.daloopa.com/src/58804866" xr:uid="{65DA47C4-BE9F-4CEB-B5DF-4A428D8EC56F}"/>
    <hyperlink ref="R103" r:id="rId401" display="https://www.daloopa.com/src/58881596" xr:uid="{F3B8355D-3072-44EF-A8B0-EE0733F39C68}"/>
    <hyperlink ref="S103" r:id="rId402" display="https://www.daloopa.com/src/58881260" xr:uid="{22DF2E9D-B105-4D9D-8E66-A81172011E46}"/>
    <hyperlink ref="T103" r:id="rId403" display="https://www.daloopa.com/src/58815190" xr:uid="{1A58F78E-5663-48B8-A3BA-9EF5FBA15D5E}"/>
    <hyperlink ref="A104" r:id="rId404" xr:uid="{B600C3CE-FF4C-459F-AD8C-EE45DCB5BF15}"/>
    <hyperlink ref="G104" r:id="rId405" display="https://www.daloopa.com/src/59581268" xr:uid="{42B746F4-E271-4E67-BA8E-F58DD7D791D3}"/>
    <hyperlink ref="H104" r:id="rId406" display="https://www.daloopa.com/src/58873631" xr:uid="{4BE11863-DF9D-489B-BE04-9903DDE82585}"/>
    <hyperlink ref="I104" r:id="rId407" display="https://www.daloopa.com/src/58873663" xr:uid="{8F960416-BB53-48A8-8C5E-FB2EA0D591F6}"/>
    <hyperlink ref="J104" r:id="rId408" display="https://www.daloopa.com/src/58873691" xr:uid="{3F0D7AD9-5933-4B71-B64B-4D1D5AACC3CE}"/>
    <hyperlink ref="L104" r:id="rId409" display="https://www.daloopa.com/src/58815467" xr:uid="{6FA2864A-1D16-4932-8566-F003CDCA89B0}"/>
    <hyperlink ref="M104" r:id="rId410" display="https://www.daloopa.com/src/58815153" xr:uid="{C0D7B18A-36F4-4550-B69F-E20905FDCDCD}"/>
    <hyperlink ref="N104" r:id="rId411" display="https://www.daloopa.com/src/58804865" xr:uid="{0E7097EE-AFF4-4E39-AAA2-D049FB7B821D}"/>
    <hyperlink ref="R104" r:id="rId412" display="https://www.daloopa.com/src/58881597" xr:uid="{8134BA4E-1E85-4D4C-B385-0BBE90E7FA0A}"/>
    <hyperlink ref="S104" r:id="rId413" display="https://www.daloopa.com/src/58881265" xr:uid="{0D7CAA18-FA01-43D8-9382-BE01F7B55ED3}"/>
    <hyperlink ref="T104" r:id="rId414" display="https://www.daloopa.com/src/58815191" xr:uid="{2F490355-B774-461D-87FB-CF065D4087B8}"/>
    <hyperlink ref="A105" r:id="rId415" xr:uid="{147D1CD4-4447-4701-B8BC-114FF7016D2E}"/>
    <hyperlink ref="G105" r:id="rId416" display="https://www.daloopa.com/src/59581271" xr:uid="{364CA545-66CE-409B-9C88-F3D7444D3A10}"/>
    <hyperlink ref="S105" r:id="rId417" display="https://www.daloopa.com/src/58881264" xr:uid="{C399407C-1C93-445D-8CF7-97CCF68C3312}"/>
    <hyperlink ref="A106" r:id="rId418" xr:uid="{6B83E79A-833C-4C5F-883E-B06BC08B181D}"/>
    <hyperlink ref="K106" r:id="rId419" display="https://www.daloopa.com/src/58864796" xr:uid="{8AD95CAC-E22A-46B4-8FBA-EDD8456CFE96}"/>
    <hyperlink ref="T106" r:id="rId420" display="https://www.daloopa.com/src/58815189" xr:uid="{BFB7ED63-D083-458C-92D3-B89EE76BA9E3}"/>
    <hyperlink ref="A107" r:id="rId421" xr:uid="{94CB360A-86D7-4503-AF3B-C268A3502E3F}"/>
    <hyperlink ref="C107" r:id="rId422" display="https://www.daloopa.com/src/58882228" xr:uid="{9C9EBCA5-1FAA-4872-BB51-9D78920CD0B2}"/>
    <hyperlink ref="D107" r:id="rId423" display="https://www.daloopa.com/src/58882141" xr:uid="{AEBDF359-8BB7-42ED-8949-73017313BAE9}"/>
    <hyperlink ref="E107" r:id="rId424" display="https://www.daloopa.com/src/58881412" xr:uid="{135F5BF4-88E6-4F87-9595-ABF7B251FA5C}"/>
    <hyperlink ref="F107" r:id="rId425" display="https://www.daloopa.com/src/58881389" xr:uid="{E4FDBE1B-C462-445B-B653-2D2B6A7684C9}"/>
    <hyperlink ref="G107" r:id="rId426" display="https://www.daloopa.com/src/59581283" xr:uid="{A766AF86-8E59-4783-85F0-E952B05EE15A}"/>
    <hyperlink ref="H107" r:id="rId427" display="https://www.daloopa.com/src/58873622" xr:uid="{1CE58007-5DDD-4A36-87BD-DD6842D61862}"/>
    <hyperlink ref="I107" r:id="rId428" display="https://www.daloopa.com/src/58873655" xr:uid="{6CAA8347-0B00-43EC-9CE4-785EC6354670}"/>
    <hyperlink ref="J107" r:id="rId429" display="https://www.daloopa.com/src/58873710" xr:uid="{6C9B538E-A98C-460E-9D85-18CC9E490780}"/>
    <hyperlink ref="K107" r:id="rId430" display="https://www.daloopa.com/src/58864798" xr:uid="{35215B17-2A30-4525-9FF0-5EFE0A4A9B4E}"/>
    <hyperlink ref="L107" r:id="rId431" display="https://www.daloopa.com/src/58815465" xr:uid="{850A955C-3504-4FAE-8DE1-F2645253E1C0}"/>
    <hyperlink ref="M107" r:id="rId432" display="https://www.daloopa.com/src/58815144" xr:uid="{9F49F3B8-7AB4-49BC-BA26-80367261D49F}"/>
    <hyperlink ref="N107" r:id="rId433" display="https://www.daloopa.com/src/58804868" xr:uid="{798674C9-F749-4566-B76B-F11D8A8D1EEA}"/>
    <hyperlink ref="O107" r:id="rId434" display="https://www.daloopa.com/src/58800403" xr:uid="{DF4A9145-349C-4B97-8B40-0022EA3C612E}"/>
    <hyperlink ref="P107" r:id="rId435" display="https://www.daloopa.com/src/59368447" xr:uid="{BBBAF8FE-00A9-4B4E-A85E-31E85D54F4E3}"/>
    <hyperlink ref="R107" r:id="rId436" display="https://www.daloopa.com/src/58881605" xr:uid="{3C823C5B-0229-4437-ACA9-B4A9B2121D49}"/>
    <hyperlink ref="S107" r:id="rId437" display="https://www.daloopa.com/src/58881257" xr:uid="{31F118B1-A396-4ADD-A3AD-D0DCBCC784C7}"/>
    <hyperlink ref="T107" r:id="rId438" display="https://www.daloopa.com/src/58815188" xr:uid="{67D20E0D-EFDF-4F5D-8ECE-B9E01E91B253}"/>
    <hyperlink ref="A109" r:id="rId439" xr:uid="{5F12D71D-8402-4DD4-A522-6839682F9B38}"/>
    <hyperlink ref="C109" r:id="rId440" display="https://www.daloopa.com/src/58882222" xr:uid="{17236644-87DC-4E99-9CFA-C732BF2F6370}"/>
    <hyperlink ref="D109" r:id="rId441" display="https://www.daloopa.com/src/58882142" xr:uid="{3C69A00C-9047-47DB-88F0-4A3E6DC109A9}"/>
    <hyperlink ref="E109" r:id="rId442" display="https://www.daloopa.com/src/58881413" xr:uid="{8FDA5947-8120-4AD9-B2BE-6A0281451A1C}"/>
    <hyperlink ref="F109" r:id="rId443" display="https://www.daloopa.com/src/58881390" xr:uid="{D25F107F-4EA0-4EFB-986B-4B12D3827EF9}"/>
    <hyperlink ref="G109" r:id="rId444" display="https://www.daloopa.com/src/59581284" xr:uid="{5A2A2469-9363-4D08-A783-875BB2D3E0AE}"/>
    <hyperlink ref="H109" r:id="rId445" display="https://www.daloopa.com/src/58873623" xr:uid="{B0C6A28B-12D1-4E3D-A1E7-A58027F8BDF4}"/>
    <hyperlink ref="I109" r:id="rId446" display="https://www.daloopa.com/src/58873661" xr:uid="{6316D66B-686B-4E7B-8DD2-51D6828F7B16}"/>
    <hyperlink ref="J109" r:id="rId447" display="https://www.daloopa.com/src/58873702" xr:uid="{0EF3F8C7-3EEE-4E9E-AF8A-A7329054586C}"/>
    <hyperlink ref="K109" r:id="rId448" display="https://www.daloopa.com/src/58864790" xr:uid="{9448254E-A426-43D7-BAFD-7F1881555EEC}"/>
    <hyperlink ref="L109" r:id="rId449" display="https://www.daloopa.com/src/58815455" xr:uid="{3967A1F8-5BFB-42CD-BE54-D835B0984C58}"/>
    <hyperlink ref="M109" r:id="rId450" display="https://www.daloopa.com/src/58815143" xr:uid="{C4D2A313-6FA9-43E2-8810-8A4C17694B74}"/>
    <hyperlink ref="N109" r:id="rId451" display="https://www.daloopa.com/src/58804864" xr:uid="{979D8E2F-13AD-4F52-B185-70F4EB280F12}"/>
    <hyperlink ref="O109" r:id="rId452" display="https://www.daloopa.com/src/58800400" xr:uid="{BDCC829D-01BF-4CE0-A35F-FFA99EEF918D}"/>
    <hyperlink ref="P109" r:id="rId453" display="https://www.daloopa.com/src/59368442" xr:uid="{1822DDEB-02EC-49CC-8120-BFC00C81DBB2}"/>
    <hyperlink ref="R109" r:id="rId454" display="https://www.daloopa.com/src/58881588" xr:uid="{280A59F5-5111-4A77-A361-56DFD468253E}"/>
    <hyperlink ref="S109" r:id="rId455" display="https://www.daloopa.com/src/58881256" xr:uid="{B02BEBF5-D1A3-426B-94B2-D2551A6E8E27}"/>
    <hyperlink ref="T109" r:id="rId456" display="https://www.daloopa.com/src/58815185" xr:uid="{6244AE01-58D8-4ADF-BFBE-2DC502265A3B}"/>
    <hyperlink ref="A111" r:id="rId457" xr:uid="{3D21FE2B-E3C8-4362-85F5-0D2BE3D085DF}"/>
    <hyperlink ref="C111" r:id="rId458" display="https://www.daloopa.com/src/58882223" xr:uid="{F08AED0C-52A1-48AB-AF6B-F19741FA5581}"/>
    <hyperlink ref="D111" r:id="rId459" display="https://www.daloopa.com/src/58882145" xr:uid="{1F59E810-6A87-4A46-86B8-6FABFF66DE78}"/>
    <hyperlink ref="E111" r:id="rId460" display="https://www.daloopa.com/src/58881406" xr:uid="{82CF49B9-B6F8-4F84-A80F-7D614F19F1D5}"/>
    <hyperlink ref="F111" r:id="rId461" display="https://www.daloopa.com/src/58881392" xr:uid="{14EEBF68-8CE4-48D3-BF57-0C0D1DAA8FFE}"/>
    <hyperlink ref="G111" r:id="rId462" display="https://www.daloopa.com/src/59581269" xr:uid="{534F429B-D181-4055-871E-2ACF98641542}"/>
    <hyperlink ref="H111" r:id="rId463" display="https://www.daloopa.com/src/58873630" xr:uid="{C464AB99-A2D7-48AF-90F4-479F1F57661F}"/>
    <hyperlink ref="I111" r:id="rId464" display="https://www.daloopa.com/src/58873656" xr:uid="{785855B4-F5F2-419F-9AEB-406C315D5A08}"/>
    <hyperlink ref="J111" r:id="rId465" display="https://www.daloopa.com/src/58873692" xr:uid="{15C79334-4860-406A-82C4-FD48A1BBB630}"/>
    <hyperlink ref="K111" r:id="rId466" display="https://www.daloopa.com/src/58864792" xr:uid="{4E3A0C3F-0E62-4A7A-8534-C68F97219EAF}"/>
    <hyperlink ref="L111" r:id="rId467" display="https://www.daloopa.com/src/58815454" xr:uid="{DDF8F951-8D27-410E-8BBD-FB1002BDAB1C}"/>
    <hyperlink ref="M111" r:id="rId468" display="https://www.daloopa.com/src/58815150" xr:uid="{5254350E-8B1C-4AE7-801A-4DA9B68BAC01}"/>
    <hyperlink ref="N111" r:id="rId469" display="https://www.daloopa.com/src/58804867" xr:uid="{8AE500EA-7FB6-401E-AAC1-B81E0F6C477A}"/>
    <hyperlink ref="O111" r:id="rId470" display="https://www.daloopa.com/src/58800401" xr:uid="{C19EFA26-9647-4DFB-A5BE-CFD6863DBD12}"/>
    <hyperlink ref="P111" r:id="rId471" display="https://www.daloopa.com/src/59368445" xr:uid="{BDDAEA2F-940E-4CB8-B916-F19E223B40F0}"/>
    <hyperlink ref="R111" r:id="rId472" display="https://www.daloopa.com/src/58881589" xr:uid="{57B64D87-51BC-4019-A3B1-84096F59F805}"/>
    <hyperlink ref="S111" r:id="rId473" display="https://www.daloopa.com/src/58881259" xr:uid="{606594F5-02DA-4E37-83A7-EA24A366E664}"/>
    <hyperlink ref="T111" r:id="rId474" display="https://www.daloopa.com/src/58815184" xr:uid="{31163870-4553-4612-8345-6B391B2F45AE}"/>
    <hyperlink ref="A112" r:id="rId475" xr:uid="{489C304E-A939-4E43-894A-BC5C6DE9DA87}"/>
    <hyperlink ref="C112" r:id="rId476" display="https://www.daloopa.com/src/58882221" xr:uid="{E99E897F-FEAC-4393-BE81-D9776BD080D1}"/>
    <hyperlink ref="D112" r:id="rId477" display="https://www.daloopa.com/src/58882144" xr:uid="{D460D9BE-FB1A-4CDD-B428-CA8C39900AAD}"/>
    <hyperlink ref="E112" r:id="rId478" display="https://www.daloopa.com/src/58881407" xr:uid="{FCDF4549-713C-421D-A8C2-7575C7D11BEF}"/>
    <hyperlink ref="F112" r:id="rId479" display="https://www.daloopa.com/src/58881391" xr:uid="{0BEBF8F1-706A-4F68-B153-B4C18FF9C7D4}"/>
    <hyperlink ref="G112" r:id="rId480" display="https://www.daloopa.com/src/59581274" xr:uid="{C521385E-30F6-47B8-8AEC-C923E4498146}"/>
    <hyperlink ref="H112" r:id="rId481" display="https://www.daloopa.com/src/58873621" xr:uid="{22C02208-814F-4CA4-9F5C-C3A8ACF2B29E}"/>
    <hyperlink ref="I112" r:id="rId482" display="https://www.daloopa.com/src/58873659" xr:uid="{3B2E3C6D-6528-476F-9FE5-A8364C012FD0}"/>
    <hyperlink ref="J112" r:id="rId483" display="https://www.daloopa.com/src/58873700" xr:uid="{961DA6A6-C179-44A6-AAE8-1F624B83C952}"/>
    <hyperlink ref="K112" r:id="rId484" display="https://www.daloopa.com/src/58864789" xr:uid="{423A6391-CF8D-4323-8F96-F67547E535F3}"/>
    <hyperlink ref="L112" r:id="rId485" display="https://www.daloopa.com/src/58815453" xr:uid="{07EEE901-8264-43AF-8B00-0EB9DA65B816}"/>
    <hyperlink ref="M112" r:id="rId486" display="https://www.daloopa.com/src/58815142" xr:uid="{F506815F-389A-44F2-8CC9-6773E0503489}"/>
    <hyperlink ref="N112" r:id="rId487" display="https://www.daloopa.com/src/58804875" xr:uid="{3E40BA6C-786D-483E-8E08-E9A138CCD470}"/>
    <hyperlink ref="O112" r:id="rId488" display="https://www.daloopa.com/src/58800414" xr:uid="{C032EF47-1DE8-4A50-9140-1D01E96122E8}"/>
    <hyperlink ref="P112" r:id="rId489" display="https://www.daloopa.com/src/59368460" xr:uid="{D9E3C282-79BE-42EA-8128-2DF0A43961E8}"/>
    <hyperlink ref="R112" r:id="rId490" display="https://www.daloopa.com/src/58881590" xr:uid="{348AC137-C6CD-4170-8D47-025DA4610136}"/>
    <hyperlink ref="S112" r:id="rId491" display="https://www.daloopa.com/src/58881252" xr:uid="{E0435312-5648-4F85-86E6-E06D0CEA071F}"/>
    <hyperlink ref="T112" r:id="rId492" display="https://www.daloopa.com/src/58815182" xr:uid="{41334A2F-8020-4FDF-BA6C-EBBE3F2A2D8D}"/>
    <hyperlink ref="A114" r:id="rId493" xr:uid="{CC42F6F6-FBCA-4D16-8037-6669F91C3DA1}"/>
    <hyperlink ref="G114" r:id="rId494" display="https://www.daloopa.com/src/59581267" xr:uid="{06227A79-D429-4AF8-A690-8743D173C5E6}"/>
    <hyperlink ref="H114" r:id="rId495" display="https://www.daloopa.com/src/58873632" xr:uid="{16D70587-26D5-4F75-8E3D-EDE254D05C8D}"/>
    <hyperlink ref="I114" r:id="rId496" display="https://www.daloopa.com/src/58873657" xr:uid="{ECE555E8-8563-4F82-8502-7178A449514F}"/>
    <hyperlink ref="J114" r:id="rId497" display="https://www.daloopa.com/src/58873707" xr:uid="{1D2BAD7F-3119-4DF5-976F-62E1780A34BB}"/>
    <hyperlink ref="K114" r:id="rId498" display="https://www.daloopa.com/src/58864799" xr:uid="{9014BFD2-E455-47EB-8F1A-EC7FE0010FBC}"/>
    <hyperlink ref="L114" r:id="rId499" display="https://www.daloopa.com/src/58815463" xr:uid="{58FD5145-D3AA-4798-A158-F6FE98838AD6}"/>
    <hyperlink ref="M114" r:id="rId500" display="https://www.daloopa.com/src/58815141" xr:uid="{2CF2134F-B18A-424B-AA90-B86D02AC2864}"/>
    <hyperlink ref="N114" r:id="rId501" display="https://www.daloopa.com/src/58804869" xr:uid="{5D5DE451-B770-4A4C-BEEF-844D5B193943}"/>
    <hyperlink ref="O114" r:id="rId502" display="https://www.daloopa.com/src/58800402" xr:uid="{79003EC7-84ED-43F8-8C47-5AFA9273366E}"/>
    <hyperlink ref="P114" r:id="rId503" display="https://www.daloopa.com/src/59368458" xr:uid="{C75B2663-511D-4AED-9E09-B0B8790E1253}"/>
    <hyperlink ref="R114" r:id="rId504" display="https://www.daloopa.com/src/58881591" xr:uid="{D2324A75-B100-410C-BDD5-77E49AAEE521}"/>
    <hyperlink ref="S114" r:id="rId505" display="https://www.daloopa.com/src/58881263" xr:uid="{76704838-BB06-4A1B-A8AC-AEB0914E0FFE}"/>
    <hyperlink ref="T114" r:id="rId506" display="https://www.daloopa.com/src/58815181" xr:uid="{6FBFBA50-13C8-4606-8A78-82925F0115B8}"/>
    <hyperlink ref="A115" r:id="rId507" xr:uid="{D20FF375-94B0-4D6D-8294-B6FE88F3D88C}"/>
    <hyperlink ref="G115" r:id="rId508" display="https://www.daloopa.com/src/59581277" xr:uid="{7E41B860-2F61-4FD9-801A-2CE2A635A145}"/>
    <hyperlink ref="H115" r:id="rId509" display="https://www.daloopa.com/src/58873619" xr:uid="{F9AB00F7-815F-4143-A37C-E21DA2E5BF06}"/>
    <hyperlink ref="I115" r:id="rId510" display="https://www.daloopa.com/src/58873662" xr:uid="{3C3FEC64-CCDE-45F5-B778-98E3CE05267D}"/>
    <hyperlink ref="J115" r:id="rId511" display="https://www.daloopa.com/src/58873703" xr:uid="{2B37ECA9-F4E8-46A4-9F82-67A797257219}"/>
    <hyperlink ref="K115" r:id="rId512" display="https://www.daloopa.com/src/58864788" xr:uid="{302542E2-4363-44D6-98DE-6C6B687D23AF}"/>
    <hyperlink ref="L115" r:id="rId513" display="https://www.daloopa.com/src/58815464" xr:uid="{B55BC165-0ECB-48F4-9BD9-AA209AC3440E}"/>
    <hyperlink ref="M115" r:id="rId514" display="https://www.daloopa.com/src/58815140" xr:uid="{9FD3E153-2600-4F7B-B1A8-901430DF482B}"/>
    <hyperlink ref="N115" r:id="rId515" display="https://www.daloopa.com/src/58804858" xr:uid="{2854E050-6A89-4943-A8C7-F6EB04F89BA0}"/>
    <hyperlink ref="O115" r:id="rId516" display="https://www.daloopa.com/src/58800405" xr:uid="{3E4F8669-AF80-46DE-ADC5-1269F7F227EC}"/>
    <hyperlink ref="P115" r:id="rId517" display="https://www.daloopa.com/src/59368448" xr:uid="{90AEA074-BBF9-4B7C-BA52-98CBD9FF1DBC}"/>
    <hyperlink ref="R115" r:id="rId518" display="https://www.daloopa.com/src/58881595" xr:uid="{BB81245A-3EE1-43BC-B6D0-316586FACBB1}"/>
    <hyperlink ref="S115" r:id="rId519" display="https://www.daloopa.com/src/58881251" xr:uid="{86791C11-1BD0-443C-9E95-6F72E00FD1E7}"/>
    <hyperlink ref="T115" r:id="rId520" display="https://www.daloopa.com/src/58815179" xr:uid="{954B1DA8-D2C4-4A93-9B9A-C617135A92B3}"/>
    <hyperlink ref="A117" r:id="rId521" xr:uid="{3B4C4476-D213-495E-892E-1FF81A74EA10}"/>
    <hyperlink ref="G117" r:id="rId522" display="https://www.daloopa.com/src/59581278" xr:uid="{A4BD574A-96A9-4A43-B632-95948C61E39C}"/>
    <hyperlink ref="H117" r:id="rId523" display="https://www.daloopa.com/src/58873620" xr:uid="{B023064D-2DA5-4802-BE59-031531A09684}"/>
    <hyperlink ref="I117" r:id="rId524" display="https://www.daloopa.com/src/58873654" xr:uid="{84A0A224-BE5F-412E-9273-4CBEDA66EFD5}"/>
    <hyperlink ref="J117" r:id="rId525" display="https://www.daloopa.com/src/58873704" xr:uid="{77434E65-9047-4A42-9B69-ED9B62B2F755}"/>
    <hyperlink ref="K117" r:id="rId526" display="https://www.daloopa.com/src/58864787" xr:uid="{3D7CFD33-A208-4C6C-AA98-715B1633B71C}"/>
    <hyperlink ref="L117" r:id="rId527" display="https://www.daloopa.com/src/58815466" xr:uid="{9AF042D3-1E2F-40C9-9BB2-28271AD0E246}"/>
    <hyperlink ref="M117" r:id="rId528" display="https://www.daloopa.com/src/58815139" xr:uid="{249A1A21-66B7-48A2-B2A3-2F27B042A0A8}"/>
    <hyperlink ref="N117" r:id="rId529" display="https://www.daloopa.com/src/58804859" xr:uid="{A8A8BBB0-DCA9-40E2-8821-BCE8AFEEC1A5}"/>
    <hyperlink ref="O117" r:id="rId530" display="https://www.daloopa.com/src/58800407" xr:uid="{22428CD8-9600-497C-AD9A-601844BC89B8}"/>
    <hyperlink ref="P117" r:id="rId531" display="https://www.daloopa.com/src/59368444" xr:uid="{AACE5FE7-CBEA-4B9E-B62D-542B900EF518}"/>
    <hyperlink ref="R117" r:id="rId532" display="https://www.daloopa.com/src/58881594" xr:uid="{42681B5A-AA66-4207-8942-940AF0722120}"/>
    <hyperlink ref="S117" r:id="rId533" display="https://www.daloopa.com/src/58881250" xr:uid="{0F478B5A-38B2-478B-9FD4-247DFE8AC450}"/>
    <hyperlink ref="T117" r:id="rId534" display="https://www.daloopa.com/src/58815178" xr:uid="{2A616B04-95F9-449E-927D-2D0AE9F84233}"/>
    <hyperlink ref="A118" r:id="rId535" xr:uid="{B1DB3473-99EF-4967-B9F0-5E61ABD3188B}"/>
    <hyperlink ref="H118" r:id="rId536" display="https://www.daloopa.com/src/58873633" xr:uid="{AFCAB7EE-F2E3-4911-8C8C-075C6E4C250F}"/>
    <hyperlink ref="I118" r:id="rId537" display="https://www.daloopa.com/src/58873664" xr:uid="{19ACE126-C08A-4BBD-B8EE-ECF83D8EAEEA}"/>
    <hyperlink ref="J118" r:id="rId538" display="https://www.daloopa.com/src/58873708" xr:uid="{8C2B3623-0912-4305-B654-F4C9554C745C}"/>
    <hyperlink ref="K118" r:id="rId539" display="https://www.daloopa.com/src/58864800" xr:uid="{85ADFCAE-6BD1-4BEE-BD40-2E462F43E799}"/>
    <hyperlink ref="L118" r:id="rId540" display="https://www.daloopa.com/src/58815468" xr:uid="{3BCB81FE-B29E-4386-9FDE-4C8A7708370F}"/>
    <hyperlink ref="M118" r:id="rId541" display="https://www.daloopa.com/src/58815152" xr:uid="{DE3250FD-B637-4484-94B9-AE88358306C7}"/>
    <hyperlink ref="N118" r:id="rId542" display="https://www.daloopa.com/src/58804860" xr:uid="{4B3D516E-06E2-4699-975C-364062CFA5B4}"/>
    <hyperlink ref="O118" r:id="rId543" display="https://www.daloopa.com/src/58800408" xr:uid="{67B8214A-E697-4E30-BA95-F4C5D8D5C193}"/>
    <hyperlink ref="P118" r:id="rId544" display="https://www.daloopa.com/src/59368449" xr:uid="{95176BD4-FAC3-4DB0-BA37-FC6A60DB38D9}"/>
    <hyperlink ref="R118" r:id="rId545" display="https://www.daloopa.com/src/58881592" xr:uid="{FBCA041B-3051-4A07-AEEE-0D389E6B6C38}"/>
    <hyperlink ref="S118" r:id="rId546" display="https://www.daloopa.com/src/58881267" xr:uid="{01F4A14A-6BAD-4470-A658-E03FDB0F6A4C}"/>
    <hyperlink ref="T118" r:id="rId547" display="https://www.daloopa.com/src/58815176" xr:uid="{DB22AFCB-E932-41ED-BA9B-9260A9044440}"/>
    <hyperlink ref="A119" r:id="rId548" xr:uid="{3CC00B30-9A2E-4A36-8DBD-B5C2B0EF65CE}"/>
    <hyperlink ref="G119" r:id="rId549" display="https://www.daloopa.com/src/59581272" xr:uid="{A116978C-A9CA-45EF-A715-750374DF66CC}"/>
    <hyperlink ref="H119" r:id="rId550" display="https://www.daloopa.com/src/58873634" xr:uid="{798A8CB4-7A0E-462A-92FD-044554EBB41C}"/>
    <hyperlink ref="I119" r:id="rId551" display="https://www.daloopa.com/src/58873665" xr:uid="{409C882D-60D5-4D69-9C38-BB94B374DA80}"/>
    <hyperlink ref="J119" r:id="rId552" display="https://www.daloopa.com/src/58873709" xr:uid="{F1871C86-2938-40F7-BF01-B7376ACC2E36}"/>
    <hyperlink ref="K119" r:id="rId553" display="https://www.daloopa.com/src/58864801" xr:uid="{FD2E33F9-D7F7-4FDB-81FA-EA37F4BE3C92}"/>
    <hyperlink ref="L119" r:id="rId554" display="https://www.daloopa.com/src/58815469" xr:uid="{5D97AC29-FF2E-4600-9092-81EFCAFE35F8}"/>
    <hyperlink ref="M119" r:id="rId555" display="https://www.daloopa.com/src/58815151" xr:uid="{437B922A-1D38-4875-8C14-A549937C6F2B}"/>
    <hyperlink ref="N119" r:id="rId556" display="https://www.daloopa.com/src/58804861" xr:uid="{85AD9476-C795-4C0A-B540-307BCCB303AB}"/>
    <hyperlink ref="O119" r:id="rId557" display="https://www.daloopa.com/src/58800409" xr:uid="{178F2AD9-179C-4680-9629-FF1B20642484}"/>
    <hyperlink ref="P119" r:id="rId558" display="https://www.daloopa.com/src/59368450" xr:uid="{7B1AC507-075E-45E1-976D-7B940CB3EFC1}"/>
    <hyperlink ref="R119" r:id="rId559" display="https://www.daloopa.com/src/58881593" xr:uid="{B8F7F3F3-8A83-4AB0-A5AA-4C4CB542C88B}"/>
    <hyperlink ref="S119" r:id="rId560" display="https://www.daloopa.com/src/58881266" xr:uid="{FC563C2B-ACA6-496C-A930-BE789565B625}"/>
    <hyperlink ref="T119" r:id="rId561" display="https://www.daloopa.com/src/58815173" xr:uid="{ACE67620-8AD6-4540-8102-046411D7B04C}"/>
    <hyperlink ref="A120" r:id="rId562" xr:uid="{1D171498-EA93-4539-957C-68AFED5A88F8}"/>
    <hyperlink ref="H120" r:id="rId563" display="https://www.daloopa.com/src/58873636" xr:uid="{51030577-2782-4FF8-AAC9-CB28668B5E74}"/>
    <hyperlink ref="I120" r:id="rId564" display="https://www.daloopa.com/src/58873668" xr:uid="{A59BFC61-F0C5-4216-B1E2-9844120EF9B5}"/>
    <hyperlink ref="J120" r:id="rId565" display="https://www.daloopa.com/src/58873694" xr:uid="{7E8B6223-5FEE-4B2A-8E1E-DAB893F1619A}"/>
    <hyperlink ref="K120" r:id="rId566" display="https://www.daloopa.com/src/58864804" xr:uid="{164A00FC-4BD0-4CF5-A27F-57F072829BF2}"/>
    <hyperlink ref="L120" r:id="rId567" display="https://www.daloopa.com/src/58815451" xr:uid="{6D15372A-6373-4BC9-9351-D969499044FD}"/>
    <hyperlink ref="M120" r:id="rId568" display="https://www.daloopa.com/src/58815138" xr:uid="{0FF61509-B023-4D9E-9163-63B915FECB92}"/>
    <hyperlink ref="N120" r:id="rId569" display="https://www.daloopa.com/src/58804862" xr:uid="{D4EA573E-6471-425A-A302-98E007E28572}"/>
    <hyperlink ref="O120" r:id="rId570" display="https://www.daloopa.com/src/58800416" xr:uid="{7225F4F7-3CFB-489E-9EC3-34C78BDD9972}"/>
    <hyperlink ref="P120" r:id="rId571" display="https://www.daloopa.com/src/59368454" xr:uid="{B65CF66C-4BE3-44FC-88C9-55DE85DF725F}"/>
    <hyperlink ref="R120" r:id="rId572" display="https://www.daloopa.com/src/58881606" xr:uid="{5AE974DC-014C-4BD1-A143-1F40A93A119B}"/>
    <hyperlink ref="S120" r:id="rId573" display="https://www.daloopa.com/src/58881249" xr:uid="{B478A87B-4158-412E-8919-EA1B3CB99E48}"/>
    <hyperlink ref="T120" r:id="rId574" display="https://www.daloopa.com/src/58815171" xr:uid="{C9A19DBD-0060-4ABE-9373-5F6FC7C458C5}"/>
    <hyperlink ref="A121" r:id="rId575" xr:uid="{8CD250F5-457D-44C9-BDF6-6358231F1873}"/>
    <hyperlink ref="G121" r:id="rId576" display="https://www.daloopa.com/src/59581273" xr:uid="{40424E46-A95B-4737-88CE-7D9368D85377}"/>
    <hyperlink ref="H121" r:id="rId577" display="https://www.daloopa.com/src/58873635" xr:uid="{03310C96-5562-4E02-BF07-DA1386915610}"/>
    <hyperlink ref="I121" r:id="rId578" display="https://www.daloopa.com/src/58873669" xr:uid="{908C15DF-7EF2-4403-B4A4-B170C1B98585}"/>
    <hyperlink ref="J121" r:id="rId579" display="https://www.daloopa.com/src/58873693" xr:uid="{396E250D-25E7-4E4E-B14C-028913934291}"/>
    <hyperlink ref="K121" r:id="rId580" display="https://www.daloopa.com/src/58864803" xr:uid="{17D8AB46-F75D-4208-8D7F-6981F9351D38}"/>
    <hyperlink ref="L121" r:id="rId581" display="https://www.daloopa.com/src/58815450" xr:uid="{ADCB5BCE-82A2-4C37-90E4-B7E53CFDDF62}"/>
    <hyperlink ref="M121" r:id="rId582" display="https://www.daloopa.com/src/58815137" xr:uid="{FA52A736-0908-4A9B-BB33-5C714129F449}"/>
    <hyperlink ref="N121" r:id="rId583" display="https://www.daloopa.com/src/58804863" xr:uid="{B623276B-C20E-4BB3-A4BF-29C74413BEF0}"/>
    <hyperlink ref="O121" r:id="rId584" display="https://www.daloopa.com/src/58800415" xr:uid="{6D53D968-7270-475E-92C6-9F4261792947}"/>
    <hyperlink ref="P121" r:id="rId585" display="https://www.daloopa.com/src/59368451" xr:uid="{8BD132B9-F359-4D61-A8B0-2D61D4F60DF5}"/>
    <hyperlink ref="R121" r:id="rId586" display="https://www.daloopa.com/src/58881607" xr:uid="{0399D4F3-E25A-491F-99C2-567998F3629B}"/>
    <hyperlink ref="S121" r:id="rId587" display="https://www.daloopa.com/src/58881248" xr:uid="{64065532-556A-4E85-AC3E-E43393EB1B82}"/>
    <hyperlink ref="T121" r:id="rId588" display="https://www.daloopa.com/src/58815174" xr:uid="{202840A8-E706-4B57-9C60-EDD0C9D71DD4}"/>
    <hyperlink ref="A124" r:id="rId589" xr:uid="{5ACCAA1B-5BCD-4057-991B-FC6919B6A7AD}"/>
    <hyperlink ref="G124" r:id="rId590" display="https://www.daloopa.com/src/58881560" xr:uid="{71F0B112-50DD-4206-8B0F-AB12D33CDAC3}"/>
    <hyperlink ref="A126" r:id="rId591" xr:uid="{04B87994-8AD9-4FAA-A2E2-E84318C41140}"/>
    <hyperlink ref="G126" r:id="rId592" display="https://www.daloopa.com/src/58881561" xr:uid="{7F3AD01D-5496-451F-AD81-B5B0ED581E77}"/>
    <hyperlink ref="A127" r:id="rId593" xr:uid="{B35E9A7E-258A-44B9-8572-7FB30FC5A6B3}"/>
    <hyperlink ref="G127" r:id="rId594" display="https://www.daloopa.com/src/58881559" xr:uid="{01C6DB9E-AC86-4B0C-883F-1034AFEDFB10}"/>
    <hyperlink ref="A128" r:id="rId595" xr:uid="{ED819F37-66F2-441C-8B4A-F077C00B60B2}"/>
    <hyperlink ref="G128" r:id="rId596" display="https://www.daloopa.com/src/58881562" xr:uid="{AFF982C9-BAB9-4EA9-B08B-02E6656C2FDC}"/>
    <hyperlink ref="A129" r:id="rId597" xr:uid="{6A5E5908-F344-4270-88DB-5A3138F7968E}"/>
    <hyperlink ref="G129" r:id="rId598" display="https://www.daloopa.com/src/58881558" xr:uid="{A9EAD7EF-C76C-4AE7-B291-C38DED78B520}"/>
    <hyperlink ref="A130" r:id="rId599" xr:uid="{F4545185-B8A8-4530-BEC7-02089634D924}"/>
    <hyperlink ref="G130" r:id="rId600" display="https://www.daloopa.com/src/58881563" xr:uid="{905F27DD-61CD-470E-805B-16F8124D654A}"/>
    <hyperlink ref="A132" r:id="rId601" xr:uid="{43E2ABBF-199C-4976-9979-13769A186AB6}"/>
    <hyperlink ref="G132" r:id="rId602" display="https://www.daloopa.com/src/58881557" xr:uid="{0F13725D-DC24-46C2-ABB4-22733CF8BDE0}"/>
    <hyperlink ref="A135" r:id="rId603" xr:uid="{DE550784-9C78-46CA-BBFF-B8488F6087C4}"/>
    <hyperlink ref="G135" r:id="rId604" display="https://www.daloopa.com/src/58881564" xr:uid="{13223F69-C38F-45FF-985B-BDB0514F3C85}"/>
    <hyperlink ref="A136" r:id="rId605" xr:uid="{52B412C2-ECB9-4D52-9B83-096001469985}"/>
    <hyperlink ref="G136" r:id="rId606" display="https://www.daloopa.com/src/58881565" xr:uid="{23208607-1BD4-41C7-AF10-A803306AB44C}"/>
    <hyperlink ref="A137" r:id="rId607" xr:uid="{FB24D22E-EDD1-49DD-BA45-9C046A5C596E}"/>
    <hyperlink ref="G137" r:id="rId608" display="https://www.daloopa.com/src/58881566" xr:uid="{03BED507-1A05-4971-90A2-1AC9067F7536}"/>
    <hyperlink ref="A138" r:id="rId609" xr:uid="{953E9B1A-1078-48A4-93B7-16509C251044}"/>
    <hyperlink ref="G138" r:id="rId610" display="https://www.daloopa.com/src/58881567" xr:uid="{455879F7-7F01-44BC-BE01-F8FB9767AF61}"/>
    <hyperlink ref="A139" r:id="rId611" xr:uid="{D41DA2EF-37F9-4EF4-A62E-0E4B1B4482B4}"/>
    <hyperlink ref="G139" r:id="rId612" display="https://www.daloopa.com/src/58881568" xr:uid="{A5947D20-763A-4B26-8677-60496B40B719}"/>
    <hyperlink ref="A141" r:id="rId613" xr:uid="{509FABB3-A5C8-4CD4-B8AB-D2830D25A9EA}"/>
    <hyperlink ref="G141" r:id="rId614" display="https://www.daloopa.com/src/58881570" xr:uid="{C64B53F4-8D83-42F9-8D01-99D17299C29E}"/>
    <hyperlink ref="A143" r:id="rId615" xr:uid="{F9674496-2B83-45BD-BE93-8DF578530621}"/>
    <hyperlink ref="G143" r:id="rId616" display="https://www.daloopa.com/src/58881572" xr:uid="{E2D46E5C-222B-473D-A07E-559AEA9762EC}"/>
    <hyperlink ref="A144" r:id="rId617" xr:uid="{0B9110A0-52B5-4CAA-8B5B-9A49F53FFE62}"/>
    <hyperlink ref="G144" r:id="rId618" display="https://www.daloopa.com/src/58881569" xr:uid="{7F34F3A5-137F-4A75-9E4A-C05D4DE66AF1}"/>
    <hyperlink ref="A146" r:id="rId619" xr:uid="{B263AAE3-81E3-4F95-86AF-81B0E57211B4}"/>
    <hyperlink ref="G146" r:id="rId620" display="https://www.daloopa.com/src/58881571" xr:uid="{BCE82E24-2B28-4FE3-9F39-16EBD5489B77}"/>
    <hyperlink ref="A147" r:id="rId621" xr:uid="{80FA2443-85E2-4877-88EC-977E0F51B13E}"/>
    <hyperlink ref="G147" r:id="rId622" display="https://www.daloopa.com/src/58881573" xr:uid="{3ADC5B75-ADE5-46A1-A10F-0BE0F8D55796}"/>
    <hyperlink ref="A149" r:id="rId623" xr:uid="{B4C4D2C5-C411-47BE-BDED-DA8CF412C8A4}"/>
    <hyperlink ref="G149" r:id="rId624" display="https://www.daloopa.com/src/58881575" xr:uid="{323FB7DE-833D-4B2E-BF75-33E0E7EBC9B4}"/>
    <hyperlink ref="A150" r:id="rId625" xr:uid="{F05AC352-8F92-44DA-B262-04ABB72BAA7D}"/>
    <hyperlink ref="G150" r:id="rId626" display="https://www.daloopa.com/src/58881578" xr:uid="{FC1D2DFE-F652-4F67-B1EB-3A6E912A229D}"/>
    <hyperlink ref="A151" r:id="rId627" xr:uid="{CD071BAF-163D-454F-A065-159087784E51}"/>
    <hyperlink ref="G151" r:id="rId628" display="https://www.daloopa.com/src/58881576" xr:uid="{268DEC12-D355-4EB5-9604-47C0756E73FC}"/>
    <hyperlink ref="A152" r:id="rId629" xr:uid="{57BCA925-EE75-4D4B-AFC3-FBCB34814932}"/>
    <hyperlink ref="G152" r:id="rId630" display="https://www.daloopa.com/src/58881574" xr:uid="{32271CFE-AB9C-4ACB-962A-D7BAE1B49A3A}"/>
    <hyperlink ref="A153" r:id="rId631" xr:uid="{E748039F-D841-4858-B21B-F54783C12719}"/>
    <hyperlink ref="G153" r:id="rId632" display="https://www.daloopa.com/src/58881577" xr:uid="{6C409450-BF20-424F-B24D-ABB74D8FEA9E}"/>
    <hyperlink ref="A158" r:id="rId633" xr:uid="{D88083AE-37D6-4AC0-BA9B-475CC58ED9AB}"/>
    <hyperlink ref="F158" r:id="rId634" display="https://www.daloopa.com/src/58930157" xr:uid="{1B1CAFE0-E675-4AD5-8015-66A8EBCC5B09}"/>
    <hyperlink ref="J158" r:id="rId635" display="https://www.daloopa.com/src/58873729" xr:uid="{AD09C64D-D312-41A4-9A2B-AE3416BE88CA}"/>
    <hyperlink ref="K158" r:id="rId636" display="https://www.daloopa.com/src/58929977" xr:uid="{2C6EBECE-2650-4DA5-8A25-80040227C5A6}"/>
    <hyperlink ref="L158" r:id="rId637" display="https://www.daloopa.com/src/58815491" xr:uid="{3909C929-B683-4D41-8CD1-58BC2BAE98A1}"/>
    <hyperlink ref="M158" r:id="rId638" display="https://www.daloopa.com/src/58815501" xr:uid="{0139BB26-47E5-4E2C-8162-147BE1D26D1D}"/>
    <hyperlink ref="N158" r:id="rId639" display="https://www.daloopa.com/src/58805154" xr:uid="{6E710E21-D9A5-4EA7-9B12-A7A347F095C0}"/>
    <hyperlink ref="O158" r:id="rId640" display="https://www.daloopa.com/src/58800562" xr:uid="{18DE8B70-A496-466A-B474-28FCAEA5CD95}"/>
    <hyperlink ref="P158" r:id="rId641" display="https://www.daloopa.com/src/59368466" xr:uid="{3E5E474A-DFC5-4DEF-95CF-8873FA1E2C37}"/>
    <hyperlink ref="A159" r:id="rId642" xr:uid="{EA1B2B62-2AE8-4455-9CC7-E839A1D3C031}"/>
    <hyperlink ref="F159" r:id="rId643" display="https://www.daloopa.com/src/58930149" xr:uid="{323B0999-DF61-4290-8A5D-B53E26A163FD}"/>
    <hyperlink ref="J159" r:id="rId644" display="https://www.daloopa.com/src/58873737" xr:uid="{1858375B-478D-4E6D-887A-F24A4F948B0A}"/>
    <hyperlink ref="K159" r:id="rId645" display="https://www.daloopa.com/src/58929978" xr:uid="{0452C8DC-3F3E-4B2A-9CAA-8E38C3D021CF}"/>
    <hyperlink ref="L159" r:id="rId646" display="https://www.daloopa.com/src/58815489" xr:uid="{1CE8DB2E-9D9A-47B9-9773-517E2BF65A9D}"/>
    <hyperlink ref="M159" r:id="rId647" display="https://www.daloopa.com/src/58815504" xr:uid="{EEC98F86-4FFF-4FAE-94F8-89D0B4EB2F47}"/>
    <hyperlink ref="N159" r:id="rId648" display="https://www.daloopa.com/src/58805152" xr:uid="{0F372647-F96D-450C-A59E-56F9B84AB2F8}"/>
    <hyperlink ref="O159" r:id="rId649" display="https://www.daloopa.com/src/58800565" xr:uid="{461ED7C4-4093-46CE-AD08-67D38C6CABBB}"/>
    <hyperlink ref="P159" r:id="rId650" display="https://www.daloopa.com/src/59368471" xr:uid="{ED584BB5-8677-4CF6-9972-E05FA88FDE43}"/>
    <hyperlink ref="A160" r:id="rId651" xr:uid="{403A709D-0F21-4E75-87DE-9139B100828B}"/>
    <hyperlink ref="G160" r:id="rId652" display="https://www.daloopa.com/src/59756360" xr:uid="{55BA7CA9-283D-494D-8F41-C5B9A54C6959}"/>
    <hyperlink ref="A161" r:id="rId653" xr:uid="{5616C7F2-0E0B-4F0C-9D1E-A8778CC0FE74}"/>
    <hyperlink ref="F161" r:id="rId654" display="https://www.daloopa.com/src/58930158" xr:uid="{002792D3-BCBD-4146-A230-961A3B2ED357}"/>
    <hyperlink ref="J161" r:id="rId655" display="https://www.daloopa.com/src/58873736" xr:uid="{5B93EB4B-7452-4F65-AA2A-8EDB6194A282}"/>
    <hyperlink ref="K161" r:id="rId656" display="https://www.daloopa.com/src/58929981" xr:uid="{F3B6F26A-CC5E-4942-927F-ADB1B88E0BDE}"/>
    <hyperlink ref="L161" r:id="rId657" display="https://www.daloopa.com/src/58815488" xr:uid="{F051F3EA-24E2-4E9C-A4FF-1E345EFB5994}"/>
    <hyperlink ref="M161" r:id="rId658" display="https://www.daloopa.com/src/58815505" xr:uid="{42D72FF6-2407-4B92-AB35-E70393366129}"/>
    <hyperlink ref="N161" r:id="rId659" display="https://www.daloopa.com/src/58805150" xr:uid="{D9CAAC5D-C8EC-4399-A0B3-055DEA878B63}"/>
    <hyperlink ref="O161" r:id="rId660" display="https://www.daloopa.com/src/58800564" xr:uid="{8495D054-2314-4274-BB5D-E0A7708E445B}"/>
    <hyperlink ref="P161" r:id="rId661" display="https://www.daloopa.com/src/59368472" xr:uid="{6772D864-D9BA-4253-B0CA-317ACA769EE7}"/>
    <hyperlink ref="A162" r:id="rId662" xr:uid="{C5DD7FDC-C66D-4649-8522-7654F85986AC}"/>
    <hyperlink ref="F162" r:id="rId663" display="https://www.daloopa.com/src/58930156" xr:uid="{DD3553C9-037D-4951-AD81-90051DB1B4B9}"/>
    <hyperlink ref="J162" r:id="rId664" display="https://www.daloopa.com/src/58873731" xr:uid="{F25F9F2B-17E4-441B-8159-BE1A0DF35B12}"/>
    <hyperlink ref="K162" r:id="rId665" display="https://www.daloopa.com/src/58929973" xr:uid="{D8048A6B-A026-41F7-B288-2C54DF2B97E4}"/>
    <hyperlink ref="L162" r:id="rId666" display="https://www.daloopa.com/src/58815486" xr:uid="{3ADF4BEB-34C3-4109-9A75-F00014EA91D7}"/>
    <hyperlink ref="M162" r:id="rId667" display="https://www.daloopa.com/src/58815499" xr:uid="{00130F0F-96BE-43C8-AD3B-87D66F4C3DA9}"/>
    <hyperlink ref="N162" r:id="rId668" display="https://www.daloopa.com/src/58805148" xr:uid="{F6E23816-53AA-4328-8882-FB446A2CD871}"/>
    <hyperlink ref="O162" r:id="rId669" display="https://www.daloopa.com/src/58800561" xr:uid="{8DF5BDE6-C958-42F9-B638-4BF6A4F0D912}"/>
    <hyperlink ref="P162" r:id="rId670" display="https://www.daloopa.com/src/59368462" xr:uid="{A5A31532-DEC8-4169-8165-E8AA33E0E11D}"/>
    <hyperlink ref="A163" r:id="rId671" xr:uid="{C8774084-C280-4C00-96B7-AAA2EF757BBA}"/>
    <hyperlink ref="F163" r:id="rId672" display="https://www.daloopa.com/src/58930152" xr:uid="{CB238189-87BA-4239-90AE-23A46507B42C}"/>
    <hyperlink ref="J163" r:id="rId673" display="https://www.daloopa.com/src/58873735" xr:uid="{980791CD-12FF-431B-AF74-A081C60C92C1}"/>
    <hyperlink ref="K163" r:id="rId674" display="https://www.daloopa.com/src/58929979" xr:uid="{AC5066ED-86E6-4D94-B3D8-3BF3A3BC967F}"/>
    <hyperlink ref="L163" r:id="rId675" display="https://www.daloopa.com/src/58815483" xr:uid="{AE42B3BE-BD46-46F0-8D77-1100D7722BA6}"/>
    <hyperlink ref="M163" r:id="rId676" display="https://www.daloopa.com/src/58815503" xr:uid="{EE15638E-ED8E-4A76-B6A9-B5968F92C1A5}"/>
    <hyperlink ref="N163" r:id="rId677" display="https://www.daloopa.com/src/58805146" xr:uid="{064E3162-0F43-464B-8378-3109CE381822}"/>
    <hyperlink ref="O163" r:id="rId678" display="https://www.daloopa.com/src/58800563" xr:uid="{AB7382A0-5B8F-44EB-9A70-E7B6371F9DB2}"/>
    <hyperlink ref="P163" r:id="rId679" display="https://www.daloopa.com/src/59368468" xr:uid="{14B0EF50-2FA3-4A52-BFA6-6857D03A05B7}"/>
    <hyperlink ref="A164" r:id="rId680" xr:uid="{2A1CF428-F603-406C-87D5-D8C217A6AAB1}"/>
    <hyperlink ref="F164" r:id="rId681" display="https://www.daloopa.com/src/58930161" xr:uid="{6DB1EE14-0861-416B-A7CB-52282BF20EE9}"/>
    <hyperlink ref="J164" r:id="rId682" display="https://www.daloopa.com/src/58873732" xr:uid="{CDF7D0F2-F5CE-498B-B48D-9B0B0DD652B6}"/>
    <hyperlink ref="K164" r:id="rId683" display="https://www.daloopa.com/src/58929980" xr:uid="{BBDB1E6C-DA8D-4246-8493-C26DB0505A73}"/>
    <hyperlink ref="L164" r:id="rId684" display="https://www.daloopa.com/src/58815482" xr:uid="{C7C4B571-DD5F-466B-89D0-E7216B16BF0E}"/>
    <hyperlink ref="M164" r:id="rId685" display="https://www.daloopa.com/src/58815493" xr:uid="{DC26D424-2F22-4CD9-81FD-B831F288FFD0}"/>
    <hyperlink ref="N164" r:id="rId686" display="https://www.daloopa.com/src/58805144" xr:uid="{95C4AD0C-EAC8-43DA-9A20-D1D3F5956EA5}"/>
    <hyperlink ref="O164" r:id="rId687" display="https://www.daloopa.com/src/58800566" xr:uid="{72C94160-76DE-4B04-A6A0-501128D9A262}"/>
    <hyperlink ref="P164" r:id="rId688" display="https://www.daloopa.com/src/59368473" xr:uid="{1EC2BFA9-5111-4A2E-89D8-834B875C1353}"/>
    <hyperlink ref="A165" r:id="rId689" xr:uid="{28E88C21-9CB5-4E87-9653-AB29714B073C}"/>
    <hyperlink ref="F165" r:id="rId690" display="https://www.daloopa.com/src/58930160" xr:uid="{5D035A44-9A0A-4F88-A867-FEF9B6E98C94}"/>
    <hyperlink ref="J165" r:id="rId691" display="https://www.daloopa.com/src/58873728" xr:uid="{2222E8BB-D183-40DC-B5C3-105862E36F06}"/>
    <hyperlink ref="K165" r:id="rId692" display="https://www.daloopa.com/src/58929974" xr:uid="{A7033E22-EBC7-4856-BC30-E818A13B17C1}"/>
    <hyperlink ref="L165" r:id="rId693" display="https://www.daloopa.com/src/58815481" xr:uid="{0319CE75-2626-41B2-93AC-895053886CF0}"/>
    <hyperlink ref="M165" r:id="rId694" display="https://www.daloopa.com/src/58815495" xr:uid="{DFFCF52C-325B-4376-A482-E9F6C44ED0AF}"/>
    <hyperlink ref="N165" r:id="rId695" display="https://www.daloopa.com/src/58805142" xr:uid="{20FA2EB0-35BB-4F21-B9B4-CFA32D9E0014}"/>
    <hyperlink ref="O165" r:id="rId696" display="https://www.daloopa.com/src/58800554" xr:uid="{3B8F80A8-6FA4-4AF7-936D-BD7AED3348E0}"/>
    <hyperlink ref="P165" r:id="rId697" display="https://www.daloopa.com/src/59368467" xr:uid="{0F900741-BFDE-4D61-93D3-1C51552D7038}"/>
    <hyperlink ref="A167" r:id="rId698" xr:uid="{81FE8441-9E09-40F7-A257-30254A70B11F}"/>
    <hyperlink ref="F167" r:id="rId699" display="https://www.daloopa.com/src/58930159" xr:uid="{B22182D3-7EB5-4410-964A-021919A7AE76}"/>
    <hyperlink ref="J167" r:id="rId700" display="https://www.daloopa.com/src/58873727" xr:uid="{151053FF-86B0-4D4E-9DCD-ED08E948AA5A}"/>
    <hyperlink ref="K167" r:id="rId701" display="https://www.daloopa.com/src/58929976" xr:uid="{A729BF06-B6CA-4617-BBE8-CB28CC6F5B37}"/>
    <hyperlink ref="L167" r:id="rId702" display="https://www.daloopa.com/src/58815480" xr:uid="{5826AB1D-211F-4628-92CD-97CDF3B2DC02}"/>
    <hyperlink ref="M167" r:id="rId703" display="https://www.daloopa.com/src/58815496" xr:uid="{439B4451-1300-4529-93E9-CDD6EEBEA4D5}"/>
    <hyperlink ref="N167" r:id="rId704" display="https://www.daloopa.com/src/58805141" xr:uid="{68ADADD8-E1E3-4BE5-BDF8-E049F6758B1D}"/>
    <hyperlink ref="O167" r:id="rId705" display="https://www.daloopa.com/src/58800559" xr:uid="{879390D0-05B8-4D4C-B87A-6C178ACDD224}"/>
    <hyperlink ref="P167" r:id="rId706" display="https://www.daloopa.com/src/59368463" xr:uid="{41156134-1782-49B3-8394-1AE60DF22DB0}"/>
    <hyperlink ref="A168" r:id="rId707" xr:uid="{04A70997-246A-4731-8949-3C95C5E0D2FE}"/>
    <hyperlink ref="F168" r:id="rId708" display="https://www.daloopa.com/src/58930151" xr:uid="{F4635271-F3F7-4CF4-90C9-BF5E1CB73387}"/>
    <hyperlink ref="J168" r:id="rId709" display="https://www.daloopa.com/src/58873739" xr:uid="{AE99ADCE-F8AE-4AB5-8EEB-359CCFE8833A}"/>
    <hyperlink ref="K168" r:id="rId710" display="https://www.daloopa.com/src/58929975" xr:uid="{E51712B9-8791-42E6-B9BE-0D69442D9020}"/>
    <hyperlink ref="L168" r:id="rId711" display="https://www.daloopa.com/src/58815479" xr:uid="{FDD0DD75-2464-4007-AEB8-C8FF69C1F857}"/>
    <hyperlink ref="M168" r:id="rId712" display="https://www.daloopa.com/src/58815498" xr:uid="{BAB07458-467B-44BB-B0FD-AEC6644EAE1B}"/>
    <hyperlink ref="N168" r:id="rId713" display="https://www.daloopa.com/src/58805143" xr:uid="{E3B77B43-44D1-4844-B088-29AB913A55B7}"/>
    <hyperlink ref="O168" r:id="rId714" display="https://www.daloopa.com/src/58800558" xr:uid="{CF8F5B4E-8691-4ECC-8312-3C9C4BB3C0C3}"/>
    <hyperlink ref="P168" r:id="rId715" display="https://www.daloopa.com/src/59368464" xr:uid="{0F532AA3-7A9A-4A6E-9303-234DEF3AC586}"/>
    <hyperlink ref="A169" r:id="rId716" xr:uid="{6D3BDED4-8358-4750-96B8-CD8CC85FF26E}"/>
    <hyperlink ref="F169" r:id="rId717" display="https://www.daloopa.com/src/58930148" xr:uid="{90CF44CD-1FB5-4B21-8B2F-29BB3E290A1C}"/>
    <hyperlink ref="J169" r:id="rId718" display="https://www.daloopa.com/src/58873730" xr:uid="{1D38B9EC-13AD-4467-92F4-D83AA63FC9BC}"/>
    <hyperlink ref="K169" r:id="rId719" display="https://www.daloopa.com/src/58929982" xr:uid="{7FFE5AF1-9985-4DB6-94E3-C3BEB12B3277}"/>
    <hyperlink ref="L169" r:id="rId720" display="https://www.daloopa.com/src/58815490" xr:uid="{E031A9DA-6B11-4B5D-9794-1B387A62A0A4}"/>
    <hyperlink ref="M169" r:id="rId721" display="https://www.daloopa.com/src/58815502" xr:uid="{40DD2881-2822-4F45-A1D4-EA3FD7EB10C4}"/>
    <hyperlink ref="N169" r:id="rId722" display="https://www.daloopa.com/src/58805145" xr:uid="{34F12D8B-43CB-42D7-8F94-C9C8B8E15877}"/>
    <hyperlink ref="O169" r:id="rId723" display="https://www.daloopa.com/src/58800556" xr:uid="{A86E8BC8-5F5B-4F40-9971-1714AC410473}"/>
    <hyperlink ref="P169" r:id="rId724" display="https://www.daloopa.com/src/59368469" xr:uid="{6A330A40-63B7-439C-89A3-1261C5851C24}"/>
    <hyperlink ref="A170" r:id="rId725" xr:uid="{13DE7B91-0DAD-41D4-92E3-29D579AAA097}"/>
    <hyperlink ref="F170" r:id="rId726" display="https://www.daloopa.com/src/58930153" xr:uid="{CBC5A2FC-D575-4C99-8CCC-086AAB26E3BD}"/>
    <hyperlink ref="J170" r:id="rId727" display="https://www.daloopa.com/src/58873740" xr:uid="{C52C06FE-BF3C-46A5-BB3D-3B8EE9AE3375}"/>
    <hyperlink ref="K170" r:id="rId728" display="https://www.daloopa.com/src/58929983" xr:uid="{57084BBF-56BF-4A6D-A6F8-EFD1690A997F}"/>
    <hyperlink ref="L170" r:id="rId729" display="https://www.daloopa.com/src/58815478" xr:uid="{CC096B23-CABB-471F-A5A7-825F35C06C33}"/>
    <hyperlink ref="M170" r:id="rId730" display="https://www.daloopa.com/src/58815500" xr:uid="{D7A7B6EE-FDBA-4BCB-95D6-34BEA9A25705}"/>
    <hyperlink ref="N170" r:id="rId731" display="https://www.daloopa.com/src/58805147" xr:uid="{7F9176BF-0901-455E-9EA8-40D3C7FB5A0A}"/>
    <hyperlink ref="O170" r:id="rId732" display="https://www.daloopa.com/src/58800557" xr:uid="{AF57B32F-05EF-4122-9BB9-5F9749E9CF4A}"/>
    <hyperlink ref="P170" r:id="rId733" display="https://www.daloopa.com/src/59368465" xr:uid="{0B0598F0-A09F-427F-919E-0C790F694B3B}"/>
    <hyperlink ref="A171" r:id="rId734" xr:uid="{96BBFBAA-7E15-4F74-BAB6-5E704A22D125}"/>
    <hyperlink ref="F171" r:id="rId735" display="https://www.daloopa.com/src/58930150" xr:uid="{46D81AB0-F225-4F34-9830-688255B2AC17}"/>
    <hyperlink ref="J171" r:id="rId736" display="https://www.daloopa.com/src/58873733" xr:uid="{C40D3368-6F20-468B-B66B-151D0FD79B18}"/>
    <hyperlink ref="K171" r:id="rId737" display="https://www.daloopa.com/src/58929970" xr:uid="{C397008C-7576-4277-AA47-DE95145188B6}"/>
    <hyperlink ref="L171" r:id="rId738" display="https://www.daloopa.com/src/58815484" xr:uid="{3F5B57F5-FAB3-43EF-8BDF-3DB0EBB7D528}"/>
    <hyperlink ref="M171" r:id="rId739" display="https://www.daloopa.com/src/58815497" xr:uid="{4E6AAD01-9797-419B-861E-2EB44611B8A2}"/>
    <hyperlink ref="N171" r:id="rId740" display="https://www.daloopa.com/src/58805149" xr:uid="{19CCA6AE-BA7F-4382-95D7-C22C057E04D5}"/>
    <hyperlink ref="O171" r:id="rId741" display="https://www.daloopa.com/src/58800567" xr:uid="{8B2E25FD-6640-48F5-8F53-98E660ADB47F}"/>
    <hyperlink ref="P171" r:id="rId742" display="https://www.daloopa.com/src/59368474" xr:uid="{06C21678-83A7-466F-B2C1-E7F63DB8AF2A}"/>
    <hyperlink ref="A172" r:id="rId743" xr:uid="{CE3B1D91-2C2E-4410-B51C-A3399BF0406C}"/>
    <hyperlink ref="F172" r:id="rId744" display="https://www.daloopa.com/src/58930155" xr:uid="{86C5650A-B62F-4E14-8349-5F72EF53CD08}"/>
    <hyperlink ref="J172" r:id="rId745" display="https://www.daloopa.com/src/58873734" xr:uid="{4B2E41FE-9A17-486B-A97F-92B62F45B80E}"/>
    <hyperlink ref="K172" r:id="rId746" display="https://www.daloopa.com/src/58929971" xr:uid="{F058CF05-BBA0-48DC-9592-78354FC90003}"/>
    <hyperlink ref="L172" r:id="rId747" display="https://www.daloopa.com/src/58815487" xr:uid="{5EC649CB-6842-4D66-9902-A309B5710384}"/>
    <hyperlink ref="M172" r:id="rId748" display="https://www.daloopa.com/src/58815494" xr:uid="{47925437-B1F8-4FFE-88AD-4497A7174EDC}"/>
    <hyperlink ref="N172" r:id="rId749" display="https://www.daloopa.com/src/58805151" xr:uid="{68546974-00D9-488C-820C-2B35F45E8D8A}"/>
    <hyperlink ref="O172" r:id="rId750" display="https://www.daloopa.com/src/58800555" xr:uid="{AF26608D-10A9-42AE-B873-1AC994D5AD00}"/>
    <hyperlink ref="P172" r:id="rId751" display="https://www.daloopa.com/src/59368470" xr:uid="{9BD0A55A-6B05-465F-90E2-30C845719626}"/>
    <hyperlink ref="A173" r:id="rId752" xr:uid="{994431CA-D34A-48C6-87B2-7D2A9FA538F0}"/>
    <hyperlink ref="F173" r:id="rId753" display="https://www.daloopa.com/src/58930154" xr:uid="{6E805F28-CF9D-4854-A6D4-A4998B73D01F}"/>
    <hyperlink ref="G173" r:id="rId754" display="https://www.daloopa.com/src/59756361" xr:uid="{F3F797D8-F017-43DE-A3FB-87235C8E4ACB}"/>
    <hyperlink ref="J173" r:id="rId755" display="https://www.daloopa.com/src/58873738" xr:uid="{73A1F4CB-8355-42B6-A759-EEB0215CDF2A}"/>
    <hyperlink ref="K173" r:id="rId756" display="https://www.daloopa.com/src/58929972" xr:uid="{AD3CC656-0808-4A75-B2B0-E928D9C5BD65}"/>
    <hyperlink ref="L173" r:id="rId757" display="https://www.daloopa.com/src/58815485" xr:uid="{D3951573-86AD-4260-BA3B-CBFB9876AB36}"/>
    <hyperlink ref="M173" r:id="rId758" display="https://www.daloopa.com/src/58815492" xr:uid="{88CE39F4-1576-4CC7-800E-4A9E980AA78A}"/>
    <hyperlink ref="N173" r:id="rId759" display="https://www.daloopa.com/src/58805153" xr:uid="{BCDADE6F-32EA-4FD7-AE60-96B60A3827AD}"/>
    <hyperlink ref="O173" r:id="rId760" display="https://www.daloopa.com/src/58800560" xr:uid="{FC60E762-3DD7-43E1-BCCB-914879217413}"/>
    <hyperlink ref="P173" r:id="rId761" display="https://www.daloopa.com/src/59368461" xr:uid="{87F854D6-9E7D-46D0-B20B-07706F4D0017}"/>
    <hyperlink ref="A178" r:id="rId762" xr:uid="{2062F11A-616D-46EF-8006-11866C401148}"/>
    <hyperlink ref="F178" r:id="rId763" display="https://www.daloopa.com/src/58930195" xr:uid="{1D4977F2-C210-4EC2-BDC0-13F297C8F565}"/>
    <hyperlink ref="J178" r:id="rId764" display="https://www.daloopa.com/src/58873797" xr:uid="{701C4039-1941-41EB-B077-E071049C395C}"/>
    <hyperlink ref="K178" r:id="rId765" display="https://www.daloopa.com/src/58930011" xr:uid="{6CDDDB56-DE03-4708-86D9-55EB934911A6}"/>
    <hyperlink ref="L178" r:id="rId766" display="https://www.daloopa.com/src/58815541" xr:uid="{E8DA16A2-2EEF-4855-95B2-056FEFC46794}"/>
    <hyperlink ref="M178" r:id="rId767" display="https://www.daloopa.com/src/58815516" xr:uid="{543BA2AC-F6E2-4E2A-8DC0-A6998627A3A3}"/>
    <hyperlink ref="N178" r:id="rId768" display="https://www.daloopa.com/src/58805323" xr:uid="{0EB3B4FB-57FB-4F9B-8010-9C93FED4B31F}"/>
    <hyperlink ref="O178" r:id="rId769" display="https://www.daloopa.com/src/58800596" xr:uid="{D2C9C61D-08E9-4A4F-9691-939AFABCEF15}"/>
    <hyperlink ref="P178" r:id="rId770" display="https://www.daloopa.com/src/59368484" xr:uid="{D1D9B1AB-982D-4430-B35A-264F601B7A92}"/>
    <hyperlink ref="A179" r:id="rId771" xr:uid="{03AF086B-6D09-4B0F-9045-4F9BAB0C0B2C}"/>
    <hyperlink ref="F179" r:id="rId772" display="https://www.daloopa.com/src/58930194" xr:uid="{632F6C2A-BDDA-4D9F-B22E-8A97B6D750CE}"/>
    <hyperlink ref="J179" r:id="rId773" display="https://www.daloopa.com/src/58873798" xr:uid="{DC1D2DDD-4022-4884-958B-004D20D6C26F}"/>
    <hyperlink ref="K179" r:id="rId774" display="https://www.daloopa.com/src/58930005" xr:uid="{DAAAF5D2-87F4-46A6-946B-C94B3640F2D3}"/>
    <hyperlink ref="L179" r:id="rId775" display="https://www.daloopa.com/src/58815542" xr:uid="{E124E96E-A9B8-4DC3-AF13-4F60D8E95606}"/>
    <hyperlink ref="M179" r:id="rId776" display="https://www.daloopa.com/src/58815515" xr:uid="{BF938C0F-18CB-4534-B9E0-7D4BD9981EF2}"/>
    <hyperlink ref="N179" r:id="rId777" display="https://www.daloopa.com/src/58805332" xr:uid="{21B21C8E-187C-4798-801F-D9BC8DE62620}"/>
    <hyperlink ref="O179" r:id="rId778" display="https://www.daloopa.com/src/58800590" xr:uid="{BC3997E1-665F-49B0-BC1D-3FDE30029F9B}"/>
    <hyperlink ref="P179" r:id="rId779" display="https://www.daloopa.com/src/59368485" xr:uid="{2A737473-C589-4CD7-90DC-A7B4C8FB488A}"/>
    <hyperlink ref="A180" r:id="rId780" xr:uid="{51089BE1-4BBA-49BD-AC4B-9237B7C2517C}"/>
    <hyperlink ref="F180" r:id="rId781" display="https://www.daloopa.com/src/58930196" xr:uid="{46F24CC4-51F4-4D31-81E8-1CB62E7642F1}"/>
    <hyperlink ref="J180" r:id="rId782" display="https://www.daloopa.com/src/58873793" xr:uid="{8515D9E0-837D-42A0-9C43-76052490A786}"/>
    <hyperlink ref="K180" r:id="rId783" display="https://www.daloopa.com/src/58930006" xr:uid="{E04C3543-A907-4D76-97D0-0069E1A37B04}"/>
    <hyperlink ref="L180" r:id="rId784" display="https://www.daloopa.com/src/58815540" xr:uid="{7C1A114D-4D6D-4E71-A4F3-0C7E4EFB46CA}"/>
    <hyperlink ref="M180" r:id="rId785" display="https://www.daloopa.com/src/58815517" xr:uid="{17BC4243-472E-44DB-8652-B5D9514F0186}"/>
    <hyperlink ref="N180" r:id="rId786" display="https://www.daloopa.com/src/58805329" xr:uid="{720F1EBD-418A-4D5C-8060-E63200402C8C}"/>
    <hyperlink ref="O180" r:id="rId787" display="https://www.daloopa.com/src/58800591" xr:uid="{C134AD2D-2AA1-4FB3-BA18-0FDB561BAA3A}"/>
    <hyperlink ref="P180" r:id="rId788" display="https://www.daloopa.com/src/59368482" xr:uid="{C981EACC-A4E2-4BF7-84BF-C03EE21D244F}"/>
    <hyperlink ref="A181" r:id="rId789" xr:uid="{895BE53B-F1DF-4ACB-B63D-E7481F0010ED}"/>
    <hyperlink ref="O181" r:id="rId790" display="https://www.daloopa.com/src/58800603" xr:uid="{3CBE2308-9AD2-4857-A50F-86F4BA2679E6}"/>
    <hyperlink ref="P181" r:id="rId791" display="https://www.daloopa.com/src/59368490" xr:uid="{012C6CA4-C2C0-4146-AB5A-6E9EFDEDCA05}"/>
    <hyperlink ref="A182" r:id="rId792" xr:uid="{97E5FE8B-EF73-47D6-A7C8-F373AD32EE6D}"/>
    <hyperlink ref="J182" r:id="rId793" display="https://www.daloopa.com/src/58873790" xr:uid="{A62A1E4B-15F1-4843-B178-317ADAF2E97C}"/>
    <hyperlink ref="K182" r:id="rId794" display="https://www.daloopa.com/src/58930014" xr:uid="{206CAEEF-BA09-4C36-8448-156725F0798C}"/>
    <hyperlink ref="A183" r:id="rId795" xr:uid="{C875E444-257B-4F41-A06D-6995FEE83820}"/>
    <hyperlink ref="F183" r:id="rId796" display="https://www.daloopa.com/src/58930197" xr:uid="{B87D1E1F-9961-418D-95D0-71B4348421D8}"/>
    <hyperlink ref="J183" r:id="rId797" display="https://www.daloopa.com/src/58873788" xr:uid="{DD152984-ECC0-4624-AB37-D41E4201A9D7}"/>
    <hyperlink ref="K183" r:id="rId798" display="https://www.daloopa.com/src/58930013" xr:uid="{DAC6EEB2-E83F-44B2-9525-ED304D31045D}"/>
    <hyperlink ref="L183" r:id="rId799" display="https://www.daloopa.com/src/58815546" xr:uid="{987BAB3D-149B-44D8-9C56-2529CFBF057D}"/>
    <hyperlink ref="M183" r:id="rId800" display="https://www.daloopa.com/src/58815522" xr:uid="{87EF2B6B-841E-4A6D-9045-A161FDD52B7E}"/>
    <hyperlink ref="N183" r:id="rId801" display="https://www.daloopa.com/src/58805335" xr:uid="{DF20DC40-D40B-4C83-9C47-D83769BF76B6}"/>
    <hyperlink ref="O183" r:id="rId802" display="https://www.daloopa.com/src/58800597" xr:uid="{9F245CCD-B4B8-4438-A104-CDC462C159E7}"/>
    <hyperlink ref="P183" r:id="rId803" display="https://www.daloopa.com/src/59368487" xr:uid="{189CF19B-806E-425B-BB29-AA6C23C31189}"/>
    <hyperlink ref="A184" r:id="rId804" xr:uid="{CC52EE9E-49BA-4108-A6C1-122C062CF53A}"/>
    <hyperlink ref="F184" r:id="rId805" display="https://www.daloopa.com/src/58930193" xr:uid="{95E857B1-C53F-41CA-95D3-E2C616518313}"/>
    <hyperlink ref="J184" r:id="rId806" display="https://www.daloopa.com/src/58873796" xr:uid="{2883048F-2767-441A-B27A-4E67E3CD4A54}"/>
    <hyperlink ref="K184" r:id="rId807" display="https://www.daloopa.com/src/58930015" xr:uid="{860797C4-6630-435E-A946-9ADEB9B56D19}"/>
    <hyperlink ref="L184" r:id="rId808" display="https://www.daloopa.com/src/58815547" xr:uid="{7A6FD7AF-91E1-47A8-86A1-F44F254C9952}"/>
    <hyperlink ref="M184" r:id="rId809" display="https://www.daloopa.com/src/58815527" xr:uid="{C4BAA15C-E538-499D-8E34-ED197E563266}"/>
    <hyperlink ref="N184" r:id="rId810" display="https://www.daloopa.com/src/58805327" xr:uid="{6D9AE9E1-AD7C-4444-960C-EEBAD9C57E3D}"/>
    <hyperlink ref="O184" r:id="rId811" display="https://www.daloopa.com/src/58800602" xr:uid="{9E522026-875A-4E63-9A39-89B5CDF54F0F}"/>
    <hyperlink ref="P184" r:id="rId812" display="https://www.daloopa.com/src/59368492" xr:uid="{14F9BAF0-44F3-43E9-970F-0E337E64DB53}"/>
    <hyperlink ref="A185" r:id="rId813" xr:uid="{71761D1D-1851-4160-9E32-107E6985B17E}"/>
    <hyperlink ref="F185" r:id="rId814" display="https://www.daloopa.com/src/58930181" xr:uid="{94EC7F08-63EC-4C0F-9ECC-DF0B73C53167}"/>
    <hyperlink ref="J185" r:id="rId815" display="https://www.daloopa.com/src/58873799" xr:uid="{1C792CEA-CFAF-4FC1-BFF0-746103FB38BD}"/>
    <hyperlink ref="K185" r:id="rId816" display="https://www.daloopa.com/src/58930008" xr:uid="{DB3703E1-3644-49AD-8B6A-ACD4934CBF3E}"/>
    <hyperlink ref="L185" r:id="rId817" display="https://www.daloopa.com/src/58815534" xr:uid="{D15B9D13-9E2B-4BCF-AFBB-FD1D8288C040}"/>
    <hyperlink ref="M185" r:id="rId818" display="https://www.daloopa.com/src/58815525" xr:uid="{98BA46E2-C059-4E15-9D9A-7670ADA84B22}"/>
    <hyperlink ref="N185" r:id="rId819" display="https://www.daloopa.com/src/58805334" xr:uid="{7C7C0380-7D09-4137-8265-E3A720936811}"/>
    <hyperlink ref="O185" r:id="rId820" display="https://www.daloopa.com/src/58800594" xr:uid="{A429F0A7-3E98-4A97-B6B2-EAFCBE81B9DB}"/>
    <hyperlink ref="P185" r:id="rId821" display="https://www.daloopa.com/src/59368483" xr:uid="{7019A225-EEC1-493D-8AB9-0309965CD86F}"/>
    <hyperlink ref="A187" r:id="rId822" xr:uid="{E363CA30-6C86-4524-998E-6369AFA9581F}"/>
    <hyperlink ref="F187" r:id="rId823" display="https://www.daloopa.com/src/58930184" xr:uid="{9095673D-BC90-4E8D-B37C-AB7A84972FA1}"/>
    <hyperlink ref="J187" r:id="rId824" display="https://www.daloopa.com/src/58873787" xr:uid="{45C83BE1-E57D-4B9E-819E-F357305804DE}"/>
    <hyperlink ref="K187" r:id="rId825" display="https://www.daloopa.com/src/58930009" xr:uid="{6B68BD8F-F9E2-4F28-B71C-83D29195F071}"/>
    <hyperlink ref="L187" r:id="rId826" display="https://www.daloopa.com/src/58815532" xr:uid="{AAC79CC5-10AD-4AA3-B052-62BF0E640E35}"/>
    <hyperlink ref="M187" r:id="rId827" display="https://www.daloopa.com/src/58815524" xr:uid="{334B9339-C35E-47ED-B1A5-4A1511BB178E}"/>
    <hyperlink ref="N187" r:id="rId828" display="https://www.daloopa.com/src/58805336" xr:uid="{282FB798-5DA8-49B4-9187-2B5A9E36D653}"/>
    <hyperlink ref="O187" r:id="rId829" display="https://www.daloopa.com/src/58800592" xr:uid="{27B17B17-0048-4E08-93EF-D95DE9992A0B}"/>
    <hyperlink ref="P187" r:id="rId830" display="https://www.daloopa.com/src/59368481" xr:uid="{E9C80BBD-CC39-4646-AEC5-BFE6DBF34850}"/>
    <hyperlink ref="A188" r:id="rId831" xr:uid="{90B26CD5-CFB7-426C-9814-38BF625FD81A}"/>
    <hyperlink ref="F188" r:id="rId832" display="https://www.daloopa.com/src/58930185" xr:uid="{4DFFF3C3-7DEC-4B73-B194-B8F26A2F3BF6}"/>
    <hyperlink ref="J188" r:id="rId833" display="https://www.daloopa.com/src/58873789" xr:uid="{D61BD5C8-C8D9-46A0-9B18-52D9213F8C9C}"/>
    <hyperlink ref="K188" r:id="rId834" display="https://www.daloopa.com/src/58930007" xr:uid="{EECD0B73-834C-476B-BB05-B7A12FAEF803}"/>
    <hyperlink ref="L188" r:id="rId835" display="https://www.daloopa.com/src/58815537" xr:uid="{D605D647-8777-4ACD-B691-058993472DF4}"/>
    <hyperlink ref="M188" r:id="rId836" display="https://www.daloopa.com/src/58815526" xr:uid="{B3FF88E1-A03C-48F8-8D8F-68DC9300794E}"/>
    <hyperlink ref="N188" r:id="rId837" display="https://www.daloopa.com/src/58805337" xr:uid="{BCC5892E-0232-42CF-ADEA-2C7B94EC7C50}"/>
    <hyperlink ref="O188" r:id="rId838" display="https://www.daloopa.com/src/58800595" xr:uid="{D484F6B5-D2E8-4426-B1A0-407B1E9A7FD0}"/>
    <hyperlink ref="P188" r:id="rId839" display="https://www.daloopa.com/src/59368480" xr:uid="{0EB3824D-F517-464C-81A1-EA054CB42520}"/>
    <hyperlink ref="A189" r:id="rId840" xr:uid="{94523CED-6E99-4739-AD6A-4F3FA6409D05}"/>
    <hyperlink ref="O189" r:id="rId841" display="https://www.daloopa.com/src/58800600" xr:uid="{12A3E674-AE72-4020-899F-6EB923D7D1A4}"/>
    <hyperlink ref="P189" r:id="rId842" display="https://www.daloopa.com/src/59368488" xr:uid="{A99EEFEE-16E7-4C2C-87EF-9D3ED2AE395F}"/>
    <hyperlink ref="A190" r:id="rId843" xr:uid="{18A1BB5A-308E-4064-93C5-C124D6E1F806}"/>
    <hyperlink ref="F190" r:id="rId844" display="https://www.daloopa.com/src/58930188" xr:uid="{61FA2C74-8FD5-40A7-8488-C9C5400C9494}"/>
    <hyperlink ref="J190" r:id="rId845" display="https://www.daloopa.com/src/58873795" xr:uid="{2E50169F-F45A-4225-9215-9B9D6083AE0D}"/>
    <hyperlink ref="K190" r:id="rId846" display="https://www.daloopa.com/src/58930012" xr:uid="{9D6F409C-F835-4449-A72A-FB6D74EA5B56}"/>
    <hyperlink ref="L190" r:id="rId847" display="https://www.daloopa.com/src/58815545" xr:uid="{BE78EC28-0C66-487D-AA01-1AE53C0CCA9A}"/>
    <hyperlink ref="M190" r:id="rId848" display="https://www.daloopa.com/src/58815528" xr:uid="{B7DC3725-053A-42C9-AA9C-E52F882032F2}"/>
    <hyperlink ref="N190" r:id="rId849" display="https://www.daloopa.com/src/58805324" xr:uid="{0C27268B-FD1F-4001-9F5A-FA8049616508}"/>
    <hyperlink ref="O190" r:id="rId850" display="https://www.daloopa.com/src/58800601" xr:uid="{23CC1DEA-DEB6-4F33-8F93-EFA9C1798BC8}"/>
    <hyperlink ref="P190" r:id="rId851" display="https://www.daloopa.com/src/59368486" xr:uid="{353F48AE-7AD6-4D8F-8856-A0C9F04C655F}"/>
    <hyperlink ref="A191" r:id="rId852" xr:uid="{AA82100C-8C90-4D96-8025-394B30719C69}"/>
    <hyperlink ref="F191" r:id="rId853" display="https://www.daloopa.com/src/58930186" xr:uid="{E7EA0E2B-BEE2-4DA6-B982-4B1264C0DD25}"/>
    <hyperlink ref="G191" r:id="rId854" display="https://www.daloopa.com/src/59756359" xr:uid="{B6536F7F-735F-4184-9C3D-53925058AA76}"/>
    <hyperlink ref="J191" r:id="rId855" display="https://www.daloopa.com/src/58873784" xr:uid="{B9FC3B5E-EE1D-4C6F-8E2E-0DF23E98CC53}"/>
    <hyperlink ref="K191" r:id="rId856" display="https://www.daloopa.com/src/58930010" xr:uid="{AABCB42C-AA05-4813-B880-5C6F6662FE18}"/>
    <hyperlink ref="L191" r:id="rId857" display="https://www.daloopa.com/src/58815538" xr:uid="{196B7271-6922-4266-9074-D594BA625B5F}"/>
    <hyperlink ref="M191" r:id="rId858" display="https://www.daloopa.com/src/58815523" xr:uid="{8756760D-A4AD-474A-B8B3-CC79DEDD1965}"/>
    <hyperlink ref="N191" r:id="rId859" display="https://www.daloopa.com/src/58805333" xr:uid="{2ADAE203-E014-4DA1-9F90-07217F2BFC81}"/>
    <hyperlink ref="O191" r:id="rId860" display="https://www.daloopa.com/src/58800593" xr:uid="{48C80F28-AEB0-4ADF-BD8E-11F099CD9F3B}"/>
    <hyperlink ref="P191" r:id="rId861" display="https://www.daloopa.com/src/59368479" xr:uid="{FC9C35C4-6F91-458F-8640-8D4F19834E23}"/>
    <hyperlink ref="A194" r:id="rId862" xr:uid="{605C099C-AE1F-472C-876F-C9DF4BCEC265}"/>
    <hyperlink ref="J194" r:id="rId863" display="https://www.daloopa.com/src/58873794" xr:uid="{B359E923-9FE1-4F0E-8BAB-E0749B7A294B}"/>
    <hyperlink ref="K194" r:id="rId864" display="https://www.daloopa.com/src/58930016" xr:uid="{AFFDB0E8-B015-4C39-BA65-26A4FA0CD495}"/>
    <hyperlink ref="L194" r:id="rId865" display="https://www.daloopa.com/src/58815543" xr:uid="{AD516424-F5E4-4138-B3BB-D98589C1253F}"/>
    <hyperlink ref="M194" r:id="rId866" display="https://www.daloopa.com/src/58815529" xr:uid="{471FC2E9-364F-4066-A17E-09896CF8F159}"/>
    <hyperlink ref="N194" r:id="rId867" display="https://www.daloopa.com/src/58805330" xr:uid="{23BF5110-EF51-4FD8-BD22-471C2D351803}"/>
    <hyperlink ref="O194" r:id="rId868" display="https://www.daloopa.com/src/58800599" xr:uid="{2ACEA7DC-322C-4C39-B915-807F0387EEF0}"/>
    <hyperlink ref="P194" r:id="rId869" display="https://www.daloopa.com/src/59368489" xr:uid="{E67606B7-1D9D-4F50-8169-1471F6D7AB04}"/>
    <hyperlink ref="A195" r:id="rId870" xr:uid="{A6B2FDD0-2B0A-45B5-B9F1-91DCF627E349}"/>
    <hyperlink ref="J195" r:id="rId871" display="https://www.daloopa.com/src/58873786" xr:uid="{3BFCE85E-FE28-4D09-9B10-E3D20DEB0443}"/>
    <hyperlink ref="K195" r:id="rId872" display="https://www.daloopa.com/src/58930004" xr:uid="{55DCBC9E-ED1F-4933-A0CA-5BB359078695}"/>
    <hyperlink ref="L195" r:id="rId873" display="https://www.daloopa.com/src/58815533" xr:uid="{37625AE5-D73C-4F93-AC3D-D805F8FFBAED}"/>
    <hyperlink ref="M195" r:id="rId874" display="https://www.daloopa.com/src/58815518" xr:uid="{AFE59FB6-9B0D-4121-A195-93B78946FFEE}"/>
    <hyperlink ref="N195" r:id="rId875" display="https://www.daloopa.com/src/58805325" xr:uid="{9049E73E-5B31-4952-AD89-196515D186DF}"/>
    <hyperlink ref="O195" r:id="rId876" display="https://www.daloopa.com/src/58800589" xr:uid="{32CDB78F-2E49-4940-A96D-D7D6EF493840}"/>
    <hyperlink ref="P195" r:id="rId877" display="https://www.daloopa.com/src/59368478" xr:uid="{52D17185-A008-43B9-8551-1274FB7B550E}"/>
    <hyperlink ref="A196" r:id="rId878" xr:uid="{F3E77C18-03E8-4F6D-8257-1EDB83B1495D}"/>
    <hyperlink ref="F196" r:id="rId879" display="https://www.daloopa.com/src/58930182" xr:uid="{F3697FFE-E30D-46B1-9EF9-1AE904BE2084}"/>
    <hyperlink ref="A197" r:id="rId880" xr:uid="{6DF49450-6726-4540-A44F-323D7BCB8A74}"/>
    <hyperlink ref="F197" r:id="rId881" display="https://www.daloopa.com/src/58930183" xr:uid="{D4B111E5-EC46-4676-BCEF-CE01D1908AC2}"/>
    <hyperlink ref="A198" r:id="rId882" xr:uid="{CBA06E62-B660-456E-A756-59BB6D51E212}"/>
    <hyperlink ref="F198" r:id="rId883" display="https://www.daloopa.com/src/58930187" xr:uid="{96FB274F-D6E2-42A8-8237-F5C05EC1FEEE}"/>
    <hyperlink ref="A199" r:id="rId884" xr:uid="{9608B100-DF89-48BE-911B-2AD1185D3CD5}"/>
    <hyperlink ref="F199" r:id="rId885" display="https://www.daloopa.com/src/58930189" xr:uid="{23F18C66-2CFF-43E1-82BE-787D2379A589}"/>
    <hyperlink ref="J199" r:id="rId886" display="https://www.daloopa.com/src/58873792" xr:uid="{4ECEF518-182B-4CE0-9AA4-29199E8A9D88}"/>
    <hyperlink ref="K199" r:id="rId887" display="https://www.daloopa.com/src/58930020" xr:uid="{8A4B119F-80C8-4290-85CA-0F9447FDFD4B}"/>
    <hyperlink ref="L199" r:id="rId888" display="https://www.daloopa.com/src/58815536" xr:uid="{7AE1B0FA-E41E-4A8B-BB30-079893BFBF41}"/>
    <hyperlink ref="M199" r:id="rId889" display="https://www.daloopa.com/src/58815519" xr:uid="{59C47656-F5E6-49D0-812A-33FCC86875ED}"/>
    <hyperlink ref="N199" r:id="rId890" display="https://www.daloopa.com/src/58805331" xr:uid="{3D0DDECA-5E42-4AB9-9E85-4061CF7CAAE0}"/>
    <hyperlink ref="O199" r:id="rId891" display="https://www.daloopa.com/src/58800588" xr:uid="{0202517D-4B89-41E2-8149-2936D32C628A}"/>
    <hyperlink ref="P199" r:id="rId892" display="https://www.daloopa.com/src/59368491" xr:uid="{85DA11F4-509E-4AC4-9B1B-0EFDB94291ED}"/>
    <hyperlink ref="A200" r:id="rId893" xr:uid="{71CE432A-00DE-4890-90FC-BD498C18526F}"/>
    <hyperlink ref="F200" r:id="rId894" display="https://www.daloopa.com/src/58930191" xr:uid="{0B79988E-BD81-4B62-AB12-5F25321BCF47}"/>
    <hyperlink ref="J200" r:id="rId895" display="https://www.daloopa.com/src/58873791" xr:uid="{1A66E12E-4136-46BC-92F2-BFBCC8A676F0}"/>
    <hyperlink ref="K200" r:id="rId896" display="https://www.daloopa.com/src/58930017" xr:uid="{789D194F-8A01-490D-9754-C67CBA055527}"/>
    <hyperlink ref="L200" r:id="rId897" display="https://www.daloopa.com/src/58815544" xr:uid="{9336BCC6-71AC-460C-A36D-0344A649327F}"/>
    <hyperlink ref="M200" r:id="rId898" display="https://www.daloopa.com/src/58815530" xr:uid="{17C48589-A140-4D5F-9E09-7DA1828C0639}"/>
    <hyperlink ref="N200" r:id="rId899" display="https://www.daloopa.com/src/58805322" xr:uid="{5F81C066-DEB8-4F9F-86AD-F89B79E57E42}"/>
    <hyperlink ref="O200" r:id="rId900" display="https://www.daloopa.com/src/58800598" xr:uid="{ADD02033-0E5F-4AA5-AD4C-011E68C9F8E6}"/>
    <hyperlink ref="P200" r:id="rId901" display="https://www.daloopa.com/src/59368476" xr:uid="{022EA97D-B80A-40EB-B7E4-F2EAC2F99B51}"/>
    <hyperlink ref="A201" r:id="rId902" xr:uid="{06066A92-5AEA-4823-9FE9-A239316736DA}"/>
    <hyperlink ref="F201" r:id="rId903" display="https://www.daloopa.com/src/58930192" xr:uid="{7D3CA254-D242-4C45-878F-7C5092098A0D}"/>
    <hyperlink ref="G201" r:id="rId904" display="https://www.daloopa.com/src/59756358" xr:uid="{77FB9FC4-32C4-4804-B8B3-215156DFF5B9}"/>
    <hyperlink ref="J201" r:id="rId905" display="https://www.daloopa.com/src/58873785" xr:uid="{07474195-41B1-4E47-85FB-0D9DD2CA31FF}"/>
    <hyperlink ref="K201" r:id="rId906" display="https://www.daloopa.com/src/58930019" xr:uid="{5B570AE8-F506-45E8-82B9-AD0DDC1FCAFF}"/>
    <hyperlink ref="L201" r:id="rId907" display="https://www.daloopa.com/src/58815535" xr:uid="{F8E15EDE-1A41-4B68-8135-D00EC40529C0}"/>
    <hyperlink ref="M201" r:id="rId908" display="https://www.daloopa.com/src/58815520" xr:uid="{3419BB75-62AC-4A00-A288-795686CF1985}"/>
    <hyperlink ref="N201" r:id="rId909" display="https://www.daloopa.com/src/58805326" xr:uid="{E87517FD-7D46-4CFD-9B36-8FEBD7021E84}"/>
    <hyperlink ref="O201" r:id="rId910" display="https://www.daloopa.com/src/58800586" xr:uid="{E3AAC22E-15B5-4D40-8FE2-0FBA28AC6FF2}"/>
    <hyperlink ref="P201" r:id="rId911" display="https://www.daloopa.com/src/59368477" xr:uid="{B4420FE9-934D-4A78-89F5-855B6BC671FE}"/>
    <hyperlink ref="A203" r:id="rId912" xr:uid="{646C0CAC-DACC-4562-A340-E1A5213C0C2B}"/>
    <hyperlink ref="F203" r:id="rId913" display="https://www.daloopa.com/src/58930190" xr:uid="{34E16995-3826-4CC5-A4EE-2DAC6FEA5C1A}"/>
    <hyperlink ref="J203" r:id="rId914" display="https://www.daloopa.com/src/58873783" xr:uid="{FBDDC359-FAFA-491D-85E0-8D96DAA62EFF}"/>
    <hyperlink ref="K203" r:id="rId915" display="https://www.daloopa.com/src/58930018" xr:uid="{2F30E9B1-08BB-4AC3-B22E-98BCA2BDAE48}"/>
    <hyperlink ref="L203" r:id="rId916" display="https://www.daloopa.com/src/58815539" xr:uid="{E0F1B568-4DE6-4CE4-B906-C06C6416A119}"/>
    <hyperlink ref="M203" r:id="rId917" display="https://www.daloopa.com/src/58815521" xr:uid="{1CED7F05-EE36-4261-B176-1E30416F8DBE}"/>
    <hyperlink ref="N203" r:id="rId918" display="https://www.daloopa.com/src/58805328" xr:uid="{9A89C419-071F-465C-A14D-DC16A6E702E7}"/>
    <hyperlink ref="O203" r:id="rId919" display="https://www.daloopa.com/src/58800587" xr:uid="{16804232-275D-4D5F-8B30-98A78D952BAD}"/>
    <hyperlink ref="P203" r:id="rId920" display="https://www.daloopa.com/src/59368475" xr:uid="{EC0A41EC-A612-4C62-8130-0EAC3B7112D9}"/>
    <hyperlink ref="A207" r:id="rId921" xr:uid="{155D6648-8793-4AD5-AC91-91656AA1AAB2}"/>
    <hyperlink ref="F207" r:id="rId922" display="https://www.daloopa.com/src/58933598" xr:uid="{BF504537-EEAD-479A-A210-2342DDD2854E}"/>
    <hyperlink ref="G207" r:id="rId923" display="https://www.daloopa.com/src/58934076" xr:uid="{F5C90BCB-FF29-455A-B1B0-25471D192561}"/>
    <hyperlink ref="H207" r:id="rId924" display="https://www.daloopa.com/src/58930741" xr:uid="{1B791601-F1C5-4F9A-AD6B-333F42CA01C8}"/>
    <hyperlink ref="I207" r:id="rId925" display="https://www.daloopa.com/src/58930838" xr:uid="{C1706A19-CB8E-448B-9682-A409706359D0}"/>
    <hyperlink ref="J207" r:id="rId926" display="https://www.daloopa.com/src/58930917" xr:uid="{C57675C2-E3B6-4DE4-8BA2-A4AB1399B992}"/>
    <hyperlink ref="K207" r:id="rId927" display="https://www.daloopa.com/src/58865903" xr:uid="{B7CECB7E-9B4D-4716-980C-AC0A37FE6897}"/>
    <hyperlink ref="L207" r:id="rId928" display="https://www.daloopa.com/src/58815872" xr:uid="{29453269-F277-4C5A-B74A-629A72250AFC}"/>
    <hyperlink ref="M207" r:id="rId929" display="https://www.daloopa.com/src/58815838" xr:uid="{985F0E1F-7765-43AB-B0C1-3755744F03E6}"/>
    <hyperlink ref="N207" r:id="rId930" display="https://www.daloopa.com/src/58815801" xr:uid="{6E29A666-043C-4782-A7D3-E278BBF06221}"/>
    <hyperlink ref="O207" r:id="rId931" display="https://www.daloopa.com/src/58800690" xr:uid="{AFD02C0B-5F5A-4FFA-AA7A-75F6355A5A64}"/>
    <hyperlink ref="P207" r:id="rId932" display="https://www.daloopa.com/src/59368505" xr:uid="{A948D2D0-564C-486B-B793-C5CD876CFAFC}"/>
    <hyperlink ref="R207" r:id="rId933" display="https://www.daloopa.com/src/59379328" xr:uid="{475F9734-2056-4181-8701-BC420C50EF94}"/>
    <hyperlink ref="S207" r:id="rId934" display="https://www.daloopa.com/src/59379329" xr:uid="{AF5DC776-2A39-461E-9F40-E41CA6DEB346}"/>
    <hyperlink ref="T207" r:id="rId935" display="https://www.daloopa.com/src/59379330" xr:uid="{381D3F78-0302-4948-808B-DA86DCBB8512}"/>
    <hyperlink ref="A209" r:id="rId936" xr:uid="{08402AF3-AF06-4C41-99B0-C0076D8E27FA}"/>
    <hyperlink ref="F209" r:id="rId937" display="https://www.daloopa.com/src/58933597" xr:uid="{9B3C5F32-AC63-4105-B133-D30494E5051F}"/>
    <hyperlink ref="G209" r:id="rId938" display="https://www.daloopa.com/src/58934077" xr:uid="{FC7AA4B2-64E0-42AF-AEFF-FCC67225C7C2}"/>
    <hyperlink ref="H209" r:id="rId939" display="https://www.daloopa.com/src/58930739" xr:uid="{3DE0F5AA-781D-42AF-AD3F-464F3F730E56}"/>
    <hyperlink ref="I209" r:id="rId940" display="https://www.daloopa.com/src/58930825" xr:uid="{A59FB2AE-2F9B-457D-82DE-D2B05EF4CDE0}"/>
    <hyperlink ref="J209" r:id="rId941" display="https://www.daloopa.com/src/58930923" xr:uid="{635B77B5-727C-42C1-90F7-D84E45FB0B7B}"/>
    <hyperlink ref="K209" r:id="rId942" display="https://www.daloopa.com/src/58865901" xr:uid="{29253780-DA76-4F1C-83D4-F12BCCA04147}"/>
    <hyperlink ref="L209" r:id="rId943" display="https://www.daloopa.com/src/58815857" xr:uid="{4C47F622-97D9-49D0-8228-63737937BD90}"/>
    <hyperlink ref="M209" r:id="rId944" display="https://www.daloopa.com/src/58815839" xr:uid="{89D9B0AB-72DB-4424-B0B3-8406ADCF54FA}"/>
    <hyperlink ref="N209" r:id="rId945" display="https://www.daloopa.com/src/58815802" xr:uid="{6BBA6283-C021-43B3-828F-8D7058D4765A}"/>
    <hyperlink ref="O209" r:id="rId946" display="https://www.daloopa.com/src/58800687" xr:uid="{487454C9-5329-4C37-89D7-50521B7FCEDD}"/>
    <hyperlink ref="P209" r:id="rId947" display="https://www.daloopa.com/src/59368506" xr:uid="{26EB27F5-3C82-47B4-8A5D-9C1F160E2E77}"/>
    <hyperlink ref="R209" r:id="rId948" display="https://www.daloopa.com/src/59379331" xr:uid="{7BF35C98-7D4B-4880-B58B-691B982B95F9}"/>
    <hyperlink ref="S209" r:id="rId949" display="https://www.daloopa.com/src/59379332" xr:uid="{05DFBA64-5319-43BE-988A-1BC9CB08C112}"/>
    <hyperlink ref="T209" r:id="rId950" display="https://www.daloopa.com/src/59379333" xr:uid="{A128E1C2-FC15-4BB8-980F-A790A3E7BD8F}"/>
    <hyperlink ref="A210" r:id="rId951" xr:uid="{4D415EE9-FFD4-4824-9BF3-59EEF630B7CC}"/>
    <hyperlink ref="K210" r:id="rId952" display="https://www.daloopa.com/src/58865904" xr:uid="{6296AD25-A187-4FF4-89B8-89AEAF84019E}"/>
    <hyperlink ref="L210" r:id="rId953" display="https://www.daloopa.com/src/58815856" xr:uid="{8395F212-4CD0-430F-825A-DD0650E960EC}"/>
    <hyperlink ref="M210" r:id="rId954" display="https://www.daloopa.com/src/58815844" xr:uid="{201EDFAB-82C2-4C42-B465-F863B4923148}"/>
    <hyperlink ref="N210" r:id="rId955" display="https://www.daloopa.com/src/58815800" xr:uid="{3AEE2D8D-DB43-4FA1-868D-BD4B3D6A830D}"/>
    <hyperlink ref="T210" r:id="rId956" display="https://www.daloopa.com/src/59379334" xr:uid="{291EE60F-22C5-4801-84F2-C1C0DCBDD2BA}"/>
    <hyperlink ref="A211" r:id="rId957" xr:uid="{D96FEFD4-8B87-446F-995D-A29ED7A61C2F}"/>
    <hyperlink ref="F211" r:id="rId958" display="https://www.daloopa.com/src/58933600" xr:uid="{D2F019C6-0B76-48AD-BA20-C00088F2C406}"/>
    <hyperlink ref="G211" r:id="rId959" display="https://www.daloopa.com/src/58934062" xr:uid="{7DEE7363-0F37-46E9-B78A-7C0224B9D1EA}"/>
    <hyperlink ref="H211" r:id="rId960" display="https://www.daloopa.com/src/58930740" xr:uid="{A290E340-04C2-4C43-A5D2-ACAFCDE45F69}"/>
    <hyperlink ref="I211" r:id="rId961" display="https://www.daloopa.com/src/58930835" xr:uid="{E456D508-57E8-43E5-80A7-884B5A0C941C}"/>
    <hyperlink ref="J211" r:id="rId962" display="https://www.daloopa.com/src/58930925" xr:uid="{AB244DFB-C672-46AE-96F1-789BBC75F6BC}"/>
    <hyperlink ref="K211" r:id="rId963" display="https://www.daloopa.com/src/58865906" xr:uid="{8299655E-BE8A-4CBB-8CEC-EB41164C7A44}"/>
    <hyperlink ref="L211" r:id="rId964" display="https://www.daloopa.com/src/58815862" xr:uid="{B96C803D-7310-4828-80FD-6A754B2F2390}"/>
    <hyperlink ref="M211" r:id="rId965" display="https://www.daloopa.com/src/58815845" xr:uid="{283AD7E6-01AA-440D-871B-6F01D4D2B911}"/>
    <hyperlink ref="N211" r:id="rId966" display="https://www.daloopa.com/src/58815803" xr:uid="{F0FD4232-011D-4BB8-ADC2-49422712CA87}"/>
    <hyperlink ref="O211" r:id="rId967" display="https://www.daloopa.com/src/58800685" xr:uid="{F1EBAE86-BB5B-4428-B977-9AB8691B5A94}"/>
    <hyperlink ref="P211" r:id="rId968" display="https://www.daloopa.com/src/59368502" xr:uid="{C738FB1F-6D6B-4E95-A3F4-0E42221C7854}"/>
    <hyperlink ref="R211" r:id="rId969" display="https://www.daloopa.com/src/59379335" xr:uid="{77DF1283-B087-4026-872D-6C8F8C6C50CB}"/>
    <hyperlink ref="S211" r:id="rId970" display="https://www.daloopa.com/src/59379336" xr:uid="{248EAD21-369C-4C61-8444-800CC39EACCC}"/>
    <hyperlink ref="T211" r:id="rId971" display="https://www.daloopa.com/src/59379337" xr:uid="{384C97A3-7D86-4AC7-AC10-BB49C4E1F529}"/>
    <hyperlink ref="A212" r:id="rId972" xr:uid="{72E713E2-8388-4F7B-BB54-1C9DB48F9CD1}"/>
    <hyperlink ref="F212" r:id="rId973" display="https://www.daloopa.com/src/58933609" xr:uid="{4D52062B-AADE-4EBE-9CE0-3B5F6125AF53}"/>
    <hyperlink ref="G212" r:id="rId974" display="https://www.daloopa.com/src/58934075" xr:uid="{FD115E3E-3002-48C0-97EB-F443E9AFB238}"/>
    <hyperlink ref="H212" r:id="rId975" display="https://www.daloopa.com/src/58930738" xr:uid="{F2541323-EA85-4107-BB2C-15770386D421}"/>
    <hyperlink ref="I212" r:id="rId976" display="https://www.daloopa.com/src/58930834" xr:uid="{60AD2337-4493-4E49-A4FC-BC796AF93E28}"/>
    <hyperlink ref="J212" r:id="rId977" display="https://www.daloopa.com/src/58930914" xr:uid="{FEFAD98B-AF4D-4FD2-BDE2-85B2F40E5FC4}"/>
    <hyperlink ref="K212" r:id="rId978" display="https://www.daloopa.com/src/58865907" xr:uid="{3FB5BB39-50A9-4978-8399-7628F0ABDFF0}"/>
    <hyperlink ref="L212" r:id="rId979" display="https://www.daloopa.com/src/58815871" xr:uid="{59CB02BA-3B53-430C-97F5-AB0A857AC555}"/>
    <hyperlink ref="M212" r:id="rId980" display="https://www.daloopa.com/src/58815833" xr:uid="{60B2B5F9-76D2-42EE-A1BB-BE1A397F445D}"/>
    <hyperlink ref="N212" r:id="rId981" display="https://www.daloopa.com/src/58815805" xr:uid="{B5F05EC5-C6CD-444B-8733-53DC53FE630D}"/>
    <hyperlink ref="O212" r:id="rId982" display="https://www.daloopa.com/src/58800684" xr:uid="{6F955EAC-B226-4E28-BEC9-6650A8EAD8EF}"/>
    <hyperlink ref="P212" r:id="rId983" display="https://www.daloopa.com/src/59368500" xr:uid="{BF8DF85E-CF4A-4173-9F5E-4A0B786F5CDA}"/>
    <hyperlink ref="R212" r:id="rId984" display="https://www.daloopa.com/src/59379338" xr:uid="{DF8A82EE-6531-4330-9F3C-843765EE02F8}"/>
    <hyperlink ref="S212" r:id="rId985" display="https://www.daloopa.com/src/59379339" xr:uid="{725323A9-7F4A-4B93-B46D-3ED5E48B3603}"/>
    <hyperlink ref="T212" r:id="rId986" display="https://www.daloopa.com/src/59379340" xr:uid="{EFDEDA41-2087-4A8D-9C8F-4B9DA2A9F5F8}"/>
    <hyperlink ref="A213" r:id="rId987" xr:uid="{14D9C0F1-D760-46B1-A471-99188F6B5628}"/>
    <hyperlink ref="F213" r:id="rId988" display="https://www.daloopa.com/src/58933603" xr:uid="{6E7DE029-C31A-4612-B273-EA2573609567}"/>
    <hyperlink ref="G213" r:id="rId989" display="https://www.daloopa.com/src/58934066" xr:uid="{F365E58D-7459-42E3-9878-E0285B7E72BB}"/>
    <hyperlink ref="H213" r:id="rId990" display="https://www.daloopa.com/src/58930737" xr:uid="{44CF04DF-B480-41BF-BBD5-BAFE6C7DB6D4}"/>
    <hyperlink ref="I213" r:id="rId991" display="https://www.daloopa.com/src/58930837" xr:uid="{51455177-1A18-4B89-865E-7846CECF48A2}"/>
    <hyperlink ref="J213" r:id="rId992" display="https://www.daloopa.com/src/58930926" xr:uid="{0BB5A0C0-96ED-43BD-B89E-A39D334F750C}"/>
    <hyperlink ref="K213" r:id="rId993" display="https://www.daloopa.com/src/58865905" xr:uid="{2386ECA7-135A-436D-A3D2-11D3506D3395}"/>
    <hyperlink ref="L213" r:id="rId994" display="https://www.daloopa.com/src/58815864" xr:uid="{3CDC939B-7488-47AC-B92E-E29359A39E9F}"/>
    <hyperlink ref="M213" r:id="rId995" display="https://www.daloopa.com/src/58815841" xr:uid="{1059F2AD-A666-4A92-BCE2-6AFC2260FE76}"/>
    <hyperlink ref="N213" r:id="rId996" display="https://www.daloopa.com/src/58815808" xr:uid="{0E76A4E0-E96D-4A97-835C-3D750E001219}"/>
    <hyperlink ref="O213" r:id="rId997" display="https://www.daloopa.com/src/58800683" xr:uid="{400CE825-B7E7-4896-8857-1D256FC976CE}"/>
    <hyperlink ref="P213" r:id="rId998" display="https://www.daloopa.com/src/59368493" xr:uid="{EEF15AB8-250E-49FE-987C-7CCF045111EC}"/>
    <hyperlink ref="R213" r:id="rId999" display="https://www.daloopa.com/src/59379341" xr:uid="{3F0EFF17-5334-4DDF-AAD2-8AB783C51092}"/>
    <hyperlink ref="S213" r:id="rId1000" display="https://www.daloopa.com/src/59379342" xr:uid="{D43E0265-A55E-4E61-9619-7D2AC3F1E5CF}"/>
    <hyperlink ref="T213" r:id="rId1001" display="https://www.daloopa.com/src/59379343" xr:uid="{073CE2BA-D158-4242-818A-748F19E1CDC7}"/>
    <hyperlink ref="A214" r:id="rId1002" xr:uid="{3D0F8B4E-42CC-4A09-8BFE-FB127EED3B9E}"/>
    <hyperlink ref="F214" r:id="rId1003" display="https://www.daloopa.com/src/58933604" xr:uid="{0D4F3144-79FC-4667-BA81-B98907C5C1D3}"/>
    <hyperlink ref="G214" r:id="rId1004" display="https://www.daloopa.com/src/58934074" xr:uid="{DC2578D7-C16B-46F7-B45C-8AE22C443E09}"/>
    <hyperlink ref="H214" r:id="rId1005" display="https://www.daloopa.com/src/58930732" xr:uid="{CDDC14E1-9E0B-4865-AA8F-FBA582D68BE8}"/>
    <hyperlink ref="I214" r:id="rId1006" display="https://www.daloopa.com/src/58930833" xr:uid="{D7D9FAEC-BA24-4D29-BD38-08D292E47888}"/>
    <hyperlink ref="J214" r:id="rId1007" display="https://www.daloopa.com/src/58930920" xr:uid="{F00B342F-2814-43BD-90BE-8F085CEB8CCC}"/>
    <hyperlink ref="K214" r:id="rId1008" display="https://www.daloopa.com/src/58865908" xr:uid="{230EF00B-A075-470A-B3D2-6AA17297DC3C}"/>
    <hyperlink ref="L214" r:id="rId1009" display="https://www.daloopa.com/src/58815863" xr:uid="{FE1DEB7B-A4D7-4A2A-B231-6638E5975BC7}"/>
    <hyperlink ref="M214" r:id="rId1010" display="https://www.daloopa.com/src/58815828" xr:uid="{1FE718A4-8FDD-4D3A-B48B-9911B97D962A}"/>
    <hyperlink ref="N214" r:id="rId1011" display="https://www.daloopa.com/src/58815811" xr:uid="{8ACC0E05-C6F9-4D91-A191-56338024EBD5}"/>
    <hyperlink ref="O214" r:id="rId1012" display="https://www.daloopa.com/src/58800682" xr:uid="{1119ABD7-A463-424C-9DED-40427D662AB3}"/>
    <hyperlink ref="P214" r:id="rId1013" display="https://www.daloopa.com/src/59368510" xr:uid="{F5C46BFB-E3FF-4522-B0DA-3B62063E95ED}"/>
    <hyperlink ref="R214" r:id="rId1014" display="https://www.daloopa.com/src/59379344" xr:uid="{B7818497-11C9-4AF8-98AE-0805F1A428B1}"/>
    <hyperlink ref="S214" r:id="rId1015" display="https://www.daloopa.com/src/59379345" xr:uid="{056FC9C7-27B7-431E-9457-22C767B3B4F2}"/>
    <hyperlink ref="T214" r:id="rId1016" display="https://www.daloopa.com/src/59379346" xr:uid="{4610F518-4DD9-43BB-84DF-FC8B8D33221B}"/>
    <hyperlink ref="A215" r:id="rId1017" xr:uid="{DD5707E8-408C-47F1-B550-278DF4A8AABE}"/>
    <hyperlink ref="F215" r:id="rId1018" display="https://www.daloopa.com/src/58933594" xr:uid="{78245F0C-B540-4C07-B82D-799C07ED6950}"/>
    <hyperlink ref="G215" r:id="rId1019" display="https://www.daloopa.com/src/58934073" xr:uid="{73FF0102-A5A4-430B-B0D1-37F01B19F765}"/>
    <hyperlink ref="H215" r:id="rId1020" display="https://www.daloopa.com/src/58930735" xr:uid="{2952D63E-DCF4-498C-8B2C-6C91F5D0D86F}"/>
    <hyperlink ref="I215" r:id="rId1021" display="https://www.daloopa.com/src/58930832" xr:uid="{E2999DC1-A90F-43EA-BC6F-D89EB5F0CFA1}"/>
    <hyperlink ref="J215" r:id="rId1022" display="https://www.daloopa.com/src/58930909" xr:uid="{8BE51892-AE0C-4917-8109-40898D0DF9E9}"/>
    <hyperlink ref="K215" r:id="rId1023" display="https://www.daloopa.com/src/58865909" xr:uid="{D5972128-679D-4876-8B92-67ED289087F1}"/>
    <hyperlink ref="L215" r:id="rId1024" display="https://www.daloopa.com/src/58815870" xr:uid="{04382CB6-3361-440C-98A2-3A5566FA2064}"/>
    <hyperlink ref="M215" r:id="rId1025" display="https://www.daloopa.com/src/58815831" xr:uid="{598F29F0-BD8E-4A2E-8108-562C69B98711}"/>
    <hyperlink ref="N215" r:id="rId1026" display="https://www.daloopa.com/src/58815814" xr:uid="{A1939369-1CF0-4F6F-BB28-D339D881D482}"/>
    <hyperlink ref="O215" r:id="rId1027" display="https://www.daloopa.com/src/58800681" xr:uid="{004B803A-D0F9-47BB-9D17-80A0EBBF82A5}"/>
    <hyperlink ref="P215" r:id="rId1028" display="https://www.daloopa.com/src/59368501" xr:uid="{18E1B319-2A60-46BF-9ABC-05BDF3B6E17E}"/>
    <hyperlink ref="R215" r:id="rId1029" display="https://www.daloopa.com/src/59379347" xr:uid="{9745234D-7EA4-4B24-9D75-DEC4F67908DB}"/>
    <hyperlink ref="S215" r:id="rId1030" display="https://www.daloopa.com/src/59379348" xr:uid="{F234474C-F0FA-4678-8D40-8E67CC491CDC}"/>
    <hyperlink ref="T215" r:id="rId1031" display="https://www.daloopa.com/src/59379349" xr:uid="{C566E284-45E9-4287-880A-9E6B10D4BBE0}"/>
    <hyperlink ref="A216" r:id="rId1032" xr:uid="{79BD3615-56BD-4692-A3F7-506F6D000AEC}"/>
    <hyperlink ref="F216" r:id="rId1033" display="https://www.daloopa.com/src/58933610" xr:uid="{01B42883-4845-4CBE-8F34-E84CF60EE29D}"/>
    <hyperlink ref="G216" r:id="rId1034" display="https://www.daloopa.com/src/58934078" xr:uid="{FC10F9D4-31F2-42C0-8FF5-D584005E486F}"/>
    <hyperlink ref="H216" r:id="rId1035" display="https://www.daloopa.com/src/58930733" xr:uid="{30613C8D-6C4E-40C4-8996-50379A428D95}"/>
    <hyperlink ref="I216" r:id="rId1036" display="https://www.daloopa.com/src/58930831" xr:uid="{9DACA07E-C2F5-4070-9737-BEF7D58C8597}"/>
    <hyperlink ref="J216" r:id="rId1037" display="https://www.daloopa.com/src/58930911" xr:uid="{16521792-1C58-46B6-B961-3F9D710F43A6}"/>
    <hyperlink ref="K216" r:id="rId1038" display="https://www.daloopa.com/src/58865910" xr:uid="{32025CFB-F204-4C86-85CF-4BC9A8615344}"/>
    <hyperlink ref="L216" r:id="rId1039" display="https://www.daloopa.com/src/58815869" xr:uid="{927E5B21-5262-4714-99F5-CA3514D84377}"/>
    <hyperlink ref="M216" r:id="rId1040" display="https://www.daloopa.com/src/58815834" xr:uid="{762015B2-F36B-47EE-B5CB-49164E861DB3}"/>
    <hyperlink ref="N216" r:id="rId1041" display="https://www.daloopa.com/src/58815817" xr:uid="{D651ED8C-41AF-4A73-BD85-60FD0C629726}"/>
    <hyperlink ref="O216" r:id="rId1042" display="https://www.daloopa.com/src/58800680" xr:uid="{7F6F2395-EA25-43B3-8927-911158336694}"/>
    <hyperlink ref="P216" r:id="rId1043" display="https://www.daloopa.com/src/59368494" xr:uid="{D7D352FB-3ED0-4335-87DD-0B7CEBFC176B}"/>
    <hyperlink ref="R216" r:id="rId1044" display="https://www.daloopa.com/src/59379350" xr:uid="{B79E5DB3-D9B3-452F-8663-2E41C58668CC}"/>
    <hyperlink ref="S216" r:id="rId1045" display="https://www.daloopa.com/src/59379351" xr:uid="{90B99478-6CBB-47D6-B7A7-D9A00ADAF820}"/>
    <hyperlink ref="T216" r:id="rId1046" display="https://www.daloopa.com/src/59379352" xr:uid="{71CE3765-EEFB-4B5F-B916-CA76F0606774}"/>
    <hyperlink ref="A217" r:id="rId1047" xr:uid="{3426D9BA-6256-45FC-971D-91A8D894C43F}"/>
    <hyperlink ref="G217" r:id="rId1048" display="https://www.daloopa.com/src/58934072" xr:uid="{A58B1DED-9B7E-40F2-A3FB-6DFA7696E35F}"/>
    <hyperlink ref="H217" r:id="rId1049" display="https://www.daloopa.com/src/58930731" xr:uid="{94CF0279-AA5F-46AD-A3BE-D36FFBE1375D}"/>
    <hyperlink ref="I217" r:id="rId1050" display="https://www.daloopa.com/src/58930830" xr:uid="{00EBFBD6-C9E5-4295-AA65-1ADF36C6F80C}"/>
    <hyperlink ref="J217" r:id="rId1051" display="https://www.daloopa.com/src/58930924" xr:uid="{2467A3FB-257D-4C74-B73C-482DC4A60A53}"/>
    <hyperlink ref="K217" r:id="rId1052" display="https://www.daloopa.com/src/58865902" xr:uid="{3457181E-C6F0-4152-90F9-78DB300011CC}"/>
    <hyperlink ref="L217" r:id="rId1053" display="https://www.daloopa.com/src/58815868" xr:uid="{C5D6992C-EF06-4435-8026-2659C3F46204}"/>
    <hyperlink ref="M217" r:id="rId1054" display="https://www.daloopa.com/src/58815832" xr:uid="{AECBFB4C-57D9-41B4-8214-5561F9189FEC}"/>
    <hyperlink ref="N217" r:id="rId1055" display="https://www.daloopa.com/src/58815804" xr:uid="{58AAC1DD-BDAE-4211-B2F1-63D6E1FA7D63}"/>
    <hyperlink ref="O217" r:id="rId1056" display="https://www.daloopa.com/src/58800688" xr:uid="{76E5C93E-2CBE-402A-9102-5FB8FD977D4F}"/>
    <hyperlink ref="P217" r:id="rId1057" display="https://www.daloopa.com/src/59368508" xr:uid="{89852DB6-2752-4C75-88FE-CE7DA3E469BF}"/>
    <hyperlink ref="S217" r:id="rId1058" display="https://www.daloopa.com/src/59379353" xr:uid="{80024888-8DEE-422F-8725-56C0D9DD3EC0}"/>
    <hyperlink ref="T217" r:id="rId1059" display="https://www.daloopa.com/src/59379354" xr:uid="{E65511AF-0830-4E3B-9811-9E69782FD27E}"/>
    <hyperlink ref="A219" r:id="rId1060" xr:uid="{BC38D2CE-A3DA-4820-8B63-DF65679B62CF}"/>
    <hyperlink ref="F219" r:id="rId1061" display="https://www.daloopa.com/src/58933602" xr:uid="{D9EB9E7C-9E01-47A9-AD68-C219C43DFE2B}"/>
    <hyperlink ref="G219" r:id="rId1062" display="https://www.daloopa.com/src/58934065" xr:uid="{A188C042-8796-441F-B0CA-4B33AA6AB9B3}"/>
    <hyperlink ref="H219" r:id="rId1063" display="https://www.daloopa.com/src/58930736" xr:uid="{FC8C0AA0-B28F-4155-9A05-417E22E4390F}"/>
    <hyperlink ref="I219" r:id="rId1064" display="https://www.daloopa.com/src/58930836" xr:uid="{65FC1F35-00CE-4C69-B550-FB235E0EAD8F}"/>
    <hyperlink ref="J219" r:id="rId1065" display="https://www.daloopa.com/src/58930912" xr:uid="{1026F89E-6631-42AB-84DD-A88D1B90FD05}"/>
    <hyperlink ref="K219" r:id="rId1066" display="https://www.daloopa.com/src/58865893" xr:uid="{4A455A9E-DD2E-40CE-A4D0-A3CF6C3BC875}"/>
    <hyperlink ref="L219" r:id="rId1067" display="https://www.daloopa.com/src/58815874" xr:uid="{ED2C4D02-176D-41C2-8E6E-599ABA909CD6}"/>
    <hyperlink ref="M219" r:id="rId1068" display="https://www.daloopa.com/src/58815840" xr:uid="{3591E8B8-B894-4631-BD7B-B6BDD9B97E86}"/>
    <hyperlink ref="N219" r:id="rId1069" display="https://www.daloopa.com/src/58815816" xr:uid="{17B1D93D-6D22-4CFB-B315-15A534D16A3D}"/>
    <hyperlink ref="O219" r:id="rId1070" display="https://www.daloopa.com/src/58800676" xr:uid="{1E532D19-1B43-4576-ADE0-0232D548DC47}"/>
    <hyperlink ref="P219" r:id="rId1071" display="https://www.daloopa.com/src/59368503" xr:uid="{B6ACEA61-D24F-4905-B4C7-8AD423873D4A}"/>
    <hyperlink ref="R219" r:id="rId1072" display="https://www.daloopa.com/src/59379355" xr:uid="{F2AF1FDE-8C5B-405B-B148-01147FA97727}"/>
    <hyperlink ref="S219" r:id="rId1073" display="https://www.daloopa.com/src/59379356" xr:uid="{447351A7-379B-44D9-B6B4-49D9ECEBDE53}"/>
    <hyperlink ref="T219" r:id="rId1074" display="https://www.daloopa.com/src/59379357" xr:uid="{E393107C-83C1-4575-8A96-ED658B3B409B}"/>
    <hyperlink ref="A220" r:id="rId1075" xr:uid="{D25FD109-A424-4721-940A-AA1EF6B2B7EA}"/>
    <hyperlink ref="F220" r:id="rId1076" display="https://www.daloopa.com/src/58933599" xr:uid="{E64017BE-DA54-446B-BB17-000D8C33F0EB}"/>
    <hyperlink ref="G220" r:id="rId1077" display="https://www.daloopa.com/src/58934071" xr:uid="{CF55E4FF-4114-4627-9F34-68E80E2ACFFB}"/>
    <hyperlink ref="H220" r:id="rId1078" display="https://www.daloopa.com/src/58930734" xr:uid="{2D31BE96-5FDF-4EF0-A189-EF0B0F335EC0}"/>
    <hyperlink ref="I220" r:id="rId1079" display="https://www.daloopa.com/src/58930827" xr:uid="{8B73CE65-4D9F-4E4C-8DCB-37ED27356E32}"/>
    <hyperlink ref="J220" r:id="rId1080" display="https://www.daloopa.com/src/58930915" xr:uid="{BA3BD9F2-22B1-47B1-A7B9-FE5DEF7DDAAA}"/>
    <hyperlink ref="K220" r:id="rId1081" display="https://www.daloopa.com/src/58865895" xr:uid="{99BD49A8-6CAB-4C6F-BF33-3FB08E25CE56}"/>
    <hyperlink ref="L220" r:id="rId1082" display="https://www.daloopa.com/src/58815861" xr:uid="{717B24BD-B186-408B-A0D2-D554D5AF082A}"/>
    <hyperlink ref="M220" r:id="rId1083" display="https://www.daloopa.com/src/58815842" xr:uid="{F937344F-EFAD-40DF-BE82-E162B47C5346}"/>
    <hyperlink ref="N220" r:id="rId1084" display="https://www.daloopa.com/src/58815815" xr:uid="{C0CEDFDA-B92F-44A9-AFD7-79C2FB56B145}"/>
    <hyperlink ref="O220" r:id="rId1085" display="https://www.daloopa.com/src/58800677" xr:uid="{EFF1C0D9-0A6C-413C-9CE0-E51896DBF19C}"/>
    <hyperlink ref="P220" r:id="rId1086" display="https://www.daloopa.com/src/59368497" xr:uid="{ABDCB7A8-E94D-42F8-911B-33C54F3C4095}"/>
    <hyperlink ref="R220" r:id="rId1087" display="https://www.daloopa.com/src/59379358" xr:uid="{7B42F824-321E-40BF-82FF-F3AD97FC68C6}"/>
    <hyperlink ref="S220" r:id="rId1088" display="https://www.daloopa.com/src/59379359" xr:uid="{DAD6BDA6-D047-43C9-8651-A5502D4E7E64}"/>
    <hyperlink ref="T220" r:id="rId1089" display="https://www.daloopa.com/src/59379360" xr:uid="{3CDD5AE3-2C2F-4FDE-A521-853F828B41F4}"/>
    <hyperlink ref="A221" r:id="rId1090" xr:uid="{F2C9886C-E55C-47C9-9699-97D875D914D5}"/>
    <hyperlink ref="F221" r:id="rId1091" display="https://www.daloopa.com/src/58933606" xr:uid="{289CFA21-EAD5-4849-B0C5-AC18C8B4DA92}"/>
    <hyperlink ref="G221" r:id="rId1092" display="https://www.daloopa.com/src/58934070" xr:uid="{E8AC40CC-2523-44E6-AA06-E505E68C462B}"/>
    <hyperlink ref="H221" r:id="rId1093" display="https://www.daloopa.com/src/58930729" xr:uid="{A735EBD8-DBAC-4D64-B3C4-6171DFFB1D86}"/>
    <hyperlink ref="I221" r:id="rId1094" display="https://www.daloopa.com/src/58930828" xr:uid="{CD917585-C00B-4C15-80C5-B01C5B5E398D}"/>
    <hyperlink ref="J221" r:id="rId1095" display="https://www.daloopa.com/src/58930919" xr:uid="{C6F5DDEB-773D-4431-B1B1-2AECD6B33D10}"/>
    <hyperlink ref="L221" r:id="rId1096" display="https://www.daloopa.com/src/58815858" xr:uid="{396ECE2C-6356-4053-A1A3-90CAFB8B8A47}"/>
    <hyperlink ref="M221" r:id="rId1097" display="https://www.daloopa.com/src/58815843" xr:uid="{22AAAB81-FB48-42B4-BB08-C9AD82AB07C9}"/>
    <hyperlink ref="N221" r:id="rId1098" display="https://www.daloopa.com/src/58815813" xr:uid="{54393BB7-E261-4CE9-97F6-7CEA8E2AC2DA}"/>
    <hyperlink ref="R221" r:id="rId1099" display="https://www.daloopa.com/src/59379361" xr:uid="{D8126441-A315-4222-BC28-38A76842CE3B}"/>
    <hyperlink ref="S221" r:id="rId1100" display="https://www.daloopa.com/src/59379362" xr:uid="{BFAAEAC5-9190-4836-9ADC-9FD274C9589D}"/>
    <hyperlink ref="T221" r:id="rId1101" display="https://www.daloopa.com/src/59379363" xr:uid="{7532F192-020F-437A-A14F-76743A95928B}"/>
    <hyperlink ref="A222" r:id="rId1102" xr:uid="{B0FFEDCE-B016-41BB-8A51-C34134DC376D}"/>
    <hyperlink ref="F222" r:id="rId1103" display="https://www.daloopa.com/src/58933595" xr:uid="{942410EC-2138-4EC1-891B-226280611FE0}"/>
    <hyperlink ref="G222" r:id="rId1104" display="https://www.daloopa.com/src/58934069" xr:uid="{07AFAFE1-3EE3-4B6E-8E88-CAF8BCEA2447}"/>
    <hyperlink ref="H222" r:id="rId1105" display="https://www.daloopa.com/src/58930730" xr:uid="{FEAE12C8-2E97-4306-8BC2-0AFD3395ABCB}"/>
    <hyperlink ref="I222" r:id="rId1106" display="https://www.daloopa.com/src/58930824" xr:uid="{ADD4A02C-0922-4AA3-9AB7-904E621F99CC}"/>
    <hyperlink ref="J222" r:id="rId1107" display="https://www.daloopa.com/src/58930922" xr:uid="{785283D5-7259-4BD3-A00D-8E6D3769BD1F}"/>
    <hyperlink ref="K222" r:id="rId1108" display="https://www.daloopa.com/src/58865898" xr:uid="{9B8E5831-5481-4B14-A8EB-8ACBE399B267}"/>
    <hyperlink ref="L222" r:id="rId1109" display="https://www.daloopa.com/src/58815859" xr:uid="{AA787CEE-DC64-4783-AB98-322D1A50F7D8}"/>
    <hyperlink ref="M222" r:id="rId1110" display="https://www.daloopa.com/src/58815829" xr:uid="{16987168-2F09-4D08-9991-A5851C2F8786}"/>
    <hyperlink ref="N222" r:id="rId1111" display="https://www.daloopa.com/src/58815812" xr:uid="{DE8B3286-4F09-44E2-B0C7-DE15F2BA8D7C}"/>
    <hyperlink ref="O222" r:id="rId1112" display="https://www.daloopa.com/src/58800689" xr:uid="{E0C48E4C-F268-4D5D-84AD-829E49B367BE}"/>
    <hyperlink ref="P222" r:id="rId1113" display="https://www.daloopa.com/src/59368509" xr:uid="{2FBC84FC-F6E8-41B0-8246-CEAE1FA4837B}"/>
    <hyperlink ref="R222" r:id="rId1114" display="https://www.daloopa.com/src/59379364" xr:uid="{5B1452F1-600E-4A54-835B-0123064BB5CD}"/>
    <hyperlink ref="S222" r:id="rId1115" display="https://www.daloopa.com/src/59379365" xr:uid="{20C5ABA7-6A69-46F9-B5C1-79145F341F89}"/>
    <hyperlink ref="T222" r:id="rId1116" display="https://www.daloopa.com/src/59379366" xr:uid="{168E5967-4221-46F7-B159-F3F8C9296547}"/>
    <hyperlink ref="A223" r:id="rId1117" xr:uid="{D825B0F8-6CDC-49EC-8B0C-2C5754C3F12F}"/>
    <hyperlink ref="F223" r:id="rId1118" display="https://www.daloopa.com/src/58933596" xr:uid="{5E3B10BA-F04D-476F-830C-9EF1F5B5D67B}"/>
    <hyperlink ref="G223" r:id="rId1119" display="https://www.daloopa.com/src/58934068" xr:uid="{5F72BAD0-5757-448C-8FA7-77DE12C7249D}"/>
    <hyperlink ref="H223" r:id="rId1120" display="https://www.daloopa.com/src/58930728" xr:uid="{4C72C430-262E-4C04-9E1D-BD56DAEC954E}"/>
    <hyperlink ref="I223" r:id="rId1121" display="https://www.daloopa.com/src/58930826" xr:uid="{4A8180D3-D9B3-4583-8E27-5D98FE9988F4}"/>
    <hyperlink ref="J223" r:id="rId1122" display="https://www.daloopa.com/src/58930916" xr:uid="{07E53914-6E85-4142-B2D0-4C436A02FB56}"/>
    <hyperlink ref="K223" r:id="rId1123" display="https://www.daloopa.com/src/58865897" xr:uid="{A1AE26E6-0750-4D96-89C3-DD26D188163F}"/>
    <hyperlink ref="L223" r:id="rId1124" display="https://www.daloopa.com/src/58815860" xr:uid="{5082CADC-766F-43B4-8B9E-DE0CA8608AA1}"/>
    <hyperlink ref="M223" r:id="rId1125" display="https://www.daloopa.com/src/58815830" xr:uid="{231DB3AC-BF75-47D2-8A48-4A58E1BCD8DF}"/>
    <hyperlink ref="N223" r:id="rId1126" display="https://www.daloopa.com/src/58815810" xr:uid="{8E514E6C-3FCA-4224-BDBF-ED8B84F0BBC2}"/>
    <hyperlink ref="O223" r:id="rId1127" display="https://www.daloopa.com/src/58800686" xr:uid="{43848A12-0EE5-4EA8-906C-409139693328}"/>
    <hyperlink ref="P223" r:id="rId1128" display="https://www.daloopa.com/src/59368507" xr:uid="{88B0CD24-F9FD-4B1B-8595-EA160F007BC5}"/>
    <hyperlink ref="R223" r:id="rId1129" display="https://www.daloopa.com/src/59379367" xr:uid="{1E0C4F21-7D9F-4D10-8DDE-E4BCA8736392}"/>
    <hyperlink ref="S223" r:id="rId1130" display="https://www.daloopa.com/src/59379368" xr:uid="{141853A5-7FDB-4BD2-8BB1-60CB2D306701}"/>
    <hyperlink ref="T223" r:id="rId1131" display="https://www.daloopa.com/src/59379369" xr:uid="{4AD57A66-6D46-456A-9495-5006B99813F4}"/>
    <hyperlink ref="A224" r:id="rId1132" xr:uid="{F382261E-A1BA-4BAE-8E93-0C16CAECF879}"/>
    <hyperlink ref="F224" r:id="rId1133" display="https://www.daloopa.com/src/58933607" xr:uid="{E79A738B-9ED4-4E5C-888E-411999C69DAE}"/>
    <hyperlink ref="G224" r:id="rId1134" display="https://www.daloopa.com/src/58934067" xr:uid="{F81D605C-EA12-49CC-8E3E-D173DAA8EE7B}"/>
    <hyperlink ref="H224" r:id="rId1135" display="https://www.daloopa.com/src/58930727" xr:uid="{EFE3CFF9-1979-4D42-AC6D-13CD5FE3F4CA}"/>
    <hyperlink ref="I224" r:id="rId1136" display="https://www.daloopa.com/src/58930829" xr:uid="{14E289FE-A9DD-47FF-B792-B8C82D287314}"/>
    <hyperlink ref="J224" r:id="rId1137" display="https://www.daloopa.com/src/58930921" xr:uid="{E210C27B-80B8-446B-89C1-05F9C7698C23}"/>
    <hyperlink ref="K224" r:id="rId1138" display="https://www.daloopa.com/src/58865900" xr:uid="{190F06F7-179A-4D97-8121-8ABC1C62E39A}"/>
    <hyperlink ref="L224" r:id="rId1139" display="https://www.daloopa.com/src/58815867" xr:uid="{2B9614CF-E0F0-4808-B680-FCBF5C82866D}"/>
    <hyperlink ref="M224" r:id="rId1140" display="https://www.daloopa.com/src/58815835" xr:uid="{C5A46DD5-0F75-4961-99B3-F26A2A0A02FE}"/>
    <hyperlink ref="N224" r:id="rId1141" display="https://www.daloopa.com/src/58815809" xr:uid="{08E4C0DD-961F-4E0A-8E8F-13636A7A652B}"/>
    <hyperlink ref="O224" r:id="rId1142" display="https://www.daloopa.com/src/58800678" xr:uid="{780D91BD-6227-47CC-8B01-08A3408B96BB}"/>
    <hyperlink ref="P224" r:id="rId1143" display="https://www.daloopa.com/src/59368498" xr:uid="{B428E958-E038-4DA4-A957-C69964AE0089}"/>
    <hyperlink ref="R224" r:id="rId1144" display="https://www.daloopa.com/src/59379370" xr:uid="{F03BA618-F137-45CB-A2B3-B9A0968AA57C}"/>
    <hyperlink ref="S224" r:id="rId1145" display="https://www.daloopa.com/src/59379371" xr:uid="{A654AA5B-52D0-42A9-AB34-4CB7DB4D4C95}"/>
    <hyperlink ref="T224" r:id="rId1146" display="https://www.daloopa.com/src/59379372" xr:uid="{E40BB962-A2FE-41BF-8606-616089E053BE}"/>
    <hyperlink ref="A225" r:id="rId1147" xr:uid="{A0AF0898-DB48-4D40-A9A3-5849730D8A6A}"/>
    <hyperlink ref="O225" r:id="rId1148" display="https://www.daloopa.com/src/58800679" xr:uid="{04891296-177C-4F62-AC12-186359BE70ED}"/>
    <hyperlink ref="P225" r:id="rId1149" display="https://www.daloopa.com/src/59368495" xr:uid="{2065436E-2478-41E2-B15D-30767140752C}"/>
    <hyperlink ref="A226" r:id="rId1150" xr:uid="{2E81693C-4307-464E-AFC3-E88E09607703}"/>
    <hyperlink ref="F226" r:id="rId1151" display="https://www.daloopa.com/src/58933608" xr:uid="{A9D0C90A-E6E6-470A-A078-2DD30E7FC82A}"/>
    <hyperlink ref="G226" r:id="rId1152" display="https://www.daloopa.com/src/58934064" xr:uid="{623F6313-6C2B-40FF-809F-99055E966224}"/>
    <hyperlink ref="H226" r:id="rId1153" display="https://www.daloopa.com/src/58930725" xr:uid="{BE1E9B51-38BA-45ED-858C-E5F199068D9D}"/>
    <hyperlink ref="I226" r:id="rId1154" display="https://www.daloopa.com/src/58930822" xr:uid="{3A135DDF-5BB8-4FFC-9CBB-A2099287ADA2}"/>
    <hyperlink ref="J226" r:id="rId1155" display="https://www.daloopa.com/src/58930918" xr:uid="{D26E087E-ABFF-4FF2-8FB7-368307EC8B77}"/>
    <hyperlink ref="K226" r:id="rId1156" display="https://www.daloopa.com/src/58865899" xr:uid="{FF8C35DA-515F-43FF-9418-8CCCA237B90F}"/>
    <hyperlink ref="L226" r:id="rId1157" display="https://www.daloopa.com/src/58815866" xr:uid="{D80F6E80-C876-447A-AC60-CE1F67BE865F}"/>
    <hyperlink ref="M226" r:id="rId1158" display="https://www.daloopa.com/src/58815836" xr:uid="{D8DE80F3-8FBA-47A5-A2FD-849E64E33C2E}"/>
    <hyperlink ref="N226" r:id="rId1159" display="https://www.daloopa.com/src/58815807" xr:uid="{E2B891B0-BB53-4851-8CEF-E50425B05511}"/>
    <hyperlink ref="O226" r:id="rId1160" display="https://www.daloopa.com/src/58800692" xr:uid="{80F28C93-B3DC-40A8-AC9B-6563DCF0FD74}"/>
    <hyperlink ref="P226" r:id="rId1161" display="https://www.daloopa.com/src/59368499" xr:uid="{252CDAA8-2770-4DEC-A7C9-11DE5D7B13B8}"/>
    <hyperlink ref="R226" r:id="rId1162" display="https://www.daloopa.com/src/59379373" xr:uid="{AAEE9FA7-DFE3-49FA-A6B3-8717BE7B255A}"/>
    <hyperlink ref="S226" r:id="rId1163" display="https://www.daloopa.com/src/59379374" xr:uid="{55C67E17-C714-4760-97BC-BF23C449731B}"/>
    <hyperlink ref="T226" r:id="rId1164" display="https://www.daloopa.com/src/59379375" xr:uid="{763C1F9F-53C8-434A-B114-8E152A56745B}"/>
    <hyperlink ref="A227" r:id="rId1165" xr:uid="{62016296-9DB1-40F9-BDAE-746D0A3A76A2}"/>
    <hyperlink ref="F227" r:id="rId1166" display="https://www.daloopa.com/src/58933605" xr:uid="{3E03EE91-0263-4AE0-9040-54C69D0477CB}"/>
    <hyperlink ref="G227" r:id="rId1167" display="https://www.daloopa.com/src/58934063" xr:uid="{203AAC78-24E4-40EA-B070-037550D371D0}"/>
    <hyperlink ref="H227" r:id="rId1168" display="https://www.daloopa.com/src/58930726" xr:uid="{BC0EAAFF-ACB2-4963-A9C2-A88716DD7517}"/>
    <hyperlink ref="I227" r:id="rId1169" display="https://www.daloopa.com/src/58930823" xr:uid="{7F582359-BF7F-4CB6-A8F8-DBAF59D0708E}"/>
    <hyperlink ref="J227" r:id="rId1170" display="https://www.daloopa.com/src/58930910" xr:uid="{92F794D7-077A-429D-AAC9-027089DA0964}"/>
    <hyperlink ref="K227" r:id="rId1171" display="https://www.daloopa.com/src/58865896" xr:uid="{EC208770-2CD6-4C80-8BC5-E65B8B4A01D0}"/>
    <hyperlink ref="L227" r:id="rId1172" display="https://www.daloopa.com/src/58815865" xr:uid="{117F2C9F-EB94-4364-9C04-13678B445A16}"/>
    <hyperlink ref="M227" r:id="rId1173" display="https://www.daloopa.com/src/58815837" xr:uid="{D2D852AD-CF99-4E66-8541-A01E347E42A0}"/>
    <hyperlink ref="N227" r:id="rId1174" display="https://www.daloopa.com/src/58815806" xr:uid="{F9D262B7-919B-426D-89A2-FE0C56385755}"/>
    <hyperlink ref="O227" r:id="rId1175" display="https://www.daloopa.com/src/58800691" xr:uid="{AEAC762C-6716-4BE3-A504-138FD03BDA8F}"/>
    <hyperlink ref="P227" r:id="rId1176" display="https://www.daloopa.com/src/59368496" xr:uid="{3E3427EF-FA50-4B4C-80F4-2B17C5F80481}"/>
    <hyperlink ref="R227" r:id="rId1177" display="https://www.daloopa.com/src/59379376" xr:uid="{BC0FBAAD-4AF8-42DB-BEED-DEB8EB952AC8}"/>
    <hyperlink ref="S227" r:id="rId1178" display="https://www.daloopa.com/src/59379377" xr:uid="{F31F3975-3192-4472-A77E-D717E78B158A}"/>
    <hyperlink ref="T227" r:id="rId1179" display="https://www.daloopa.com/src/59379378" xr:uid="{EC931B2E-F9E4-4357-B92D-CB273086D8E0}"/>
    <hyperlink ref="A228" r:id="rId1180" xr:uid="{1D11091C-22B2-498D-97FA-D41686E19A4F}"/>
    <hyperlink ref="C228" r:id="rId1181" display="https://www.daloopa.com/src/58882226" xr:uid="{365C3A02-ED13-4EC3-9CB6-155178FCFB5C}"/>
    <hyperlink ref="D228" r:id="rId1182" display="https://www.daloopa.com/src/58882143" xr:uid="{20F02F30-ECDA-4312-A5B9-EE859922FDC7}"/>
    <hyperlink ref="E228" r:id="rId1183" display="https://www.daloopa.com/src/58881408" xr:uid="{55ADC4B4-AB0A-4560-82BF-4E4D430C0F39}"/>
    <hyperlink ref="F228" r:id="rId1184" display="https://www.daloopa.com/src/58933601" xr:uid="{B8D1897C-54BC-4336-8957-FBCB90CC395A}"/>
    <hyperlink ref="G228" r:id="rId1185" display="https://www.daloopa.com/src/58881377" xr:uid="{7A3361E4-298C-4C37-BA89-C568B2C8D52A}"/>
    <hyperlink ref="H228" r:id="rId1186" display="https://www.daloopa.com/src/58930724" xr:uid="{FA3573CE-1B8A-4676-ABE3-D193B0455439}"/>
    <hyperlink ref="I228" r:id="rId1187" display="https://www.daloopa.com/src/58930821" xr:uid="{220DB114-0C9D-4637-AB6C-FEBCB2717C22}"/>
    <hyperlink ref="J228" r:id="rId1188" display="https://www.daloopa.com/src/58930913" xr:uid="{0EA510D2-94A2-4F51-A5D7-D952FE12FE16}"/>
    <hyperlink ref="K228" r:id="rId1189" display="https://www.daloopa.com/src/58865894" xr:uid="{1697AEA3-30A9-46B7-AE32-816E5AFB6A46}"/>
    <hyperlink ref="L228" r:id="rId1190" display="https://www.daloopa.com/src/58815873" xr:uid="{BF375211-8BF8-4CF9-92B4-0AC22CA20CDF}"/>
    <hyperlink ref="M228" r:id="rId1191" display="https://www.daloopa.com/src/58815846" xr:uid="{2384D33E-85B6-4DC0-BCB6-8271A8B989FC}"/>
    <hyperlink ref="N228" r:id="rId1192" display="https://www.daloopa.com/src/58815818" xr:uid="{DE2F786F-8A6E-4188-B50E-3D58CCA5C858}"/>
    <hyperlink ref="O228" r:id="rId1193" display="https://www.daloopa.com/src/58800693" xr:uid="{B06812F2-90C3-49FA-98F8-B314823E08BA}"/>
    <hyperlink ref="P228" r:id="rId1194" display="https://www.daloopa.com/src/59368504" xr:uid="{6CEE67A6-1E7C-4467-8368-6BB3E9D865A9}"/>
    <hyperlink ref="R228" r:id="rId1195" display="https://www.daloopa.com/src/59379379" xr:uid="{6CCE4039-F375-4959-9640-2195EE051D9C}"/>
    <hyperlink ref="S228" r:id="rId1196" display="https://www.daloopa.com/src/59379380" xr:uid="{8158F036-B271-4242-A33C-5BC4097BC937}"/>
    <hyperlink ref="T228" r:id="rId1197" display="https://www.daloopa.com/src/59379381" xr:uid="{56BDE1C5-5D6A-406F-8FE6-A6401C2F49A6}"/>
    <hyperlink ref="A231" r:id="rId1198" xr:uid="{178F0889-E86C-49F5-818B-D70DA41EC31E}"/>
    <hyperlink ref="F231" r:id="rId1199" display="https://www.daloopa.com/src/58933717" xr:uid="{8BC4275D-F45E-4BC4-ABB6-267D9A587E2F}"/>
    <hyperlink ref="G231" r:id="rId1200" display="https://www.daloopa.com/src/58934089" xr:uid="{ABD0B6EA-39C5-4708-85D7-655DAC724B8F}"/>
    <hyperlink ref="H231" r:id="rId1201" display="https://www.daloopa.com/src/58931033" xr:uid="{AAC9A26F-6902-4231-AE36-B30A9ACEC2BE}"/>
    <hyperlink ref="I231" r:id="rId1202" display="https://www.daloopa.com/src/58930982" xr:uid="{3A3474FA-6287-4D35-8310-C9B8DA252579}"/>
    <hyperlink ref="J231" r:id="rId1203" display="https://www.daloopa.com/src/58930960" xr:uid="{497E7AEC-ECE0-4C7C-96AD-91FB2CAC6DA3}"/>
    <hyperlink ref="K231" r:id="rId1204" display="https://www.daloopa.com/src/58865921" xr:uid="{2FEEDCD5-53F9-412C-A581-7BC835234386}"/>
    <hyperlink ref="L231" r:id="rId1205" display="https://www.daloopa.com/src/58815878" xr:uid="{D2172397-D452-4F5F-85FB-61E2B4D6109B}"/>
    <hyperlink ref="M231" r:id="rId1206" display="https://www.daloopa.com/src/58815889" xr:uid="{E3C858AF-6DB0-4F3B-8AB8-14363E8E4BF5}"/>
    <hyperlink ref="N231" r:id="rId1207" display="https://www.daloopa.com/src/58815903" xr:uid="{A0453EAE-7E09-4B90-8C6D-7FA6237D7FC1}"/>
    <hyperlink ref="R231" r:id="rId1208" display="https://www.daloopa.com/src/59379382" xr:uid="{5B64D183-B9A8-4A0A-9CA7-FA0DCF10B1C5}"/>
    <hyperlink ref="S231" r:id="rId1209" display="https://www.daloopa.com/src/59379383" xr:uid="{B9D4390A-9ECD-44B9-85E2-208FFB81120F}"/>
    <hyperlink ref="T231" r:id="rId1210" display="https://www.daloopa.com/src/59379384" xr:uid="{9443EE71-26BC-4A73-A8BF-40D1EBA94D28}"/>
    <hyperlink ref="A232" r:id="rId1211" xr:uid="{08B0D985-211C-416C-905E-27B19CD1569D}"/>
    <hyperlink ref="K232" r:id="rId1212" display="https://www.daloopa.com/src/58865923" xr:uid="{CB96CAD0-6AB0-47F8-9A06-D8AC049111C7}"/>
    <hyperlink ref="L232" r:id="rId1213" display="https://www.daloopa.com/src/58815879" xr:uid="{2AF19443-B416-4E95-A6C6-B05109FA9C4A}"/>
    <hyperlink ref="M232" r:id="rId1214" display="https://www.daloopa.com/src/58815893" xr:uid="{441B0E9C-1E8A-4DB2-81B3-5C0913BABA9A}"/>
    <hyperlink ref="N232" r:id="rId1215" display="https://www.daloopa.com/src/58815904" xr:uid="{49F1B769-AF84-431E-9E3E-6000CD341A0F}"/>
    <hyperlink ref="O232" r:id="rId1216" display="https://www.daloopa.com/src/58800715" xr:uid="{8EB75D73-AF17-455E-96C6-0C07A5174E98}"/>
    <hyperlink ref="P232" r:id="rId1217" display="https://www.daloopa.com/src/59368514" xr:uid="{A51892AB-2C58-4583-87C7-B593B76F66D0}"/>
    <hyperlink ref="T232" r:id="rId1218" display="https://www.daloopa.com/src/59379385" xr:uid="{0A1C9566-04E9-4BF3-B176-1EF10E3A06B5}"/>
    <hyperlink ref="A233" r:id="rId1219" xr:uid="{9ED2B6CF-E1D4-449D-8A56-C9D2FB866FEB}"/>
    <hyperlink ref="F233" r:id="rId1220" display="https://www.daloopa.com/src/58933718" xr:uid="{23486D75-1AA1-422C-A654-9000E810CA84}"/>
    <hyperlink ref="P233" r:id="rId1221" display="https://www.daloopa.com/src/59368511" xr:uid="{661B2506-A5ED-4FB0-A907-A0CAB5D24104}"/>
    <hyperlink ref="R233" r:id="rId1222" display="https://www.daloopa.com/src/59379386" xr:uid="{A80B570A-36F5-43C7-B74F-396C8FBB562E}"/>
    <hyperlink ref="A234" r:id="rId1223" xr:uid="{5A870457-90C0-4463-9FBD-2E180B55593B}"/>
    <hyperlink ref="F234" r:id="rId1224" display="https://www.daloopa.com/src/58933716" xr:uid="{F26D7355-633D-4451-8164-AA9EDEF3EA74}"/>
    <hyperlink ref="G234" r:id="rId1225" display="https://www.daloopa.com/src/58934090" xr:uid="{B7100D14-AEC5-4C69-9A7A-8B43BEBEA8DB}"/>
    <hyperlink ref="H234" r:id="rId1226" display="https://www.daloopa.com/src/58931036" xr:uid="{FEA65659-BBE8-409A-A597-EEC8DAC0576A}"/>
    <hyperlink ref="I234" r:id="rId1227" display="https://www.daloopa.com/src/58930980" xr:uid="{E2828106-2C8C-431D-9C40-F16F9706E375}"/>
    <hyperlink ref="J234" r:id="rId1228" display="https://www.daloopa.com/src/58930961" xr:uid="{C9E5D675-BCA2-4BFE-BA6E-2D2F19DD9379}"/>
    <hyperlink ref="K234" r:id="rId1229" display="https://www.daloopa.com/src/58865924" xr:uid="{902DBDF7-4B82-473A-A7C7-1ACD4CA5E2B2}"/>
    <hyperlink ref="L234" r:id="rId1230" display="https://www.daloopa.com/src/58815877" xr:uid="{ACB2CE09-F68B-42AD-9718-74A8EDAE044A}"/>
    <hyperlink ref="M234" r:id="rId1231" display="https://www.daloopa.com/src/58815892" xr:uid="{3C68E0BF-18BA-4000-801D-A7E365A54567}"/>
    <hyperlink ref="N234" r:id="rId1232" display="https://www.daloopa.com/src/58815905" xr:uid="{6B819629-23F6-4387-85B0-2D324CCFABB3}"/>
    <hyperlink ref="O234" r:id="rId1233" display="https://www.daloopa.com/src/58800713" xr:uid="{D9328E8A-E922-4D76-85BD-5063FDA639C8}"/>
    <hyperlink ref="P234" r:id="rId1234" display="https://www.daloopa.com/src/59368515" xr:uid="{2C1A29C9-8CEF-4CEE-A8A5-EE4CB5BF6C7D}"/>
    <hyperlink ref="R234" r:id="rId1235" display="https://www.daloopa.com/src/59379387" xr:uid="{1B9E0A6A-FC36-40D9-AE4A-B00F5C0A84A1}"/>
    <hyperlink ref="S234" r:id="rId1236" display="https://www.daloopa.com/src/59379388" xr:uid="{1F7FC1C6-AFC4-4DC6-AF6B-3E9120303502}"/>
    <hyperlink ref="T234" r:id="rId1237" display="https://www.daloopa.com/src/59379389" xr:uid="{11569581-98DA-4848-8518-7174A0A10554}"/>
    <hyperlink ref="A235" r:id="rId1238" xr:uid="{32E7E0E6-50FD-491A-843E-AC09AD3D9A73}"/>
    <hyperlink ref="F235" r:id="rId1239" display="https://www.daloopa.com/src/58933715" xr:uid="{BABBC568-0999-4A7B-8BBE-EC25568C674C}"/>
    <hyperlink ref="G235" r:id="rId1240" display="https://www.daloopa.com/src/58934087" xr:uid="{96729558-27B3-4EA2-94ED-0F62736173E0}"/>
    <hyperlink ref="H235" r:id="rId1241" display="https://www.daloopa.com/src/58931034" xr:uid="{A59EDB15-A8F6-47EA-AF03-02D8F1BDEA32}"/>
    <hyperlink ref="I235" r:id="rId1242" display="https://www.daloopa.com/src/58930981" xr:uid="{BE8B79E5-2818-4243-8D4C-BA8F5CF8DBE9}"/>
    <hyperlink ref="J235" r:id="rId1243" display="https://www.daloopa.com/src/58930959" xr:uid="{45BD1A23-AB0D-4A8B-B177-7BA79370E4E4}"/>
    <hyperlink ref="K235" r:id="rId1244" display="https://www.daloopa.com/src/58865922" xr:uid="{7D98F8AE-1688-4E61-A56E-DFF04C1A135C}"/>
    <hyperlink ref="L235" r:id="rId1245" display="https://www.daloopa.com/src/58815876" xr:uid="{0D99D96D-098A-416E-AFBB-4F9EA310B74A}"/>
    <hyperlink ref="M235" r:id="rId1246" display="https://www.daloopa.com/src/58815890" xr:uid="{4DC32FE4-8533-4C39-B6DD-E8806CD51C75}"/>
    <hyperlink ref="N235" r:id="rId1247" display="https://www.daloopa.com/src/58815906" xr:uid="{6FB3704F-D95C-44CE-AE47-DB007B681074}"/>
    <hyperlink ref="O235" r:id="rId1248" display="https://www.daloopa.com/src/58800712" xr:uid="{5ECBB93F-5118-4DF8-87C1-C9F1E5A8F6D0}"/>
    <hyperlink ref="P235" r:id="rId1249" display="https://www.daloopa.com/src/59368512" xr:uid="{60D9058A-E66F-47FA-B356-57D3E7B71B49}"/>
    <hyperlink ref="R235" r:id="rId1250" display="https://www.daloopa.com/src/59379390" xr:uid="{180E3910-6798-4BFC-9224-21FBE8FB8570}"/>
    <hyperlink ref="S235" r:id="rId1251" display="https://www.daloopa.com/src/59379391" xr:uid="{FB7FCF0B-56C6-4C22-A79D-E9F113105FA4}"/>
    <hyperlink ref="T235" r:id="rId1252" display="https://www.daloopa.com/src/59379392" xr:uid="{B75105A7-487A-42C5-AAB6-5CDFAEDEA994}"/>
    <hyperlink ref="A236" r:id="rId1253" xr:uid="{6BF1266F-DFBC-4EBB-B5CD-8DFA9FD01238}"/>
    <hyperlink ref="F236" r:id="rId1254" display="https://www.daloopa.com/src/58933719" xr:uid="{F9312303-4B4F-46B3-A1BD-EA65E7C80409}"/>
    <hyperlink ref="G236" r:id="rId1255" display="https://www.daloopa.com/src/58934088" xr:uid="{545F29A8-AFBD-43C4-9E55-19A9074D3EC3}"/>
    <hyperlink ref="H236" r:id="rId1256" display="https://www.daloopa.com/src/58931035" xr:uid="{C3EAA788-F3D1-402E-B72A-F79DB371D5CC}"/>
    <hyperlink ref="I236" r:id="rId1257" display="https://www.daloopa.com/src/58930979" xr:uid="{F3979C81-34CA-4973-92E5-67729ABDA16D}"/>
    <hyperlink ref="J236" r:id="rId1258" display="https://www.daloopa.com/src/58930958" xr:uid="{F84A165B-C954-4B64-A1B5-1396C216C35C}"/>
    <hyperlink ref="K236" r:id="rId1259" display="https://www.daloopa.com/src/58865925" xr:uid="{18F77350-9638-446A-B4B2-405998304E29}"/>
    <hyperlink ref="L236" r:id="rId1260" display="https://www.daloopa.com/src/58815875" xr:uid="{DDD3B367-2B77-49D9-8119-5B4312C5B4A9}"/>
    <hyperlink ref="M236" r:id="rId1261" display="https://www.daloopa.com/src/58815891" xr:uid="{3293544B-96D9-4EED-94D5-F925E8DAF6B6}"/>
    <hyperlink ref="N236" r:id="rId1262" display="https://www.daloopa.com/src/58815907" xr:uid="{321A7035-7E27-4206-8786-43A3B2D2E22A}"/>
    <hyperlink ref="O236" r:id="rId1263" display="https://www.daloopa.com/src/58800714" xr:uid="{6B2CE1A4-1288-4C9D-9B60-CCB2E264559C}"/>
    <hyperlink ref="P236" r:id="rId1264" display="https://www.daloopa.com/src/59368513" xr:uid="{1FF12387-6E5D-4032-BFAE-E2090F994A2B}"/>
    <hyperlink ref="R236" r:id="rId1265" display="https://www.daloopa.com/src/59379393" xr:uid="{A6E9EAA1-AB42-4771-97A7-BE2564112BA9}"/>
    <hyperlink ref="S236" r:id="rId1266" display="https://www.daloopa.com/src/59379394" xr:uid="{FDD664C3-3D59-4A44-8156-46666CFE0CA9}"/>
    <hyperlink ref="T236" r:id="rId1267" display="https://www.daloopa.com/src/59379395" xr:uid="{0C090134-AD11-437E-A802-5D98440E2FFA}"/>
    <hyperlink ref="A239" r:id="rId1268" xr:uid="{1E15F6ED-9464-4AF2-901F-234847E0B472}"/>
    <hyperlink ref="L239" r:id="rId1269" display="https://www.daloopa.com/src/58815920" xr:uid="{020816F0-09E2-404F-9D69-0AC07E24F011}"/>
    <hyperlink ref="M239" r:id="rId1270" display="https://www.daloopa.com/src/58815939" xr:uid="{8E390CCF-A483-43ED-8B20-81139A4212DB}"/>
    <hyperlink ref="N239" r:id="rId1271" display="https://www.daloopa.com/src/58815955" xr:uid="{14DABD53-ADDF-4CE9-BA92-E09BFAA3E6F6}"/>
    <hyperlink ref="T239" r:id="rId1272" display="https://www.daloopa.com/src/59379396" xr:uid="{0B86B37C-68F1-423A-9E1F-29B0F12D5D19}"/>
    <hyperlink ref="A240" r:id="rId1273" xr:uid="{392B7A70-9BDF-41C3-BC2E-F75EE22624EB}"/>
    <hyperlink ref="L240" r:id="rId1274" display="https://www.daloopa.com/src/58815923" xr:uid="{6DBDACEC-DAD8-41BB-8B6A-C843E15580E4}"/>
    <hyperlink ref="M240" r:id="rId1275" display="https://www.daloopa.com/src/58815946" xr:uid="{6423A870-5368-4E77-A5D2-BA2FEC084DA2}"/>
    <hyperlink ref="N240" r:id="rId1276" display="https://www.daloopa.com/src/58815956" xr:uid="{297E5801-318B-4C4A-8338-684950C48C7F}"/>
    <hyperlink ref="T240" r:id="rId1277" display="https://www.daloopa.com/src/59379397" xr:uid="{2873B39E-C49C-4F1B-99C2-7D227AEBFDDB}"/>
    <hyperlink ref="A241" r:id="rId1278" xr:uid="{6F9ED821-A0EA-42F9-9A85-9E7808268A5C}"/>
    <hyperlink ref="L241" r:id="rId1279" display="https://www.daloopa.com/src/58815924" xr:uid="{67FB62F6-BB93-4E9A-857D-4B3D1E76D758}"/>
    <hyperlink ref="M241" r:id="rId1280" display="https://www.daloopa.com/src/58815947" xr:uid="{7A47FF7C-3151-4384-9C78-66C16DD16AC1}"/>
    <hyperlink ref="N241" r:id="rId1281" display="https://www.daloopa.com/src/58815957" xr:uid="{9C6294A2-432B-4FB3-89D4-67CC2D9F0F3A}"/>
    <hyperlink ref="T241" r:id="rId1282" display="https://www.daloopa.com/src/59379398" xr:uid="{4FDD8AB3-3B33-499D-B455-4E65D75A2985}"/>
    <hyperlink ref="A242" r:id="rId1283" xr:uid="{AD38E0B2-49DF-49C5-8B93-7B5495E18571}"/>
    <hyperlink ref="G242" r:id="rId1284" display="https://www.daloopa.com/src/58934109" xr:uid="{2BDC4516-7529-4237-B546-5B7C8C39CBE6}"/>
    <hyperlink ref="H242" r:id="rId1285" display="https://www.daloopa.com/src/58931046" xr:uid="{A2849778-F80F-4F4B-9F0F-3E17250DCF94}"/>
    <hyperlink ref="I242" r:id="rId1286" display="https://www.daloopa.com/src/58931069" xr:uid="{5737F805-19DF-4C45-AC37-DEA58C389E9D}"/>
    <hyperlink ref="J242" r:id="rId1287" display="https://www.daloopa.com/src/58931081" xr:uid="{BA8EBF4A-D646-40D6-A03B-26852249C86D}"/>
    <hyperlink ref="L242" r:id="rId1288" display="https://www.daloopa.com/src/58815928" xr:uid="{52849DAB-C690-4F8E-8945-F65BA1B6E210}"/>
    <hyperlink ref="M242" r:id="rId1289" display="https://www.daloopa.com/src/58815937" xr:uid="{D6F805B9-E562-4FB6-9594-338340AAB92B}"/>
    <hyperlink ref="N242" r:id="rId1290" display="https://www.daloopa.com/src/58815954" xr:uid="{1DC458EB-7904-4120-8BE5-57ECF84FFD03}"/>
    <hyperlink ref="S242" r:id="rId1291" display="https://www.daloopa.com/src/59379399" xr:uid="{5963E215-2646-4A3E-BFAB-94AC9A668B57}"/>
    <hyperlink ref="T242" r:id="rId1292" display="https://www.daloopa.com/src/59379400" xr:uid="{4C3EEA7E-73C6-45AE-8971-3F876E441EC1}"/>
    <hyperlink ref="A243" r:id="rId1293" xr:uid="{8535EB14-F83C-421A-BECF-DA86777ADF0E}"/>
    <hyperlink ref="K243" r:id="rId1294" display="https://www.daloopa.com/src/58865952" xr:uid="{F709AD32-D5FF-4066-BFCB-68858352E278}"/>
    <hyperlink ref="L243" r:id="rId1295" display="https://www.daloopa.com/src/58815929" xr:uid="{E32547F4-FE76-4233-8742-52E86F7CBEF6}"/>
    <hyperlink ref="M243" r:id="rId1296" display="https://www.daloopa.com/src/58815940" xr:uid="{BCF6A072-8523-487E-8E9C-2C2239D77160}"/>
    <hyperlink ref="N243" r:id="rId1297" display="https://www.daloopa.com/src/58815958" xr:uid="{87995627-2BFB-47E5-8CC9-D646AD236B40}"/>
    <hyperlink ref="T243" r:id="rId1298" display="https://www.daloopa.com/src/59379401" xr:uid="{C615AF86-A35B-4D76-AAC5-F0BE6675DB7B}"/>
    <hyperlink ref="A244" r:id="rId1299" xr:uid="{277D9DDF-DF42-4DCB-A965-6FAB70E143F0}"/>
    <hyperlink ref="I244" r:id="rId1300" display="https://www.daloopa.com/src/58931064" xr:uid="{0C6FF286-6EC9-4255-B2FC-F972A2D3BAE9}"/>
    <hyperlink ref="J244" r:id="rId1301" display="https://www.daloopa.com/src/58931080" xr:uid="{D46C43E1-F997-4884-B8C2-E193475EA9BE}"/>
    <hyperlink ref="K244" r:id="rId1302" display="https://www.daloopa.com/src/58865951" xr:uid="{1F49D73C-F868-4E3B-AB34-20DE8181CD84}"/>
    <hyperlink ref="L244" r:id="rId1303" display="https://www.daloopa.com/src/58815931" xr:uid="{31A9BAEC-FDB8-4A71-A059-318A07C1E7BD}"/>
    <hyperlink ref="M244" r:id="rId1304" display="https://www.daloopa.com/src/58815941" xr:uid="{F2D42F55-FFC9-4151-A02A-7B920C72AD33}"/>
    <hyperlink ref="N244" r:id="rId1305" display="https://www.daloopa.com/src/58815960" xr:uid="{7A747E78-322B-472F-83AF-43FFB07E4F8B}"/>
    <hyperlink ref="S244" r:id="rId1306" display="https://www.daloopa.com/src/59379402" xr:uid="{700B285E-5395-434C-ABCA-55C62B2C8D1B}"/>
    <hyperlink ref="T244" r:id="rId1307" display="https://www.daloopa.com/src/59379403" xr:uid="{C29964F3-297B-4E56-91DF-E4E267774B13}"/>
    <hyperlink ref="A245" r:id="rId1308" xr:uid="{804AB8F2-3F01-41D2-9A1E-656EA9F071FB}"/>
    <hyperlink ref="K245" r:id="rId1309" display="https://www.daloopa.com/src/58865946" xr:uid="{B97740A4-602B-4886-AF99-406E447A1486}"/>
    <hyperlink ref="L245" r:id="rId1310" display="https://www.daloopa.com/src/58815930" xr:uid="{D9839F2D-F24C-4420-8BFD-8E166446920A}"/>
    <hyperlink ref="M245" r:id="rId1311" display="https://www.daloopa.com/src/58815942" xr:uid="{CB7311AD-EE1F-43EA-9449-C770435D5C49}"/>
    <hyperlink ref="N245" r:id="rId1312" display="https://www.daloopa.com/src/58815961" xr:uid="{16FF184C-3BFA-481A-B6A8-33542618514F}"/>
    <hyperlink ref="T245" r:id="rId1313" display="https://www.daloopa.com/src/59379404" xr:uid="{7F369C4B-14D5-4AD7-B6D6-27B3005DA59F}"/>
    <hyperlink ref="A246" r:id="rId1314" xr:uid="{46A003B8-3DEB-4BDA-9D7B-64BCF7BABE4C}"/>
    <hyperlink ref="G246" r:id="rId1315" display="https://www.daloopa.com/src/58934115" xr:uid="{6424C843-3634-43AB-A249-D6AF59438FFF}"/>
    <hyperlink ref="H246" r:id="rId1316" display="https://www.daloopa.com/src/58931053" xr:uid="{7A0A6171-D8D1-4A28-B31D-A0898859FAF3}"/>
    <hyperlink ref="I246" r:id="rId1317" display="https://www.daloopa.com/src/58931065" xr:uid="{F9ACE418-F79F-4013-9B97-B9CF83E9A9BA}"/>
    <hyperlink ref="J246" r:id="rId1318" display="https://www.daloopa.com/src/58931086" xr:uid="{BDE64E48-92CC-46F1-90B1-8D52B9AB9ECA}"/>
    <hyperlink ref="S246" r:id="rId1319" display="https://www.daloopa.com/src/59379405" xr:uid="{CABE3371-94D7-4775-BCFA-B656779E86DC}"/>
    <hyperlink ref="A247" r:id="rId1320" xr:uid="{E75BD881-D9BF-407D-82FC-8FC66EA998D8}"/>
    <hyperlink ref="G247" r:id="rId1321" display="https://www.daloopa.com/src/58934107" xr:uid="{8E9DCE3D-0768-425C-BD17-E0D6ABDF64A6}"/>
    <hyperlink ref="H247" r:id="rId1322" display="https://www.daloopa.com/src/58931048" xr:uid="{5C20131D-AF41-4075-B0A4-E5830B1BA1C3}"/>
    <hyperlink ref="I247" r:id="rId1323" display="https://www.daloopa.com/src/58931067" xr:uid="{14D7011C-C989-493D-BDAD-CAC1B79CF796}"/>
    <hyperlink ref="J247" r:id="rId1324" display="https://www.daloopa.com/src/58931082" xr:uid="{E329EA47-AE3E-4DA0-843D-1711B10DB638}"/>
    <hyperlink ref="S247" r:id="rId1325" display="https://www.daloopa.com/src/59379406" xr:uid="{6497AD5D-7786-46A1-81FE-D9196A0F8112}"/>
    <hyperlink ref="A248" r:id="rId1326" xr:uid="{ACE32A4D-650C-445A-AF42-2C8CB57D63CB}"/>
    <hyperlink ref="H248" r:id="rId1327" display="https://www.daloopa.com/src/58931044" xr:uid="{58C71A4E-79F0-4650-A495-435C4619CCE6}"/>
    <hyperlink ref="I248" r:id="rId1328" display="https://www.daloopa.com/src/58931066" xr:uid="{148A11B8-60AB-4A9E-9386-A26A0F3721D9}"/>
    <hyperlink ref="J248" r:id="rId1329" display="https://www.daloopa.com/src/58931083" xr:uid="{A305E744-34EC-405B-B40C-78686A688CCA}"/>
    <hyperlink ref="S248" r:id="rId1330" display="https://www.daloopa.com/src/59379407" xr:uid="{085C4CB2-D16A-436A-AC0F-6D9374291F6A}"/>
    <hyperlink ref="A249" r:id="rId1331" xr:uid="{7B52AC40-F7E4-444E-9CBA-1A982568C312}"/>
    <hyperlink ref="G249" r:id="rId1332" display="https://www.daloopa.com/src/58934114" xr:uid="{5A77E6BE-CA77-4AC3-98C8-A7EF60213B3A}"/>
    <hyperlink ref="H249" r:id="rId1333" display="https://www.daloopa.com/src/58931051" xr:uid="{0AFF49F5-4519-44EC-A661-DC8F368715DB}"/>
    <hyperlink ref="I249" r:id="rId1334" display="https://www.daloopa.com/src/58931063" xr:uid="{D333E01B-AFF4-42A8-80FE-925DB9051BA0}"/>
    <hyperlink ref="J249" r:id="rId1335" display="https://www.daloopa.com/src/58931084" xr:uid="{463B251E-E402-4A70-8411-20BE3F2F5546}"/>
    <hyperlink ref="K249" r:id="rId1336" display="https://www.daloopa.com/src/58865947" xr:uid="{7A0F168C-067E-427F-B63E-A8D53B9BA509}"/>
    <hyperlink ref="L249" r:id="rId1337" display="https://www.daloopa.com/src/58815922" xr:uid="{A9E7FA60-1964-4FAB-9D4F-AEF7CA13CE42}"/>
    <hyperlink ref="M249" r:id="rId1338" display="https://www.daloopa.com/src/58815948" xr:uid="{9B194C85-6D04-48C5-B1B7-7C91CBE18B77}"/>
    <hyperlink ref="N249" r:id="rId1339" display="https://www.daloopa.com/src/58815962" xr:uid="{68AA4F77-0148-424C-B331-037187574B01}"/>
    <hyperlink ref="S249" r:id="rId1340" display="https://www.daloopa.com/src/59379408" xr:uid="{A8703983-D501-41F2-8FBD-E0C1967A2235}"/>
    <hyperlink ref="T249" r:id="rId1341" display="https://www.daloopa.com/src/59379409" xr:uid="{0D095E61-E4CD-4FE5-BEE5-6CC1DBE0E900}"/>
    <hyperlink ref="A250" r:id="rId1342" xr:uid="{95260617-76BC-46F8-91CC-4D7B75799824}"/>
    <hyperlink ref="F250" r:id="rId1343" display="https://www.daloopa.com/src/58933751" xr:uid="{AF608DBF-C4B7-4B83-98EA-F5A0E0F19AFE}"/>
    <hyperlink ref="G250" r:id="rId1344" display="https://www.daloopa.com/src/58934116" xr:uid="{F7B6E232-20C5-4362-88F5-697D6A53B2D9}"/>
    <hyperlink ref="H250" r:id="rId1345" display="https://www.daloopa.com/src/58931054" xr:uid="{EAC44D1E-1A1C-4E24-BA30-377E892E7BE1}"/>
    <hyperlink ref="I250" r:id="rId1346" display="https://www.daloopa.com/src/58931062" xr:uid="{0DB8EC6F-944A-4E8E-95EE-7046B6B302E3}"/>
    <hyperlink ref="J250" r:id="rId1347" display="https://www.daloopa.com/src/58931085" xr:uid="{612E797A-1506-435F-954E-298CD488BA08}"/>
    <hyperlink ref="K250" r:id="rId1348" display="https://www.daloopa.com/src/58865954" xr:uid="{9489C183-3622-4D17-B70A-7F8DE72CFE50}"/>
    <hyperlink ref="L250" r:id="rId1349" display="https://www.daloopa.com/src/58815926" xr:uid="{3C477EC9-107A-480E-A10A-E2A78BD0BFE7}"/>
    <hyperlink ref="M250" r:id="rId1350" display="https://www.daloopa.com/src/58815950" xr:uid="{C66B4F17-F6F6-4D14-9EE6-DB7144E5D0BC}"/>
    <hyperlink ref="N250" r:id="rId1351" display="https://www.daloopa.com/src/58815964" xr:uid="{17888E79-B1F2-45A7-ABCF-A823697194DD}"/>
    <hyperlink ref="O250" r:id="rId1352" display="https://www.daloopa.com/src/58816007" xr:uid="{6448B188-02F5-4917-B83B-0CD2352F480D}"/>
    <hyperlink ref="P250" r:id="rId1353" display="https://www.daloopa.com/src/59368516" xr:uid="{FD1095BF-BD50-465B-8853-8B9CD2267679}"/>
    <hyperlink ref="R250" r:id="rId1354" display="https://www.daloopa.com/src/59379410" xr:uid="{D27375A4-DFF6-4AF4-B6B9-C7676FC11019}"/>
    <hyperlink ref="S250" r:id="rId1355" display="https://www.daloopa.com/src/59379411" xr:uid="{93310B2A-471F-49E4-BD37-3A6406250782}"/>
    <hyperlink ref="T250" r:id="rId1356" display="https://www.daloopa.com/src/59379412" xr:uid="{7940989D-FEA6-407F-B63B-D5D9975EB701}"/>
    <hyperlink ref="A251" r:id="rId1357" xr:uid="{71D72651-D367-4533-A920-B120A1989CCD}"/>
    <hyperlink ref="L251" r:id="rId1358" display="https://www.daloopa.com/src/58815927" xr:uid="{14EE5411-D0E3-4512-814A-36DA9419DB8C}"/>
    <hyperlink ref="M251" r:id="rId1359" display="https://www.daloopa.com/src/58815952" xr:uid="{8409313B-282B-4264-8C3F-559358336C19}"/>
    <hyperlink ref="N251" r:id="rId1360" display="https://www.daloopa.com/src/58815967" xr:uid="{5FEBCC5A-45F4-4BFE-BB8C-1F762EF17BB3}"/>
    <hyperlink ref="O251" r:id="rId1361" display="https://www.daloopa.com/src/58816006" xr:uid="{49115E01-DCEA-408A-886C-6D502D29A46A}"/>
    <hyperlink ref="P251" r:id="rId1362" display="https://www.daloopa.com/src/59368519" xr:uid="{951A9CCE-137E-49E2-90C2-6B680E79A19D}"/>
    <hyperlink ref="T251" r:id="rId1363" display="https://www.daloopa.com/src/59379413" xr:uid="{873B107B-8903-4CB7-AE99-09BFD0E7DD49}"/>
    <hyperlink ref="A252" r:id="rId1364" xr:uid="{9D5028FF-13D7-4AB0-AB36-5143F40EBE29}"/>
    <hyperlink ref="M252" r:id="rId1365" display="https://www.daloopa.com/src/58815938" xr:uid="{B22EC524-08F5-419C-A067-8B887535EF21}"/>
    <hyperlink ref="N252" r:id="rId1366" display="https://www.daloopa.com/src/58815959" xr:uid="{C464949C-3F42-445C-A20B-C7575FC296D9}"/>
    <hyperlink ref="O252" r:id="rId1367" display="https://www.daloopa.com/src/58816005" xr:uid="{B1FC51AD-3B22-48B7-A7FA-9CB1F484036B}"/>
    <hyperlink ref="P252" r:id="rId1368" display="https://www.daloopa.com/src/59368524" xr:uid="{BABF6BFE-7B79-4E5D-BC1B-057BC5E08FEB}"/>
    <hyperlink ref="T252" r:id="rId1369" display="https://www.daloopa.com/src/59379414" xr:uid="{8696E50A-9877-4CC5-8F93-0B8AA4E17C8B}"/>
    <hyperlink ref="A253" r:id="rId1370" xr:uid="{DD082C0E-948B-450B-9B96-B681F84657C1}"/>
    <hyperlink ref="M253" r:id="rId1371" display="https://www.daloopa.com/src/58815953" xr:uid="{471DABB4-A95C-440B-8E01-E292E31D13D7}"/>
    <hyperlink ref="N253" r:id="rId1372" display="https://www.daloopa.com/src/58815969" xr:uid="{10FCCE5F-4621-4943-8BF4-BE823EEE3B63}"/>
    <hyperlink ref="T253" r:id="rId1373" display="https://www.daloopa.com/src/59379415" xr:uid="{AA3ADF5F-5236-4055-8F4F-18C09AC45A67}"/>
    <hyperlink ref="A254" r:id="rId1374" xr:uid="{95F4DFE2-0C4F-40B3-AAC0-513BD9B34446}"/>
    <hyperlink ref="P254" r:id="rId1375" display="https://www.daloopa.com/src/59368517" xr:uid="{4F044179-03B4-425F-ADBD-1E87927FD932}"/>
    <hyperlink ref="A255" r:id="rId1376" xr:uid="{EF5B91E7-D32B-4610-9505-B02D922E2224}"/>
    <hyperlink ref="F255" r:id="rId1377" display="https://www.daloopa.com/src/58933749" xr:uid="{A3C07326-8AB8-4D00-88A1-DB7436FE202F}"/>
    <hyperlink ref="G255" r:id="rId1378" display="https://www.daloopa.com/src/58934110" xr:uid="{373175B8-B075-4F0A-9BE4-CCEC5209EC5B}"/>
    <hyperlink ref="H255" r:id="rId1379" display="https://www.daloopa.com/src/58931050" xr:uid="{570E51FE-F8BB-48AA-9940-6D8C852CB387}"/>
    <hyperlink ref="I255" r:id="rId1380" display="https://www.daloopa.com/src/58931068" xr:uid="{95967956-B752-46CD-AF6A-9AB20F94423C}"/>
    <hyperlink ref="J255" r:id="rId1381" display="https://www.daloopa.com/src/58931079" xr:uid="{C7CD2A30-5CA4-4993-B129-178BEDCB8E57}"/>
    <hyperlink ref="K255" r:id="rId1382" display="https://www.daloopa.com/src/58865945" xr:uid="{F6F80AFB-6559-42CD-A2B2-8A2A8A6BF595}"/>
    <hyperlink ref="L255" r:id="rId1383" display="https://www.daloopa.com/src/58815921" xr:uid="{78FA1015-C567-4D4D-97D8-C881E466DCCA}"/>
    <hyperlink ref="M255" r:id="rId1384" display="https://www.daloopa.com/src/58815949" xr:uid="{7405A311-D1E9-4105-AF5A-F06AD0716C8A}"/>
    <hyperlink ref="N255" r:id="rId1385" display="https://www.daloopa.com/src/58815968" xr:uid="{F4332C10-B4C4-4CF2-95B3-5A731A95A708}"/>
    <hyperlink ref="O255" r:id="rId1386" display="https://www.daloopa.com/src/58816003" xr:uid="{595F3F0A-213D-4534-9E71-E7C371418681}"/>
    <hyperlink ref="P255" r:id="rId1387" display="https://www.daloopa.com/src/59368518" xr:uid="{708E0B90-6773-41D0-A431-67225148203F}"/>
    <hyperlink ref="R255" r:id="rId1388" display="https://www.daloopa.com/src/59379416" xr:uid="{2B4D367C-B6E4-4762-8979-AFEDBD4B409E}"/>
    <hyperlink ref="S255" r:id="rId1389" display="https://www.daloopa.com/src/59379417" xr:uid="{F23AED1E-F922-4F5D-B8BC-3A2620ABAFE0}"/>
    <hyperlink ref="T255" r:id="rId1390" display="https://www.daloopa.com/src/59379418" xr:uid="{39A7C1B6-177E-457F-A476-CC80313C661A}"/>
    <hyperlink ref="A257" r:id="rId1391" xr:uid="{6414526D-2E08-41AB-AF4E-0DE4C63BB206}"/>
    <hyperlink ref="F257" r:id="rId1392" display="https://www.daloopa.com/src/58933750" xr:uid="{3F0A625C-4741-4E22-A14E-A55D88C5E959}"/>
    <hyperlink ref="G257" r:id="rId1393" display="https://www.daloopa.com/src/58934113" xr:uid="{873F161A-3BEE-4877-9BF5-37574111A4C9}"/>
    <hyperlink ref="H257" r:id="rId1394" display="https://www.daloopa.com/src/58931052" xr:uid="{F3DC92A0-79EC-4486-B5A2-F4541379EA6B}"/>
    <hyperlink ref="I257" r:id="rId1395" display="https://www.daloopa.com/src/58931061" xr:uid="{D82AA900-6AE9-43B0-A5C5-192C626E7E5A}"/>
    <hyperlink ref="J257" r:id="rId1396" display="https://www.daloopa.com/src/58931078" xr:uid="{721234C6-980A-45C0-ACA1-BE7E5A29A98A}"/>
    <hyperlink ref="K257" r:id="rId1397" display="https://www.daloopa.com/src/58865953" xr:uid="{3C13A501-9413-45B0-BE3A-7D3422AFBA57}"/>
    <hyperlink ref="L257" r:id="rId1398" display="https://www.daloopa.com/src/58815925" xr:uid="{073CA5D0-3A30-4D78-BA13-1224C2A8F573}"/>
    <hyperlink ref="M257" r:id="rId1399" display="https://www.daloopa.com/src/58815951" xr:uid="{CC8D7DE7-906E-4939-A854-AE9CD016000E}"/>
    <hyperlink ref="N257" r:id="rId1400" display="https://www.daloopa.com/src/58815966" xr:uid="{4E5A8F86-72C8-4DEA-8F39-1FB460BE1706}"/>
    <hyperlink ref="O257" r:id="rId1401" display="https://www.daloopa.com/src/58816004" xr:uid="{94F6B1DA-88E2-4986-8406-2DED2BD2724A}"/>
    <hyperlink ref="P257" r:id="rId1402" display="https://www.daloopa.com/src/59368522" xr:uid="{E19A90E4-02AE-45E1-B3D6-AB4401357745}"/>
    <hyperlink ref="R257" r:id="rId1403" display="https://www.daloopa.com/src/59379419" xr:uid="{D4A0505D-3B51-42F2-9942-73EC48659D47}"/>
    <hyperlink ref="S257" r:id="rId1404" display="https://www.daloopa.com/src/59379420" xr:uid="{D85CAC44-A1B1-4E5D-8587-AEA2579CF62E}"/>
    <hyperlink ref="T257" r:id="rId1405" display="https://www.daloopa.com/src/59379421" xr:uid="{754B28F0-753F-4B7B-9A57-2E6637D6085B}"/>
    <hyperlink ref="A258" r:id="rId1406" xr:uid="{73263A05-9EBC-43CA-9E89-EC729AD5CB05}"/>
    <hyperlink ref="F258" r:id="rId1407" display="https://www.daloopa.com/src/58933748" xr:uid="{43B54F06-C6C6-4D96-951C-157BA147915C}"/>
    <hyperlink ref="G258" r:id="rId1408" display="https://www.daloopa.com/src/58934111" xr:uid="{C80E1F4A-230B-4889-9D6B-4A6B86307347}"/>
    <hyperlink ref="H258" r:id="rId1409" display="https://www.daloopa.com/src/58931045" xr:uid="{E2AB6F56-859A-4995-AFF4-BD47F207B44D}"/>
    <hyperlink ref="I258" r:id="rId1410" display="https://www.daloopa.com/src/58931070" xr:uid="{6B1B5E8D-CFA6-4208-A64F-E8E341847F55}"/>
    <hyperlink ref="J258" r:id="rId1411" display="https://www.daloopa.com/src/58931075" xr:uid="{65EFCD49-28EC-474A-990F-F12D1C5967E8}"/>
    <hyperlink ref="K258" r:id="rId1412" display="https://www.daloopa.com/src/58865950" xr:uid="{F7146E94-161F-4DBB-89A4-8C83C8FF8EBF}"/>
    <hyperlink ref="L258" r:id="rId1413" display="https://www.daloopa.com/src/58815934" xr:uid="{4894014C-94E7-4178-AED4-20115BD0367A}"/>
    <hyperlink ref="M258" r:id="rId1414" display="https://www.daloopa.com/src/58815945" xr:uid="{77FA9D55-B85D-4EF9-A8B3-14BC9EF02610}"/>
    <hyperlink ref="N258" r:id="rId1415" display="https://www.daloopa.com/src/58815965" xr:uid="{78636840-4852-4689-AA0C-7C9BAA46581A}"/>
    <hyperlink ref="O258" r:id="rId1416" display="https://www.daloopa.com/src/58816010" xr:uid="{AD491C0D-E8FD-41FB-8313-A3C6D506E71C}"/>
    <hyperlink ref="P258" r:id="rId1417" display="https://www.daloopa.com/src/59368523" xr:uid="{329C6283-3572-4290-BE8E-EED91B68F023}"/>
    <hyperlink ref="R258" r:id="rId1418" display="https://www.daloopa.com/src/59379422" xr:uid="{42967111-A2C3-49F6-BE00-C1493EFC1898}"/>
    <hyperlink ref="S258" r:id="rId1419" display="https://www.daloopa.com/src/59379423" xr:uid="{2041198E-2FDB-4533-BD27-D745D0D9D6C1}"/>
    <hyperlink ref="T258" r:id="rId1420" display="https://www.daloopa.com/src/59379424" xr:uid="{09E0F902-5877-4B26-9534-49E33F1A8019}"/>
    <hyperlink ref="A260" r:id="rId1421" xr:uid="{67A3EADD-ED6F-41CE-B5DA-9AC4BE6BF8D7}"/>
    <hyperlink ref="F260" r:id="rId1422" display="https://www.daloopa.com/src/58933752" xr:uid="{2C591740-6EA2-4251-AEE7-9AE1DB98E1B5}"/>
    <hyperlink ref="G260" r:id="rId1423" display="https://www.daloopa.com/src/58934108" xr:uid="{DD027BE8-4B7C-4165-9C32-D1B710617412}"/>
    <hyperlink ref="H260" r:id="rId1424" display="https://www.daloopa.com/src/58931049" xr:uid="{749ADB90-BBE7-4D01-8388-7E7084AAB27B}"/>
    <hyperlink ref="I260" r:id="rId1425" display="https://www.daloopa.com/src/58931071" xr:uid="{20C345C1-6A94-4F26-86FE-6C238A749622}"/>
    <hyperlink ref="J260" r:id="rId1426" display="https://www.daloopa.com/src/58931077" xr:uid="{C170FF29-C90A-4E01-9410-0D0ECB845381}"/>
    <hyperlink ref="K260" r:id="rId1427" display="https://www.daloopa.com/src/58865949" xr:uid="{B4BD096F-B564-45D5-9459-6ECCB4CC9232}"/>
    <hyperlink ref="L260" r:id="rId1428" display="https://www.daloopa.com/src/58815933" xr:uid="{9D85FAF9-51B3-4E33-AB4F-2279678BAA92}"/>
    <hyperlink ref="M260" r:id="rId1429" display="https://www.daloopa.com/src/58815943" xr:uid="{FFDC3C54-0A38-40F3-9DE5-6004C8D9B5CC}"/>
    <hyperlink ref="N260" r:id="rId1430" display="https://www.daloopa.com/src/58815963" xr:uid="{90560EE3-2517-4143-8DF5-0741E5A7289F}"/>
    <hyperlink ref="O260" r:id="rId1431" display="https://www.daloopa.com/src/58816009" xr:uid="{0D9A57BE-35F4-401D-AD2C-40A5F7726EB0}"/>
    <hyperlink ref="P260" r:id="rId1432" display="https://www.daloopa.com/src/59368520" xr:uid="{A7FF900C-AD24-4392-9365-60E1D92011C2}"/>
    <hyperlink ref="A261" r:id="rId1433" xr:uid="{DC7FC05B-19AD-4792-A1FF-F4DB1CFF259A}"/>
    <hyperlink ref="F261" r:id="rId1434" display="https://www.daloopa.com/src/58933753" xr:uid="{ABA740FC-89CE-4F50-8E2A-64421E77512E}"/>
    <hyperlink ref="G261" r:id="rId1435" display="https://www.daloopa.com/src/58934117" xr:uid="{10A368FF-D0FE-4C3F-8DFF-C6E81D0CA20C}"/>
    <hyperlink ref="H261" r:id="rId1436" display="https://www.daloopa.com/src/58931047" xr:uid="{0FC101E5-DD99-428C-A052-7B3500C85A09}"/>
    <hyperlink ref="I261" r:id="rId1437" display="https://www.daloopa.com/src/58931072" xr:uid="{43B0163B-B3E6-487D-9CE2-F82EE6AC0206}"/>
    <hyperlink ref="J261" r:id="rId1438" display="https://www.daloopa.com/src/58931076" xr:uid="{0AD3D765-E087-4761-A01F-7D947490CC25}"/>
    <hyperlink ref="K261" r:id="rId1439" display="https://www.daloopa.com/src/58865948" xr:uid="{449BB7A5-558B-4FDF-AB22-26658203A21A}"/>
    <hyperlink ref="L261" r:id="rId1440" display="https://www.daloopa.com/src/58815932" xr:uid="{6F669BFB-8602-4478-BD13-D5D08B81D656}"/>
    <hyperlink ref="M261" r:id="rId1441" display="https://www.daloopa.com/src/58815944" xr:uid="{15C898A9-5DBF-4B13-9731-B2AE82157C3D}"/>
    <hyperlink ref="N261" r:id="rId1442" display="https://www.daloopa.com/src/58815970" xr:uid="{DC515898-3924-4AD5-8400-1697119A1D65}"/>
    <hyperlink ref="O261" r:id="rId1443" display="https://www.daloopa.com/src/58816008" xr:uid="{AAE6BE8A-93DC-45E2-A7CF-419ED7210555}"/>
    <hyperlink ref="P261" r:id="rId1444" display="https://www.daloopa.com/src/59368521" xr:uid="{72DD538D-E7BD-4798-AB5F-BA177264ECC0}"/>
    <hyperlink ref="A264" r:id="rId1445" xr:uid="{731E3C9D-AF16-4E49-AE79-BC3591479EFD}"/>
    <hyperlink ref="F264" r:id="rId1446" display="https://www.daloopa.com/src/58933759" xr:uid="{C847F33D-8146-4E2A-BA39-9BE6202E4296}"/>
    <hyperlink ref="G264" r:id="rId1447" display="https://www.daloopa.com/src/58934130" xr:uid="{3364D561-F413-4238-8584-868DC684BE60}"/>
    <hyperlink ref="H264" r:id="rId1448" display="https://www.daloopa.com/src/58931105" xr:uid="{B6E6C7BD-91D6-4592-A76D-9653A0CB27E5}"/>
    <hyperlink ref="I264" r:id="rId1449" display="https://www.daloopa.com/src/58931102" xr:uid="{CCF01FBB-C50A-45DE-84C7-002FB692297C}"/>
    <hyperlink ref="J264" r:id="rId1450" display="https://www.daloopa.com/src/58931097" xr:uid="{0080DDEC-551D-49CA-9909-9E04EEB92515}"/>
    <hyperlink ref="K264" r:id="rId1451" display="https://www.daloopa.com/src/58865870" xr:uid="{45510F44-1E9E-4901-BA17-D9C5B483216A}"/>
    <hyperlink ref="L264" r:id="rId1452" display="https://www.daloopa.com/src/58816037" xr:uid="{BA781510-BD10-4B11-9B9C-8059D07B801F}"/>
    <hyperlink ref="M264" r:id="rId1453" display="https://www.daloopa.com/src/58816031" xr:uid="{95E56817-40FD-45EE-8641-04157A392E50}"/>
    <hyperlink ref="N264" r:id="rId1454" display="https://www.daloopa.com/src/58815992" xr:uid="{25EE6CA0-C283-4FA6-A246-25F802C712A4}"/>
    <hyperlink ref="O264" r:id="rId1455" display="https://www.daloopa.com/src/58816028" xr:uid="{CAEC51FA-27E9-4B11-84F3-65E80A976A97}"/>
    <hyperlink ref="P264" r:id="rId1456" display="https://www.daloopa.com/src/59368565" xr:uid="{D2A20315-F28C-4F23-ADA5-D896BFC298CE}"/>
    <hyperlink ref="R264" r:id="rId1457" display="https://www.daloopa.com/src/59379425" xr:uid="{D8D9CB74-52E6-4980-A5EC-C622ED8A57A9}"/>
    <hyperlink ref="S264" r:id="rId1458" display="https://www.daloopa.com/src/59379426" xr:uid="{4DF1CADE-3E79-4E34-A76F-20BA1123C7E6}"/>
    <hyperlink ref="T264" r:id="rId1459" display="https://www.daloopa.com/src/59379427" xr:uid="{AC1706B2-BDC5-4469-AFCE-5D8C686BBE1E}"/>
    <hyperlink ref="A265" r:id="rId1460" xr:uid="{C4A38D49-6A6F-46D6-8E46-8C5051E6A24A}"/>
    <hyperlink ref="F265" r:id="rId1461" display="https://www.daloopa.com/src/58933758" xr:uid="{A2A52B08-B79E-46BB-9654-D1640B6135B5}"/>
    <hyperlink ref="G265" r:id="rId1462" display="https://www.daloopa.com/src/58934129" xr:uid="{47EF0A48-1188-41F1-9B4F-F0A9D039D045}"/>
    <hyperlink ref="H265" r:id="rId1463" display="https://www.daloopa.com/src/58931104" xr:uid="{84A2B5BB-9043-4E85-8570-CCB9106EDFC8}"/>
    <hyperlink ref="I265" r:id="rId1464" display="https://www.daloopa.com/src/58931100" xr:uid="{75393FFD-B751-4A4D-91F7-40D1032CC881}"/>
    <hyperlink ref="J265" r:id="rId1465" display="https://www.daloopa.com/src/58931096" xr:uid="{7102BE18-6728-49CA-90F4-DDD208744F8B}"/>
    <hyperlink ref="K265" r:id="rId1466" display="https://www.daloopa.com/src/58865868" xr:uid="{3658B64F-2816-44F5-B2CB-A80F95D78322}"/>
    <hyperlink ref="L265" r:id="rId1467" display="https://www.daloopa.com/src/58816038" xr:uid="{85CB413C-FA03-44AF-94D0-048A0208FA0E}"/>
    <hyperlink ref="M265" r:id="rId1468" display="https://www.daloopa.com/src/58816033" xr:uid="{909B3F55-6CF8-4AD5-BDFE-7B93590CBBEE}"/>
    <hyperlink ref="N265" r:id="rId1469" display="https://www.daloopa.com/src/58815993" xr:uid="{BF66E8A2-4B67-43AF-A9A5-0DB049A188EC}"/>
    <hyperlink ref="O265" r:id="rId1470" display="https://www.daloopa.com/src/58816027" xr:uid="{90721EA1-D428-43A0-81E4-B7BED5274D58}"/>
    <hyperlink ref="P265" r:id="rId1471" display="https://www.daloopa.com/src/59368566" xr:uid="{4A17AACE-91EF-4360-9147-AC9AF99381D6}"/>
    <hyperlink ref="R265" r:id="rId1472" display="https://www.daloopa.com/src/59379428" xr:uid="{07031B40-4749-4BDD-9069-8308FB989087}"/>
    <hyperlink ref="S265" r:id="rId1473" display="https://www.daloopa.com/src/59379429" xr:uid="{51CFCA13-319E-4EB2-8014-B02F56209A6B}"/>
    <hyperlink ref="T265" r:id="rId1474" display="https://www.daloopa.com/src/59379430" xr:uid="{477440E3-18BA-46E4-B0A7-23FEF99759F7}"/>
    <hyperlink ref="A268" r:id="rId1475" xr:uid="{656F8FD3-34E3-429F-8100-CEC0DFA11E43}"/>
    <hyperlink ref="F268" r:id="rId1476" display="https://www.daloopa.com/src/58933757" xr:uid="{58536A22-E67C-42E9-9D12-CC470D3A562F}"/>
    <hyperlink ref="R268" r:id="rId1477" display="https://www.daloopa.com/src/59379431" xr:uid="{3710C30B-53B0-450F-B23E-B05448E5EA7A}"/>
    <hyperlink ref="A269" r:id="rId1478" xr:uid="{96260F76-658D-4F55-8583-29E9E7917623}"/>
    <hyperlink ref="L269" r:id="rId1479" display="https://www.daloopa.com/src/58816036" xr:uid="{939E6912-D9EC-440C-B168-A60132B3348E}"/>
    <hyperlink ref="M269" r:id="rId1480" display="https://www.daloopa.com/src/58816034" xr:uid="{2D4E230B-DD26-4714-98FA-2812D3B53447}"/>
    <hyperlink ref="A270" r:id="rId1481" xr:uid="{55F786DA-F3B1-4C34-BB7E-12082401C382}"/>
    <hyperlink ref="F270" r:id="rId1482" display="https://www.daloopa.com/src/58933760" xr:uid="{5CBD26AE-52AE-4292-BB0B-AB3BCAACD4A6}"/>
    <hyperlink ref="G270" r:id="rId1483" display="https://www.daloopa.com/src/58934131" xr:uid="{3E973A24-78C7-406E-B8C7-9CB5AD350B17}"/>
    <hyperlink ref="H270" r:id="rId1484" display="https://www.daloopa.com/src/58931103" xr:uid="{48594DF3-C90B-4266-9A51-D9CB4DCE1DBD}"/>
    <hyperlink ref="I270" r:id="rId1485" display="https://www.daloopa.com/src/58931101" xr:uid="{19285AF2-4C2A-4F4F-A9EC-0C14E309CB01}"/>
    <hyperlink ref="J270" r:id="rId1486" display="https://www.daloopa.com/src/58931095" xr:uid="{5BF42A50-7821-4528-B469-3ABC96E7C7D2}"/>
    <hyperlink ref="K270" r:id="rId1487" display="https://www.daloopa.com/src/58865869" xr:uid="{361A8822-1790-4A0C-979C-9E1BE242B6A3}"/>
    <hyperlink ref="L270" r:id="rId1488" display="https://www.daloopa.com/src/58816035" xr:uid="{98DA5DDD-A76A-4A2A-ABD9-CDC11E58ADA6}"/>
    <hyperlink ref="M270" r:id="rId1489" display="https://www.daloopa.com/src/58816032" xr:uid="{07F9290A-6D21-42F0-9DB5-3B6C4A40AE55}"/>
    <hyperlink ref="N270" r:id="rId1490" display="https://www.daloopa.com/src/58816030" xr:uid="{84A8445D-2B9C-45F5-8FB7-3C056CB2861C}"/>
    <hyperlink ref="O270" r:id="rId1491" display="https://www.daloopa.com/src/58816029" xr:uid="{A6E6063B-71C3-41D0-83DC-D85B125A72D5}"/>
    <hyperlink ref="P270" r:id="rId1492" display="https://www.daloopa.com/src/59368567" xr:uid="{F2D4E58F-4027-4713-ADD9-4785745ABCC1}"/>
    <hyperlink ref="R270" r:id="rId1493" display="https://www.daloopa.com/src/59379432" xr:uid="{D37B19C4-4DCD-449D-B393-06514BFA9274}"/>
    <hyperlink ref="S270" r:id="rId1494" display="https://www.daloopa.com/src/59379433" xr:uid="{F13F793A-6C82-410F-8D1F-3CEFBEDEBF77}"/>
    <hyperlink ref="T270" r:id="rId1495" display="https://www.daloopa.com/src/59379434" xr:uid="{648FC6E8-DE44-4084-BA34-65D374E54618}"/>
    <hyperlink ref="A274" r:id="rId1496" xr:uid="{A0062D38-25D9-4995-93E5-A14472401980}"/>
    <hyperlink ref="G274" r:id="rId1497" display="https://www.daloopa.com/src/58932345" xr:uid="{60F3FD93-C992-4F1E-BB50-89DED8E5EF95}"/>
    <hyperlink ref="A276" r:id="rId1498" xr:uid="{F8646A58-11D9-4AE6-ADDE-2811DDAB4A7B}"/>
    <hyperlink ref="G276" r:id="rId1499" display="https://www.daloopa.com/src/58932348" xr:uid="{A33AE55B-2006-4312-8FA9-8FCC1246062B}"/>
    <hyperlink ref="A277" r:id="rId1500" xr:uid="{3376CE98-F65E-4BEC-891A-95086C3124EF}"/>
    <hyperlink ref="G277" r:id="rId1501" display="https://www.daloopa.com/src/58932346" xr:uid="{B908E814-2377-43B2-BE08-C830FB95542B}"/>
    <hyperlink ref="A278" r:id="rId1502" xr:uid="{F058F1BD-424E-4A08-AD16-E0C9631AC01B}"/>
    <hyperlink ref="G278" r:id="rId1503" display="https://www.daloopa.com/src/58932347" xr:uid="{B5CC7927-23DF-4276-BC1A-CF3F8B22BDFD}"/>
    <hyperlink ref="A279" r:id="rId1504" xr:uid="{95522A71-EBEA-4818-95BD-A8B57378AF82}"/>
    <hyperlink ref="G279" r:id="rId1505" display="https://www.daloopa.com/src/58932349" xr:uid="{DC778014-B097-4846-8C72-23F754F6224F}"/>
    <hyperlink ref="A280" r:id="rId1506" xr:uid="{9461A364-DB09-48AF-B678-9D1861C92800}"/>
    <hyperlink ref="G280" r:id="rId1507" display="https://www.daloopa.com/src/58932350" xr:uid="{7BC5EE51-86A6-4B60-BD95-3D84C0E9D515}"/>
    <hyperlink ref="A281" r:id="rId1508" xr:uid="{633AFC41-9035-487D-8CA9-1AE78E55F269}"/>
    <hyperlink ref="G281" r:id="rId1509" display="https://www.daloopa.com/src/58932333" xr:uid="{89CB1D86-192B-4BB9-8244-AE04AEF2236E}"/>
    <hyperlink ref="A282" r:id="rId1510" xr:uid="{679E1A20-C413-4845-A048-7A5F4A24C870}"/>
    <hyperlink ref="G282" r:id="rId1511" display="https://www.daloopa.com/src/58932340" xr:uid="{8D69BEE9-7387-4F93-8927-C5E9A612065D}"/>
    <hyperlink ref="A283" r:id="rId1512" xr:uid="{46AA8E31-3140-487E-89E1-6517E5427F12}"/>
    <hyperlink ref="G283" r:id="rId1513" display="https://www.daloopa.com/src/58932343" xr:uid="{3B094747-4225-453C-8D40-774D82B91ED7}"/>
    <hyperlink ref="A285" r:id="rId1514" xr:uid="{DF4C9448-90B7-4CAB-8013-722AD03FB867}"/>
    <hyperlink ref="G285" r:id="rId1515" display="https://www.daloopa.com/src/58932337" xr:uid="{9888527B-9474-4860-B1A0-01081002B9C7}"/>
    <hyperlink ref="A286" r:id="rId1516" xr:uid="{A2231092-1877-48B5-AA83-4FE92C6C685B}"/>
    <hyperlink ref="G286" r:id="rId1517" display="https://www.daloopa.com/src/58932335" xr:uid="{8D61E816-6509-4704-B051-1ADEFB89311B}"/>
    <hyperlink ref="A287" r:id="rId1518" xr:uid="{FBEE89C4-4BE9-470A-B2AF-91E36E183A2A}"/>
    <hyperlink ref="G287" r:id="rId1519" display="https://www.daloopa.com/src/58932341" xr:uid="{237B3299-1195-4781-AD81-391C63F65F64}"/>
    <hyperlink ref="A288" r:id="rId1520" xr:uid="{4DD473CB-3F08-4243-AEEA-C6AF0DBBE973}"/>
    <hyperlink ref="G288" r:id="rId1521" display="https://www.daloopa.com/src/58932334" xr:uid="{48F996A4-3EBD-4FBF-8377-F7F378E91FDC}"/>
    <hyperlink ref="A289" r:id="rId1522" xr:uid="{0E1682A0-E467-4191-ABE6-EF50BD341734}"/>
    <hyperlink ref="G289" r:id="rId1523" display="https://www.daloopa.com/src/58932336" xr:uid="{D953605C-97D4-4CBC-A23D-084226B8E778}"/>
    <hyperlink ref="A290" r:id="rId1524" xr:uid="{AE24AEE8-AB4B-4260-8822-DB93C3330F63}"/>
    <hyperlink ref="G290" r:id="rId1525" display="https://www.daloopa.com/src/58932342" xr:uid="{9A172568-A000-4164-9031-6491EF5CCA87}"/>
    <hyperlink ref="A291" r:id="rId1526" xr:uid="{C124657C-E563-4D80-8DE9-DF3F0AA67592}"/>
    <hyperlink ref="G291" r:id="rId1527" display="https://www.daloopa.com/src/58932338" xr:uid="{3335C00A-7EDC-4ABF-8690-2D6212A2516A}"/>
    <hyperlink ref="A292" r:id="rId1528" xr:uid="{9CD41F1B-7178-4AF8-9EF2-CBCDA97D4F0B}"/>
    <hyperlink ref="G292" r:id="rId1529" display="https://www.daloopa.com/src/58932339" xr:uid="{55D78077-A6A8-4396-86DA-C3D60B627382}"/>
    <hyperlink ref="A293" r:id="rId1530" xr:uid="{C7AA77E8-1417-467E-8C51-A4723383B7EF}"/>
    <hyperlink ref="G293" r:id="rId1531" display="https://www.daloopa.com/src/58932344" xr:uid="{EAE845E3-05E0-42A8-B45A-4AA9BC66DF82}"/>
    <hyperlink ref="A296" r:id="rId1532" xr:uid="{10672FC5-925E-435C-8E3E-49E2303C5313}"/>
    <hyperlink ref="G296" r:id="rId1533" display="https://www.daloopa.com/src/58932381" xr:uid="{04B3EE53-9999-4D52-BFCD-DC9EA0A7C63A}"/>
    <hyperlink ref="A297" r:id="rId1534" xr:uid="{72BDAA29-8FA3-41D4-B4C9-357499925C88}"/>
    <hyperlink ref="G297" r:id="rId1535" display="https://www.daloopa.com/src/58932380" xr:uid="{CF0B76C5-2362-4BD4-B1D8-289ED404C10B}"/>
    <hyperlink ref="A298" r:id="rId1536" xr:uid="{A4325053-B001-4D9B-926A-C42005A9AFB2}"/>
    <hyperlink ref="G298" r:id="rId1537" display="https://www.daloopa.com/src/58932379" xr:uid="{9E7548D5-D8BE-4A16-AD6E-3A048A73AA3F}"/>
    <hyperlink ref="A299" r:id="rId1538" xr:uid="{2BE3CAF8-2181-4305-8D73-2471FE5F0006}"/>
    <hyperlink ref="G299" r:id="rId1539" display="https://www.daloopa.com/src/58932378" xr:uid="{57EF4D4E-FD9C-4D31-8AFD-0B9B1A2C81A3}"/>
    <hyperlink ref="A302" r:id="rId1540" xr:uid="{7E2E633F-8205-423F-9B7E-39825BF94607}"/>
    <hyperlink ref="G302" r:id="rId1541" display="https://www.daloopa.com/src/58932428" xr:uid="{A6ED5088-9CCA-49CC-A951-6165C99FA1D2}"/>
    <hyperlink ref="A303" r:id="rId1542" xr:uid="{B6E00C2D-FC4D-4639-8A90-46D592EE957A}"/>
    <hyperlink ref="G303" r:id="rId1543" display="https://www.daloopa.com/src/58932432" xr:uid="{698ED500-1D29-4082-8833-A916C22DC7AE}"/>
    <hyperlink ref="A304" r:id="rId1544" xr:uid="{4A5977C0-0DED-4544-ADB6-7F90BBF1A9B4}"/>
    <hyperlink ref="G304" r:id="rId1545" display="https://www.daloopa.com/src/58932431" xr:uid="{1ACB4830-A4B0-4156-8B82-D25C47A83BCD}"/>
    <hyperlink ref="A305" r:id="rId1546" xr:uid="{29BB3328-B586-4B32-BF1A-2B0EC7D0E3B5}"/>
    <hyperlink ref="G305" r:id="rId1547" display="https://www.daloopa.com/src/58932429" xr:uid="{47530339-4792-44CC-86AB-F486FA89E940}"/>
    <hyperlink ref="A306" r:id="rId1548" xr:uid="{70C164AC-6329-46EF-9642-AC76565AC865}"/>
    <hyperlink ref="G306" r:id="rId1549" display="https://www.daloopa.com/src/58932434" xr:uid="{DA882D5F-4DC9-44B9-8A98-27AE9E9567CB}"/>
    <hyperlink ref="A308" r:id="rId1550" xr:uid="{585F4504-76E4-4B29-9861-87A644A98EF3}"/>
    <hyperlink ref="G308" r:id="rId1551" display="https://www.daloopa.com/src/58932430" xr:uid="{2761F693-F45C-406F-B1EA-DDCD36811F99}"/>
    <hyperlink ref="A309" r:id="rId1552" xr:uid="{DCE01D5A-9DA3-46E0-B2A6-12E7CC0273B6}"/>
    <hyperlink ref="G309" r:id="rId1553" display="https://www.daloopa.com/src/58932433" xr:uid="{50D81EB0-F3AA-4A1A-95AA-E4F318892BD3}"/>
    <hyperlink ref="A311" r:id="rId1554" xr:uid="{8EA99DD0-B0CB-4343-9B64-7167074E0894}"/>
    <hyperlink ref="G311" r:id="rId1555" display="https://www.daloopa.com/src/58932427" xr:uid="{34D8C563-1F42-4ACA-87BC-7682DF55E184}"/>
    <hyperlink ref="A312" r:id="rId1556" xr:uid="{E3A0EAD1-A677-4248-A41C-86B3D73A4046}"/>
    <hyperlink ref="G312" r:id="rId1557" display="https://www.daloopa.com/src/58932426" xr:uid="{7D868F3E-4026-4B52-B3A0-7589EA710C8A}"/>
    <hyperlink ref="A315" r:id="rId1558" xr:uid="{8F963379-2D4C-426B-B8B1-01C9131C4939}"/>
    <hyperlink ref="G315" r:id="rId1559" display="https://www.daloopa.com/src/58932442" xr:uid="{E30FC015-5EAC-4A4B-BB48-C5E5CE8B4A78}"/>
    <hyperlink ref="A316" r:id="rId1560" xr:uid="{F1F20223-DA17-454E-A6D3-3D7352EE9B88}"/>
    <hyperlink ref="G316" r:id="rId1561" display="https://www.daloopa.com/src/58932443" xr:uid="{4C477FDB-26ED-4398-A5A9-0374DF4A501F}"/>
    <hyperlink ref="A319" r:id="rId1562" xr:uid="{0CF59B6C-81E6-41B9-AB59-1B89D2E30AF8}"/>
    <hyperlink ref="G319" r:id="rId1563" display="https://www.daloopa.com/src/58932444" xr:uid="{9BB0E711-248D-4AA3-AB4E-F7AB69F60972}"/>
    <hyperlink ref="A320" r:id="rId1564" xr:uid="{DB32A0EC-6D3C-46D0-869D-EC25D9D92923}"/>
    <hyperlink ref="G320" r:id="rId1565" display="https://www.daloopa.com/src/58932445" xr:uid="{23EA8BF7-6373-4400-8570-9D8DF6C01868}"/>
    <hyperlink ref="A324" r:id="rId1566" xr:uid="{61F5B9DE-10EC-4FBC-AA56-4B1278AA93ED}"/>
    <hyperlink ref="C324" r:id="rId1567" display="https://www.daloopa.com/src/58936243" xr:uid="{456EB0E1-353A-48F2-BFE7-D2D90837A863}"/>
    <hyperlink ref="D324" r:id="rId1568" display="https://www.daloopa.com/src/58936254" xr:uid="{2FA6B110-7B27-473A-A164-CFCF7F0CB158}"/>
    <hyperlink ref="E324" r:id="rId1569" display="https://www.daloopa.com/src/58936271" xr:uid="{3BB7B0E2-98E5-4C68-BECD-4EFD704A37CA}"/>
    <hyperlink ref="F324" r:id="rId1570" display="https://www.daloopa.com/src/58936279" xr:uid="{25A11B05-5783-4CF3-A7CC-EE3B808F6D2D}"/>
    <hyperlink ref="G324" r:id="rId1571" display="https://www.daloopa.com/src/58936388" xr:uid="{C812BC80-2B6D-4C0A-B11B-F7AA2AD69E16}"/>
    <hyperlink ref="H324" r:id="rId1572" display="https://www.daloopa.com/src/58934470" xr:uid="{1399C8F6-A71A-48B2-B0E0-8EBC1BD92885}"/>
    <hyperlink ref="I324" r:id="rId1573" display="https://www.daloopa.com/src/58934395" xr:uid="{A42BB28B-3698-4634-A63C-622361021216}"/>
    <hyperlink ref="J324" r:id="rId1574" display="https://www.daloopa.com/src/58934406" xr:uid="{67833015-13E0-4963-B8D5-BC0E6BA417B6}"/>
    <hyperlink ref="K324" r:id="rId1575" display="https://www.daloopa.com/src/58874660" xr:uid="{9C711336-CA19-49CB-B95C-FAD3A2E88642}"/>
    <hyperlink ref="L324" r:id="rId1576" display="https://www.daloopa.com/src/58816059" xr:uid="{37039761-7F61-4109-B109-E955A75690C4}"/>
    <hyperlink ref="M324" r:id="rId1577" display="https://www.daloopa.com/src/58816046" xr:uid="{337FECB1-26F0-4B36-A25A-F242D8E7AD27}"/>
    <hyperlink ref="N324" r:id="rId1578" display="https://www.daloopa.com/src/58809370" xr:uid="{D0CA023D-7607-421A-AF83-4C2558DA0055}"/>
    <hyperlink ref="O324" r:id="rId1579" display="https://www.daloopa.com/src/58800873" xr:uid="{F8F8562D-060C-4002-8952-9E1F959CB397}"/>
    <hyperlink ref="P324" r:id="rId1580" display="https://www.daloopa.com/src/59368535" xr:uid="{DCEF278A-8B1C-45AA-AF43-CFAC73C7F964}"/>
    <hyperlink ref="R324" r:id="rId1581" display="https://www.daloopa.com/src/58936403" xr:uid="{F091C1F3-64E8-413E-B966-9E5EE1BA74C4}"/>
    <hyperlink ref="S324" r:id="rId1582" display="https://www.daloopa.com/src/58934451" xr:uid="{48ADB7D8-4A6A-4CEA-B9CF-DD010291D249}"/>
    <hyperlink ref="T324" r:id="rId1583" display="https://www.daloopa.com/src/58809471" xr:uid="{49A15D4E-7DA9-4162-9EDF-CA3B194E4555}"/>
    <hyperlink ref="A325" r:id="rId1584" xr:uid="{85EC6935-764E-41ED-B51A-1FA2C8ED87A4}"/>
    <hyperlink ref="C325" r:id="rId1585" display="https://www.daloopa.com/src/58936246" xr:uid="{A629B050-4D27-4C70-9FA9-4683C96CA9DA}"/>
    <hyperlink ref="D325" r:id="rId1586" display="https://www.daloopa.com/src/58936253" xr:uid="{75181E41-56C8-44A5-AB81-B08BAB4FD791}"/>
    <hyperlink ref="E325" r:id="rId1587" display="https://www.daloopa.com/src/58936270" xr:uid="{58E01783-5B27-42D1-A1F6-5EB3BD19A55A}"/>
    <hyperlink ref="F325" r:id="rId1588" display="https://www.daloopa.com/src/58936283" xr:uid="{D32A93E0-4B36-4CEF-AE1A-A1E277A11398}"/>
    <hyperlink ref="G325" r:id="rId1589" display="https://www.daloopa.com/src/58936387" xr:uid="{16099780-3A74-4722-A6D2-2FF906B20968}"/>
    <hyperlink ref="H325" r:id="rId1590" display="https://www.daloopa.com/src/58934460" xr:uid="{47F90B27-E17A-4BBF-8D59-8AE323E17373}"/>
    <hyperlink ref="I325" r:id="rId1591" display="https://www.daloopa.com/src/58934394" xr:uid="{7132B2E9-3A1C-41E6-A3B7-12E1FE3D7F25}"/>
    <hyperlink ref="J325" r:id="rId1592" display="https://www.daloopa.com/src/58934408" xr:uid="{1C245B94-C840-4513-A431-7E7CEB8792EC}"/>
    <hyperlink ref="K325" r:id="rId1593" display="https://www.daloopa.com/src/58874659" xr:uid="{F3AAC2A8-62C0-4404-A1EB-B2BFF55D07DD}"/>
    <hyperlink ref="L325" r:id="rId1594" display="https://www.daloopa.com/src/58816058" xr:uid="{A3F3ACCE-E87F-4AC9-954B-D14059BDD04E}"/>
    <hyperlink ref="M325" r:id="rId1595" display="https://www.daloopa.com/src/58816049" xr:uid="{C9F7F603-4E7D-444C-94FC-1A415DD8CC2E}"/>
    <hyperlink ref="N325" r:id="rId1596" display="https://www.daloopa.com/src/58809369" xr:uid="{13DB50D0-471D-4600-8065-9112B17AB4CA}"/>
    <hyperlink ref="O325" r:id="rId1597" display="https://www.daloopa.com/src/58800878" xr:uid="{67513DCC-1762-4DA9-9228-887FBC91B11C}"/>
    <hyperlink ref="P325" r:id="rId1598" display="https://www.daloopa.com/src/59368534" xr:uid="{1CFEEA50-ED7F-4DFD-89DC-1F1264449E4E}"/>
    <hyperlink ref="R325" r:id="rId1599" display="https://www.daloopa.com/src/58936405" xr:uid="{40E8BB07-C1AF-4465-92C6-253CC8CA380C}"/>
    <hyperlink ref="S325" r:id="rId1600" display="https://www.daloopa.com/src/58934447" xr:uid="{DA26D890-4699-4CE5-A61F-83D131D511E5}"/>
    <hyperlink ref="T325" r:id="rId1601" display="https://www.daloopa.com/src/58809472" xr:uid="{2F58883F-58AB-4C9F-8405-C00A29E95367}"/>
    <hyperlink ref="A326" r:id="rId1602" xr:uid="{D62F0CA4-0DA2-4686-992C-56A2BECE1583}"/>
    <hyperlink ref="C326" r:id="rId1603" display="https://www.daloopa.com/src/58936247" xr:uid="{0A8D52F0-D78B-475A-A1CA-A233A3EF608C}"/>
    <hyperlink ref="D326" r:id="rId1604" display="https://www.daloopa.com/src/58936257" xr:uid="{CACA2001-C4AC-49F5-9A33-6B05107994DD}"/>
    <hyperlink ref="E326" r:id="rId1605" display="https://www.daloopa.com/src/58936265" xr:uid="{29271722-855B-45FB-9F7C-BAB8F828E55B}"/>
    <hyperlink ref="F326" r:id="rId1606" display="https://www.daloopa.com/src/58936277" xr:uid="{4BBA72A7-A0DF-4DB1-9673-CF6B048B1C7B}"/>
    <hyperlink ref="G326" r:id="rId1607" display="https://www.daloopa.com/src/58936385" xr:uid="{36F1A743-7328-40DF-8762-E196735865F3}"/>
    <hyperlink ref="H326" r:id="rId1608" display="https://www.daloopa.com/src/58934463" xr:uid="{B40FC356-5129-43B4-8B27-54BB9B7CB558}"/>
    <hyperlink ref="I326" r:id="rId1609" display="https://www.daloopa.com/src/58934393" xr:uid="{7646E9DD-E349-4585-AEAE-256BFAB3D979}"/>
    <hyperlink ref="J326" r:id="rId1610" display="https://www.daloopa.com/src/58934400" xr:uid="{11F0AA71-7A51-446F-A74F-D11A3A655368}"/>
    <hyperlink ref="K326" r:id="rId1611" display="https://www.daloopa.com/src/58874661" xr:uid="{BD78C6A7-2B1D-45C3-9B05-D1375B9AD45D}"/>
    <hyperlink ref="L326" r:id="rId1612" display="https://www.daloopa.com/src/58816057" xr:uid="{866BD084-952B-4D4C-AF90-2B2AB7A0DB14}"/>
    <hyperlink ref="M326" r:id="rId1613" display="https://www.daloopa.com/src/58816052" xr:uid="{8E632CE4-65A9-496B-A078-DD00E259E27C}"/>
    <hyperlink ref="N326" r:id="rId1614" display="https://www.daloopa.com/src/58809368" xr:uid="{32960BE8-6BA9-4170-B919-92D8BA3A6D21}"/>
    <hyperlink ref="O326" r:id="rId1615" display="https://www.daloopa.com/src/58800874" xr:uid="{269C043C-B812-42F2-8872-08449B166948}"/>
    <hyperlink ref="P326" r:id="rId1616" display="https://www.daloopa.com/src/59368530" xr:uid="{BDF23231-1A36-4694-B4C4-9D7E6E475F08}"/>
    <hyperlink ref="R326" r:id="rId1617" display="https://www.daloopa.com/src/58936398" xr:uid="{02DFB752-E113-49B1-9DA0-836C44013E47}"/>
    <hyperlink ref="S326" r:id="rId1618" display="https://www.daloopa.com/src/58934450" xr:uid="{6C59D7FD-9FA5-4FD6-9D8A-1DB8826D7EE5}"/>
    <hyperlink ref="T326" r:id="rId1619" display="https://www.daloopa.com/src/58809473" xr:uid="{DFA45ED2-6B90-49AB-9EE0-1191638EFA48}"/>
    <hyperlink ref="A327" r:id="rId1620" xr:uid="{7E56CE37-75BF-4101-AC2D-4F0043BAAB37}"/>
    <hyperlink ref="C327" r:id="rId1621" display="https://www.daloopa.com/src/58936241" xr:uid="{A1747EBD-3E68-4CE5-B9AC-70BA23A3DECC}"/>
    <hyperlink ref="D327" r:id="rId1622" display="https://www.daloopa.com/src/58936255" xr:uid="{113C63F9-7642-4E30-9DF7-CFCC95E3F510}"/>
    <hyperlink ref="E327" r:id="rId1623" display="https://www.daloopa.com/src/58936267" xr:uid="{9885197A-57CE-4741-BE02-AD94CFDBBC11}"/>
    <hyperlink ref="F327" r:id="rId1624" display="https://www.daloopa.com/src/58936276" xr:uid="{52B2CDE0-F941-4743-9AD0-DDD63987FD48}"/>
    <hyperlink ref="G327" r:id="rId1625" display="https://www.daloopa.com/src/58936386" xr:uid="{60B3A626-AC7E-41F6-972B-A87F5FAFA918}"/>
    <hyperlink ref="H327" r:id="rId1626" display="https://www.daloopa.com/src/58934462" xr:uid="{B25F1C45-580B-4D84-BB19-C5069A52807E}"/>
    <hyperlink ref="I327" r:id="rId1627" display="https://www.daloopa.com/src/58934392" xr:uid="{A06762FB-EBE0-4594-A736-55D723477CCA}"/>
    <hyperlink ref="J327" r:id="rId1628" display="https://www.daloopa.com/src/58934405" xr:uid="{B2A33309-EB12-4DE8-8E73-19509A8D4F7B}"/>
    <hyperlink ref="K327" r:id="rId1629" display="https://www.daloopa.com/src/58874662" xr:uid="{AA778226-A2C7-4048-B30E-577FDD9AE474}"/>
    <hyperlink ref="L327" r:id="rId1630" display="https://www.daloopa.com/src/58816060" xr:uid="{48E35E21-E4BF-4996-8516-F4EE909A093A}"/>
    <hyperlink ref="M327" r:id="rId1631" display="https://www.daloopa.com/src/58816054" xr:uid="{4B9B28BF-A211-423E-B8AE-61DE2631CDA3}"/>
    <hyperlink ref="N327" r:id="rId1632" display="https://www.daloopa.com/src/58809364" xr:uid="{49F25A1B-2DAB-4AFB-8D07-60B42FAEFDBB}"/>
    <hyperlink ref="O327" r:id="rId1633" display="https://www.daloopa.com/src/58800877" xr:uid="{2F1D31D5-D59F-40AA-BFB3-3210DE86EE72}"/>
    <hyperlink ref="P327" r:id="rId1634" display="https://www.daloopa.com/src/59368533" xr:uid="{B48E6982-78A6-4D2D-AFC5-0FCA35C5D946}"/>
    <hyperlink ref="R327" r:id="rId1635" display="https://www.daloopa.com/src/58936404" xr:uid="{5497A3CE-6363-4069-8AB0-53C06F83E714}"/>
    <hyperlink ref="S327" r:id="rId1636" display="https://www.daloopa.com/src/58934441" xr:uid="{8573CC6B-63BB-4D47-A114-AD7C9A28AC49}"/>
    <hyperlink ref="T327" r:id="rId1637" display="https://www.daloopa.com/src/58809475" xr:uid="{62CB0561-B5AD-4303-8660-7AC3B3EB6BEE}"/>
    <hyperlink ref="A328" r:id="rId1638" xr:uid="{8C90DC41-E950-4386-BFFE-510DA6D6BFF6}"/>
    <hyperlink ref="K328" r:id="rId1639" display="https://www.daloopa.com/src/58874670" xr:uid="{22338863-B71C-4E44-A15E-DFA903E3AEE6}"/>
    <hyperlink ref="T328" r:id="rId1640" display="https://www.daloopa.com/src/58809474" xr:uid="{117A67FF-80A1-4D9C-B1C0-84009BD2812D}"/>
    <hyperlink ref="A329" r:id="rId1641" xr:uid="{0CC0779B-812F-4157-9F8C-BE74712898EB}"/>
    <hyperlink ref="C329" r:id="rId1642" display="https://www.daloopa.com/src/58936242" xr:uid="{BDA7C58D-F3C0-44BE-B232-FFFB52EBE399}"/>
    <hyperlink ref="D329" r:id="rId1643" display="https://www.daloopa.com/src/58936251" xr:uid="{BEF46AE8-E1AD-42B8-AB6D-8EB276CCD80D}"/>
    <hyperlink ref="E329" r:id="rId1644" display="https://www.daloopa.com/src/58936264" xr:uid="{1E304D26-2059-4852-94F7-84689614AA38}"/>
    <hyperlink ref="F329" r:id="rId1645" display="https://www.daloopa.com/src/58936278" xr:uid="{FB8C3374-4688-4964-9FED-E2182D52DAE3}"/>
    <hyperlink ref="G329" r:id="rId1646" display="https://www.daloopa.com/src/58936383" xr:uid="{8AB562B4-91FA-4FB8-BB7A-CA40C91C985D}"/>
    <hyperlink ref="H329" r:id="rId1647" display="https://www.daloopa.com/src/58934467" xr:uid="{7F3E074A-3C6F-4562-9804-57D22126AFB9}"/>
    <hyperlink ref="I329" r:id="rId1648" display="https://www.daloopa.com/src/58934391" xr:uid="{A40E9A63-47D1-4BC3-A0A6-1A151B38887E}"/>
    <hyperlink ref="J329" r:id="rId1649" display="https://www.daloopa.com/src/58934402" xr:uid="{40A8F7AD-7E14-4529-8018-DF7898F21934}"/>
    <hyperlink ref="K329" r:id="rId1650" display="https://www.daloopa.com/src/58874669" xr:uid="{01FCEEBF-6961-41D5-9396-9A43C4BD3363}"/>
    <hyperlink ref="L329" r:id="rId1651" display="https://www.daloopa.com/src/58816061" xr:uid="{1A25837C-5F31-45B8-863B-680E3B4602F6}"/>
    <hyperlink ref="M329" r:id="rId1652" display="https://www.daloopa.com/src/58816053" xr:uid="{83755373-7FC4-444C-B43B-BE5D2DECFCEA}"/>
    <hyperlink ref="N329" r:id="rId1653" display="https://www.daloopa.com/src/58809363" xr:uid="{2F9B6213-45BD-4CBA-AE4E-4A3D837B0F86}"/>
    <hyperlink ref="O329" r:id="rId1654" display="https://www.daloopa.com/src/58800876" xr:uid="{530FA002-65CD-4575-8C31-DF680703E912}"/>
    <hyperlink ref="P329" r:id="rId1655" display="https://www.daloopa.com/src/59368532" xr:uid="{2A66FA96-9EF2-4CBE-B1E5-A2732BC14336}"/>
    <hyperlink ref="R329" r:id="rId1656" display="https://www.daloopa.com/src/58936400" xr:uid="{A6070EE0-F089-4BD8-9953-50161902E082}"/>
    <hyperlink ref="S329" r:id="rId1657" display="https://www.daloopa.com/src/58934448" xr:uid="{B4F63EFA-CDF0-4122-970F-B4CB41F8921C}"/>
    <hyperlink ref="T329" r:id="rId1658" display="https://www.daloopa.com/src/58809476" xr:uid="{9C0DD161-322B-4804-9989-56B72483E0ED}"/>
    <hyperlink ref="A330" r:id="rId1659" xr:uid="{BAD68092-7898-4584-9F16-089B58CF2F6B}"/>
    <hyperlink ref="E330" r:id="rId1660" display="https://www.daloopa.com/src/58936266" xr:uid="{C1CD6475-A2AB-44B8-8A5E-C8E885B18E6B}"/>
    <hyperlink ref="F330" r:id="rId1661" display="https://www.daloopa.com/src/58936280" xr:uid="{B748A682-0964-4443-AB24-23A3D70D5EAF}"/>
    <hyperlink ref="G330" r:id="rId1662" display="https://www.daloopa.com/src/58936384" xr:uid="{FEF4F2CA-665A-4848-9507-E6FD727BD7C9}"/>
    <hyperlink ref="H330" r:id="rId1663" display="https://www.daloopa.com/src/58934466" xr:uid="{A3BC1AF2-EBD3-4DF5-A6F2-42D588C19CB0}"/>
    <hyperlink ref="I330" r:id="rId1664" display="https://www.daloopa.com/src/58934390" xr:uid="{24CEDE80-5764-42B8-B57C-36B3AF991D46}"/>
    <hyperlink ref="J330" r:id="rId1665" display="https://www.daloopa.com/src/58934401" xr:uid="{2611BBF6-3E46-4671-9585-17B240F96EB9}"/>
    <hyperlink ref="K330" r:id="rId1666" display="https://www.daloopa.com/src/58874668" xr:uid="{1B51F1A6-C923-41EA-9FA0-7BC42A86E1CD}"/>
    <hyperlink ref="L330" r:id="rId1667" display="https://www.daloopa.com/src/58816062" xr:uid="{8BFD668F-6E2C-4C9B-92FD-F991BE01AB8A}"/>
    <hyperlink ref="M330" r:id="rId1668" display="https://www.daloopa.com/src/58816050" xr:uid="{03778442-8101-4001-A5BA-4D4E9887D4E5}"/>
    <hyperlink ref="N330" r:id="rId1669" display="https://www.daloopa.com/src/58809362" xr:uid="{6AE3B57D-9706-40BF-9CA1-0067D41E1A9D}"/>
    <hyperlink ref="O330" r:id="rId1670" display="https://www.daloopa.com/src/58800875" xr:uid="{7694D40D-EDF1-47F6-99F2-F429E8191CE7}"/>
    <hyperlink ref="P330" r:id="rId1671" display="https://www.daloopa.com/src/59368531" xr:uid="{315E6A13-8A31-4CA9-8FB1-C86156D18BD4}"/>
    <hyperlink ref="R330" r:id="rId1672" display="https://www.daloopa.com/src/58936399" xr:uid="{05EFC282-D0EE-4175-8F31-18B2F68064BD}"/>
    <hyperlink ref="S330" r:id="rId1673" display="https://www.daloopa.com/src/58934449" xr:uid="{ABF594CA-CB9F-4ACA-8B8E-1D7752EF9890}"/>
    <hyperlink ref="T330" r:id="rId1674" display="https://www.daloopa.com/src/58809480" xr:uid="{BD93A120-0DA8-4D62-9A2E-89A28DE3A488}"/>
    <hyperlink ref="A331" r:id="rId1675" xr:uid="{D04B8141-B609-4F81-9AEA-7E7703EABC21}"/>
    <hyperlink ref="H331" r:id="rId1676" display="https://www.daloopa.com/src/58934465" xr:uid="{26A348D5-6BD3-47EA-82BE-AF8A17CCC602}"/>
    <hyperlink ref="I331" r:id="rId1677" display="https://www.daloopa.com/src/58934389" xr:uid="{FAA5DADC-65EC-41AB-9B63-162988D48018}"/>
    <hyperlink ref="J331" r:id="rId1678" display="https://www.daloopa.com/src/58934407" xr:uid="{1C03C06E-DD40-4DA8-86A2-15B8B9B789A7}"/>
    <hyperlink ref="K331" r:id="rId1679" display="https://www.daloopa.com/src/58874667" xr:uid="{C6CDE6B0-FFC9-4147-B05F-B3A6B22567E2}"/>
    <hyperlink ref="L331" r:id="rId1680" display="https://www.daloopa.com/src/58816063" xr:uid="{BF06DC6C-6072-486A-AF45-E6B73DE1D9D4}"/>
    <hyperlink ref="M331" r:id="rId1681" display="https://www.daloopa.com/src/58816056" xr:uid="{FC13DB57-E9AD-44C7-B11A-C699066E7B50}"/>
    <hyperlink ref="O331" r:id="rId1682" display="https://www.daloopa.com/src/58800879" xr:uid="{34E61AC7-61FE-49B8-B86A-40CB3729D9EB}"/>
    <hyperlink ref="P331" r:id="rId1683" display="https://www.daloopa.com/src/59368525" xr:uid="{EFCADC67-3F47-45E7-8E49-9A13F7EF3DC2}"/>
    <hyperlink ref="S331" r:id="rId1684" display="https://www.daloopa.com/src/58934446" xr:uid="{4F8C3036-8142-4ADE-8088-C6CF7553CF10}"/>
    <hyperlink ref="T331" r:id="rId1685" display="https://www.daloopa.com/src/58809477" xr:uid="{3DA30E9F-1CB9-439B-BBCF-05BD3D4CCC3F}"/>
    <hyperlink ref="A332" r:id="rId1686" xr:uid="{DB822E82-8A41-4420-87B2-28C47EEE9F90}"/>
    <hyperlink ref="C332" r:id="rId1687" display="https://www.daloopa.com/src/58936244" xr:uid="{1EDCFD87-8E06-45EB-BE78-BEC926CA0CAB}"/>
    <hyperlink ref="D332" r:id="rId1688" display="https://www.daloopa.com/src/58936252" xr:uid="{B344F9EB-EC4E-4FAA-82C9-9BB23A628E09}"/>
    <hyperlink ref="E332" r:id="rId1689" display="https://www.daloopa.com/src/58936268" xr:uid="{E055E557-27F0-4855-882E-A248D91DA529}"/>
    <hyperlink ref="F332" r:id="rId1690" display="https://www.daloopa.com/src/58936281" xr:uid="{7B868DD8-E5EF-48C2-BCC0-B126B55CA1C8}"/>
    <hyperlink ref="G332" r:id="rId1691" display="https://www.daloopa.com/src/58936382" xr:uid="{9557E63B-9D8F-4C87-81A8-44EFAE0A8977}"/>
    <hyperlink ref="H332" r:id="rId1692" display="https://www.daloopa.com/src/58934464" xr:uid="{6EBC8273-B6D1-4F32-9447-90720792E80A}"/>
    <hyperlink ref="I332" r:id="rId1693" display="https://www.daloopa.com/src/58934388" xr:uid="{B6C151E3-E807-4D59-A140-401EAEEF5CB3}"/>
    <hyperlink ref="J332" r:id="rId1694" display="https://www.daloopa.com/src/58934398" xr:uid="{6702F93A-FF9C-42E0-A6AE-F5FC501901B9}"/>
    <hyperlink ref="M332" r:id="rId1695" display="https://www.daloopa.com/src/58816055" xr:uid="{EF82E6ED-13FD-4A4E-A6B3-D1CA1133C1C5}"/>
    <hyperlink ref="N332" r:id="rId1696" display="https://www.daloopa.com/src/58809365" xr:uid="{6323AA36-CA18-4169-8EB1-A2D744D02B4E}"/>
    <hyperlink ref="R332" r:id="rId1697" display="https://www.daloopa.com/src/58936402" xr:uid="{9A3691BD-3F12-48A3-83C2-25B1FEDC53C8}"/>
    <hyperlink ref="S332" r:id="rId1698" display="https://www.daloopa.com/src/58934444" xr:uid="{05F65BFA-FF16-4A84-BCDC-72B9D24DC39E}"/>
    <hyperlink ref="T332" r:id="rId1699" display="https://www.daloopa.com/src/58809479" xr:uid="{8AC93C36-0A0D-482A-92EA-04F39FE35AE3}"/>
    <hyperlink ref="A333" r:id="rId1700" xr:uid="{CE5032D6-3061-466A-BA77-F1698D3BCD50}"/>
    <hyperlink ref="C333" r:id="rId1701" display="https://www.daloopa.com/src/58936245" xr:uid="{AD39FAE0-5E78-4535-89D7-1FCDFCD6B8A7}"/>
    <hyperlink ref="D333" r:id="rId1702" display="https://www.daloopa.com/src/58936256" xr:uid="{E49251F4-F316-4A6B-8B8C-49A98A0BF7DD}"/>
    <hyperlink ref="E333" r:id="rId1703" display="https://www.daloopa.com/src/58936269" xr:uid="{70C2996B-15C3-41EA-BD81-B391773F1919}"/>
    <hyperlink ref="F333" r:id="rId1704" display="https://www.daloopa.com/src/58936282" xr:uid="{8E5188E4-337A-4637-B12D-1A086DAE4CC1}"/>
    <hyperlink ref="G333" r:id="rId1705" display="https://www.daloopa.com/src/58936389" xr:uid="{F7042E47-38DA-4DDF-B10B-E30EE561A8F2}"/>
    <hyperlink ref="H333" r:id="rId1706" display="https://www.daloopa.com/src/58934461" xr:uid="{12439745-4FF2-4CBC-9310-44B97F228821}"/>
    <hyperlink ref="I333" r:id="rId1707" display="https://www.daloopa.com/src/58934387" xr:uid="{37E77793-6969-4333-B3BC-7BEB8A5F7993}"/>
    <hyperlink ref="J333" r:id="rId1708" display="https://www.daloopa.com/src/58934404" xr:uid="{B9FD9EEE-87B2-4749-B596-04CCFF84F8E4}"/>
    <hyperlink ref="K333" r:id="rId1709" display="https://www.daloopa.com/src/58874666" xr:uid="{E81C4CD6-3243-4CD6-94F5-81F33D3EDFD6}"/>
    <hyperlink ref="L333" r:id="rId1710" display="https://www.daloopa.com/src/58816064" xr:uid="{096518A0-9BB9-41B8-8F29-C40B778F27DE}"/>
    <hyperlink ref="M333" r:id="rId1711" display="https://www.daloopa.com/src/58816048" xr:uid="{3D89268C-9942-4E31-B4FB-7D4F62D51883}"/>
    <hyperlink ref="N333" r:id="rId1712" display="https://www.daloopa.com/src/58809366" xr:uid="{3482EC00-9BB7-47D0-A0E5-19CDA01D919B}"/>
    <hyperlink ref="O333" r:id="rId1713" display="https://www.daloopa.com/src/58800872" xr:uid="{14D514E9-D6EA-4CA1-B40D-19364E591C5C}"/>
    <hyperlink ref="P333" r:id="rId1714" display="https://www.daloopa.com/src/59368529" xr:uid="{DFE22955-E130-46F6-8A8B-F11B9BDD6D89}"/>
    <hyperlink ref="R333" r:id="rId1715" display="https://www.daloopa.com/src/58936401" xr:uid="{B32DA6F3-7ADF-41C7-A2A0-7510361BED0F}"/>
    <hyperlink ref="S333" r:id="rId1716" display="https://www.daloopa.com/src/58934443" xr:uid="{924C5075-080E-49B7-A1CB-4BDC93626122}"/>
    <hyperlink ref="T333" r:id="rId1717" display="https://www.daloopa.com/src/58809481" xr:uid="{6DC8E298-0B89-4886-90B7-20D0FAB2238A}"/>
    <hyperlink ref="A335" r:id="rId1718" xr:uid="{A515A609-A1B6-4BF1-B8ED-C9BFA4504248}"/>
    <hyperlink ref="C335" r:id="rId1719" display="https://www.daloopa.com/src/59737788" xr:uid="{3AE43939-30C0-4B17-9941-9BB3037A29AA}"/>
    <hyperlink ref="D335" r:id="rId1720" display="https://www.daloopa.com/src/59737789" xr:uid="{3B22F406-2AD2-4386-A1BC-158BFAC31E0D}"/>
    <hyperlink ref="E335" r:id="rId1721" display="https://www.daloopa.com/src/59737790" xr:uid="{F261C486-9CD6-4D2C-B87E-BF55C9FE7901}"/>
    <hyperlink ref="F335" r:id="rId1722" display="https://www.daloopa.com/src/59737791" xr:uid="{66BAE101-7E1E-43DC-925E-4F228D6D1A83}"/>
    <hyperlink ref="G335" r:id="rId1723" display="https://www.daloopa.com/src/58939749" xr:uid="{D8E9AD8C-4360-47F2-9397-30DBA88039DF}"/>
    <hyperlink ref="H335" r:id="rId1724" display="https://www.daloopa.com/src/58934469" xr:uid="{89E43900-E13A-40B9-AC70-5D5BD7E0351C}"/>
    <hyperlink ref="I335" r:id="rId1725" display="https://www.daloopa.com/src/58934396" xr:uid="{46CD8EB0-05F7-4D29-8049-91C83232C498}"/>
    <hyperlink ref="J335" r:id="rId1726" display="https://www.daloopa.com/src/58934403" xr:uid="{F355DA54-5171-46CB-8F5B-82645693CE0A}"/>
    <hyperlink ref="K335" r:id="rId1727" display="https://www.daloopa.com/src/58874665" xr:uid="{EAF52FBD-C9DB-43F5-B9DB-82AFAB58988E}"/>
    <hyperlink ref="L335" r:id="rId1728" display="https://www.daloopa.com/src/58816065" xr:uid="{FA0054B0-E0C2-4618-9A08-AC07E381E92D}"/>
    <hyperlink ref="M335" r:id="rId1729" display="https://www.daloopa.com/src/58816047" xr:uid="{BB2D4EE0-7212-4D46-8E55-7BBF4E50E18C}"/>
    <hyperlink ref="N335" r:id="rId1730" display="https://www.daloopa.com/src/58809367" xr:uid="{FBDAE9FD-0840-4326-8CC4-55D4BC339728}"/>
    <hyperlink ref="O335" r:id="rId1731" display="https://www.daloopa.com/src/58800871" xr:uid="{D9AF4915-18CF-4448-A90C-9E2BBAB5AEC5}"/>
    <hyperlink ref="P335" r:id="rId1732" display="https://www.daloopa.com/src/59368528" xr:uid="{AD051256-D793-49B1-B4AE-2006529E37C6}"/>
    <hyperlink ref="R335" r:id="rId1733" display="https://www.daloopa.com/src/58939671" xr:uid="{8FE3E809-8172-4847-8367-F3C557389A92}"/>
    <hyperlink ref="S335" r:id="rId1734" display="https://www.daloopa.com/src/58934442" xr:uid="{838C0093-19AD-4623-9E99-1E1F1B7DB10C}"/>
    <hyperlink ref="T335" r:id="rId1735" display="https://www.daloopa.com/src/58809478" xr:uid="{031EEBBF-A026-44CC-8FD2-3BA0015026E0}"/>
    <hyperlink ref="A336" r:id="rId1736" xr:uid="{92F983A2-9364-4277-B2E7-639376F22733}"/>
    <hyperlink ref="C336" r:id="rId1737" display="https://www.daloopa.com/src/59736870" xr:uid="{B8EC383D-B713-4685-ABFA-F9FEB7CBD06E}"/>
    <hyperlink ref="D336" r:id="rId1738" display="https://www.daloopa.com/src/59736833" xr:uid="{506E08EE-E9F0-4A7D-AD93-6C62054B54F5}"/>
    <hyperlink ref="E336" r:id="rId1739" display="https://www.daloopa.com/src/59736807" xr:uid="{16505AC6-F0C0-436E-B042-7BC0298B4F0B}"/>
    <hyperlink ref="F336" r:id="rId1740" display="https://www.daloopa.com/src/59736795" xr:uid="{AAB97080-9831-4D8C-8ADC-3F2D7480F8B8}"/>
    <hyperlink ref="G336" r:id="rId1741" display="https://www.daloopa.com/src/59736672" xr:uid="{0BFF6813-64A0-4C0F-B9AC-CC1A3DC6AC10}"/>
    <hyperlink ref="H336" r:id="rId1742" display="https://www.daloopa.com/src/59736629" xr:uid="{EDCCC188-9642-4351-A852-114ED40C4247}"/>
    <hyperlink ref="I336" r:id="rId1743" display="https://www.daloopa.com/src/59736601" xr:uid="{B7AF763D-1FFE-476A-B117-6AA72A88F5C9}"/>
    <hyperlink ref="J336" r:id="rId1744" display="https://www.daloopa.com/src/59736552" xr:uid="{ED2EC243-18EE-4B3C-ADD7-E7B1C3AA166A}"/>
    <hyperlink ref="K336" r:id="rId1745" display="https://www.daloopa.com/src/58874664" xr:uid="{2D6406A7-70C4-42E5-BF3D-E6DD214A2217}"/>
    <hyperlink ref="L336" r:id="rId1746" display="https://www.daloopa.com/src/59695055" xr:uid="{39FFBD57-9522-4E04-99D2-B8C06B7E822E}"/>
    <hyperlink ref="M336" r:id="rId1747" display="https://www.daloopa.com/src/59736399" xr:uid="{48A87C15-375C-4D07-981C-B92BA08B07CF}"/>
    <hyperlink ref="N336" r:id="rId1748" display="https://www.daloopa.com/src/59736348" xr:uid="{C9A20CAA-9B3F-41FB-B4BB-0DD58B1F68A6}"/>
    <hyperlink ref="O336" r:id="rId1749" display="https://www.daloopa.com/src/58800881" xr:uid="{8B9C81A9-3FF8-45A0-84D1-3F6234FA144E}"/>
    <hyperlink ref="P336" r:id="rId1750" display="https://www.daloopa.com/src/59368527" xr:uid="{4528E469-C4D1-4B5F-A093-87AD2BF7AC8C}"/>
    <hyperlink ref="T336" r:id="rId1751" display="https://www.daloopa.com/src/59736362" xr:uid="{4234B4AE-5912-4FA8-B414-33B39572DBF1}"/>
    <hyperlink ref="A337" r:id="rId1752" xr:uid="{78339CE5-449C-4785-8010-D7CD6BA8F99F}"/>
    <hyperlink ref="C337" r:id="rId1753" display="https://www.daloopa.com/src/59066247" xr:uid="{8FE7D0DE-6A71-4FD9-8C5F-8FD29EF622C3}"/>
    <hyperlink ref="D337" r:id="rId1754" display="https://www.daloopa.com/src/59066248" xr:uid="{F616DD83-24AB-4F57-AABF-71BB7656CC26}"/>
    <hyperlink ref="E337" r:id="rId1755" display="https://www.daloopa.com/src/59066249" xr:uid="{9F5C1FAB-3EDD-4C81-A1DA-2742D506DC02}"/>
    <hyperlink ref="F337" r:id="rId1756" display="https://www.daloopa.com/src/59066250" xr:uid="{42BBB131-B676-4890-858A-E1E475E6E626}"/>
    <hyperlink ref="G337" r:id="rId1757" display="https://www.daloopa.com/src/58938649" xr:uid="{0BD72DE4-E6B0-4048-A25C-56D0740B3CAE}"/>
    <hyperlink ref="H337" r:id="rId1758" display="https://www.daloopa.com/src/58934468" xr:uid="{5BE9951B-EBBB-4BF6-871E-15292DA5FB1E}"/>
    <hyperlink ref="I337" r:id="rId1759" display="https://www.daloopa.com/src/58934397" xr:uid="{DB8FCF7D-D948-47CF-BD42-5C5E313784B0}"/>
    <hyperlink ref="J337" r:id="rId1760" display="https://www.daloopa.com/src/58934399" xr:uid="{F82CF621-EFF1-4465-8407-04F0AA1EE649}"/>
    <hyperlink ref="K337" r:id="rId1761" display="https://www.daloopa.com/src/58874663" xr:uid="{72FBE276-C3DD-4961-A830-1A9672F99F92}"/>
    <hyperlink ref="L337" r:id="rId1762" display="https://www.daloopa.com/src/58816066" xr:uid="{5E89E813-5BF4-434E-AF35-4E3075BBC24B}"/>
    <hyperlink ref="M337" r:id="rId1763" display="https://www.daloopa.com/src/58816051" xr:uid="{74B494A4-2253-4D05-8B15-C245CDD9C12B}"/>
    <hyperlink ref="N337" r:id="rId1764" display="https://www.daloopa.com/src/58809361" xr:uid="{D97A0BBA-4777-4FC1-8BDE-AE28B2268012}"/>
    <hyperlink ref="O337" r:id="rId1765" display="https://www.daloopa.com/src/58800880" xr:uid="{723A304A-A6E9-4420-A486-A7F11DCC1B64}"/>
    <hyperlink ref="P337" r:id="rId1766" display="https://www.daloopa.com/src/59368526" xr:uid="{BD31A318-038C-4E9A-95F6-655E8281F30F}"/>
    <hyperlink ref="R337" r:id="rId1767" display="https://www.daloopa.com/src/58938469" xr:uid="{31B581C3-5E09-43A6-A2D6-63EAEAFB15D7}"/>
    <hyperlink ref="S337" r:id="rId1768" display="https://www.daloopa.com/src/58934445" xr:uid="{72F45159-169A-461E-9B1C-F72F16BA7F4C}"/>
    <hyperlink ref="T337" r:id="rId1769" display="https://www.daloopa.com/src/58809482" xr:uid="{88EF2E74-1324-4257-B9BC-904010DB214A}"/>
    <hyperlink ref="A340" r:id="rId1770" xr:uid="{139ED15C-5B6B-4FB1-ABE7-76F60D0E171D}"/>
    <hyperlink ref="G340" r:id="rId1771" display="https://www.daloopa.com/src/59695231" xr:uid="{91EF00A0-E720-429B-B186-099270B722F5}"/>
    <hyperlink ref="A341" r:id="rId1772" xr:uid="{AC06E814-3D10-493F-AC92-B2EAB8A12742}"/>
    <hyperlink ref="G341" r:id="rId1773" display="https://www.daloopa.com/src/59695236" xr:uid="{4ADBA449-57FB-4FFE-9EFF-922FFE777141}"/>
    <hyperlink ref="A342" r:id="rId1774" xr:uid="{9AC9605C-4026-4665-B514-631D4C20B321}"/>
    <hyperlink ref="G342" r:id="rId1775" display="https://www.daloopa.com/src/59695227" xr:uid="{76865F80-75B1-483D-8CAB-95194D1F8094}"/>
    <hyperlink ref="A343" r:id="rId1776" xr:uid="{C44998CA-CE3F-41B7-85B7-969A98530FF1}"/>
    <hyperlink ref="G343" r:id="rId1777" display="https://www.daloopa.com/src/59695225" xr:uid="{0CB22345-3055-4284-8DF8-304B4F2FAFED}"/>
    <hyperlink ref="A344" r:id="rId1778" xr:uid="{855E00D0-F255-46A0-BD25-40C7B7EE94AD}"/>
    <hyperlink ref="G344" r:id="rId1779" display="https://www.daloopa.com/src/59695234" xr:uid="{A08BE2ED-8688-41D4-87D4-489AE74793F3}"/>
    <hyperlink ref="A345" r:id="rId1780" xr:uid="{45532BD8-C3A6-418B-9255-05B981A846B9}"/>
    <hyperlink ref="G345" r:id="rId1781" display="https://www.daloopa.com/src/59695235" xr:uid="{E8934CF5-3844-4179-897E-CD88ED9081D5}"/>
    <hyperlink ref="A346" r:id="rId1782" xr:uid="{443497F2-0822-43E3-8151-193CDB219178}"/>
    <hyperlink ref="G346" r:id="rId1783" display="https://www.daloopa.com/src/59695232" xr:uid="{0B3923F0-B98C-4F11-A1AC-A42293E758B4}"/>
    <hyperlink ref="A347" r:id="rId1784" xr:uid="{48AF08B4-6642-4BDE-952A-7B558FB569A1}"/>
    <hyperlink ref="G347" r:id="rId1785" display="https://www.daloopa.com/src/59695229" xr:uid="{AA7B5F1E-FFDC-4B5D-BB67-17AD674FBF34}"/>
    <hyperlink ref="A348" r:id="rId1786" xr:uid="{78BFC7C7-FCAE-46DC-9044-18378FFAA7CF}"/>
    <hyperlink ref="G348" r:id="rId1787" display="https://www.daloopa.com/src/59695228" xr:uid="{787991BD-0F35-4581-9076-754A50D1E927}"/>
    <hyperlink ref="A349" r:id="rId1788" xr:uid="{C42F2E6F-21BF-4728-BBEE-3AF03B5F131D}"/>
    <hyperlink ref="G349" r:id="rId1789" display="https://www.daloopa.com/src/59695226" xr:uid="{12B44EDE-D713-424D-8817-32116FEA1441}"/>
    <hyperlink ref="A351" r:id="rId1790" xr:uid="{AB817AF3-4A25-4C9A-B03D-1A26B6DD5599}"/>
    <hyperlink ref="G351" r:id="rId1791" display="https://www.daloopa.com/src/59695233" xr:uid="{A36A2F66-C14F-4BB2-8165-2965446AEB5E}"/>
    <hyperlink ref="A352" r:id="rId1792" xr:uid="{305BED6C-C111-4A1C-8AE9-A536344AB835}"/>
    <hyperlink ref="G352" r:id="rId1793" display="https://www.daloopa.com/src/59736761" xr:uid="{E1DE1ADA-A44A-463E-BE7E-47BE72721B70}"/>
    <hyperlink ref="A353" r:id="rId1794" xr:uid="{708ECCCB-5B0A-42A1-A8AB-FC35F0060078}"/>
    <hyperlink ref="G353" r:id="rId1795" display="https://www.daloopa.com/src/59695230" xr:uid="{4A9946F4-2D98-4DF6-A9A0-D2BD1468743A}"/>
    <hyperlink ref="A358" r:id="rId1796" xr:uid="{077E15B5-4820-4FAB-80F5-58FE1AC8B8F4}"/>
    <hyperlink ref="C358" r:id="rId1797" display="https://www.daloopa.com/src/58936785" xr:uid="{FA0501DF-2802-497C-A672-8F372C4E67FA}"/>
    <hyperlink ref="D358" r:id="rId1798" display="https://www.daloopa.com/src/58936796" xr:uid="{6C03BC70-F637-4425-944E-E7A0DB6CECEF}"/>
    <hyperlink ref="E358" r:id="rId1799" display="https://www.daloopa.com/src/58936804" xr:uid="{2AA5C2EB-2CB2-4A6E-884A-88B1C6895BA9}"/>
    <hyperlink ref="F358" r:id="rId1800" display="https://www.daloopa.com/src/58936823" xr:uid="{27A1381A-E1F1-4316-AD40-BB6423440437}"/>
    <hyperlink ref="G358" r:id="rId1801" display="https://www.daloopa.com/src/58936845" xr:uid="{27A671A6-7B96-4CB6-B8A8-B4780E88FD8A}"/>
    <hyperlink ref="H358" r:id="rId1802" display="https://www.daloopa.com/src/58935503" xr:uid="{EA768EB7-DBDB-4D17-A57E-2C02BC22945D}"/>
    <hyperlink ref="I358" r:id="rId1803" display="https://www.daloopa.com/src/58935516" xr:uid="{8181B330-EB97-469F-9422-BDED3E0B446F}"/>
    <hyperlink ref="J358" r:id="rId1804" display="https://www.daloopa.com/src/58935525" xr:uid="{9ED65973-C643-48BF-B998-8058A2D06DBF}"/>
    <hyperlink ref="K358" r:id="rId1805" display="https://www.daloopa.com/src/58874695" xr:uid="{B70D6DCC-0696-4FD6-8215-40FA62D2BA15}"/>
    <hyperlink ref="L358" r:id="rId1806" display="https://www.daloopa.com/src/58816116" xr:uid="{E49DAD7C-2FEA-4F87-ABBC-983AE8452544}"/>
    <hyperlink ref="M358" r:id="rId1807" display="https://www.daloopa.com/src/58816120" xr:uid="{D930F250-8935-47A3-BA5D-08E018D83D43}"/>
    <hyperlink ref="N358" r:id="rId1808" display="https://www.daloopa.com/src/58809652" xr:uid="{F47C727A-66AE-4C4E-A015-31403EDABC4F}"/>
    <hyperlink ref="O358" r:id="rId1809" display="https://www.daloopa.com/src/58802510" xr:uid="{3C0CF10F-056F-4365-B645-6C16908F8CDB}"/>
    <hyperlink ref="P358" r:id="rId1810" display="https://www.daloopa.com/src/59368536" xr:uid="{CCCC9510-52E0-41DE-B12B-D988745BE5F4}"/>
    <hyperlink ref="R358" r:id="rId1811" display="https://www.daloopa.com/src/58936948" xr:uid="{08AE91EC-3C91-4288-AE09-9BE0A84A89AC}"/>
    <hyperlink ref="S358" r:id="rId1812" display="https://www.daloopa.com/src/58935550" xr:uid="{0C3223D3-CC40-4BB5-A8C1-60BF0B73BEF3}"/>
    <hyperlink ref="T358" r:id="rId1813" display="https://www.daloopa.com/src/58809710" xr:uid="{56B062EA-5A66-42A0-B5E9-0B0A62800CE7}"/>
    <hyperlink ref="A359" r:id="rId1814" xr:uid="{60A6CBAE-FC37-4C26-8040-F7F64A7C178F}"/>
    <hyperlink ref="C359" r:id="rId1815" display="https://www.daloopa.com/src/58936784" xr:uid="{36A28933-1EF6-4E52-9EF5-18920252EA1A}"/>
    <hyperlink ref="D359" r:id="rId1816" display="https://www.daloopa.com/src/58936795" xr:uid="{729BA03B-08E6-48A8-B7D2-40F345CE7F09}"/>
    <hyperlink ref="E359" r:id="rId1817" display="https://www.daloopa.com/src/58936805" xr:uid="{902B9B31-DC7E-4E26-871F-9C09865DADCD}"/>
    <hyperlink ref="F359" r:id="rId1818" display="https://www.daloopa.com/src/58936832" xr:uid="{4B07422F-72EB-4488-9E50-A05C0B713944}"/>
    <hyperlink ref="G359" r:id="rId1819" display="https://www.daloopa.com/src/58936848" xr:uid="{78533B52-6FE6-4B4B-8FEA-DD75DB4CCDD8}"/>
    <hyperlink ref="H359" r:id="rId1820" display="https://www.daloopa.com/src/58935502" xr:uid="{6107D638-EC97-46E5-84FC-B1C361245BE6}"/>
    <hyperlink ref="I359" r:id="rId1821" display="https://www.daloopa.com/src/58935517" xr:uid="{483D04F2-8F3A-4D03-88BB-51B88686D6BB}"/>
    <hyperlink ref="J359" r:id="rId1822" display="https://www.daloopa.com/src/58935526" xr:uid="{77E390B0-4E32-444C-B837-9AED6C989CAE}"/>
    <hyperlink ref="K359" r:id="rId1823" display="https://www.daloopa.com/src/58874696" xr:uid="{0600F1B5-2B0A-45B1-AD2E-46D662C6ECA3}"/>
    <hyperlink ref="L359" r:id="rId1824" display="https://www.daloopa.com/src/58816114" xr:uid="{89F18CBE-6A6D-4F94-8E12-6807C894056A}"/>
    <hyperlink ref="M359" r:id="rId1825" display="https://www.daloopa.com/src/58816119" xr:uid="{974A3F6E-0EB5-4066-8F5B-D7D334CA2FC4}"/>
    <hyperlink ref="N359" r:id="rId1826" display="https://www.daloopa.com/src/58809653" xr:uid="{7F86B81B-57FB-4EDB-B468-2F3B6C816358}"/>
    <hyperlink ref="O359" r:id="rId1827" display="https://www.daloopa.com/src/58802518" xr:uid="{A48AD3EE-5316-4C32-AEAE-2321D462EC02}"/>
    <hyperlink ref="P359" r:id="rId1828" display="https://www.daloopa.com/src/59368537" xr:uid="{7B1609BE-784F-4267-8363-E4EC0D3F5C1E}"/>
    <hyperlink ref="R359" r:id="rId1829" display="https://www.daloopa.com/src/58936952" xr:uid="{3740C4B8-1E49-4891-B12C-96437BC8AF8B}"/>
    <hyperlink ref="S359" r:id="rId1830" display="https://www.daloopa.com/src/58935551" xr:uid="{002173FC-54C6-435F-90FD-DC95A076E63C}"/>
    <hyperlink ref="T359" r:id="rId1831" display="https://www.daloopa.com/src/58809711" xr:uid="{BEC1AE97-B935-48DA-AE0D-18E66E35A17E}"/>
    <hyperlink ref="A360" r:id="rId1832" xr:uid="{B49C310B-5BC9-400E-8F5B-A2572D31EA10}"/>
    <hyperlink ref="C360" r:id="rId1833" display="https://www.daloopa.com/src/58936789" xr:uid="{C7B7BB08-A92D-45DF-9641-BD827671439C}"/>
    <hyperlink ref="D360" r:id="rId1834" display="https://www.daloopa.com/src/58936798" xr:uid="{E32CA099-9209-45FE-9E7A-228DA2769523}"/>
    <hyperlink ref="E360" r:id="rId1835" display="https://www.daloopa.com/src/58936812" xr:uid="{C3BD55B3-BDED-445F-BD4C-980775E3422B}"/>
    <hyperlink ref="F360" r:id="rId1836" display="https://www.daloopa.com/src/58936822" xr:uid="{714FB3AA-C158-4199-A94A-04201E0A600D}"/>
    <hyperlink ref="G360" r:id="rId1837" display="https://www.daloopa.com/src/58936846" xr:uid="{DC09C1C5-E4C1-4589-8198-1F48629585FE}"/>
    <hyperlink ref="H360" r:id="rId1838" display="https://www.daloopa.com/src/58935501" xr:uid="{2B714ABA-7AEC-4F52-9F85-BA29A4CAE0BB}"/>
    <hyperlink ref="I360" r:id="rId1839" display="https://www.daloopa.com/src/58935518" xr:uid="{5E5497DF-7293-41D3-A4CE-A02530443EED}"/>
    <hyperlink ref="J360" r:id="rId1840" display="https://www.daloopa.com/src/58935527" xr:uid="{B8B18A38-3E54-42DC-A65C-AAD8BAD790FA}"/>
    <hyperlink ref="K360" r:id="rId1841" display="https://www.daloopa.com/src/58874697" xr:uid="{99400853-2FD3-429B-BC9A-4ED13FF04E9F}"/>
    <hyperlink ref="L360" r:id="rId1842" display="https://www.daloopa.com/src/58816118" xr:uid="{010F2CCB-0F13-4BE1-ABF4-5F495EDB5642}"/>
    <hyperlink ref="M360" r:id="rId1843" display="https://www.daloopa.com/src/58816121" xr:uid="{66B5F7E9-7A21-4C0A-8309-5F2176446738}"/>
    <hyperlink ref="N360" r:id="rId1844" display="https://www.daloopa.com/src/58809643" xr:uid="{C072E104-4B60-4D56-A7E6-AAEF0958AE35}"/>
    <hyperlink ref="O360" r:id="rId1845" display="https://www.daloopa.com/src/58802512" xr:uid="{8E801A13-2CF4-4AF2-A029-B246628A8E88}"/>
    <hyperlink ref="P360" r:id="rId1846" display="https://www.daloopa.com/src/59368546" xr:uid="{722D8C52-21E0-47DA-AE20-0DC45E9AD01F}"/>
    <hyperlink ref="R360" r:id="rId1847" display="https://www.daloopa.com/src/58936951" xr:uid="{D03F56A1-649E-4F9B-86D0-E67D70874128}"/>
    <hyperlink ref="S360" r:id="rId1848" display="https://www.daloopa.com/src/58935545" xr:uid="{AFF38123-FA29-48C5-9E04-29323C35057C}"/>
    <hyperlink ref="T360" r:id="rId1849" display="https://www.daloopa.com/src/58809712" xr:uid="{CFE9F407-8597-4844-9AB2-C8EA55D51589}"/>
    <hyperlink ref="A362" r:id="rId1850" xr:uid="{327AD770-219D-4B8A-9A24-4581D2F76FE0}"/>
    <hyperlink ref="C362" r:id="rId1851" display="https://www.daloopa.com/src/58936791" xr:uid="{CDB3FD13-F2CB-4676-9D1A-41F3A9EC78A8}"/>
    <hyperlink ref="D362" r:id="rId1852" display="https://www.daloopa.com/src/58936794" xr:uid="{7050AB51-B219-419A-BECC-9B0754CE3230}"/>
    <hyperlink ref="E362" r:id="rId1853" display="https://www.daloopa.com/src/58936806" xr:uid="{084341EC-43C5-44C1-B351-4F33583C3D7A}"/>
    <hyperlink ref="F362" r:id="rId1854" display="https://www.daloopa.com/src/58936825" xr:uid="{A4341B6D-FC53-4BD9-A082-E0F9135508B4}"/>
    <hyperlink ref="G362" r:id="rId1855" display="https://www.daloopa.com/src/58936838" xr:uid="{917146CF-E4C5-49E6-BBB2-777F0FFDC598}"/>
    <hyperlink ref="H362" r:id="rId1856" display="https://www.daloopa.com/src/58935500" xr:uid="{4E5A9C9D-A884-4681-B297-1F8F04A3C1FA}"/>
    <hyperlink ref="I362" r:id="rId1857" display="https://www.daloopa.com/src/58935507" xr:uid="{780AF3F0-EBF9-4A2E-84BD-658B0A415E75}"/>
    <hyperlink ref="J362" r:id="rId1858" display="https://www.daloopa.com/src/58935528" xr:uid="{C9B914B6-151E-44D9-AEAE-F528D721D03F}"/>
    <hyperlink ref="K362" r:id="rId1859" display="https://www.daloopa.com/src/58874698" xr:uid="{4268DD40-111C-4F1D-B939-936405F29E1A}"/>
    <hyperlink ref="L362" r:id="rId1860" display="https://www.daloopa.com/src/58816117" xr:uid="{608AA2D4-4F08-48F0-8B58-BA1E51BA53EB}"/>
    <hyperlink ref="M362" r:id="rId1861" display="https://www.daloopa.com/src/58816122" xr:uid="{6691849D-DAD8-4113-8797-6C6676967BB3}"/>
    <hyperlink ref="N362" r:id="rId1862" display="https://www.daloopa.com/src/58809644" xr:uid="{BA927DB8-B304-46CB-A468-D6D33EC66004}"/>
    <hyperlink ref="O362" r:id="rId1863" display="https://www.daloopa.com/src/58802515" xr:uid="{4F7DEDFC-4FB6-41E6-985C-13A926513BE9}"/>
    <hyperlink ref="P362" r:id="rId1864" display="https://www.daloopa.com/src/59368545" xr:uid="{45754022-9E19-44F6-B329-7BC28BBF3AB4}"/>
    <hyperlink ref="R362" r:id="rId1865" display="https://www.daloopa.com/src/58936953" xr:uid="{EAE5D386-5EE4-4F74-A73D-061E62E74132}"/>
    <hyperlink ref="S362" r:id="rId1866" display="https://www.daloopa.com/src/58935546" xr:uid="{75341DFC-A8DB-4BE6-AA06-41236A9F768C}"/>
    <hyperlink ref="T362" r:id="rId1867" display="https://www.daloopa.com/src/58809709" xr:uid="{AF39F73E-F0AD-4FFE-9ED5-3C242A311FB6}"/>
    <hyperlink ref="A363" r:id="rId1868" xr:uid="{E4B31A99-D9E1-4B62-A26D-3F3E12F3CA8F}"/>
    <hyperlink ref="C363" r:id="rId1869" display="https://www.daloopa.com/src/58936793" xr:uid="{6A89D087-6828-4F1B-A686-C85A50349DC3}"/>
    <hyperlink ref="D363" r:id="rId1870" display="https://www.daloopa.com/src/58936797" xr:uid="{28E38DB1-C122-4068-B884-43B61A21ABB0}"/>
    <hyperlink ref="E363" r:id="rId1871" display="https://www.daloopa.com/src/58936810" xr:uid="{30FC669A-A547-4866-884D-6E25667C23C5}"/>
    <hyperlink ref="F363" r:id="rId1872" display="https://www.daloopa.com/src/58936829" xr:uid="{15C99246-5C25-4F3A-BA25-92E8F18A2AC5}"/>
    <hyperlink ref="G363" r:id="rId1873" display="https://www.daloopa.com/src/58936847" xr:uid="{1FE828F5-D135-42F7-B18E-8E89ED8B0B7E}"/>
    <hyperlink ref="H363" r:id="rId1874" display="https://www.daloopa.com/src/58935499" xr:uid="{979AB5E2-D99E-431C-B15C-7487C4EA4495}"/>
    <hyperlink ref="I363" r:id="rId1875" display="https://www.daloopa.com/src/58935512" xr:uid="{2468C302-6219-4BCD-BB6B-592ADDF56394}"/>
    <hyperlink ref="J363" r:id="rId1876" display="https://www.daloopa.com/src/58935522" xr:uid="{2491CFEA-D9E3-404F-9CF7-5C755F2AFA6E}"/>
    <hyperlink ref="K363" r:id="rId1877" display="https://www.daloopa.com/src/58874699" xr:uid="{89F49458-06C6-4D9B-B8A9-145D1328D13A}"/>
    <hyperlink ref="L363" r:id="rId1878" display="https://www.daloopa.com/src/58816111" xr:uid="{3E40EDFE-C3B7-4CB9-B6E0-543207191B34}"/>
    <hyperlink ref="M363" r:id="rId1879" display="https://www.daloopa.com/src/58816124" xr:uid="{314E17BF-AF73-49C6-A4AA-E0AF7E110E95}"/>
    <hyperlink ref="N363" r:id="rId1880" display="https://www.daloopa.com/src/58809645" xr:uid="{FEBBBF8A-C3EA-4106-ACD4-1311321AFFC9}"/>
    <hyperlink ref="O363" r:id="rId1881" display="https://www.daloopa.com/src/58802513" xr:uid="{74231EF5-20C7-4E70-B028-84587C50700C}"/>
    <hyperlink ref="P363" r:id="rId1882" display="https://www.daloopa.com/src/59368544" xr:uid="{8126DF46-117A-4E2D-9366-4C36C06F2EA4}"/>
    <hyperlink ref="R363" r:id="rId1883" display="https://www.daloopa.com/src/58936950" xr:uid="{4E079A8C-3125-4AE7-8324-0A9225CC03F9}"/>
    <hyperlink ref="S363" r:id="rId1884" display="https://www.daloopa.com/src/58935544" xr:uid="{08E7B9E0-1518-4B72-9BEF-458929ED2A56}"/>
    <hyperlink ref="T363" r:id="rId1885" display="https://www.daloopa.com/src/58809718" xr:uid="{5538B9AD-1630-4DDB-A897-9D28DB5E71EA}"/>
    <hyperlink ref="A364" r:id="rId1886" xr:uid="{42562A00-87EA-4253-91AA-41FCC43209B0}"/>
    <hyperlink ref="C364" r:id="rId1887" display="https://www.daloopa.com/src/58936787" xr:uid="{06271737-C80F-41B1-8661-E08D2734AA33}"/>
    <hyperlink ref="D364" r:id="rId1888" display="https://www.daloopa.com/src/58936799" xr:uid="{D0C356B4-53A0-4FF4-A44C-1FCAA5C17CD8}"/>
    <hyperlink ref="E364" r:id="rId1889" display="https://www.daloopa.com/src/58936814" xr:uid="{5B769E51-7DFE-4041-B868-77B0A4BD9633}"/>
    <hyperlink ref="F364" r:id="rId1890" display="https://www.daloopa.com/src/58936831" xr:uid="{BA9FB4FB-0C2E-43B3-9DC4-DC5095B96489}"/>
    <hyperlink ref="G364" r:id="rId1891" display="https://www.daloopa.com/src/58936839" xr:uid="{17B71387-715F-4679-BF13-75D32FB23265}"/>
    <hyperlink ref="H364" r:id="rId1892" display="https://www.daloopa.com/src/58935498" xr:uid="{ABDF78E7-3E42-487F-BACA-72A89F2A1F5F}"/>
    <hyperlink ref="I364" r:id="rId1893" display="https://www.daloopa.com/src/58935509" xr:uid="{3BD3E101-DA36-4BB4-9D43-C6E786AE5019}"/>
    <hyperlink ref="J364" r:id="rId1894" display="https://www.daloopa.com/src/58935529" xr:uid="{F433CCAC-2948-4B30-96B0-9AAC3368D742}"/>
    <hyperlink ref="K364" r:id="rId1895" display="https://www.daloopa.com/src/58874700" xr:uid="{4682238A-31E7-4988-B4F4-B7C323BF8625}"/>
    <hyperlink ref="L364" r:id="rId1896" display="https://www.daloopa.com/src/58816115" xr:uid="{32E48D66-5C6D-4876-9AF2-883D136F12A2}"/>
    <hyperlink ref="M364" r:id="rId1897" display="https://www.daloopa.com/src/58816130" xr:uid="{2D675B53-FF0E-4CD2-9665-C79462A334A6}"/>
    <hyperlink ref="N364" r:id="rId1898" display="https://www.daloopa.com/src/58809647" xr:uid="{9AE82B1F-3A97-4BF2-9CCD-4CB8AE86CCC1}"/>
    <hyperlink ref="O364" r:id="rId1899" display="https://www.daloopa.com/src/58802516" xr:uid="{498F3F9F-8BC6-4D21-83AD-68426913134B}"/>
    <hyperlink ref="P364" r:id="rId1900" display="https://www.daloopa.com/src/59368543" xr:uid="{0C24875C-2FBA-4E1C-8947-7291E15098D0}"/>
    <hyperlink ref="R364" r:id="rId1901" display="https://www.daloopa.com/src/58936954" xr:uid="{E0123E23-E3AE-4BAE-A1FC-400CF00AAD26}"/>
    <hyperlink ref="S364" r:id="rId1902" display="https://www.daloopa.com/src/58935547" xr:uid="{F0888A34-503A-4EA8-ACD7-8FA2B8280553}"/>
    <hyperlink ref="T364" r:id="rId1903" display="https://www.daloopa.com/src/58809716" xr:uid="{FE53718B-9609-4E6B-8D2E-6BBD76AE5E21}"/>
    <hyperlink ref="A365" r:id="rId1904" xr:uid="{116918F2-06DB-4716-9169-5A2E27B7A602}"/>
    <hyperlink ref="E365" r:id="rId1905" display="https://www.daloopa.com/src/58936813" xr:uid="{809003B4-56A5-41CA-900E-78A481B5F802}"/>
    <hyperlink ref="F365" r:id="rId1906" display="https://www.daloopa.com/src/58936826" xr:uid="{A6DF0166-7377-4585-8612-B78B62314EAA}"/>
    <hyperlink ref="G365" r:id="rId1907" display="https://www.daloopa.com/src/58936840" xr:uid="{7D970F57-53F9-4C09-8371-3767D2D803B1}"/>
    <hyperlink ref="H365" r:id="rId1908" display="https://www.daloopa.com/src/58935497" xr:uid="{0EA50E31-315E-4CCC-8378-BA3FCAAC6B23}"/>
    <hyperlink ref="I365" r:id="rId1909" display="https://www.daloopa.com/src/58935511" xr:uid="{8915C953-FBCC-42BB-BD93-9B2FCB0BFE35}"/>
    <hyperlink ref="J365" r:id="rId1910" display="https://www.daloopa.com/src/58935530" xr:uid="{810ADCD2-FA38-498D-937C-04DBC873086E}"/>
    <hyperlink ref="K365" r:id="rId1911" display="https://www.daloopa.com/src/58874701" xr:uid="{7F7D1BEC-89EB-44F7-B967-CE051B4A9049}"/>
    <hyperlink ref="L365" r:id="rId1912" display="https://www.daloopa.com/src/58816108" xr:uid="{F8E76853-8DE3-47EB-967E-F302E7B8500E}"/>
    <hyperlink ref="M365" r:id="rId1913" display="https://www.daloopa.com/src/58816129" xr:uid="{6CC63A1F-20CD-4C61-B671-E4126D0A46A7}"/>
    <hyperlink ref="N365" r:id="rId1914" display="https://www.daloopa.com/src/58809646" xr:uid="{BD06F278-FEA1-4E36-A7DB-198079D2F928}"/>
    <hyperlink ref="O365" r:id="rId1915" display="https://www.daloopa.com/src/58802517" xr:uid="{C307B90E-4B1E-4806-928C-1742DC3ACA8E}"/>
    <hyperlink ref="P365" r:id="rId1916" display="https://www.daloopa.com/src/59368542" xr:uid="{35953415-476C-4806-AB61-F471C8FC1797}"/>
    <hyperlink ref="R365" r:id="rId1917" display="https://www.daloopa.com/src/58936955" xr:uid="{50618626-FFF6-416F-BA44-46460172BCC9}"/>
    <hyperlink ref="S365" r:id="rId1918" display="https://www.daloopa.com/src/58935543" xr:uid="{F0133FF5-3C11-49AE-A657-6E8C567D9EC5}"/>
    <hyperlink ref="T365" r:id="rId1919" display="https://www.daloopa.com/src/58809713" xr:uid="{FADD6FAF-FBEE-40AA-9B33-D8882828A895}"/>
    <hyperlink ref="A366" r:id="rId1920" xr:uid="{33687027-7474-405E-A5F8-9A97B9FEF025}"/>
    <hyperlink ref="H366" r:id="rId1921" display="https://www.daloopa.com/src/58935496" xr:uid="{0FD446E1-03E0-40EB-8712-58784D9EBA10}"/>
    <hyperlink ref="I366" r:id="rId1922" display="https://www.daloopa.com/src/58935510" xr:uid="{54699B63-6617-4D24-9916-876A0650DE31}"/>
    <hyperlink ref="J366" r:id="rId1923" display="https://www.daloopa.com/src/58935523" xr:uid="{0119A1B5-4222-4939-898E-671F6403D243}"/>
    <hyperlink ref="K366" r:id="rId1924" display="https://www.daloopa.com/src/58874702" xr:uid="{4D8E30B6-CF83-4974-9F0A-E123DA16AD89}"/>
    <hyperlink ref="L366" r:id="rId1925" display="https://www.daloopa.com/src/58816109" xr:uid="{B70328C7-23B1-4545-8AC8-0DF9DB466E5F}"/>
    <hyperlink ref="M366" r:id="rId1926" display="https://www.daloopa.com/src/58816128" xr:uid="{9C9B4D94-16BF-49F0-AF72-A2872980ECA1}"/>
    <hyperlink ref="O366" r:id="rId1927" display="https://www.daloopa.com/src/58802508" xr:uid="{3B655084-BD4E-4153-9C2D-9781471BBCBA}"/>
    <hyperlink ref="P366" r:id="rId1928" display="https://www.daloopa.com/src/59368541" xr:uid="{7C961172-255C-4E8F-956F-150A4244CBE6}"/>
    <hyperlink ref="S366" r:id="rId1929" display="https://www.daloopa.com/src/58935548" xr:uid="{2A6EE118-64ED-4F83-9D96-E64E0E9A909E}"/>
    <hyperlink ref="T366" r:id="rId1930" display="https://www.daloopa.com/src/58809714" xr:uid="{3E7CB533-7ED8-4026-BCB9-7A6AF90D3205}"/>
    <hyperlink ref="A367" r:id="rId1931" xr:uid="{6861466A-A615-46A3-959F-6AE0B1B59889}"/>
    <hyperlink ref="C367" r:id="rId1932" display="https://www.daloopa.com/src/58936790" xr:uid="{AF40A5AF-D9FA-4CD5-89EC-73AFFE3754C0}"/>
    <hyperlink ref="D367" r:id="rId1933" display="https://www.daloopa.com/src/58936803" xr:uid="{C2641C83-E203-452F-89B8-9C8376143585}"/>
    <hyperlink ref="E367" r:id="rId1934" display="https://www.daloopa.com/src/58936811" xr:uid="{027CE3B2-EF17-4E0F-80E9-297D1AA32F2B}"/>
    <hyperlink ref="F367" r:id="rId1935" display="https://www.daloopa.com/src/58936828" xr:uid="{8934219D-A6CE-4028-863B-C64701539983}"/>
    <hyperlink ref="G367" r:id="rId1936" display="https://www.daloopa.com/src/58936841" xr:uid="{20056D4D-0482-443D-BE14-877A41782752}"/>
    <hyperlink ref="H367" r:id="rId1937" display="https://www.daloopa.com/src/58935504" xr:uid="{F59DE4A7-783E-4E83-BA16-33B505479AD5}"/>
    <hyperlink ref="I367" r:id="rId1938" display="https://www.daloopa.com/src/58935508" xr:uid="{4C9C613C-EB16-48AB-966C-3A3C8DF2EE71}"/>
    <hyperlink ref="J367" r:id="rId1939" display="https://www.daloopa.com/src/58935520" xr:uid="{A4B2F338-AB8E-4A59-AD6D-F1D71E8A2E8D}"/>
    <hyperlink ref="M367" r:id="rId1940" display="https://www.daloopa.com/src/58816127" xr:uid="{3A93DA30-DAE5-4F3C-8159-0BFCF4FE5DAF}"/>
    <hyperlink ref="N367" r:id="rId1941" display="https://www.daloopa.com/src/58809649" xr:uid="{5243B179-AFC1-4D09-8924-4B3AB892679C}"/>
    <hyperlink ref="R367" r:id="rId1942" display="https://www.daloopa.com/src/58936956" xr:uid="{1183448D-4837-4612-AD7E-2EC626AC22D6}"/>
    <hyperlink ref="S367" r:id="rId1943" display="https://www.daloopa.com/src/58935549" xr:uid="{49F6DF77-C153-4934-B45E-4291F8E5B5C8}"/>
    <hyperlink ref="T367" r:id="rId1944" display="https://www.daloopa.com/src/58809715" xr:uid="{D0753325-3CEB-4E04-B216-97005F060565}"/>
    <hyperlink ref="A368" r:id="rId1945" xr:uid="{030D9316-3785-4948-AB67-0EB4E807C627}"/>
    <hyperlink ref="C368" r:id="rId1946" display="https://www.daloopa.com/src/58936786" xr:uid="{B170E2CE-9ED6-490E-9EE6-1AB541E60DCA}"/>
    <hyperlink ref="D368" r:id="rId1947" display="https://www.daloopa.com/src/58936800" xr:uid="{FB520BF6-94CD-4350-9CB3-E6E899606AA4}"/>
    <hyperlink ref="E368" r:id="rId1948" display="https://www.daloopa.com/src/58936809" xr:uid="{27421FC5-F272-4465-9BC7-1C9A95E3DD35}"/>
    <hyperlink ref="F368" r:id="rId1949" display="https://www.daloopa.com/src/58936830" xr:uid="{DF1DBA59-8CA9-43D9-B9C5-5D4219D4B212}"/>
    <hyperlink ref="G368" r:id="rId1950" display="https://www.daloopa.com/src/58936844" xr:uid="{87367B48-C9D7-4E15-BE12-A9124F818FF2}"/>
    <hyperlink ref="H368" r:id="rId1951" display="https://www.daloopa.com/src/58935493" xr:uid="{15980D1C-FF21-4FB7-9A3F-D878E88D41F7}"/>
    <hyperlink ref="I368" r:id="rId1952" display="https://www.daloopa.com/src/58935515" xr:uid="{AD1FB044-6FBD-4950-A44C-3C58BF7F9DD1}"/>
    <hyperlink ref="J368" r:id="rId1953" display="https://www.daloopa.com/src/58935521" xr:uid="{816D06F1-8229-4036-9E71-EA1A3CD4DABA}"/>
    <hyperlink ref="K368" r:id="rId1954" display="https://www.daloopa.com/src/58874703" xr:uid="{4C90F977-375C-435D-A764-BF4657245481}"/>
    <hyperlink ref="L368" r:id="rId1955" display="https://www.daloopa.com/src/58816112" xr:uid="{7A192C47-3E1F-4093-82F2-55BAB576F3F8}"/>
    <hyperlink ref="M368" r:id="rId1956" display="https://www.daloopa.com/src/58816126" xr:uid="{764F146D-110A-42D9-BF1B-3EAE90A883D5}"/>
    <hyperlink ref="N368" r:id="rId1957" display="https://www.daloopa.com/src/58809648" xr:uid="{CFCF6784-048C-4DDE-A5C4-25460C903AA1}"/>
    <hyperlink ref="O368" r:id="rId1958" display="https://www.daloopa.com/src/58802511" xr:uid="{CD1A42C6-E717-494D-8BC5-F723A478489C}"/>
    <hyperlink ref="P368" r:id="rId1959" display="https://www.daloopa.com/src/59368540" xr:uid="{9BCC1466-4B7F-4507-A242-1BB2DD386613}"/>
    <hyperlink ref="R368" r:id="rId1960" display="https://www.daloopa.com/src/58936947" xr:uid="{875F0F99-4266-4D86-90B6-F88B9F73F22B}"/>
    <hyperlink ref="S368" r:id="rId1961" display="https://www.daloopa.com/src/58935542" xr:uid="{E131A400-7820-4683-8CDA-BC3D740CEECB}"/>
    <hyperlink ref="T368" r:id="rId1962" display="https://www.daloopa.com/src/58809720" xr:uid="{EF2EE70B-F8B2-44D2-A334-594F1F3C9A26}"/>
    <hyperlink ref="A370" r:id="rId1963" xr:uid="{9D3926C6-037B-40DE-83D9-CEC6C9FEC167}"/>
    <hyperlink ref="C370" r:id="rId1964" display="https://www.daloopa.com/src/58936792" xr:uid="{FE4E03B0-7FE2-4A93-A495-85C6A9FCC338}"/>
    <hyperlink ref="D370" r:id="rId1965" display="https://www.daloopa.com/src/58936801" xr:uid="{7FCE3759-5D9A-41E6-8BA8-9D04CF7E4FD7}"/>
    <hyperlink ref="E370" r:id="rId1966" display="https://www.daloopa.com/src/58936808" xr:uid="{6841E6F0-1F15-43C9-A585-0597808FD6A5}"/>
    <hyperlink ref="F370" r:id="rId1967" display="https://www.daloopa.com/src/58936824" xr:uid="{84EE628B-14EA-4117-BA92-D6B0E3E83AAD}"/>
    <hyperlink ref="G370" r:id="rId1968" display="https://www.daloopa.com/src/58936843" xr:uid="{B751E1E7-C6B6-4622-9DE6-9849787F42E5}"/>
    <hyperlink ref="H370" r:id="rId1969" display="https://www.daloopa.com/src/58935494" xr:uid="{D9F35933-14A9-494C-84F0-61E51375EC04}"/>
    <hyperlink ref="I370" r:id="rId1970" display="https://www.daloopa.com/src/58935514" xr:uid="{D857F4D0-4C00-46C8-8782-04EB158CCF28}"/>
    <hyperlink ref="J370" r:id="rId1971" display="https://www.daloopa.com/src/58935519" xr:uid="{D6DB0B94-3863-4EDE-AF29-82555665AF4A}"/>
    <hyperlink ref="K370" r:id="rId1972" display="https://www.daloopa.com/src/58874704" xr:uid="{F2E827CD-409F-427A-B37E-B8C0C667D6C8}"/>
    <hyperlink ref="L370" r:id="rId1973" display="https://www.daloopa.com/src/58816113" xr:uid="{CAC3CFB8-5BD2-4692-88F0-04D07D4B732B}"/>
    <hyperlink ref="M370" r:id="rId1974" display="https://www.daloopa.com/src/58816125" xr:uid="{6FA33891-25FD-4598-97D9-A820BD41AF51}"/>
    <hyperlink ref="N370" r:id="rId1975" display="https://www.daloopa.com/src/58809651" xr:uid="{39D0CBDC-1AEE-4EC9-B1B9-7D717974C696}"/>
    <hyperlink ref="O370" r:id="rId1976" display="https://www.daloopa.com/src/58802514" xr:uid="{61D1C80E-1262-4982-B674-8F195B8FDA16}"/>
    <hyperlink ref="P370" r:id="rId1977" display="https://www.daloopa.com/src/59368539" xr:uid="{41C7030F-9393-4EB6-B33D-EE16A41ABE01}"/>
    <hyperlink ref="R370" r:id="rId1978" display="https://www.daloopa.com/src/58936949" xr:uid="{DF99E206-935C-4670-81A0-521E309229C3}"/>
    <hyperlink ref="S370" r:id="rId1979" display="https://www.daloopa.com/src/58935541" xr:uid="{2F9BCCEE-74C1-4B6C-9D92-DC59E2748A7C}"/>
    <hyperlink ref="T370" r:id="rId1980" display="https://www.daloopa.com/src/58809717" xr:uid="{B61E213C-63C8-45D3-BBDA-40D33157E4BF}"/>
    <hyperlink ref="A371" r:id="rId1981" xr:uid="{6DD1FA27-7A90-4ADF-B7CD-C9D80D8A089C}"/>
    <hyperlink ref="C371" r:id="rId1982" display="https://www.daloopa.com/src/58936788" xr:uid="{94379726-45E3-4341-89F2-E59157E2648B}"/>
    <hyperlink ref="D371" r:id="rId1983" display="https://www.daloopa.com/src/58936802" xr:uid="{3C051200-2D4B-4FDA-AD19-114162E3CDD1}"/>
    <hyperlink ref="E371" r:id="rId1984" display="https://www.daloopa.com/src/58936807" xr:uid="{F2ABFEBE-82E6-42F2-929A-6E40D36A7CF5}"/>
    <hyperlink ref="F371" r:id="rId1985" display="https://www.daloopa.com/src/58936827" xr:uid="{985049E3-169B-4503-888B-ED63193D8706}"/>
    <hyperlink ref="G371" r:id="rId1986" display="https://www.daloopa.com/src/58936842" xr:uid="{AF855667-FFCB-4697-BDD4-6067B9AC54D3}"/>
    <hyperlink ref="H371" r:id="rId1987" display="https://www.daloopa.com/src/58935495" xr:uid="{0CA45844-A201-4016-84B2-18DD534030EF}"/>
    <hyperlink ref="I371" r:id="rId1988" display="https://www.daloopa.com/src/58935513" xr:uid="{C2469C5F-90F0-41CA-87D5-1516771BA837}"/>
    <hyperlink ref="J371" r:id="rId1989" display="https://www.daloopa.com/src/58935524" xr:uid="{F48B6483-CFBB-41DB-8DA9-751E0D8F99F1}"/>
    <hyperlink ref="K371" r:id="rId1990" display="https://www.daloopa.com/src/58874705" xr:uid="{564E4B3C-2BF8-4DC7-A791-F4891B0D8EF9}"/>
    <hyperlink ref="L371" r:id="rId1991" display="https://www.daloopa.com/src/58816110" xr:uid="{FC028818-2746-4773-BBAE-4CD6D5BDC5DC}"/>
    <hyperlink ref="M371" r:id="rId1992" display="https://www.daloopa.com/src/58816123" xr:uid="{4A93614A-B4B6-4CE7-BD69-D0BB77DE1C98}"/>
    <hyperlink ref="N371" r:id="rId1993" display="https://www.daloopa.com/src/58809650" xr:uid="{CF5CA5DE-8D69-42CA-AAB2-ED5137542E17}"/>
    <hyperlink ref="O371" r:id="rId1994" display="https://www.daloopa.com/src/58802509" xr:uid="{251014DD-3619-4110-AD0B-A2204B4E54A9}"/>
    <hyperlink ref="P371" r:id="rId1995" display="https://www.daloopa.com/src/59368538" xr:uid="{E7290F4A-62DC-43F9-92BF-B547EE5CAA55}"/>
    <hyperlink ref="R371" r:id="rId1996" display="https://www.daloopa.com/src/58936946" xr:uid="{2E9D2AB0-8365-4AD2-B06D-BEB76412944A}"/>
    <hyperlink ref="S371" r:id="rId1997" display="https://www.daloopa.com/src/58935540" xr:uid="{EB70446A-B54B-4728-8409-566FB6ED4C30}"/>
    <hyperlink ref="T371" r:id="rId1998" display="https://www.daloopa.com/src/58809719" xr:uid="{1E97AB39-9221-4C92-8790-AABD1900F729}"/>
    <hyperlink ref="A375" r:id="rId1999" xr:uid="{08E24DA4-642D-4255-8CB2-0E460ADB6619}"/>
    <hyperlink ref="G375" r:id="rId2000" display="https://www.daloopa.com/src/59695634" xr:uid="{D839D396-65A8-4FB0-ADE4-F61D094DAF80}"/>
    <hyperlink ref="A376" r:id="rId2001" xr:uid="{5C0EA584-68D5-48DD-A02B-9FD97F680B8F}"/>
    <hyperlink ref="G376" r:id="rId2002" display="https://www.daloopa.com/src/59695629" xr:uid="{EF108943-8C8C-44B5-9835-963A7C56F088}"/>
    <hyperlink ref="A377" r:id="rId2003" xr:uid="{87C5F04D-24C4-47F2-900F-AD574906A681}"/>
    <hyperlink ref="G377" r:id="rId2004" display="https://www.daloopa.com/src/59695635" xr:uid="{C417E7B5-79CC-4901-A842-7333304095BC}"/>
    <hyperlink ref="A379" r:id="rId2005" xr:uid="{337DD6FB-059D-4998-ADBA-4EB20AA1219D}"/>
    <hyperlink ref="G379" r:id="rId2006" display="https://www.daloopa.com/src/59695625" xr:uid="{902AF4FE-D438-4833-8CAE-A400AE058C6A}"/>
    <hyperlink ref="A380" r:id="rId2007" xr:uid="{59409378-2528-4D66-B2FA-F671AB6F9080}"/>
    <hyperlink ref="G380" r:id="rId2008" display="https://www.daloopa.com/src/59695633" xr:uid="{FA2CC9DC-C6E0-4358-94B5-FA13EF248F63}"/>
    <hyperlink ref="A381" r:id="rId2009" xr:uid="{30433915-8F46-4996-9287-3C799C516C3E}"/>
    <hyperlink ref="G381" r:id="rId2010" display="https://www.daloopa.com/src/59695628" xr:uid="{70FC537F-CF29-4A9C-813E-403C0198A27E}"/>
    <hyperlink ref="A382" r:id="rId2011" xr:uid="{9AD48531-F735-4A08-86B5-9ABFEEF0F442}"/>
    <hyperlink ref="G382" r:id="rId2012" display="https://www.daloopa.com/src/59695636" xr:uid="{E3A0965D-D201-4099-9EBB-40D9DDAE949D}"/>
    <hyperlink ref="A383" r:id="rId2013" xr:uid="{90D9583E-D662-4B5B-AF0D-CBF5832CAF84}"/>
    <hyperlink ref="G383" r:id="rId2014" display="https://www.daloopa.com/src/59695632" xr:uid="{5815B29D-1570-431D-9356-A12D47103B82}"/>
    <hyperlink ref="A384" r:id="rId2015" xr:uid="{ECB8AB6E-F0D6-4635-8E88-4E7E7BB4460F}"/>
    <hyperlink ref="G384" r:id="rId2016" display="https://www.daloopa.com/src/59695631" xr:uid="{6C980689-70FD-4FCC-8928-6FCCC5F8DEDC}"/>
    <hyperlink ref="A385" r:id="rId2017" xr:uid="{D57C7FC5-2A19-4E14-A2A4-B2C7CCE261F0}"/>
    <hyperlink ref="G385" r:id="rId2018" display="https://www.daloopa.com/src/59695627" xr:uid="{EB587AF7-8D04-4FC5-A1E6-A42CD9A55E3C}"/>
    <hyperlink ref="A387" r:id="rId2019" xr:uid="{002CA428-D4BE-4C29-B949-1622AE1111A1}"/>
    <hyperlink ref="G387" r:id="rId2020" display="https://www.daloopa.com/src/59695630" xr:uid="{3648A76B-A11E-461B-877D-3C32CCC4AB0D}"/>
    <hyperlink ref="A388" r:id="rId2021" xr:uid="{6DB4F725-11E5-4C8B-A749-CB0E7276BC4B}"/>
    <hyperlink ref="G388" r:id="rId2022" display="https://www.daloopa.com/src/59695626" xr:uid="{04950DD4-9879-4BE6-B391-93A6AEBD7928}"/>
    <hyperlink ref="A391" r:id="rId2023" xr:uid="{75BC258F-5026-4D2B-980F-B573EFCC2E7A}"/>
    <hyperlink ref="G391" r:id="rId2024" display="https://www.daloopa.com/src/59751933" xr:uid="{622E2B2A-06FF-4229-B811-BBFD0369693C}"/>
    <hyperlink ref="H391" r:id="rId2025" display="https://www.daloopa.com/src/58935597" xr:uid="{E30D97A0-A235-468C-8788-36BAE63E7E65}"/>
    <hyperlink ref="I391" r:id="rId2026" display="https://www.daloopa.com/src/58935591" xr:uid="{BD754D33-7F5E-4318-A06E-9081D06A490E}"/>
    <hyperlink ref="J391" r:id="rId2027" display="https://www.daloopa.com/src/58935556" xr:uid="{194159D1-F020-4920-A612-1797CE1F29F9}"/>
    <hyperlink ref="K391" r:id="rId2028" display="https://www.daloopa.com/src/58874713" xr:uid="{A454AEA0-5D29-42E0-B782-A1F368CBD158}"/>
    <hyperlink ref="L391" r:id="rId2029" display="https://www.daloopa.com/src/58816151" xr:uid="{EFE9E2E3-0BC8-477D-823A-764D32B484CA}"/>
    <hyperlink ref="M391" r:id="rId2030" display="https://www.daloopa.com/src/58816131" xr:uid="{8013C459-2FFF-4E2E-8AD2-AD16A27D4343}"/>
    <hyperlink ref="N391" r:id="rId2031" display="https://www.daloopa.com/src/58809908" xr:uid="{8CD8F640-9272-4EA0-9125-A0A1178A0E36}"/>
    <hyperlink ref="O391" r:id="rId2032" display="https://www.daloopa.com/src/58804538" xr:uid="{DB077C3D-69E7-4BD1-B1B9-7F4AC5D57E12}"/>
    <hyperlink ref="P391" r:id="rId2033" display="https://www.daloopa.com/src/59368555" xr:uid="{F7F2FDF3-5B66-42B9-A1FA-EAB18D2486CD}"/>
    <hyperlink ref="R391" r:id="rId2034" display="https://www.daloopa.com/src/58940283" xr:uid="{F76D7B16-8FCE-411A-ABC0-899E7C0BA6E7}"/>
    <hyperlink ref="S391" r:id="rId2035" display="https://www.daloopa.com/src/58935570" xr:uid="{C2EF6D2D-A6AA-4B1B-B91A-92DA282FCB18}"/>
    <hyperlink ref="T391" r:id="rId2036" display="https://www.daloopa.com/src/58810048" xr:uid="{8DCE0FC3-C40B-47EC-B8F1-F2DFE3605888}"/>
    <hyperlink ref="A393" r:id="rId2037" xr:uid="{0B363EE8-BDA9-4823-801F-C2201C5386AA}"/>
    <hyperlink ref="G393" r:id="rId2038" display="https://www.daloopa.com/src/59751934" xr:uid="{F3D9C5B5-8921-4897-BE3F-3A54A3BBB89D}"/>
    <hyperlink ref="H393" r:id="rId2039" display="https://www.daloopa.com/src/58935598" xr:uid="{F1DF7AA4-10B4-40A7-A7C9-44B24931B2AE}"/>
    <hyperlink ref="I393" r:id="rId2040" display="https://www.daloopa.com/src/58935593" xr:uid="{CFEA2512-EC68-40FD-A29D-D32207D49FF9}"/>
    <hyperlink ref="J393" r:id="rId2041" display="https://www.daloopa.com/src/58935557" xr:uid="{20E94ED0-C383-4A63-AD71-E110267C715F}"/>
    <hyperlink ref="K393" r:id="rId2042" display="https://www.daloopa.com/src/58874714" xr:uid="{D381DF2D-18D0-4E56-9C9C-0D9F3094F083}"/>
    <hyperlink ref="L393" r:id="rId2043" display="https://www.daloopa.com/src/58816146" xr:uid="{01B630B3-D6F8-48E5-AF0A-AB4A58F17BF0}"/>
    <hyperlink ref="M393" r:id="rId2044" display="https://www.daloopa.com/src/58816132" xr:uid="{1FAA7582-10B0-483D-8743-4F83F7806498}"/>
    <hyperlink ref="N393" r:id="rId2045" display="https://www.daloopa.com/src/58809914" xr:uid="{22C09219-252C-46B1-B54A-4AD215CDA663}"/>
    <hyperlink ref="O393" r:id="rId2046" display="https://www.daloopa.com/src/58804537" xr:uid="{2742BD93-D5B5-4F55-BBF4-5E16EDA715D7}"/>
    <hyperlink ref="P393" r:id="rId2047" display="https://www.daloopa.com/src/59368554" xr:uid="{4DCE1208-6323-46E8-B8B6-82AB645A941A}"/>
    <hyperlink ref="R393" r:id="rId2048" display="https://www.daloopa.com/src/58940285" xr:uid="{8F2AF7E3-2865-4CF4-B17E-F5AFA8AAF58A}"/>
    <hyperlink ref="S393" r:id="rId2049" display="https://www.daloopa.com/src/58935580" xr:uid="{19E76DD6-93C6-4535-B27D-47016BB8897A}"/>
    <hyperlink ref="T393" r:id="rId2050" display="https://www.daloopa.com/src/58810051" xr:uid="{D3C9AC6B-C0BA-4EAE-A8AA-3307B139B8BB}"/>
    <hyperlink ref="A394" r:id="rId2051" xr:uid="{FD2780CB-81A7-4141-A64C-6A81F35E45E3}"/>
    <hyperlink ref="G394" r:id="rId2052" display="https://www.daloopa.com/src/59751935" xr:uid="{FB944C94-0D34-4A79-942F-64A0A6BC43C4}"/>
    <hyperlink ref="H394" r:id="rId2053" display="https://www.daloopa.com/src/58935599" xr:uid="{FD73AECA-0842-4605-9ED5-8433124E1153}"/>
    <hyperlink ref="I394" r:id="rId2054" display="https://www.daloopa.com/src/58935587" xr:uid="{9B05E649-421C-499F-A004-38136D59768F}"/>
    <hyperlink ref="J394" r:id="rId2055" display="https://www.daloopa.com/src/58935559" xr:uid="{2CEF9C77-56BF-4FCC-B652-63A12E7727DC}"/>
    <hyperlink ref="K394" r:id="rId2056" display="https://www.daloopa.com/src/58874715" xr:uid="{450E8D6D-E8E8-48B6-9FA2-EBAB0FF3C455}"/>
    <hyperlink ref="L394" r:id="rId2057" display="https://www.daloopa.com/src/58816147" xr:uid="{FFE0670D-B6AE-41BD-9D5A-6E3A27219B97}"/>
    <hyperlink ref="M394" r:id="rId2058" display="https://www.daloopa.com/src/58816138" xr:uid="{AE59E212-2D96-4C6A-900D-D443A3825BFA}"/>
    <hyperlink ref="N394" r:id="rId2059" display="https://www.daloopa.com/src/58809912" xr:uid="{49E15499-BCB2-4010-8DF8-C4AEACEFF89F}"/>
    <hyperlink ref="O394" r:id="rId2060" display="https://www.daloopa.com/src/58804542" xr:uid="{93DDC13C-C5C6-4FDD-8DBD-CBB5CE43E25C}"/>
    <hyperlink ref="P394" r:id="rId2061" display="https://www.daloopa.com/src/59368556" xr:uid="{14A2D197-3D19-46C0-8061-B48348283C68}"/>
    <hyperlink ref="R394" r:id="rId2062" display="https://www.daloopa.com/src/58940284" xr:uid="{FFA928F7-B9E2-4C6F-906F-EDC783E61FB5}"/>
    <hyperlink ref="S394" r:id="rId2063" display="https://www.daloopa.com/src/58935581" xr:uid="{DF5F301E-5043-4CE0-BC16-3372FA669F55}"/>
    <hyperlink ref="T394" r:id="rId2064" display="https://www.daloopa.com/src/58810053" xr:uid="{AE641B6E-D499-48D5-9AC3-C0014335C0C3}"/>
    <hyperlink ref="A395" r:id="rId2065" xr:uid="{706CE05C-21F5-4ED5-BE6B-5CD8D8F23CAF}"/>
    <hyperlink ref="G395" r:id="rId2066" display="https://www.daloopa.com/src/59751936" xr:uid="{AFF581B0-3595-4AC4-9CAA-18DE72FE287D}"/>
    <hyperlink ref="H395" r:id="rId2067" display="https://www.daloopa.com/src/58935600" xr:uid="{BCB53654-0861-42EB-8AE1-C9BD2DF81939}"/>
    <hyperlink ref="I395" r:id="rId2068" display="https://www.daloopa.com/src/58935588" xr:uid="{7DD173E8-5F1D-44C0-9DBD-653324E02A4C}"/>
    <hyperlink ref="J395" r:id="rId2069" display="https://www.daloopa.com/src/58935560" xr:uid="{3122D0D8-2C2F-4A3E-BE75-6F955CC15848}"/>
    <hyperlink ref="K395" r:id="rId2070" display="https://www.daloopa.com/src/58874716" xr:uid="{D35B75E0-94C4-4088-BEAF-EAEDE6DBD24E}"/>
    <hyperlink ref="L395" r:id="rId2071" display="https://www.daloopa.com/src/58816148" xr:uid="{EDD01B74-305A-4CBC-9843-33AD04BD24DC}"/>
    <hyperlink ref="M395" r:id="rId2072" display="https://www.daloopa.com/src/58816140" xr:uid="{B81F9099-B410-4764-8E38-2FAAE68B68DB}"/>
    <hyperlink ref="N395" r:id="rId2073" display="https://www.daloopa.com/src/58809918" xr:uid="{27E61ABF-9915-4369-BB4E-C32702136942}"/>
    <hyperlink ref="O395" r:id="rId2074" display="https://www.daloopa.com/src/58804536" xr:uid="{9B6C1F9F-D433-4D6C-BBE3-6AEC2DBBEFE4}"/>
    <hyperlink ref="P395" r:id="rId2075" display="https://www.daloopa.com/src/59368552" xr:uid="{8021639B-DCF4-4049-A7C1-63E48DE03308}"/>
    <hyperlink ref="R395" r:id="rId2076" display="https://www.daloopa.com/src/58940286" xr:uid="{435D7A70-AE46-4395-9712-BC3A70AC4A9D}"/>
    <hyperlink ref="S395" r:id="rId2077" display="https://www.daloopa.com/src/58935579" xr:uid="{FE542D52-C3FC-4AED-A98F-24A1F322D24E}"/>
    <hyperlink ref="T395" r:id="rId2078" display="https://www.daloopa.com/src/58810055" xr:uid="{89C16720-4ADC-4C10-83D3-3B9654F0FD22}"/>
    <hyperlink ref="A396" r:id="rId2079" xr:uid="{7D8E86A4-E220-4244-9C30-875B2B577E1A}"/>
    <hyperlink ref="G396" r:id="rId2080" display="https://www.daloopa.com/src/59751937" xr:uid="{2CD13FA6-43E6-45AA-8737-2DEEC6B745AA}"/>
    <hyperlink ref="H396" r:id="rId2081" display="https://www.daloopa.com/src/58935601" xr:uid="{CBCFE563-FC2B-4F4F-AF46-4A5CC45390A4}"/>
    <hyperlink ref="I396" r:id="rId2082" display="https://www.daloopa.com/src/58935586" xr:uid="{2E5EE0E1-3F27-4909-A550-AE1FE9325F17}"/>
    <hyperlink ref="J396" r:id="rId2083" display="https://www.daloopa.com/src/58935561" xr:uid="{285159EF-432A-46B7-B9F9-C8DB2394A223}"/>
    <hyperlink ref="K396" r:id="rId2084" display="https://www.daloopa.com/src/58874717" xr:uid="{F558211D-0591-445A-94B7-DFC53153F0F8}"/>
    <hyperlink ref="L396" r:id="rId2085" display="https://www.daloopa.com/src/58816145" xr:uid="{F016E41E-B3DB-4D52-9B12-621687EA6283}"/>
    <hyperlink ref="M396" r:id="rId2086" display="https://www.daloopa.com/src/58816141" xr:uid="{0BB914B5-DE97-4222-AAEF-A7BE4F9E6791}"/>
    <hyperlink ref="N396" r:id="rId2087" display="https://www.daloopa.com/src/58809917" xr:uid="{AB7E16F4-FBAD-473F-BB15-D1F29578910F}"/>
    <hyperlink ref="O396" r:id="rId2088" display="https://www.daloopa.com/src/58804539" xr:uid="{F65A8B46-7311-49C2-911A-F94608726F37}"/>
    <hyperlink ref="P396" r:id="rId2089" display="https://www.daloopa.com/src/59368547" xr:uid="{C28918EB-9953-4E0D-B761-8A7696EF4EC7}"/>
    <hyperlink ref="R396" r:id="rId2090" display="https://www.daloopa.com/src/58940291" xr:uid="{9665C482-BCE6-4C17-802A-E4FB3901D024}"/>
    <hyperlink ref="S396" r:id="rId2091" display="https://www.daloopa.com/src/58935578" xr:uid="{574D4C21-2FE7-4428-B694-A3F523828E58}"/>
    <hyperlink ref="T396" r:id="rId2092" display="https://www.daloopa.com/src/58810057" xr:uid="{40DB925D-97E8-4DB2-A8EA-C8A3B448600A}"/>
    <hyperlink ref="A397" r:id="rId2093" xr:uid="{7F98A958-E9AF-43E2-B6BF-45A129FE65B6}"/>
    <hyperlink ref="G397" r:id="rId2094" display="https://www.daloopa.com/src/59751938" xr:uid="{783390BF-79D1-464C-8234-AE68B46C27F1}"/>
    <hyperlink ref="H397" r:id="rId2095" display="https://www.daloopa.com/src/58935602" xr:uid="{010F3BB6-9AAA-4B1E-9F52-35A960C01422}"/>
    <hyperlink ref="I397" r:id="rId2096" display="https://www.daloopa.com/src/58935585" xr:uid="{73CD218F-8C84-4E29-8E78-E593AA7F5416}"/>
    <hyperlink ref="J397" r:id="rId2097" display="https://www.daloopa.com/src/58935562" xr:uid="{AA2FCE1D-50B7-4E3B-9DB3-6F06067182FE}"/>
    <hyperlink ref="K397" r:id="rId2098" display="https://www.daloopa.com/src/58874718" xr:uid="{52A0F4D2-809A-441B-A9B1-F55B8A99E464}"/>
    <hyperlink ref="L397" r:id="rId2099" display="https://www.daloopa.com/src/58816152" xr:uid="{CE5B8F2E-D607-4053-B3DD-B5554C7B76DE}"/>
    <hyperlink ref="M397" r:id="rId2100" display="https://www.daloopa.com/src/58816142" xr:uid="{20504C94-79AF-410A-983A-4D2044FAFBE2}"/>
    <hyperlink ref="N397" r:id="rId2101" display="https://www.daloopa.com/src/58809911" xr:uid="{7D896981-884C-40DE-9A1B-791928AD5BB9}"/>
    <hyperlink ref="O397" r:id="rId2102" display="https://www.daloopa.com/src/58804535" xr:uid="{024391C2-8B8C-4EEC-856D-AF9554346C47}"/>
    <hyperlink ref="P397" r:id="rId2103" display="https://www.daloopa.com/src/59368553" xr:uid="{B788CC3C-871C-4602-AEBB-4326BC7CA376}"/>
    <hyperlink ref="R397" r:id="rId2104" display="https://www.daloopa.com/src/58940288" xr:uid="{7B3E7B8E-9B25-4C16-A056-ABF36DE81F5C}"/>
    <hyperlink ref="S397" r:id="rId2105" display="https://www.daloopa.com/src/58935577" xr:uid="{1EB0FB19-2856-405C-9885-99E5CAB797DF}"/>
    <hyperlink ref="T397" r:id="rId2106" display="https://www.daloopa.com/src/58810056" xr:uid="{79627001-484C-4EF2-AD2D-9A7044B2D0EE}"/>
    <hyperlink ref="A398" r:id="rId2107" xr:uid="{C0B64A22-1FAF-4FFF-8A67-00837C1E10FA}"/>
    <hyperlink ref="G398" r:id="rId2108" display="https://www.daloopa.com/src/59751939" xr:uid="{00B536AE-D216-48E3-9E7E-0051FBE5FB75}"/>
    <hyperlink ref="H398" r:id="rId2109" display="https://www.daloopa.com/src/58935603" xr:uid="{D4417B95-3E17-4B6D-831A-ABA28F094C47}"/>
    <hyperlink ref="I398" r:id="rId2110" display="https://www.daloopa.com/src/58935584" xr:uid="{762CE028-C189-4896-AD5F-A794ACDAB6E6}"/>
    <hyperlink ref="J398" r:id="rId2111" display="https://www.daloopa.com/src/58935563" xr:uid="{8A29AB65-55BB-4203-B9C6-331DFDC2DF4C}"/>
    <hyperlink ref="K398" r:id="rId2112" display="https://www.daloopa.com/src/58874719" xr:uid="{143A9F4F-6A06-4E8D-9708-66B64D7A1D42}"/>
    <hyperlink ref="L398" r:id="rId2113" display="https://www.daloopa.com/src/58816150" xr:uid="{B8AEBD84-C44E-48F8-B13B-92104187621A}"/>
    <hyperlink ref="M398" r:id="rId2114" display="https://www.daloopa.com/src/58816139" xr:uid="{9614BE32-46BA-423C-8E76-97FAA171D63E}"/>
    <hyperlink ref="N398" r:id="rId2115" display="https://www.daloopa.com/src/59751940" xr:uid="{450A4198-7993-449E-B6FE-AF20428648DC}"/>
    <hyperlink ref="O398" r:id="rId2116" display="https://www.daloopa.com/src/58804540" xr:uid="{E816634D-09BA-4C0C-B664-13193F0F94FA}"/>
    <hyperlink ref="P398" r:id="rId2117" display="https://www.daloopa.com/src/59368551" xr:uid="{154FE0A5-A58C-42A3-9982-F802F2385A08}"/>
    <hyperlink ref="S398" r:id="rId2118" display="https://www.daloopa.com/src/58935576" xr:uid="{497B9D7F-4B6E-4656-BC89-904101245CD1}"/>
    <hyperlink ref="T398" r:id="rId2119" display="https://www.daloopa.com/src/58810054" xr:uid="{C7A8B86E-5A6C-4915-AADE-7021DDDA21BA}"/>
    <hyperlink ref="A399" r:id="rId2120" xr:uid="{C366F5D0-9D9F-444F-A19C-9D6FE653CA0B}"/>
    <hyperlink ref="G399" r:id="rId2121" display="https://www.daloopa.com/src/59751941" xr:uid="{F9BE4F82-0178-4E99-BAE5-B6EED8D233BC}"/>
    <hyperlink ref="H399" r:id="rId2122" display="https://www.daloopa.com/src/58935604" xr:uid="{C4ED644D-5E2B-4AA0-865D-68AF7DF1E4C4}"/>
    <hyperlink ref="I399" r:id="rId2123" display="https://www.daloopa.com/src/58935582" xr:uid="{3A481DFE-AE72-4DFA-9695-8F4C186B524C}"/>
    <hyperlink ref="J399" r:id="rId2124" display="https://www.daloopa.com/src/58935564" xr:uid="{355718A9-F3EC-477F-97F8-26EAA8774F96}"/>
    <hyperlink ref="M399" r:id="rId2125" display="https://www.daloopa.com/src/58816137" xr:uid="{2B7541D1-12DC-4381-B4E8-C3A8CC52289A}"/>
    <hyperlink ref="N399" r:id="rId2126" display="https://www.daloopa.com/src/58809910" xr:uid="{849BB278-2D0C-497F-91C7-C9FBF0CA3364}"/>
    <hyperlink ref="R399" r:id="rId2127" display="https://www.daloopa.com/src/58940289" xr:uid="{625E6C0E-32B9-4960-BC76-080AFB037E77}"/>
    <hyperlink ref="S399" r:id="rId2128" display="https://www.daloopa.com/src/58935575" xr:uid="{47C5549A-C3D9-445B-A553-70D242000B7C}"/>
    <hyperlink ref="T399" r:id="rId2129" display="https://www.daloopa.com/src/58810050" xr:uid="{DAA66815-99A7-4844-A7F2-71842FD92780}"/>
    <hyperlink ref="A400" r:id="rId2130" xr:uid="{04B99E7A-9787-46DA-BDA5-0C6DEB275FDE}"/>
    <hyperlink ref="G400" r:id="rId2131" display="https://www.daloopa.com/src/59751942" xr:uid="{CD8DC0F4-CB58-4864-8E3A-83D4601B1BE7}"/>
    <hyperlink ref="H400" r:id="rId2132" display="https://www.daloopa.com/src/58935605" xr:uid="{465603EC-0F36-4351-A708-461C8EEF5FF7}"/>
    <hyperlink ref="I400" r:id="rId2133" display="https://www.daloopa.com/src/58935592" xr:uid="{2AF7120F-C764-47E3-84A9-300907E199E2}"/>
    <hyperlink ref="J400" r:id="rId2134" display="https://www.daloopa.com/src/58935565" xr:uid="{ABCF3576-EAE7-4E92-926E-5C0872266088}"/>
    <hyperlink ref="K400" r:id="rId2135" display="https://www.daloopa.com/src/58874720" xr:uid="{E2F6CC96-610B-4C69-933D-AB0A56A3F0AF}"/>
    <hyperlink ref="L400" r:id="rId2136" display="https://www.daloopa.com/src/58816149" xr:uid="{68775BFC-0B28-4A97-86EE-1516F9D67F3C}"/>
    <hyperlink ref="M400" r:id="rId2137" display="https://www.daloopa.com/src/58816135" xr:uid="{F57CD653-F707-48D3-B0B8-6010F0817ACB}"/>
    <hyperlink ref="N400" r:id="rId2138" display="https://www.daloopa.com/src/58809909" xr:uid="{54B6D4AA-0819-465E-AED5-6AD46FFCE3B6}"/>
    <hyperlink ref="O400" r:id="rId2139" display="https://www.daloopa.com/src/58804541" xr:uid="{CB1D2DD5-270C-45B6-90FC-727A474E750C}"/>
    <hyperlink ref="P400" r:id="rId2140" display="https://www.daloopa.com/src/59368548" xr:uid="{E3220528-F2E3-4E58-A79E-65FCB7F47018}"/>
    <hyperlink ref="R400" r:id="rId2141" display="https://www.daloopa.com/src/58940287" xr:uid="{4F409478-430B-4FE7-A56A-5CBECE2784EB}"/>
    <hyperlink ref="S400" r:id="rId2142" display="https://www.daloopa.com/src/58935574" xr:uid="{298B2CD1-8160-46E8-AE05-8B40C155A801}"/>
    <hyperlink ref="T400" r:id="rId2143" display="https://www.daloopa.com/src/58810049" xr:uid="{D37B23BC-E596-4BE9-934C-810C615C784B}"/>
    <hyperlink ref="A401" r:id="rId2144" xr:uid="{72DCEC9A-0467-4FDE-AE84-506CC52ED707}"/>
    <hyperlink ref="G401" r:id="rId2145" display="https://www.daloopa.com/src/59751943" xr:uid="{4A5B3A2A-386A-4254-80C2-C663C1E74951}"/>
    <hyperlink ref="H401" r:id="rId2146" display="https://www.daloopa.com/src/58935606" xr:uid="{FFDF1552-7DCD-474A-A34D-03658D74E120}"/>
    <hyperlink ref="I401" r:id="rId2147" display="https://www.daloopa.com/src/58935583" xr:uid="{98344D74-D1A5-4AAD-9A26-5069BEA3A6FB}"/>
    <hyperlink ref="J401" r:id="rId2148" display="https://www.daloopa.com/src/58935566" xr:uid="{D0A19B9C-1FFA-443E-A3B6-52D12C010CCB}"/>
    <hyperlink ref="K401" r:id="rId2149" display="https://www.daloopa.com/src/58874721" xr:uid="{9CC88518-609A-4A98-AA55-A74B7BEF60B0}"/>
    <hyperlink ref="L401" r:id="rId2150" display="https://www.daloopa.com/src/58816153" xr:uid="{F98B9D4D-9A11-41B9-ACE1-A7E747AFE635}"/>
    <hyperlink ref="M401" r:id="rId2151" display="https://www.daloopa.com/src/58816134" xr:uid="{3E85D632-3ABF-4337-90D0-1617A15627B5}"/>
    <hyperlink ref="N401" r:id="rId2152" display="https://www.daloopa.com/src/58809916" xr:uid="{88D33231-707C-4CB7-8425-FCC4B2080883}"/>
    <hyperlink ref="O401" r:id="rId2153" display="https://www.daloopa.com/src/58804543" xr:uid="{E6A4FE35-182B-43EF-84BC-CE8D21A1E418}"/>
    <hyperlink ref="P401" r:id="rId2154" display="https://www.daloopa.com/src/59368550" xr:uid="{D7A25DC4-987E-4663-8856-DAA2C6AE3A6C}"/>
    <hyperlink ref="R401" r:id="rId2155" display="https://www.daloopa.com/src/58940290" xr:uid="{B3B79D0D-7ACE-426E-8692-72BD970B8335}"/>
    <hyperlink ref="S401" r:id="rId2156" display="https://www.daloopa.com/src/58935573" xr:uid="{DA281D99-9D74-4A87-8D26-170E27A2C25B}"/>
    <hyperlink ref="T401" r:id="rId2157" display="https://www.daloopa.com/src/58810052" xr:uid="{DF82B5D8-F723-4FB8-A616-43FF7777DCC2}"/>
    <hyperlink ref="A404" r:id="rId2158" xr:uid="{E5158EBB-038B-47D2-99C5-8E49AE7B7422}"/>
    <hyperlink ref="H404" r:id="rId2159" display="https://www.daloopa.com/src/58935607" xr:uid="{1E1C7513-7500-40C2-848C-07D19F4198C0}"/>
    <hyperlink ref="I404" r:id="rId2160" display="https://www.daloopa.com/src/58935590" xr:uid="{CD8CB941-39EB-48AD-98C3-4583F855DE97}"/>
    <hyperlink ref="J404" r:id="rId2161" display="https://www.daloopa.com/src/58935558" xr:uid="{2403ED30-EC55-4803-B55D-178EECC10D6E}"/>
    <hyperlink ref="L404" r:id="rId2162" display="https://www.daloopa.com/src/58816144" xr:uid="{5FC348AD-7DE5-4CAB-864A-27D2C88D9021}"/>
    <hyperlink ref="M404" r:id="rId2163" display="https://www.daloopa.com/src/58816133" xr:uid="{7F49EF33-2FE0-46D1-970F-A9BF5DE85D0D}"/>
    <hyperlink ref="N404" r:id="rId2164" display="https://www.daloopa.com/src/58809913" xr:uid="{74F4C324-A23A-40C4-8774-347F6D8E9538}"/>
    <hyperlink ref="R404" r:id="rId2165" display="https://www.daloopa.com/src/58940292" xr:uid="{55566DE5-3C26-491B-9243-A0DECE07F8A9}"/>
    <hyperlink ref="S404" r:id="rId2166" display="https://www.daloopa.com/src/58935571" xr:uid="{FA546EAE-17D4-4D28-AD0D-9B425B957A79}"/>
    <hyperlink ref="T404" r:id="rId2167" display="https://www.daloopa.com/src/58810058" xr:uid="{6BD50EF4-6E35-4D29-BFAC-B5050DFC18D6}"/>
    <hyperlink ref="A405" r:id="rId2168" xr:uid="{12FD8C23-F0FA-4BB8-B440-8E313C2C0D5B}"/>
    <hyperlink ref="H405" r:id="rId2169" display="https://www.daloopa.com/src/58935608" xr:uid="{1851CE52-C6D6-4932-8E1A-E62E2B4D5BEE}"/>
    <hyperlink ref="I405" r:id="rId2170" display="https://www.daloopa.com/src/58935589" xr:uid="{9B36F5E4-3237-49C0-9350-05CE5477AC16}"/>
    <hyperlink ref="J405" r:id="rId2171" display="https://www.daloopa.com/src/58935555" xr:uid="{971B8A6D-ACFE-4F38-B9C0-F7ED0ACAA778}"/>
    <hyperlink ref="L405" r:id="rId2172" display="https://www.daloopa.com/src/58816143" xr:uid="{B5C09809-F6DF-415C-87AE-4D5717DCF417}"/>
    <hyperlink ref="M405" r:id="rId2173" display="https://www.daloopa.com/src/58816136" xr:uid="{00591779-C6C0-4EBD-B7F3-21275720C61D}"/>
    <hyperlink ref="N405" r:id="rId2174" display="https://www.daloopa.com/src/58809915" xr:uid="{D177DE18-8BBF-49D5-B176-62D62879E0A6}"/>
    <hyperlink ref="S405" r:id="rId2175" display="https://www.daloopa.com/src/58935572" xr:uid="{28CD19E2-4C1F-4CEE-A785-DF2C5811B950}"/>
    <hyperlink ref="T405" r:id="rId2176" display="https://www.daloopa.com/src/58810059" xr:uid="{26D84EE6-D2D0-4A08-A888-8381130C290C}"/>
    <hyperlink ref="A406" r:id="rId2177" xr:uid="{9BBA13DC-E9EF-46D6-ACCF-8DD0D857D830}"/>
    <hyperlink ref="K406" r:id="rId2178" display="https://www.daloopa.com/src/58874722" xr:uid="{F33145A0-4939-4C41-A70B-A1861FB2BB9D}"/>
    <hyperlink ref="O406" r:id="rId2179" display="https://www.daloopa.com/src/58804544" xr:uid="{7AEE28C4-B437-4DAD-A483-84AFCC29277D}"/>
    <hyperlink ref="P406" r:id="rId2180" display="https://www.daloopa.com/src/59368549" xr:uid="{7A70B4B9-6EB4-4635-A299-C5FEB1DF349C}"/>
    <hyperlink ref="A409" r:id="rId2181" xr:uid="{F40A222A-88B6-4080-BC73-91A8D61E35AB}"/>
    <hyperlink ref="G409" r:id="rId2182" display="https://www.daloopa.com/src/58941035" xr:uid="{5DBC3CCD-32A2-494C-9D0F-0567BF7A5C11}"/>
    <hyperlink ref="A411" r:id="rId2183" xr:uid="{73588076-6036-4D49-BB7A-D910F49CE2F6}"/>
    <hyperlink ref="G411" r:id="rId2184" display="https://www.daloopa.com/src/58941036" xr:uid="{30DCF5AF-5C53-43EB-B19A-361EF573FB60}"/>
    <hyperlink ref="A412" r:id="rId2185" xr:uid="{D89D35F1-4EE4-42E3-A95E-B4EA8FB25D0C}"/>
    <hyperlink ref="G412" r:id="rId2186" display="https://www.daloopa.com/src/58941037" xr:uid="{13FD0A98-0F5A-4E51-AC64-881AD35D1AD9}"/>
    <hyperlink ref="A413" r:id="rId2187" xr:uid="{A2E2AF8C-08E2-4364-AD08-8BC45B6445B9}"/>
    <hyperlink ref="G413" r:id="rId2188" display="https://www.daloopa.com/src/58941038" xr:uid="{387DD654-EC27-43B3-B4D2-83312E0CE16D}"/>
    <hyperlink ref="A414" r:id="rId2189" xr:uid="{C4079577-4A05-456C-BA70-23F5807D869D}"/>
    <hyperlink ref="G414" r:id="rId2190" display="https://www.daloopa.com/src/58941039" xr:uid="{D069F509-0FCD-4BD0-8AC3-C66DDFA38987}"/>
    <hyperlink ref="A415" r:id="rId2191" xr:uid="{A8C8A739-C71A-4F6D-B67D-A1B29901DAFB}"/>
    <hyperlink ref="G415" r:id="rId2192" display="https://www.daloopa.com/src/58941040" xr:uid="{E53C0DC9-E2D7-401D-9C1D-90558B17D281}"/>
    <hyperlink ref="A416" r:id="rId2193" xr:uid="{904EC375-91AF-4AB3-9C9E-A37508F1E6AC}"/>
    <hyperlink ref="G416" r:id="rId2194" display="https://www.daloopa.com/src/58941041" xr:uid="{367D7955-0FD4-4923-BBEB-7AAE5C2B7098}"/>
    <hyperlink ref="A417" r:id="rId2195" xr:uid="{9647EB11-735C-4649-8D3D-AFAC2EDDFFB8}"/>
    <hyperlink ref="G417" r:id="rId2196" display="https://www.daloopa.com/src/58941042" xr:uid="{32A10AA2-9281-4A40-9C47-E7FBD7ABF91B}"/>
    <hyperlink ref="A418" r:id="rId2197" xr:uid="{6C36B58D-9208-4E1F-9CB5-2F343D0E574E}"/>
    <hyperlink ref="G418" r:id="rId2198" display="https://www.daloopa.com/src/58941043" xr:uid="{D70FB1C8-DC73-42D0-9ACE-02FA599C5BBD}"/>
    <hyperlink ref="A419" r:id="rId2199" xr:uid="{B559AB7D-B618-4E29-801F-421A0C96A335}"/>
    <hyperlink ref="G419" r:id="rId2200" display="https://www.daloopa.com/src/58941044" xr:uid="{896927CC-38BF-41C7-9BEA-FFAAEB576CA6}"/>
    <hyperlink ref="A422" r:id="rId2201" xr:uid="{D59D368E-0ADB-4C66-9862-E16A0CF97AF2}"/>
    <hyperlink ref="G422" r:id="rId2202" display="https://www.daloopa.com/src/58941045" xr:uid="{21AC7D0E-D6AF-4E8F-97CD-EDF62E27A3A5}"/>
    <hyperlink ref="A423" r:id="rId2203" xr:uid="{E93D1C4E-E2AB-48D5-8BB8-055A05BBD770}"/>
    <hyperlink ref="G423" r:id="rId2204" display="https://www.daloopa.com/src/58941046" xr:uid="{120EB097-1CEE-4742-9FD7-28EE26EE61A9}"/>
    <hyperlink ref="A427" r:id="rId2205" xr:uid="{AD5BE800-1EEB-4196-AEAA-F43E6A6A8F79}"/>
    <hyperlink ref="F427" r:id="rId2206" display="https://www.daloopa.com/src/58944814" xr:uid="{29EED2BE-7D24-4F48-B210-14AFCF64AB78}"/>
    <hyperlink ref="J427" r:id="rId2207" display="https://www.daloopa.com/src/58944661" xr:uid="{3489B6F9-06A1-4679-935A-80A008F66521}"/>
    <hyperlink ref="K427" r:id="rId2208" display="https://www.daloopa.com/src/58945172" xr:uid="{C581B9BE-7855-4472-95BA-AD94BA15A016}"/>
    <hyperlink ref="L427" r:id="rId2209" display="https://www.daloopa.com/src/58944652" xr:uid="{D0D08249-0E52-4BFD-B3CF-3256340FDF03}"/>
    <hyperlink ref="M427" r:id="rId2210" display="https://www.daloopa.com/src/58944627" xr:uid="{401862DD-DB23-482B-982E-9982E918AE79}"/>
    <hyperlink ref="N427" r:id="rId2211" display="https://www.daloopa.com/src/58944580" xr:uid="{FD49EDA5-6E71-4690-BEB3-921F00ADFDB7}"/>
    <hyperlink ref="O427" r:id="rId2212" display="https://www.daloopa.com/src/58944614" xr:uid="{9C01A4CD-C42D-42C2-BEB1-4F99BAA89E0C}"/>
    <hyperlink ref="P427" r:id="rId2213" display="https://www.daloopa.com/src/59370349" xr:uid="{0BEBCB8B-C896-45E3-A4A9-916CA065E690}"/>
    <hyperlink ref="A428" r:id="rId2214" xr:uid="{15D3C660-CB84-4FB3-9B03-47ACC320EEDB}"/>
    <hyperlink ref="F428" r:id="rId2215" display="https://www.daloopa.com/src/58944818" xr:uid="{F771CBB8-A4A8-4958-ADCD-59D9A58F5EEF}"/>
    <hyperlink ref="J428" r:id="rId2216" display="https://www.daloopa.com/src/58944659" xr:uid="{A14C631F-05A1-4CF3-B480-7F2FBBD329DD}"/>
    <hyperlink ref="K428" r:id="rId2217" display="https://www.daloopa.com/src/58945171" xr:uid="{C2E8AEBE-05A2-4548-AC20-9F2BDFC304E5}"/>
    <hyperlink ref="L428" r:id="rId2218" display="https://www.daloopa.com/src/58944654" xr:uid="{0B2F075B-1CA9-4FE1-84FD-15393D8C0554}"/>
    <hyperlink ref="M428" r:id="rId2219" display="https://www.daloopa.com/src/58944626" xr:uid="{B7796F2A-7E07-49A5-AD6C-873795C7F96C}"/>
    <hyperlink ref="N428" r:id="rId2220" display="https://www.daloopa.com/src/58944576" xr:uid="{DFC6DA4C-FB61-4A10-9958-BAA214306A5C}"/>
    <hyperlink ref="O428" r:id="rId2221" display="https://www.daloopa.com/src/58944619" xr:uid="{B7770DB7-3B23-480B-A505-D47F20B5A64B}"/>
    <hyperlink ref="P428" r:id="rId2222" display="https://www.daloopa.com/src/59370353" xr:uid="{A6EE14F6-B939-47B1-A244-E5EA512FBCE6}"/>
    <hyperlink ref="A429" r:id="rId2223" xr:uid="{5114A949-44B6-4A3B-9BDC-113B94D76050}"/>
    <hyperlink ref="F429" r:id="rId2224" display="https://www.daloopa.com/src/58944812" xr:uid="{585831F2-0BE1-46F3-B5A4-9B22F63A3048}"/>
    <hyperlink ref="J429" r:id="rId2225" display="https://www.daloopa.com/src/58944662" xr:uid="{AE2DF2C7-AE6D-4200-B0CE-B67F0ABE961A}"/>
    <hyperlink ref="K429" r:id="rId2226" display="https://www.daloopa.com/src/58945170" xr:uid="{FD7024F3-34F6-4E7A-BEF6-7728CE3046F1}"/>
    <hyperlink ref="L429" r:id="rId2227" display="https://www.daloopa.com/src/58944651" xr:uid="{D9C27137-7F49-46B8-85B9-4415BD79DF38}"/>
    <hyperlink ref="M429" r:id="rId2228" display="https://www.daloopa.com/src/58944624" xr:uid="{103A32B5-B3BA-4D4C-8A41-FF23A91B391A}"/>
    <hyperlink ref="N429" r:id="rId2229" display="https://www.daloopa.com/src/58944579" xr:uid="{A322497F-FBC5-4820-ABD1-8BE67EDC9C23}"/>
    <hyperlink ref="O429" r:id="rId2230" display="https://www.daloopa.com/src/58944616" xr:uid="{7697EB35-2388-43A5-A95E-76AC35F2C8E5}"/>
    <hyperlink ref="P429" r:id="rId2231" display="https://www.daloopa.com/src/59370354" xr:uid="{FDAD361A-27DC-420E-9505-816A86E9E4E4}"/>
    <hyperlink ref="A430" r:id="rId2232" xr:uid="{5701F694-C9E9-4312-A223-0A6ABAA2636A}"/>
    <hyperlink ref="F430" r:id="rId2233" display="https://www.daloopa.com/src/58944813" xr:uid="{2B78B287-AE37-427F-9DDA-086B4E9883FB}"/>
    <hyperlink ref="J430" r:id="rId2234" display="https://www.daloopa.com/src/58944660" xr:uid="{48C4D2AF-4CDE-455C-B680-44D1D67528C2}"/>
    <hyperlink ref="K430" r:id="rId2235" display="https://www.daloopa.com/src/58945176" xr:uid="{56ECFEB4-99B9-4662-8BF8-EF9130E1B961}"/>
    <hyperlink ref="L430" r:id="rId2236" display="https://www.daloopa.com/src/58944653" xr:uid="{D5A782B3-5E22-4E1D-A9D7-9CE29C7516B1}"/>
    <hyperlink ref="M430" r:id="rId2237" display="https://www.daloopa.com/src/58944625" xr:uid="{37AFA0DD-E871-4F81-BF8F-7C0549121E51}"/>
    <hyperlink ref="N430" r:id="rId2238" display="https://www.daloopa.com/src/58944578" xr:uid="{66A3020A-AF40-43AD-8A76-1D7EAF50A95A}"/>
    <hyperlink ref="O430" r:id="rId2239" display="https://www.daloopa.com/src/58944615" xr:uid="{70F9EC61-1FB1-40BF-89C8-7B02DAA1B943}"/>
    <hyperlink ref="P430" r:id="rId2240" display="https://www.daloopa.com/src/59370355" xr:uid="{89CA4F72-144E-4053-A213-57ADF639119A}"/>
    <hyperlink ref="A431" r:id="rId2241" xr:uid="{56323FB2-D02E-48B3-AEF0-E8704FFD749F}"/>
    <hyperlink ref="F431" r:id="rId2242" display="https://www.daloopa.com/src/58944815" xr:uid="{1BCACDEC-C4E9-4F1B-89DC-AB03D1C8CB45}"/>
    <hyperlink ref="J431" r:id="rId2243" display="https://www.daloopa.com/src/58944665" xr:uid="{59522923-3C10-4201-9ED2-8E60B7198801}"/>
    <hyperlink ref="K431" r:id="rId2244" display="https://www.daloopa.com/src/58945175" xr:uid="{FC3DC740-4D30-4C18-A4F5-6CB56EB3FFEB}"/>
    <hyperlink ref="L431" r:id="rId2245" display="https://www.daloopa.com/src/58944656" xr:uid="{960ED6CE-FADF-4453-A1B9-86A535856B37}"/>
    <hyperlink ref="M431" r:id="rId2246" display="https://www.daloopa.com/src/58944628" xr:uid="{35E9867E-8D99-4ECF-9C5F-916796B4AB74}"/>
    <hyperlink ref="N431" r:id="rId2247" display="https://www.daloopa.com/src/58944575" xr:uid="{B7F26363-C119-4AFD-BBF3-CD63E2F09F82}"/>
    <hyperlink ref="O431" r:id="rId2248" display="https://www.daloopa.com/src/58944618" xr:uid="{D32F985E-BE57-4A5F-8BC7-A71668B40623}"/>
    <hyperlink ref="P431" r:id="rId2249" display="https://www.daloopa.com/src/59370351" xr:uid="{9D719478-295F-44C6-B389-52DE23FB2B87}"/>
    <hyperlink ref="A433" r:id="rId2250" xr:uid="{04F0695B-07C6-4935-B8B0-C586FFC2BBE1}"/>
    <hyperlink ref="F433" r:id="rId2251" display="https://www.daloopa.com/src/58944817" xr:uid="{C9293BAE-FB2B-4548-8468-601E3221072D}"/>
    <hyperlink ref="J433" r:id="rId2252" display="https://www.daloopa.com/src/58944663" xr:uid="{447C2903-472F-4A36-965E-1C71CE880F11}"/>
    <hyperlink ref="K433" r:id="rId2253" display="https://www.daloopa.com/src/58945174" xr:uid="{A7AFB386-8E7C-4D58-A7C3-D87B2224A83B}"/>
    <hyperlink ref="L433" r:id="rId2254" display="https://www.daloopa.com/src/58944650" xr:uid="{3E9D4C40-918D-48EB-ACF7-E67338BE9921}"/>
    <hyperlink ref="M433" r:id="rId2255" display="https://www.daloopa.com/src/58944629" xr:uid="{1786F801-B883-48C0-9305-F01CF9A7CE93}"/>
    <hyperlink ref="N433" r:id="rId2256" display="https://www.daloopa.com/src/58944574" xr:uid="{FC5E07DE-0269-42EF-8C9F-C46D6A6CF641}"/>
    <hyperlink ref="O433" r:id="rId2257" display="https://www.daloopa.com/src/58944617" xr:uid="{17DA5190-02E0-441C-9ADF-54C88E7DAACF}"/>
    <hyperlink ref="P433" r:id="rId2258" display="https://www.daloopa.com/src/59370350" xr:uid="{D628CDC3-403E-4218-A131-0A862AD8FA0F}"/>
    <hyperlink ref="A434" r:id="rId2259" xr:uid="{EA7EBEA6-512B-4181-81C7-DABCA18EAA96}"/>
    <hyperlink ref="F434" r:id="rId2260" display="https://www.daloopa.com/src/58944816" xr:uid="{C6808193-0F3F-4068-84E0-484D84FF4055}"/>
    <hyperlink ref="J434" r:id="rId2261" display="https://www.daloopa.com/src/58944664" xr:uid="{E91219EF-DFF1-4091-84F7-1363FF949444}"/>
    <hyperlink ref="K434" r:id="rId2262" display="https://www.daloopa.com/src/58945173" xr:uid="{E2AFE6C1-3F7F-4B92-892A-545035CCB676}"/>
    <hyperlink ref="L434" r:id="rId2263" display="https://www.daloopa.com/src/58944655" xr:uid="{1A783D43-8602-47F0-860E-171AEEA3A706}"/>
    <hyperlink ref="M434" r:id="rId2264" display="https://www.daloopa.com/src/58944623" xr:uid="{219C500C-DC0E-4709-8BC7-5AEFF36565E6}"/>
    <hyperlink ref="N434" r:id="rId2265" display="https://www.daloopa.com/src/58944577" xr:uid="{47AE346A-7510-4112-90E6-093D748639C9}"/>
    <hyperlink ref="O434" r:id="rId2266" display="https://www.daloopa.com/src/58944613" xr:uid="{F7DC126B-4595-40D0-A853-50A9DE35E08F}"/>
    <hyperlink ref="P434" r:id="rId2267" display="https://www.daloopa.com/src/59370352" xr:uid="{931973AA-05F6-42AC-8AFF-71538504154F}"/>
    <hyperlink ref="A437" r:id="rId2268" xr:uid="{D3A133EF-6FA6-4FB8-9E0C-AAB60C43413F}"/>
    <hyperlink ref="J437" r:id="rId2269" display="https://www.daloopa.com/src/59075084" xr:uid="{CE7A0956-8CC9-4D82-9328-5D021A292E4F}"/>
    <hyperlink ref="L437" r:id="rId2270" display="https://www.daloopa.com/src/59074035" xr:uid="{01593A83-9143-47D4-9AB6-D8A0DF9D34D2}"/>
    <hyperlink ref="M437" r:id="rId2271" display="https://www.daloopa.com/src/59074005" xr:uid="{98CA7FFE-CD64-4DC6-AF8C-A0970356D8DE}"/>
    <hyperlink ref="N437" r:id="rId2272" display="https://www.daloopa.com/src/59074055" xr:uid="{5C004D6C-A27A-494B-B254-11F0ABDFCF91}"/>
    <hyperlink ref="O437" r:id="rId2273" display="https://www.daloopa.com/src/59073997" xr:uid="{1C025B23-C722-4D59-9ED5-A69379658329}"/>
    <hyperlink ref="P437" r:id="rId2274" display="https://www.daloopa.com/src/59371336" xr:uid="{9DAFEEB3-157C-4E49-AB09-72D44DE8374D}"/>
    <hyperlink ref="A438" r:id="rId2275" xr:uid="{9B3B3850-3EF1-44E9-9992-C7F327353A5F}"/>
    <hyperlink ref="J438" r:id="rId2276" display="https://www.daloopa.com/src/59079907" xr:uid="{FEAA54D5-21D7-40FB-8DAA-F2D3B6F70AF3}"/>
    <hyperlink ref="K438" r:id="rId2277" display="https://www.daloopa.com/src/59076190" xr:uid="{B2E2C790-F5B6-4F8D-9179-5B8E37EA905A}"/>
    <hyperlink ref="L438" r:id="rId2278" display="https://www.daloopa.com/src/59078301" xr:uid="{055C9CA2-CF80-484B-B4BA-709B467CF1BE}"/>
    <hyperlink ref="M438" r:id="rId2279" display="https://www.daloopa.com/src/59076853" xr:uid="{8F8E2AFA-A3B0-4E67-9E8B-13C8A2EC6E13}"/>
    <hyperlink ref="N438" r:id="rId2280" display="https://www.daloopa.com/src/59075589" xr:uid="{15BF82E4-378A-43CD-B62E-52F4A7CD2EF8}"/>
    <hyperlink ref="A439" r:id="rId2281" xr:uid="{EA312616-8702-4605-A062-C1F2CFCA09E7}"/>
    <hyperlink ref="R439" r:id="rId2282" display="https://www.daloopa.com/src/59162379" xr:uid="{472775E5-673A-4E14-9072-5AD630569638}"/>
    <hyperlink ref="S439" r:id="rId2283" display="https://www.daloopa.com/src/59163825" xr:uid="{B58520EE-A87A-4586-B232-AB07B6995CEB}"/>
    <hyperlink ref="T439" r:id="rId2284" display="https://www.daloopa.com/src/59162368" xr:uid="{91993C5B-1308-4A60-9A43-8E628C79FEDF}"/>
    <hyperlink ref="A440" r:id="rId2285" xr:uid="{1D2C1981-AF42-4439-B198-526BAFA5E530}"/>
    <hyperlink ref="G440" r:id="rId2286" display="https://www.daloopa.com/src/59163826" xr:uid="{381A35ED-3A83-46EB-98E2-9AD52BBA156C}"/>
    <hyperlink ref="A441" r:id="rId2287" xr:uid="{732C7E54-2624-46D5-8312-A89956EE911E}"/>
    <hyperlink ref="G441" r:id="rId2288" display="https://www.daloopa.com/src/59153682" xr:uid="{79A54DFB-4D29-4265-BBA8-FBE759703D4A}"/>
    <hyperlink ref="H441" r:id="rId2289" display="https://www.daloopa.com/src/59153029" xr:uid="{CA6CBCEB-EE12-4B73-AD54-1505FEE3AC92}"/>
    <hyperlink ref="I441" r:id="rId2290" display="https://www.daloopa.com/src/59152996" xr:uid="{3F551F90-1F70-4A70-ABD1-CD90CF5B98ED}"/>
    <hyperlink ref="J441" r:id="rId2291" display="https://www.daloopa.com/src/59379450" xr:uid="{9E9A2CAC-0AB7-4AC2-BD2B-2C20A5D1DF9B}"/>
    <hyperlink ref="K441" r:id="rId2292" display="https://www.daloopa.com/src/59152841" xr:uid="{334E408B-9E32-4F93-A405-B04399AE1896}"/>
    <hyperlink ref="L441" r:id="rId2293" display="https://www.daloopa.com/src/59153028" xr:uid="{B78388F7-09B2-49B7-A775-5B84A93DE354}"/>
    <hyperlink ref="M441" r:id="rId2294" display="https://www.daloopa.com/src/59152995" xr:uid="{32ABD30A-58C9-4B65-847F-62861F33C694}"/>
    <hyperlink ref="N441" r:id="rId2295" display="https://www.daloopa.com/src/59379451" xr:uid="{089B327F-D96B-4006-9DA9-A38224939CCE}"/>
    <hyperlink ref="O441" r:id="rId2296" display="https://www.daloopa.com/src/59152840" xr:uid="{C766C5B8-E8DC-4FDB-B206-ABDDF0A391B9}"/>
    <hyperlink ref="P441" r:id="rId2297" display="https://www.daloopa.com/src/59371932" xr:uid="{4A9B1B9D-370E-4CB7-9315-BDDA05A6CC87}"/>
    <hyperlink ref="R441" r:id="rId2298" display="https://www.daloopa.com/src/59153200" xr:uid="{0999DA30-8C7B-4C66-A34A-4B1ACCC75E0B}"/>
    <hyperlink ref="S441" r:id="rId2299" display="https://www.daloopa.com/src/59153169" xr:uid="{158DC2D6-87C9-4EB6-A818-2EE486300386}"/>
    <hyperlink ref="T441" r:id="rId2300" display="https://www.daloopa.com/src/59153146" xr:uid="{EA94C414-9551-4D6A-B59F-9B5BFFEF4F21}"/>
    <hyperlink ref="A442" r:id="rId2301" xr:uid="{3A254D3C-6408-42A9-BFEF-153276C60242}"/>
    <hyperlink ref="G442" r:id="rId2302" display="https://www.daloopa.com/src/59153199" xr:uid="{D449AB9E-D629-4C76-87F9-EC63A2A4D443}"/>
    <hyperlink ref="A443" r:id="rId2303" xr:uid="{77B0CEA6-F878-4296-9542-1A824FBDED42}"/>
    <hyperlink ref="G443" r:id="rId2304" display="https://www.daloopa.com/src/59151429" xr:uid="{FE7DA1E8-28DE-479C-8F19-EA3FA42FE43E}"/>
    <hyperlink ref="H443" r:id="rId2305" display="https://www.daloopa.com/src/59148589" xr:uid="{39DE2BD6-176D-4466-B64B-3E0A40BF11C0}"/>
    <hyperlink ref="I443" r:id="rId2306" display="https://www.daloopa.com/src/59148514" xr:uid="{53183B78-5BFD-4BAD-A039-D7042DFDDAF5}"/>
    <hyperlink ref="J443" r:id="rId2307" display="https://www.daloopa.com/src/59379448" xr:uid="{98DECBA1-5824-46F6-A422-5CF377E175D9}"/>
    <hyperlink ref="K443" r:id="rId2308" display="https://www.daloopa.com/src/59148611" xr:uid="{56BDD24A-5FBD-468D-8376-0C99FF5323E3}"/>
    <hyperlink ref="L443" r:id="rId2309" display="https://www.daloopa.com/src/59148588" xr:uid="{DD15937A-7111-4750-A676-EEDD62959136}"/>
    <hyperlink ref="M443" r:id="rId2310" display="https://www.daloopa.com/src/59148496" xr:uid="{1285CC2E-E0DB-4A3E-BE26-1BF5A3DDCC1D}"/>
    <hyperlink ref="N443" r:id="rId2311" display="https://www.daloopa.com/src/59379449" xr:uid="{7DA6FC3C-5A88-4ADA-A2EF-2372B99E7EE5}"/>
    <hyperlink ref="O443" r:id="rId2312" display="https://www.daloopa.com/src/59148373" xr:uid="{6821B12D-FC60-45EA-BCE2-EF7E4621324A}"/>
    <hyperlink ref="P443" r:id="rId2313" display="https://www.daloopa.com/src/59371912" xr:uid="{70EE02D2-FB5A-468D-BDA7-FC4386FE0EFC}"/>
    <hyperlink ref="R443" r:id="rId2314" display="https://www.daloopa.com/src/59150542" xr:uid="{A8178493-2D4A-4160-893E-13A405D81573}"/>
    <hyperlink ref="S443" r:id="rId2315" display="https://www.daloopa.com/src/59150520" xr:uid="{6D5C1E62-5FB6-4211-9306-321D9D5DB391}"/>
    <hyperlink ref="T443" r:id="rId2316" display="https://www.daloopa.com/src/59148644" xr:uid="{EFF65F84-C1EF-415A-8853-D3051BC8F07D}"/>
    <hyperlink ref="A444" r:id="rId2317" xr:uid="{AF2D4FE7-DF37-4EB0-A6F4-670743FFD337}"/>
    <hyperlink ref="G444" r:id="rId2318" display="https://www.daloopa.com/src/59150521" xr:uid="{B40994B0-26D1-4DAE-AEE9-EE49BBC719E7}"/>
    <hyperlink ref="A447" r:id="rId2319" xr:uid="{BDFACD9E-7702-4B8F-8721-E2BB1E0F2384}"/>
    <hyperlink ref="H447" r:id="rId2320" display="https://www.daloopa.com/src/58979975" xr:uid="{EBE56223-601D-4CF9-9F0A-E9CCCDA204E2}"/>
    <hyperlink ref="I447" r:id="rId2321" display="https://www.daloopa.com/src/58979967" xr:uid="{AC0B7A0B-84D8-4759-A63D-7B7DC6449390}"/>
    <hyperlink ref="K447" r:id="rId2322" display="https://www.daloopa.com/src/58979821" xr:uid="{1A9820D8-76DD-4B82-8519-45DFEF0E15F0}"/>
    <hyperlink ref="L447" r:id="rId2323" display="https://www.daloopa.com/src/58979971" xr:uid="{FB5C0AA3-9C8D-4A69-A45F-41AE4240EC26}"/>
    <hyperlink ref="M447" r:id="rId2324" display="https://www.daloopa.com/src/58979963" xr:uid="{187CB79A-6B86-4922-A42A-59EE0B77C2FD}"/>
    <hyperlink ref="N447" r:id="rId2325" display="https://www.daloopa.com/src/59379442" xr:uid="{61F4E61B-9F8D-4E04-8F84-B60C3A93BB10}"/>
    <hyperlink ref="O447" r:id="rId2326" display="https://www.daloopa.com/src/58979781" xr:uid="{DC99BDE1-CE44-4286-AC1F-598FCDECDE82}"/>
    <hyperlink ref="P447" r:id="rId2327" display="https://www.daloopa.com/src/59372019" xr:uid="{C0B91E50-2346-4C6A-B3B1-035F3AD7B372}"/>
    <hyperlink ref="R447" r:id="rId2328" display="https://www.daloopa.com/src/58979864" xr:uid="{7DCA7AC0-5456-4910-A100-2431296B36F2}"/>
    <hyperlink ref="S447" r:id="rId2329" display="https://www.daloopa.com/src/58979868" xr:uid="{A091C0A1-E759-482B-8BF0-9DF3D65C3319}"/>
    <hyperlink ref="T447" r:id="rId2330" display="https://www.daloopa.com/src/58979829" xr:uid="{8EA9691C-A2EA-4E2F-971D-F16F462AA18E}"/>
    <hyperlink ref="A448" r:id="rId2331" xr:uid="{C2944877-E9DD-4F1D-AADD-D3A865195BFA}"/>
    <hyperlink ref="H448" r:id="rId2332" display="https://www.daloopa.com/src/58979976" xr:uid="{D7DE7F4A-0CE2-4647-9DA5-F85A0EEFC06F}"/>
    <hyperlink ref="I448" r:id="rId2333" display="https://www.daloopa.com/src/58979968" xr:uid="{D35900D6-236D-4C97-98CF-353C0B7BA0E3}"/>
    <hyperlink ref="K448" r:id="rId2334" display="https://www.daloopa.com/src/58979822" xr:uid="{DEF67278-B57A-40EF-8165-82C0730F9035}"/>
    <hyperlink ref="L448" r:id="rId2335" display="https://www.daloopa.com/src/58979972" xr:uid="{D2AD7CB8-267D-493B-B7D0-73DC5081EDC2}"/>
    <hyperlink ref="M448" r:id="rId2336" display="https://www.daloopa.com/src/58979964" xr:uid="{8907098F-51C0-4BCE-974C-BA7AB59F1615}"/>
    <hyperlink ref="N448" r:id="rId2337" display="https://www.daloopa.com/src/59379443" xr:uid="{108F7555-5D0C-445E-8B57-4D7BFE3E1298}"/>
    <hyperlink ref="O448" r:id="rId2338" display="https://www.daloopa.com/src/58979782" xr:uid="{57977268-FAD8-4A7D-AA39-85D32623F4C7}"/>
    <hyperlink ref="P448" r:id="rId2339" display="https://www.daloopa.com/src/59372018" xr:uid="{B0EE6809-DB8C-423B-A2F0-8C046338F567}"/>
    <hyperlink ref="R448" r:id="rId2340" display="https://www.daloopa.com/src/58979865" xr:uid="{7A6559F7-5455-4A37-9F8A-1B9EF75111DA}"/>
    <hyperlink ref="S448" r:id="rId2341" display="https://www.daloopa.com/src/58979869" xr:uid="{787883CF-9416-42A1-BDA0-385342A1450E}"/>
    <hyperlink ref="T448" r:id="rId2342" display="https://www.daloopa.com/src/58979828" xr:uid="{C14546C4-EF91-4B36-AC36-231AE6795709}"/>
    <hyperlink ref="A449" r:id="rId2343" xr:uid="{08B0D7EE-7C1D-4B3D-8668-0699DADE66AA}"/>
    <hyperlink ref="H449" r:id="rId2344" display="https://www.daloopa.com/src/58979977" xr:uid="{38FCE9CB-D126-4868-B27E-2132369A3F3D}"/>
    <hyperlink ref="I449" r:id="rId2345" display="https://www.daloopa.com/src/58979969" xr:uid="{50E09DBA-EA6F-4741-A2EC-649D9B440EFB}"/>
    <hyperlink ref="K449" r:id="rId2346" display="https://www.daloopa.com/src/58979823" xr:uid="{6CF3936B-CBA5-4B04-AFD0-8EA0ACA6F025}"/>
    <hyperlink ref="L449" r:id="rId2347" display="https://www.daloopa.com/src/58979973" xr:uid="{7E663C18-114E-4264-AB7E-FB56B66E057C}"/>
    <hyperlink ref="M449" r:id="rId2348" display="https://www.daloopa.com/src/58979965" xr:uid="{033F1B2D-BEC2-4E01-868E-F571FF20CE83}"/>
    <hyperlink ref="N449" r:id="rId2349" display="https://www.daloopa.com/src/59379445" xr:uid="{1B8404EC-152F-4CBB-9528-4ED07DAC1C57}"/>
    <hyperlink ref="O449" r:id="rId2350" display="https://www.daloopa.com/src/58979780" xr:uid="{BF9FAE84-0895-42D0-B5E7-1B63C17661FC}"/>
    <hyperlink ref="P449" r:id="rId2351" display="https://www.daloopa.com/src/59372020" xr:uid="{8DB2FA63-32F8-40BC-A6C3-060DC270B7D6}"/>
    <hyperlink ref="R449" r:id="rId2352" display="https://www.daloopa.com/src/58979866" xr:uid="{3AE8583B-3ED7-4716-8A6E-76D98BA26AAA}"/>
    <hyperlink ref="S449" r:id="rId2353" display="https://www.daloopa.com/src/58979870" xr:uid="{34289A15-141A-41B4-86C4-0D0DD74C84FE}"/>
    <hyperlink ref="T449" r:id="rId2354" display="https://www.daloopa.com/src/58979827" xr:uid="{62D6CBC4-B641-47C7-A6F5-FB947112A146}"/>
    <hyperlink ref="A450" r:id="rId2355" xr:uid="{DDD7B441-6CE5-4C55-BA21-6CECDC12382A}"/>
    <hyperlink ref="H450" r:id="rId2356" display="https://www.daloopa.com/src/58979978" xr:uid="{83B938AC-6A5C-497A-810D-7E4E06E32AE5}"/>
    <hyperlink ref="I450" r:id="rId2357" display="https://www.daloopa.com/src/58979970" xr:uid="{11B17160-A697-46FD-83D0-A8C738F03461}"/>
    <hyperlink ref="K450" r:id="rId2358" display="https://www.daloopa.com/src/58979824" xr:uid="{0FBEF010-0D74-4210-83EB-777C2D39C2A0}"/>
    <hyperlink ref="L450" r:id="rId2359" display="https://www.daloopa.com/src/58979974" xr:uid="{55A3D8B6-32E8-4265-8580-59D5018BF2B8}"/>
    <hyperlink ref="M450" r:id="rId2360" display="https://www.daloopa.com/src/58979966" xr:uid="{CE14CB63-9919-4EAA-9A1D-77EB62DC5B27}"/>
    <hyperlink ref="N450" r:id="rId2361" display="https://www.daloopa.com/src/59379447" xr:uid="{1499684D-21EC-481C-91B0-F54E15810E37}"/>
    <hyperlink ref="O450" r:id="rId2362" display="https://www.daloopa.com/src/58979779" xr:uid="{184A6103-43E9-4D5D-B4AA-7D9D6EBF1042}"/>
    <hyperlink ref="P450" r:id="rId2363" display="https://www.daloopa.com/src/59372017" xr:uid="{9885EE4A-7E3E-420C-97D9-0EEE5BF58B28}"/>
    <hyperlink ref="R450" r:id="rId2364" display="https://www.daloopa.com/src/58979867" xr:uid="{11A10D25-9AA8-45F4-BB7A-4B140A3E3B64}"/>
    <hyperlink ref="S450" r:id="rId2365" display="https://www.daloopa.com/src/58979871" xr:uid="{CA5A0F25-763E-42F2-83CD-217C1DEF4803}"/>
    <hyperlink ref="T450" r:id="rId2366" display="https://www.daloopa.com/src/58979826" xr:uid="{56431996-A2C4-4F42-8CA8-715371FD2D91}"/>
    <hyperlink ref="A453" r:id="rId2367" xr:uid="{768712D9-CE6D-4F74-A2CB-902D6287476E}"/>
    <hyperlink ref="G453" r:id="rId2368" display="https://www.daloopa.com/src/58981014" xr:uid="{D30086A1-F562-4C30-AC71-816B26EA72DA}"/>
    <hyperlink ref="A454" r:id="rId2369" xr:uid="{BDAEA27D-5BD6-4BEA-AD73-643D49BD9E91}"/>
    <hyperlink ref="G454" r:id="rId2370" display="https://www.daloopa.com/src/58981015" xr:uid="{C1B3ECC0-B5C4-4E5C-9463-EF875F268162}"/>
    <hyperlink ref="A455" r:id="rId2371" xr:uid="{4164D611-FF99-4CC9-BF31-39CF54E50756}"/>
    <hyperlink ref="G455" r:id="rId2372" display="https://www.daloopa.com/src/58981016" xr:uid="{A705E4DF-2309-42E9-9887-D6430E784B4E}"/>
    <hyperlink ref="A459" r:id="rId2373" xr:uid="{2EA2D4BB-B800-4BD3-BA30-ED709DE974A4}"/>
    <hyperlink ref="F459" r:id="rId2374" display="https://www.daloopa.com/src/58987733" xr:uid="{1ED550E2-3D1C-42F0-8984-EAB9F636F3D4}"/>
    <hyperlink ref="J459" r:id="rId2375" display="https://www.daloopa.com/src/58985442" xr:uid="{351927E2-E915-4062-9B08-03836C0684BF}"/>
    <hyperlink ref="N459" r:id="rId2376" display="https://www.daloopa.com/src/58985430" xr:uid="{7158F2BD-D97F-407A-BA7D-C32EA6539176}"/>
    <hyperlink ref="A460" r:id="rId2377" xr:uid="{D233BD06-7939-4AF3-BEA5-84F8370B3935}"/>
    <hyperlink ref="F460" r:id="rId2378" display="https://www.daloopa.com/src/58987742" xr:uid="{F3C4E0C0-8346-472B-B8C7-D895AD7D0B87}"/>
    <hyperlink ref="J460" r:id="rId2379" display="https://www.daloopa.com/src/58985446" xr:uid="{F7261F45-0490-4F30-A009-1A2B194D2294}"/>
    <hyperlink ref="N460" r:id="rId2380" display="https://www.daloopa.com/src/58985419" xr:uid="{6CA723E1-C0D4-4A2A-8BDE-59A9CA6FB87F}"/>
    <hyperlink ref="A461" r:id="rId2381" xr:uid="{4C8C00A4-2763-4BC4-8111-3B673C6390F7}"/>
    <hyperlink ref="F461" r:id="rId2382" display="https://www.daloopa.com/src/58987732" xr:uid="{7FC812CB-9104-4422-9877-89473F34EB05}"/>
    <hyperlink ref="J461" r:id="rId2383" display="https://www.daloopa.com/src/58985450" xr:uid="{EE7EDA74-D4D2-48FF-A781-1976624E5F08}"/>
    <hyperlink ref="N461" r:id="rId2384" display="https://www.daloopa.com/src/58985417" xr:uid="{02080645-4AF1-4DD8-8D1A-244075403354}"/>
    <hyperlink ref="A462" r:id="rId2385" xr:uid="{58F484C8-9E0F-40D3-AB29-3F67FC9B50B0}"/>
    <hyperlink ref="F462" r:id="rId2386" display="https://www.daloopa.com/src/58987743" xr:uid="{74111102-8E4E-4216-80DC-BAEB7083601D}"/>
    <hyperlink ref="J462" r:id="rId2387" display="https://www.daloopa.com/src/58985449" xr:uid="{1855AECB-8E05-4577-802B-505CE5523C74}"/>
    <hyperlink ref="N462" r:id="rId2388" display="https://www.daloopa.com/src/58985418" xr:uid="{E79162BA-B6A6-427F-945E-BBE42C650EDB}"/>
    <hyperlink ref="A463" r:id="rId2389" xr:uid="{2CCA7383-500A-4288-95CA-AFF463D063DB}"/>
    <hyperlink ref="F463" r:id="rId2390" display="https://www.daloopa.com/src/58987738" xr:uid="{327109B5-AEC2-4275-8801-BADCA46156DA}"/>
    <hyperlink ref="J463" r:id="rId2391" display="https://www.daloopa.com/src/58985447" xr:uid="{32993D1D-033E-4340-8C24-4F5153CEDFE2}"/>
    <hyperlink ref="N463" r:id="rId2392" display="https://www.daloopa.com/src/58985427" xr:uid="{BD708F37-FABE-4407-A25B-D17C802A5515}"/>
    <hyperlink ref="A464" r:id="rId2393" xr:uid="{0AE2F5D3-D6EC-479E-AB3C-364AD7DA21FB}"/>
    <hyperlink ref="F464" r:id="rId2394" display="https://www.daloopa.com/src/58987740" xr:uid="{B06145AA-B18F-4711-9D5E-42CCF9FCA6BE}"/>
    <hyperlink ref="J464" r:id="rId2395" display="https://www.daloopa.com/src/58985444" xr:uid="{2CFDEBD2-DFA1-467B-AB06-8D67B951EB0C}"/>
    <hyperlink ref="N464" r:id="rId2396" display="https://www.daloopa.com/src/58985421" xr:uid="{EBF6F8E4-7333-454B-9F3A-A027F0240B0E}"/>
    <hyperlink ref="A465" r:id="rId2397" xr:uid="{6CFBD362-4610-4730-B790-483F3C33209C}"/>
    <hyperlink ref="F465" r:id="rId2398" display="https://www.daloopa.com/src/58987736" xr:uid="{BA4B26B0-5770-4399-A181-90DE7EC60B43}"/>
    <hyperlink ref="J465" r:id="rId2399" display="https://www.daloopa.com/src/58985445" xr:uid="{3C5E0965-4B38-4FE3-A161-A3117594D368}"/>
    <hyperlink ref="N465" r:id="rId2400" display="https://www.daloopa.com/src/58985432" xr:uid="{54983C17-93E9-48B3-B33E-2A98E5401C5F}"/>
    <hyperlink ref="A466" r:id="rId2401" xr:uid="{A84F8512-EE71-4D0A-AD11-146766DB4780}"/>
    <hyperlink ref="F466" r:id="rId2402" display="https://www.daloopa.com/src/58987741" xr:uid="{A2001797-648C-4841-89DB-12144F5A7B22}"/>
    <hyperlink ref="J466" r:id="rId2403" display="https://www.daloopa.com/src/58985453" xr:uid="{7408A029-DCC7-4CB2-8950-3564ABBD1080}"/>
    <hyperlink ref="N466" r:id="rId2404" display="https://www.daloopa.com/src/58985423" xr:uid="{F006ADF8-4E6A-453B-998A-F257CF7E60CB}"/>
    <hyperlink ref="A467" r:id="rId2405" xr:uid="{779263E8-B2C4-42AE-8CF4-1E15E100702D}"/>
    <hyperlink ref="F467" r:id="rId2406" display="https://www.daloopa.com/src/58987739" xr:uid="{1F582F88-59E6-4F76-B480-573AE8FABC20}"/>
    <hyperlink ref="A468" r:id="rId2407" xr:uid="{FFEFA504-25F1-42AF-9EF6-175D6146EA80}"/>
    <hyperlink ref="F468" r:id="rId2408" display="https://www.daloopa.com/src/58987734" xr:uid="{E6C7CE0B-EA10-41E9-92FE-2D7C5C9C31C0}"/>
    <hyperlink ref="J468" r:id="rId2409" display="https://www.daloopa.com/src/58985452" xr:uid="{2E53268A-B08F-41CD-B8D5-BAA3632B3E43}"/>
    <hyperlink ref="N468" r:id="rId2410" display="https://www.daloopa.com/src/58985424" xr:uid="{C8E86919-CDF6-42D0-A76C-EBEF7B5ADE19}"/>
    <hyperlink ref="A469" r:id="rId2411" xr:uid="{7C00B786-6482-4E5B-BBC7-C38071525438}"/>
    <hyperlink ref="F469" r:id="rId2412" display="https://www.daloopa.com/src/58987737" xr:uid="{53303E74-002B-4CA0-A560-FB0374D5FEFD}"/>
    <hyperlink ref="A470" r:id="rId2413" xr:uid="{E7B25AC9-339C-476F-A5DE-D64C0C55719F}"/>
    <hyperlink ref="F470" r:id="rId2414" display="https://www.daloopa.com/src/58987748" xr:uid="{D80F5158-E5BE-423F-90CA-50F971C0C5FF}"/>
    <hyperlink ref="J470" r:id="rId2415" display="https://www.daloopa.com/src/58985451" xr:uid="{A81B14BA-342E-491E-B721-BCD5FB4020C8}"/>
    <hyperlink ref="N470" r:id="rId2416" display="https://www.daloopa.com/src/58985422" xr:uid="{A7420C50-2B81-49B6-AC99-EE6031158512}"/>
    <hyperlink ref="A471" r:id="rId2417" xr:uid="{77FC1CDD-533A-4729-B85C-25E5F962B3DE}"/>
    <hyperlink ref="F471" r:id="rId2418" display="https://www.daloopa.com/src/58987735" xr:uid="{D5725B1C-9707-4681-8E3E-CC66AD913F21}"/>
    <hyperlink ref="J471" r:id="rId2419" display="https://www.daloopa.com/src/58985443" xr:uid="{206BE855-1C34-4CA8-8C84-8D8DA08D0799}"/>
    <hyperlink ref="N471" r:id="rId2420" display="https://www.daloopa.com/src/58985425" xr:uid="{DD3E8897-66A0-418A-9EDC-81227AEA0B0C}"/>
    <hyperlink ref="A474" r:id="rId2421" xr:uid="{A8EFB18B-D695-479F-A220-C2472C83F555}"/>
    <hyperlink ref="J474" r:id="rId2422" display="https://www.daloopa.com/src/58985455" xr:uid="{E422726C-0FA5-4C8C-9232-B59EC1924A9D}"/>
    <hyperlink ref="N474" r:id="rId2423" display="https://www.daloopa.com/src/58985428" xr:uid="{E1E0667A-30CE-4BE9-BD7C-021A72650F95}"/>
    <hyperlink ref="A475" r:id="rId2424" xr:uid="{45BF01C5-D816-4346-9C59-DD72B25D4E71}"/>
    <hyperlink ref="F475" r:id="rId2425" display="https://www.daloopa.com/src/58987744" xr:uid="{6802B30C-823A-4B41-BDCC-FBC353114165}"/>
    <hyperlink ref="J475" r:id="rId2426" display="https://www.daloopa.com/src/58985448" xr:uid="{6F4D54CD-7B9B-4571-8C93-F3CB51D5778B}"/>
    <hyperlink ref="N475" r:id="rId2427" display="https://www.daloopa.com/src/58985429" xr:uid="{3CB0A942-E70D-4AC4-AB5B-995BFAC027AD}"/>
    <hyperlink ref="A476" r:id="rId2428" xr:uid="{08541FF7-A44D-4FF0-89CC-0A99F507EBD3}"/>
    <hyperlink ref="F476" r:id="rId2429" display="https://www.daloopa.com/src/58987747" xr:uid="{2E32EB6C-B0F6-4BAB-854D-064B4B50FDD6}"/>
    <hyperlink ref="J476" r:id="rId2430" display="https://www.daloopa.com/src/58985454" xr:uid="{A17855A2-E5A2-44EE-954F-7DF4C6487F13}"/>
    <hyperlink ref="N476" r:id="rId2431" display="https://www.daloopa.com/src/58985420" xr:uid="{D51B97A7-2E8F-4FB4-AF8A-E2C3C6F52F73}"/>
    <hyperlink ref="A477" r:id="rId2432" xr:uid="{93D9CF6B-766E-4115-A7EF-5541623B6C8B}"/>
    <hyperlink ref="F477" r:id="rId2433" display="https://www.daloopa.com/src/58987745" xr:uid="{304549B6-5EAE-4ADE-96FE-5099603AA736}"/>
    <hyperlink ref="J477" r:id="rId2434" display="https://www.daloopa.com/src/58985456" xr:uid="{F6D94153-275B-4AD1-AB68-D337084CEA4B}"/>
    <hyperlink ref="N477" r:id="rId2435" display="https://www.daloopa.com/src/58985416" xr:uid="{3A37911C-36A9-4902-B358-064E2576C269}"/>
    <hyperlink ref="A478" r:id="rId2436" xr:uid="{568AF9ED-42D8-4685-AFB5-FA2C3F1702A3}"/>
    <hyperlink ref="F478" r:id="rId2437" display="https://www.daloopa.com/src/58987746" xr:uid="{4FBE95AF-7804-469E-B21D-478392473935}"/>
    <hyperlink ref="J478" r:id="rId2438" display="https://www.daloopa.com/src/58985457" xr:uid="{C16C1E11-B500-498C-AB8E-7B39CF323362}"/>
    <hyperlink ref="N478" r:id="rId2439" display="https://www.daloopa.com/src/58985431" xr:uid="{B355ED78-18ED-4823-BA1E-B5D9D547C1C2}"/>
    <hyperlink ref="A480" r:id="rId2440" xr:uid="{A4E7CBAC-5A1D-4E1C-9C45-94F6A95000DF}"/>
    <hyperlink ref="F480" r:id="rId2441" display="https://www.daloopa.com/src/58987731" xr:uid="{FB939D6C-AE70-4253-A737-21EF49AC0A33}"/>
    <hyperlink ref="J480" r:id="rId2442" display="https://www.daloopa.com/src/58985458" xr:uid="{D67DF6FE-7A1B-4230-9217-CA8C6F9F2D3F}"/>
    <hyperlink ref="N480" r:id="rId2443" display="https://www.daloopa.com/src/58985426" xr:uid="{A7A45E7A-D324-4C44-AC1A-49A4EE7B8C6A}"/>
    <hyperlink ref="A483" r:id="rId2444" xr:uid="{948AA1ED-76C6-4C1C-9AFE-9D3545ED291D}"/>
    <hyperlink ref="F483" r:id="rId2445" display="https://www.daloopa.com/src/59066129" xr:uid="{098072D8-016A-4AEF-A1FD-78D0AB6EBC93}"/>
    <hyperlink ref="J483" r:id="rId2446" display="https://www.daloopa.com/src/59008891" xr:uid="{969FC7C4-17D3-4D57-8EC8-226B09F8BD1E}"/>
    <hyperlink ref="N483" r:id="rId2447" display="https://www.daloopa.com/src/59008887" xr:uid="{FAA6C428-2B26-4EBE-A203-24D55DE803EA}"/>
    <hyperlink ref="A484" r:id="rId2448" xr:uid="{DD66486C-85C0-4F3A-BE93-B33998A43B7A}"/>
    <hyperlink ref="F484" r:id="rId2449" display="https://www.daloopa.com/src/59066130" xr:uid="{425FA11A-0DB0-4278-9B79-1178B4A88F4D}"/>
    <hyperlink ref="J484" r:id="rId2450" display="https://www.daloopa.com/src/59008892" xr:uid="{EB2699DD-A841-493A-9983-D3BB9E7DD350}"/>
    <hyperlink ref="N484" r:id="rId2451" display="https://www.daloopa.com/src/59008888" xr:uid="{5E69F2E6-3964-4668-A878-517E872294FE}"/>
    <hyperlink ref="A485" r:id="rId2452" xr:uid="{AF825457-46A6-49A8-ABAE-1F26015BE9AD}"/>
    <hyperlink ref="F485" r:id="rId2453" display="https://www.daloopa.com/src/59066132" xr:uid="{1906960E-2D53-405F-BE0E-763CEC53D169}"/>
    <hyperlink ref="J485" r:id="rId2454" display="https://www.daloopa.com/src/59008893" xr:uid="{1EEA4A15-EA8D-4AA0-AB8E-112379E83707}"/>
    <hyperlink ref="N485" r:id="rId2455" display="https://www.daloopa.com/src/59008889" xr:uid="{4227BBD1-146B-4587-BBCE-ECE8D75E3AC3}"/>
    <hyperlink ref="A486" r:id="rId2456" xr:uid="{874B2495-E880-4307-8DB6-A9C4EAA0E49C}"/>
    <hyperlink ref="F486" r:id="rId2457" display="https://www.daloopa.com/src/59066131" xr:uid="{521CD293-5DD5-41C0-9FD1-74E3B2BAADCE}"/>
    <hyperlink ref="J486" r:id="rId2458" display="https://www.daloopa.com/src/59008894" xr:uid="{6E0969E7-E297-4F3B-BA88-1AD4632B4683}"/>
    <hyperlink ref="N486" r:id="rId2459" display="https://www.daloopa.com/src/59008890" xr:uid="{03F82E44-E927-428A-A387-4A4D2DDD6244}"/>
    <hyperlink ref="A489" r:id="rId2460" xr:uid="{2BA87441-7A42-41F4-B930-710D8DA5D7C4}"/>
    <hyperlink ref="R489" r:id="rId2461" display="https://www.daloopa.com/src/58988032" xr:uid="{99A4446F-2582-423B-968F-014E8AB31183}"/>
    <hyperlink ref="S489" r:id="rId2462" display="https://www.daloopa.com/src/58988046" xr:uid="{63204E2F-1374-495F-BE9D-C40AF36C8EDF}"/>
    <hyperlink ref="T489" r:id="rId2463" display="https://www.daloopa.com/src/58987996" xr:uid="{0C11BD19-A7ED-49E9-9B1C-E2F073ACA369}"/>
    <hyperlink ref="A490" r:id="rId2464" xr:uid="{1781FF47-AF13-4831-B44E-CAAB93928C1E}"/>
    <hyperlink ref="R490" r:id="rId2465" display="https://www.daloopa.com/src/58988031" xr:uid="{D47E4D80-97A6-4A99-954A-6BFBE6E7F508}"/>
    <hyperlink ref="S490" r:id="rId2466" display="https://www.daloopa.com/src/58988045" xr:uid="{A1D9639A-5EF7-4F02-AB26-DCDF8ACAF186}"/>
    <hyperlink ref="T490" r:id="rId2467" display="https://www.daloopa.com/src/58987995" xr:uid="{62AC321C-ECBE-4C43-B5F2-7422FD8350CE}"/>
    <hyperlink ref="A491" r:id="rId2468" xr:uid="{48986DFA-3136-4999-BED4-8BF6C6098C36}"/>
    <hyperlink ref="R491" r:id="rId2469" display="https://www.daloopa.com/src/58988030" xr:uid="{C2692501-D1B8-4389-9D2B-8730F03370DF}"/>
    <hyperlink ref="S491" r:id="rId2470" display="https://www.daloopa.com/src/58988044" xr:uid="{5B628401-7775-490F-A663-6FA22F74F40C}"/>
    <hyperlink ref="T491" r:id="rId2471" display="https://www.daloopa.com/src/58987997" xr:uid="{DFC77DC9-8C3A-4DB2-A53E-5AD9A50CBEA2}"/>
    <hyperlink ref="A494" r:id="rId2472" xr:uid="{D9DECBF8-8294-4E9C-9F60-3ABAF6B1B8B9}"/>
    <hyperlink ref="G494" r:id="rId2473" display="https://www.daloopa.com/src/58988048" xr:uid="{720291DC-0362-429A-B9E0-A18B0A0E1035}"/>
    <hyperlink ref="A495" r:id="rId2474" xr:uid="{4649D51A-168F-475D-863A-9F8ECEB7BA8C}"/>
    <hyperlink ref="G495" r:id="rId2475" display="https://www.daloopa.com/src/58988047" xr:uid="{77E8497E-32E7-4210-B8B7-9E65FE0F0D1E}"/>
    <hyperlink ref="A496" r:id="rId2476" xr:uid="{FDDAF58C-C275-4AF2-9504-33D5EE19A4CF}"/>
    <hyperlink ref="G496" r:id="rId2477" display="https://www.daloopa.com/src/58988049" xr:uid="{87ACBF2B-1280-4EC7-838E-B88C6E68359F}"/>
    <hyperlink ref="A500" r:id="rId2478" xr:uid="{313F3E8D-98D6-4BAC-9740-89AA5A279455}"/>
    <hyperlink ref="R500" r:id="rId2479" display="https://www.daloopa.com/src/58988134" xr:uid="{2DF3E519-FFE8-4B7A-9AED-CCB557E2F1E1}"/>
    <hyperlink ref="S500" r:id="rId2480" display="https://www.daloopa.com/src/58988126" xr:uid="{0E31D841-BE9C-4B0D-AFD1-238164E0DEB1}"/>
    <hyperlink ref="T500" r:id="rId2481" display="https://www.daloopa.com/src/58988122" xr:uid="{24E3445D-FB9A-42F4-890C-430336DE0693}"/>
    <hyperlink ref="A501" r:id="rId2482" xr:uid="{28103214-DBCF-4DFB-B7AD-38A347597C5A}"/>
    <hyperlink ref="R501" r:id="rId2483" display="https://www.daloopa.com/src/58988135" xr:uid="{EF0A394F-039C-4DED-9612-85881DE2C9EE}"/>
    <hyperlink ref="S501" r:id="rId2484" display="https://www.daloopa.com/src/58988127" xr:uid="{E323D334-BCB8-4FF5-A0D6-47E664F2E6D1}"/>
    <hyperlink ref="T501" r:id="rId2485" display="https://www.daloopa.com/src/58988123" xr:uid="{BBF16033-2633-45B5-9C69-71FB1A17C506}"/>
    <hyperlink ref="A502" r:id="rId2486" xr:uid="{1A8B5743-95FC-4D63-B106-22653AEAEFCF}"/>
    <hyperlink ref="R502" r:id="rId2487" display="https://www.daloopa.com/src/58988136" xr:uid="{8507780A-8664-42FB-AD21-174883309D67}"/>
    <hyperlink ref="S502" r:id="rId2488" display="https://www.daloopa.com/src/58988128" xr:uid="{DC2F1A70-D6EB-44A1-B94E-C3EE5FAA85AE}"/>
    <hyperlink ref="T502" r:id="rId2489" display="https://www.daloopa.com/src/58988124" xr:uid="{281D0AF8-6B34-4D6F-A931-D661659C2641}"/>
    <hyperlink ref="A503" r:id="rId2490" xr:uid="{B2DB5CB7-D129-48AD-B187-F2DD513B8556}"/>
    <hyperlink ref="R503" r:id="rId2491" display="https://www.daloopa.com/src/58988137" xr:uid="{9EB76A42-9862-4A3D-983D-6127E2A26A4B}"/>
    <hyperlink ref="S503" r:id="rId2492" display="https://www.daloopa.com/src/58988129" xr:uid="{E374F3A9-2C78-4E73-AFFF-6C9B617D2413}"/>
    <hyperlink ref="T503" r:id="rId2493" display="https://www.daloopa.com/src/58988125" xr:uid="{A0269137-8DD9-453C-96BE-1BE42F02511C}"/>
    <hyperlink ref="A506" r:id="rId2494" xr:uid="{DE094412-A401-4E71-92FB-5745623806D2}"/>
    <hyperlink ref="R506" r:id="rId2495" display="https://www.daloopa.com/src/58988190" xr:uid="{90B6D24A-B7C3-45B9-BF5B-90639A2E92D0}"/>
    <hyperlink ref="S506" r:id="rId2496" display="https://www.daloopa.com/src/58988180" xr:uid="{89B615E6-B0AF-4468-8CFA-757523D9B1D2}"/>
    <hyperlink ref="T506" r:id="rId2497" display="https://www.daloopa.com/src/58988175" xr:uid="{0F94CC52-AB7B-44F3-AD54-53D7E3115C15}"/>
    <hyperlink ref="A507" r:id="rId2498" xr:uid="{96618CE7-6D69-4D01-9A8F-93BEAF78D0A5}"/>
    <hyperlink ref="R507" r:id="rId2499" display="https://www.daloopa.com/src/58988191" xr:uid="{86FC4678-7A2E-4BC0-9348-B9352890D224}"/>
    <hyperlink ref="S507" r:id="rId2500" display="https://www.daloopa.com/src/58988181" xr:uid="{AA895F14-46D5-43CF-A240-57C4A59C8B6F}"/>
    <hyperlink ref="T507" r:id="rId2501" display="https://www.daloopa.com/src/58988176" xr:uid="{B5913FFF-B25B-4362-80DD-183A95B05A38}"/>
    <hyperlink ref="A508" r:id="rId2502" xr:uid="{E41E597C-7765-4CE9-A393-6A03F2F9FA46}"/>
    <hyperlink ref="R508" r:id="rId2503" display="https://www.daloopa.com/src/58988192" xr:uid="{43413072-CD15-44E4-BB9D-D7D4F45AED09}"/>
    <hyperlink ref="S508" r:id="rId2504" display="https://www.daloopa.com/src/58988182" xr:uid="{D7A2D344-DA32-4D6B-8EAC-20B7D5C11D3E}"/>
    <hyperlink ref="T508" r:id="rId2505" display="https://www.daloopa.com/src/58988177" xr:uid="{92230F6C-7B38-47CD-B897-39BDD87E356B}"/>
    <hyperlink ref="A509" r:id="rId2506" xr:uid="{EC6E302A-6C7D-43D5-9C47-E3F8A3BB4B36}"/>
    <hyperlink ref="R509" r:id="rId2507" display="https://www.daloopa.com/src/58988193" xr:uid="{B374B60F-EA49-47EA-B5C7-CB0282502974}"/>
    <hyperlink ref="S509" r:id="rId2508" display="https://www.daloopa.com/src/58988183" xr:uid="{7573DFE0-CEEA-4498-9441-3377C9A3670C}"/>
    <hyperlink ref="T509" r:id="rId2509" display="https://www.daloopa.com/src/58988178" xr:uid="{BD9B8F7E-DA8B-49AD-8B2E-239372356E25}"/>
    <hyperlink ref="A511" r:id="rId2510" xr:uid="{D67B7555-044F-4DE9-AAD9-9FD4CA4C7D49}"/>
    <hyperlink ref="R511" r:id="rId2511" display="https://www.daloopa.com/src/58988194" xr:uid="{30F4667E-7D0F-42D2-A889-9B5042142192}"/>
    <hyperlink ref="S511" r:id="rId2512" display="https://www.daloopa.com/src/58988184" xr:uid="{F39C4B85-DD57-4B00-8F0E-19F2ED8504F3}"/>
    <hyperlink ref="T511" r:id="rId2513" display="https://www.daloopa.com/src/58988179" xr:uid="{4030E1B8-115A-49DE-8D43-A6D6D6344939}"/>
    <hyperlink ref="A515" r:id="rId2514" xr:uid="{6026A71A-D68C-46F1-9F77-4C190787095E}"/>
    <hyperlink ref="G515" r:id="rId2515" display="https://www.daloopa.com/src/58988130" xr:uid="{56E41586-5934-499F-B821-2B26AE0B3BC7}"/>
    <hyperlink ref="A516" r:id="rId2516" xr:uid="{39479AC6-B1C9-4AD1-A107-A48648335336}"/>
    <hyperlink ref="G516" r:id="rId2517" display="https://www.daloopa.com/src/58988131" xr:uid="{2BD02475-D581-4D25-A498-5E11F355A033}"/>
    <hyperlink ref="A517" r:id="rId2518" xr:uid="{A599CF0F-A3CA-4B4A-86C0-3F4562231DE3}"/>
    <hyperlink ref="G517" r:id="rId2519" display="https://www.daloopa.com/src/58988132" xr:uid="{ECB7A989-6AF5-4347-B3E9-D09A69AD9B5C}"/>
    <hyperlink ref="A518" r:id="rId2520" xr:uid="{FE42DDF8-1D1A-4554-9D8A-D37D95A9E6E7}"/>
    <hyperlink ref="G518" r:id="rId2521" display="https://www.daloopa.com/src/58988133" xr:uid="{B68D43EA-320F-4D48-B3BF-71598C706F4E}"/>
    <hyperlink ref="A521" r:id="rId2522" xr:uid="{03FDF003-4270-4B2F-AFD5-D0B6C5C4C3A3}"/>
    <hyperlink ref="G521" r:id="rId2523" display="https://www.daloopa.com/src/58988185" xr:uid="{8E5BFEAE-608E-4CBE-B88B-63486BBB3BF6}"/>
    <hyperlink ref="A522" r:id="rId2524" xr:uid="{BC3D7D0F-C3FF-4748-96D2-3B03F23EB3F8}"/>
    <hyperlink ref="G522" r:id="rId2525" display="https://www.daloopa.com/src/58988186" xr:uid="{70D9FF2E-3FCF-44F3-8AEF-CD4AEAAB15E4}"/>
    <hyperlink ref="A523" r:id="rId2526" xr:uid="{E38ACFD8-E290-4FA2-BC7D-54EBB290746B}"/>
    <hyperlink ref="G523" r:id="rId2527" display="https://www.daloopa.com/src/58988187" xr:uid="{B7237F27-2C8A-4663-8436-F17E6E71305C}"/>
    <hyperlink ref="A524" r:id="rId2528" xr:uid="{92B8E4EA-7A7F-40EB-AED3-8E94B045718D}"/>
    <hyperlink ref="G524" r:id="rId2529" display="https://www.daloopa.com/src/58988188" xr:uid="{40841860-9CA2-4159-940A-DBACC5889560}"/>
    <hyperlink ref="A526" r:id="rId2530" xr:uid="{8A290A31-42B0-4B38-B592-E739B3F40CC4}"/>
    <hyperlink ref="G526" r:id="rId2531" display="https://www.daloopa.com/src/58988189" xr:uid="{E1C2214E-1585-4D7B-86E9-1300E007A570}"/>
    <hyperlink ref="A529" r:id="rId2532" xr:uid="{C4D66133-B659-4F94-B076-708C44C7091B}"/>
    <hyperlink ref="R529" r:id="rId2533" display="https://www.daloopa.com/src/58988253" xr:uid="{CE13D5C6-2199-4131-AA57-E0A5CC348DBB}"/>
    <hyperlink ref="S529" r:id="rId2534" display="https://www.daloopa.com/src/58988222" xr:uid="{F5AE4522-ECBA-4E4F-A2F9-F0A7A060CB63}"/>
    <hyperlink ref="T529" r:id="rId2535" display="https://www.daloopa.com/src/58988218" xr:uid="{16675A84-CD55-49D9-9F8C-C624EC94728C}"/>
    <hyperlink ref="A530" r:id="rId2536" xr:uid="{22093787-D2A7-4DE3-8745-132A978996BD}"/>
    <hyperlink ref="R530" r:id="rId2537" display="https://www.daloopa.com/src/58988252" xr:uid="{11B8C6A8-639B-4895-AF90-5C1FED56012C}"/>
    <hyperlink ref="S530" r:id="rId2538" display="https://www.daloopa.com/src/58988223" xr:uid="{193FEDC9-89EA-4299-A057-1C1F8EECA762}"/>
    <hyperlink ref="T530" r:id="rId2539" display="https://www.daloopa.com/src/58988214" xr:uid="{3CEEAB09-4E62-4300-B7A8-83BB313503AF}"/>
    <hyperlink ref="A531" r:id="rId2540" xr:uid="{0EB3E5B1-857C-402B-A69B-24CBB6C4C143}"/>
    <hyperlink ref="R531" r:id="rId2541" display="https://www.daloopa.com/src/58988251" xr:uid="{F3959C58-E665-4F43-BCF7-E32500B733ED}"/>
    <hyperlink ref="S531" r:id="rId2542" display="https://www.daloopa.com/src/58988224" xr:uid="{15AA5557-B99D-4C91-96B1-A5863A063B32}"/>
    <hyperlink ref="T531" r:id="rId2543" display="https://www.daloopa.com/src/58988213" xr:uid="{4168C8A7-5A9A-4F9F-BF6D-473A772217EC}"/>
    <hyperlink ref="A532" r:id="rId2544" xr:uid="{FB3246B0-71CC-4BA1-A6C0-1FA46FB7B516}"/>
    <hyperlink ref="R532" r:id="rId2545" display="https://www.daloopa.com/src/58988250" xr:uid="{228BAD03-607F-424F-A855-123165D0336D}"/>
    <hyperlink ref="S532" r:id="rId2546" display="https://www.daloopa.com/src/58988225" xr:uid="{5D4DD078-41DF-4612-9D8E-AAB774BFA589}"/>
    <hyperlink ref="T532" r:id="rId2547" display="https://www.daloopa.com/src/58988210" xr:uid="{CD75FAF4-CB9D-498B-965D-53E022F6CB85}"/>
    <hyperlink ref="A533" r:id="rId2548" xr:uid="{56105C84-56A4-42FA-90F3-89ABD8B5935D}"/>
    <hyperlink ref="R533" r:id="rId2549" display="https://www.daloopa.com/src/58988249" xr:uid="{529D4255-9B67-4763-9133-3D01237DE03F}"/>
    <hyperlink ref="S533" r:id="rId2550" display="https://www.daloopa.com/src/58988227" xr:uid="{BB87DFFB-4C3B-4032-9CF9-A63910214E56}"/>
    <hyperlink ref="T533" r:id="rId2551" display="https://www.daloopa.com/src/58988209" xr:uid="{B75F04BB-1B6F-4262-AA31-13B195AFF961}"/>
    <hyperlink ref="A534" r:id="rId2552" xr:uid="{D881561B-2692-4781-9757-765286092F06}"/>
    <hyperlink ref="S534" r:id="rId2553" display="https://www.daloopa.com/src/58988226" xr:uid="{4A230AA0-C75D-4B38-BB1D-4AB6772F23F4}"/>
    <hyperlink ref="T534" r:id="rId2554" display="https://www.daloopa.com/src/58988211" xr:uid="{2528B724-47A4-44F1-8E7C-B7FB250F1E27}"/>
    <hyperlink ref="A535" r:id="rId2555" xr:uid="{47CDC0FB-065E-43B2-A982-ADE2D2B746AC}"/>
    <hyperlink ref="R535" r:id="rId2556" display="https://www.daloopa.com/src/58988248" xr:uid="{737F677A-9565-4C04-B8E6-944DAEF6D04B}"/>
    <hyperlink ref="S535" r:id="rId2557" display="https://www.daloopa.com/src/58988228" xr:uid="{6E467649-E7A6-46C6-B339-76CDC7C14F9C}"/>
    <hyperlink ref="T535" r:id="rId2558" display="https://www.daloopa.com/src/58988220" xr:uid="{0518EF52-5FC6-4F55-A9B3-B9B76742F931}"/>
    <hyperlink ref="A536" r:id="rId2559" xr:uid="{7472345E-FE52-47EC-B28D-BBE2F119BB9A}"/>
    <hyperlink ref="R536" r:id="rId2560" display="https://www.daloopa.com/src/58988247" xr:uid="{39C29F70-F50B-45BE-AFD0-8C51CE7B1016}"/>
    <hyperlink ref="T536" r:id="rId2561" display="https://www.daloopa.com/src/58988216" xr:uid="{9E12E4D8-C559-4448-8EE1-C0E7986D9A24}"/>
    <hyperlink ref="A537" r:id="rId2562" xr:uid="{4B6B64F7-6DC5-4033-B484-5A7997653837}"/>
    <hyperlink ref="R537" r:id="rId2563" display="https://www.daloopa.com/src/58988246" xr:uid="{E7949176-81F8-4E4D-B4EB-C304FA348148}"/>
    <hyperlink ref="S537" r:id="rId2564" display="https://www.daloopa.com/src/58988232" xr:uid="{779B8E85-8629-400E-A9E8-DB122561DAC0}"/>
    <hyperlink ref="T537" r:id="rId2565" display="https://www.daloopa.com/src/58988217" xr:uid="{863BD471-0BC3-40AD-8652-E58ABAF9374B}"/>
    <hyperlink ref="A538" r:id="rId2566" xr:uid="{944C0573-FDDC-4C57-A65D-3DFBC5317702}"/>
    <hyperlink ref="R538" r:id="rId2567" display="https://www.daloopa.com/src/58988245" xr:uid="{3BD0A7D1-E1BD-4A45-9BB8-23A35C73B202}"/>
    <hyperlink ref="S538" r:id="rId2568" display="https://www.daloopa.com/src/58988231" xr:uid="{73C22A0A-A6A0-40A3-9D45-4F11C0948009}"/>
    <hyperlink ref="T538" r:id="rId2569" display="https://www.daloopa.com/src/58988219" xr:uid="{F9239243-B38A-4D40-B806-2F53A2CD0147}"/>
    <hyperlink ref="A539" r:id="rId2570" xr:uid="{3F9A26F9-65F9-4EFB-8DC4-EC9247A01639}"/>
    <hyperlink ref="R539" r:id="rId2571" display="https://www.daloopa.com/src/58988244" xr:uid="{8906BDD4-2EED-4641-905F-7CB279AFCE02}"/>
    <hyperlink ref="S539" r:id="rId2572" display="https://www.daloopa.com/src/58988230" xr:uid="{92DC5BDE-D553-4A04-8878-B0BEC6103DAF}"/>
    <hyperlink ref="T539" r:id="rId2573" display="https://www.daloopa.com/src/58988212" xr:uid="{47738CB6-A1A0-42CA-949F-90326273D8C4}"/>
    <hyperlink ref="A540" r:id="rId2574" xr:uid="{0494E1E0-898F-4204-AC66-518732515E39}"/>
    <hyperlink ref="R540" r:id="rId2575" display="https://www.daloopa.com/src/58988243" xr:uid="{22DDA331-551B-4116-A6B5-4047F181EE65}"/>
    <hyperlink ref="S540" r:id="rId2576" display="https://www.daloopa.com/src/58988229" xr:uid="{564B31F3-E7DE-40E2-884A-401B1E9218F3}"/>
    <hyperlink ref="T540" r:id="rId2577" display="https://www.daloopa.com/src/58988215" xr:uid="{CCD7DEA4-7A78-47F8-B0D4-3E7E6C0A8E01}"/>
    <hyperlink ref="A543" r:id="rId2578" xr:uid="{DC774064-77E6-489B-9857-8013A14E8523}"/>
    <hyperlink ref="G543" r:id="rId2579" display="https://www.daloopa.com/src/58988234" xr:uid="{0B71B8AB-080E-4EF7-88BB-588513C00BFA}"/>
    <hyperlink ref="A544" r:id="rId2580" xr:uid="{FA71F791-E0BC-4759-A843-12658CD75D38}"/>
    <hyperlink ref="G544" r:id="rId2581" display="https://www.daloopa.com/src/58988235" xr:uid="{4E6881C1-DF6E-44D9-9DF3-CEBFBC5FBDF9}"/>
    <hyperlink ref="A545" r:id="rId2582" xr:uid="{BCE38A29-8DCC-49E0-BC1B-E8DF76237BDF}"/>
    <hyperlink ref="G545" r:id="rId2583" display="https://www.daloopa.com/src/58988237" xr:uid="{8A00D43C-D1E5-45E9-8011-C935591F8D6D}"/>
    <hyperlink ref="A546" r:id="rId2584" xr:uid="{B92A9772-5480-4ED7-A26F-AFE818BA02A2}"/>
    <hyperlink ref="G546" r:id="rId2585" display="https://www.daloopa.com/src/58988236" xr:uid="{D70DBC80-267A-4950-86E0-4D3DCFE410AA}"/>
    <hyperlink ref="A547" r:id="rId2586" xr:uid="{421490A8-10B7-498F-B6F7-6206F72B7E63}"/>
    <hyperlink ref="G547" r:id="rId2587" display="https://www.daloopa.com/src/58988240" xr:uid="{A7C22197-1B78-49F4-A0B6-15B69CBB10E0}"/>
    <hyperlink ref="A548" r:id="rId2588" xr:uid="{E7523BB4-40C4-4FD4-B0D2-89036D1AF56D}"/>
    <hyperlink ref="G548" r:id="rId2589" display="https://www.daloopa.com/src/58988238" xr:uid="{AF17E07A-AA15-4189-B6B1-7E6727EA6A89}"/>
    <hyperlink ref="A549" r:id="rId2590" xr:uid="{FDF3D958-73E9-4CE0-9EF8-62A2FF6D0AC0}"/>
    <hyperlink ref="G549" r:id="rId2591" display="https://www.daloopa.com/src/58988239" xr:uid="{86A04982-B057-4EF9-A839-21AC7360671C}"/>
    <hyperlink ref="A550" r:id="rId2592" xr:uid="{1D9E5878-8085-4650-960D-47E7E161F305}"/>
    <hyperlink ref="G550" r:id="rId2593" display="https://www.daloopa.com/src/58988241" xr:uid="{13E2D212-2DA5-4ADD-BB2A-E07D50970900}"/>
    <hyperlink ref="A551" r:id="rId2594" xr:uid="{855F69B1-0D4B-43B1-ACD0-F0E8DD070493}"/>
    <hyperlink ref="G551" r:id="rId2595" display="https://www.daloopa.com/src/58988242" xr:uid="{E3D5FA66-6ACD-4637-A094-F2F160D39CCF}"/>
    <hyperlink ref="A552" r:id="rId2596" xr:uid="{829EC909-8981-4936-A8F7-7FC1CAF05F2B}"/>
    <hyperlink ref="G552" r:id="rId2597" display="https://www.daloopa.com/src/58988233" xr:uid="{73D05B14-D32E-4F37-96A7-5CA9DC5F5BC6}"/>
    <hyperlink ref="A556" r:id="rId2598" xr:uid="{3FA9AEF7-C1DA-413D-8468-EC42A2B26F9C}"/>
    <hyperlink ref="O556" r:id="rId2599" display="https://www.daloopa.com/src/58988356" xr:uid="{EE58D770-6E80-49A8-971B-6857365454CE}"/>
    <hyperlink ref="P556" r:id="rId2600" display="https://www.daloopa.com/src/59372882" xr:uid="{BB7E256C-BA92-4FE1-848B-8344A7ED8225}"/>
    <hyperlink ref="A557" r:id="rId2601" xr:uid="{2351B488-FE43-46B0-B6C2-9C55409A4768}"/>
    <hyperlink ref="O557" r:id="rId2602" display="https://www.daloopa.com/src/58988362" xr:uid="{AA8950F8-A0A9-4176-BC54-D757DBEEB166}"/>
    <hyperlink ref="P557" r:id="rId2603" display="https://www.daloopa.com/src/59372880" xr:uid="{68D2DAAF-487F-4CB1-8B82-FC1FB8D1B0B1}"/>
    <hyperlink ref="A558" r:id="rId2604" xr:uid="{7DE49B6F-5459-4135-B769-0C3499EEF1A0}"/>
    <hyperlink ref="O558" r:id="rId2605" display="https://www.daloopa.com/src/58988359" xr:uid="{37F05B79-8686-4B3A-99A7-8C1A02AAF7AE}"/>
    <hyperlink ref="P558" r:id="rId2606" display="https://www.daloopa.com/src/59372879" xr:uid="{369317CB-71F5-4901-9FB0-EFB1E5F7DF59}"/>
    <hyperlink ref="A559" r:id="rId2607" xr:uid="{DE26E785-1CA3-4F5E-92F0-A4316B00DFA9}"/>
    <hyperlink ref="P559" r:id="rId2608" display="https://www.daloopa.com/src/59372881" xr:uid="{F6869E1C-6C87-4313-AE69-34D19AA549D0}"/>
    <hyperlink ref="A560" r:id="rId2609" xr:uid="{B8ADC1A1-A8DE-4670-979F-B2FC30B1513A}"/>
    <hyperlink ref="O560" r:id="rId2610" display="https://www.daloopa.com/src/58988358" xr:uid="{D8E66E80-E7DE-492C-A314-C546DCD66621}"/>
    <hyperlink ref="P560" r:id="rId2611" display="https://www.daloopa.com/src/59372884" xr:uid="{46A014D9-2C77-4EAF-BBBF-34368B05B271}"/>
    <hyperlink ref="A563" r:id="rId2612" xr:uid="{9F0E20B3-CA75-43D2-B25E-44DA164553CD}"/>
    <hyperlink ref="O563" r:id="rId2613" display="https://www.daloopa.com/src/58988360" xr:uid="{BDC3DD81-185A-4D95-B409-11671DC4F3F5}"/>
    <hyperlink ref="P563" r:id="rId2614" display="https://www.daloopa.com/src/59372885" xr:uid="{207B02A4-4975-408C-B71D-2EE1C218C253}"/>
    <hyperlink ref="A564" r:id="rId2615" xr:uid="{96EE3BB4-41F1-419A-B7CE-7F2B93F23B4B}"/>
    <hyperlink ref="O564" r:id="rId2616" display="https://www.daloopa.com/src/58988361" xr:uid="{765E6087-43CD-446D-96DE-689001F897CF}"/>
    <hyperlink ref="P564" r:id="rId2617" display="https://www.daloopa.com/src/59372878" xr:uid="{BD1D240F-F82C-429C-9577-DE210781229D}"/>
    <hyperlink ref="A565" r:id="rId2618" xr:uid="{562925BD-63BC-44ED-BCF0-F040BA212B5F}"/>
    <hyperlink ref="O565" r:id="rId2619" display="https://www.daloopa.com/src/58988363" xr:uid="{571262E1-2E71-49F6-B545-3824ED70BFFB}"/>
    <hyperlink ref="P565" r:id="rId2620" display="https://www.daloopa.com/src/59372886" xr:uid="{3275085A-4FBF-4540-8AB9-91CA5D3B4014}"/>
    <hyperlink ref="A567" r:id="rId2621" xr:uid="{45096708-2338-42C7-98BA-201E6BD3493F}"/>
    <hyperlink ref="O567" r:id="rId2622" display="https://www.daloopa.com/src/58988357" xr:uid="{2A193023-A7A8-41E5-AF44-27DFFEEE5E6F}"/>
    <hyperlink ref="P567" r:id="rId2623" display="https://www.daloopa.com/src/59372883" xr:uid="{9D4E67E8-2928-4A43-ACC9-402DEF186649}"/>
    <hyperlink ref="A571" r:id="rId2624" xr:uid="{22CE7224-5D97-4A4C-B1DB-4C1C311E5D11}"/>
    <hyperlink ref="J571" r:id="rId2625" display="https://www.daloopa.com/src/58990173" xr:uid="{7217E2C2-7A95-473B-9742-F713B1DBEBE4}"/>
    <hyperlink ref="A572" r:id="rId2626" xr:uid="{76066EA1-6523-4C10-BA60-2AA78F8F5804}"/>
    <hyperlink ref="O572" r:id="rId2627" display="https://www.daloopa.com/src/58990045" xr:uid="{5CF52350-3C6B-4113-A141-CB63A8139840}"/>
    <hyperlink ref="P572" r:id="rId2628" display="https://www.daloopa.com/src/59372555" xr:uid="{F2FAB07D-62E0-4F4C-B8EA-FBAEBF04FE8E}"/>
    <hyperlink ref="A573" r:id="rId2629" xr:uid="{411F2F8F-44FD-43FB-A34C-B50B077C5C59}"/>
    <hyperlink ref="J573" r:id="rId2630" display="https://www.daloopa.com/src/58990174" xr:uid="{BF16ADEB-271D-4DFB-A80D-171CEF4A9B57}"/>
    <hyperlink ref="N573" r:id="rId2631" display="https://www.daloopa.com/src/58990062" xr:uid="{31D8010D-3FDF-44DF-A9E1-1BB593E58F01}"/>
    <hyperlink ref="A574" r:id="rId2632" xr:uid="{7A1B48D8-F9ED-49F9-AD96-F879112F1F70}"/>
    <hyperlink ref="J574" r:id="rId2633" display="https://www.daloopa.com/src/58990176" xr:uid="{03BCE0ED-061C-4D58-89F4-6DFE1516245B}"/>
    <hyperlink ref="N574" r:id="rId2634" display="https://www.daloopa.com/src/58990063" xr:uid="{FDD5D8AF-298A-4C82-8415-1A980BE84E5D}"/>
    <hyperlink ref="O574" r:id="rId2635" display="https://www.daloopa.com/src/58990046" xr:uid="{0A5D2A48-1AA4-4215-BA1B-BD850078382D}"/>
    <hyperlink ref="P574" r:id="rId2636" display="https://www.daloopa.com/src/59372554" xr:uid="{14BCA0FE-6FB1-4CDA-9058-89F987AD76BF}"/>
    <hyperlink ref="A575" r:id="rId2637" xr:uid="{DE28DB39-3AE4-4CD7-A4EC-4507B31A98B7}"/>
    <hyperlink ref="J575" r:id="rId2638" display="https://www.daloopa.com/src/58990175" xr:uid="{31C9E507-98E5-46B8-9E72-BD7A5CE6E992}"/>
    <hyperlink ref="N575" r:id="rId2639" display="https://www.daloopa.com/src/58990064" xr:uid="{A3C1E468-FCC7-4FBC-A3E3-99834CF0BB97}"/>
    <hyperlink ref="O575" r:id="rId2640" display="https://www.daloopa.com/src/58990047" xr:uid="{45EE3F08-E7D5-41E4-91E6-E0F076F8E50B}"/>
    <hyperlink ref="P575" r:id="rId2641" display="https://www.daloopa.com/src/59372552" xr:uid="{D249E3F1-0588-4008-93F4-D3911B5F8076}"/>
    <hyperlink ref="A577" r:id="rId2642" xr:uid="{81B71AAF-AFC4-4D18-BE99-01E6EB2E036E}"/>
    <hyperlink ref="J577" r:id="rId2643" display="https://www.daloopa.com/src/58990170" xr:uid="{52D56024-16C9-4119-B923-A771DC39E13D}"/>
    <hyperlink ref="N577" r:id="rId2644" display="https://www.daloopa.com/src/58990061" xr:uid="{A93CA43F-95F3-4DEE-83D6-AE9FC4838ED7}"/>
    <hyperlink ref="O577" r:id="rId2645" display="https://www.daloopa.com/src/58990048" xr:uid="{CBC98C3D-DF5A-4DC9-8B9A-2A0A430B6C9B}"/>
    <hyperlink ref="P577" r:id="rId2646" display="https://www.daloopa.com/src/59372551" xr:uid="{8260F41E-6277-4D43-B2EA-1CFF0E02835C}"/>
    <hyperlink ref="A578" r:id="rId2647" xr:uid="{0EC7AF0F-2328-4621-BDF1-5CEF90BF310F}"/>
    <hyperlink ref="J578" r:id="rId2648" display="https://www.daloopa.com/src/58990171" xr:uid="{0F5913DE-20A3-4542-AB8F-5B4BF9A4E612}"/>
    <hyperlink ref="N578" r:id="rId2649" display="https://www.daloopa.com/src/58990065" xr:uid="{7AB42EB8-22F0-4562-B476-4525DAF8A06E}"/>
    <hyperlink ref="O578" r:id="rId2650" display="https://www.daloopa.com/src/58990049" xr:uid="{33F046B8-A39B-49C7-A272-E244CA799342}"/>
    <hyperlink ref="P578" r:id="rId2651" display="https://www.daloopa.com/src/59372553" xr:uid="{6062901B-8330-41A6-9166-B6AA90CAA6BE}"/>
    <hyperlink ref="A580" r:id="rId2652" xr:uid="{0291A6A8-1570-4B90-B815-D162B8A23FC0}"/>
    <hyperlink ref="J580" r:id="rId2653" display="https://www.daloopa.com/src/58990177" xr:uid="{6331FC5F-6400-4D9C-BDA1-1FA1C3E9C5EB}"/>
    <hyperlink ref="N580" r:id="rId2654" display="https://www.daloopa.com/src/58990066" xr:uid="{EDF624C9-FB31-4227-A46A-2A721059B2B3}"/>
    <hyperlink ref="A581" r:id="rId2655" xr:uid="{D8F44D4D-0A74-4F48-86BC-1C756E9B0438}"/>
    <hyperlink ref="J581" r:id="rId2656" display="https://www.daloopa.com/src/58990172" xr:uid="{16F98008-AEAB-4304-BF9E-8DEFD8B6BBC8}"/>
    <hyperlink ref="N581" r:id="rId2657" display="https://www.daloopa.com/src/58990067" xr:uid="{D415F850-0F8F-443D-BD2A-E6355E89ECE9}"/>
    <hyperlink ref="A584" r:id="rId2658" xr:uid="{D0D206B0-B78B-4A7D-8009-6ACF07E17682}"/>
    <hyperlink ref="J584" r:id="rId2659" display="https://www.daloopa.com/src/58992491" xr:uid="{19E93221-A750-47C2-8415-B62A97CCD445}"/>
    <hyperlink ref="A585" r:id="rId2660" xr:uid="{75689FF7-153E-4758-8C1E-EB4849E1764A}"/>
    <hyperlink ref="O585" r:id="rId2661" display="https://www.daloopa.com/src/58990260" xr:uid="{E8A70259-7B49-4F0F-BF2F-4E369BDE8D55}"/>
    <hyperlink ref="P585" r:id="rId2662" display="https://www.daloopa.com/src/59372595" xr:uid="{0E230706-E49D-4C52-8402-4471A2CC3B4D}"/>
    <hyperlink ref="A586" r:id="rId2663" xr:uid="{F259E12B-FCC3-487B-A037-954DEFC8B6BF}"/>
    <hyperlink ref="J586" r:id="rId2664" display="https://www.daloopa.com/src/58992489" xr:uid="{2AAC5CE9-75E6-4B33-BC58-7C5C2CF6A21A}"/>
    <hyperlink ref="N586" r:id="rId2665" display="https://www.daloopa.com/src/58992288" xr:uid="{55B414D1-1BC5-437D-BA89-B6CFDE3E2454}"/>
    <hyperlink ref="A587" r:id="rId2666" xr:uid="{6DDB2D7E-0620-4426-911D-4E9C551C3D25}"/>
    <hyperlink ref="J587" r:id="rId2667" display="https://www.daloopa.com/src/58992490" xr:uid="{398A7FB5-6B3E-49F4-BED5-8B4DCEB6E927}"/>
    <hyperlink ref="N587" r:id="rId2668" display="https://www.daloopa.com/src/58992289" xr:uid="{68F89F41-A437-42C2-A5D5-9A041B1BF430}"/>
    <hyperlink ref="O587" r:id="rId2669" display="https://www.daloopa.com/src/58990262" xr:uid="{3B71A7E4-C40A-46FC-85B9-47DB72C1BD24}"/>
    <hyperlink ref="P587" r:id="rId2670" display="https://www.daloopa.com/src/59372597" xr:uid="{67CA4635-D75B-4DB8-92D6-FC2C68F2C589}"/>
    <hyperlink ref="A588" r:id="rId2671" xr:uid="{111D1E4F-E455-48E9-895B-095DC6E74C8B}"/>
    <hyperlink ref="J588" r:id="rId2672" display="https://www.daloopa.com/src/58992492" xr:uid="{9BFDFA7D-D986-46F8-9989-8418E67662FD}"/>
    <hyperlink ref="N588" r:id="rId2673" display="https://www.daloopa.com/src/58992290" xr:uid="{FBC75367-9E84-4846-9F95-1EB19F80C557}"/>
    <hyperlink ref="O588" r:id="rId2674" display="https://www.daloopa.com/src/58990258" xr:uid="{2AB3CD0C-0E24-4709-9832-B624878CB966}"/>
    <hyperlink ref="P588" r:id="rId2675" display="https://www.daloopa.com/src/59372593" xr:uid="{B85F2A00-FC14-4D74-90EA-FE71A7C30431}"/>
    <hyperlink ref="A589" r:id="rId2676" xr:uid="{0722F8CB-85C9-433D-B8CB-37DD60B27955}"/>
    <hyperlink ref="J589" r:id="rId2677" display="https://www.daloopa.com/src/58992493" xr:uid="{CC862A5C-6DB5-4AF9-98D8-A1B95A4E9AFE}"/>
    <hyperlink ref="N589" r:id="rId2678" display="https://www.daloopa.com/src/58992291" xr:uid="{FB754EA8-BC52-42C4-86BE-5AFEBE4B57DB}"/>
    <hyperlink ref="O589" r:id="rId2679" display="https://www.daloopa.com/src/58990259" xr:uid="{1F966D7F-CB72-4AE8-AF1A-8488EDCF7F2D}"/>
    <hyperlink ref="P589" r:id="rId2680" display="https://www.daloopa.com/src/59372594" xr:uid="{126EDFEE-BE79-4897-8FDF-178688B9F312}"/>
    <hyperlink ref="A590" r:id="rId2681" xr:uid="{C59E18FC-E62E-4FD2-9A4F-A6AC7ED2AED3}"/>
    <hyperlink ref="N590" r:id="rId2682" display="https://www.daloopa.com/src/58992292" xr:uid="{9B0E985F-2AF8-4BA7-BD19-A7D2C220CDAB}"/>
    <hyperlink ref="O590" r:id="rId2683" display="https://www.daloopa.com/src/58990261" xr:uid="{33671735-E2BD-4066-A42C-13BD6907F264}"/>
    <hyperlink ref="P590" r:id="rId2684" display="https://www.daloopa.com/src/59372596" xr:uid="{1483ECD3-96AA-4E9B-B4E9-F01713174D4B}"/>
    <hyperlink ref="A591" r:id="rId2685" xr:uid="{B24D5459-F8E4-494C-B5B8-01EEEED9BB16}"/>
    <hyperlink ref="J591" r:id="rId2686" display="https://www.daloopa.com/src/58992494" xr:uid="{830E1278-9008-4C2B-ABF8-263037B7E4D0}"/>
    <hyperlink ref="N591" r:id="rId2687" display="https://www.daloopa.com/src/58992293" xr:uid="{E0274C98-F662-4EAB-AD35-D70AAF00E6CD}"/>
    <hyperlink ref="O591" r:id="rId2688" display="https://www.daloopa.com/src/58990264" xr:uid="{118AC3CD-29D1-4FDA-86FB-C87177B0ED11}"/>
    <hyperlink ref="P591" r:id="rId2689" display="https://www.daloopa.com/src/59372592" xr:uid="{62DD24AA-736C-4F90-8957-CDB544B3C19F}"/>
    <hyperlink ref="A592" r:id="rId2690" xr:uid="{CD560C8D-B69F-4471-97FF-C0930870B663}"/>
    <hyperlink ref="J592" r:id="rId2691" display="https://www.daloopa.com/src/58992495" xr:uid="{F2BE80A7-3291-4E02-87A1-C9D39CC9D27C}"/>
    <hyperlink ref="N592" r:id="rId2692" display="https://www.daloopa.com/src/58992294" xr:uid="{67A9FD13-7896-4636-810F-14049695AEAF}"/>
    <hyperlink ref="O592" r:id="rId2693" display="https://www.daloopa.com/src/58990257" xr:uid="{7EA56700-B09E-4F80-B8A6-11E45F759E4D}"/>
    <hyperlink ref="P592" r:id="rId2694" display="https://www.daloopa.com/src/59372591" xr:uid="{4D1EA459-E4BB-47D9-928A-D16B2C4E1FB3}"/>
    <hyperlink ref="A594" r:id="rId2695" xr:uid="{CC47A6F4-94FC-4229-B6F8-6069C14725EB}"/>
    <hyperlink ref="O594" r:id="rId2696" display="https://www.daloopa.com/src/58990265" xr:uid="{AC27B320-D40F-4D80-B62E-03238EFC77DD}"/>
    <hyperlink ref="P594" r:id="rId2697" display="https://www.daloopa.com/src/59372590" xr:uid="{91540946-DF5A-41AE-8691-0D39FDF3622B}"/>
    <hyperlink ref="A595" r:id="rId2698" xr:uid="{53227896-D441-46BE-95A9-5849F7BB27A7}"/>
    <hyperlink ref="O595" r:id="rId2699" display="https://www.daloopa.com/src/58990263" xr:uid="{E808D8B1-D671-41E2-B9B5-9999C87466F2}"/>
    <hyperlink ref="P595" r:id="rId2700" display="https://www.daloopa.com/src/59372589" xr:uid="{3C8EF70E-E8A9-4EFD-81E0-96067619CC90}"/>
    <hyperlink ref="A598" r:id="rId2701" xr:uid="{4D699E3C-E0D1-4CC8-8642-220E562A6AAD}"/>
    <hyperlink ref="O598" r:id="rId2702" display="https://www.daloopa.com/src/58992572" xr:uid="{60BD8357-6098-4709-B4AF-736E2ACA8D49}"/>
    <hyperlink ref="P598" r:id="rId2703" display="https://www.daloopa.com/src/59372601" xr:uid="{316FAC4D-319E-4FF8-BCBF-07DB338904D4}"/>
    <hyperlink ref="A599" r:id="rId2704" xr:uid="{9BB9D954-82D7-48F3-AE36-83C546A43BCB}"/>
    <hyperlink ref="O599" r:id="rId2705" display="https://www.daloopa.com/src/58992571" xr:uid="{CC295CC6-ED30-4AAD-AB8B-51DD38A974EB}"/>
    <hyperlink ref="P599" r:id="rId2706" display="https://www.daloopa.com/src/59372602" xr:uid="{978991DB-E921-4DCE-8811-16021F5B5431}"/>
    <hyperlink ref="A600" r:id="rId2707" xr:uid="{8AFF2D0D-68C5-40FA-9DFB-72A4415448A1}"/>
    <hyperlink ref="O600" r:id="rId2708" display="https://www.daloopa.com/src/58992573" xr:uid="{065527E5-4072-481C-9F10-E069F7D2E1B1}"/>
    <hyperlink ref="P600" r:id="rId2709" display="https://www.daloopa.com/src/59372603" xr:uid="{B8585BC7-3C81-4DB0-A852-16AD76432B6B}"/>
    <hyperlink ref="A601" r:id="rId2710" xr:uid="{9B25452F-3DF6-4679-B5DB-768B933716E6}"/>
    <hyperlink ref="O601" r:id="rId2711" display="https://www.daloopa.com/src/58992570" xr:uid="{D7979481-E511-4C4E-8C7F-C0B464899E92}"/>
    <hyperlink ref="P601" r:id="rId2712" display="https://www.daloopa.com/src/59372605" xr:uid="{E941B28B-5588-4311-9677-46CD544E94E6}"/>
    <hyperlink ref="A602" r:id="rId2713" xr:uid="{36657038-8BC9-47EA-8FD0-3A8DD3CD3AF3}"/>
    <hyperlink ref="O602" r:id="rId2714" display="https://www.daloopa.com/src/58992569" xr:uid="{9A3A3409-1036-4360-A152-72828E4DF198}"/>
    <hyperlink ref="P602" r:id="rId2715" display="https://www.daloopa.com/src/59372604" xr:uid="{6EE5AB7B-3BB5-41D7-8092-75600BD6B8F6}"/>
    <hyperlink ref="A603" r:id="rId2716" xr:uid="{768E0E51-74ED-4AEF-857B-53A44AA3E8B0}"/>
    <hyperlink ref="O603" r:id="rId2717" display="https://www.daloopa.com/src/58992574" xr:uid="{116AA78F-5B80-4CC1-8F9B-7A7C7B9A10E6}"/>
    <hyperlink ref="P603" r:id="rId2718" display="https://www.daloopa.com/src/59372600" xr:uid="{961F9D36-3BF0-4221-85DA-D1B3669DB971}"/>
    <hyperlink ref="A604" r:id="rId2719" xr:uid="{4D845C57-2458-4A54-934C-8564B8B6C0FF}"/>
    <hyperlink ref="O604" r:id="rId2720" display="https://www.daloopa.com/src/58992568" xr:uid="{840557B7-FD38-43BB-99B9-AEC214AE62BD}"/>
    <hyperlink ref="P604" r:id="rId2721" display="https://www.daloopa.com/src/59372599" xr:uid="{34C8BDC2-1A78-498A-8F4A-208A4EB0E774}"/>
    <hyperlink ref="A608" r:id="rId2722" xr:uid="{1E9EF6A9-930D-4754-8711-4C5E22860AC8}"/>
    <hyperlink ref="F608" r:id="rId2723" display="https://www.daloopa.com/src/59004907" xr:uid="{4BDD9DA2-8DD3-4665-B015-CF75D8A5F7B0}"/>
    <hyperlink ref="J608" r:id="rId2724" display="https://www.daloopa.com/src/59004650" xr:uid="{0F861D81-2652-4A21-ADC3-073A0373A5AC}"/>
    <hyperlink ref="K608" r:id="rId2725" display="https://www.daloopa.com/src/59005075" xr:uid="{E796CBFC-A07B-4E9C-BC6A-D35812FC1B82}"/>
    <hyperlink ref="L608" r:id="rId2726" display="https://www.daloopa.com/src/59004655" xr:uid="{9F4681F5-F337-4ECA-99ED-319CA38EEF7D}"/>
    <hyperlink ref="M608" r:id="rId2727" display="https://www.daloopa.com/src/59004623" xr:uid="{7C6CF4DA-9E3A-4476-9887-5B05DBCE9805}"/>
    <hyperlink ref="N608" r:id="rId2728" display="https://www.daloopa.com/src/59004677" xr:uid="{0A60E001-C93E-4997-94E5-DD670D58558D}"/>
    <hyperlink ref="O608" r:id="rId2729" display="https://www.daloopa.com/src/59004588" xr:uid="{7178DC87-523B-4B89-9029-1E80CF6CDCF1}"/>
    <hyperlink ref="P608" r:id="rId2730" display="https://www.daloopa.com/src/59371637" xr:uid="{BF569D28-9846-4898-B2BC-A5A7C19C85FC}"/>
    <hyperlink ref="A609" r:id="rId2731" xr:uid="{673D48AE-438C-44F8-8FF0-8CB76E36AE77}"/>
    <hyperlink ref="F609" r:id="rId2732" display="https://www.daloopa.com/src/59004909" xr:uid="{EA2F50F7-19F9-4914-B548-9F0306793200}"/>
    <hyperlink ref="J609" r:id="rId2733" display="https://www.daloopa.com/src/59004651" xr:uid="{C86F4000-C359-4588-A1FC-16F50B386680}"/>
    <hyperlink ref="K609" r:id="rId2734" display="https://www.daloopa.com/src/59005073" xr:uid="{E5F2E4C3-D2DE-4592-B36E-236C7075FCA8}"/>
    <hyperlink ref="L609" r:id="rId2735" display="https://www.daloopa.com/src/59004657" xr:uid="{7196BF67-8558-4397-9BE8-217CD43A76EC}"/>
    <hyperlink ref="M609" r:id="rId2736" display="https://www.daloopa.com/src/59004624" xr:uid="{164E3892-F123-49F2-A3B0-C43C614DE9C7}"/>
    <hyperlink ref="N609" r:id="rId2737" display="https://www.daloopa.com/src/59004679" xr:uid="{A19B2EED-1845-46E8-9511-A46A43DE1024}"/>
    <hyperlink ref="O609" r:id="rId2738" display="https://www.daloopa.com/src/59004587" xr:uid="{24EC58B0-44F6-4D5F-8BC8-C1F33D296949}"/>
    <hyperlink ref="P609" r:id="rId2739" display="https://www.daloopa.com/src/59371635" xr:uid="{3BEE4B48-131B-4F3D-93EA-0B23D3119D60}"/>
    <hyperlink ref="A610" r:id="rId2740" xr:uid="{8CD66587-0AA8-4C49-87F2-39F43FA2C81E}"/>
    <hyperlink ref="F610" r:id="rId2741" display="https://www.daloopa.com/src/59004908" xr:uid="{5D22C504-816B-410D-BB88-C35527EED5E8}"/>
    <hyperlink ref="J610" r:id="rId2742" display="https://www.daloopa.com/src/59004652" xr:uid="{4646FAEC-D4A3-418F-8391-A321CFA686B1}"/>
    <hyperlink ref="K610" r:id="rId2743" display="https://www.daloopa.com/src/59005074" xr:uid="{22026091-14BA-4C23-BC12-7DECB943AB54}"/>
    <hyperlink ref="L610" r:id="rId2744" display="https://www.daloopa.com/src/59004656" xr:uid="{5BA9B6B0-6568-47CB-9E45-69F79DF5CF81}"/>
    <hyperlink ref="M610" r:id="rId2745" display="https://www.daloopa.com/src/59004622" xr:uid="{D54411D0-C51D-4598-B3D0-20FE9FC5EED9}"/>
    <hyperlink ref="N610" r:id="rId2746" display="https://www.daloopa.com/src/59004678" xr:uid="{02406B81-A6BD-45E4-AB6B-313E1CA4EFF1}"/>
    <hyperlink ref="O610" r:id="rId2747" display="https://www.daloopa.com/src/59004586" xr:uid="{8DD0C508-C47C-4750-93BD-3D1BA19C7A64}"/>
    <hyperlink ref="P610" r:id="rId2748" display="https://www.daloopa.com/src/59371636" xr:uid="{32D1809F-490E-477E-A436-5A0504A63CB7}"/>
    <hyperlink ref="A613" r:id="rId2749" xr:uid="{FE796BD9-B552-4C62-9A46-2BF730DB36CB}"/>
    <hyperlink ref="J613" r:id="rId2750" display="https://www.daloopa.com/src/59006033" xr:uid="{A9C56D49-BF0C-4FF5-A5A1-7D802479253F}"/>
    <hyperlink ref="K613" r:id="rId2751" display="https://www.daloopa.com/src/59005134" xr:uid="{860C6E25-99A9-41D4-B321-BBC8EDDB64BA}"/>
    <hyperlink ref="L613" r:id="rId2752" display="https://www.daloopa.com/src/59005354" xr:uid="{B6643C4B-0142-4024-AFCC-DCB7A8C85E5C}"/>
    <hyperlink ref="M613" r:id="rId2753" display="https://www.daloopa.com/src/59005301" xr:uid="{278F4F4C-C2F4-4BB5-9C09-ECFFD07565F4}"/>
    <hyperlink ref="N613" r:id="rId2754" display="https://www.daloopa.com/src/59005529" xr:uid="{1D8E99CD-F561-491F-9407-F3798C7887E9}"/>
    <hyperlink ref="O613" r:id="rId2755" display="https://www.daloopa.com/src/59005261" xr:uid="{A981F2CA-C282-4BCC-8209-743D1E51E6AA}"/>
    <hyperlink ref="P613" r:id="rId2756" display="https://www.daloopa.com/src/59371640" xr:uid="{FFE32EAE-A243-4888-BCCB-B3D7BD6002FD}"/>
    <hyperlink ref="A614" r:id="rId2757" xr:uid="{68F2B3D3-93A1-4D13-864C-8DE2E10A9BA7}"/>
    <hyperlink ref="F614" r:id="rId2758" display="https://www.daloopa.com/src/59005217" xr:uid="{633A2A86-6376-4FFD-B367-44AF31A3AFBF}"/>
    <hyperlink ref="J614" r:id="rId2759" display="https://www.daloopa.com/src/59006032" xr:uid="{E52C954E-A9A0-4A6E-85E5-AFE3790F4FE8}"/>
    <hyperlink ref="K614" r:id="rId2760" display="https://www.daloopa.com/src/59005136" xr:uid="{C65017E7-77F7-4C6E-93DC-8885172092D7}"/>
    <hyperlink ref="L614" r:id="rId2761" display="https://www.daloopa.com/src/59005356" xr:uid="{913C671B-A381-4D25-B38E-C7DA3684B419}"/>
    <hyperlink ref="M614" r:id="rId2762" display="https://www.daloopa.com/src/59005299" xr:uid="{3E02051D-3428-4A7C-A4A3-AC777DCE2D3F}"/>
    <hyperlink ref="N614" r:id="rId2763" display="https://www.daloopa.com/src/59005530" xr:uid="{E071C6CC-3EC3-4E83-9B93-4800E6D884A1}"/>
    <hyperlink ref="O614" r:id="rId2764" display="https://www.daloopa.com/src/59005259" xr:uid="{49A64955-20CB-46BB-9BFE-49D8E39F64EC}"/>
    <hyperlink ref="P614" r:id="rId2765" display="https://www.daloopa.com/src/59371639" xr:uid="{FF06A9FA-FFAA-4375-8D7D-87CAE5EE7FC5}"/>
    <hyperlink ref="A615" r:id="rId2766" xr:uid="{5FF3D96C-1345-4349-B65D-2FC0E654891E}"/>
    <hyperlink ref="F615" r:id="rId2767" display="https://www.daloopa.com/src/59005216" xr:uid="{3835B3F5-1447-4661-B0A5-79B16A01382E}"/>
    <hyperlink ref="J615" r:id="rId2768" display="https://www.daloopa.com/src/59006034" xr:uid="{3275EE84-87E6-46C0-AEAE-6E904651AE6E}"/>
    <hyperlink ref="K615" r:id="rId2769" display="https://www.daloopa.com/src/59005135" xr:uid="{F86530EB-DAB0-44EB-94E1-8E4FFA33B4DD}"/>
    <hyperlink ref="L615" r:id="rId2770" display="https://www.daloopa.com/src/59005355" xr:uid="{0D63BA11-7A87-46A8-999A-174432505766}"/>
    <hyperlink ref="M615" r:id="rId2771" display="https://www.daloopa.com/src/59005300" xr:uid="{C9253261-2241-47ED-B0FC-1CAF078010AE}"/>
    <hyperlink ref="N615" r:id="rId2772" display="https://www.daloopa.com/src/59005528" xr:uid="{100A37DD-5C93-4AD8-A315-D5C46BAF72E6}"/>
    <hyperlink ref="O615" r:id="rId2773" display="https://www.daloopa.com/src/59005260" xr:uid="{D72654B8-0EE7-4972-9883-A1C4F6AA45DA}"/>
    <hyperlink ref="P615" r:id="rId2774" display="https://www.daloopa.com/src/59371638" xr:uid="{09E47C7F-D20E-425D-B46F-AA079AF4AC93}"/>
    <hyperlink ref="A618" r:id="rId2775" xr:uid="{63B41CAF-4694-409B-A7AD-C0638C8A7C84}"/>
    <hyperlink ref="F618" r:id="rId2776" display="https://www.daloopa.com/src/59006505" xr:uid="{18BDA6BC-F433-4E45-9562-17770DF9B3DA}"/>
    <hyperlink ref="J618" r:id="rId2777" display="https://www.daloopa.com/src/59006351" xr:uid="{A5EF9CB4-02D5-42C4-92F0-56E4A38A4EBD}"/>
    <hyperlink ref="K618" r:id="rId2778" display="https://www.daloopa.com/src/59006649" xr:uid="{27695AAA-FD82-4AA7-B7D9-D7B5ED960CFB}"/>
    <hyperlink ref="L618" r:id="rId2779" display="https://www.daloopa.com/src/59006397" xr:uid="{A243CB7B-61F5-4ED9-8E49-F521473BDAE6}"/>
    <hyperlink ref="M618" r:id="rId2780" display="https://www.daloopa.com/src/59006286" xr:uid="{8979C044-8958-41D5-9D10-FEAD682205FF}"/>
    <hyperlink ref="N618" r:id="rId2781" display="https://www.daloopa.com/src/59006257" xr:uid="{5224E2ED-BC3F-4948-975E-624C7105BEE0}"/>
    <hyperlink ref="O618" r:id="rId2782" display="https://www.daloopa.com/src/59006421" xr:uid="{BB0BE26A-A48A-4A5D-BAF2-4BB9779E8206}"/>
    <hyperlink ref="P618" r:id="rId2783" display="https://www.daloopa.com/src/59371642" xr:uid="{D9C9A277-E2A3-45AC-B916-D2E94D559B00}"/>
    <hyperlink ref="A619" r:id="rId2784" xr:uid="{434BF70E-0170-4491-A046-C502C3F5721C}"/>
    <hyperlink ref="F619" r:id="rId2785" display="https://www.daloopa.com/src/59006506" xr:uid="{1B260B07-0DC7-454D-92AD-6223374BF64C}"/>
    <hyperlink ref="J619" r:id="rId2786" display="https://www.daloopa.com/src/59006353" xr:uid="{54D4D9BC-5EAC-4604-88BF-B5266FD0E0B7}"/>
    <hyperlink ref="K619" r:id="rId2787" display="https://www.daloopa.com/src/59006650" xr:uid="{58B6DAAA-87F9-4EA0-96E2-13A37662C291}"/>
    <hyperlink ref="L619" r:id="rId2788" display="https://www.daloopa.com/src/59006398" xr:uid="{F15DB373-05A5-4B39-96C4-A2A39F671F2F}"/>
    <hyperlink ref="M619" r:id="rId2789" display="https://www.daloopa.com/src/59006284" xr:uid="{8566E3C4-6288-4ABC-8955-F21126ED488C}"/>
    <hyperlink ref="N619" r:id="rId2790" display="https://www.daloopa.com/src/59006256" xr:uid="{3B8997E2-5416-4A06-9B85-5FC53D6ADD77}"/>
    <hyperlink ref="O619" r:id="rId2791" display="https://www.daloopa.com/src/59006420" xr:uid="{B3B4B540-8D03-4D9C-9F58-9F6490E31A9A}"/>
    <hyperlink ref="P619" r:id="rId2792" display="https://www.daloopa.com/src/59371643" xr:uid="{F2D22ACC-3AA2-40C5-B5E7-F90A4A7FF052}"/>
    <hyperlink ref="A620" r:id="rId2793" xr:uid="{73FD5879-08CF-4CB8-84D8-23D2EC6C291F}"/>
    <hyperlink ref="F620" r:id="rId2794" display="https://www.daloopa.com/src/59006504" xr:uid="{5C2DE795-9548-4688-B9BE-945DCCDBD058}"/>
    <hyperlink ref="J620" r:id="rId2795" display="https://www.daloopa.com/src/59006352" xr:uid="{C32BC155-11A8-4372-9771-E515C5CC3729}"/>
    <hyperlink ref="K620" r:id="rId2796" display="https://www.daloopa.com/src/59006648" xr:uid="{2E2999C6-2210-43E2-979F-C66F061F0BB3}"/>
    <hyperlink ref="L620" r:id="rId2797" display="https://www.daloopa.com/src/59006399" xr:uid="{4834967C-5923-426D-AA5C-A8FAEAB0C15B}"/>
    <hyperlink ref="M620" r:id="rId2798" display="https://www.daloopa.com/src/59006285" xr:uid="{EC320577-7633-47FB-8A0A-13A9DF23C987}"/>
    <hyperlink ref="N620" r:id="rId2799" display="https://www.daloopa.com/src/59006255" xr:uid="{0D9D052F-DC42-4BEA-B85E-80F51F9CE622}"/>
    <hyperlink ref="O620" r:id="rId2800" display="https://www.daloopa.com/src/59006422" xr:uid="{921D319F-242E-494B-BDF1-AFDE0844E3C1}"/>
    <hyperlink ref="P620" r:id="rId2801" display="https://www.daloopa.com/src/59371641" xr:uid="{64E44909-5AE7-4330-A525-60E91FCEE584}"/>
    <hyperlink ref="A623" r:id="rId2802" xr:uid="{D21A07EE-51E9-45F6-B51F-BC098B75AE1A}"/>
    <hyperlink ref="F623" r:id="rId2803" display="https://www.daloopa.com/src/58978592" xr:uid="{FD99769D-7F27-4DEA-99D0-A147CF8A8CBA}"/>
    <hyperlink ref="J623" r:id="rId2804" display="https://www.daloopa.com/src/58978533" xr:uid="{6B283B61-91DF-4AD4-A131-7B36F91CA22C}"/>
    <hyperlink ref="K623" r:id="rId2805" display="https://www.daloopa.com/src/58978974" xr:uid="{7AD094D3-C635-4AE9-86EA-D3EA345C1416}"/>
    <hyperlink ref="L623" r:id="rId2806" display="https://www.daloopa.com/src/58978552" xr:uid="{BED30956-E7DA-4B88-AB14-C317CE40CC7C}"/>
    <hyperlink ref="M623" r:id="rId2807" display="https://www.daloopa.com/src/58978550" xr:uid="{FB3D3521-4E53-46F3-972C-67E27A53829D}"/>
    <hyperlink ref="N623" r:id="rId2808" display="https://www.daloopa.com/src/58978528" xr:uid="{C62693EA-8C27-4D6F-91E0-AB6095DD729B}"/>
    <hyperlink ref="O623" r:id="rId2809" display="https://www.daloopa.com/src/58978508" xr:uid="{27A8A3C8-444B-4ED5-813D-C4D2A4D7612D}"/>
    <hyperlink ref="P623" r:id="rId2810" display="https://www.daloopa.com/src/59371997" xr:uid="{5AE7469D-AFF2-43C0-BFEA-B20A3F012EEE}"/>
    <hyperlink ref="A624" r:id="rId2811" xr:uid="{12FE1082-64B1-4C3F-B5AC-DBCC90A757B1}"/>
    <hyperlink ref="F624" r:id="rId2812" display="https://www.daloopa.com/src/58978594" xr:uid="{F62423DC-F5DB-47F1-AD8F-31FFB2199D4F}"/>
    <hyperlink ref="J624" r:id="rId2813" display="https://www.daloopa.com/src/58978538" xr:uid="{39A4B8C3-717A-43E5-8749-893B0F925A5C}"/>
    <hyperlink ref="A625" r:id="rId2814" xr:uid="{635B7C92-F6B8-43B0-8CFB-F80BCDF84A13}"/>
    <hyperlink ref="F625" r:id="rId2815" display="https://www.daloopa.com/src/58978596" xr:uid="{436574F2-1A22-417B-8C0C-855DC0AAB78F}"/>
    <hyperlink ref="J625" r:id="rId2816" display="https://www.daloopa.com/src/58978534" xr:uid="{E4D73A32-85B5-4993-B59E-DD86292FC250}"/>
    <hyperlink ref="K625" r:id="rId2817" display="https://www.daloopa.com/src/58978973" xr:uid="{DBD1CF67-65EA-4621-8BEC-43476B9D99A3}"/>
    <hyperlink ref="L625" r:id="rId2818" display="https://www.daloopa.com/src/58978551" xr:uid="{9B9D7874-1D8F-4DF6-8402-7C5C1A860453}"/>
    <hyperlink ref="M625" r:id="rId2819" display="https://www.daloopa.com/src/58978549" xr:uid="{7F9CDCEB-DB41-4564-B63E-79949F62D849}"/>
    <hyperlink ref="N625" r:id="rId2820" display="https://www.daloopa.com/src/58978531" xr:uid="{DC4DC5B9-84A4-46BE-8CEB-90B690E9C4F6}"/>
    <hyperlink ref="A627" r:id="rId2821" xr:uid="{55EC692C-5BAB-4C7C-8F72-EEC60711C2E1}"/>
    <hyperlink ref="J627" r:id="rId2822" display="https://www.daloopa.com/src/58978537" xr:uid="{B4574689-E6D9-4533-BEBD-221349532C2A}"/>
    <hyperlink ref="K627" r:id="rId2823" display="https://www.daloopa.com/src/58978972" xr:uid="{8BB700A5-65B4-4F51-9E21-DF91F50C4AEE}"/>
    <hyperlink ref="A628" r:id="rId2824" xr:uid="{16078E8B-92CB-4751-8EE7-5440DC8F7761}"/>
    <hyperlink ref="F628" r:id="rId2825" display="https://www.daloopa.com/src/58978593" xr:uid="{C6ACE413-45D4-4F86-85D7-35BCD3B7AFAB}"/>
    <hyperlink ref="J628" r:id="rId2826" display="https://www.daloopa.com/src/58978536" xr:uid="{0E6698F8-5FE4-4489-8978-D17382A6E705}"/>
    <hyperlink ref="K628" r:id="rId2827" display="https://www.daloopa.com/src/58978971" xr:uid="{ECE5FD76-493A-48DA-BF8D-040DD648CA5C}"/>
    <hyperlink ref="L628" r:id="rId2828" display="https://www.daloopa.com/src/58978553" xr:uid="{CD4E8441-FABF-4A0E-B4FD-6ABE1C92F152}"/>
    <hyperlink ref="M628" r:id="rId2829" display="https://www.daloopa.com/src/58978547" xr:uid="{F178748C-640E-4CB7-A8CB-3B56345F766D}"/>
    <hyperlink ref="N628" r:id="rId2830" display="https://www.daloopa.com/src/58978532" xr:uid="{5F49C5B7-76E2-4A58-AD90-4F98D7BB33E7}"/>
    <hyperlink ref="A630" r:id="rId2831" xr:uid="{A421CDD4-C738-45B4-A02F-078925B377A6}"/>
    <hyperlink ref="F630" r:id="rId2832" display="https://www.daloopa.com/src/58978591" xr:uid="{918480D9-2134-465B-A3BA-BD52021D53D4}"/>
    <hyperlink ref="J630" r:id="rId2833" display="https://www.daloopa.com/src/58978539" xr:uid="{FD53701A-EAA8-4AFC-B265-61131E371087}"/>
    <hyperlink ref="K630" r:id="rId2834" display="https://www.daloopa.com/src/58978970" xr:uid="{89F11E42-0AEE-46FA-AC83-6C4FD8838D18}"/>
    <hyperlink ref="L630" r:id="rId2835" display="https://www.daloopa.com/src/58978554" xr:uid="{904A8E40-C6D6-44DD-98C7-12E3E7D17BA7}"/>
    <hyperlink ref="M630" r:id="rId2836" display="https://www.daloopa.com/src/58978546" xr:uid="{9990EE03-5E06-49F2-86C3-8938C396F6E3}"/>
    <hyperlink ref="N630" r:id="rId2837" display="https://www.daloopa.com/src/58978530" xr:uid="{3DFDB79F-3E25-4FF5-85F0-220050A176F2}"/>
    <hyperlink ref="O630" r:id="rId2838" display="https://www.daloopa.com/src/58978509" xr:uid="{93388000-C53D-462F-A73A-9AE390E24ABB}"/>
    <hyperlink ref="P630" r:id="rId2839" display="https://www.daloopa.com/src/59371998" xr:uid="{BE9BA3B6-D6A5-4B5D-AC74-B7EE1DB7BBD0}"/>
    <hyperlink ref="A631" r:id="rId2840" xr:uid="{2D95509C-B464-4EA4-B096-6E3A7B5ABE7E}"/>
    <hyperlink ref="F631" r:id="rId2841" display="https://www.daloopa.com/src/58978595" xr:uid="{D36E673C-C50E-4E36-941B-83624E2F3695}"/>
    <hyperlink ref="J631" r:id="rId2842" display="https://www.daloopa.com/src/58978535" xr:uid="{49EE8C52-8740-4D28-95DC-6EACAD086FF1}"/>
    <hyperlink ref="K631" r:id="rId2843" display="https://www.daloopa.com/src/58978969" xr:uid="{6E31F6B6-4238-40ED-BD19-940D9A4FDB54}"/>
    <hyperlink ref="L631" r:id="rId2844" display="https://www.daloopa.com/src/58978555" xr:uid="{C3FE56AD-83F8-433B-A084-DF6404896B7F}"/>
    <hyperlink ref="M631" r:id="rId2845" display="https://www.daloopa.com/src/58978548" xr:uid="{E25EC3DD-A2C2-466A-8566-D5A410835FEE}"/>
    <hyperlink ref="N631" r:id="rId2846" display="https://www.daloopa.com/src/58978529" xr:uid="{4BA0BE88-287B-44D8-9CFF-245269BBD34D}"/>
    <hyperlink ref="O631" r:id="rId2847" display="https://www.daloopa.com/src/58978507" xr:uid="{6A700AFF-6FBA-43E6-8FB1-5ACF6FAA7EA7}"/>
    <hyperlink ref="P631" r:id="rId2848" display="https://www.daloopa.com/src/59371999" xr:uid="{5F18AD28-67E0-43F8-9DD7-2FDEB9B1629C}"/>
    <hyperlink ref="A634" r:id="rId2849" xr:uid="{998BB393-21CD-4191-8707-D417145D6369}"/>
    <hyperlink ref="L634" r:id="rId2850" display="https://www.daloopa.com/src/59084477" xr:uid="{3732C220-C876-4BBB-A4BC-EC5D61C01516}"/>
    <hyperlink ref="M634" r:id="rId2851" display="https://www.daloopa.com/src/59084426" xr:uid="{B4E74002-9B17-43AA-A92E-B4E5D0A2A2B0}"/>
    <hyperlink ref="O634" r:id="rId2852" display="https://www.daloopa.com/src/59084398" xr:uid="{4CA9318F-7103-4F01-84AC-9AB68C491C99}"/>
    <hyperlink ref="P634" r:id="rId2853" display="https://www.daloopa.com/src/59373928" xr:uid="{D03BF35A-C76E-4BB3-9B7F-9815AC920F17}"/>
    <hyperlink ref="S634" r:id="rId2854" display="https://www.daloopa.com/src/59085032" xr:uid="{C9FCECF3-652D-47F8-9A20-4259D70057CE}"/>
    <hyperlink ref="T634" r:id="rId2855" display="https://www.daloopa.com/src/59084777" xr:uid="{5ADECA46-D5A6-4031-AE03-FFACE4F04C12}"/>
    <hyperlink ref="A635" r:id="rId2856" xr:uid="{8E43010A-FDED-4B0E-B65E-0D615F42DE2A}"/>
    <hyperlink ref="K635" r:id="rId2857" display="https://www.daloopa.com/src/59085081" xr:uid="{0CF38768-2DF7-4377-B377-A8C85B5ACD35}"/>
    <hyperlink ref="L635" r:id="rId2858" display="https://www.daloopa.com/src/59084476" xr:uid="{598123FB-DE6A-4126-9412-A80814B8551D}"/>
    <hyperlink ref="M635" r:id="rId2859" display="https://www.daloopa.com/src/59084425" xr:uid="{107BE2F3-F09D-4D49-AEDB-0D1C196AEBA1}"/>
    <hyperlink ref="N635" r:id="rId2860" display="https://www.daloopa.com/src/59379437" xr:uid="{505574DB-4569-4270-AA28-582F0A7AE977}"/>
    <hyperlink ref="O635" r:id="rId2861" display="https://www.daloopa.com/src/59084400" xr:uid="{7714F5C9-D93D-48C9-9101-7F28C5D5010C}"/>
    <hyperlink ref="P635" r:id="rId2862" display="https://www.daloopa.com/src/59373927" xr:uid="{3B70FB36-641D-4B37-BCCA-044F9E009B52}"/>
    <hyperlink ref="S635" r:id="rId2863" display="https://www.daloopa.com/src/59085030" xr:uid="{14B8EC95-67AB-4A08-A0FD-273BBE3CECFF}"/>
    <hyperlink ref="T635" r:id="rId2864" display="https://www.daloopa.com/src/59084776" xr:uid="{B74B0A21-50F7-4484-83AA-CE518BAA8600}"/>
    <hyperlink ref="A636" r:id="rId2865" xr:uid="{7939E7A2-8D34-47A8-ACC6-798275A30B7D}"/>
    <hyperlink ref="K636" r:id="rId2866" display="https://www.daloopa.com/src/59085082" xr:uid="{7E5F8E17-481E-4343-8CA2-459B86C5A795}"/>
    <hyperlink ref="O636" r:id="rId2867" display="https://www.daloopa.com/src/59084399" xr:uid="{F1DA7DFB-0866-4DDE-939E-8FD718D4B888}"/>
    <hyperlink ref="T636" r:id="rId2868" display="https://www.daloopa.com/src/59084775" xr:uid="{DA96B0A6-B819-4F6E-B5D7-5E59C0E69B9F}"/>
    <hyperlink ref="A637" r:id="rId2869" xr:uid="{1457B52F-9357-48A6-ADD4-D0C5A3BC5089}"/>
    <hyperlink ref="S637" r:id="rId2870" display="https://www.daloopa.com/src/59085031" xr:uid="{0C3A160E-2D78-4550-BB8E-411E5117E4B2}"/>
    <hyperlink ref="A640" r:id="rId2871" xr:uid="{3E0BF423-11E0-47B9-97EB-27ECAA470E98}"/>
    <hyperlink ref="K640" r:id="rId2872" display="https://www.daloopa.com/src/59085232" xr:uid="{B885EAB7-8B5E-4A29-873C-BD92B1303279}"/>
    <hyperlink ref="L640" r:id="rId2873" display="https://www.daloopa.com/src/59085415" xr:uid="{D1C04AF9-1F13-4E09-8F55-346FB1D07E28}"/>
    <hyperlink ref="M640" r:id="rId2874" display="https://www.daloopa.com/src/59085330" xr:uid="{E76509EA-482E-4293-9CC7-986D60EEC2EF}"/>
    <hyperlink ref="O640" r:id="rId2875" display="https://www.daloopa.com/src/59085262" xr:uid="{0E910240-E40E-40DD-A15D-83818DC418BF}"/>
    <hyperlink ref="S640" r:id="rId2876" display="https://www.daloopa.com/src/59085250" xr:uid="{39CABBC4-ABFC-4CF7-B868-7247D605F7A7}"/>
    <hyperlink ref="A641" r:id="rId2877" xr:uid="{4C70572B-0405-48C0-AB1E-29F67DBA081F}"/>
    <hyperlink ref="M641" r:id="rId2878" display="https://www.daloopa.com/src/59085328" xr:uid="{5EEBCD08-243F-44C4-BAC6-BA80B80FC288}"/>
    <hyperlink ref="A642" r:id="rId2879" xr:uid="{E36CE582-1666-4E40-908D-8F6D682368D9}"/>
    <hyperlink ref="T642" r:id="rId2880" display="https://www.daloopa.com/src/59085461" xr:uid="{3EF9AEBF-4E7D-491A-A7C1-2FC3706F8E3D}"/>
    <hyperlink ref="A643" r:id="rId2881" xr:uid="{3117365F-DCBD-45C2-AF69-AD8CC2505673}"/>
    <hyperlink ref="L643" r:id="rId2882" display="https://www.daloopa.com/src/59085416" xr:uid="{7C1DD75B-7E78-4598-BFE8-58578C7CCFCF}"/>
    <hyperlink ref="M643" r:id="rId2883" display="https://www.daloopa.com/src/59085329" xr:uid="{C7957BD3-C541-4D9C-AC8D-EBD7E5A87C8A}"/>
    <hyperlink ref="O643" r:id="rId2884" display="https://www.daloopa.com/src/59085263" xr:uid="{06A51D91-47AB-4D7E-A2D8-41101701765E}"/>
    <hyperlink ref="P643" r:id="rId2885" display="https://www.daloopa.com/src/59373950" xr:uid="{1511F5E3-237E-4589-93E0-2D2CBB367B07}"/>
    <hyperlink ref="T643" r:id="rId2886" display="https://www.daloopa.com/src/59085462" xr:uid="{FFDD5C25-9F92-4224-ACA3-5B386BB2DCAB}"/>
    <hyperlink ref="A644" r:id="rId2887" xr:uid="{17CA8198-2052-4693-8776-23CD4A00621C}"/>
    <hyperlink ref="T644" r:id="rId2888" display="https://www.daloopa.com/src/59085460" xr:uid="{A3815CDF-00F6-44D8-B1A4-BB1D75EE78B3}"/>
    <hyperlink ref="A647" r:id="rId2889" xr:uid="{C347207B-BF7D-4907-B856-86E02AA92EC9}"/>
    <hyperlink ref="L647" r:id="rId2890" display="https://www.daloopa.com/src/59091623" xr:uid="{5CCE779F-E346-41CC-AFBF-2AE397678371}"/>
    <hyperlink ref="M647" r:id="rId2891" display="https://www.daloopa.com/src/59091493" xr:uid="{49730C47-83AF-48E5-87E7-52CCC359B2B6}"/>
    <hyperlink ref="O647" r:id="rId2892" display="https://www.daloopa.com/src/59091250" xr:uid="{3F1EEF4A-BD33-4B46-A3EB-5A5B9B629D06}"/>
    <hyperlink ref="P647" r:id="rId2893" display="https://www.daloopa.com/src/59373957" xr:uid="{EBE223F5-7DD4-4A09-A0AB-091F802CAC06}"/>
    <hyperlink ref="T647" r:id="rId2894" display="https://www.daloopa.com/src/59086311" xr:uid="{DB651084-FD79-4019-84C3-0055B4858EDA}"/>
    <hyperlink ref="A648" r:id="rId2895" xr:uid="{5DD956A7-A070-46F8-BC18-839756A8248B}"/>
    <hyperlink ref="K648" r:id="rId2896" display="https://www.daloopa.com/src/59092033" xr:uid="{0E8C3778-CCE2-4CCC-97F3-0FC67AF44495}"/>
    <hyperlink ref="M648" r:id="rId2897" display="https://www.daloopa.com/src/59091492" xr:uid="{CE97E5AD-9BAA-4F94-B7AF-DEADEE32EB30}"/>
    <hyperlink ref="O648" r:id="rId2898" display="https://www.daloopa.com/src/59091251" xr:uid="{E32CEED4-D8BA-40CD-BDCE-5090ACF732E6}"/>
    <hyperlink ref="T648" r:id="rId2899" display="https://www.daloopa.com/src/59086310" xr:uid="{C2ABA5C2-EE09-4768-94D1-84B47281B5E0}"/>
    <hyperlink ref="A649" r:id="rId2900" xr:uid="{401AEF4F-594E-4EF7-AAD6-E1EB7B861DCF}"/>
    <hyperlink ref="K649" r:id="rId2901" display="https://www.daloopa.com/src/59092034" xr:uid="{F8F1AB5F-3781-4FF1-A2BA-2249B8A11CF9}"/>
    <hyperlink ref="L649" r:id="rId2902" display="https://www.daloopa.com/src/59091621" xr:uid="{12B6BAA7-1FA8-4DDE-90A0-BB42AB57C566}"/>
    <hyperlink ref="M649" r:id="rId2903" display="https://www.daloopa.com/src/59091491" xr:uid="{F5E5AA3D-31CD-472B-97FC-EF2DAD69949D}"/>
    <hyperlink ref="N649" r:id="rId2904" display="https://www.daloopa.com/src/59751944" xr:uid="{75E1C001-B4B8-499D-9645-E721C0BF8E12}"/>
    <hyperlink ref="O649" r:id="rId2905" display="https://www.daloopa.com/src/59091249" xr:uid="{4D12245C-BD82-4848-9F0B-953373CE0CEE}"/>
    <hyperlink ref="P649" r:id="rId2906" display="https://www.daloopa.com/src/59373955" xr:uid="{BDB73385-48C5-4316-AF55-0C1490CD86AB}"/>
    <hyperlink ref="S649" r:id="rId2907" display="https://www.daloopa.com/src/59091782" xr:uid="{14D9F63A-675A-4102-9689-51A651B5C76C}"/>
    <hyperlink ref="T649" r:id="rId2908" display="https://www.daloopa.com/src/59086313" xr:uid="{0E6580F1-7125-432E-A52D-2FCD527BC8D6}"/>
    <hyperlink ref="A650" r:id="rId2909" xr:uid="{D5455DBD-5895-479C-ACDB-EB406648899E}"/>
    <hyperlink ref="L650" r:id="rId2910" display="https://www.daloopa.com/src/59091622" xr:uid="{B19526F9-ADFF-484C-8D67-94072AEBE69B}"/>
    <hyperlink ref="M650" r:id="rId2911" display="https://www.daloopa.com/src/59091495" xr:uid="{D7F36D76-F8B0-4528-9FB3-1AA4DB9ED89C}"/>
    <hyperlink ref="O650" r:id="rId2912" display="https://www.daloopa.com/src/59091248" xr:uid="{56E86E91-643A-4B02-899F-7C977600C974}"/>
    <hyperlink ref="T650" r:id="rId2913" display="https://www.daloopa.com/src/59086312" xr:uid="{F8506BD7-3E60-46E9-9D53-8CC34C9D7E9D}"/>
    <hyperlink ref="A651" r:id="rId2914" xr:uid="{DF840274-38E4-40C6-BAB6-66D606CD7914}"/>
    <hyperlink ref="L651" r:id="rId2915" display="https://www.daloopa.com/src/59091620" xr:uid="{1DC8CC07-37AD-4226-A172-4BA3A8ABB460}"/>
    <hyperlink ref="M651" r:id="rId2916" display="https://www.daloopa.com/src/59091494" xr:uid="{AE7EEED1-F26F-41F7-B59A-1EDD2AE67958}"/>
    <hyperlink ref="S651" r:id="rId2917" display="https://www.daloopa.com/src/59091781" xr:uid="{A97847D0-A1E1-4A4E-8C79-56DEB3496902}"/>
    <hyperlink ref="T651" r:id="rId2918" display="https://www.daloopa.com/src/59086314" xr:uid="{485C4D2C-BB6A-4A87-A868-14A81CC81F6D}"/>
    <hyperlink ref="A652" r:id="rId2919" xr:uid="{050395DE-33E6-4AC3-98FB-4D2986063CE2}"/>
    <hyperlink ref="P652" r:id="rId2920" display="https://www.daloopa.com/src/59373958" xr:uid="{9A5ABDB8-F2A6-4F1D-BAC9-C93FF925C0C1}"/>
    <hyperlink ref="S652" r:id="rId2921" display="https://www.daloopa.com/src/59091780" xr:uid="{068489E0-61E7-48A3-8965-A7E329120955}"/>
    <hyperlink ref="A653" r:id="rId2922" xr:uid="{6C44E479-A8FA-4287-9E72-3AE979E88DAF}"/>
    <hyperlink ref="P653" r:id="rId2923" display="https://www.daloopa.com/src/59373959" xr:uid="{F87AF8A9-41EE-4C51-90A1-A5C142669086}"/>
    <hyperlink ref="A654" r:id="rId2924" xr:uid="{065027E0-CAFE-4E06-858D-978322B7388C}"/>
    <hyperlink ref="P654" r:id="rId2925" display="https://www.daloopa.com/src/59373956" xr:uid="{72CA3DDD-A702-4D4A-BA4F-67E8839E57CE}"/>
    <hyperlink ref="K69:L69" r:id="rId2926" display="https://www.daloopa.com/src/58977060" xr:uid="{2D32C22D-BD7E-43A8-975F-D1569888186A}"/>
  </hyperlinks>
  <pageMargins left="0.7" right="0.7" top="0.75" bottom="0.75" header="0.3" footer="0.3"/>
  <legacyDrawing r:id="rId2927"/>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F1A3D-8414-411C-AE36-B88180E4699C}">
  <dimension ref="A1:BT360"/>
  <sheetViews>
    <sheetView zoomScale="70" zoomScaleNormal="70" workbookViewId="0">
      <pane xSplit="2" ySplit="6" topLeftCell="G131" activePane="bottomRight" state="frozen"/>
      <selection pane="topRight" activeCell="C1" sqref="C1"/>
      <selection pane="bottomLeft" activeCell="A7" sqref="A7"/>
      <selection pane="bottomRight" activeCell="T167" sqref="T167"/>
    </sheetView>
  </sheetViews>
  <sheetFormatPr defaultColWidth="9.1796875" defaultRowHeight="14" outlineLevelRow="1" outlineLevelCol="1" x14ac:dyDescent="0.3"/>
  <cols>
    <col min="1" max="1" width="2" style="118" customWidth="1"/>
    <col min="2" max="2" width="56.81640625" style="118" customWidth="1"/>
    <col min="3" max="3" width="1.7265625" style="118" customWidth="1"/>
    <col min="4" max="4" width="10" style="118" customWidth="1"/>
    <col min="5" max="5" width="1.81640625" style="118" customWidth="1"/>
    <col min="6" max="6" width="10" style="118" customWidth="1"/>
    <col min="7" max="7" width="1.81640625" style="118" customWidth="1"/>
    <col min="8" max="11" width="10" style="118" customWidth="1" outlineLevel="1"/>
    <col min="12" max="12" width="10" style="118" customWidth="1"/>
    <col min="13" max="13" width="1.81640625" style="118" customWidth="1"/>
    <col min="14" max="17" width="10" style="118" customWidth="1" outlineLevel="1"/>
    <col min="18" max="18" width="10" style="118" customWidth="1"/>
    <col min="19" max="19" width="1.81640625" style="118" customWidth="1"/>
    <col min="20" max="23" width="10" style="118" customWidth="1" outlineLevel="1"/>
    <col min="24" max="24" width="10" style="118" customWidth="1"/>
    <col min="25" max="25" width="1.81640625" style="118" customWidth="1"/>
    <col min="26" max="29" width="10.1796875" style="118" customWidth="1" outlineLevel="1"/>
    <col min="30" max="30" width="10.1796875" style="118" customWidth="1"/>
    <col min="31" max="31" width="1.81640625" style="118" customWidth="1"/>
    <col min="32" max="35" width="10.1796875" style="118" customWidth="1" outlineLevel="1"/>
    <col min="36" max="36" width="10" style="118" customWidth="1"/>
    <col min="37" max="37" width="1.81640625" style="118" customWidth="1"/>
    <col min="38" max="41" width="10.1796875" style="118" customWidth="1" outlineLevel="1"/>
    <col min="42" max="42" width="10" style="118" customWidth="1"/>
    <col min="43" max="43" width="9.7265625" style="118" customWidth="1"/>
    <col min="44" max="44" width="24.54296875" style="118" customWidth="1" outlineLevel="1"/>
    <col min="45" max="45" width="11.81640625" style="118" customWidth="1" outlineLevel="1"/>
    <col min="46" max="46" width="8" style="118" customWidth="1" outlineLevel="1"/>
    <col min="47" max="47" width="15.7265625" style="118" bestFit="1" customWidth="1"/>
    <col min="48" max="51" width="9.7265625" style="118" customWidth="1"/>
    <col min="52" max="52" width="15.1796875" style="118" customWidth="1"/>
    <col min="53" max="55" width="15.1796875" style="119" customWidth="1"/>
    <col min="56" max="57" width="11.1796875" style="118" hidden="1" customWidth="1"/>
    <col min="58" max="70" width="9.7265625" style="118" customWidth="1"/>
    <col min="71" max="72" width="0.81640625" style="118" customWidth="1"/>
    <col min="73" max="16384" width="9.1796875" style="118"/>
  </cols>
  <sheetData>
    <row r="1" spans="1:70" x14ac:dyDescent="0.3">
      <c r="A1" s="117" t="s">
        <v>1709</v>
      </c>
    </row>
    <row r="2" spans="1:70" x14ac:dyDescent="0.3">
      <c r="A2" s="117" t="s">
        <v>1710</v>
      </c>
      <c r="B2" s="120"/>
    </row>
    <row r="4" spans="1:70" ht="17" x14ac:dyDescent="0.6">
      <c r="C4" s="121"/>
      <c r="D4" s="122"/>
      <c r="E4" s="123"/>
      <c r="F4" s="124"/>
      <c r="G4" s="123"/>
      <c r="H4" s="123">
        <v>43555</v>
      </c>
      <c r="I4" s="123">
        <v>43646</v>
      </c>
      <c r="J4" s="123">
        <v>43738</v>
      </c>
      <c r="K4" s="123">
        <v>43830</v>
      </c>
      <c r="L4" s="124"/>
      <c r="M4" s="123"/>
      <c r="N4" s="123">
        <v>43921</v>
      </c>
      <c r="O4" s="123">
        <v>44012</v>
      </c>
      <c r="P4" s="123">
        <v>44104</v>
      </c>
      <c r="Q4" s="123">
        <v>44196</v>
      </c>
      <c r="R4" s="122"/>
      <c r="S4" s="123"/>
      <c r="T4" s="123">
        <v>44286</v>
      </c>
      <c r="U4" s="123">
        <v>44377</v>
      </c>
      <c r="V4" s="123">
        <v>44469</v>
      </c>
      <c r="W4" s="123">
        <v>44561</v>
      </c>
      <c r="X4" s="122"/>
      <c r="Y4" s="123"/>
      <c r="Z4" s="123">
        <v>44651</v>
      </c>
      <c r="AA4" s="123">
        <v>44742</v>
      </c>
      <c r="AB4" s="123">
        <v>44834</v>
      </c>
      <c r="AC4" s="123">
        <v>44926</v>
      </c>
      <c r="AD4" s="122"/>
      <c r="AE4" s="123"/>
      <c r="AF4" s="123">
        <v>45016</v>
      </c>
      <c r="AG4" s="123">
        <v>45107</v>
      </c>
      <c r="AH4" s="123">
        <v>45199</v>
      </c>
      <c r="AI4" s="123">
        <v>45291</v>
      </c>
      <c r="AJ4" s="122"/>
      <c r="AK4" s="123"/>
      <c r="AL4" s="123">
        <v>45382</v>
      </c>
      <c r="AM4" s="123">
        <v>45473</v>
      </c>
      <c r="AN4" s="123">
        <v>45565</v>
      </c>
      <c r="AO4" s="123">
        <v>45657</v>
      </c>
      <c r="AP4" s="122"/>
      <c r="AQ4" s="125"/>
      <c r="AR4" s="126"/>
      <c r="AS4" s="126"/>
      <c r="AT4" s="126"/>
      <c r="AU4" s="126"/>
      <c r="AV4" s="126"/>
      <c r="AW4" s="126"/>
      <c r="AX4" s="126"/>
      <c r="AY4" s="126"/>
      <c r="AZ4" s="126"/>
      <c r="BA4" s="127"/>
      <c r="BC4" s="128"/>
      <c r="BD4" s="126"/>
      <c r="BE4" s="126"/>
      <c r="BF4" s="125"/>
      <c r="BG4" s="126"/>
      <c r="BH4" s="126"/>
      <c r="BI4" s="126"/>
      <c r="BJ4" s="126"/>
      <c r="BK4" s="126"/>
      <c r="BL4" s="126"/>
      <c r="BM4" s="126"/>
      <c r="BN4" s="126"/>
      <c r="BO4" s="126"/>
      <c r="BP4" s="126"/>
      <c r="BQ4" s="126"/>
      <c r="BR4" s="126"/>
    </row>
    <row r="5" spans="1:70" ht="17" x14ac:dyDescent="0.6">
      <c r="C5" s="121"/>
      <c r="D5" s="129"/>
      <c r="E5" s="130"/>
      <c r="F5" s="129"/>
      <c r="G5" s="130"/>
      <c r="H5" s="130" t="s">
        <v>1711</v>
      </c>
      <c r="I5" s="130"/>
      <c r="J5" s="131"/>
      <c r="K5" s="131"/>
      <c r="L5" s="129"/>
      <c r="M5" s="130"/>
      <c r="N5" s="130" t="s">
        <v>1712</v>
      </c>
      <c r="O5" s="130"/>
      <c r="P5" s="131"/>
      <c r="Q5" s="131"/>
      <c r="R5" s="129"/>
      <c r="S5" s="130"/>
      <c r="T5" s="130" t="s">
        <v>1713</v>
      </c>
      <c r="U5" s="130"/>
      <c r="V5" s="131"/>
      <c r="W5" s="131"/>
      <c r="X5" s="129"/>
      <c r="Y5" s="130"/>
      <c r="Z5" s="130" t="s">
        <v>1714</v>
      </c>
      <c r="AA5" s="130"/>
      <c r="AB5" s="131"/>
      <c r="AC5" s="131"/>
      <c r="AD5" s="129"/>
      <c r="AE5" s="130"/>
      <c r="AF5" s="130" t="s">
        <v>1715</v>
      </c>
      <c r="AG5" s="130"/>
      <c r="AH5" s="131"/>
      <c r="AI5" s="131"/>
      <c r="AJ5" s="129"/>
      <c r="AK5" s="130"/>
      <c r="AL5" s="130" t="s">
        <v>1716</v>
      </c>
      <c r="AM5" s="130"/>
      <c r="AN5" s="131"/>
      <c r="AO5" s="131"/>
      <c r="AP5" s="129"/>
      <c r="AQ5" s="125"/>
      <c r="AR5" s="126"/>
      <c r="AS5" s="126"/>
      <c r="AT5" s="126"/>
      <c r="AU5" s="126"/>
      <c r="AV5" s="126"/>
      <c r="AW5" s="126"/>
      <c r="AX5" s="126"/>
      <c r="AY5" s="126"/>
      <c r="AZ5" s="126"/>
      <c r="BA5" s="127"/>
      <c r="BC5" s="128"/>
      <c r="BD5" s="126"/>
      <c r="BE5" s="126"/>
      <c r="BF5" s="125"/>
      <c r="BG5" s="126"/>
      <c r="BH5" s="126"/>
      <c r="BI5" s="126"/>
      <c r="BJ5" s="126"/>
      <c r="BK5" s="126"/>
      <c r="BL5" s="126"/>
      <c r="BM5" s="126"/>
      <c r="BN5" s="126"/>
      <c r="BO5" s="126"/>
      <c r="BP5" s="126"/>
      <c r="BQ5" s="126"/>
      <c r="BR5" s="126"/>
    </row>
    <row r="6" spans="1:70" s="132" customFormat="1" ht="17" x14ac:dyDescent="0.6">
      <c r="B6" s="133" t="s">
        <v>1717</v>
      </c>
      <c r="D6" s="134" t="s">
        <v>1718</v>
      </c>
      <c r="E6" s="135"/>
      <c r="F6" s="134" t="s">
        <v>1719</v>
      </c>
      <c r="G6" s="135"/>
      <c r="H6" s="135" t="s">
        <v>1720</v>
      </c>
      <c r="I6" s="135" t="s">
        <v>1721</v>
      </c>
      <c r="J6" s="135" t="s">
        <v>1722</v>
      </c>
      <c r="K6" s="135" t="s">
        <v>1723</v>
      </c>
      <c r="L6" s="134" t="s">
        <v>1711</v>
      </c>
      <c r="M6" s="135"/>
      <c r="N6" s="135" t="s">
        <v>1724</v>
      </c>
      <c r="O6" s="135" t="s">
        <v>1725</v>
      </c>
      <c r="P6" s="135" t="s">
        <v>1726</v>
      </c>
      <c r="Q6" s="135" t="s">
        <v>1727</v>
      </c>
      <c r="R6" s="134" t="s">
        <v>1712</v>
      </c>
      <c r="S6" s="135"/>
      <c r="T6" s="135" t="s">
        <v>1728</v>
      </c>
      <c r="U6" s="135" t="s">
        <v>1729</v>
      </c>
      <c r="V6" s="135" t="s">
        <v>1730</v>
      </c>
      <c r="W6" s="135" t="s">
        <v>1731</v>
      </c>
      <c r="X6" s="134" t="s">
        <v>1713</v>
      </c>
      <c r="Y6" s="135"/>
      <c r="Z6" s="135" t="s">
        <v>1732</v>
      </c>
      <c r="AA6" s="135" t="s">
        <v>1733</v>
      </c>
      <c r="AB6" s="135" t="s">
        <v>1734</v>
      </c>
      <c r="AC6" s="135" t="s">
        <v>1735</v>
      </c>
      <c r="AD6" s="134" t="s">
        <v>1714</v>
      </c>
      <c r="AE6" s="135"/>
      <c r="AF6" s="135" t="s">
        <v>1736</v>
      </c>
      <c r="AG6" s="135" t="s">
        <v>1737</v>
      </c>
      <c r="AH6" s="135" t="s">
        <v>1738</v>
      </c>
      <c r="AI6" s="135" t="s">
        <v>1739</v>
      </c>
      <c r="AJ6" s="134" t="s">
        <v>1715</v>
      </c>
      <c r="AK6" s="135"/>
      <c r="AL6" s="135" t="s">
        <v>1740</v>
      </c>
      <c r="AM6" s="135" t="s">
        <v>1741</v>
      </c>
      <c r="AN6" s="135" t="s">
        <v>1742</v>
      </c>
      <c r="AO6" s="135" t="s">
        <v>1743</v>
      </c>
      <c r="AP6" s="134" t="s">
        <v>1716</v>
      </c>
      <c r="AQ6" s="136"/>
      <c r="AR6"/>
      <c r="AS6"/>
      <c r="AT6"/>
      <c r="AU6"/>
      <c r="AV6"/>
      <c r="AW6"/>
      <c r="AX6"/>
      <c r="AY6"/>
      <c r="AZ6"/>
      <c r="BA6"/>
      <c r="BB6"/>
      <c r="BC6"/>
      <c r="BD6" s="137"/>
      <c r="BE6" s="137"/>
      <c r="BF6" s="136"/>
      <c r="BG6" s="136"/>
      <c r="BH6" s="138"/>
      <c r="BI6" s="137"/>
      <c r="BJ6" s="137"/>
      <c r="BK6" s="137"/>
      <c r="BL6" s="136"/>
      <c r="BM6" s="138"/>
      <c r="BN6" s="137"/>
      <c r="BO6" s="137"/>
      <c r="BP6" s="137"/>
      <c r="BQ6" s="136"/>
      <c r="BR6" s="136"/>
    </row>
    <row r="7" spans="1:70" s="132" customFormat="1" ht="20" x14ac:dyDescent="0.6">
      <c r="A7" s="139" t="s">
        <v>1744</v>
      </c>
      <c r="B7" s="140"/>
      <c r="D7" s="141"/>
      <c r="E7" s="138"/>
      <c r="F7" s="141"/>
      <c r="G7" s="138"/>
      <c r="H7" s="138"/>
      <c r="I7" s="137"/>
      <c r="J7" s="137"/>
      <c r="K7" s="137"/>
      <c r="L7" s="141"/>
      <c r="M7" s="138"/>
      <c r="N7" s="138"/>
      <c r="O7" s="137"/>
      <c r="P7" s="137"/>
      <c r="Q7" s="137"/>
      <c r="R7" s="141"/>
      <c r="S7" s="138"/>
      <c r="T7" s="142"/>
      <c r="U7" s="137"/>
      <c r="V7" s="137"/>
      <c r="W7" s="137"/>
      <c r="X7" s="141"/>
      <c r="Y7" s="138"/>
      <c r="Z7" s="138"/>
      <c r="AA7" s="137"/>
      <c r="AB7" s="137"/>
      <c r="AC7" s="137"/>
      <c r="AD7" s="141"/>
      <c r="AE7" s="138"/>
      <c r="AF7" s="138"/>
      <c r="AG7" s="137"/>
      <c r="AH7" s="137"/>
      <c r="AI7" s="137"/>
      <c r="AJ7" s="141"/>
      <c r="AK7" s="138"/>
      <c r="AL7" s="138"/>
      <c r="AM7" s="137"/>
      <c r="AN7" s="137"/>
      <c r="AO7" s="137"/>
      <c r="AP7" s="141"/>
      <c r="AQ7" s="136"/>
      <c r="AR7"/>
      <c r="AS7"/>
      <c r="AT7"/>
      <c r="AU7"/>
      <c r="AV7"/>
      <c r="AW7"/>
      <c r="AX7"/>
      <c r="AY7"/>
      <c r="AZ7"/>
      <c r="BA7"/>
      <c r="BB7"/>
      <c r="BC7"/>
      <c r="BD7" s="137"/>
      <c r="BE7" s="137"/>
      <c r="BF7" s="136"/>
      <c r="BG7" s="136"/>
      <c r="BH7" s="138"/>
      <c r="BI7" s="137"/>
      <c r="BJ7" s="137"/>
      <c r="BK7" s="137"/>
      <c r="BL7" s="136"/>
      <c r="BM7" s="138"/>
      <c r="BN7" s="137"/>
      <c r="BO7" s="137"/>
      <c r="BP7" s="137"/>
      <c r="BQ7" s="136"/>
      <c r="BR7" s="136"/>
    </row>
    <row r="8" spans="1:70" s="132" customFormat="1" ht="15" thickBot="1" x14ac:dyDescent="0.4">
      <c r="B8" s="143" t="s">
        <v>216</v>
      </c>
      <c r="C8" s="144"/>
      <c r="D8" s="145">
        <v>401</v>
      </c>
      <c r="E8" s="146"/>
      <c r="F8" s="145">
        <v>447</v>
      </c>
      <c r="G8" s="146"/>
      <c r="H8" s="146">
        <v>109.687</v>
      </c>
      <c r="I8" s="146">
        <v>121.621</v>
      </c>
      <c r="J8" s="146">
        <v>123.76900000000001</v>
      </c>
      <c r="K8" s="146">
        <v>126.69</v>
      </c>
      <c r="L8" s="147">
        <f>+SUM(H8:K8)</f>
        <v>481.767</v>
      </c>
      <c r="M8" s="146"/>
      <c r="N8" s="146">
        <v>110.839</v>
      </c>
      <c r="O8" s="146">
        <v>104.99299999999999</v>
      </c>
      <c r="P8" s="146">
        <v>136.77799999999999</v>
      </c>
      <c r="Q8" s="146">
        <v>156.54400000000001</v>
      </c>
      <c r="R8" s="147">
        <f>+SUM(N8:Q8)</f>
        <v>509.154</v>
      </c>
      <c r="S8" s="146"/>
      <c r="T8" s="146">
        <v>132.07</v>
      </c>
      <c r="U8" s="146">
        <v>174.82599999999999</v>
      </c>
      <c r="V8" s="146">
        <v>192.86699999999999</v>
      </c>
      <c r="W8" s="146">
        <v>212.53200000000001</v>
      </c>
      <c r="X8" s="147">
        <f>+SUM(T8:W8)</f>
        <v>712.29499999999996</v>
      </c>
      <c r="Y8" s="146"/>
      <c r="Z8" s="146">
        <v>189.881</v>
      </c>
      <c r="AA8" s="146">
        <v>201.56100000000001</v>
      </c>
      <c r="AB8" s="148">
        <f>V8*(1+AB9)</f>
        <v>211.79500300000001</v>
      </c>
      <c r="AC8" s="148">
        <f>W8*(1+AC9)</f>
        <v>227.23758800000002</v>
      </c>
      <c r="AD8" s="147">
        <f>+SUM(Z8:AC8)</f>
        <v>830.47459099999992</v>
      </c>
      <c r="AE8" s="146"/>
      <c r="AF8" s="148">
        <f>Z8*(1+AF9)</f>
        <v>199.77386000000001</v>
      </c>
      <c r="AG8" s="148">
        <f>AA8*(1+AG9)</f>
        <v>213.65466000000001</v>
      </c>
      <c r="AH8" s="148">
        <f>AB8*(1+AH9)</f>
        <v>226.62065321000003</v>
      </c>
      <c r="AI8" s="148">
        <f>AC8*(1+AI9)</f>
        <v>243.14421916000003</v>
      </c>
      <c r="AJ8" s="147">
        <f>+SUM(AF8:AI8)</f>
        <v>883.19339237000008</v>
      </c>
      <c r="AK8" s="146"/>
      <c r="AL8" s="148">
        <f>AF8*(1+AL9)</f>
        <v>215.75576880000003</v>
      </c>
      <c r="AM8" s="148">
        <f>AG8*(1+AM9)</f>
        <v>230.74703280000003</v>
      </c>
      <c r="AN8" s="148">
        <f>AH8*(1+AN9)</f>
        <v>244.75030546680006</v>
      </c>
      <c r="AO8" s="148">
        <f>AI8*(1+AO9)</f>
        <v>262.59575669280008</v>
      </c>
      <c r="AP8" s="147">
        <f>+SUM(AL8:AO8)</f>
        <v>953.84886375960014</v>
      </c>
      <c r="AQ8" s="149"/>
      <c r="AR8" s="150"/>
      <c r="AS8"/>
      <c r="AT8"/>
      <c r="AU8"/>
      <c r="AV8"/>
      <c r="AW8"/>
      <c r="AX8"/>
      <c r="AY8"/>
      <c r="AZ8"/>
      <c r="BA8"/>
      <c r="BB8"/>
      <c r="BC8"/>
      <c r="BD8" s="149"/>
      <c r="BE8" s="149"/>
      <c r="BF8" s="151"/>
      <c r="BG8" s="151"/>
      <c r="BH8" s="151"/>
      <c r="BI8" s="152"/>
      <c r="BJ8" s="152"/>
      <c r="BK8" s="152"/>
      <c r="BL8" s="152"/>
      <c r="BM8" s="152"/>
      <c r="BN8" s="152"/>
      <c r="BO8" s="152"/>
      <c r="BP8" s="152"/>
      <c r="BQ8" s="152"/>
      <c r="BR8" s="152"/>
    </row>
    <row r="9" spans="1:70" s="132" customFormat="1" ht="14.5" x14ac:dyDescent="0.35">
      <c r="B9" s="153" t="s">
        <v>1745</v>
      </c>
      <c r="D9" s="154"/>
      <c r="E9" s="155"/>
      <c r="F9" s="156">
        <f>F8/D8-1</f>
        <v>0.11471321695760595</v>
      </c>
      <c r="G9" s="155"/>
      <c r="H9" s="155"/>
      <c r="I9" s="155"/>
      <c r="J9" s="155"/>
      <c r="K9" s="155"/>
      <c r="L9" s="154">
        <f>+L8/F8-1</f>
        <v>7.777852348993286E-2</v>
      </c>
      <c r="M9" s="155"/>
      <c r="N9" s="157">
        <f>N8/H8-1</f>
        <v>1.0502611977718512E-2</v>
      </c>
      <c r="O9" s="157">
        <f>O8/I8-1</f>
        <v>-0.13671980990125066</v>
      </c>
      <c r="P9" s="157">
        <f>P8/J8-1</f>
        <v>0.10510709466829327</v>
      </c>
      <c r="Q9" s="157">
        <f>Q8/K8-1</f>
        <v>0.23564606519851616</v>
      </c>
      <c r="R9" s="154">
        <f>+R8/L8-1</f>
        <v>5.684698204733829E-2</v>
      </c>
      <c r="S9" s="155"/>
      <c r="T9" s="157">
        <f>T8/N8-1</f>
        <v>0.19154810130008393</v>
      </c>
      <c r="U9" s="157">
        <f>U8/O8-1</f>
        <v>0.66512053184498021</v>
      </c>
      <c r="V9" s="157">
        <f>V8/P8-1</f>
        <v>0.41007325739519507</v>
      </c>
      <c r="W9" s="157">
        <f>W8/Q8-1</f>
        <v>0.35765024529844647</v>
      </c>
      <c r="X9" s="154">
        <f>+X8/R8-1</f>
        <v>0.39897751957168159</v>
      </c>
      <c r="Y9" s="155"/>
      <c r="Z9" s="157">
        <f>Z8/T8-1</f>
        <v>0.43772999167108351</v>
      </c>
      <c r="AA9" s="157">
        <f>AA8/U8-1</f>
        <v>0.15292347820118302</v>
      </c>
      <c r="AB9" s="157">
        <f>AB11+AB10</f>
        <v>9.8140184686856757E-2</v>
      </c>
      <c r="AC9" s="157">
        <f>AC11+AC10</f>
        <v>6.9192347505316845E-2</v>
      </c>
      <c r="AD9" s="154">
        <f>+AD8/X8-1</f>
        <v>0.16591382924209763</v>
      </c>
      <c r="AE9" s="155"/>
      <c r="AF9" s="157">
        <f>AF11+AF10</f>
        <v>5.210031546073593E-2</v>
      </c>
      <c r="AG9" s="157">
        <f>AG11+AG10</f>
        <v>0.06</v>
      </c>
      <c r="AH9" s="157">
        <f>AH11+AH10</f>
        <v>7.0000000000000007E-2</v>
      </c>
      <c r="AI9" s="157">
        <f>AI11+AI10</f>
        <v>7.0000000000000007E-2</v>
      </c>
      <c r="AJ9" s="154">
        <f>+AJ8/AD8-1</f>
        <v>6.3480330333189228E-2</v>
      </c>
      <c r="AK9" s="155"/>
      <c r="AL9" s="157">
        <f>AL11+AL10</f>
        <v>0.08</v>
      </c>
      <c r="AM9" s="157">
        <f>AM11+AM10</f>
        <v>0.08</v>
      </c>
      <c r="AN9" s="157">
        <f>AN11+AN10</f>
        <v>0.08</v>
      </c>
      <c r="AO9" s="157">
        <f>AO11+AO10</f>
        <v>0.08</v>
      </c>
      <c r="AP9" s="154">
        <f>+AP8/AJ8-1</f>
        <v>8.0000000000000071E-2</v>
      </c>
      <c r="AQ9" s="158"/>
      <c r="AR9"/>
      <c r="AS9"/>
      <c r="AT9" s="159"/>
      <c r="AU9"/>
      <c r="AV9"/>
      <c r="AW9"/>
      <c r="AX9"/>
      <c r="AY9"/>
      <c r="AZ9"/>
      <c r="BA9"/>
      <c r="BB9"/>
      <c r="BC9"/>
      <c r="BD9" s="160"/>
      <c r="BE9" s="160"/>
      <c r="BF9" s="158"/>
      <c r="BG9" s="158"/>
      <c r="BH9" s="158"/>
      <c r="BI9" s="161"/>
      <c r="BJ9" s="161"/>
      <c r="BK9" s="161"/>
      <c r="BL9" s="161"/>
      <c r="BM9" s="161"/>
      <c r="BN9" s="161"/>
      <c r="BO9" s="161"/>
      <c r="BP9" s="161"/>
      <c r="BQ9" s="161"/>
      <c r="BR9" s="161"/>
    </row>
    <row r="10" spans="1:70" s="132" customFormat="1" ht="14.5" x14ac:dyDescent="0.35">
      <c r="B10" s="153" t="s">
        <v>1746</v>
      </c>
      <c r="D10" s="162"/>
      <c r="E10" s="155"/>
      <c r="F10" s="162">
        <v>0</v>
      </c>
      <c r="G10" s="155"/>
      <c r="H10" s="155"/>
      <c r="I10" s="155"/>
      <c r="J10" s="155"/>
      <c r="K10" s="155"/>
      <c r="L10" s="162">
        <v>0</v>
      </c>
      <c r="M10" s="155"/>
      <c r="N10" s="155">
        <v>0</v>
      </c>
      <c r="O10" s="155">
        <v>0</v>
      </c>
      <c r="P10" s="155">
        <v>0</v>
      </c>
      <c r="Q10" s="155">
        <v>0</v>
      </c>
      <c r="R10" s="162">
        <v>0</v>
      </c>
      <c r="S10" s="155"/>
      <c r="T10" s="155">
        <v>0</v>
      </c>
      <c r="U10" s="155">
        <f>U167/O8</f>
        <v>6.7623555856104689E-2</v>
      </c>
      <c r="V10" s="155">
        <f>V167/P8</f>
        <v>6.4630276798900405E-2</v>
      </c>
      <c r="W10" s="155">
        <f>W167/Q8</f>
        <v>4.5993458708094841E-2</v>
      </c>
      <c r="X10" s="154">
        <f>SUMPRODUCT(N8:Q8,T10:W10)/R8</f>
        <v>4.5447939130400627E-2</v>
      </c>
      <c r="Y10" s="155"/>
      <c r="Z10" s="155">
        <f>Z171/T8</f>
        <v>0.11199999999999999</v>
      </c>
      <c r="AA10" s="155">
        <f>AA171/U8</f>
        <v>4.8000000000000001E-2</v>
      </c>
      <c r="AB10" s="155">
        <f>AB171/V8</f>
        <v>4.3510025043164466E-2</v>
      </c>
      <c r="AC10" s="155">
        <f>AC171/W8</f>
        <v>3.360269512355786E-2</v>
      </c>
      <c r="AD10" s="154">
        <f>SUMPRODUCT(T8:W8,Z10:AC10)/X8</f>
        <v>5.4354984943036241E-2</v>
      </c>
      <c r="AE10" s="155"/>
      <c r="AF10" s="155">
        <f>AF171/Z8</f>
        <v>0</v>
      </c>
      <c r="AG10" s="155">
        <v>0</v>
      </c>
      <c r="AH10" s="155">
        <v>0</v>
      </c>
      <c r="AI10" s="155">
        <v>0</v>
      </c>
      <c r="AJ10" s="154">
        <f>SUMPRODUCT(Z8:AC8,AF10:AI10)/AD8</f>
        <v>0</v>
      </c>
      <c r="AK10" s="155"/>
      <c r="AL10" s="155">
        <v>0</v>
      </c>
      <c r="AM10" s="155">
        <v>0</v>
      </c>
      <c r="AN10" s="155">
        <v>0</v>
      </c>
      <c r="AO10" s="155">
        <v>0</v>
      </c>
      <c r="AP10" s="154">
        <f>SUMPRODUCT(AF8:AI8,AL10:AO10)/AJ8</f>
        <v>0</v>
      </c>
      <c r="AQ10" s="158"/>
      <c r="AR10"/>
      <c r="AS10"/>
      <c r="AT10"/>
      <c r="AU10"/>
      <c r="AV10"/>
      <c r="AW10"/>
      <c r="AX10"/>
      <c r="AY10"/>
      <c r="AZ10"/>
      <c r="BA10"/>
      <c r="BB10"/>
      <c r="BC10"/>
      <c r="BD10" s="160"/>
      <c r="BE10" s="160"/>
      <c r="BF10" s="158"/>
      <c r="BG10" s="158"/>
      <c r="BH10" s="158"/>
      <c r="BI10" s="161"/>
      <c r="BJ10" s="161"/>
      <c r="BK10" s="161"/>
      <c r="BL10" s="161"/>
      <c r="BM10" s="161"/>
      <c r="BN10" s="161"/>
      <c r="BO10" s="161"/>
      <c r="BP10" s="161"/>
      <c r="BQ10" s="161"/>
      <c r="BR10" s="161"/>
    </row>
    <row r="11" spans="1:70" s="163" customFormat="1" ht="14.5" x14ac:dyDescent="0.35">
      <c r="B11" s="164" t="s">
        <v>1747</v>
      </c>
      <c r="D11" s="165"/>
      <c r="E11" s="166"/>
      <c r="F11" s="165">
        <f>F9-F10</f>
        <v>0.11471321695760595</v>
      </c>
      <c r="G11" s="166"/>
      <c r="H11" s="166"/>
      <c r="I11" s="166"/>
      <c r="J11" s="166"/>
      <c r="K11" s="166"/>
      <c r="L11" s="165">
        <f>L9-L10</f>
        <v>7.777852348993286E-2</v>
      </c>
      <c r="M11" s="166"/>
      <c r="N11" s="167">
        <f>N9-N10</f>
        <v>1.0502611977718512E-2</v>
      </c>
      <c r="O11" s="167">
        <f>O9-O10</f>
        <v>-0.13671980990125066</v>
      </c>
      <c r="P11" s="167">
        <f>P9-P10</f>
        <v>0.10510709466829327</v>
      </c>
      <c r="Q11" s="167">
        <f>Q9-Q10</f>
        <v>0.23564606519851616</v>
      </c>
      <c r="R11" s="165">
        <f>R9-R10</f>
        <v>5.684698204733829E-2</v>
      </c>
      <c r="S11" s="166"/>
      <c r="T11" s="167">
        <f>T9-T10</f>
        <v>0.19154810130008393</v>
      </c>
      <c r="U11" s="167">
        <f>U9-U10</f>
        <v>0.59749697598887552</v>
      </c>
      <c r="V11" s="167">
        <f>V9-V10</f>
        <v>0.34544298059629464</v>
      </c>
      <c r="W11" s="167">
        <f>W9-W10</f>
        <v>0.31165678659035162</v>
      </c>
      <c r="X11" s="165">
        <f>SUMPRODUCT(T11:W11,N8:Q8)/R8</f>
        <v>0.35352958044128102</v>
      </c>
      <c r="Y11" s="166"/>
      <c r="Z11" s="167">
        <f>Z9-Z10</f>
        <v>0.32572999167108352</v>
      </c>
      <c r="AA11" s="167">
        <f>AA9-AA10</f>
        <v>0.10492347820118302</v>
      </c>
      <c r="AB11" s="167">
        <f t="shared" ref="AB11" si="0">AB12+AB13</f>
        <v>5.4630159643692285E-2</v>
      </c>
      <c r="AC11" s="167">
        <f>AC12+AC13</f>
        <v>3.5589652381758985E-2</v>
      </c>
      <c r="AD11" s="165">
        <f>SUMPRODUCT(Z11:AC11,T8:W8)/X8</f>
        <v>0.11155884429906153</v>
      </c>
      <c r="AE11" s="166"/>
      <c r="AF11" s="167">
        <f t="shared" ref="AF11:AI11" si="1">AF12+AF13</f>
        <v>5.210031546073593E-2</v>
      </c>
      <c r="AG11" s="167">
        <f t="shared" si="1"/>
        <v>0.06</v>
      </c>
      <c r="AH11" s="167">
        <f t="shared" si="1"/>
        <v>7.0000000000000007E-2</v>
      </c>
      <c r="AI11" s="167">
        <f t="shared" si="1"/>
        <v>7.0000000000000007E-2</v>
      </c>
      <c r="AJ11" s="165">
        <f>SUMPRODUCT(AF11:AI11,Z8:AC8)/AD8</f>
        <v>6.3480330333188978E-2</v>
      </c>
      <c r="AK11" s="166"/>
      <c r="AL11" s="167">
        <f t="shared" ref="AL11:AO11" si="2">AL12+AL13</f>
        <v>0.08</v>
      </c>
      <c r="AM11" s="167">
        <f t="shared" si="2"/>
        <v>0.08</v>
      </c>
      <c r="AN11" s="167">
        <f t="shared" si="2"/>
        <v>0.08</v>
      </c>
      <c r="AO11" s="167">
        <f t="shared" si="2"/>
        <v>0.08</v>
      </c>
      <c r="AP11" s="165">
        <f>SUMPRODUCT(AL11:AO11,AF8:AI8)/AJ8</f>
        <v>0.08</v>
      </c>
      <c r="AQ11" s="168"/>
      <c r="AR11"/>
      <c r="AS11"/>
      <c r="AT11"/>
      <c r="AU11"/>
      <c r="AV11"/>
      <c r="AW11"/>
      <c r="AX11"/>
      <c r="AY11"/>
      <c r="AZ11"/>
      <c r="BA11"/>
      <c r="BB11"/>
      <c r="BC11"/>
      <c r="BD11" s="169"/>
      <c r="BE11" s="169"/>
      <c r="BF11" s="168"/>
      <c r="BG11" s="168"/>
      <c r="BH11" s="168"/>
      <c r="BI11" s="170"/>
      <c r="BJ11" s="170"/>
      <c r="BK11" s="170"/>
      <c r="BL11" s="170"/>
      <c r="BM11" s="170"/>
      <c r="BN11" s="170"/>
      <c r="BO11" s="170"/>
      <c r="BP11" s="170"/>
      <c r="BQ11" s="170"/>
      <c r="BR11" s="170"/>
    </row>
    <row r="12" spans="1:70" s="132" customFormat="1" ht="15" thickBot="1" x14ac:dyDescent="0.4">
      <c r="B12" s="153" t="s">
        <v>1748</v>
      </c>
      <c r="D12" s="162"/>
      <c r="E12" s="157"/>
      <c r="F12" s="162"/>
      <c r="G12" s="157"/>
      <c r="H12" s="155"/>
      <c r="I12" s="155"/>
      <c r="J12" s="155"/>
      <c r="K12" s="155"/>
      <c r="L12" s="162"/>
      <c r="M12" s="157"/>
      <c r="N12" s="155"/>
      <c r="O12" s="155"/>
      <c r="P12" s="155"/>
      <c r="Q12" s="155"/>
      <c r="R12" s="162"/>
      <c r="S12" s="157"/>
      <c r="T12" s="155"/>
      <c r="U12" s="155"/>
      <c r="V12" s="157">
        <f>0.4/P8</f>
        <v>2.9244469139773945E-3</v>
      </c>
      <c r="W12" s="155">
        <f>0.08/Q8</f>
        <v>5.1103843008994273E-4</v>
      </c>
      <c r="X12" s="171">
        <f>1.6/R8</f>
        <v>3.1424677013241575E-3</v>
      </c>
      <c r="Y12" s="155">
        <v>0</v>
      </c>
      <c r="Z12" s="155">
        <f>-0.961/T8</f>
        <v>-7.2764443098356935E-3</v>
      </c>
      <c r="AA12" s="155">
        <f>-2.2/U8</f>
        <v>-1.2583940603800352E-2</v>
      </c>
      <c r="AB12" s="155">
        <f>-2/V8</f>
        <v>-1.0369840356307716E-2</v>
      </c>
      <c r="AC12" s="155">
        <f>-2/W8</f>
        <v>-9.4103476182410169E-3</v>
      </c>
      <c r="AD12" s="172">
        <f>SUMPRODUCT(Z12:AC12,T8:W8)/X8</f>
        <v>-1.005341887841414E-2</v>
      </c>
      <c r="AE12" s="157"/>
      <c r="AF12" s="155">
        <f>-1.5/Z8</f>
        <v>-7.8996845392640645E-3</v>
      </c>
      <c r="AG12" s="155">
        <v>0</v>
      </c>
      <c r="AH12" s="155">
        <v>0</v>
      </c>
      <c r="AI12" s="155">
        <v>0</v>
      </c>
      <c r="AJ12" s="172">
        <f>SUMPRODUCT(AF12:AI12,Z8:AC8)/AD8</f>
        <v>-1.8061961392386535E-3</v>
      </c>
      <c r="AK12" s="157"/>
      <c r="AL12" s="155">
        <v>0</v>
      </c>
      <c r="AM12" s="155">
        <v>0</v>
      </c>
      <c r="AN12" s="155">
        <v>0</v>
      </c>
      <c r="AO12" s="155">
        <v>0</v>
      </c>
      <c r="AP12" s="172">
        <f>SUMPRODUCT(AL12:AO12,AF8:AI8)/AJ8</f>
        <v>0</v>
      </c>
      <c r="AQ12" s="173"/>
      <c r="AR12"/>
      <c r="AS12"/>
      <c r="AT12"/>
      <c r="AU12"/>
      <c r="AV12"/>
      <c r="AW12"/>
      <c r="AX12"/>
      <c r="AY12"/>
      <c r="AZ12"/>
      <c r="BA12"/>
      <c r="BB12"/>
      <c r="BC12"/>
      <c r="BD12" s="160"/>
      <c r="BE12" s="160"/>
      <c r="BF12" s="158"/>
      <c r="BG12" s="158"/>
      <c r="BH12" s="158"/>
      <c r="BI12" s="161"/>
      <c r="BJ12" s="161"/>
      <c r="BK12" s="161"/>
      <c r="BL12" s="161"/>
      <c r="BM12" s="161"/>
      <c r="BN12" s="161"/>
      <c r="BO12" s="161"/>
      <c r="BP12" s="161"/>
      <c r="BQ12" s="161"/>
      <c r="BR12" s="161"/>
    </row>
    <row r="13" spans="1:70" s="163" customFormat="1" ht="15" thickBot="1" x14ac:dyDescent="0.4">
      <c r="B13" s="174" t="s">
        <v>1749</v>
      </c>
      <c r="C13" s="175"/>
      <c r="D13" s="176"/>
      <c r="E13" s="177"/>
      <c r="F13" s="176"/>
      <c r="G13" s="177"/>
      <c r="H13" s="178"/>
      <c r="I13" s="178"/>
      <c r="J13" s="178"/>
      <c r="K13" s="178"/>
      <c r="L13" s="176"/>
      <c r="M13" s="177"/>
      <c r="N13" s="178"/>
      <c r="O13" s="178"/>
      <c r="P13" s="178"/>
      <c r="Q13" s="178"/>
      <c r="R13" s="176"/>
      <c r="S13" s="177"/>
      <c r="T13" s="178"/>
      <c r="U13" s="178"/>
      <c r="V13" s="177">
        <f>V11-V12</f>
        <v>0.34251853368231722</v>
      </c>
      <c r="W13" s="177">
        <f>W11-W12</f>
        <v>0.31114574816026169</v>
      </c>
      <c r="X13" s="179">
        <f>X11-X12</f>
        <v>0.35038711273995687</v>
      </c>
      <c r="Y13" s="177"/>
      <c r="Z13" s="177">
        <f>Z11-Z12</f>
        <v>0.33300643598091922</v>
      </c>
      <c r="AA13" s="177">
        <f>AA11-AA12</f>
        <v>0.11750741880498336</v>
      </c>
      <c r="AB13" s="178">
        <v>6.5000000000000002E-2</v>
      </c>
      <c r="AC13" s="178">
        <v>4.4999999999999998E-2</v>
      </c>
      <c r="AD13" s="180">
        <f>SUMPRODUCT(Z13:AC13,T8:W8)/X8</f>
        <v>0.12161226317747566</v>
      </c>
      <c r="AE13" s="177"/>
      <c r="AF13" s="178">
        <v>0.06</v>
      </c>
      <c r="AG13" s="178">
        <v>0.06</v>
      </c>
      <c r="AH13" s="178">
        <v>7.0000000000000007E-2</v>
      </c>
      <c r="AI13" s="178">
        <v>7.0000000000000007E-2</v>
      </c>
      <c r="AJ13" s="181">
        <f>SUMPRODUCT(AF13:AI13,Z8:AC8)/AD8</f>
        <v>6.5286526472427636E-2</v>
      </c>
      <c r="AK13" s="177"/>
      <c r="AL13" s="178">
        <v>0.08</v>
      </c>
      <c r="AM13" s="178">
        <v>0.08</v>
      </c>
      <c r="AN13" s="178">
        <v>0.08</v>
      </c>
      <c r="AO13" s="178">
        <v>0.08</v>
      </c>
      <c r="AP13" s="181">
        <f>SUMPRODUCT(AL13:AO13,AF8:AI8)/AJ8</f>
        <v>0.08</v>
      </c>
      <c r="AQ13" s="168"/>
      <c r="AR13"/>
      <c r="AS13"/>
      <c r="AT13"/>
      <c r="AU13"/>
      <c r="AV13"/>
      <c r="AW13"/>
      <c r="AX13"/>
      <c r="AY13"/>
      <c r="AZ13"/>
      <c r="BA13"/>
      <c r="BB13"/>
      <c r="BC13"/>
      <c r="BD13" s="169"/>
      <c r="BE13" s="169"/>
      <c r="BF13" s="168"/>
      <c r="BG13" s="168"/>
      <c r="BH13" s="168"/>
      <c r="BI13" s="170"/>
      <c r="BJ13" s="170"/>
      <c r="BK13" s="170"/>
      <c r="BL13" s="170"/>
      <c r="BM13" s="170"/>
      <c r="BN13" s="170"/>
      <c r="BO13" s="170"/>
      <c r="BP13" s="170"/>
      <c r="BQ13" s="170"/>
      <c r="BR13" s="170"/>
    </row>
    <row r="14" spans="1:70" s="132" customFormat="1" ht="14.5" x14ac:dyDescent="0.35">
      <c r="B14" s="153" t="s">
        <v>1750</v>
      </c>
      <c r="D14" s="182"/>
      <c r="E14" s="167"/>
      <c r="F14" s="182"/>
      <c r="G14" s="167"/>
      <c r="H14" s="166"/>
      <c r="I14" s="157">
        <f>I8/H8-1</f>
        <v>0.10880049595667662</v>
      </c>
      <c r="J14" s="157">
        <f>J8/I8-1</f>
        <v>1.7661423602831849E-2</v>
      </c>
      <c r="K14" s="157">
        <f>K8/J8-1</f>
        <v>2.3600416905687149E-2</v>
      </c>
      <c r="L14" s="162"/>
      <c r="M14" s="157"/>
      <c r="N14" s="157">
        <f>N8/K8-1</f>
        <v>-0.12511642592154082</v>
      </c>
      <c r="O14" s="157">
        <f>O8/N8-1</f>
        <v>-5.2743168018477338E-2</v>
      </c>
      <c r="P14" s="157">
        <f>P8/O8-1</f>
        <v>0.30273446801215309</v>
      </c>
      <c r="Q14" s="157">
        <f>Q8/P8-1</f>
        <v>0.1445115442541931</v>
      </c>
      <c r="R14" s="162"/>
      <c r="S14" s="157"/>
      <c r="T14" s="157">
        <f>T8/Q8-1</f>
        <v>-0.15633943172526588</v>
      </c>
      <c r="U14" s="157">
        <f>U8/T8-1</f>
        <v>0.32373741197849637</v>
      </c>
      <c r="V14" s="157">
        <f>V8/U8-1</f>
        <v>0.10319403292416451</v>
      </c>
      <c r="W14" s="157">
        <f>W8/V8-1</f>
        <v>0.10196145530339562</v>
      </c>
      <c r="X14" s="172"/>
      <c r="Y14" s="157"/>
      <c r="Z14" s="157">
        <f>Z8/W8-1</f>
        <v>-0.10657689195038866</v>
      </c>
      <c r="AA14" s="157">
        <f>AA8/Z8-1</f>
        <v>6.1512210279069501E-2</v>
      </c>
      <c r="AB14" s="157">
        <f>AB8/AA8-1</f>
        <v>5.0773726068038982E-2</v>
      </c>
      <c r="AC14" s="157">
        <f>AC8/AB8-1</f>
        <v>7.2912886429147727E-2</v>
      </c>
      <c r="AD14" s="172"/>
      <c r="AE14" s="157"/>
      <c r="AF14" s="157">
        <f>AF8/AC8-1</f>
        <v>-0.12085908956224267</v>
      </c>
      <c r="AG14" s="157">
        <f>AG8/AF8-1</f>
        <v>6.9482563935041375E-2</v>
      </c>
      <c r="AH14" s="157">
        <f>AH8/AG8-1</f>
        <v>6.0686685747926239E-2</v>
      </c>
      <c r="AI14" s="157">
        <f>AI8/AH8-1</f>
        <v>7.2912886429147727E-2</v>
      </c>
      <c r="AJ14" s="162"/>
      <c r="AK14" s="157"/>
      <c r="AL14" s="157"/>
      <c r="AM14" s="157"/>
      <c r="AN14" s="157"/>
      <c r="AO14" s="157"/>
      <c r="AP14" s="162"/>
      <c r="AQ14" s="158"/>
      <c r="AR14"/>
      <c r="AS14"/>
      <c r="AT14"/>
      <c r="AU14"/>
      <c r="AV14"/>
      <c r="AW14"/>
      <c r="AX14"/>
      <c r="AY14"/>
      <c r="AZ14"/>
      <c r="BA14"/>
      <c r="BB14"/>
      <c r="BC14"/>
      <c r="BD14" s="160"/>
      <c r="BE14" s="160"/>
      <c r="BF14" s="158"/>
      <c r="BG14" s="158"/>
      <c r="BH14" s="158"/>
      <c r="BI14" s="161"/>
      <c r="BJ14" s="161"/>
      <c r="BK14" s="161"/>
      <c r="BL14" s="161"/>
      <c r="BM14" s="161"/>
      <c r="BN14" s="161"/>
      <c r="BO14" s="161"/>
      <c r="BP14" s="161"/>
      <c r="BQ14" s="161"/>
      <c r="BR14" s="161"/>
    </row>
    <row r="15" spans="1:70" s="132" customFormat="1" ht="14.5" x14ac:dyDescent="0.35">
      <c r="D15" s="183"/>
      <c r="E15" s="184"/>
      <c r="F15" s="185"/>
      <c r="G15" s="184"/>
      <c r="H15" s="184"/>
      <c r="I15" s="184"/>
      <c r="J15" s="184"/>
      <c r="K15" s="184"/>
      <c r="L15" s="185"/>
      <c r="M15" s="184"/>
      <c r="N15" s="184"/>
      <c r="O15" s="184"/>
      <c r="P15" s="184"/>
      <c r="Q15" s="184"/>
      <c r="R15" s="183"/>
      <c r="S15" s="184"/>
      <c r="T15" s="184"/>
      <c r="U15" s="184"/>
      <c r="V15" s="186"/>
      <c r="X15" s="187"/>
      <c r="Y15" s="184"/>
      <c r="AD15" s="187"/>
      <c r="AE15" s="184"/>
      <c r="AJ15" s="187"/>
      <c r="AK15" s="184"/>
      <c r="AP15" s="187"/>
      <c r="AR15"/>
      <c r="AS15"/>
      <c r="AT15"/>
      <c r="AU15"/>
      <c r="AV15"/>
      <c r="AW15"/>
      <c r="AX15"/>
      <c r="AY15"/>
      <c r="AZ15"/>
      <c r="BA15"/>
      <c r="BB15"/>
      <c r="BC15"/>
      <c r="BF15" s="188"/>
      <c r="BG15" s="188"/>
      <c r="BH15" s="188"/>
      <c r="BI15" s="188"/>
      <c r="BJ15" s="188"/>
      <c r="BK15" s="188"/>
      <c r="BL15" s="188"/>
      <c r="BM15" s="188"/>
      <c r="BN15" s="188"/>
      <c r="BO15" s="188"/>
      <c r="BP15" s="188"/>
      <c r="BQ15" s="188"/>
      <c r="BR15" s="188"/>
    </row>
    <row r="16" spans="1:70" s="132" customFormat="1" ht="14.5" x14ac:dyDescent="0.35">
      <c r="B16" s="189" t="s">
        <v>1607</v>
      </c>
      <c r="D16" s="190"/>
      <c r="E16" s="191"/>
      <c r="F16" s="192"/>
      <c r="G16" s="191"/>
      <c r="H16" s="191"/>
      <c r="I16" s="191"/>
      <c r="J16" s="191"/>
      <c r="K16" s="191"/>
      <c r="L16" s="192">
        <v>244.87799999999999</v>
      </c>
      <c r="M16" s="191"/>
      <c r="N16" s="191">
        <v>57.491999999999997</v>
      </c>
      <c r="O16" s="191">
        <v>51.508000000000003</v>
      </c>
      <c r="P16" s="191">
        <v>66.731999999999999</v>
      </c>
      <c r="Q16" s="191">
        <v>81.998999999999995</v>
      </c>
      <c r="R16" s="190">
        <f>+SUM(N16:Q16)</f>
        <v>257.73099999999999</v>
      </c>
      <c r="S16" s="191"/>
      <c r="T16" s="193">
        <v>65.602999999999994</v>
      </c>
      <c r="U16" s="193">
        <v>84.867999999999995</v>
      </c>
      <c r="V16" s="193">
        <v>94.150999999999996</v>
      </c>
      <c r="W16" s="193">
        <v>107.206</v>
      </c>
      <c r="X16" s="190">
        <f>+SUM(T16:W16)</f>
        <v>351.82800000000003</v>
      </c>
      <c r="Y16" s="191"/>
      <c r="Z16" s="193">
        <v>96.430999999999997</v>
      </c>
      <c r="AA16" s="193">
        <v>100.292</v>
      </c>
      <c r="AB16" s="194">
        <f>AB17*AB$8</f>
        <v>103.39099652845225</v>
      </c>
      <c r="AC16" s="194">
        <f>AC17*AC$8</f>
        <v>114.62383480665501</v>
      </c>
      <c r="AD16" s="190">
        <f>+SUM(Z16:AC16)</f>
        <v>414.73783133510727</v>
      </c>
      <c r="AE16" s="191"/>
      <c r="AF16" s="194">
        <f>AF17*AF$8</f>
        <v>100.45621622019422</v>
      </c>
      <c r="AG16" s="194">
        <f t="shared" ref="AG16:AI16" si="3">AG17*AG$8</f>
        <v>105.2412467</v>
      </c>
      <c r="AH16" s="194">
        <f t="shared" si="3"/>
        <v>109.49526301939392</v>
      </c>
      <c r="AI16" s="194">
        <f t="shared" si="3"/>
        <v>121.43178214732087</v>
      </c>
      <c r="AJ16" s="190">
        <f>SUM(AF16:AI16)</f>
        <v>436.62450808690903</v>
      </c>
      <c r="AK16" s="191"/>
      <c r="AL16" s="194">
        <f>AL17*AL$8</f>
        <v>108.49271351780976</v>
      </c>
      <c r="AM16" s="194">
        <f t="shared" ref="AM16:AO16" si="4">AM17*AM$8</f>
        <v>113.660546436</v>
      </c>
      <c r="AN16" s="194">
        <f t="shared" si="4"/>
        <v>118.25488406094544</v>
      </c>
      <c r="AO16" s="194">
        <f t="shared" si="4"/>
        <v>131.14632471910656</v>
      </c>
      <c r="AP16" s="190">
        <f>SUM(AL16:AO16)</f>
        <v>471.55446873386177</v>
      </c>
      <c r="AQ16" s="195"/>
      <c r="AR16"/>
      <c r="AS16"/>
      <c r="AT16"/>
      <c r="AU16"/>
      <c r="AV16"/>
      <c r="AW16"/>
      <c r="AX16"/>
      <c r="AY16"/>
      <c r="AZ16"/>
      <c r="BA16"/>
      <c r="BB16"/>
      <c r="BC16"/>
      <c r="BD16" s="188"/>
      <c r="BE16" s="188"/>
      <c r="BF16" s="196"/>
      <c r="BG16" s="196"/>
      <c r="BH16" s="196"/>
      <c r="BI16" s="197"/>
      <c r="BJ16" s="197"/>
      <c r="BK16" s="197"/>
      <c r="BL16" s="197"/>
      <c r="BM16" s="197"/>
      <c r="BN16" s="197"/>
      <c r="BO16" s="197"/>
      <c r="BP16" s="197"/>
      <c r="BQ16" s="197"/>
      <c r="BR16" s="197"/>
    </row>
    <row r="17" spans="1:70" s="132" customFormat="1" ht="12.75" customHeight="1" x14ac:dyDescent="0.35">
      <c r="B17" s="198" t="s">
        <v>1751</v>
      </c>
      <c r="D17" s="154"/>
      <c r="E17" s="155"/>
      <c r="F17" s="162"/>
      <c r="G17" s="155"/>
      <c r="H17" s="155"/>
      <c r="I17" s="155"/>
      <c r="J17" s="155"/>
      <c r="K17" s="155"/>
      <c r="L17" s="162">
        <v>0.50829142806781269</v>
      </c>
      <c r="M17" s="155"/>
      <c r="N17" s="155">
        <v>0.5186976277701616</v>
      </c>
      <c r="O17" s="155">
        <v>0.49058953853984844</v>
      </c>
      <c r="P17" s="155">
        <v>0.48789740766301404</v>
      </c>
      <c r="Q17" s="155">
        <v>0.52380808896700659</v>
      </c>
      <c r="R17" s="154">
        <f>R16/R$8</f>
        <v>0.50619458945623519</v>
      </c>
      <c r="S17" s="155"/>
      <c r="T17" s="157">
        <f>T16/T8</f>
        <v>0.49672900734458997</v>
      </c>
      <c r="U17" s="157">
        <f>U16/U8</f>
        <v>0.48544266871060365</v>
      </c>
      <c r="V17" s="157">
        <f>V16/V8</f>
        <v>0.4881654196933638</v>
      </c>
      <c r="W17" s="157">
        <f>W16/W8</f>
        <v>0.50442286338057329</v>
      </c>
      <c r="X17" s="154">
        <f>X16/X$8</f>
        <v>0.49393579907201379</v>
      </c>
      <c r="Y17" s="155"/>
      <c r="Z17" s="157">
        <f>Z16/Z8</f>
        <v>0.50784965320384867</v>
      </c>
      <c r="AA17" s="157">
        <f>AA16/AA8</f>
        <v>0.49757641607255371</v>
      </c>
      <c r="AB17" s="157">
        <f>V17+(AB18/10000)</f>
        <v>0.4881654196933638</v>
      </c>
      <c r="AC17" s="157">
        <f>W17+(AC18/10000)</f>
        <v>0.50442286338057329</v>
      </c>
      <c r="AD17" s="154">
        <f>AD16/AD$8</f>
        <v>0.4993985798357885</v>
      </c>
      <c r="AE17" s="155"/>
      <c r="AF17" s="157">
        <f>Z17+(AF18/10000)</f>
        <v>0.50284965320384867</v>
      </c>
      <c r="AG17" s="157">
        <f t="shared" ref="AG17:AI17" si="5">AA17+(AG18/10000)</f>
        <v>0.4925764160725537</v>
      </c>
      <c r="AH17" s="157">
        <f t="shared" si="5"/>
        <v>0.4831654196933638</v>
      </c>
      <c r="AI17" s="157">
        <f t="shared" si="5"/>
        <v>0.49942286338057329</v>
      </c>
      <c r="AJ17" s="154">
        <f>AJ16/AJ$8</f>
        <v>0.49437021592207747</v>
      </c>
      <c r="AK17" s="155"/>
      <c r="AL17" s="157">
        <f>AF17+(AL18/10000)</f>
        <v>0.50284965320384867</v>
      </c>
      <c r="AM17" s="157">
        <f t="shared" ref="AM17:AO17" si="6">AG17+(AM18/10000)</f>
        <v>0.4925764160725537</v>
      </c>
      <c r="AN17" s="157">
        <f t="shared" si="6"/>
        <v>0.4831654196933638</v>
      </c>
      <c r="AO17" s="157">
        <f t="shared" si="6"/>
        <v>0.49942286338057329</v>
      </c>
      <c r="AP17" s="154">
        <f>AP16/AP$8</f>
        <v>0.49437021592207747</v>
      </c>
      <c r="AQ17" s="158"/>
      <c r="AR17"/>
      <c r="AS17" s="159"/>
      <c r="AT17"/>
      <c r="AU17"/>
      <c r="AV17"/>
      <c r="AW17"/>
      <c r="AX17"/>
      <c r="AY17"/>
      <c r="AZ17"/>
      <c r="BA17"/>
      <c r="BB17"/>
      <c r="BC17"/>
      <c r="BD17" s="160"/>
      <c r="BE17" s="160"/>
      <c r="BF17" s="158"/>
      <c r="BG17" s="158"/>
      <c r="BH17" s="158"/>
      <c r="BI17" s="161"/>
      <c r="BJ17" s="161"/>
      <c r="BK17" s="161"/>
      <c r="BL17" s="161"/>
      <c r="BM17" s="161"/>
      <c r="BN17" s="161"/>
      <c r="BO17" s="161"/>
      <c r="BP17" s="161"/>
      <c r="BQ17" s="161"/>
      <c r="BR17" s="161"/>
    </row>
    <row r="18" spans="1:70" s="199" customFormat="1" ht="12.75" customHeight="1" x14ac:dyDescent="0.35">
      <c r="B18" s="198" t="s">
        <v>1752</v>
      </c>
      <c r="D18" s="200"/>
      <c r="E18" s="155"/>
      <c r="F18" s="162"/>
      <c r="G18" s="155"/>
      <c r="H18" s="155"/>
      <c r="I18" s="155"/>
      <c r="J18" s="155"/>
      <c r="K18" s="155"/>
      <c r="L18" s="162"/>
      <c r="M18" s="155"/>
      <c r="N18" s="155"/>
      <c r="O18" s="155"/>
      <c r="P18" s="155"/>
      <c r="Q18" s="155"/>
      <c r="R18" s="200">
        <f>(R17-L17)*10000</f>
        <v>-20.968386115775004</v>
      </c>
      <c r="S18" s="155"/>
      <c r="T18" s="201">
        <f>(T17-N17)*10000</f>
        <v>-219.68620425571629</v>
      </c>
      <c r="U18" s="201">
        <f>(U17-O17)*10000</f>
        <v>-51.468698292447826</v>
      </c>
      <c r="V18" s="201">
        <f>(V17-P17)*10000</f>
        <v>2.680120303497624</v>
      </c>
      <c r="W18" s="201">
        <f>(W17-Q17)*10000</f>
        <v>-193.85225586433296</v>
      </c>
      <c r="X18" s="200">
        <f>(X17-R17)*10000</f>
        <v>-122.58790384221396</v>
      </c>
      <c r="Y18" s="155"/>
      <c r="Z18" s="201">
        <f>(Z17-T17)*10000</f>
        <v>111.20645859258704</v>
      </c>
      <c r="AA18" s="201">
        <f>(AA17-U17)*10000</f>
        <v>121.33747361950054</v>
      </c>
      <c r="AB18" s="202">
        <v>0</v>
      </c>
      <c r="AC18" s="202">
        <v>0</v>
      </c>
      <c r="AD18" s="200">
        <f>(AD17-X17)*10000</f>
        <v>54.627807637747104</v>
      </c>
      <c r="AE18" s="155"/>
      <c r="AF18" s="202">
        <v>-50</v>
      </c>
      <c r="AG18" s="202">
        <v>-50</v>
      </c>
      <c r="AH18" s="202">
        <v>-50</v>
      </c>
      <c r="AI18" s="202">
        <v>-50</v>
      </c>
      <c r="AJ18" s="200">
        <f>(AJ17-AD17)*10000</f>
        <v>-50.283639137110313</v>
      </c>
      <c r="AK18" s="155"/>
      <c r="AL18" s="202">
        <v>0</v>
      </c>
      <c r="AM18" s="202">
        <v>0</v>
      </c>
      <c r="AN18" s="202">
        <v>0</v>
      </c>
      <c r="AO18" s="202">
        <v>0</v>
      </c>
      <c r="AP18" s="200">
        <f>(AP17-AJ17)*10000</f>
        <v>0</v>
      </c>
      <c r="AQ18" s="158"/>
      <c r="AR18"/>
      <c r="AS18"/>
      <c r="AT18"/>
      <c r="AU18"/>
      <c r="AV18"/>
      <c r="AW18"/>
      <c r="AX18"/>
      <c r="AY18"/>
      <c r="AZ18"/>
      <c r="BA18"/>
      <c r="BB18"/>
      <c r="BC18"/>
      <c r="BD18" s="160"/>
      <c r="BE18" s="160"/>
      <c r="BF18" s="158"/>
      <c r="BG18" s="158"/>
      <c r="BH18" s="158"/>
      <c r="BI18" s="161"/>
      <c r="BJ18" s="161"/>
      <c r="BK18" s="161"/>
      <c r="BL18" s="161"/>
      <c r="BM18" s="161"/>
      <c r="BN18" s="161"/>
      <c r="BO18" s="161"/>
      <c r="BP18" s="161"/>
      <c r="BQ18" s="161"/>
      <c r="BR18" s="161"/>
    </row>
    <row r="19" spans="1:70" s="132" customFormat="1" ht="14.5" x14ac:dyDescent="0.35">
      <c r="D19" s="187"/>
      <c r="E19" s="203"/>
      <c r="F19" s="185"/>
      <c r="G19" s="203"/>
      <c r="H19" s="203"/>
      <c r="I19" s="203"/>
      <c r="J19" s="203"/>
      <c r="K19" s="203"/>
      <c r="L19" s="185"/>
      <c r="M19" s="203"/>
      <c r="N19" s="203"/>
      <c r="O19" s="203"/>
      <c r="P19" s="203"/>
      <c r="Q19" s="203"/>
      <c r="R19" s="187"/>
      <c r="S19" s="203"/>
      <c r="T19" s="203"/>
      <c r="U19" s="203"/>
      <c r="V19" s="204"/>
      <c r="W19" s="204"/>
      <c r="X19" s="187"/>
      <c r="Y19" s="203"/>
      <c r="Z19" s="204"/>
      <c r="AA19" s="204"/>
      <c r="AB19" s="204"/>
      <c r="AC19" s="204"/>
      <c r="AD19" s="187"/>
      <c r="AE19" s="203"/>
      <c r="AF19" s="204"/>
      <c r="AG19" s="204"/>
      <c r="AH19" s="204"/>
      <c r="AI19" s="204"/>
      <c r="AJ19" s="205"/>
      <c r="AK19" s="203"/>
      <c r="AL19" s="204"/>
      <c r="AM19" s="204"/>
      <c r="AN19" s="204"/>
      <c r="AO19" s="204"/>
      <c r="AP19" s="205"/>
      <c r="AQ19" s="204"/>
      <c r="AR19"/>
      <c r="AS19"/>
      <c r="AT19"/>
      <c r="AU19"/>
      <c r="AV19"/>
      <c r="AW19"/>
      <c r="AX19"/>
      <c r="AY19"/>
      <c r="AZ19"/>
      <c r="BA19"/>
      <c r="BB19"/>
      <c r="BC19"/>
      <c r="BD19" s="188"/>
      <c r="BE19" s="188"/>
      <c r="BF19" s="188"/>
      <c r="BG19" s="188"/>
      <c r="BH19" s="188"/>
      <c r="BI19" s="206"/>
      <c r="BJ19" s="206"/>
      <c r="BK19" s="206"/>
      <c r="BL19" s="206"/>
      <c r="BM19" s="206"/>
      <c r="BN19" s="206"/>
      <c r="BO19" s="206"/>
      <c r="BP19" s="206"/>
      <c r="BQ19" s="206"/>
      <c r="BR19" s="206"/>
    </row>
    <row r="20" spans="1:70" s="132" customFormat="1" ht="14.5" x14ac:dyDescent="0.35">
      <c r="B20" s="163" t="s">
        <v>620</v>
      </c>
      <c r="D20" s="187"/>
      <c r="E20" s="203"/>
      <c r="F20" s="185"/>
      <c r="G20" s="203"/>
      <c r="H20" s="203"/>
      <c r="I20" s="203"/>
      <c r="J20" s="203"/>
      <c r="K20" s="203"/>
      <c r="L20" s="207">
        <f>L8-L16</f>
        <v>236.88900000000001</v>
      </c>
      <c r="M20" s="203"/>
      <c r="N20" s="208">
        <f>N8-N16</f>
        <v>53.347000000000001</v>
      </c>
      <c r="O20" s="208">
        <f>O8-O16</f>
        <v>53.484999999999992</v>
      </c>
      <c r="P20" s="208">
        <f>P8-P16</f>
        <v>70.045999999999992</v>
      </c>
      <c r="Q20" s="208">
        <f>Q8-Q16</f>
        <v>74.545000000000016</v>
      </c>
      <c r="R20" s="207">
        <f>R8-R16</f>
        <v>251.423</v>
      </c>
      <c r="S20" s="203"/>
      <c r="T20" s="208">
        <f>T8-T16</f>
        <v>66.466999999999999</v>
      </c>
      <c r="U20" s="208">
        <f>U8-U16</f>
        <v>89.957999999999998</v>
      </c>
      <c r="V20" s="208">
        <f>V8-V16</f>
        <v>98.715999999999994</v>
      </c>
      <c r="W20" s="208">
        <f>W8-W16</f>
        <v>105.32600000000001</v>
      </c>
      <c r="X20" s="207">
        <f>X8-X16</f>
        <v>360.46699999999993</v>
      </c>
      <c r="Y20" s="203"/>
      <c r="Z20" s="208">
        <f>Z8-Z16</f>
        <v>93.45</v>
      </c>
      <c r="AA20" s="208">
        <f>AA8-AA16</f>
        <v>101.26900000000001</v>
      </c>
      <c r="AB20" s="208">
        <f>AB8-AB16</f>
        <v>108.40400647154776</v>
      </c>
      <c r="AC20" s="208">
        <f>AC8-AC16</f>
        <v>112.613753193345</v>
      </c>
      <c r="AD20" s="207">
        <f>AD8-AD16</f>
        <v>415.73675966489265</v>
      </c>
      <c r="AE20" s="203"/>
      <c r="AF20" s="208">
        <f>AF8-AF16</f>
        <v>99.317643779805792</v>
      </c>
      <c r="AG20" s="208">
        <f t="shared" ref="AG20:AI20" si="7">AG8-AG16</f>
        <v>108.4134133</v>
      </c>
      <c r="AH20" s="208">
        <f t="shared" si="7"/>
        <v>117.12539019060611</v>
      </c>
      <c r="AI20" s="208">
        <f t="shared" si="7"/>
        <v>121.71243701267916</v>
      </c>
      <c r="AJ20" s="207">
        <f>AJ8-AJ16</f>
        <v>446.56888428309105</v>
      </c>
      <c r="AK20" s="203"/>
      <c r="AL20" s="208">
        <f>AL8-AL16</f>
        <v>107.26305528219027</v>
      </c>
      <c r="AM20" s="208">
        <f t="shared" ref="AM20:AO20" si="8">AM8-AM16</f>
        <v>117.08648636400002</v>
      </c>
      <c r="AN20" s="208">
        <f t="shared" si="8"/>
        <v>126.49542140585461</v>
      </c>
      <c r="AO20" s="208">
        <f t="shared" si="8"/>
        <v>131.44943197369352</v>
      </c>
      <c r="AP20" s="207">
        <f>AP8-AP16</f>
        <v>482.29439502573837</v>
      </c>
      <c r="AQ20" s="204"/>
      <c r="AR20"/>
      <c r="AS20"/>
      <c r="AT20"/>
      <c r="AU20"/>
      <c r="AV20"/>
      <c r="AW20"/>
      <c r="AX20"/>
      <c r="AY20"/>
      <c r="AZ20"/>
      <c r="BA20"/>
      <c r="BB20"/>
      <c r="BC20"/>
      <c r="BD20" s="188"/>
      <c r="BE20" s="188"/>
      <c r="BF20" s="188"/>
      <c r="BG20" s="188"/>
      <c r="BH20" s="188"/>
      <c r="BI20" s="206"/>
      <c r="BJ20" s="206"/>
      <c r="BK20" s="206"/>
      <c r="BL20" s="206"/>
      <c r="BM20" s="206"/>
      <c r="BN20" s="206"/>
      <c r="BO20" s="206"/>
      <c r="BP20" s="206"/>
      <c r="BQ20" s="206"/>
      <c r="BR20" s="206"/>
    </row>
    <row r="21" spans="1:70" s="132" customFormat="1" ht="14.5" x14ac:dyDescent="0.35">
      <c r="B21" s="153" t="s">
        <v>1745</v>
      </c>
      <c r="D21" s="154"/>
      <c r="E21" s="155"/>
      <c r="F21" s="156"/>
      <c r="G21" s="155"/>
      <c r="H21" s="155"/>
      <c r="I21" s="155"/>
      <c r="J21" s="155"/>
      <c r="K21" s="155"/>
      <c r="L21" s="154"/>
      <c r="M21" s="155"/>
      <c r="N21" s="157"/>
      <c r="O21" s="157"/>
      <c r="P21" s="157"/>
      <c r="Q21" s="157"/>
      <c r="R21" s="154">
        <f>+R20/L20-1</f>
        <v>6.1353629759085537E-2</v>
      </c>
      <c r="S21" s="155"/>
      <c r="T21" s="157">
        <f>T20/N20-1</f>
        <v>0.24593697864922115</v>
      </c>
      <c r="U21" s="157">
        <f>U20/O20-1</f>
        <v>0.68192951294755555</v>
      </c>
      <c r="V21" s="157">
        <f>V20/P20-1</f>
        <v>0.4093024583844902</v>
      </c>
      <c r="W21" s="157">
        <f>W20/Q20-1</f>
        <v>0.41291837145348431</v>
      </c>
      <c r="X21" s="154">
        <f>+X20/R20-1</f>
        <v>0.43370733783305404</v>
      </c>
      <c r="Y21" s="155"/>
      <c r="Z21" s="157">
        <f>Z20/T20-1</f>
        <v>0.4059608527539984</v>
      </c>
      <c r="AA21" s="157">
        <f>AA20/U20-1</f>
        <v>0.12573645479001327</v>
      </c>
      <c r="AB21" s="157">
        <f>AB20/V20-1</f>
        <v>9.8140184686856813E-2</v>
      </c>
      <c r="AC21" s="157">
        <f>AC20/W20-1</f>
        <v>6.9192347505316887E-2</v>
      </c>
      <c r="AD21" s="154">
        <f>+AD20/X20-1</f>
        <v>0.15332820941970482</v>
      </c>
      <c r="AE21" s="155"/>
      <c r="AF21" s="157">
        <f>AF20/Z20-1</f>
        <v>6.2789125519591149E-2</v>
      </c>
      <c r="AG21" s="157">
        <f t="shared" ref="AG21:AI21" si="9">AG20/AA20-1</f>
        <v>7.0548867866770726E-2</v>
      </c>
      <c r="AH21" s="157">
        <f t="shared" si="9"/>
        <v>8.0452595830463158E-2</v>
      </c>
      <c r="AI21" s="157">
        <f t="shared" si="9"/>
        <v>8.0795493990087897E-2</v>
      </c>
      <c r="AJ21" s="154">
        <f>+AJ20/AD20-1</f>
        <v>7.4162613484193285E-2</v>
      </c>
      <c r="AK21" s="155"/>
      <c r="AL21" s="157">
        <f>AL20/AF20-1</f>
        <v>8.0000000000000071E-2</v>
      </c>
      <c r="AM21" s="157">
        <f t="shared" ref="AM21:AO21" si="10">AM20/AG20-1</f>
        <v>8.0000000000000293E-2</v>
      </c>
      <c r="AN21" s="157">
        <f t="shared" si="10"/>
        <v>8.0000000000000071E-2</v>
      </c>
      <c r="AO21" s="157">
        <f t="shared" si="10"/>
        <v>8.0000000000000293E-2</v>
      </c>
      <c r="AP21" s="154">
        <f>+AP20/AJ20-1</f>
        <v>8.0000000000000071E-2</v>
      </c>
      <c r="AQ21" s="158"/>
      <c r="AR21"/>
      <c r="AS21"/>
      <c r="AT21"/>
      <c r="AU21"/>
      <c r="AV21"/>
      <c r="AW21"/>
      <c r="AX21"/>
      <c r="AY21"/>
      <c r="AZ21"/>
      <c r="BA21"/>
      <c r="BB21"/>
      <c r="BC21"/>
      <c r="BD21" s="160"/>
      <c r="BE21" s="160"/>
      <c r="BF21" s="158"/>
      <c r="BG21" s="158"/>
      <c r="BH21" s="158"/>
      <c r="BI21" s="161"/>
      <c r="BJ21" s="161"/>
      <c r="BK21" s="161"/>
      <c r="BL21" s="161"/>
      <c r="BM21" s="161"/>
      <c r="BN21" s="161"/>
      <c r="BO21" s="161"/>
      <c r="BP21" s="161"/>
      <c r="BQ21" s="161"/>
      <c r="BR21" s="161"/>
    </row>
    <row r="22" spans="1:70" s="132" customFormat="1" ht="14.5" x14ac:dyDescent="0.35">
      <c r="B22" s="163" t="s">
        <v>1753</v>
      </c>
      <c r="D22" s="154"/>
      <c r="E22" s="155"/>
      <c r="F22" s="156"/>
      <c r="G22" s="155"/>
      <c r="H22" s="155"/>
      <c r="I22" s="155"/>
      <c r="J22" s="155"/>
      <c r="K22" s="155"/>
      <c r="L22" s="209">
        <f>L20/L8</f>
        <v>0.49170864754123883</v>
      </c>
      <c r="M22" s="155"/>
      <c r="N22" s="210">
        <f>N20/N8</f>
        <v>0.48130170788260451</v>
      </c>
      <c r="O22" s="210">
        <f>O20/O8</f>
        <v>0.5094149133751773</v>
      </c>
      <c r="P22" s="210">
        <f>P20/P8</f>
        <v>0.51211452134115132</v>
      </c>
      <c r="Q22" s="210">
        <f>Q20/Q8</f>
        <v>0.47619199713818489</v>
      </c>
      <c r="R22" s="209">
        <f>R20/R8</f>
        <v>0.49380541054376476</v>
      </c>
      <c r="S22" s="155"/>
      <c r="T22" s="210">
        <f>T20/T8</f>
        <v>0.50327099265540998</v>
      </c>
      <c r="U22" s="210">
        <f>U20/U8</f>
        <v>0.51455733128939629</v>
      </c>
      <c r="V22" s="210">
        <f>V20/V8</f>
        <v>0.5118345803066362</v>
      </c>
      <c r="W22" s="210">
        <f>W20/W8</f>
        <v>0.49557713661942671</v>
      </c>
      <c r="X22" s="209">
        <f>X20/X8</f>
        <v>0.50606420092798621</v>
      </c>
      <c r="Y22" s="155"/>
      <c r="Z22" s="210">
        <f>Z20/Z8</f>
        <v>0.49215034679615127</v>
      </c>
      <c r="AA22" s="210">
        <f>AA20/AA8</f>
        <v>0.50242358392744624</v>
      </c>
      <c r="AB22" s="210">
        <f>AB20/AB8</f>
        <v>0.5118345803066362</v>
      </c>
      <c r="AC22" s="210">
        <f>AC20/AC8</f>
        <v>0.49557713661942671</v>
      </c>
      <c r="AD22" s="209">
        <f>AD20/AD8</f>
        <v>0.5006014201642115</v>
      </c>
      <c r="AE22" s="155"/>
      <c r="AF22" s="210">
        <f>AF20/AF8</f>
        <v>0.49715034679615133</v>
      </c>
      <c r="AG22" s="210">
        <f t="shared" ref="AG22:AI22" si="11">AG20/AG8</f>
        <v>0.50742358392744624</v>
      </c>
      <c r="AH22" s="210">
        <f t="shared" si="11"/>
        <v>0.5168345803066362</v>
      </c>
      <c r="AI22" s="210">
        <f t="shared" si="11"/>
        <v>0.50057713661942671</v>
      </c>
      <c r="AJ22" s="209">
        <f>AJ20/AJ8</f>
        <v>0.50562978407792247</v>
      </c>
      <c r="AK22" s="155"/>
      <c r="AL22" s="210">
        <f>AL20/AL8</f>
        <v>0.49715034679615133</v>
      </c>
      <c r="AM22" s="210">
        <f t="shared" ref="AM22:AO22" si="12">AM20/AM8</f>
        <v>0.50742358392744635</v>
      </c>
      <c r="AN22" s="210">
        <f t="shared" si="12"/>
        <v>0.5168345803066362</v>
      </c>
      <c r="AO22" s="210">
        <f t="shared" si="12"/>
        <v>0.50057713661942671</v>
      </c>
      <c r="AP22" s="209">
        <f>AP20/AP8</f>
        <v>0.50562978407792258</v>
      </c>
      <c r="AQ22" s="158"/>
      <c r="AR22"/>
      <c r="AS22"/>
      <c r="AT22"/>
      <c r="AU22"/>
      <c r="AV22"/>
      <c r="AW22"/>
      <c r="AX22"/>
      <c r="AY22"/>
      <c r="AZ22"/>
      <c r="BA22"/>
      <c r="BB22"/>
      <c r="BC22"/>
      <c r="BD22" s="160"/>
      <c r="BE22" s="160"/>
      <c r="BF22" s="158"/>
      <c r="BG22" s="158"/>
      <c r="BH22" s="158"/>
      <c r="BI22" s="161"/>
      <c r="BJ22" s="161"/>
      <c r="BK22" s="161"/>
      <c r="BL22" s="161"/>
      <c r="BM22" s="161"/>
      <c r="BN22" s="161"/>
      <c r="BO22" s="161"/>
      <c r="BP22" s="161"/>
      <c r="BQ22" s="161"/>
      <c r="BR22" s="161"/>
    </row>
    <row r="23" spans="1:70" s="132" customFormat="1" ht="14.5" x14ac:dyDescent="0.35">
      <c r="B23" s="198" t="s">
        <v>1752</v>
      </c>
      <c r="D23" s="200"/>
      <c r="E23" s="155"/>
      <c r="F23" s="162"/>
      <c r="G23" s="155"/>
      <c r="H23" s="155"/>
      <c r="I23" s="155"/>
      <c r="J23" s="155"/>
      <c r="K23" s="155"/>
      <c r="L23" s="162"/>
      <c r="M23" s="155"/>
      <c r="N23" s="155"/>
      <c r="O23" s="155"/>
      <c r="P23" s="155"/>
      <c r="Q23" s="155"/>
      <c r="R23" s="200">
        <f>(R22-L22)*10000</f>
        <v>20.967630025259254</v>
      </c>
      <c r="S23" s="155"/>
      <c r="T23" s="211">
        <f>(T22-N22)*10000</f>
        <v>219.69284772805463</v>
      </c>
      <c r="U23" s="211">
        <f>(U22-O22)*10000</f>
        <v>51.424179142189885</v>
      </c>
      <c r="V23" s="211">
        <f>(V22-P22)*10000</f>
        <v>-2.7994103451511876</v>
      </c>
      <c r="W23" s="211">
        <f>(W22-Q22)*10000</f>
        <v>193.85139481241819</v>
      </c>
      <c r="X23" s="200">
        <f>(X22-R22)*10000</f>
        <v>122.58790384221452</v>
      </c>
      <c r="Y23" s="155"/>
      <c r="Z23" s="211">
        <f>(Z22-T22)*10000</f>
        <v>-111.20645859258704</v>
      </c>
      <c r="AA23" s="211">
        <f>(AA22-U22)*10000</f>
        <v>-121.33747361950054</v>
      </c>
      <c r="AB23" s="211">
        <f>(AB22-V22)*10000</f>
        <v>0</v>
      </c>
      <c r="AC23" s="211">
        <f>(AC22-W22)*10000</f>
        <v>0</v>
      </c>
      <c r="AD23" s="200">
        <f>(AD22-X22)*10000</f>
        <v>-54.627807637747104</v>
      </c>
      <c r="AE23" s="155"/>
      <c r="AF23" s="211">
        <f>(AF22-Z22)*10000</f>
        <v>50.000000000000597</v>
      </c>
      <c r="AG23" s="211">
        <f t="shared" ref="AG23:AI23" si="13">(AG22-AA22)*10000</f>
        <v>50.000000000000043</v>
      </c>
      <c r="AH23" s="211">
        <f t="shared" si="13"/>
        <v>50.000000000000043</v>
      </c>
      <c r="AI23" s="211">
        <f t="shared" si="13"/>
        <v>50.000000000000043</v>
      </c>
      <c r="AJ23" s="200">
        <f>(AJ22-AD22)*10000</f>
        <v>50.283639137109759</v>
      </c>
      <c r="AK23" s="155"/>
      <c r="AL23" s="211">
        <f>(AL22-AF22)*10000</f>
        <v>0</v>
      </c>
      <c r="AM23" s="211">
        <f t="shared" ref="AM23:AO23" si="14">(AM22-AG22)*10000</f>
        <v>1.1102230246251565E-12</v>
      </c>
      <c r="AN23" s="211">
        <f t="shared" si="14"/>
        <v>0</v>
      </c>
      <c r="AO23" s="211">
        <f t="shared" si="14"/>
        <v>0</v>
      </c>
      <c r="AP23" s="200">
        <f>(AP22-AJ22)*10000</f>
        <v>1.1102230246251565E-12</v>
      </c>
      <c r="AQ23" s="212"/>
      <c r="AR23"/>
      <c r="AS23"/>
      <c r="AT23"/>
      <c r="AU23"/>
      <c r="AV23"/>
      <c r="AW23"/>
      <c r="AX23"/>
      <c r="AY23"/>
      <c r="AZ23"/>
      <c r="BA23"/>
      <c r="BB23"/>
      <c r="BC23"/>
      <c r="BD23" s="160"/>
      <c r="BE23" s="160"/>
      <c r="BF23" s="212"/>
      <c r="BG23" s="212"/>
      <c r="BH23" s="212"/>
      <c r="BI23" s="213"/>
      <c r="BJ23" s="213"/>
      <c r="BK23" s="213"/>
      <c r="BL23" s="213"/>
      <c r="BM23" s="213"/>
      <c r="BN23" s="213"/>
      <c r="BO23" s="213"/>
      <c r="BP23" s="213"/>
      <c r="BQ23" s="213"/>
      <c r="BR23" s="213"/>
    </row>
    <row r="24" spans="1:70" s="132" customFormat="1" ht="14.5" x14ac:dyDescent="0.35">
      <c r="D24" s="187"/>
      <c r="E24" s="203"/>
      <c r="F24" s="185"/>
      <c r="G24" s="203"/>
      <c r="H24" s="203"/>
      <c r="I24" s="203"/>
      <c r="J24" s="203"/>
      <c r="K24" s="203"/>
      <c r="L24" s="185"/>
      <c r="M24" s="203"/>
      <c r="N24" s="203"/>
      <c r="O24" s="203"/>
      <c r="P24" s="203"/>
      <c r="Q24" s="203"/>
      <c r="R24" s="187"/>
      <c r="S24" s="203"/>
      <c r="T24" s="203"/>
      <c r="U24" s="203"/>
      <c r="V24" s="204"/>
      <c r="W24" s="204"/>
      <c r="X24" s="187"/>
      <c r="Y24" s="203"/>
      <c r="Z24" s="204"/>
      <c r="AA24" s="204"/>
      <c r="AB24" s="204"/>
      <c r="AC24" s="204"/>
      <c r="AD24" s="187"/>
      <c r="AE24" s="203"/>
      <c r="AF24" s="204"/>
      <c r="AG24" s="204"/>
      <c r="AH24" s="204"/>
      <c r="AI24" s="204"/>
      <c r="AJ24" s="205"/>
      <c r="AK24" s="203"/>
      <c r="AL24" s="204"/>
      <c r="AM24" s="204"/>
      <c r="AN24" s="204"/>
      <c r="AO24" s="204"/>
      <c r="AP24" s="205"/>
      <c r="AQ24" s="204"/>
      <c r="AR24"/>
      <c r="AS24"/>
      <c r="AT24"/>
      <c r="AU24"/>
      <c r="AV24"/>
      <c r="AW24"/>
      <c r="AX24"/>
      <c r="AY24"/>
      <c r="AZ24"/>
      <c r="BA24"/>
      <c r="BB24"/>
      <c r="BC24"/>
      <c r="BD24" s="188"/>
      <c r="BE24" s="188"/>
      <c r="BF24" s="188"/>
      <c r="BG24" s="188"/>
      <c r="BH24" s="188"/>
      <c r="BI24" s="206"/>
      <c r="BJ24" s="206"/>
      <c r="BK24" s="206"/>
      <c r="BL24" s="206"/>
      <c r="BM24" s="206"/>
      <c r="BN24" s="206"/>
      <c r="BO24" s="206"/>
      <c r="BP24" s="206"/>
      <c r="BQ24" s="206"/>
      <c r="BR24" s="206"/>
    </row>
    <row r="25" spans="1:70" s="132" customFormat="1" ht="12.75" customHeight="1" x14ac:dyDescent="0.35">
      <c r="B25" s="189" t="s">
        <v>341</v>
      </c>
      <c r="D25" s="190"/>
      <c r="E25" s="191"/>
      <c r="F25" s="192"/>
      <c r="G25" s="191"/>
      <c r="H25" s="191"/>
      <c r="I25" s="191"/>
      <c r="J25" s="191"/>
      <c r="K25" s="191"/>
      <c r="L25" s="192">
        <v>32.933999999999997</v>
      </c>
      <c r="M25" s="191"/>
      <c r="N25" s="191">
        <v>7.7990000000000004</v>
      </c>
      <c r="O25" s="191">
        <v>6.7889999999999997</v>
      </c>
      <c r="P25" s="191">
        <v>8.3109999999999999</v>
      </c>
      <c r="Q25" s="191">
        <v>9.8800000000000008</v>
      </c>
      <c r="R25" s="190">
        <f>+SUM(N25:Q25)</f>
        <v>32.779000000000003</v>
      </c>
      <c r="S25" s="191"/>
      <c r="T25" s="193">
        <v>9.99</v>
      </c>
      <c r="U25" s="193">
        <v>11.68</v>
      </c>
      <c r="V25" s="193">
        <v>11.313000000000001</v>
      </c>
      <c r="W25" s="193">
        <v>11.961</v>
      </c>
      <c r="X25" s="190">
        <f>+SUM(T25:W25)</f>
        <v>44.944000000000003</v>
      </c>
      <c r="Y25" s="191"/>
      <c r="Z25" s="193">
        <v>13.773</v>
      </c>
      <c r="AA25" s="193">
        <v>12.946</v>
      </c>
      <c r="AB25" s="194">
        <f>AB26*AB$8</f>
        <v>11.787874900362411</v>
      </c>
      <c r="AC25" s="194">
        <f>AC26*AC$8</f>
        <v>12.106896904511094</v>
      </c>
      <c r="AD25" s="190">
        <f>+SUM(Z25:AC25)</f>
        <v>50.613771804873508</v>
      </c>
      <c r="AE25" s="191"/>
      <c r="AF25" s="194">
        <f>AF26*AF$8</f>
        <v>13.991142994840716</v>
      </c>
      <c r="AG25" s="194">
        <f t="shared" ref="AG25:AI25" si="15">AG26*AG$8</f>
        <v>13.18862335</v>
      </c>
      <c r="AH25" s="194">
        <f t="shared" si="15"/>
        <v>12.046474510362781</v>
      </c>
      <c r="AI25" s="194">
        <f t="shared" si="15"/>
        <v>12.346519139926873</v>
      </c>
      <c r="AJ25" s="190">
        <f>+SUM(AF25:AI25)</f>
        <v>51.572759995130369</v>
      </c>
      <c r="AK25" s="191"/>
      <c r="AL25" s="194">
        <f>AL26*AL$8</f>
        <v>14.571045012427975</v>
      </c>
      <c r="AM25" s="194">
        <f t="shared" ref="AM25:AO25" si="16">AM26*AM$8</f>
        <v>13.666845636000001</v>
      </c>
      <c r="AN25" s="194">
        <f t="shared" si="16"/>
        <v>12.398316707524804</v>
      </c>
      <c r="AO25" s="194">
        <f t="shared" si="16"/>
        <v>12.677751279389023</v>
      </c>
      <c r="AP25" s="190">
        <f>+SUM(AL25:AO25)</f>
        <v>53.313958635341805</v>
      </c>
      <c r="AQ25" s="195"/>
      <c r="AR25"/>
      <c r="AS25"/>
      <c r="AT25"/>
      <c r="AU25"/>
      <c r="AV25"/>
      <c r="AW25"/>
      <c r="AX25"/>
      <c r="AY25"/>
      <c r="AZ25"/>
      <c r="BA25"/>
      <c r="BB25"/>
      <c r="BC25"/>
      <c r="BD25" s="188"/>
      <c r="BE25" s="188"/>
      <c r="BF25" s="196"/>
      <c r="BG25" s="196"/>
      <c r="BH25" s="196"/>
      <c r="BI25" s="197"/>
      <c r="BJ25" s="197"/>
      <c r="BK25" s="197"/>
      <c r="BL25" s="197"/>
      <c r="BM25" s="197"/>
      <c r="BN25" s="197"/>
      <c r="BO25" s="197"/>
      <c r="BP25" s="197"/>
      <c r="BQ25" s="197"/>
      <c r="BR25" s="197"/>
    </row>
    <row r="26" spans="1:70" s="132" customFormat="1" ht="14.5" x14ac:dyDescent="0.35">
      <c r="B26" s="198" t="s">
        <v>1751</v>
      </c>
      <c r="D26" s="154"/>
      <c r="E26" s="155"/>
      <c r="F26" s="162"/>
      <c r="G26" s="155"/>
      <c r="H26" s="155"/>
      <c r="I26" s="155"/>
      <c r="J26" s="155"/>
      <c r="K26" s="155"/>
      <c r="L26" s="162">
        <v>6.8360846633331043E-2</v>
      </c>
      <c r="M26" s="155"/>
      <c r="N26" s="155">
        <v>7.0363319770117019E-2</v>
      </c>
      <c r="O26" s="155">
        <v>6.4661453620717568E-2</v>
      </c>
      <c r="P26" s="155">
        <v>6.0762695755165311E-2</v>
      </c>
      <c r="Q26" s="155">
        <v>6.3113246116107927E-2</v>
      </c>
      <c r="R26" s="154">
        <f>R25/R$8</f>
        <v>6.4379342988565347E-2</v>
      </c>
      <c r="S26" s="155"/>
      <c r="T26" s="157">
        <f>T25/T8</f>
        <v>7.5641705156356487E-2</v>
      </c>
      <c r="U26" s="157">
        <f>U25/U8</f>
        <v>6.680928466017641E-2</v>
      </c>
      <c r="V26" s="157">
        <f>V25/V8</f>
        <v>5.8657001975454592E-2</v>
      </c>
      <c r="W26" s="157">
        <f>W25/W8</f>
        <v>5.6278583930890407E-2</v>
      </c>
      <c r="X26" s="154">
        <f>X25/X$8</f>
        <v>6.3097452600397314E-2</v>
      </c>
      <c r="Y26" s="155"/>
      <c r="Z26" s="157">
        <f>Z25/Z8</f>
        <v>7.2534903439522652E-2</v>
      </c>
      <c r="AA26" s="157">
        <f>AA25/AA8</f>
        <v>6.4228695035249875E-2</v>
      </c>
      <c r="AB26" s="157">
        <f>V26+(AB27/10000)</f>
        <v>5.565700197545459E-2</v>
      </c>
      <c r="AC26" s="157">
        <f>W26+(AC27/10000)</f>
        <v>5.3278583930890404E-2</v>
      </c>
      <c r="AD26" s="154">
        <f>AD25/AD$8</f>
        <v>6.0945599484179179E-2</v>
      </c>
      <c r="AE26" s="155"/>
      <c r="AF26" s="157">
        <f>Z26+(AF27/10000)</f>
        <v>7.003490343952265E-2</v>
      </c>
      <c r="AG26" s="157">
        <f t="shared" ref="AG26:AI26" si="17">AA26+(AG27/10000)</f>
        <v>6.1728695035249873E-2</v>
      </c>
      <c r="AH26" s="157">
        <f t="shared" si="17"/>
        <v>5.3157001975454587E-2</v>
      </c>
      <c r="AI26" s="157">
        <f t="shared" si="17"/>
        <v>5.0778583930890402E-2</v>
      </c>
      <c r="AJ26" s="154">
        <f>AJ25/AJ$8</f>
        <v>5.8393507515650395E-2</v>
      </c>
      <c r="AK26" s="155"/>
      <c r="AL26" s="157">
        <f>AF26+(AL27/10000)</f>
        <v>6.7534903439522648E-2</v>
      </c>
      <c r="AM26" s="157">
        <f t="shared" ref="AM26:AO26" si="18">AG26+(AM27/10000)</f>
        <v>5.922869503524987E-2</v>
      </c>
      <c r="AN26" s="157">
        <f t="shared" si="18"/>
        <v>5.0657001975454585E-2</v>
      </c>
      <c r="AO26" s="157">
        <f t="shared" si="18"/>
        <v>4.8278583930890399E-2</v>
      </c>
      <c r="AP26" s="154">
        <f>AP25/AP$8</f>
        <v>5.5893507515650399E-2</v>
      </c>
      <c r="AQ26" s="212"/>
      <c r="AR26"/>
      <c r="AS26"/>
      <c r="AT26"/>
      <c r="AU26"/>
      <c r="AV26"/>
      <c r="AW26"/>
      <c r="AX26"/>
      <c r="AY26"/>
      <c r="AZ26"/>
      <c r="BA26"/>
      <c r="BB26"/>
      <c r="BC26"/>
      <c r="BD26" s="160"/>
      <c r="BE26" s="160"/>
      <c r="BF26" s="212"/>
      <c r="BG26" s="212"/>
      <c r="BH26" s="212"/>
      <c r="BI26" s="213"/>
      <c r="BJ26" s="213"/>
      <c r="BK26" s="213"/>
      <c r="BL26" s="213"/>
      <c r="BM26" s="213"/>
      <c r="BN26" s="213"/>
      <c r="BO26" s="213"/>
      <c r="BP26" s="213"/>
      <c r="BQ26" s="213"/>
      <c r="BR26" s="213"/>
    </row>
    <row r="27" spans="1:70" s="199" customFormat="1" ht="12.75" customHeight="1" x14ac:dyDescent="0.35">
      <c r="A27" s="199" t="s">
        <v>1754</v>
      </c>
      <c r="B27" s="198" t="s">
        <v>1752</v>
      </c>
      <c r="D27" s="200"/>
      <c r="E27" s="155"/>
      <c r="F27" s="162"/>
      <c r="G27" s="155"/>
      <c r="H27" s="155"/>
      <c r="I27" s="155"/>
      <c r="J27" s="155"/>
      <c r="K27" s="155"/>
      <c r="L27" s="162"/>
      <c r="M27" s="155"/>
      <c r="N27" s="155"/>
      <c r="O27" s="155"/>
      <c r="P27" s="155"/>
      <c r="Q27" s="155"/>
      <c r="R27" s="200">
        <f>(R26-L26)*10000</f>
        <v>-39.815036447656965</v>
      </c>
      <c r="S27" s="155"/>
      <c r="T27" s="201">
        <f>(T26-N26)*10000</f>
        <v>52.783853862394672</v>
      </c>
      <c r="U27" s="201">
        <f>(U26-O26)*10000</f>
        <v>21.478310394588419</v>
      </c>
      <c r="V27" s="201">
        <f>(V26-P26)*10000</f>
        <v>-21.056937797107185</v>
      </c>
      <c r="W27" s="201">
        <f>(W26-Q26)*10000</f>
        <v>-68.346621852175204</v>
      </c>
      <c r="X27" s="200">
        <f>(X26-R26)*10000</f>
        <v>-12.818903881680333</v>
      </c>
      <c r="Y27" s="155"/>
      <c r="Z27" s="201">
        <f>(Z26-T26)*10000</f>
        <v>-31.068017168338347</v>
      </c>
      <c r="AA27" s="201">
        <f>(AA26-U26)*10000</f>
        <v>-25.805896249265352</v>
      </c>
      <c r="AB27" s="202">
        <v>-30</v>
      </c>
      <c r="AC27" s="202">
        <v>-30</v>
      </c>
      <c r="AD27" s="200">
        <f>(AD26-X26)*10000</f>
        <v>-21.518531162181347</v>
      </c>
      <c r="AE27" s="155"/>
      <c r="AF27" s="202">
        <v>-25</v>
      </c>
      <c r="AG27" s="202">
        <v>-25</v>
      </c>
      <c r="AH27" s="202">
        <v>-25</v>
      </c>
      <c r="AI27" s="202">
        <v>-25</v>
      </c>
      <c r="AJ27" s="200">
        <f>(AJ26-AD26)*10000</f>
        <v>-25.520919685287843</v>
      </c>
      <c r="AK27" s="155"/>
      <c r="AL27" s="202">
        <v>-25</v>
      </c>
      <c r="AM27" s="202">
        <v>-25</v>
      </c>
      <c r="AN27" s="202">
        <v>-25</v>
      </c>
      <c r="AO27" s="202">
        <v>-25</v>
      </c>
      <c r="AP27" s="200">
        <f>(AP26-AJ26)*10000</f>
        <v>-24.999999999999954</v>
      </c>
      <c r="AQ27" s="158"/>
      <c r="AR27"/>
      <c r="AS27"/>
      <c r="AT27"/>
      <c r="AU27"/>
      <c r="AV27"/>
      <c r="AW27"/>
      <c r="AX27"/>
      <c r="AY27"/>
      <c r="AZ27"/>
      <c r="BA27"/>
      <c r="BB27"/>
      <c r="BC27"/>
      <c r="BD27" s="160"/>
      <c r="BE27" s="160"/>
      <c r="BF27" s="158"/>
      <c r="BG27" s="158"/>
      <c r="BH27" s="158"/>
      <c r="BI27" s="161"/>
      <c r="BJ27" s="161"/>
      <c r="BK27" s="161"/>
      <c r="BL27" s="161"/>
      <c r="BM27" s="161"/>
      <c r="BN27" s="161"/>
      <c r="BO27" s="161"/>
      <c r="BP27" s="161"/>
      <c r="BQ27" s="161"/>
      <c r="BR27" s="161"/>
    </row>
    <row r="28" spans="1:70" s="132" customFormat="1" ht="14.5" x14ac:dyDescent="0.35">
      <c r="D28" s="187"/>
      <c r="E28" s="203"/>
      <c r="F28" s="185"/>
      <c r="G28" s="203"/>
      <c r="H28" s="203"/>
      <c r="I28" s="203"/>
      <c r="J28" s="203"/>
      <c r="K28" s="203"/>
      <c r="L28" s="185"/>
      <c r="M28" s="203"/>
      <c r="N28" s="203"/>
      <c r="O28" s="203"/>
      <c r="P28" s="203"/>
      <c r="Q28" s="203"/>
      <c r="R28" s="187"/>
      <c r="S28" s="203"/>
      <c r="T28" s="203"/>
      <c r="U28" s="203"/>
      <c r="V28" s="204"/>
      <c r="W28" s="204"/>
      <c r="X28" s="187"/>
      <c r="Y28" s="203"/>
      <c r="Z28" s="204"/>
      <c r="AA28" s="204"/>
      <c r="AB28" s="204"/>
      <c r="AC28" s="204"/>
      <c r="AD28" s="187"/>
      <c r="AE28" s="203"/>
      <c r="AF28" s="204"/>
      <c r="AG28" s="204"/>
      <c r="AH28" s="204"/>
      <c r="AI28" s="204"/>
      <c r="AJ28" s="205"/>
      <c r="AK28" s="203"/>
      <c r="AL28" s="204"/>
      <c r="AM28" s="204"/>
      <c r="AN28" s="204"/>
      <c r="AO28" s="204"/>
      <c r="AP28" s="205"/>
      <c r="AQ28" s="204"/>
      <c r="AR28"/>
      <c r="AS28"/>
      <c r="AT28"/>
      <c r="AU28"/>
      <c r="AV28"/>
      <c r="AW28"/>
      <c r="AX28"/>
      <c r="AY28"/>
      <c r="AZ28"/>
      <c r="BA28"/>
      <c r="BB28"/>
      <c r="BC28"/>
      <c r="BD28" s="188"/>
      <c r="BE28" s="188"/>
      <c r="BF28" s="188"/>
      <c r="BG28" s="188"/>
      <c r="BH28" s="188"/>
      <c r="BI28" s="206"/>
      <c r="BJ28" s="206"/>
      <c r="BK28" s="206"/>
      <c r="BL28" s="206"/>
      <c r="BM28" s="206"/>
      <c r="BN28" s="206"/>
      <c r="BO28" s="206"/>
      <c r="BP28" s="206"/>
      <c r="BQ28" s="206"/>
      <c r="BR28" s="206"/>
    </row>
    <row r="29" spans="1:70" s="132" customFormat="1" ht="12.75" customHeight="1" x14ac:dyDescent="0.35">
      <c r="B29" s="189" t="s">
        <v>357</v>
      </c>
      <c r="D29" s="190"/>
      <c r="E29" s="191"/>
      <c r="F29" s="192"/>
      <c r="G29" s="191"/>
      <c r="H29" s="191"/>
      <c r="I29" s="191"/>
      <c r="J29" s="191"/>
      <c r="K29" s="191"/>
      <c r="L29" s="192">
        <v>80.182000000000002</v>
      </c>
      <c r="M29" s="191"/>
      <c r="N29" s="191">
        <v>18.337</v>
      </c>
      <c r="O29" s="191">
        <v>15.042</v>
      </c>
      <c r="P29" s="191">
        <v>18.446000000000002</v>
      </c>
      <c r="Q29" s="191">
        <v>20.021000000000001</v>
      </c>
      <c r="R29" s="190">
        <f>+SUM(N29:Q29)</f>
        <v>71.846000000000004</v>
      </c>
      <c r="S29" s="191"/>
      <c r="T29" s="193">
        <v>19.887</v>
      </c>
      <c r="U29" s="193">
        <v>25.074999999999999</v>
      </c>
      <c r="V29" s="193">
        <v>27.202999999999999</v>
      </c>
      <c r="W29" s="193">
        <v>31.724</v>
      </c>
      <c r="X29" s="190">
        <f>+SUM(T29:W29)</f>
        <v>103.88900000000001</v>
      </c>
      <c r="Y29" s="191"/>
      <c r="Z29" s="193">
        <v>28.545000000000002</v>
      </c>
      <c r="AA29" s="193">
        <v>31.135999999999999</v>
      </c>
      <c r="AB29" s="194">
        <f>AB30*AB$8</f>
        <v>25.636807384036565</v>
      </c>
      <c r="AC29" s="194">
        <f>AC30*AC$8</f>
        <v>29.374306272258675</v>
      </c>
      <c r="AD29" s="190">
        <f>+SUM(Z29:AC29)</f>
        <v>114.69211365629525</v>
      </c>
      <c r="AE29" s="191"/>
      <c r="AF29" s="194">
        <f>AF30*AF$8</f>
        <v>29.53276885482671</v>
      </c>
      <c r="AG29" s="194">
        <f t="shared" ref="AG29:AI29" si="19">AG30*AG$8</f>
        <v>32.470023349999998</v>
      </c>
      <c r="AH29" s="194">
        <f t="shared" si="19"/>
        <v>26.864832267894126</v>
      </c>
      <c r="AI29" s="194">
        <f t="shared" si="19"/>
        <v>30.822647163416786</v>
      </c>
      <c r="AJ29" s="190">
        <f>+SUM(AF29:AI29)</f>
        <v>119.69027163613762</v>
      </c>
      <c r="AK29" s="191"/>
      <c r="AL29" s="194">
        <f>AL30*AL$8</f>
        <v>31.356000941212848</v>
      </c>
      <c r="AM29" s="194">
        <f t="shared" ref="AM29:AO29" si="20">AM30*AM$8</f>
        <v>34.490757636000005</v>
      </c>
      <c r="AN29" s="194">
        <f t="shared" si="20"/>
        <v>28.402143085658658</v>
      </c>
      <c r="AO29" s="194">
        <f t="shared" si="20"/>
        <v>32.631969544758135</v>
      </c>
      <c r="AP29" s="190">
        <f>+SUM(AL29:AO29)</f>
        <v>126.88087120762964</v>
      </c>
      <c r="AQ29" s="195"/>
      <c r="AR29"/>
      <c r="AS29"/>
      <c r="AT29"/>
      <c r="AU29"/>
      <c r="AV29"/>
      <c r="AW29"/>
      <c r="AX29"/>
      <c r="AY29"/>
      <c r="AZ29"/>
      <c r="BA29"/>
      <c r="BB29"/>
      <c r="BC29"/>
      <c r="BD29" s="214"/>
      <c r="BE29" s="214"/>
      <c r="BF29" s="196"/>
      <c r="BG29" s="196"/>
      <c r="BH29" s="196"/>
      <c r="BI29" s="197"/>
      <c r="BJ29" s="197"/>
      <c r="BK29" s="197"/>
      <c r="BL29" s="197"/>
      <c r="BM29" s="197"/>
      <c r="BN29" s="197"/>
      <c r="BO29" s="197"/>
      <c r="BP29" s="197"/>
      <c r="BQ29" s="197"/>
      <c r="BR29" s="197"/>
    </row>
    <row r="30" spans="1:70" s="132" customFormat="1" ht="14.5" x14ac:dyDescent="0.35">
      <c r="B30" s="198" t="s">
        <v>1751</v>
      </c>
      <c r="D30" s="154"/>
      <c r="E30" s="155"/>
      <c r="F30" s="162"/>
      <c r="G30" s="155"/>
      <c r="H30" s="155"/>
      <c r="I30" s="155"/>
      <c r="J30" s="155"/>
      <c r="K30" s="155"/>
      <c r="L30" s="162">
        <v>0.16643315129512815</v>
      </c>
      <c r="M30" s="155"/>
      <c r="N30" s="155">
        <v>0.16543815804906215</v>
      </c>
      <c r="O30" s="155">
        <v>0.14326669397007419</v>
      </c>
      <c r="P30" s="155">
        <v>0.13486086943806755</v>
      </c>
      <c r="Q30" s="155">
        <v>0.12789375511038431</v>
      </c>
      <c r="R30" s="154">
        <f>R29/R$8</f>
        <v>0.14110858404333465</v>
      </c>
      <c r="S30" s="155"/>
      <c r="T30" s="157">
        <f>T29/T8</f>
        <v>0.15057923828272887</v>
      </c>
      <c r="U30" s="157">
        <f>U29/U8</f>
        <v>0.14342832301831535</v>
      </c>
      <c r="V30" s="157">
        <f>V29/V8</f>
        <v>0.14104538360631938</v>
      </c>
      <c r="W30" s="157">
        <f>W29/W8</f>
        <v>0.14926693392053902</v>
      </c>
      <c r="X30" s="154">
        <f>X29/X$8</f>
        <v>0.14585108697941165</v>
      </c>
      <c r="Y30" s="155"/>
      <c r="Z30" s="157">
        <f>Z29/Z8</f>
        <v>0.15033099678219516</v>
      </c>
      <c r="AA30" s="157">
        <f>AA29/AA8</f>
        <v>0.1544743278709671</v>
      </c>
      <c r="AB30" s="157">
        <f>V30+(AB31/10000)</f>
        <v>0.12104538360631938</v>
      </c>
      <c r="AC30" s="157">
        <f>W30+(AC31/10000)</f>
        <v>0.12926693392053903</v>
      </c>
      <c r="AD30" s="154">
        <f>AD29/AD$8</f>
        <v>0.13810430192474757</v>
      </c>
      <c r="AE30" s="155"/>
      <c r="AF30" s="157">
        <f>Z30+(AF31/10000)</f>
        <v>0.14783099678219516</v>
      </c>
      <c r="AG30" s="157">
        <f t="shared" ref="AG30:AI30" si="21">AA30+(AG31/10000)</f>
        <v>0.1519743278709671</v>
      </c>
      <c r="AH30" s="157">
        <f t="shared" si="21"/>
        <v>0.11854538360631937</v>
      </c>
      <c r="AI30" s="157">
        <f t="shared" si="21"/>
        <v>0.12676693392053903</v>
      </c>
      <c r="AJ30" s="154">
        <f>AJ29/AJ$8</f>
        <v>0.1355198902869455</v>
      </c>
      <c r="AK30" s="155"/>
      <c r="AL30" s="157">
        <f>AF30+(AL31/10000)</f>
        <v>0.14533099678219516</v>
      </c>
      <c r="AM30" s="157">
        <f t="shared" ref="AM30:AO30" si="22">AG30+(AM31/10000)</f>
        <v>0.14947432787096709</v>
      </c>
      <c r="AN30" s="157">
        <f t="shared" si="22"/>
        <v>0.11604538360631937</v>
      </c>
      <c r="AO30" s="157">
        <f t="shared" si="22"/>
        <v>0.12426693392053903</v>
      </c>
      <c r="AP30" s="154">
        <f>AP29/AP$8</f>
        <v>0.1330198902869455</v>
      </c>
      <c r="AQ30" s="212"/>
      <c r="AR30"/>
      <c r="AS30"/>
      <c r="AT30"/>
      <c r="AU30"/>
      <c r="AV30"/>
      <c r="AW30"/>
      <c r="AX30"/>
      <c r="AY30"/>
      <c r="AZ30"/>
      <c r="BA30"/>
      <c r="BB30"/>
      <c r="BC30"/>
      <c r="BD30" s="160"/>
      <c r="BE30" s="160"/>
      <c r="BF30" s="212"/>
      <c r="BG30" s="212"/>
      <c r="BH30" s="212"/>
      <c r="BI30" s="212"/>
      <c r="BJ30" s="212"/>
      <c r="BK30" s="212"/>
      <c r="BL30" s="212"/>
      <c r="BM30" s="212"/>
      <c r="BN30" s="212"/>
      <c r="BO30" s="212"/>
      <c r="BP30" s="212"/>
      <c r="BQ30" s="212"/>
      <c r="BR30" s="212"/>
    </row>
    <row r="31" spans="1:70" s="199" customFormat="1" ht="12.75" customHeight="1" x14ac:dyDescent="0.35">
      <c r="B31" s="198" t="s">
        <v>1752</v>
      </c>
      <c r="D31" s="200"/>
      <c r="E31" s="155"/>
      <c r="F31" s="162"/>
      <c r="G31" s="155"/>
      <c r="H31" s="155"/>
      <c r="I31" s="155"/>
      <c r="J31" s="155"/>
      <c r="K31" s="155"/>
      <c r="L31" s="162"/>
      <c r="M31" s="155"/>
      <c r="N31" s="155"/>
      <c r="O31" s="155"/>
      <c r="P31" s="155"/>
      <c r="Q31" s="155"/>
      <c r="R31" s="200">
        <f>(R30-L30)*10000</f>
        <v>-253.24567251793496</v>
      </c>
      <c r="S31" s="155"/>
      <c r="T31" s="201">
        <f>(T30-N30)*10000</f>
        <v>-148.58919766333273</v>
      </c>
      <c r="U31" s="201">
        <f>(U30-O30)*10000</f>
        <v>1.6162904824115754</v>
      </c>
      <c r="V31" s="201">
        <f>(V30-P30)*10000</f>
        <v>61.84514168251831</v>
      </c>
      <c r="W31" s="201">
        <f>(W30-Q30)*10000</f>
        <v>213.73178810154712</v>
      </c>
      <c r="X31" s="200">
        <f>(X30-R30)*10000</f>
        <v>47.425029360770033</v>
      </c>
      <c r="Y31" s="155"/>
      <c r="Z31" s="201">
        <f>(Z30-T30)*10000</f>
        <v>-2.4824150053370797</v>
      </c>
      <c r="AA31" s="201">
        <f>(AA30-U30)*10000</f>
        <v>110.46004852651753</v>
      </c>
      <c r="AB31" s="202">
        <v>-200</v>
      </c>
      <c r="AC31" s="202">
        <v>-200</v>
      </c>
      <c r="AD31" s="200">
        <f>(AD30-X30)*10000</f>
        <v>-77.467850546640847</v>
      </c>
      <c r="AE31" s="155"/>
      <c r="AF31" s="202">
        <v>-25</v>
      </c>
      <c r="AG31" s="202">
        <v>-25</v>
      </c>
      <c r="AH31" s="202">
        <v>-25</v>
      </c>
      <c r="AI31" s="202">
        <v>-25</v>
      </c>
      <c r="AJ31" s="200">
        <f>(AJ30-AD30)*10000</f>
        <v>-25.844116378020697</v>
      </c>
      <c r="AK31" s="155"/>
      <c r="AL31" s="202">
        <v>-25</v>
      </c>
      <c r="AM31" s="202">
        <v>-25</v>
      </c>
      <c r="AN31" s="202">
        <v>-25</v>
      </c>
      <c r="AO31" s="202">
        <v>-25</v>
      </c>
      <c r="AP31" s="200">
        <f>(AP30-AJ30)*10000</f>
        <v>-25.000000000000021</v>
      </c>
      <c r="AQ31" s="158"/>
      <c r="AR31"/>
      <c r="AS31"/>
      <c r="AT31"/>
      <c r="AU31"/>
      <c r="AV31"/>
      <c r="AW31"/>
      <c r="AX31"/>
      <c r="AY31"/>
      <c r="AZ31"/>
      <c r="BA31"/>
      <c r="BB31"/>
      <c r="BC31"/>
      <c r="BD31" s="160"/>
      <c r="BE31" s="160"/>
      <c r="BF31" s="158"/>
      <c r="BG31" s="158"/>
      <c r="BH31" s="158"/>
      <c r="BI31" s="161"/>
      <c r="BJ31" s="161"/>
      <c r="BK31" s="161"/>
      <c r="BL31" s="161"/>
      <c r="BM31" s="161"/>
      <c r="BN31" s="161"/>
      <c r="BO31" s="161"/>
      <c r="BP31" s="161"/>
      <c r="BQ31" s="161"/>
      <c r="BR31" s="161"/>
    </row>
    <row r="32" spans="1:70" s="132" customFormat="1" ht="15" thickBot="1" x14ac:dyDescent="0.4">
      <c r="D32" s="215"/>
      <c r="E32" s="216"/>
      <c r="F32" s="215"/>
      <c r="G32" s="216"/>
      <c r="H32" s="216"/>
      <c r="I32" s="216"/>
      <c r="J32" s="216"/>
      <c r="K32" s="216"/>
      <c r="L32" s="215"/>
      <c r="M32" s="216"/>
      <c r="N32" s="216"/>
      <c r="O32" s="216"/>
      <c r="P32" s="216"/>
      <c r="Q32" s="216"/>
      <c r="R32" s="187"/>
      <c r="S32" s="216"/>
      <c r="T32" s="216"/>
      <c r="U32" s="216"/>
      <c r="V32" s="217"/>
      <c r="W32" s="217"/>
      <c r="X32" s="218"/>
      <c r="Y32" s="216"/>
      <c r="Z32" s="217"/>
      <c r="AA32" s="217"/>
      <c r="AB32" s="217"/>
      <c r="AC32" s="217"/>
      <c r="AD32" s="218"/>
      <c r="AE32" s="216"/>
      <c r="AF32" s="217"/>
      <c r="AG32" s="217"/>
      <c r="AH32" s="217"/>
      <c r="AI32" s="217"/>
      <c r="AJ32" s="218"/>
      <c r="AK32" s="216"/>
      <c r="AL32" s="217"/>
      <c r="AM32" s="217"/>
      <c r="AN32" s="217"/>
      <c r="AO32" s="217"/>
      <c r="AP32" s="218"/>
      <c r="AQ32" s="217"/>
      <c r="AR32"/>
      <c r="AS32"/>
      <c r="AT32"/>
      <c r="AU32"/>
      <c r="AV32"/>
      <c r="AW32"/>
      <c r="AX32"/>
      <c r="AY32"/>
      <c r="AZ32"/>
      <c r="BA32"/>
      <c r="BB32"/>
      <c r="BC32"/>
      <c r="BD32" s="217"/>
      <c r="BE32" s="217"/>
      <c r="BF32" s="219"/>
      <c r="BG32" s="219"/>
      <c r="BH32" s="219"/>
      <c r="BI32" s="219"/>
      <c r="BJ32" s="219"/>
      <c r="BK32" s="219"/>
      <c r="BL32" s="219"/>
      <c r="BM32" s="219"/>
      <c r="BN32" s="219"/>
      <c r="BO32" s="219"/>
      <c r="BP32" s="219"/>
      <c r="BQ32" s="219"/>
      <c r="BR32" s="219"/>
    </row>
    <row r="33" spans="2:72" s="132" customFormat="1" ht="14.5" x14ac:dyDescent="0.35">
      <c r="B33" s="220" t="s">
        <v>1755</v>
      </c>
      <c r="C33" s="221"/>
      <c r="D33" s="222">
        <v>73</v>
      </c>
      <c r="E33" s="223"/>
      <c r="F33" s="222">
        <v>100</v>
      </c>
      <c r="G33" s="223"/>
      <c r="H33" s="223">
        <v>25.091999999999999</v>
      </c>
      <c r="I33" s="223">
        <v>33.362000000000002</v>
      </c>
      <c r="J33" s="223">
        <v>33.491</v>
      </c>
      <c r="K33" s="223">
        <v>31.827999999999999</v>
      </c>
      <c r="L33" s="224">
        <f>+SUM(H33:K33)</f>
        <v>123.773</v>
      </c>
      <c r="M33" s="223"/>
      <c r="N33" s="225">
        <f>+N8-N16-N25-N29</f>
        <v>27.211000000000002</v>
      </c>
      <c r="O33" s="225">
        <f>+O8-O16-O25-O29</f>
        <v>31.653999999999989</v>
      </c>
      <c r="P33" s="225">
        <f>+P8-P16-P25-P29</f>
        <v>43.288999999999987</v>
      </c>
      <c r="Q33" s="225">
        <f>+K33*(1+Q34)</f>
        <v>44.642950764047704</v>
      </c>
      <c r="R33" s="224">
        <f>+SUM(N33:Q33)</f>
        <v>146.79695076404769</v>
      </c>
      <c r="S33" s="223"/>
      <c r="T33" s="225">
        <f>+T8-T16-T25-T29</f>
        <v>36.589999999999996</v>
      </c>
      <c r="U33" s="223">
        <v>56.322000000000003</v>
      </c>
      <c r="V33" s="223">
        <v>63.944000000000003</v>
      </c>
      <c r="W33" s="223">
        <v>69.438000000000002</v>
      </c>
      <c r="X33" s="224">
        <f>+SUM(T33:W33)</f>
        <v>226.29399999999998</v>
      </c>
      <c r="Y33" s="223"/>
      <c r="Z33" s="223">
        <v>53.6</v>
      </c>
      <c r="AA33" s="223">
        <v>60.834000000000003</v>
      </c>
      <c r="AB33" s="225">
        <f>+AB8-AB16-AB25-AB29</f>
        <v>70.979324187148791</v>
      </c>
      <c r="AC33" s="225">
        <f>+AC8-AC16-AC25-AC29</f>
        <v>71.132550016575237</v>
      </c>
      <c r="AD33" s="224">
        <f>+SUM(Z33:AC33)</f>
        <v>256.545874203724</v>
      </c>
      <c r="AE33" s="223"/>
      <c r="AF33" s="225">
        <f>+AF8-AF16-AF25-AF29</f>
        <v>55.793731930138364</v>
      </c>
      <c r="AG33" s="225">
        <f t="shared" ref="AG33:AI33" si="23">+AG8-AG16-AG25-AG29</f>
        <v>62.754766600000004</v>
      </c>
      <c r="AH33" s="225">
        <f t="shared" si="23"/>
        <v>78.214083412349197</v>
      </c>
      <c r="AI33" s="225">
        <f t="shared" si="23"/>
        <v>78.543270709335502</v>
      </c>
      <c r="AJ33" s="226">
        <f>+SUM(AF33:AI33)</f>
        <v>275.3058526518231</v>
      </c>
      <c r="AK33" s="227"/>
      <c r="AL33" s="225">
        <f>+AL8-AL16-AL25-AL29</f>
        <v>61.336009328549444</v>
      </c>
      <c r="AM33" s="225">
        <f t="shared" ref="AM33:AO33" si="24">+AM8-AM16-AM25-AM29</f>
        <v>68.928883092000007</v>
      </c>
      <c r="AN33" s="225">
        <f t="shared" si="24"/>
        <v>85.694961612671165</v>
      </c>
      <c r="AO33" s="228">
        <f t="shared" si="24"/>
        <v>86.139711149546358</v>
      </c>
      <c r="AP33" s="229">
        <f>+SUM(AL33:AO33)</f>
        <v>302.09956518276698</v>
      </c>
      <c r="AQ33" s="149"/>
      <c r="AR33"/>
      <c r="AS33"/>
      <c r="AT33"/>
      <c r="AU33"/>
      <c r="AV33"/>
      <c r="AW33"/>
      <c r="AX33"/>
      <c r="AY33"/>
      <c r="AZ33"/>
      <c r="BA33"/>
      <c r="BB33"/>
      <c r="BC33"/>
      <c r="BD33" s="149"/>
      <c r="BE33" s="149"/>
      <c r="BF33" s="151"/>
      <c r="BG33" s="151"/>
      <c r="BH33" s="151"/>
      <c r="BI33" s="152"/>
      <c r="BJ33" s="152"/>
      <c r="BK33" s="152"/>
      <c r="BL33" s="152"/>
      <c r="BM33" s="152"/>
      <c r="BN33" s="152"/>
      <c r="BO33" s="152"/>
      <c r="BP33" s="152"/>
      <c r="BQ33" s="152"/>
      <c r="BR33" s="152"/>
    </row>
    <row r="34" spans="2:72" s="132" customFormat="1" ht="14.5" x14ac:dyDescent="0.35">
      <c r="B34" s="230" t="s">
        <v>1745</v>
      </c>
      <c r="C34" s="163"/>
      <c r="D34" s="165"/>
      <c r="E34" s="231"/>
      <c r="F34" s="232">
        <f>F33/D33-1</f>
        <v>0.36986301369863006</v>
      </c>
      <c r="G34" s="231"/>
      <c r="H34" s="231"/>
      <c r="I34" s="231"/>
      <c r="J34" s="231"/>
      <c r="K34" s="231"/>
      <c r="L34" s="165">
        <f>L33/F33-1</f>
        <v>0.23773</v>
      </c>
      <c r="M34" s="231"/>
      <c r="N34" s="231">
        <v>8.515843142313953E-2</v>
      </c>
      <c r="O34" s="231">
        <v>-5.1242458277465611E-2</v>
      </c>
      <c r="P34" s="231">
        <v>0.2926196852666319</v>
      </c>
      <c r="Q34" s="231">
        <v>0.40263135490912727</v>
      </c>
      <c r="R34" s="165">
        <f>R33/L33-1</f>
        <v>0.18601755442663337</v>
      </c>
      <c r="S34" s="231"/>
      <c r="T34" s="233">
        <f>T33/N33-1</f>
        <v>0.34467678512366295</v>
      </c>
      <c r="U34" s="233">
        <f>U33/O33-1</f>
        <v>0.77930119416187593</v>
      </c>
      <c r="V34" s="233">
        <f>V33/P33-1</f>
        <v>0.47714199912217925</v>
      </c>
      <c r="W34" s="233">
        <f>W33/Q33-1</f>
        <v>0.55540793813119738</v>
      </c>
      <c r="X34" s="165">
        <f>X33/R33-1</f>
        <v>0.54154428155480505</v>
      </c>
      <c r="Y34" s="231"/>
      <c r="Z34" s="233">
        <f>Z33/T33-1</f>
        <v>0.46488111505875951</v>
      </c>
      <c r="AA34" s="233">
        <f>AA33/U33-1</f>
        <v>8.0110791520187519E-2</v>
      </c>
      <c r="AB34" s="233">
        <f>AB33/V33-1</f>
        <v>0.11002321073359167</v>
      </c>
      <c r="AC34" s="233">
        <f>AC33/W33-1</f>
        <v>2.440378490992301E-2</v>
      </c>
      <c r="AD34" s="165">
        <f>AD33/X33-1</f>
        <v>0.13368394302864428</v>
      </c>
      <c r="AE34" s="231"/>
      <c r="AF34" s="233">
        <f>AF33/Z33-1</f>
        <v>4.0927834517506811E-2</v>
      </c>
      <c r="AG34" s="233">
        <f t="shared" ref="AG34:AI34" si="25">AG33/AA33-1</f>
        <v>3.1573899464115485E-2</v>
      </c>
      <c r="AH34" s="233">
        <f t="shared" si="25"/>
        <v>0.10192769948224312</v>
      </c>
      <c r="AI34" s="233">
        <f t="shared" si="25"/>
        <v>0.10418185051756801</v>
      </c>
      <c r="AJ34" s="234">
        <f>AJ33/AD33-1</f>
        <v>7.3125239321532476E-2</v>
      </c>
      <c r="AK34" s="235"/>
      <c r="AL34" s="233">
        <f>AL33/AF33-1</f>
        <v>9.9335126127622964E-2</v>
      </c>
      <c r="AM34" s="233">
        <f t="shared" ref="AM34:AO34" si="26">AM33/AG33-1</f>
        <v>9.838482120974068E-2</v>
      </c>
      <c r="AN34" s="233">
        <f t="shared" si="26"/>
        <v>9.5646178717998076E-2</v>
      </c>
      <c r="AO34" s="236">
        <f t="shared" si="26"/>
        <v>9.6716629847551694E-2</v>
      </c>
      <c r="AP34" s="237">
        <f>AP33/AJ33-1</f>
        <v>9.7323439632174047E-2</v>
      </c>
      <c r="AQ34" s="212"/>
      <c r="AR34"/>
      <c r="AS34"/>
      <c r="AT34"/>
      <c r="AU34"/>
      <c r="AV34"/>
      <c r="AW34"/>
      <c r="AX34"/>
      <c r="AY34"/>
      <c r="AZ34"/>
      <c r="BA34"/>
      <c r="BB34"/>
      <c r="BC34"/>
      <c r="BD34" s="160"/>
      <c r="BE34" s="160"/>
      <c r="BF34" s="212"/>
      <c r="BG34" s="212"/>
      <c r="BH34" s="212"/>
      <c r="BI34" s="213"/>
      <c r="BJ34" s="213"/>
      <c r="BK34" s="213"/>
      <c r="BL34" s="213"/>
      <c r="BM34" s="213"/>
      <c r="BN34" s="213"/>
      <c r="BO34" s="213"/>
      <c r="BP34" s="213"/>
      <c r="BQ34" s="213"/>
      <c r="BR34" s="213"/>
    </row>
    <row r="35" spans="2:72" s="132" customFormat="1" ht="16.5" customHeight="1" x14ac:dyDescent="0.35">
      <c r="B35" s="238" t="s">
        <v>1756</v>
      </c>
      <c r="C35" s="163"/>
      <c r="D35" s="209">
        <f>+D33/D8</f>
        <v>0.18204488778054864</v>
      </c>
      <c r="E35" s="239"/>
      <c r="F35" s="209">
        <f>+F33/F8</f>
        <v>0.22371364653243847</v>
      </c>
      <c r="G35" s="239"/>
      <c r="H35" s="239"/>
      <c r="I35" s="239"/>
      <c r="J35" s="239"/>
      <c r="K35" s="239"/>
      <c r="L35" s="209">
        <f>+L33/L8</f>
        <v>0.2569146496127796</v>
      </c>
      <c r="M35" s="239"/>
      <c r="N35" s="240">
        <f>+N33/N8</f>
        <v>0.24550023006342536</v>
      </c>
      <c r="O35" s="240">
        <f>+O33/O8</f>
        <v>0.30148676578438555</v>
      </c>
      <c r="P35" s="240">
        <f>+P33/P8</f>
        <v>0.31649095614791845</v>
      </c>
      <c r="Q35" s="240">
        <f>+Q33/Q8</f>
        <v>0.28517829341301937</v>
      </c>
      <c r="R35" s="209">
        <f>+R33/R8</f>
        <v>0.28831542276805777</v>
      </c>
      <c r="S35" s="239"/>
      <c r="T35" s="240">
        <f>+T33/T8</f>
        <v>0.27705004921632465</v>
      </c>
      <c r="U35" s="240">
        <f>+U33/U8</f>
        <v>0.32216031940329243</v>
      </c>
      <c r="V35" s="240">
        <f>+V33/V8</f>
        <v>0.33154453587187027</v>
      </c>
      <c r="W35" s="240">
        <f>+W33/W8</f>
        <v>0.32671785895770988</v>
      </c>
      <c r="X35" s="209">
        <f>+X33/X8</f>
        <v>0.31769702159919694</v>
      </c>
      <c r="Y35" s="239"/>
      <c r="Z35" s="240">
        <f>+Z33/Z8</f>
        <v>0.28228206086970259</v>
      </c>
      <c r="AA35" s="240">
        <f>+AA33/AA8</f>
        <v>0.30181433908345368</v>
      </c>
      <c r="AB35" s="240">
        <f>+AB33/AB8</f>
        <v>0.33513219472486228</v>
      </c>
      <c r="AC35" s="240">
        <f>+AC33/AC8</f>
        <v>0.31303161876799729</v>
      </c>
      <c r="AD35" s="209">
        <f>+AD33/AD8</f>
        <v>0.30891477834958109</v>
      </c>
      <c r="AE35" s="239"/>
      <c r="AF35" s="240">
        <f>+AF33/AF8</f>
        <v>0.27928444657443352</v>
      </c>
      <c r="AG35" s="240">
        <f>+AG33/AG8</f>
        <v>0.29372056102122929</v>
      </c>
      <c r="AH35" s="240">
        <f>+AH33/AH8</f>
        <v>0.34513219472486217</v>
      </c>
      <c r="AI35" s="240">
        <f>+AI33/AI8</f>
        <v>0.32303161876799724</v>
      </c>
      <c r="AJ35" s="241">
        <f>+AJ33/AJ8</f>
        <v>0.31171638627532666</v>
      </c>
      <c r="AK35" s="242"/>
      <c r="AL35" s="240">
        <f>+AL33/AL8</f>
        <v>0.28428444657443352</v>
      </c>
      <c r="AM35" s="240">
        <f>+AM33/AM8</f>
        <v>0.29872056102122929</v>
      </c>
      <c r="AN35" s="240">
        <f>+AN33/AN8</f>
        <v>0.35013219472486229</v>
      </c>
      <c r="AO35" s="243">
        <f>+AO33/AO8</f>
        <v>0.32803161876799725</v>
      </c>
      <c r="AP35" s="244">
        <f>+AP33/AP8</f>
        <v>0.31671638627532667</v>
      </c>
      <c r="AQ35" s="245"/>
      <c r="AR35"/>
      <c r="AS35"/>
      <c r="AT35"/>
      <c r="AU35"/>
      <c r="AV35"/>
      <c r="AW35"/>
      <c r="AX35"/>
      <c r="AY35"/>
      <c r="AZ35"/>
      <c r="BA35"/>
      <c r="BB35"/>
      <c r="BC35"/>
      <c r="BD35" s="246"/>
      <c r="BE35" s="246"/>
      <c r="BF35" s="245"/>
      <c r="BG35" s="245"/>
      <c r="BH35" s="245"/>
      <c r="BI35" s="245"/>
      <c r="BJ35" s="245"/>
      <c r="BK35" s="245"/>
      <c r="BL35" s="245"/>
      <c r="BM35" s="245"/>
      <c r="BN35" s="245"/>
      <c r="BO35" s="245"/>
      <c r="BP35" s="245"/>
      <c r="BQ35" s="245"/>
      <c r="BR35" s="245"/>
    </row>
    <row r="36" spans="2:72" s="132" customFormat="1" ht="15" thickBot="1" x14ac:dyDescent="0.4">
      <c r="B36" s="247" t="s">
        <v>1752</v>
      </c>
      <c r="C36" s="248"/>
      <c r="D36" s="249"/>
      <c r="E36" s="250"/>
      <c r="F36" s="251"/>
      <c r="G36" s="250"/>
      <c r="H36" s="250"/>
      <c r="I36" s="250"/>
      <c r="J36" s="250"/>
      <c r="K36" s="250"/>
      <c r="L36" s="251"/>
      <c r="M36" s="250"/>
      <c r="N36" s="250"/>
      <c r="O36" s="250"/>
      <c r="P36" s="250"/>
      <c r="Q36" s="250"/>
      <c r="R36" s="249">
        <f>(R35-L35)*10000</f>
        <v>314.00773155278171</v>
      </c>
      <c r="S36" s="250"/>
      <c r="T36" s="252">
        <f>(T35-N35)*10000</f>
        <v>315.49819152899283</v>
      </c>
      <c r="U36" s="252">
        <f>(U35-O35)*10000</f>
        <v>206.73553618906882</v>
      </c>
      <c r="V36" s="252">
        <f>(V35-P35)*10000</f>
        <v>150.53579723951827</v>
      </c>
      <c r="W36" s="252">
        <f>(W35-Q35)*10000</f>
        <v>415.39565544690515</v>
      </c>
      <c r="X36" s="249">
        <f>(X35-R35)*10000</f>
        <v>293.81598831139166</v>
      </c>
      <c r="Y36" s="250"/>
      <c r="Z36" s="252">
        <f>(Z35-T35)*10000</f>
        <v>52.320116533779441</v>
      </c>
      <c r="AA36" s="252">
        <f>(AA35-U35)*10000</f>
        <v>-203.45980319838753</v>
      </c>
      <c r="AB36" s="252">
        <f>(AB35-V35)*10000</f>
        <v>35.876588529920042</v>
      </c>
      <c r="AC36" s="252">
        <f>(AC35-W35)*10000</f>
        <v>-136.86240189712595</v>
      </c>
      <c r="AD36" s="249">
        <f>(AD35-X35)*10000</f>
        <v>-87.822432496158513</v>
      </c>
      <c r="AE36" s="250"/>
      <c r="AF36" s="252">
        <f>(AF35-Z35)*10000</f>
        <v>-29.976142952690687</v>
      </c>
      <c r="AG36" s="252">
        <f t="shared" ref="AG36:AI36" si="27">(AG35-AA35)*10000</f>
        <v>-80.937780622243878</v>
      </c>
      <c r="AH36" s="252">
        <f t="shared" si="27"/>
        <v>99.999999999998977</v>
      </c>
      <c r="AI36" s="252">
        <f t="shared" si="27"/>
        <v>99.999999999999531</v>
      </c>
      <c r="AJ36" s="253">
        <f>(AJ35-AD35)*10000</f>
        <v>28.01607925745575</v>
      </c>
      <c r="AK36" s="254"/>
      <c r="AL36" s="252">
        <f>(AL35-AF35)*10000</f>
        <v>50.000000000000043</v>
      </c>
      <c r="AM36" s="252">
        <f t="shared" ref="AM36:AO36" si="28">(AM35-AG35)*10000</f>
        <v>50.000000000000043</v>
      </c>
      <c r="AN36" s="252">
        <f t="shared" si="28"/>
        <v>50.000000000001151</v>
      </c>
      <c r="AO36" s="255">
        <f t="shared" si="28"/>
        <v>50.000000000000043</v>
      </c>
      <c r="AP36" s="256">
        <f>(AP35-AJ35)*10000</f>
        <v>50.000000000000043</v>
      </c>
      <c r="AQ36" s="212"/>
      <c r="AR36"/>
      <c r="AS36"/>
      <c r="AT36"/>
      <c r="AU36"/>
      <c r="AV36"/>
      <c r="AW36"/>
      <c r="AX36"/>
      <c r="AY36"/>
      <c r="AZ36"/>
      <c r="BA36"/>
      <c r="BB36"/>
      <c r="BC36"/>
      <c r="BD36" s="160"/>
      <c r="BE36" s="160"/>
      <c r="BF36" s="212"/>
      <c r="BG36" s="212"/>
      <c r="BH36" s="212"/>
      <c r="BI36" s="213"/>
      <c r="BJ36" s="213"/>
      <c r="BK36" s="213"/>
      <c r="BL36" s="213"/>
      <c r="BM36" s="213"/>
      <c r="BN36" s="213"/>
      <c r="BO36" s="213"/>
      <c r="BP36" s="213"/>
      <c r="BQ36" s="213"/>
      <c r="BR36" s="213"/>
    </row>
    <row r="37" spans="2:72" ht="14.5" x14ac:dyDescent="0.35">
      <c r="B37" s="132" t="s">
        <v>1757</v>
      </c>
      <c r="D37" s="257"/>
      <c r="E37" s="193"/>
      <c r="F37" s="192"/>
      <c r="G37" s="193"/>
      <c r="H37" s="193"/>
      <c r="I37" s="193"/>
      <c r="J37" s="193"/>
      <c r="K37" s="193"/>
      <c r="L37" s="192"/>
      <c r="M37" s="193"/>
      <c r="N37" s="258">
        <f>(N33-H33)/(N8-H8)</f>
        <v>1.8394097222222234</v>
      </c>
      <c r="O37" s="258">
        <f>(O33-I33)/(O8-I8)</f>
        <v>0.1027183064710135</v>
      </c>
      <c r="P37" s="258">
        <f>(P33-J33)/(P8-J8)</f>
        <v>0.7531708816972863</v>
      </c>
      <c r="Q37" s="258">
        <f>(Q33-K33)/(Q8-K8)</f>
        <v>0.42925406190285048</v>
      </c>
      <c r="R37" s="257">
        <f>(R33-L33)/(R8-L8)</f>
        <v>0.84068904093357055</v>
      </c>
      <c r="S37" s="193"/>
      <c r="T37" s="258">
        <f>(T33-N33)/(T8-N8)</f>
        <v>0.44175969101785112</v>
      </c>
      <c r="U37" s="258">
        <f>(U33-O33)/(U8-O8)</f>
        <v>0.35324273624217795</v>
      </c>
      <c r="V37" s="258">
        <f>(V33-P33)/(V8-P8)</f>
        <v>0.36825402485335834</v>
      </c>
      <c r="W37" s="258">
        <f>(W33-Q33)/(W8-Q8)</f>
        <v>0.44286363570679965</v>
      </c>
      <c r="X37" s="257">
        <f>(X33-R33)/(X8-R8)</f>
        <v>0.39133926305350619</v>
      </c>
      <c r="Y37" s="193"/>
      <c r="Z37" s="258">
        <f>(Z33-T33)/(Z8-T8)</f>
        <v>0.29423466122364261</v>
      </c>
      <c r="AA37" s="258">
        <f>(AA33-U33)/(AA8-U8)</f>
        <v>0.1687675331961847</v>
      </c>
      <c r="AB37" s="258">
        <f>(AB33-V33)/(AB8-V8)</f>
        <v>0.37168866610750123</v>
      </c>
      <c r="AC37" s="258">
        <f>(AC33-W33)/(AC8-W8)</f>
        <v>0.11523170760497535</v>
      </c>
      <c r="AD37" s="257">
        <f>(AD33-X33)/(AD8-X8)</f>
        <v>0.2559822211918471</v>
      </c>
      <c r="AE37" s="193"/>
      <c r="AF37" s="258">
        <f>(AF33-Z33)/(AF8-Z8)</f>
        <v>0.22174901192762855</v>
      </c>
      <c r="AG37" s="258">
        <f t="shared" ref="AG37:AI37" si="29">(AG33-AA33)/(AG8-AA8)</f>
        <v>0.15882425998415703</v>
      </c>
      <c r="AH37" s="258">
        <f t="shared" si="29"/>
        <v>0.48798933758200386</v>
      </c>
      <c r="AI37" s="258">
        <f t="shared" si="29"/>
        <v>0.46588876162513954</v>
      </c>
      <c r="AJ37" s="259">
        <f>(AJ33-AD33)/(AJ8-AD8)</f>
        <v>0.35584986685176312</v>
      </c>
      <c r="AK37" s="260"/>
      <c r="AL37" s="258">
        <f>(AL33-AF33)/(AL8-AF8)</f>
        <v>0.34678444657443397</v>
      </c>
      <c r="AM37" s="258">
        <f t="shared" ref="AM37:AO37" si="30">(AM33-AG33)/(AM8-AG8)</f>
        <v>0.36122056102122907</v>
      </c>
      <c r="AN37" s="258">
        <f t="shared" si="30"/>
        <v>0.41263219472486334</v>
      </c>
      <c r="AO37" s="258">
        <f t="shared" si="30"/>
        <v>0.39053161876799714</v>
      </c>
      <c r="AP37" s="259">
        <f>(AP33-AJ33)/(AP8-AJ8)</f>
        <v>0.37921638627532683</v>
      </c>
      <c r="AR37" s="199"/>
      <c r="AS37"/>
      <c r="AT37"/>
      <c r="AV37" s="199"/>
      <c r="AW37" s="199"/>
      <c r="AX37" s="199"/>
      <c r="AY37" s="199"/>
      <c r="AZ37" s="213"/>
      <c r="BA37" s="261"/>
      <c r="BB37" s="262"/>
      <c r="BC37" s="262"/>
      <c r="BD37" s="199"/>
      <c r="BE37" s="199"/>
      <c r="BI37" s="199"/>
      <c r="BJ37" s="199"/>
      <c r="BK37" s="199"/>
      <c r="BM37" s="199"/>
      <c r="BN37" s="199"/>
      <c r="BO37" s="199"/>
      <c r="BP37" s="199"/>
      <c r="BS37" s="199"/>
      <c r="BT37" s="199"/>
    </row>
    <row r="38" spans="2:72" ht="14.5" x14ac:dyDescent="0.35">
      <c r="B38" s="132"/>
      <c r="D38" s="192"/>
      <c r="E38" s="191"/>
      <c r="F38" s="192"/>
      <c r="G38" s="191"/>
      <c r="H38" s="191"/>
      <c r="I38" s="191"/>
      <c r="J38" s="191"/>
      <c r="K38" s="191"/>
      <c r="L38" s="192"/>
      <c r="M38" s="191"/>
      <c r="N38" s="191"/>
      <c r="O38" s="191"/>
      <c r="P38" s="191"/>
      <c r="Q38" s="191"/>
      <c r="R38" s="192"/>
      <c r="S38" s="191"/>
      <c r="T38" s="193"/>
      <c r="U38" s="193"/>
      <c r="V38" s="194"/>
      <c r="W38" s="194"/>
      <c r="X38" s="190"/>
      <c r="Y38" s="191"/>
      <c r="Z38" s="194"/>
      <c r="AA38" s="194"/>
      <c r="AB38" s="194"/>
      <c r="AC38" s="194"/>
      <c r="AD38" s="190"/>
      <c r="AE38" s="191"/>
      <c r="AF38" s="194"/>
      <c r="AG38" s="194"/>
      <c r="AH38" s="194"/>
      <c r="AI38" s="194"/>
      <c r="AJ38" s="190"/>
      <c r="AK38" s="191"/>
      <c r="AL38" s="194"/>
      <c r="AM38" s="194"/>
      <c r="AN38" s="194"/>
      <c r="AO38" s="194"/>
      <c r="AP38" s="190"/>
      <c r="AR38" s="199"/>
      <c r="AS38"/>
      <c r="AT38"/>
      <c r="AV38" s="199"/>
      <c r="AW38" s="199"/>
      <c r="AX38" s="199"/>
      <c r="AY38" s="199"/>
      <c r="AZ38" s="245"/>
      <c r="BA38" s="263"/>
      <c r="BB38" s="262"/>
      <c r="BC38" s="262"/>
      <c r="BD38" s="199"/>
      <c r="BE38" s="199"/>
      <c r="BI38" s="199"/>
      <c r="BJ38" s="199"/>
      <c r="BK38" s="199"/>
      <c r="BM38" s="199"/>
      <c r="BN38" s="199"/>
      <c r="BO38" s="199"/>
      <c r="BP38" s="199"/>
      <c r="BS38" s="199"/>
      <c r="BT38" s="199"/>
    </row>
    <row r="39" spans="2:72" ht="14.5" x14ac:dyDescent="0.35">
      <c r="B39" s="189" t="s">
        <v>343</v>
      </c>
      <c r="D39" s="190"/>
      <c r="E39" s="191"/>
      <c r="F39" s="190"/>
      <c r="G39" s="191"/>
      <c r="H39" s="191">
        <v>6.2679999999999998</v>
      </c>
      <c r="I39" s="191">
        <v>6.5449999999999999</v>
      </c>
      <c r="J39" s="191">
        <v>6.5519999999999996</v>
      </c>
      <c r="K39" s="191">
        <v>6.5880000000000001</v>
      </c>
      <c r="L39" s="190">
        <f>+SUM(H39:K39)</f>
        <v>25.952999999999999</v>
      </c>
      <c r="M39" s="191"/>
      <c r="N39" s="191">
        <v>26.591999999999999</v>
      </c>
      <c r="O39" s="191">
        <v>36.572000000000003</v>
      </c>
      <c r="P39" s="191">
        <v>36.756</v>
      </c>
      <c r="Q39" s="191">
        <v>37.241999999999997</v>
      </c>
      <c r="R39" s="190">
        <f>+SUM(N39:Q39)</f>
        <v>137.16200000000001</v>
      </c>
      <c r="S39" s="191"/>
      <c r="T39" s="193">
        <v>34.762999999999998</v>
      </c>
      <c r="U39" s="193">
        <v>35.917999999999999</v>
      </c>
      <c r="V39" s="193">
        <v>35.811999999999998</v>
      </c>
      <c r="W39" s="193">
        <v>36.322000000000003</v>
      </c>
      <c r="X39" s="190">
        <f>+SUM(T39:W39)</f>
        <v>142.815</v>
      </c>
      <c r="Y39" s="191"/>
      <c r="Z39" s="193">
        <v>34.033999999999999</v>
      </c>
      <c r="AA39" s="193">
        <v>34.406999999999996</v>
      </c>
      <c r="AB39" s="264">
        <f>AB8*AB182</f>
        <v>35.094996577823011</v>
      </c>
      <c r="AC39" s="264">
        <f>AC8*AC182</f>
        <v>36.517686137533147</v>
      </c>
      <c r="AD39" s="190">
        <f>+SUM(Z39:AC39)</f>
        <v>140.05368271535616</v>
      </c>
      <c r="AE39" s="191"/>
      <c r="AF39" s="264">
        <f>AF8*AF182</f>
        <v>26.969471100000003</v>
      </c>
      <c r="AG39" s="264">
        <f>AG8*AG182</f>
        <v>28.843379100000003</v>
      </c>
      <c r="AH39" s="264">
        <f>AH8*AH182</f>
        <v>30.593788183350007</v>
      </c>
      <c r="AI39" s="264">
        <f>AI8*AI182</f>
        <v>32.82446958660001</v>
      </c>
      <c r="AJ39" s="190">
        <f>+SUM(AF39:AI39)</f>
        <v>119.23110796995002</v>
      </c>
      <c r="AK39" s="191"/>
      <c r="AL39" s="264">
        <f>AL8*AL182</f>
        <v>28.048249944000005</v>
      </c>
      <c r="AM39" s="264">
        <f>AM8*AM182</f>
        <v>29.997114264000004</v>
      </c>
      <c r="AN39" s="264">
        <f>AN8*AN182</f>
        <v>31.817539710684009</v>
      </c>
      <c r="AO39" s="264">
        <f>AO8*AO182</f>
        <v>34.137448370064014</v>
      </c>
      <c r="AP39" s="190">
        <f>+SUM(AL39:AO39)</f>
        <v>124.00035228874805</v>
      </c>
      <c r="AS39"/>
      <c r="AT39"/>
      <c r="AZ39" s="213"/>
      <c r="BA39" s="261"/>
      <c r="BB39" s="262"/>
      <c r="BC39" s="262"/>
    </row>
    <row r="40" spans="2:72" ht="14.25" customHeight="1" x14ac:dyDescent="0.35">
      <c r="B40" s="163" t="s">
        <v>1758</v>
      </c>
      <c r="D40" s="265"/>
      <c r="E40" s="266"/>
      <c r="F40" s="267"/>
      <c r="G40" s="266"/>
      <c r="H40" s="266">
        <v>17.120999999999999</v>
      </c>
      <c r="I40" s="266">
        <v>25.733000000000001</v>
      </c>
      <c r="J40" s="266">
        <v>26.516999999999999</v>
      </c>
      <c r="K40" s="266">
        <v>22.795999999999999</v>
      </c>
      <c r="L40" s="267">
        <f>L33-L39</f>
        <v>97.82</v>
      </c>
      <c r="M40" s="266"/>
      <c r="N40" s="208">
        <f>N33-N39</f>
        <v>0.61900000000000333</v>
      </c>
      <c r="O40" s="208">
        <f>O33-O39</f>
        <v>-4.9180000000000135</v>
      </c>
      <c r="P40" s="208">
        <f>P33-P39</f>
        <v>6.532999999999987</v>
      </c>
      <c r="Q40" s="208">
        <f>Q33-Q39</f>
        <v>7.4009507640477068</v>
      </c>
      <c r="R40" s="265">
        <f>R33-R39</f>
        <v>9.6349507640476872</v>
      </c>
      <c r="S40" s="208"/>
      <c r="T40" s="268">
        <f>T33-T39</f>
        <v>1.8269999999999982</v>
      </c>
      <c r="U40" s="268">
        <f>U8-U16-U25-U29-U39</f>
        <v>17.284999999999989</v>
      </c>
      <c r="V40" s="268">
        <f>V8-V16-V25-V29-V39</f>
        <v>24.387999999999991</v>
      </c>
      <c r="W40" s="268">
        <f>W8-W16-W25-W29-W39</f>
        <v>25.319000000000003</v>
      </c>
      <c r="X40" s="267">
        <f>+SUM(T40:W40)</f>
        <v>68.818999999999988</v>
      </c>
      <c r="Y40" s="266"/>
      <c r="Z40" s="268">
        <f>Z33-Z39</f>
        <v>19.566000000000003</v>
      </c>
      <c r="AA40" s="269">
        <f>AA33-AA39</f>
        <v>26.427000000000007</v>
      </c>
      <c r="AB40" s="269">
        <f>AB33-AB39</f>
        <v>35.88432760932578</v>
      </c>
      <c r="AC40" s="269">
        <f>AC33-AC39</f>
        <v>34.61486387904209</v>
      </c>
      <c r="AD40" s="267">
        <f>AD33-AD39</f>
        <v>116.49219148836784</v>
      </c>
      <c r="AE40" s="266"/>
      <c r="AF40" s="269">
        <f>AF33-AF39</f>
        <v>28.82426083013836</v>
      </c>
      <c r="AG40" s="269">
        <f t="shared" ref="AG40:AI40" si="31">AG33-AG39</f>
        <v>33.911387500000004</v>
      </c>
      <c r="AH40" s="269">
        <f t="shared" si="31"/>
        <v>47.62029522899919</v>
      </c>
      <c r="AI40" s="269">
        <f t="shared" si="31"/>
        <v>45.718801122735492</v>
      </c>
      <c r="AJ40" s="267">
        <f>AJ33-AJ39</f>
        <v>156.07474468187309</v>
      </c>
      <c r="AK40" s="266"/>
      <c r="AL40" s="269">
        <f>AL33-AL39</f>
        <v>33.287759384549439</v>
      </c>
      <c r="AM40" s="269">
        <f t="shared" ref="AM40:AO40" si="32">AM33-AM39</f>
        <v>38.931768828000003</v>
      </c>
      <c r="AN40" s="269">
        <f t="shared" si="32"/>
        <v>53.877421901987155</v>
      </c>
      <c r="AO40" s="269">
        <f t="shared" si="32"/>
        <v>52.002262779482344</v>
      </c>
      <c r="AP40" s="267">
        <f>AP33-AP39</f>
        <v>178.09921289401893</v>
      </c>
      <c r="AR40" s="199"/>
      <c r="AS40"/>
      <c r="AT40"/>
      <c r="AV40" s="199"/>
      <c r="AW40" s="199"/>
      <c r="AX40" s="199"/>
      <c r="AY40" s="199"/>
      <c r="BB40" s="270"/>
      <c r="BC40" s="270"/>
      <c r="BD40" s="199"/>
      <c r="BE40" s="199"/>
      <c r="BI40" s="199"/>
      <c r="BJ40" s="199"/>
      <c r="BK40" s="199"/>
      <c r="BM40" s="199"/>
      <c r="BN40" s="199"/>
      <c r="BO40" s="199"/>
      <c r="BP40" s="199"/>
      <c r="BS40" s="199"/>
      <c r="BT40" s="199"/>
    </row>
    <row r="41" spans="2:72" s="132" customFormat="1" ht="14.5" x14ac:dyDescent="0.35">
      <c r="B41" s="153" t="s">
        <v>1745</v>
      </c>
      <c r="D41" s="162"/>
      <c r="E41" s="155"/>
      <c r="F41" s="162"/>
      <c r="G41" s="155"/>
      <c r="H41" s="155"/>
      <c r="I41" s="155"/>
      <c r="J41" s="155"/>
      <c r="K41" s="155"/>
      <c r="L41" s="162">
        <v>0.23204368295177821</v>
      </c>
      <c r="M41" s="155"/>
      <c r="N41" s="155">
        <v>8.515843142313953E-2</v>
      </c>
      <c r="O41" s="155">
        <v>-5.1242458277465611E-2</v>
      </c>
      <c r="P41" s="155">
        <v>0.2926196852666319</v>
      </c>
      <c r="Q41" s="155">
        <v>0.40263135490912727</v>
      </c>
      <c r="R41" s="162">
        <v>0.18602194446487541</v>
      </c>
      <c r="S41" s="155"/>
      <c r="T41" s="271">
        <f>T40/N40-1</f>
        <v>1.9515347334410151</v>
      </c>
      <c r="U41" s="271">
        <f>U40/O40-1</f>
        <v>-4.5146400976006387</v>
      </c>
      <c r="V41" s="271">
        <f>V40/P40-1</f>
        <v>2.7330476044696219</v>
      </c>
      <c r="W41" s="271">
        <f>W40/Q40-1</f>
        <v>2.4210469448053193</v>
      </c>
      <c r="X41" s="154">
        <f>X40/R40-1</f>
        <v>6.1426415853409937</v>
      </c>
      <c r="Y41" s="155"/>
      <c r="Z41" s="271">
        <f>Z40/T40-1</f>
        <v>9.7093596059113416</v>
      </c>
      <c r="AA41" s="271">
        <f>AA40/U40-1</f>
        <v>0.52889788834249485</v>
      </c>
      <c r="AB41" s="271">
        <f>AB40/V40-1</f>
        <v>0.47139280011996854</v>
      </c>
      <c r="AC41" s="271">
        <f>AC40/W40-1</f>
        <v>0.36714972467483253</v>
      </c>
      <c r="AD41" s="154">
        <f>AD40/X40-1</f>
        <v>0.69273298781394455</v>
      </c>
      <c r="AE41" s="155"/>
      <c r="AF41" s="271">
        <f>AF40/Z40-1</f>
        <v>0.47318107074201965</v>
      </c>
      <c r="AG41" s="271">
        <f t="shared" ref="AG41:AI41" si="33">AG40/AA40-1</f>
        <v>0.2832098800469216</v>
      </c>
      <c r="AH41" s="271">
        <f t="shared" si="33"/>
        <v>0.32704995193008468</v>
      </c>
      <c r="AI41" s="271">
        <f t="shared" si="33"/>
        <v>0.32078523499312062</v>
      </c>
      <c r="AJ41" s="154">
        <f>AJ40/AD40-1</f>
        <v>0.33978717961931126</v>
      </c>
      <c r="AK41" s="155"/>
      <c r="AL41" s="271">
        <f>AL40/AF40-1</f>
        <v>0.15485214280825854</v>
      </c>
      <c r="AM41" s="271">
        <f t="shared" ref="AM41:AO41" si="34">AM40/AG40-1</f>
        <v>0.14804411432590303</v>
      </c>
      <c r="AN41" s="271">
        <f t="shared" si="34"/>
        <v>0.13139621757694564</v>
      </c>
      <c r="AO41" s="271">
        <f t="shared" si="34"/>
        <v>0.13743714844749388</v>
      </c>
      <c r="AP41" s="154">
        <f>AP40/AJ40-1</f>
        <v>0.14111487580542437</v>
      </c>
      <c r="AQ41" s="212"/>
      <c r="AR41" s="212"/>
      <c r="AS41"/>
      <c r="AT41"/>
      <c r="AU41" s="213"/>
      <c r="AV41" s="213"/>
      <c r="AW41" s="213"/>
      <c r="AX41" s="213"/>
      <c r="AY41" s="213"/>
      <c r="AZ41" s="118"/>
      <c r="BA41" s="119"/>
      <c r="BB41" s="270"/>
      <c r="BC41" s="270"/>
      <c r="BD41" s="160"/>
      <c r="BE41" s="160"/>
      <c r="BF41" s="212"/>
      <c r="BG41" s="212"/>
      <c r="BH41" s="212"/>
      <c r="BI41" s="213"/>
      <c r="BJ41" s="213"/>
      <c r="BK41" s="213"/>
      <c r="BL41" s="213"/>
      <c r="BM41" s="213"/>
      <c r="BN41" s="213"/>
      <c r="BO41" s="213"/>
      <c r="BP41" s="213"/>
      <c r="BQ41" s="213"/>
      <c r="BR41" s="213"/>
    </row>
    <row r="42" spans="2:72" x14ac:dyDescent="0.3">
      <c r="B42" s="199"/>
      <c r="D42" s="192"/>
      <c r="E42" s="191"/>
      <c r="F42" s="192"/>
      <c r="G42" s="191"/>
      <c r="H42" s="191"/>
      <c r="I42" s="191"/>
      <c r="J42" s="191"/>
      <c r="K42" s="191"/>
      <c r="L42" s="192"/>
      <c r="M42" s="191"/>
      <c r="N42" s="191"/>
      <c r="O42" s="191"/>
      <c r="P42" s="191"/>
      <c r="Q42" s="191"/>
      <c r="R42" s="192"/>
      <c r="S42" s="191"/>
      <c r="T42" s="193"/>
      <c r="U42" s="193"/>
      <c r="V42" s="194"/>
      <c r="W42" s="194"/>
      <c r="X42" s="190"/>
      <c r="Y42" s="191"/>
      <c r="Z42" s="194"/>
      <c r="AA42" s="194"/>
      <c r="AB42" s="194"/>
      <c r="AC42" s="194"/>
      <c r="AD42" s="190"/>
      <c r="AE42" s="191"/>
      <c r="AF42" s="194"/>
      <c r="AG42" s="194"/>
      <c r="AH42" s="194"/>
      <c r="AI42" s="194"/>
      <c r="AJ42" s="190"/>
      <c r="AK42" s="191"/>
      <c r="AL42" s="194"/>
      <c r="AM42" s="194"/>
      <c r="AN42" s="194"/>
      <c r="AO42" s="194"/>
      <c r="AP42" s="190"/>
      <c r="AR42" s="199"/>
      <c r="AS42" s="199"/>
      <c r="AT42" s="199"/>
      <c r="AV42" s="199"/>
      <c r="AW42" s="199"/>
      <c r="AX42" s="199"/>
      <c r="AY42" s="199"/>
      <c r="BD42" s="199"/>
      <c r="BE42" s="199"/>
      <c r="BI42" s="199"/>
      <c r="BJ42" s="199"/>
      <c r="BK42" s="199"/>
      <c r="BM42" s="199"/>
      <c r="BN42" s="199"/>
      <c r="BO42" s="199"/>
      <c r="BP42" s="199"/>
      <c r="BS42" s="199"/>
      <c r="BT42" s="199"/>
    </row>
    <row r="43" spans="2:72" x14ac:dyDescent="0.3">
      <c r="B43" s="189" t="s">
        <v>361</v>
      </c>
      <c r="D43" s="190"/>
      <c r="E43" s="191"/>
      <c r="F43" s="190"/>
      <c r="G43" s="191"/>
      <c r="H43" s="191">
        <v>0.35399999999999998</v>
      </c>
      <c r="I43" s="191">
        <v>0.32400000000000001</v>
      </c>
      <c r="J43" s="191">
        <v>0.27400000000000002</v>
      </c>
      <c r="K43" s="191">
        <v>0.26400000000000001</v>
      </c>
      <c r="L43" s="190">
        <f t="shared" ref="L43:L49" si="35">+SUM(H43:K43)</f>
        <v>1.216</v>
      </c>
      <c r="M43" s="191"/>
      <c r="N43" s="191">
        <v>4.2569999999999997</v>
      </c>
      <c r="O43" s="191">
        <v>0.52</v>
      </c>
      <c r="P43" s="191">
        <v>0.53100000000000003</v>
      </c>
      <c r="Q43" s="191">
        <v>0.54400000000000004</v>
      </c>
      <c r="R43" s="190">
        <f t="shared" ref="R43:R51" si="36">+SUM(N43:Q43)</f>
        <v>5.8519999999999985</v>
      </c>
      <c r="S43" s="191"/>
      <c r="T43" s="193">
        <v>0.56200000000000006</v>
      </c>
      <c r="U43" s="193"/>
      <c r="V43" s="191">
        <v>1.343</v>
      </c>
      <c r="W43" s="191">
        <v>4.9610000000000003</v>
      </c>
      <c r="X43" s="190">
        <f t="shared" ref="X43:X51" si="37">+SUM(T43:W43)</f>
        <v>6.8660000000000005</v>
      </c>
      <c r="Y43" s="191"/>
      <c r="Z43" s="191">
        <v>1.859</v>
      </c>
      <c r="AA43" s="191">
        <v>1.9430000000000001</v>
      </c>
      <c r="AB43" s="191">
        <v>1.7</v>
      </c>
      <c r="AC43" s="191">
        <v>1.7</v>
      </c>
      <c r="AD43" s="190">
        <f t="shared" ref="AD43:AD51" si="38">+SUM(Z43:AC43)</f>
        <v>7.202</v>
      </c>
      <c r="AE43" s="191"/>
      <c r="AF43" s="191">
        <f>AC43-0.5</f>
        <v>1.2</v>
      </c>
      <c r="AG43" s="191">
        <f>AF43</f>
        <v>1.2</v>
      </c>
      <c r="AH43" s="191">
        <f>AG43</f>
        <v>1.2</v>
      </c>
      <c r="AI43" s="191">
        <f>AH43</f>
        <v>1.2</v>
      </c>
      <c r="AJ43" s="190">
        <f t="shared" ref="AJ43:AJ46" si="39">+SUM(AF43:AI43)</f>
        <v>4.8</v>
      </c>
      <c r="AK43" s="191"/>
      <c r="AL43" s="191">
        <f>AI43</f>
        <v>1.2</v>
      </c>
      <c r="AM43" s="191">
        <f>AL43</f>
        <v>1.2</v>
      </c>
      <c r="AN43" s="191">
        <f>AM43</f>
        <v>1.2</v>
      </c>
      <c r="AO43" s="191">
        <f>AN43</f>
        <v>1.2</v>
      </c>
      <c r="AP43" s="190">
        <f t="shared" ref="AP43:AP51" si="40">+SUM(AL43:AO43)</f>
        <v>4.8</v>
      </c>
      <c r="BB43" s="270"/>
      <c r="BC43" s="270"/>
    </row>
    <row r="44" spans="2:72" x14ac:dyDescent="0.3">
      <c r="B44" s="189" t="s">
        <v>1759</v>
      </c>
      <c r="D44" s="190"/>
      <c r="E44" s="191"/>
      <c r="F44" s="190"/>
      <c r="G44" s="191"/>
      <c r="H44" s="191"/>
      <c r="I44" s="191"/>
      <c r="J44" s="191">
        <v>0.34899999999999998</v>
      </c>
      <c r="K44" s="191">
        <v>0.84899999999999998</v>
      </c>
      <c r="L44" s="190">
        <f t="shared" si="35"/>
        <v>1.198</v>
      </c>
      <c r="M44" s="191"/>
      <c r="N44" s="191">
        <v>32.286000000000001</v>
      </c>
      <c r="O44" s="191">
        <v>7.5999999999999998E-2</v>
      </c>
      <c r="P44" s="191">
        <v>5.6000000000000001E-2</v>
      </c>
      <c r="Q44" s="191">
        <v>0.56799999999999995</v>
      </c>
      <c r="R44" s="190">
        <f t="shared" si="36"/>
        <v>32.985999999999997</v>
      </c>
      <c r="S44" s="191"/>
      <c r="T44" s="193">
        <v>3.984</v>
      </c>
      <c r="U44" s="193"/>
      <c r="V44" s="191">
        <v>2.1440000000000001</v>
      </c>
      <c r="W44" s="191">
        <v>2.8039999999999998</v>
      </c>
      <c r="X44" s="190">
        <f t="shared" si="37"/>
        <v>8.9320000000000004</v>
      </c>
      <c r="Y44" s="191"/>
      <c r="Z44" s="191">
        <v>1.498</v>
      </c>
      <c r="AA44" s="191">
        <v>1.179</v>
      </c>
      <c r="AB44" s="191">
        <v>0</v>
      </c>
      <c r="AC44" s="191">
        <v>0</v>
      </c>
      <c r="AD44" s="190">
        <f t="shared" si="38"/>
        <v>2.677</v>
      </c>
      <c r="AE44" s="191"/>
      <c r="AF44" s="191">
        <v>0</v>
      </c>
      <c r="AG44" s="191">
        <v>0</v>
      </c>
      <c r="AH44" s="191">
        <v>0</v>
      </c>
      <c r="AI44" s="191">
        <v>0</v>
      </c>
      <c r="AJ44" s="190">
        <f t="shared" si="39"/>
        <v>0</v>
      </c>
      <c r="AK44" s="191"/>
      <c r="AL44" s="191">
        <v>0</v>
      </c>
      <c r="AM44" s="191">
        <v>0</v>
      </c>
      <c r="AN44" s="191">
        <v>0</v>
      </c>
      <c r="AO44" s="191">
        <v>0</v>
      </c>
      <c r="AP44" s="190">
        <f t="shared" si="40"/>
        <v>0</v>
      </c>
      <c r="AZ44" s="213"/>
      <c r="BA44" s="261"/>
      <c r="BB44" s="262"/>
      <c r="BC44" s="262"/>
    </row>
    <row r="45" spans="2:72" x14ac:dyDescent="0.3">
      <c r="B45" s="189" t="s">
        <v>1575</v>
      </c>
      <c r="D45" s="190"/>
      <c r="E45" s="191"/>
      <c r="F45" s="190"/>
      <c r="G45" s="191"/>
      <c r="H45" s="191"/>
      <c r="I45" s="191"/>
      <c r="J45" s="191"/>
      <c r="K45" s="191"/>
      <c r="L45" s="190">
        <f t="shared" si="35"/>
        <v>0</v>
      </c>
      <c r="M45" s="191"/>
      <c r="N45" s="191">
        <v>0.32700000000000001</v>
      </c>
      <c r="O45" s="191">
        <v>0.26200000000000001</v>
      </c>
      <c r="P45" s="191">
        <v>2.5999999999999999E-2</v>
      </c>
      <c r="Q45" s="191">
        <v>3.125</v>
      </c>
      <c r="R45" s="190">
        <f t="shared" si="36"/>
        <v>3.74</v>
      </c>
      <c r="S45" s="191"/>
      <c r="T45" s="193">
        <v>0.44800000000000001</v>
      </c>
      <c r="U45" s="193"/>
      <c r="V45" s="191">
        <v>6.3E-2</v>
      </c>
      <c r="W45" s="191">
        <v>0</v>
      </c>
      <c r="X45" s="190">
        <f t="shared" si="37"/>
        <v>0.51100000000000001</v>
      </c>
      <c r="Y45" s="191"/>
      <c r="Z45" s="191">
        <v>-0.88900000000000001</v>
      </c>
      <c r="AA45" s="191">
        <v>0.52500000000000002</v>
      </c>
      <c r="AB45" s="191">
        <v>0</v>
      </c>
      <c r="AC45" s="191">
        <v>0</v>
      </c>
      <c r="AD45" s="190">
        <f t="shared" si="38"/>
        <v>-0.36399999999999999</v>
      </c>
      <c r="AE45" s="191"/>
      <c r="AF45" s="191"/>
      <c r="AG45" s="191"/>
      <c r="AH45" s="191"/>
      <c r="AI45" s="191"/>
      <c r="AJ45" s="190">
        <f t="shared" si="39"/>
        <v>0</v>
      </c>
      <c r="AK45" s="191"/>
      <c r="AL45" s="191"/>
      <c r="AM45" s="191"/>
      <c r="AN45" s="191"/>
      <c r="AO45" s="191"/>
      <c r="AP45" s="190">
        <f t="shared" si="40"/>
        <v>0</v>
      </c>
      <c r="BB45" s="270"/>
      <c r="BC45" s="270"/>
    </row>
    <row r="46" spans="2:72" x14ac:dyDescent="0.3">
      <c r="B46" s="189" t="s">
        <v>1760</v>
      </c>
      <c r="D46" s="190"/>
      <c r="E46" s="191"/>
      <c r="F46" s="190"/>
      <c r="G46" s="191"/>
      <c r="H46" s="191">
        <v>1.349</v>
      </c>
      <c r="I46" s="191">
        <v>0.76</v>
      </c>
      <c r="J46" s="191">
        <v>-0.2</v>
      </c>
      <c r="K46" s="191">
        <v>1.33</v>
      </c>
      <c r="L46" s="190">
        <f t="shared" si="35"/>
        <v>3.2389999999999999</v>
      </c>
      <c r="M46" s="191"/>
      <c r="N46" s="191">
        <v>3.2000000000000001E-2</v>
      </c>
      <c r="O46" s="191">
        <v>0.42699999999999999</v>
      </c>
      <c r="P46" s="191">
        <v>0.63</v>
      </c>
      <c r="Q46" s="191">
        <v>-0.189</v>
      </c>
      <c r="R46" s="190">
        <f t="shared" si="36"/>
        <v>0.89999999999999991</v>
      </c>
      <c r="S46" s="191"/>
      <c r="T46" s="193">
        <v>2E-3</v>
      </c>
      <c r="U46" s="193"/>
      <c r="V46" s="191">
        <v>0.19400000000000001</v>
      </c>
      <c r="W46" s="191">
        <v>3.2000000000000001E-2</v>
      </c>
      <c r="X46" s="190">
        <f t="shared" si="37"/>
        <v>0.22800000000000001</v>
      </c>
      <c r="Y46" s="191"/>
      <c r="Z46" s="191">
        <v>0</v>
      </c>
      <c r="AA46" s="191">
        <v>0</v>
      </c>
      <c r="AB46" s="191">
        <f t="shared" ref="AB46:AC46" si="41">AA46</f>
        <v>0</v>
      </c>
      <c r="AC46" s="191">
        <f t="shared" si="41"/>
        <v>0</v>
      </c>
      <c r="AD46" s="190">
        <f t="shared" si="38"/>
        <v>0</v>
      </c>
      <c r="AE46" s="191"/>
      <c r="AF46" s="191">
        <v>0</v>
      </c>
      <c r="AG46" s="191">
        <v>0</v>
      </c>
      <c r="AH46" s="191">
        <v>0</v>
      </c>
      <c r="AI46" s="191">
        <v>0</v>
      </c>
      <c r="AJ46" s="190">
        <f t="shared" si="39"/>
        <v>0</v>
      </c>
      <c r="AK46" s="191"/>
      <c r="AL46" s="191">
        <v>0</v>
      </c>
      <c r="AM46" s="191">
        <v>0</v>
      </c>
      <c r="AN46" s="191">
        <v>0</v>
      </c>
      <c r="AO46" s="191">
        <v>0</v>
      </c>
      <c r="AP46" s="190">
        <f t="shared" si="40"/>
        <v>0</v>
      </c>
    </row>
    <row r="47" spans="2:72" x14ac:dyDescent="0.3">
      <c r="B47" s="189" t="s">
        <v>1005</v>
      </c>
      <c r="D47" s="190"/>
      <c r="E47" s="191"/>
      <c r="F47" s="190"/>
      <c r="G47" s="191"/>
      <c r="H47" s="191">
        <v>13.023</v>
      </c>
      <c r="I47" s="191">
        <v>12.829000000000001</v>
      </c>
      <c r="J47" s="191">
        <v>12.757</v>
      </c>
      <c r="K47" s="191">
        <v>12.41</v>
      </c>
      <c r="L47" s="190">
        <f t="shared" si="35"/>
        <v>51.019000000000005</v>
      </c>
      <c r="M47" s="191"/>
      <c r="N47" s="191">
        <v>17.396999999999998</v>
      </c>
      <c r="O47" s="191">
        <v>13.815</v>
      </c>
      <c r="P47" s="191">
        <v>11.706999999999999</v>
      </c>
      <c r="Q47" s="191">
        <v>9.5090000000000003</v>
      </c>
      <c r="R47" s="190">
        <f t="shared" si="36"/>
        <v>52.427999999999997</v>
      </c>
      <c r="S47" s="191"/>
      <c r="T47" s="193">
        <v>6.8140000000000001</v>
      </c>
      <c r="U47" s="193">
        <v>10.467000000000001</v>
      </c>
      <c r="V47" s="193">
        <v>4.734</v>
      </c>
      <c r="W47" s="193">
        <v>3.1070000000000002</v>
      </c>
      <c r="X47" s="190">
        <f t="shared" si="37"/>
        <v>25.122</v>
      </c>
      <c r="Y47" s="191"/>
      <c r="Z47" s="191">
        <v>0</v>
      </c>
      <c r="AA47" s="191">
        <v>3.1120000000000001</v>
      </c>
      <c r="AB47" s="191">
        <v>5.5</v>
      </c>
      <c r="AC47" s="191">
        <v>5.5</v>
      </c>
      <c r="AD47" s="190">
        <f>+SUM(Z47:AC47)</f>
        <v>14.112</v>
      </c>
      <c r="AE47" s="191"/>
      <c r="AF47" s="272">
        <f>AC47</f>
        <v>5.5</v>
      </c>
      <c r="AG47" s="272">
        <f t="shared" ref="AG47:AI47" si="42">AF47</f>
        <v>5.5</v>
      </c>
      <c r="AH47" s="272">
        <f t="shared" si="42"/>
        <v>5.5</v>
      </c>
      <c r="AI47" s="272">
        <f t="shared" si="42"/>
        <v>5.5</v>
      </c>
      <c r="AJ47" s="190">
        <f t="shared" ref="AJ47:AJ51" si="43">+SUM(AF47:AI47)</f>
        <v>22</v>
      </c>
      <c r="AK47" s="191"/>
      <c r="AL47" s="272">
        <f>AI47</f>
        <v>5.5</v>
      </c>
      <c r="AM47" s="272">
        <f t="shared" ref="AM47:AO47" si="44">AL47</f>
        <v>5.5</v>
      </c>
      <c r="AN47" s="272">
        <f t="shared" si="44"/>
        <v>5.5</v>
      </c>
      <c r="AO47" s="272">
        <f t="shared" si="44"/>
        <v>5.5</v>
      </c>
      <c r="AP47" s="190">
        <f t="shared" si="40"/>
        <v>22</v>
      </c>
    </row>
    <row r="48" spans="2:72" ht="14.5" x14ac:dyDescent="0.35">
      <c r="B48" s="189" t="s">
        <v>1006</v>
      </c>
      <c r="D48" s="190"/>
      <c r="E48" s="191"/>
      <c r="F48" s="190"/>
      <c r="G48" s="191"/>
      <c r="H48" s="191"/>
      <c r="I48" s="191"/>
      <c r="J48" s="191"/>
      <c r="K48" s="191"/>
      <c r="L48" s="190">
        <f t="shared" si="35"/>
        <v>0</v>
      </c>
      <c r="M48" s="191"/>
      <c r="N48" s="191">
        <v>-7.8E-2</v>
      </c>
      <c r="O48" s="191">
        <v>-0.153</v>
      </c>
      <c r="P48" s="191">
        <v>-7.5999999999999998E-2</v>
      </c>
      <c r="Q48" s="191">
        <v>-0.248</v>
      </c>
      <c r="R48" s="190">
        <f t="shared" si="36"/>
        <v>-0.55499999999999994</v>
      </c>
      <c r="S48" s="191"/>
      <c r="T48" s="193">
        <v>-9.7000000000000003E-2</v>
      </c>
      <c r="U48" s="193">
        <v>-1.4999999999999999E-2</v>
      </c>
      <c r="V48" s="193">
        <v>-2.8000000000000001E-2</v>
      </c>
      <c r="W48" s="193">
        <v>-0.01</v>
      </c>
      <c r="X48" s="190">
        <f t="shared" si="37"/>
        <v>-0.15000000000000002</v>
      </c>
      <c r="Y48" s="191"/>
      <c r="Z48" s="191">
        <v>-0.85</v>
      </c>
      <c r="AA48" s="191">
        <v>0</v>
      </c>
      <c r="AB48" s="191">
        <v>0</v>
      </c>
      <c r="AC48" s="191">
        <v>0</v>
      </c>
      <c r="AD48" s="190">
        <f t="shared" si="38"/>
        <v>-0.85</v>
      </c>
      <c r="AE48" s="191"/>
      <c r="AF48" s="194">
        <v>0</v>
      </c>
      <c r="AG48" s="194">
        <v>0</v>
      </c>
      <c r="AH48" s="194">
        <v>0</v>
      </c>
      <c r="AI48" s="194">
        <v>0</v>
      </c>
      <c r="AJ48" s="190">
        <f t="shared" si="43"/>
        <v>0</v>
      </c>
      <c r="AK48" s="191"/>
      <c r="AL48" s="194">
        <v>0</v>
      </c>
      <c r="AM48" s="194">
        <v>0</v>
      </c>
      <c r="AN48" s="194">
        <v>0</v>
      </c>
      <c r="AO48" s="194">
        <v>0</v>
      </c>
      <c r="AP48" s="190">
        <f t="shared" si="40"/>
        <v>0</v>
      </c>
      <c r="AR48"/>
      <c r="AS48"/>
      <c r="AT48"/>
      <c r="AU48"/>
      <c r="AV48"/>
    </row>
    <row r="49" spans="2:48" ht="14.5" x14ac:dyDescent="0.35">
      <c r="B49" s="189" t="s">
        <v>348</v>
      </c>
      <c r="D49" s="190"/>
      <c r="E49" s="191"/>
      <c r="F49" s="190"/>
      <c r="G49" s="191"/>
      <c r="H49" s="191"/>
      <c r="I49" s="191"/>
      <c r="J49" s="191"/>
      <c r="K49" s="191"/>
      <c r="L49" s="190">
        <f t="shared" si="35"/>
        <v>0</v>
      </c>
      <c r="M49" s="191"/>
      <c r="N49" s="191">
        <v>10.532999999999999</v>
      </c>
      <c r="O49" s="191">
        <v>0</v>
      </c>
      <c r="P49" s="191">
        <v>0</v>
      </c>
      <c r="Q49" s="191">
        <v>0</v>
      </c>
      <c r="R49" s="190">
        <f t="shared" si="36"/>
        <v>10.532999999999999</v>
      </c>
      <c r="S49" s="191"/>
      <c r="T49" s="193">
        <v>13.938000000000001</v>
      </c>
      <c r="U49" s="193"/>
      <c r="V49" s="191">
        <v>0</v>
      </c>
      <c r="W49" s="193">
        <v>0</v>
      </c>
      <c r="X49" s="190">
        <f t="shared" si="37"/>
        <v>13.938000000000001</v>
      </c>
      <c r="Y49" s="191"/>
      <c r="Z49" s="191">
        <v>0</v>
      </c>
      <c r="AA49" s="191">
        <v>0</v>
      </c>
      <c r="AB49" s="191">
        <v>0</v>
      </c>
      <c r="AC49" s="191">
        <v>0</v>
      </c>
      <c r="AD49" s="190">
        <f t="shared" si="38"/>
        <v>0</v>
      </c>
      <c r="AE49" s="191"/>
      <c r="AF49" s="191">
        <v>0</v>
      </c>
      <c r="AG49" s="191">
        <v>0</v>
      </c>
      <c r="AH49" s="191">
        <v>0</v>
      </c>
      <c r="AI49" s="191">
        <v>0</v>
      </c>
      <c r="AJ49" s="190">
        <f t="shared" si="43"/>
        <v>0</v>
      </c>
      <c r="AK49" s="191"/>
      <c r="AL49" s="191">
        <v>0</v>
      </c>
      <c r="AM49" s="191">
        <v>0</v>
      </c>
      <c r="AN49" s="191">
        <v>0</v>
      </c>
      <c r="AO49" s="191">
        <v>0</v>
      </c>
      <c r="AP49" s="190">
        <f t="shared" si="40"/>
        <v>0</v>
      </c>
      <c r="AR49"/>
      <c r="AS49"/>
      <c r="AT49"/>
      <c r="AU49"/>
      <c r="AV49"/>
    </row>
    <row r="50" spans="2:48" ht="14.5" x14ac:dyDescent="0.35">
      <c r="B50" s="163" t="s">
        <v>1761</v>
      </c>
      <c r="D50" s="265"/>
      <c r="E50" s="266"/>
      <c r="F50" s="267"/>
      <c r="G50" s="266"/>
      <c r="H50" s="266">
        <f>H33-SUM(H43,H44,H45,H46,H39,H47,H48,H49)</f>
        <v>4.097999999999999</v>
      </c>
      <c r="I50" s="266">
        <f>I33-SUM(I43,I44,I45,I46,I39,I47,I48,I49)</f>
        <v>12.904000000000003</v>
      </c>
      <c r="J50" s="266">
        <f>J33-SUM(J43,J44,J45,J46,J39,J47,J48,J49)</f>
        <v>13.759</v>
      </c>
      <c r="K50" s="266">
        <f>K33-SUM(K43,K44,K45,K46,K39,K47,K48,K49)</f>
        <v>10.386999999999997</v>
      </c>
      <c r="L50" s="267">
        <f>+SUM(H50:K50)</f>
        <v>41.147999999999996</v>
      </c>
      <c r="M50" s="266"/>
      <c r="N50" s="208">
        <f>N33-SUM(N43,N44,N45,N46,N39,N47,N48,N49)</f>
        <v>-64.134999999999991</v>
      </c>
      <c r="O50" s="208">
        <f>O33-SUM(O43,O44,O45,O46,O39,O47,O48,O49)</f>
        <v>-19.865000000000009</v>
      </c>
      <c r="P50" s="208">
        <f>P33-SUM(P43,P44,P45,P46,P39,P47,P48,P49)</f>
        <v>-6.3410000000000153</v>
      </c>
      <c r="Q50" s="208">
        <f>Q33-SUM(Q43,Q44,Q45,Q46,Q39,Q47,Q48,Q49)</f>
        <v>-5.9080492359522978</v>
      </c>
      <c r="R50" s="265">
        <f t="shared" si="36"/>
        <v>-96.249049235952299</v>
      </c>
      <c r="S50" s="208"/>
      <c r="T50" s="208">
        <f>T33-SUM(T43,T44,T45,T46,T39,T47,T48,T49)</f>
        <v>-23.824000000000005</v>
      </c>
      <c r="U50" s="208">
        <f>U40-SUM(U43,U44,U45,U46,U47,U48,U49)</f>
        <v>6.8329999999999895</v>
      </c>
      <c r="V50" s="269">
        <f>V33-SUM(V43,V44,V45,V46,V39,V47,V48,V49)</f>
        <v>19.682000000000002</v>
      </c>
      <c r="W50" s="269">
        <f>W33-SUM(W43,W44,W45,W46,W39,W47,W48,W49)</f>
        <v>22.222000000000001</v>
      </c>
      <c r="X50" s="267">
        <f t="shared" si="37"/>
        <v>24.91299999999999</v>
      </c>
      <c r="Y50" s="266"/>
      <c r="Z50" s="269">
        <f>Z33-SUM(Z43,Z44,Z45,Z46,Z39,Z47,Z48,Z49)</f>
        <v>17.948000000000008</v>
      </c>
      <c r="AA50" s="269">
        <f>AA33-SUM(AA43,AA44,AA45,AA46,AA39,AA47,AA48,AA49)</f>
        <v>19.668000000000006</v>
      </c>
      <c r="AB50" s="269">
        <f>AB33-SUM(AB43,AB44,AB45,AB46,AB39,AB47,AB48,AB49)</f>
        <v>28.684327609325777</v>
      </c>
      <c r="AC50" s="269">
        <f>AC33-SUM(AC43,AC44,AC45,AC46,AC39,AC47,AC48,AC49)</f>
        <v>27.414863879042088</v>
      </c>
      <c r="AD50" s="267">
        <f t="shared" si="38"/>
        <v>93.715191488367878</v>
      </c>
      <c r="AE50" s="266"/>
      <c r="AF50" s="269">
        <f>AF33-SUM(AF43,AF44,AF45,AF46,AF39,AF47,AF48,AF49)</f>
        <v>22.124260830138361</v>
      </c>
      <c r="AG50" s="269">
        <f>AG33-SUM(AG43,AG44,AG45,AG46,AG39,AG47,AG48,AG49)</f>
        <v>27.211387500000001</v>
      </c>
      <c r="AH50" s="269">
        <f>AH33-SUM(AH43,AH44,AH45,AH46,AH39,AH47,AH48,AH49)</f>
        <v>40.920295228999194</v>
      </c>
      <c r="AI50" s="269">
        <f>AI33-SUM(AI43,AI44,AI45,AI46,AI39,AI47,AI48,AI49)</f>
        <v>39.018801122735489</v>
      </c>
      <c r="AJ50" s="267">
        <f t="shared" si="43"/>
        <v>129.27474468187305</v>
      </c>
      <c r="AK50" s="266"/>
      <c r="AL50" s="269">
        <f>AL33-SUM(AL43,AL44,AL45,AL46,AL39,AL47,AL48,AL49)</f>
        <v>26.587759384549436</v>
      </c>
      <c r="AM50" s="269">
        <f>AM33-SUM(AM43,AM44,AM45,AM46,AM39,AM47,AM48,AM49)</f>
        <v>32.231768828</v>
      </c>
      <c r="AN50" s="269">
        <f>AN33-SUM(AN43,AN44,AN45,AN46,AN39,AN47,AN48,AN49)</f>
        <v>47.177421901987152</v>
      </c>
      <c r="AO50" s="269">
        <f>AO33-SUM(AO43,AO44,AO45,AO46,AO39,AO47,AO48,AO49)</f>
        <v>45.302262779482341</v>
      </c>
      <c r="AP50" s="267">
        <f t="shared" si="40"/>
        <v>151.29921289401892</v>
      </c>
      <c r="AR50"/>
      <c r="AS50"/>
      <c r="AT50"/>
      <c r="AU50"/>
      <c r="AV50"/>
    </row>
    <row r="51" spans="2:48" ht="14.5" x14ac:dyDescent="0.35">
      <c r="B51" s="189" t="s">
        <v>351</v>
      </c>
      <c r="D51" s="273"/>
      <c r="E51" s="191"/>
      <c r="F51" s="192"/>
      <c r="G51" s="191"/>
      <c r="H51" s="191">
        <v>-0.90200000000000002</v>
      </c>
      <c r="I51" s="191">
        <v>-2.1840000000000002</v>
      </c>
      <c r="J51" s="191">
        <v>-2.1720000000000002</v>
      </c>
      <c r="K51" s="191">
        <v>-1.64</v>
      </c>
      <c r="L51" s="192">
        <f>+SUM(H51:K51)</f>
        <v>-6.8980000000000006</v>
      </c>
      <c r="M51" s="191"/>
      <c r="N51" s="191">
        <v>5.7910000000000004</v>
      </c>
      <c r="O51" s="191">
        <v>3.4990000000000001</v>
      </c>
      <c r="P51" s="191">
        <v>2.8889999999999998</v>
      </c>
      <c r="Q51" s="191">
        <v>4.7E-2</v>
      </c>
      <c r="R51" s="273">
        <f t="shared" si="36"/>
        <v>12.226000000000001</v>
      </c>
      <c r="S51" s="191"/>
      <c r="T51" s="193">
        <v>4.4349999999999996</v>
      </c>
      <c r="U51" s="193">
        <v>-3.0630000000000002</v>
      </c>
      <c r="V51" s="193">
        <v>-3.3969999999999998</v>
      </c>
      <c r="W51" s="193">
        <v>-6.8369999999999997</v>
      </c>
      <c r="X51" s="273">
        <f t="shared" si="37"/>
        <v>-8.8620000000000001</v>
      </c>
      <c r="Y51" s="191"/>
      <c r="Z51" s="193">
        <v>-4.9349999999999996</v>
      </c>
      <c r="AA51" s="193">
        <v>-5.4320000000000004</v>
      </c>
      <c r="AB51" s="264">
        <f>-AB50*AB52</f>
        <v>-7.3145035403780732</v>
      </c>
      <c r="AC51" s="264">
        <f>-AC50*AC52</f>
        <v>-6.9907902891557328</v>
      </c>
      <c r="AD51" s="273">
        <f t="shared" si="38"/>
        <v>-24.672293829533807</v>
      </c>
      <c r="AE51" s="191"/>
      <c r="AF51" s="264">
        <f>-AF50*AF52</f>
        <v>-5.5310652075345903</v>
      </c>
      <c r="AG51" s="264">
        <f>-AG50*AG52</f>
        <v>-6.8028468750000002</v>
      </c>
      <c r="AH51" s="264">
        <f>-AH50*AH52</f>
        <v>-10.230073807249799</v>
      </c>
      <c r="AI51" s="264">
        <f>-AI50*AI52</f>
        <v>-9.7547002806838723</v>
      </c>
      <c r="AJ51" s="273">
        <f t="shared" si="43"/>
        <v>-32.318686170468261</v>
      </c>
      <c r="AK51" s="191"/>
      <c r="AL51" s="264">
        <f>-AL50*AL52</f>
        <v>-6.646939846137359</v>
      </c>
      <c r="AM51" s="264">
        <f>-AM50*AM52</f>
        <v>-8.057942207</v>
      </c>
      <c r="AN51" s="264">
        <f>-AN50*AN52</f>
        <v>-11.794355475496788</v>
      </c>
      <c r="AO51" s="264">
        <f>-AO50*AO52</f>
        <v>-11.325565694870585</v>
      </c>
      <c r="AP51" s="273">
        <f t="shared" si="40"/>
        <v>-37.82480322350473</v>
      </c>
      <c r="AR51"/>
      <c r="AS51"/>
      <c r="AT51"/>
      <c r="AU51"/>
      <c r="AV51"/>
    </row>
    <row r="52" spans="2:48" ht="14.5" x14ac:dyDescent="0.35">
      <c r="B52" s="198" t="s">
        <v>1762</v>
      </c>
      <c r="D52" s="192"/>
      <c r="E52" s="191"/>
      <c r="F52" s="192"/>
      <c r="G52" s="191"/>
      <c r="H52" s="191"/>
      <c r="I52" s="191"/>
      <c r="J52" s="191"/>
      <c r="K52" s="191"/>
      <c r="L52" s="192"/>
      <c r="M52" s="191"/>
      <c r="N52" s="191"/>
      <c r="O52" s="191"/>
      <c r="P52" s="191"/>
      <c r="Q52" s="191"/>
      <c r="R52" s="192"/>
      <c r="S52" s="191"/>
      <c r="T52" s="157">
        <f>-T51/T50</f>
        <v>0.18615681665547343</v>
      </c>
      <c r="U52" s="157">
        <f>-U51/U50</f>
        <v>0.44826576906190618</v>
      </c>
      <c r="V52" s="157">
        <f>-V51/V50</f>
        <v>0.17259424855197639</v>
      </c>
      <c r="W52" s="157">
        <f>-W51/W50</f>
        <v>0.30766807668076679</v>
      </c>
      <c r="X52" s="154">
        <f>-X51/X50</f>
        <v>0.35571789828603556</v>
      </c>
      <c r="Y52" s="191"/>
      <c r="Z52" s="157">
        <f>-Z51/Z50</f>
        <v>0.27496099843993749</v>
      </c>
      <c r="AA52" s="157">
        <f>-AA51/AA50</f>
        <v>0.27618466544641035</v>
      </c>
      <c r="AB52" s="155">
        <v>0.255</v>
      </c>
      <c r="AC52" s="155">
        <v>0.255</v>
      </c>
      <c r="AD52" s="154">
        <f>-AD51/AD50</f>
        <v>0.26326888349362421</v>
      </c>
      <c r="AE52" s="191"/>
      <c r="AF52" s="155">
        <v>0.25</v>
      </c>
      <c r="AG52" s="155">
        <v>0.25</v>
      </c>
      <c r="AH52" s="155">
        <v>0.25</v>
      </c>
      <c r="AI52" s="155">
        <v>0.25</v>
      </c>
      <c r="AJ52" s="154">
        <f>-AJ51/AJ50</f>
        <v>0.25</v>
      </c>
      <c r="AK52" s="191"/>
      <c r="AL52" s="155">
        <v>0.25</v>
      </c>
      <c r="AM52" s="155">
        <v>0.25</v>
      </c>
      <c r="AN52" s="155">
        <v>0.25</v>
      </c>
      <c r="AO52" s="155">
        <v>0.25</v>
      </c>
      <c r="AP52" s="154">
        <f>-AP51/AP50</f>
        <v>0.25</v>
      </c>
      <c r="AR52"/>
      <c r="AS52"/>
      <c r="AT52"/>
      <c r="AU52"/>
      <c r="AV52"/>
    </row>
    <row r="53" spans="2:48" ht="14.5" x14ac:dyDescent="0.35">
      <c r="B53" s="163" t="s">
        <v>1763</v>
      </c>
      <c r="D53" s="265"/>
      <c r="E53" s="266"/>
      <c r="F53" s="267"/>
      <c r="G53" s="266"/>
      <c r="H53" s="266">
        <f>SUM(H50:H51)</f>
        <v>3.1959999999999988</v>
      </c>
      <c r="I53" s="266">
        <f>SUM(I50:I51)</f>
        <v>10.720000000000002</v>
      </c>
      <c r="J53" s="266">
        <f>SUM(J50:J51)</f>
        <v>11.587</v>
      </c>
      <c r="K53" s="266">
        <f>SUM(K50:K51)</f>
        <v>8.7469999999999963</v>
      </c>
      <c r="L53" s="267">
        <f>+SUM(H53:K53)</f>
        <v>34.25</v>
      </c>
      <c r="M53" s="266"/>
      <c r="N53" s="208">
        <f>SUM(N50:N51)</f>
        <v>-58.343999999999994</v>
      </c>
      <c r="O53" s="208">
        <f>SUM(O50:O51)</f>
        <v>-16.36600000000001</v>
      </c>
      <c r="P53" s="208">
        <f>SUM(P50:P51)</f>
        <v>-3.4520000000000155</v>
      </c>
      <c r="Q53" s="208">
        <f>SUM(Q50:Q51)</f>
        <v>-5.8610492359522981</v>
      </c>
      <c r="R53" s="265">
        <f>+SUM(N53:Q53)</f>
        <v>-84.023049235952314</v>
      </c>
      <c r="S53" s="208"/>
      <c r="T53" s="208">
        <f>SUM(T50:T51)</f>
        <v>-19.389000000000006</v>
      </c>
      <c r="U53" s="208">
        <f>SUM(U50:U51)</f>
        <v>3.7699999999999894</v>
      </c>
      <c r="V53" s="269">
        <f t="shared" ref="V53:AC53" si="45">SUM(V50:V51)</f>
        <v>16.285000000000004</v>
      </c>
      <c r="W53" s="269">
        <f t="shared" si="45"/>
        <v>15.385000000000002</v>
      </c>
      <c r="X53" s="267">
        <f>+SUM(T53:W53)</f>
        <v>16.050999999999988</v>
      </c>
      <c r="Y53" s="266"/>
      <c r="Z53" s="269">
        <f t="shared" si="45"/>
        <v>13.013000000000009</v>
      </c>
      <c r="AA53" s="269">
        <f t="shared" si="45"/>
        <v>14.236000000000006</v>
      </c>
      <c r="AB53" s="269">
        <f t="shared" si="45"/>
        <v>21.369824068947704</v>
      </c>
      <c r="AC53" s="269">
        <f t="shared" si="45"/>
        <v>20.424073589886355</v>
      </c>
      <c r="AD53" s="267">
        <f>+SUM(Z53:AC53)</f>
        <v>69.042897658834079</v>
      </c>
      <c r="AE53" s="266"/>
      <c r="AF53" s="269">
        <f t="shared" ref="AF53:AI53" si="46">SUM(AF50:AF51)</f>
        <v>16.593195622603773</v>
      </c>
      <c r="AG53" s="269">
        <f t="shared" si="46"/>
        <v>20.408540625000001</v>
      </c>
      <c r="AH53" s="269">
        <f t="shared" si="46"/>
        <v>30.690221421749396</v>
      </c>
      <c r="AI53" s="269">
        <f t="shared" si="46"/>
        <v>29.264100842051619</v>
      </c>
      <c r="AJ53" s="267">
        <f>+SUM(AF53:AI53)</f>
        <v>96.956058511404791</v>
      </c>
      <c r="AK53" s="266"/>
      <c r="AL53" s="269">
        <f t="shared" ref="AL53:AO53" si="47">SUM(AL50:AL51)</f>
        <v>19.940819538412079</v>
      </c>
      <c r="AM53" s="269">
        <f t="shared" si="47"/>
        <v>24.173826621</v>
      </c>
      <c r="AN53" s="269">
        <f t="shared" si="47"/>
        <v>35.383066426490366</v>
      </c>
      <c r="AO53" s="269">
        <f t="shared" si="47"/>
        <v>33.976697084611757</v>
      </c>
      <c r="AP53" s="267">
        <f>+SUM(AL53:AO53)</f>
        <v>113.47440967051419</v>
      </c>
      <c r="AR53"/>
      <c r="AS53"/>
      <c r="AT53"/>
      <c r="AU53"/>
      <c r="AV53"/>
    </row>
    <row r="54" spans="2:48" ht="14.5" x14ac:dyDescent="0.35">
      <c r="B54" s="153" t="s">
        <v>1745</v>
      </c>
      <c r="C54" s="132"/>
      <c r="D54" s="171"/>
      <c r="E54" s="274"/>
      <c r="F54" s="171"/>
      <c r="G54" s="274"/>
      <c r="H54" s="274"/>
      <c r="I54" s="274"/>
      <c r="J54" s="274"/>
      <c r="K54" s="274"/>
      <c r="L54" s="171" t="s">
        <v>1764</v>
      </c>
      <c r="M54" s="274"/>
      <c r="N54" s="274" t="s">
        <v>1764</v>
      </c>
      <c r="O54" s="274" t="s">
        <v>1764</v>
      </c>
      <c r="P54" s="274" t="s">
        <v>1764</v>
      </c>
      <c r="Q54" s="274" t="s">
        <v>1764</v>
      </c>
      <c r="R54" s="171" t="s">
        <v>1764</v>
      </c>
      <c r="S54" s="274"/>
      <c r="T54" s="275" t="s">
        <v>1764</v>
      </c>
      <c r="U54" s="275" t="s">
        <v>1764</v>
      </c>
      <c r="V54" s="275" t="s">
        <v>1764</v>
      </c>
      <c r="W54" s="275" t="s">
        <v>1764</v>
      </c>
      <c r="X54" s="171" t="s">
        <v>1764</v>
      </c>
      <c r="Y54" s="274"/>
      <c r="Z54" s="275" t="s">
        <v>1764</v>
      </c>
      <c r="AA54" s="276">
        <f>AA53/U53-1</f>
        <v>2.7761273209549193</v>
      </c>
      <c r="AB54" s="276">
        <f>AB53/V53-1</f>
        <v>0.3122397340465275</v>
      </c>
      <c r="AC54" s="276">
        <f>AC53/W53-1</f>
        <v>0.32753159505273666</v>
      </c>
      <c r="AD54" s="277">
        <f>AD53/X53-1</f>
        <v>3.3014701675181692</v>
      </c>
      <c r="AE54" s="274"/>
      <c r="AF54" s="276">
        <f>AF53/Z53-1</f>
        <v>0.27512453873847398</v>
      </c>
      <c r="AG54" s="276">
        <f t="shared" ref="AG54:AJ54" si="48">AG53/AA53-1</f>
        <v>0.43358672555493061</v>
      </c>
      <c r="AH54" s="276">
        <f t="shared" si="48"/>
        <v>0.43614759404337233</v>
      </c>
      <c r="AI54" s="276">
        <f t="shared" si="48"/>
        <v>0.43282390328551745</v>
      </c>
      <c r="AJ54" s="277">
        <f t="shared" si="48"/>
        <v>0.40428721561629311</v>
      </c>
      <c r="AK54" s="274"/>
      <c r="AL54" s="276">
        <f>AL53/AF53-1</f>
        <v>0.20174678777655508</v>
      </c>
      <c r="AM54" s="276">
        <f t="shared" ref="AM54:AP54" si="49">AM53/AG53-1</f>
        <v>0.1844956023650024</v>
      </c>
      <c r="AN54" s="276">
        <f t="shared" si="49"/>
        <v>0.15291010580377451</v>
      </c>
      <c r="AO54" s="276">
        <f t="shared" si="49"/>
        <v>0.16103676883823059</v>
      </c>
      <c r="AP54" s="277">
        <f t="shared" si="49"/>
        <v>0.17036945821355109</v>
      </c>
      <c r="AR54"/>
      <c r="AS54"/>
      <c r="AT54"/>
      <c r="AU54"/>
      <c r="AV54"/>
    </row>
    <row r="55" spans="2:48" ht="5.15" customHeight="1" x14ac:dyDescent="0.35">
      <c r="B55" s="198"/>
      <c r="C55" s="132"/>
      <c r="D55" s="162"/>
      <c r="E55" s="155"/>
      <c r="F55" s="162"/>
      <c r="G55" s="155"/>
      <c r="H55" s="155"/>
      <c r="I55" s="155"/>
      <c r="J55" s="155"/>
      <c r="K55" s="155"/>
      <c r="L55" s="162"/>
      <c r="M55" s="155"/>
      <c r="N55" s="155"/>
      <c r="O55" s="155"/>
      <c r="P55" s="155"/>
      <c r="Q55" s="155"/>
      <c r="R55" s="162"/>
      <c r="S55" s="155"/>
      <c r="T55" s="278"/>
      <c r="U55" s="278"/>
      <c r="V55" s="271"/>
      <c r="W55" s="271"/>
      <c r="X55" s="154"/>
      <c r="Y55" s="155"/>
      <c r="Z55" s="271"/>
      <c r="AA55" s="271"/>
      <c r="AB55" s="271"/>
      <c r="AC55" s="271"/>
      <c r="AD55" s="154"/>
      <c r="AE55" s="155"/>
      <c r="AF55" s="271"/>
      <c r="AG55" s="271"/>
      <c r="AH55" s="271"/>
      <c r="AI55" s="271"/>
      <c r="AJ55" s="154"/>
      <c r="AK55" s="155"/>
      <c r="AL55" s="271"/>
      <c r="AM55" s="271"/>
      <c r="AN55" s="271"/>
      <c r="AO55" s="271"/>
      <c r="AP55" s="154"/>
      <c r="AR55"/>
      <c r="AS55"/>
      <c r="AT55"/>
      <c r="AU55"/>
      <c r="AV55"/>
    </row>
    <row r="56" spans="2:48" ht="14.5" x14ac:dyDescent="0.35">
      <c r="B56" s="279" t="s">
        <v>1765</v>
      </c>
      <c r="C56" s="132"/>
      <c r="D56" s="162"/>
      <c r="E56" s="155"/>
      <c r="F56" s="162"/>
      <c r="G56" s="155"/>
      <c r="H56" s="155"/>
      <c r="I56" s="155"/>
      <c r="J56" s="155"/>
      <c r="K56" s="155"/>
      <c r="L56" s="162"/>
      <c r="M56" s="155"/>
      <c r="N56" s="155"/>
      <c r="O56" s="155"/>
      <c r="P56" s="155"/>
      <c r="Q56" s="155"/>
      <c r="R56" s="162"/>
      <c r="S56" s="155"/>
      <c r="T56" s="278"/>
      <c r="U56" s="278"/>
      <c r="V56" s="271"/>
      <c r="W56" s="271"/>
      <c r="X56" s="154"/>
      <c r="Y56" s="155"/>
      <c r="Z56" s="271"/>
      <c r="AA56" s="271"/>
      <c r="AB56" s="271"/>
      <c r="AC56" s="271"/>
      <c r="AD56" s="154"/>
      <c r="AE56" s="155"/>
      <c r="AF56" s="271"/>
      <c r="AG56" s="271"/>
      <c r="AH56" s="271"/>
      <c r="AI56" s="271"/>
      <c r="AJ56" s="154"/>
      <c r="AK56" s="155"/>
      <c r="AL56" s="271"/>
      <c r="AM56" s="271"/>
      <c r="AN56" s="271"/>
      <c r="AO56" s="271"/>
      <c r="AP56" s="154"/>
      <c r="AR56"/>
      <c r="AS56"/>
      <c r="AT56"/>
      <c r="AU56"/>
      <c r="AV56"/>
    </row>
    <row r="57" spans="2:48" ht="14.5" x14ac:dyDescent="0.35">
      <c r="B57" s="189" t="s">
        <v>1592</v>
      </c>
      <c r="C57" s="132"/>
      <c r="D57" s="190"/>
      <c r="E57" s="191"/>
      <c r="F57" s="190"/>
      <c r="G57" s="191"/>
      <c r="H57" s="191">
        <v>0.76800000000000002</v>
      </c>
      <c r="I57" s="191">
        <v>0.78500000000000003</v>
      </c>
      <c r="J57" s="191">
        <v>0.80200000000000005</v>
      </c>
      <c r="K57" s="191">
        <v>0.81899999999999995</v>
      </c>
      <c r="L57" s="190">
        <f t="shared" ref="L57:L62" si="50">+SUM(H57:K57)</f>
        <v>3.1739999999999999</v>
      </c>
      <c r="M57" s="191"/>
      <c r="N57" s="191">
        <v>11.68</v>
      </c>
      <c r="O57" s="191">
        <v>0.877</v>
      </c>
      <c r="P57" s="191">
        <v>0.88900000000000001</v>
      </c>
      <c r="Q57" s="191">
        <v>0.89800000000000002</v>
      </c>
      <c r="R57" s="190">
        <f t="shared" ref="R57:R62" si="51">+SUM(N57:Q57)</f>
        <v>14.343999999999999</v>
      </c>
      <c r="S57" s="191"/>
      <c r="T57" s="193">
        <v>14.911</v>
      </c>
      <c r="U57" s="193">
        <v>4.3550000000000004</v>
      </c>
      <c r="V57" s="191">
        <v>0.437</v>
      </c>
      <c r="W57" s="191">
        <v>0.44</v>
      </c>
      <c r="X57" s="190">
        <f t="shared" ref="X57:X64" si="52">+SUM(T57:W57)</f>
        <v>20.143000000000001</v>
      </c>
      <c r="Y57" s="191"/>
      <c r="Z57" s="191">
        <v>-4.8150000000000004</v>
      </c>
      <c r="AA57" s="191">
        <v>0</v>
      </c>
      <c r="AB57" s="191">
        <v>0</v>
      </c>
      <c r="AC57" s="191">
        <v>0</v>
      </c>
      <c r="AD57" s="190">
        <f t="shared" ref="AD57:AD64" si="53">+SUM(Z57:AC57)</f>
        <v>-4.8150000000000004</v>
      </c>
      <c r="AE57" s="191"/>
      <c r="AF57" s="191">
        <f>AC57</f>
        <v>0</v>
      </c>
      <c r="AG57" s="191">
        <f>AF57</f>
        <v>0</v>
      </c>
      <c r="AH57" s="191">
        <f>AG57</f>
        <v>0</v>
      </c>
      <c r="AI57" s="191">
        <f>AH57</f>
        <v>0</v>
      </c>
      <c r="AJ57" s="190">
        <f t="shared" ref="AJ57:AJ64" si="54">+SUM(AF57:AI57)</f>
        <v>0</v>
      </c>
      <c r="AK57" s="191"/>
      <c r="AL57" s="191">
        <f>AI57</f>
        <v>0</v>
      </c>
      <c r="AM57" s="191">
        <f>AL57</f>
        <v>0</v>
      </c>
      <c r="AN57" s="191">
        <f>AM57</f>
        <v>0</v>
      </c>
      <c r="AO57" s="191">
        <f>AN57</f>
        <v>0</v>
      </c>
      <c r="AP57" s="190">
        <f t="shared" ref="AP57:AP64" si="55">+SUM(AL57:AO57)</f>
        <v>0</v>
      </c>
      <c r="AR57"/>
      <c r="AS57"/>
      <c r="AT57"/>
      <c r="AU57"/>
      <c r="AV57"/>
    </row>
    <row r="58" spans="2:48" ht="14.5" x14ac:dyDescent="0.35">
      <c r="B58" s="189" t="s">
        <v>1579</v>
      </c>
      <c r="C58" s="132"/>
      <c r="D58" s="190"/>
      <c r="E58" s="191"/>
      <c r="F58" s="190"/>
      <c r="G58" s="191"/>
      <c r="H58" s="191">
        <v>2.758</v>
      </c>
      <c r="I58" s="191">
        <v>2.8</v>
      </c>
      <c r="J58" s="191">
        <v>2.758</v>
      </c>
      <c r="K58" s="191">
        <v>2.758</v>
      </c>
      <c r="L58" s="190">
        <f t="shared" si="50"/>
        <v>11.073999999999998</v>
      </c>
      <c r="M58" s="191"/>
      <c r="N58" s="191">
        <v>23.638999999999999</v>
      </c>
      <c r="O58" s="191">
        <v>34.134999999999998</v>
      </c>
      <c r="P58" s="191">
        <v>34.222999999999999</v>
      </c>
      <c r="Q58" s="191">
        <v>34.270000000000003</v>
      </c>
      <c r="R58" s="190">
        <f t="shared" si="51"/>
        <v>126.267</v>
      </c>
      <c r="S58" s="191"/>
      <c r="T58" s="193">
        <v>31.512</v>
      </c>
      <c r="U58" s="193">
        <v>31.786000000000001</v>
      </c>
      <c r="V58" s="191">
        <v>31.748999999999999</v>
      </c>
      <c r="W58" s="191">
        <v>31.818000000000001</v>
      </c>
      <c r="X58" s="190">
        <f t="shared" si="52"/>
        <v>126.86499999999999</v>
      </c>
      <c r="Y58" s="191"/>
      <c r="Z58" s="191">
        <v>29.114999999999998</v>
      </c>
      <c r="AA58" s="191">
        <v>29.029</v>
      </c>
      <c r="AB58" s="191">
        <v>30</v>
      </c>
      <c r="AC58" s="191">
        <v>29</v>
      </c>
      <c r="AD58" s="190">
        <f t="shared" si="53"/>
        <v>117.14400000000001</v>
      </c>
      <c r="AE58" s="191"/>
      <c r="AF58" s="191">
        <v>24.7</v>
      </c>
      <c r="AG58" s="191">
        <v>24.7</v>
      </c>
      <c r="AH58" s="191">
        <v>24.7</v>
      </c>
      <c r="AI58" s="191">
        <v>24.7</v>
      </c>
      <c r="AJ58" s="190">
        <f t="shared" si="54"/>
        <v>98.8</v>
      </c>
      <c r="AK58" s="191"/>
      <c r="AL58" s="191">
        <v>26</v>
      </c>
      <c r="AM58" s="191">
        <v>26</v>
      </c>
      <c r="AN58" s="191">
        <v>26</v>
      </c>
      <c r="AO58" s="191">
        <v>26</v>
      </c>
      <c r="AP58" s="190">
        <f t="shared" si="55"/>
        <v>104</v>
      </c>
      <c r="AR58" s="280"/>
      <c r="AS58"/>
      <c r="AT58"/>
      <c r="AU58"/>
      <c r="AV58"/>
    </row>
    <row r="59" spans="2:48" ht="14.5" x14ac:dyDescent="0.35">
      <c r="B59" s="189" t="s">
        <v>361</v>
      </c>
      <c r="C59" s="132"/>
      <c r="D59" s="190"/>
      <c r="E59" s="191"/>
      <c r="F59" s="190"/>
      <c r="G59" s="191"/>
      <c r="H59" s="264">
        <f>H43</f>
        <v>0.35399999999999998</v>
      </c>
      <c r="I59" s="264">
        <f>I43</f>
        <v>0.32400000000000001</v>
      </c>
      <c r="J59" s="264">
        <f>J43</f>
        <v>0.27400000000000002</v>
      </c>
      <c r="K59" s="264">
        <f>K43</f>
        <v>0.26400000000000001</v>
      </c>
      <c r="L59" s="190">
        <f t="shared" si="50"/>
        <v>1.216</v>
      </c>
      <c r="M59" s="191"/>
      <c r="N59" s="191">
        <v>4.2569999999999997</v>
      </c>
      <c r="O59" s="191">
        <v>0.52</v>
      </c>
      <c r="P59" s="191">
        <v>0.53100000000000003</v>
      </c>
      <c r="Q59" s="191">
        <v>0.54400000000000004</v>
      </c>
      <c r="R59" s="190">
        <f t="shared" si="51"/>
        <v>5.8519999999999985</v>
      </c>
      <c r="S59" s="191"/>
      <c r="T59" s="193">
        <v>0.56200000000000006</v>
      </c>
      <c r="U59" s="193">
        <v>2.6640000000000001</v>
      </c>
      <c r="V59" s="191">
        <v>1.343</v>
      </c>
      <c r="W59" s="191">
        <v>4.9610000000000003</v>
      </c>
      <c r="X59" s="190">
        <f t="shared" si="52"/>
        <v>9.5300000000000011</v>
      </c>
      <c r="Y59" s="191"/>
      <c r="Z59" s="264">
        <f t="shared" ref="Z59:AC61" si="56">Z43</f>
        <v>1.859</v>
      </c>
      <c r="AA59" s="264">
        <f t="shared" si="56"/>
        <v>1.9430000000000001</v>
      </c>
      <c r="AB59" s="264">
        <f t="shared" si="56"/>
        <v>1.7</v>
      </c>
      <c r="AC59" s="264">
        <f t="shared" si="56"/>
        <v>1.7</v>
      </c>
      <c r="AD59" s="273">
        <f t="shared" si="53"/>
        <v>7.202</v>
      </c>
      <c r="AE59" s="191"/>
      <c r="AF59" s="264">
        <f t="shared" ref="AF59:AI60" si="57">AF43</f>
        <v>1.2</v>
      </c>
      <c r="AG59" s="264">
        <f t="shared" si="57"/>
        <v>1.2</v>
      </c>
      <c r="AH59" s="264">
        <f t="shared" si="57"/>
        <v>1.2</v>
      </c>
      <c r="AI59" s="264">
        <f>AI43</f>
        <v>1.2</v>
      </c>
      <c r="AJ59" s="273">
        <f t="shared" si="54"/>
        <v>4.8</v>
      </c>
      <c r="AK59" s="191"/>
      <c r="AL59" s="264">
        <f t="shared" ref="AL59:AO60" si="58">AL43</f>
        <v>1.2</v>
      </c>
      <c r="AM59" s="264">
        <f t="shared" si="58"/>
        <v>1.2</v>
      </c>
      <c r="AN59" s="264">
        <f t="shared" si="58"/>
        <v>1.2</v>
      </c>
      <c r="AO59" s="264">
        <f>AO43</f>
        <v>1.2</v>
      </c>
      <c r="AP59" s="273">
        <f t="shared" si="55"/>
        <v>4.8</v>
      </c>
      <c r="AR59"/>
      <c r="AS59"/>
      <c r="AT59"/>
      <c r="AU59"/>
      <c r="AV59"/>
    </row>
    <row r="60" spans="2:48" ht="14.5" x14ac:dyDescent="0.35">
      <c r="B60" s="189" t="s">
        <v>1759</v>
      </c>
      <c r="C60" s="132"/>
      <c r="D60" s="190"/>
      <c r="E60" s="191"/>
      <c r="F60" s="190"/>
      <c r="G60" s="191"/>
      <c r="H60" s="191"/>
      <c r="I60" s="191"/>
      <c r="J60" s="264">
        <f>J44</f>
        <v>0.34899999999999998</v>
      </c>
      <c r="K60" s="264">
        <f>K44</f>
        <v>0.84899999999999998</v>
      </c>
      <c r="L60" s="190">
        <f t="shared" si="50"/>
        <v>1.198</v>
      </c>
      <c r="M60" s="191"/>
      <c r="N60" s="191">
        <v>32.286000000000001</v>
      </c>
      <c r="O60" s="191">
        <v>7.5999999999999998E-2</v>
      </c>
      <c r="P60" s="191">
        <v>5.6000000000000001E-2</v>
      </c>
      <c r="Q60" s="191">
        <v>0.56799999999999995</v>
      </c>
      <c r="R60" s="190">
        <f t="shared" si="51"/>
        <v>32.985999999999997</v>
      </c>
      <c r="S60" s="191"/>
      <c r="T60" s="193">
        <v>3.984</v>
      </c>
      <c r="U60" s="193">
        <v>0.38200000000000001</v>
      </c>
      <c r="V60" s="191">
        <v>2.1440000000000001</v>
      </c>
      <c r="W60" s="191">
        <v>2.8039999999999998</v>
      </c>
      <c r="X60" s="190">
        <f t="shared" si="52"/>
        <v>9.3140000000000001</v>
      </c>
      <c r="Y60" s="191"/>
      <c r="Z60" s="264">
        <f t="shared" si="56"/>
        <v>1.498</v>
      </c>
      <c r="AA60" s="264">
        <f t="shared" si="56"/>
        <v>1.179</v>
      </c>
      <c r="AB60" s="264">
        <f t="shared" si="56"/>
        <v>0</v>
      </c>
      <c r="AC60" s="264">
        <f t="shared" si="56"/>
        <v>0</v>
      </c>
      <c r="AD60" s="190">
        <f>+SUM(Z60:AC60)</f>
        <v>2.677</v>
      </c>
      <c r="AE60" s="191"/>
      <c r="AF60" s="264">
        <f t="shared" si="57"/>
        <v>0</v>
      </c>
      <c r="AG60" s="264">
        <f t="shared" si="57"/>
        <v>0</v>
      </c>
      <c r="AH60" s="264">
        <f t="shared" si="57"/>
        <v>0</v>
      </c>
      <c r="AI60" s="264">
        <f t="shared" si="57"/>
        <v>0</v>
      </c>
      <c r="AJ60" s="273">
        <f t="shared" si="54"/>
        <v>0</v>
      </c>
      <c r="AK60" s="191"/>
      <c r="AL60" s="264">
        <f t="shared" si="58"/>
        <v>0</v>
      </c>
      <c r="AM60" s="264">
        <f t="shared" si="58"/>
        <v>0</v>
      </c>
      <c r="AN60" s="264">
        <f t="shared" si="58"/>
        <v>0</v>
      </c>
      <c r="AO60" s="264">
        <f t="shared" si="58"/>
        <v>0</v>
      </c>
      <c r="AP60" s="273">
        <f t="shared" si="55"/>
        <v>0</v>
      </c>
      <c r="AR60"/>
      <c r="AS60"/>
      <c r="AT60"/>
      <c r="AU60"/>
      <c r="AV60"/>
    </row>
    <row r="61" spans="2:48" ht="14.5" x14ac:dyDescent="0.35">
      <c r="B61" s="189" t="s">
        <v>1575</v>
      </c>
      <c r="C61" s="132"/>
      <c r="D61" s="190"/>
      <c r="E61" s="191"/>
      <c r="F61" s="192"/>
      <c r="G61" s="191"/>
      <c r="H61" s="191"/>
      <c r="I61" s="191"/>
      <c r="J61" s="191"/>
      <c r="K61" s="191"/>
      <c r="L61" s="192">
        <v>0</v>
      </c>
      <c r="M61" s="191"/>
      <c r="N61" s="191">
        <v>0.32700000000000001</v>
      </c>
      <c r="O61" s="191">
        <v>0.26200000000000001</v>
      </c>
      <c r="P61" s="191">
        <v>2.5999999999999999E-2</v>
      </c>
      <c r="Q61" s="191">
        <v>3.125</v>
      </c>
      <c r="R61" s="190">
        <f t="shared" si="51"/>
        <v>3.74</v>
      </c>
      <c r="S61" s="191"/>
      <c r="T61" s="193">
        <v>0.44800000000000001</v>
      </c>
      <c r="U61" s="193">
        <v>7.2999999999999995E-2</v>
      </c>
      <c r="V61" s="191">
        <v>6.3E-2</v>
      </c>
      <c r="W61" s="191">
        <v>0</v>
      </c>
      <c r="X61" s="190">
        <f t="shared" si="52"/>
        <v>0.58400000000000007</v>
      </c>
      <c r="Y61" s="191"/>
      <c r="Z61" s="191">
        <v>-0.88900000000000001</v>
      </c>
      <c r="AA61" s="264">
        <f t="shared" si="56"/>
        <v>0.52500000000000002</v>
      </c>
      <c r="AB61" s="191">
        <v>0</v>
      </c>
      <c r="AC61" s="191">
        <v>0</v>
      </c>
      <c r="AD61" s="190">
        <f t="shared" si="53"/>
        <v>-0.36399999999999999</v>
      </c>
      <c r="AE61" s="191"/>
      <c r="AF61" s="191">
        <v>0</v>
      </c>
      <c r="AG61" s="191">
        <v>0</v>
      </c>
      <c r="AH61" s="191">
        <v>0</v>
      </c>
      <c r="AI61" s="191">
        <v>0</v>
      </c>
      <c r="AJ61" s="273">
        <f t="shared" si="54"/>
        <v>0</v>
      </c>
      <c r="AK61" s="191"/>
      <c r="AL61" s="191">
        <v>0</v>
      </c>
      <c r="AM61" s="191">
        <v>0</v>
      </c>
      <c r="AN61" s="191">
        <v>0</v>
      </c>
      <c r="AO61" s="191">
        <v>0</v>
      </c>
      <c r="AP61" s="273">
        <f t="shared" si="55"/>
        <v>0</v>
      </c>
      <c r="AR61"/>
      <c r="AS61"/>
      <c r="AT61"/>
      <c r="AU61"/>
      <c r="AV61"/>
    </row>
    <row r="62" spans="2:48" ht="14.5" x14ac:dyDescent="0.35">
      <c r="B62" s="189" t="s">
        <v>363</v>
      </c>
      <c r="C62" s="132"/>
      <c r="D62" s="190"/>
      <c r="E62" s="191"/>
      <c r="F62" s="190"/>
      <c r="G62" s="191"/>
      <c r="H62" s="264">
        <f>H46</f>
        <v>1.349</v>
      </c>
      <c r="I62" s="264">
        <f>I46</f>
        <v>0.76</v>
      </c>
      <c r="J62" s="264">
        <f>J46</f>
        <v>-0.2</v>
      </c>
      <c r="K62" s="264">
        <f>K46</f>
        <v>1.33</v>
      </c>
      <c r="L62" s="190">
        <f t="shared" si="50"/>
        <v>3.2389999999999999</v>
      </c>
      <c r="M62" s="191"/>
      <c r="N62" s="191">
        <v>3.2000000000000001E-2</v>
      </c>
      <c r="O62" s="191">
        <v>0.42699999999999999</v>
      </c>
      <c r="P62" s="191">
        <v>0.63</v>
      </c>
      <c r="Q62" s="191">
        <v>-0.189</v>
      </c>
      <c r="R62" s="190">
        <f t="shared" si="51"/>
        <v>0.89999999999999991</v>
      </c>
      <c r="S62" s="191"/>
      <c r="T62" s="193">
        <v>2E-3</v>
      </c>
      <c r="U62" s="193">
        <v>0</v>
      </c>
      <c r="V62" s="191">
        <v>0.19400000000000001</v>
      </c>
      <c r="W62" s="191">
        <v>3.2000000000000001E-2</v>
      </c>
      <c r="X62" s="190">
        <f t="shared" si="52"/>
        <v>0.22800000000000001</v>
      </c>
      <c r="Y62" s="191"/>
      <c r="Z62" s="191">
        <v>0</v>
      </c>
      <c r="AA62" s="191">
        <v>-1.669</v>
      </c>
      <c r="AB62" s="191">
        <v>0</v>
      </c>
      <c r="AC62" s="191">
        <v>0</v>
      </c>
      <c r="AD62" s="190">
        <f t="shared" si="53"/>
        <v>-1.669</v>
      </c>
      <c r="AE62" s="191"/>
      <c r="AF62" s="191">
        <v>0.1</v>
      </c>
      <c r="AG62" s="191">
        <v>0.1</v>
      </c>
      <c r="AH62" s="191">
        <v>0.1</v>
      </c>
      <c r="AI62" s="191">
        <v>0.1</v>
      </c>
      <c r="AJ62" s="190">
        <f t="shared" si="54"/>
        <v>0.4</v>
      </c>
      <c r="AK62" s="191"/>
      <c r="AL62" s="191">
        <v>0.1</v>
      </c>
      <c r="AM62" s="191">
        <v>0.1</v>
      </c>
      <c r="AN62" s="191">
        <v>0.1</v>
      </c>
      <c r="AO62" s="191">
        <v>0.1</v>
      </c>
      <c r="AP62" s="190">
        <f t="shared" si="55"/>
        <v>0.4</v>
      </c>
      <c r="AR62"/>
      <c r="AS62"/>
      <c r="AT62"/>
      <c r="AU62"/>
      <c r="AV62"/>
    </row>
    <row r="63" spans="2:48" x14ac:dyDescent="0.3">
      <c r="B63" s="163" t="s">
        <v>1766</v>
      </c>
      <c r="D63" s="265"/>
      <c r="E63" s="266"/>
      <c r="F63" s="267"/>
      <c r="G63" s="266"/>
      <c r="H63" s="266">
        <f>H50+SUM(H57:H62)</f>
        <v>9.3269999999999982</v>
      </c>
      <c r="I63" s="266">
        <f>I50+SUM(I57:I62)</f>
        <v>17.573000000000004</v>
      </c>
      <c r="J63" s="266">
        <f>J50+SUM(J57:J62)</f>
        <v>17.742000000000001</v>
      </c>
      <c r="K63" s="266">
        <f>K50+SUM(K57:K62)</f>
        <v>16.406999999999996</v>
      </c>
      <c r="L63" s="267">
        <f>+SUM(H63:K63)</f>
        <v>61.048999999999999</v>
      </c>
      <c r="M63" s="266"/>
      <c r="N63" s="269">
        <f>N50+SUM(N57:N62)</f>
        <v>8.0859999999999985</v>
      </c>
      <c r="O63" s="269">
        <f>O50+SUM(O57:O62)</f>
        <v>16.431999999999995</v>
      </c>
      <c r="P63" s="269">
        <f>P50+SUM(P57:P62)</f>
        <v>30.013999999999989</v>
      </c>
      <c r="Q63" s="269">
        <f>Q50+SUM(Q57:Q62)</f>
        <v>33.307950764047703</v>
      </c>
      <c r="R63" s="265">
        <f>+SUM(N63:Q63)</f>
        <v>87.839950764047686</v>
      </c>
      <c r="S63" s="208"/>
      <c r="T63" s="269">
        <f>T50+SUM(T57:T62)</f>
        <v>27.594999999999999</v>
      </c>
      <c r="U63" s="269">
        <f>U50+SUM(U57:U62)</f>
        <v>46.092999999999996</v>
      </c>
      <c r="V63" s="269">
        <f>V50+SUM(V57:V62)</f>
        <v>55.612000000000002</v>
      </c>
      <c r="W63" s="269">
        <f>W50+SUM(W57:W62)</f>
        <v>62.277000000000001</v>
      </c>
      <c r="X63" s="267">
        <f t="shared" si="52"/>
        <v>191.577</v>
      </c>
      <c r="Y63" s="266"/>
      <c r="Z63" s="269">
        <f>Z50+SUM(Z57:Z62)</f>
        <v>44.716000000000008</v>
      </c>
      <c r="AA63" s="269">
        <f>AA50+SUM(AA57:AA62)</f>
        <v>50.675000000000011</v>
      </c>
      <c r="AB63" s="269">
        <f>AB50+SUM(AB57:AB62)</f>
        <v>60.38432760932578</v>
      </c>
      <c r="AC63" s="269">
        <f>AC50+SUM(AC57:AC62)</f>
        <v>58.11486387904209</v>
      </c>
      <c r="AD63" s="267">
        <f t="shared" si="53"/>
        <v>213.89019148836792</v>
      </c>
      <c r="AE63" s="266"/>
      <c r="AF63" s="269">
        <f>AF50+SUM(AF57:AF62)</f>
        <v>48.124260830138361</v>
      </c>
      <c r="AG63" s="269">
        <f t="shared" ref="AG63:AI63" si="59">AG50+SUM(AG57:AG62)</f>
        <v>53.211387500000001</v>
      </c>
      <c r="AH63" s="269">
        <f t="shared" si="59"/>
        <v>66.920295228999194</v>
      </c>
      <c r="AI63" s="269">
        <f t="shared" si="59"/>
        <v>65.018801122735482</v>
      </c>
      <c r="AJ63" s="267">
        <f t="shared" si="54"/>
        <v>233.27474468187305</v>
      </c>
      <c r="AK63" s="266"/>
      <c r="AL63" s="269">
        <f>AL50+SUM(AL57:AL62)</f>
        <v>53.88775938454944</v>
      </c>
      <c r="AM63" s="269">
        <f t="shared" ref="AM63:AO63" si="60">AM50+SUM(AM57:AM62)</f>
        <v>59.531768827999997</v>
      </c>
      <c r="AN63" s="269">
        <f t="shared" si="60"/>
        <v>74.477421901987157</v>
      </c>
      <c r="AO63" s="269">
        <f t="shared" si="60"/>
        <v>72.602262779482345</v>
      </c>
      <c r="AP63" s="267">
        <f t="shared" si="55"/>
        <v>260.49921289401891</v>
      </c>
    </row>
    <row r="64" spans="2:48" x14ac:dyDescent="0.3">
      <c r="B64" s="189" t="s">
        <v>1767</v>
      </c>
      <c r="D64" s="190"/>
      <c r="E64" s="191"/>
      <c r="F64" s="190"/>
      <c r="G64" s="191"/>
      <c r="H64" s="191">
        <v>2.4620000000000002</v>
      </c>
      <c r="I64" s="191">
        <v>4.6390000000000002</v>
      </c>
      <c r="J64" s="191">
        <v>4.6840000000000002</v>
      </c>
      <c r="K64" s="191">
        <v>4.3319999999999999</v>
      </c>
      <c r="L64" s="190">
        <f>+SUM(H64:K64)</f>
        <v>16.117000000000001</v>
      </c>
      <c r="M64" s="191"/>
      <c r="N64" s="191">
        <v>2.0779999999999998</v>
      </c>
      <c r="O64" s="191">
        <v>4.2229999999999999</v>
      </c>
      <c r="P64" s="191">
        <v>7.7140000000000004</v>
      </c>
      <c r="Q64" s="191">
        <v>8.56</v>
      </c>
      <c r="R64" s="190">
        <f>+SUM(N64:Q64)</f>
        <v>22.575000000000003</v>
      </c>
      <c r="S64" s="191"/>
      <c r="T64" s="193">
        <v>7.0919999999999996</v>
      </c>
      <c r="U64" s="193">
        <v>12.896000000000001</v>
      </c>
      <c r="V64" s="193">
        <v>13.443</v>
      </c>
      <c r="W64" s="193">
        <v>15.747</v>
      </c>
      <c r="X64" s="190">
        <f t="shared" si="52"/>
        <v>49.177999999999997</v>
      </c>
      <c r="Y64" s="191"/>
      <c r="Z64" s="193">
        <v>11.218999999999999</v>
      </c>
      <c r="AA64" s="193">
        <v>12.669</v>
      </c>
      <c r="AB64" s="194">
        <f>AB63*AB65</f>
        <v>15.398003540378074</v>
      </c>
      <c r="AC64" s="194">
        <f>AC63*AC65</f>
        <v>14.819290289155733</v>
      </c>
      <c r="AD64" s="190">
        <f t="shared" si="53"/>
        <v>54.105293829533807</v>
      </c>
      <c r="AE64" s="191"/>
      <c r="AF64" s="194">
        <f>AF63*AF65</f>
        <v>12.03106520753459</v>
      </c>
      <c r="AG64" s="194">
        <f t="shared" ref="AG64:AI64" si="61">AG63*AG65</f>
        <v>13.302846875</v>
      </c>
      <c r="AH64" s="194">
        <f t="shared" si="61"/>
        <v>16.730073807249799</v>
      </c>
      <c r="AI64" s="194">
        <f t="shared" si="61"/>
        <v>16.254700280683871</v>
      </c>
      <c r="AJ64" s="190">
        <f t="shared" si="54"/>
        <v>58.318686170468261</v>
      </c>
      <c r="AK64" s="191"/>
      <c r="AL64" s="194">
        <f>AL63*AL65</f>
        <v>13.47193984613736</v>
      </c>
      <c r="AM64" s="194">
        <f t="shared" ref="AM64:AO64" si="62">AM63*AM65</f>
        <v>14.882942206999999</v>
      </c>
      <c r="AN64" s="194">
        <f t="shared" si="62"/>
        <v>18.619355475496789</v>
      </c>
      <c r="AO64" s="194">
        <f t="shared" si="62"/>
        <v>18.150565694870586</v>
      </c>
      <c r="AP64" s="190">
        <f t="shared" si="55"/>
        <v>65.124803223504728</v>
      </c>
    </row>
    <row r="65" spans="1:55" x14ac:dyDescent="0.3">
      <c r="B65" s="198" t="s">
        <v>1768</v>
      </c>
      <c r="D65" s="154"/>
      <c r="E65" s="155"/>
      <c r="F65" s="154"/>
      <c r="G65" s="155"/>
      <c r="H65" s="258">
        <f>H64/H63</f>
        <v>0.26396483327972559</v>
      </c>
      <c r="I65" s="258">
        <f>I64/I63</f>
        <v>0.26398452170944059</v>
      </c>
      <c r="J65" s="258">
        <f>J64/J63</f>
        <v>0.26400631270431746</v>
      </c>
      <c r="K65" s="258">
        <f>K64/K63</f>
        <v>0.26403364417626629</v>
      </c>
      <c r="L65" s="154">
        <f>L64/L63</f>
        <v>0.26400104833822013</v>
      </c>
      <c r="M65" s="155"/>
      <c r="N65" s="258">
        <f>N64/N63</f>
        <v>0.25698738560474899</v>
      </c>
      <c r="O65" s="258">
        <f>O64/O63</f>
        <v>0.25699853943524836</v>
      </c>
      <c r="P65" s="258">
        <f>P64/P63</f>
        <v>0.25701339374958365</v>
      </c>
      <c r="Q65" s="258">
        <f>Q64/Q63</f>
        <v>0.25699569633204772</v>
      </c>
      <c r="R65" s="154">
        <f>R64/R63</f>
        <v>0.25700151017434086</v>
      </c>
      <c r="S65" s="155"/>
      <c r="T65" s="258">
        <f>T64/T63</f>
        <v>0.25700308026816454</v>
      </c>
      <c r="U65" s="258">
        <f>U64/U63</f>
        <v>0.27978217950664963</v>
      </c>
      <c r="V65" s="258">
        <f>V64/V63</f>
        <v>0.24172840394159534</v>
      </c>
      <c r="W65" s="258">
        <f>W64/W63</f>
        <v>0.25285418372753987</v>
      </c>
      <c r="X65" s="154">
        <f>X64/X63</f>
        <v>0.25670096097130657</v>
      </c>
      <c r="Y65" s="155"/>
      <c r="Z65" s="258">
        <f>Z64/Z63</f>
        <v>0.25089453439484743</v>
      </c>
      <c r="AA65" s="258">
        <f>AA64/AA63</f>
        <v>0.25000493339911195</v>
      </c>
      <c r="AB65" s="155">
        <v>0.255</v>
      </c>
      <c r="AC65" s="155">
        <v>0.255</v>
      </c>
      <c r="AD65" s="154">
        <f>AD64/AD63</f>
        <v>0.25295827477192306</v>
      </c>
      <c r="AE65" s="155"/>
      <c r="AF65" s="155">
        <v>0.25</v>
      </c>
      <c r="AG65" s="155">
        <v>0.25</v>
      </c>
      <c r="AH65" s="155">
        <v>0.25</v>
      </c>
      <c r="AI65" s="155">
        <v>0.25</v>
      </c>
      <c r="AJ65" s="154">
        <f>AJ64/AJ63</f>
        <v>0.25</v>
      </c>
      <c r="AK65" s="155"/>
      <c r="AL65" s="155">
        <v>0.25</v>
      </c>
      <c r="AM65" s="155">
        <v>0.25</v>
      </c>
      <c r="AN65" s="155">
        <v>0.25</v>
      </c>
      <c r="AO65" s="155">
        <v>0.25</v>
      </c>
      <c r="AP65" s="154">
        <f>AP64/AP63</f>
        <v>0.25</v>
      </c>
    </row>
    <row r="66" spans="1:55" ht="14.5" thickBot="1" x14ac:dyDescent="0.35">
      <c r="B66" s="281" t="s">
        <v>1769</v>
      </c>
      <c r="C66" s="281"/>
      <c r="D66" s="282"/>
      <c r="E66" s="283"/>
      <c r="F66" s="282"/>
      <c r="G66" s="283"/>
      <c r="H66" s="284">
        <f>H63-H64</f>
        <v>6.8649999999999984</v>
      </c>
      <c r="I66" s="284">
        <f>I63-I64</f>
        <v>12.934000000000005</v>
      </c>
      <c r="J66" s="284">
        <f>J63-J64</f>
        <v>13.058</v>
      </c>
      <c r="K66" s="284">
        <f>K63-K64</f>
        <v>12.074999999999996</v>
      </c>
      <c r="L66" s="282">
        <f>+SUM(H66:K66)</f>
        <v>44.931999999999995</v>
      </c>
      <c r="M66" s="283"/>
      <c r="N66" s="284">
        <f>N63-N64</f>
        <v>6.0079999999999991</v>
      </c>
      <c r="O66" s="284">
        <f>O63-O64</f>
        <v>12.208999999999996</v>
      </c>
      <c r="P66" s="284">
        <f>P63-P64</f>
        <v>22.29999999999999</v>
      </c>
      <c r="Q66" s="284">
        <f>Q63-Q64</f>
        <v>24.747950764047701</v>
      </c>
      <c r="R66" s="282">
        <f>+SUM(N66:Q66)</f>
        <v>65.264950764047683</v>
      </c>
      <c r="S66" s="283"/>
      <c r="T66" s="284">
        <f>T63-T64</f>
        <v>20.503</v>
      </c>
      <c r="U66" s="284">
        <f>U63-U64</f>
        <v>33.196999999999996</v>
      </c>
      <c r="V66" s="284">
        <f>V63-V64</f>
        <v>42.169000000000004</v>
      </c>
      <c r="W66" s="284">
        <f>W63-W64</f>
        <v>46.53</v>
      </c>
      <c r="X66" s="282">
        <f>+SUM(T66:W66)</f>
        <v>142.399</v>
      </c>
      <c r="Y66" s="283"/>
      <c r="Z66" s="284">
        <f>Z63-Z64</f>
        <v>33.497000000000007</v>
      </c>
      <c r="AA66" s="284">
        <f>AA63-AA64</f>
        <v>38.006000000000014</v>
      </c>
      <c r="AB66" s="284">
        <f>AB63-AB64</f>
        <v>44.98632406894771</v>
      </c>
      <c r="AC66" s="284">
        <f>AC63-AC64</f>
        <v>43.295573589886359</v>
      </c>
      <c r="AD66" s="282">
        <f>+SUM(Z66:AC66)</f>
        <v>159.7848976588341</v>
      </c>
      <c r="AE66" s="283"/>
      <c r="AF66" s="284">
        <f>AF63-AF64</f>
        <v>36.093195622603773</v>
      </c>
      <c r="AG66" s="284">
        <f>AG63-AG64</f>
        <v>39.908540625000001</v>
      </c>
      <c r="AH66" s="284">
        <f>AH63-AH64</f>
        <v>50.190221421749399</v>
      </c>
      <c r="AI66" s="284">
        <f>AI63-AI64</f>
        <v>48.764100842051612</v>
      </c>
      <c r="AJ66" s="282">
        <f>+SUM(AF66:AI66)</f>
        <v>174.95605851140479</v>
      </c>
      <c r="AK66" s="283"/>
      <c r="AL66" s="284">
        <f>AL63-AL64</f>
        <v>40.41581953841208</v>
      </c>
      <c r="AM66" s="284">
        <f>AM63-AM64</f>
        <v>44.648826620999998</v>
      </c>
      <c r="AN66" s="284">
        <f>AN63-AN64</f>
        <v>55.858066426490367</v>
      </c>
      <c r="AO66" s="284">
        <f>AO63-AO64</f>
        <v>54.451697084611759</v>
      </c>
      <c r="AP66" s="282">
        <f>+SUM(AL66:AO66)</f>
        <v>195.37440967051421</v>
      </c>
    </row>
    <row r="67" spans="1:55" x14ac:dyDescent="0.3">
      <c r="B67" s="153" t="s">
        <v>1745</v>
      </c>
      <c r="C67" s="132"/>
      <c r="D67" s="154"/>
      <c r="E67" s="155"/>
      <c r="F67" s="162"/>
      <c r="G67" s="155"/>
      <c r="H67" s="155"/>
      <c r="I67" s="155"/>
      <c r="J67" s="155"/>
      <c r="K67" s="155"/>
      <c r="L67" s="162">
        <v>0.59064173715816359</v>
      </c>
      <c r="M67" s="155"/>
      <c r="N67" s="271">
        <f>N66/H66-1</f>
        <v>-0.12483612527312449</v>
      </c>
      <c r="O67" s="271">
        <f>O66/I66-1</f>
        <v>-5.6053811659193431E-2</v>
      </c>
      <c r="P67" s="271">
        <f>P66/J66-1</f>
        <v>0.70776535457190914</v>
      </c>
      <c r="Q67" s="271">
        <f>Q66/K66-1</f>
        <v>1.0495197320122327</v>
      </c>
      <c r="R67" s="154">
        <f>R66/L66-1</f>
        <v>0.45252716914554636</v>
      </c>
      <c r="S67" s="155"/>
      <c r="T67" s="271">
        <f>T66/N66-1</f>
        <v>2.4126165113182427</v>
      </c>
      <c r="U67" s="271">
        <f>U66/O66-1</f>
        <v>1.7190597100499638</v>
      </c>
      <c r="V67" s="271">
        <f>V66/P66-1</f>
        <v>0.89098654708520275</v>
      </c>
      <c r="W67" s="271">
        <f>W66/Q66-1</f>
        <v>0.88015567202420342</v>
      </c>
      <c r="X67" s="154">
        <f>X66/R66-1</f>
        <v>1.1818602225690014</v>
      </c>
      <c r="Y67" s="155"/>
      <c r="Z67" s="271">
        <f>Z66/T66-1</f>
        <v>0.6337609130371169</v>
      </c>
      <c r="AA67" s="271">
        <f>AA66/U66-1</f>
        <v>0.14486248757417908</v>
      </c>
      <c r="AB67" s="271">
        <f>AB66/V66-1</f>
        <v>6.6810312526920379E-2</v>
      </c>
      <c r="AC67" s="271">
        <f>AC66/W66-1</f>
        <v>-6.9512710296876001E-2</v>
      </c>
      <c r="AD67" s="154">
        <f>AD66/X66-1</f>
        <v>0.12209283533475723</v>
      </c>
      <c r="AE67" s="155"/>
      <c r="AF67" s="271">
        <f>AF66/Z66-1</f>
        <v>7.7505317568849819E-2</v>
      </c>
      <c r="AG67" s="271">
        <f>AG66/AA66-1</f>
        <v>5.0058954507182785E-2</v>
      </c>
      <c r="AH67" s="271">
        <f>AH66/AB66-1</f>
        <v>0.11567731884085486</v>
      </c>
      <c r="AI67" s="271">
        <f>AI66/AC66-1</f>
        <v>0.12630684383501678</v>
      </c>
      <c r="AJ67" s="154">
        <f>AJ66/AD66-1</f>
        <v>9.494740163093196E-2</v>
      </c>
      <c r="AK67" s="155"/>
      <c r="AL67" s="271">
        <f>AL66/AF66-1</f>
        <v>0.11976284840517737</v>
      </c>
      <c r="AM67" s="271">
        <f>AM66/AG66-1</f>
        <v>0.11877873562308428</v>
      </c>
      <c r="AN67" s="271">
        <f>AN66/AH66-1</f>
        <v>0.11292727635357402</v>
      </c>
      <c r="AO67" s="271">
        <f>AO66/AI66-1</f>
        <v>0.11663490445527636</v>
      </c>
      <c r="AP67" s="154">
        <f>AP66/AJ66-1</f>
        <v>0.11670559643853906</v>
      </c>
    </row>
    <row r="68" spans="1:55" ht="14.5" thickBot="1" x14ac:dyDescent="0.35">
      <c r="B68" s="198" t="s">
        <v>33</v>
      </c>
      <c r="D68" s="154"/>
      <c r="E68" s="155"/>
      <c r="F68" s="154"/>
      <c r="G68" s="155"/>
      <c r="H68" s="271">
        <f>+H66/H8</f>
        <v>6.2587179884580652E-2</v>
      </c>
      <c r="I68" s="271">
        <f>+I66/I8</f>
        <v>0.10634676577235844</v>
      </c>
      <c r="J68" s="271">
        <f>+J66/J8</f>
        <v>0.10550299347978896</v>
      </c>
      <c r="K68" s="271">
        <f>+K66/K8</f>
        <v>9.5311390007103924E-2</v>
      </c>
      <c r="L68" s="154">
        <f>+L66/L8</f>
        <v>9.3265001546390669E-2</v>
      </c>
      <c r="M68" s="155"/>
      <c r="N68" s="271">
        <f>+N66/N8</f>
        <v>5.4204747426447361E-2</v>
      </c>
      <c r="O68" s="271">
        <f>+O66/O8</f>
        <v>0.11628394273903972</v>
      </c>
      <c r="P68" s="271">
        <f>+P66/P8</f>
        <v>0.16303791545423965</v>
      </c>
      <c r="Q68" s="271">
        <f>+Q66/Q8</f>
        <v>0.15808942383002669</v>
      </c>
      <c r="R68" s="154">
        <f>+R66/R8</f>
        <v>0.12818312487783201</v>
      </c>
      <c r="S68" s="155"/>
      <c r="T68" s="271">
        <f>+T66/T8</f>
        <v>0.1552434315135913</v>
      </c>
      <c r="U68" s="271">
        <f>+U66/U8</f>
        <v>0.18988594373834553</v>
      </c>
      <c r="V68" s="271">
        <f>+V66/V8</f>
        <v>0.21864289899257003</v>
      </c>
      <c r="W68" s="271">
        <f>+W66/W8</f>
        <v>0.21893173733837729</v>
      </c>
      <c r="X68" s="154">
        <f>+X66/X8</f>
        <v>0.19991576523771754</v>
      </c>
      <c r="Y68" s="155"/>
      <c r="Z68" s="271">
        <f>+Z66/Z8</f>
        <v>0.17641048867448564</v>
      </c>
      <c r="AA68" s="271">
        <f>+AA66/AA8</f>
        <v>0.18855830244938263</v>
      </c>
      <c r="AB68" s="271">
        <f>+AB66/AB8</f>
        <v>0.21240503048576509</v>
      </c>
      <c r="AC68" s="271">
        <f>+AC66/AC8</f>
        <v>0.19052998216952716</v>
      </c>
      <c r="AD68" s="154">
        <f>+AD66/AD8</f>
        <v>0.19240191017335306</v>
      </c>
      <c r="AE68" s="155"/>
      <c r="AF68" s="271">
        <f>+AF66/AF8</f>
        <v>0.18067026197823766</v>
      </c>
      <c r="AG68" s="271">
        <f>+AG66/AG8</f>
        <v>0.18678993767325272</v>
      </c>
      <c r="AH68" s="271">
        <f>+AH66/AH8</f>
        <v>0.22147240646791441</v>
      </c>
      <c r="AI68" s="271">
        <f>+AI66/AI8</f>
        <v>0.20055628305916087</v>
      </c>
      <c r="AJ68" s="154">
        <f>+AJ66/AJ8</f>
        <v>0.19809484539045291</v>
      </c>
      <c r="AK68" s="155"/>
      <c r="AL68" s="271">
        <f>+AL66/AL8</f>
        <v>0.18732208071746387</v>
      </c>
      <c r="AM68" s="271">
        <f>+AM66/AM8</f>
        <v>0.19349686138629293</v>
      </c>
      <c r="AN68" s="271">
        <f>+AN66/AN8</f>
        <v>0.22822470566463671</v>
      </c>
      <c r="AO68" s="271">
        <f>+AO66/AO8</f>
        <v>0.20735939441821427</v>
      </c>
      <c r="AP68" s="154">
        <f>+AP66/AP8</f>
        <v>0.20482742821587582</v>
      </c>
    </row>
    <row r="69" spans="1:55" ht="14.5" thickBot="1" x14ac:dyDescent="0.35">
      <c r="B69" s="285" t="s">
        <v>1770</v>
      </c>
      <c r="C69" s="175"/>
      <c r="D69" s="286"/>
      <c r="E69" s="287"/>
      <c r="F69" s="286"/>
      <c r="G69" s="287"/>
      <c r="H69" s="288">
        <f>H66/H71</f>
        <v>5.0713269765659395E-2</v>
      </c>
      <c r="I69" s="288">
        <f>I66/I71</f>
        <v>9.5546311893523528E-2</v>
      </c>
      <c r="J69" s="288">
        <f>J66/J71</f>
        <v>9.6462327254185076E-2</v>
      </c>
      <c r="K69" s="288">
        <f>K66/K71</f>
        <v>8.9200689354746857E-2</v>
      </c>
      <c r="L69" s="289">
        <f>+SUM(H69:K69)</f>
        <v>0.33192259826811488</v>
      </c>
      <c r="M69" s="287"/>
      <c r="N69" s="288">
        <f>N66/N71</f>
        <v>4.621538461538461E-2</v>
      </c>
      <c r="O69" s="288">
        <f>O66/O71</f>
        <v>9.3915384615384581E-2</v>
      </c>
      <c r="P69" s="288">
        <f>P66/P71</f>
        <v>0.17153846153846147</v>
      </c>
      <c r="Q69" s="288">
        <f>Q66/Q71</f>
        <v>0.19036885203113615</v>
      </c>
      <c r="R69" s="290">
        <f>R66/R71</f>
        <v>0.50203808280036677</v>
      </c>
      <c r="S69" s="287"/>
      <c r="T69" s="288">
        <f>T66/T71</f>
        <v>0.15771538461538462</v>
      </c>
      <c r="U69" s="288">
        <f>U66/U71</f>
        <v>0.2452335639345368</v>
      </c>
      <c r="V69" s="288">
        <f>V66/V71</f>
        <v>0.27669871432571325</v>
      </c>
      <c r="W69" s="288">
        <f>W66/W71</f>
        <v>0.3055462695814577</v>
      </c>
      <c r="X69" s="289">
        <f>X66/X71</f>
        <v>0.99919664446640566</v>
      </c>
      <c r="Y69" s="287"/>
      <c r="Z69" s="288">
        <f>Z66/Z71</f>
        <v>0.21987044650681417</v>
      </c>
      <c r="AA69" s="288">
        <f>AA66/AA71</f>
        <v>0.24944810116280261</v>
      </c>
      <c r="AB69" s="288">
        <f>AB66/AB71</f>
        <v>0.29477898497020488</v>
      </c>
      <c r="AC69" s="288">
        <f>AC66/AC71</f>
        <v>0.28323612754966448</v>
      </c>
      <c r="AD69" s="289">
        <f>AD66/AD71</f>
        <v>1.047460981136251</v>
      </c>
      <c r="AE69" s="287"/>
      <c r="AF69" s="288">
        <f>AF66/AF71</f>
        <v>0.23573321870535707</v>
      </c>
      <c r="AG69" s="288">
        <f>AG66/AG71</f>
        <v>0.26022724012432158</v>
      </c>
      <c r="AH69" s="288">
        <f>AH66/AH71</f>
        <v>0.32673723757383144</v>
      </c>
      <c r="AI69" s="288">
        <f>AI66/AI71</f>
        <v>0.31693741007382087</v>
      </c>
      <c r="AJ69" s="291">
        <f>AJ66/AJ71</f>
        <v>1.1398876733929642</v>
      </c>
      <c r="AK69" s="287"/>
      <c r="AL69" s="288">
        <f>AL66/AL71</f>
        <v>0.26267858833294006</v>
      </c>
      <c r="AM69" s="288">
        <f>AM66/AM71</f>
        <v>0.29019059569928179</v>
      </c>
      <c r="AN69" s="288">
        <f>AN66/AN71</f>
        <v>0.36304393189337192</v>
      </c>
      <c r="AO69" s="288">
        <f>AO66/AO71</f>
        <v>0.35390337461608373</v>
      </c>
      <c r="AP69" s="291">
        <f>AP66/AP71</f>
        <v>1.2698164905416776</v>
      </c>
    </row>
    <row r="70" spans="1:55" x14ac:dyDescent="0.3">
      <c r="B70" s="153" t="s">
        <v>1745</v>
      </c>
      <c r="C70" s="132"/>
      <c r="D70" s="154"/>
      <c r="E70" s="155"/>
      <c r="F70" s="162"/>
      <c r="G70" s="155"/>
      <c r="H70" s="155"/>
      <c r="I70" s="155"/>
      <c r="J70" s="155"/>
      <c r="K70" s="155"/>
      <c r="L70" s="162">
        <v>0.59064173715816359</v>
      </c>
      <c r="M70" s="155"/>
      <c r="N70" s="271">
        <f>N69/H69-1</f>
        <v>-8.8692469861616718E-2</v>
      </c>
      <c r="O70" s="271">
        <f>O69/I69-1</f>
        <v>-1.7069494843049982E-2</v>
      </c>
      <c r="P70" s="271">
        <f>P69/J69-1</f>
        <v>0.77829486827998107</v>
      </c>
      <c r="Q70" s="271">
        <f>Q69/K69-1</f>
        <v>1.1341634622805254</v>
      </c>
      <c r="R70" s="154">
        <f>R69/L69-1</f>
        <v>0.5125155244622388</v>
      </c>
      <c r="S70" s="155"/>
      <c r="T70" s="271">
        <f>T69/N69-1</f>
        <v>2.4126165113182427</v>
      </c>
      <c r="U70" s="271">
        <f>U69/O69-1</f>
        <v>1.6112182252018834</v>
      </c>
      <c r="V70" s="271">
        <f>V69/P69-1</f>
        <v>0.61304183239205101</v>
      </c>
      <c r="W70" s="271">
        <f>W69/Q69-1</f>
        <v>0.60502238849180778</v>
      </c>
      <c r="X70" s="154">
        <f>X69/R69-1</f>
        <v>0.99028057571427675</v>
      </c>
      <c r="Y70" s="155"/>
      <c r="Z70" s="271">
        <f>Z69/T69-1</f>
        <v>0.39409637837808331</v>
      </c>
      <c r="AA70" s="271">
        <f>AA69/U69-1</f>
        <v>1.7185809155352283E-2</v>
      </c>
      <c r="AB70" s="271">
        <f>AB69/V69-1</f>
        <v>6.534280684516891E-2</v>
      </c>
      <c r="AC70" s="271">
        <f>AC69/W69-1</f>
        <v>-7.3017229313105392E-2</v>
      </c>
      <c r="AD70" s="154">
        <f>AD69/X69-1</f>
        <v>4.8303141265671146E-2</v>
      </c>
      <c r="AE70" s="155"/>
      <c r="AF70" s="271">
        <f>AF69/Z69-1</f>
        <v>7.2145995292056231E-2</v>
      </c>
      <c r="AG70" s="271">
        <f>AG69/AA69-1</f>
        <v>4.3211950346673245E-2</v>
      </c>
      <c r="AH70" s="271">
        <f>AH69/AB69-1</f>
        <v>0.10841428403336417</v>
      </c>
      <c r="AI70" s="271">
        <f>AI69/AC69-1</f>
        <v>0.11898652483252503</v>
      </c>
      <c r="AJ70" s="154">
        <f>AJ69/AD69-1</f>
        <v>8.8238792586289749E-2</v>
      </c>
      <c r="AK70" s="155"/>
      <c r="AL70" s="271">
        <f>AL69/AF69-1</f>
        <v>0.11430450818754578</v>
      </c>
      <c r="AM70" s="271">
        <f>AM69/AG69-1</f>
        <v>0.11514304021610289</v>
      </c>
      <c r="AN70" s="271">
        <f>AN69/AH69-1</f>
        <v>0.11111893639406922</v>
      </c>
      <c r="AO70" s="271">
        <f>AO69/AI69-1</f>
        <v>0.11663490445527636</v>
      </c>
      <c r="AP70" s="154">
        <f>AP69/AJ69-1</f>
        <v>0.11398387769381713</v>
      </c>
    </row>
    <row r="71" spans="1:55" x14ac:dyDescent="0.3">
      <c r="B71" s="189" t="s">
        <v>1771</v>
      </c>
      <c r="C71" s="132"/>
      <c r="D71" s="154"/>
      <c r="E71" s="155"/>
      <c r="F71" s="162"/>
      <c r="G71" s="155"/>
      <c r="H71" s="264">
        <f>$U$71</f>
        <v>135.368909</v>
      </c>
      <c r="I71" s="264">
        <f>$U$71</f>
        <v>135.368909</v>
      </c>
      <c r="J71" s="264">
        <f>$U$71</f>
        <v>135.368909</v>
      </c>
      <c r="K71" s="264">
        <f>$U$71</f>
        <v>135.368909</v>
      </c>
      <c r="L71" s="190">
        <f>AVERAGE(H71:K71)</f>
        <v>135.368909</v>
      </c>
      <c r="M71" s="292"/>
      <c r="N71" s="191">
        <v>130</v>
      </c>
      <c r="O71" s="191">
        <v>130</v>
      </c>
      <c r="P71" s="191">
        <v>130</v>
      </c>
      <c r="Q71" s="191">
        <v>130</v>
      </c>
      <c r="R71" s="190">
        <v>130</v>
      </c>
      <c r="S71" s="292"/>
      <c r="T71" s="191">
        <v>130</v>
      </c>
      <c r="U71" s="191">
        <v>135.368909</v>
      </c>
      <c r="V71" s="191">
        <v>152.400419</v>
      </c>
      <c r="W71" s="191">
        <v>152.284628</v>
      </c>
      <c r="X71" s="190">
        <f>AVERAGE(T71:W71)</f>
        <v>142.51348899999999</v>
      </c>
      <c r="Y71" s="292"/>
      <c r="Z71" s="191">
        <v>152.348806</v>
      </c>
      <c r="AA71" s="191">
        <v>152.36035000000001</v>
      </c>
      <c r="AB71" s="191">
        <f>AA71+0.25</f>
        <v>152.61035000000001</v>
      </c>
      <c r="AC71" s="191">
        <f>AB71+0.25</f>
        <v>152.86035000000001</v>
      </c>
      <c r="AD71" s="190">
        <f>AVERAGE(Z71:AC71)</f>
        <v>152.54496400000002</v>
      </c>
      <c r="AE71" s="292"/>
      <c r="AF71" s="191">
        <f>AC71+0.25</f>
        <v>153.11035000000001</v>
      </c>
      <c r="AG71" s="191">
        <f>AF71+0.25</f>
        <v>153.36035000000001</v>
      </c>
      <c r="AH71" s="191">
        <f>AG71+0.25</f>
        <v>153.61035000000001</v>
      </c>
      <c r="AI71" s="191">
        <f>AH71+0.25</f>
        <v>153.86035000000001</v>
      </c>
      <c r="AJ71" s="190">
        <f>AVERAGE(AF71:AI71)</f>
        <v>153.48535000000001</v>
      </c>
      <c r="AK71" s="292"/>
      <c r="AL71" s="191">
        <f>AI71</f>
        <v>153.86035000000001</v>
      </c>
      <c r="AM71" s="191">
        <f>AL71</f>
        <v>153.86035000000001</v>
      </c>
      <c r="AN71" s="191">
        <f>AM71</f>
        <v>153.86035000000001</v>
      </c>
      <c r="AO71" s="191">
        <f>AN71</f>
        <v>153.86035000000001</v>
      </c>
      <c r="AP71" s="190">
        <f>AVERAGE(AL71:AO71)</f>
        <v>153.86035000000001</v>
      </c>
    </row>
    <row r="72" spans="1:55" x14ac:dyDescent="0.3">
      <c r="B72" s="153" t="s">
        <v>1745</v>
      </c>
      <c r="C72" s="132"/>
      <c r="D72" s="154"/>
      <c r="E72" s="155"/>
      <c r="F72" s="162"/>
      <c r="G72" s="155"/>
      <c r="H72" s="155"/>
      <c r="I72" s="155"/>
      <c r="J72" s="155"/>
      <c r="K72" s="155"/>
      <c r="L72" s="162"/>
      <c r="M72" s="155"/>
      <c r="N72" s="271">
        <f>N71/H71-1</f>
        <v>-3.9661315435437272E-2</v>
      </c>
      <c r="O72" s="271">
        <f>O71/I71-1</f>
        <v>-3.9661315435437272E-2</v>
      </c>
      <c r="P72" s="271">
        <f>P71/J71-1</f>
        <v>-3.9661315435437272E-2</v>
      </c>
      <c r="Q72" s="271">
        <f>Q71/K71-1</f>
        <v>-3.9661315435437272E-2</v>
      </c>
      <c r="R72" s="154">
        <f>R71/L71-1</f>
        <v>-3.9661315435437272E-2</v>
      </c>
      <c r="S72" s="155"/>
      <c r="T72" s="271">
        <f>T71/N71-1</f>
        <v>0</v>
      </c>
      <c r="U72" s="271">
        <f>U71/O71-1</f>
        <v>4.1299299999999928E-2</v>
      </c>
      <c r="V72" s="271">
        <f>V71/P71-1</f>
        <v>0.1723109153846154</v>
      </c>
      <c r="W72" s="271">
        <f>W71/Q71-1</f>
        <v>0.17142021538461538</v>
      </c>
      <c r="X72" s="154">
        <f>X71/R71-1</f>
        <v>9.6257607692307623E-2</v>
      </c>
      <c r="Y72" s="155"/>
      <c r="Z72" s="271">
        <f>Z71/T71-1</f>
        <v>0.17191389230769238</v>
      </c>
      <c r="AA72" s="271">
        <f>AA71/U71-1</f>
        <v>0.12551952383689535</v>
      </c>
      <c r="AB72" s="271">
        <f>AB71/V71-1</f>
        <v>1.3774962127892643E-3</v>
      </c>
      <c r="AC72" s="271">
        <f>AC71/W71-1</f>
        <v>3.7805654290989921E-3</v>
      </c>
      <c r="AD72" s="154">
        <f>AD71/X71-1</f>
        <v>7.0389652729644592E-2</v>
      </c>
      <c r="AE72" s="155"/>
      <c r="AF72" s="271">
        <f>AF71/Z71-1</f>
        <v>4.9986870261393701E-3</v>
      </c>
      <c r="AG72" s="271">
        <f>AG71/AA71-1</f>
        <v>6.5633873904857865E-3</v>
      </c>
      <c r="AH72" s="271">
        <f>AH71/AB71-1</f>
        <v>6.5526355191505292E-3</v>
      </c>
      <c r="AI72" s="271">
        <f>AI71/AC71-1</f>
        <v>6.5419188167501474E-3</v>
      </c>
      <c r="AJ72" s="154">
        <f>AJ71/AD71-1</f>
        <v>6.1646479525865328E-3</v>
      </c>
      <c r="AK72" s="155"/>
      <c r="AL72" s="271">
        <f>AL71/AF71-1</f>
        <v>4.8984278332588893E-3</v>
      </c>
      <c r="AM72" s="271">
        <f>AM71/AG71-1</f>
        <v>3.2602951153932747E-3</v>
      </c>
      <c r="AN72" s="271">
        <f>AN71/AH71-1</f>
        <v>1.6274945015097853E-3</v>
      </c>
      <c r="AO72" s="271">
        <f>AO71/AI71-1</f>
        <v>0</v>
      </c>
      <c r="AP72" s="154">
        <f>AP71/AJ71-1</f>
        <v>2.4432299238983379E-3</v>
      </c>
    </row>
    <row r="73" spans="1:55" ht="14.5" thickBot="1" x14ac:dyDescent="0.35">
      <c r="B73" s="189"/>
      <c r="C73" s="132"/>
      <c r="D73" s="162"/>
      <c r="E73" s="155"/>
      <c r="F73" s="162"/>
      <c r="G73" s="155"/>
      <c r="H73" s="155"/>
      <c r="I73" s="155"/>
      <c r="J73" s="155"/>
      <c r="K73" s="155"/>
      <c r="L73" s="162"/>
      <c r="M73" s="155"/>
      <c r="N73" s="155"/>
      <c r="O73" s="155"/>
      <c r="P73" s="155"/>
      <c r="Q73" s="155"/>
      <c r="R73" s="162"/>
      <c r="S73" s="155"/>
      <c r="T73" s="278"/>
      <c r="U73" s="293"/>
      <c r="V73" s="294"/>
      <c r="W73" s="294"/>
      <c r="X73" s="295"/>
      <c r="Y73" s="155"/>
      <c r="Z73" s="294"/>
      <c r="AA73" s="294"/>
      <c r="AB73" s="294"/>
      <c r="AC73" s="294"/>
      <c r="AD73" s="295"/>
      <c r="AE73" s="155"/>
      <c r="AF73" s="294"/>
      <c r="AG73" s="294"/>
      <c r="AH73" s="294"/>
      <c r="AI73" s="294"/>
      <c r="AJ73" s="295"/>
      <c r="AK73" s="155"/>
      <c r="AL73" s="294"/>
      <c r="AM73" s="294"/>
      <c r="AN73" s="294"/>
      <c r="AO73" s="294"/>
      <c r="AP73" s="295"/>
    </row>
    <row r="74" spans="1:55" x14ac:dyDescent="0.3">
      <c r="B74" s="296" t="s">
        <v>1772</v>
      </c>
      <c r="C74" s="221"/>
      <c r="D74" s="224"/>
      <c r="E74" s="223"/>
      <c r="F74" s="224"/>
      <c r="G74" s="223"/>
      <c r="H74" s="225">
        <f>H33-H43</f>
        <v>24.738</v>
      </c>
      <c r="I74" s="225">
        <f>I33-I43</f>
        <v>33.038000000000004</v>
      </c>
      <c r="J74" s="225">
        <f>J33-J43</f>
        <v>33.216999999999999</v>
      </c>
      <c r="K74" s="225">
        <f>K33-K43</f>
        <v>31.564</v>
      </c>
      <c r="L74" s="224">
        <f>L33-L43</f>
        <v>122.557</v>
      </c>
      <c r="M74" s="223"/>
      <c r="N74" s="225">
        <f>N33-N43</f>
        <v>22.954000000000001</v>
      </c>
      <c r="O74" s="225">
        <f>O33-O43</f>
        <v>31.13399999999999</v>
      </c>
      <c r="P74" s="225">
        <f>P33-P43</f>
        <v>42.757999999999988</v>
      </c>
      <c r="Q74" s="225">
        <f>Q33-Q43</f>
        <v>44.098950764047707</v>
      </c>
      <c r="R74" s="224">
        <f>R33-R43</f>
        <v>140.94495076404769</v>
      </c>
      <c r="S74" s="223"/>
      <c r="T74" s="225">
        <f>T33-T43</f>
        <v>36.027999999999999</v>
      </c>
      <c r="U74" s="225">
        <f>U33-U43</f>
        <v>56.322000000000003</v>
      </c>
      <c r="V74" s="225">
        <f>V33-V43</f>
        <v>62.600999999999999</v>
      </c>
      <c r="W74" s="225">
        <f>W33-W43</f>
        <v>64.477000000000004</v>
      </c>
      <c r="X74" s="224">
        <f>X33-X43</f>
        <v>219.42799999999997</v>
      </c>
      <c r="Y74" s="223"/>
      <c r="Z74" s="225">
        <f>Z33-Z43</f>
        <v>51.741</v>
      </c>
      <c r="AA74" s="225">
        <f>AA33-AA43</f>
        <v>58.891000000000005</v>
      </c>
      <c r="AB74" s="225">
        <f>AB33-AB43</f>
        <v>69.279324187148788</v>
      </c>
      <c r="AC74" s="225">
        <f>AC33-AC43</f>
        <v>69.432550016575235</v>
      </c>
      <c r="AD74" s="224">
        <f>AD33-AD43</f>
        <v>249.343874203724</v>
      </c>
      <c r="AE74" s="223"/>
      <c r="AF74" s="225">
        <f>AF33-AF43</f>
        <v>54.593731930138361</v>
      </c>
      <c r="AG74" s="225">
        <f>AG33-AG43</f>
        <v>61.554766600000001</v>
      </c>
      <c r="AH74" s="225">
        <f>AH33-AH43</f>
        <v>77.014083412349194</v>
      </c>
      <c r="AI74" s="225">
        <f>AI33-AI43</f>
        <v>77.343270709335499</v>
      </c>
      <c r="AJ74" s="229">
        <f>AJ33-AJ43</f>
        <v>270.50585265182309</v>
      </c>
      <c r="AK74" s="223"/>
      <c r="AL74" s="225">
        <f>AL33-AL43</f>
        <v>60.136009328549441</v>
      </c>
      <c r="AM74" s="225">
        <f>AM33-AM43</f>
        <v>67.728883092000004</v>
      </c>
      <c r="AN74" s="225">
        <f>AN33-AN43</f>
        <v>84.494961612671162</v>
      </c>
      <c r="AO74" s="225">
        <f>AO33-AO43</f>
        <v>84.939711149546355</v>
      </c>
      <c r="AP74" s="229">
        <f>AP33-AP43</f>
        <v>297.29956518276697</v>
      </c>
    </row>
    <row r="75" spans="1:55" s="297" customFormat="1" x14ac:dyDescent="0.3">
      <c r="B75" s="298" t="s">
        <v>1773</v>
      </c>
      <c r="C75" s="299"/>
      <c r="D75" s="300"/>
      <c r="E75" s="301"/>
      <c r="F75" s="300"/>
      <c r="G75" s="301"/>
      <c r="H75" s="302">
        <f t="shared" ref="H75:K75" si="63">H74/H8</f>
        <v>0.22553265200069289</v>
      </c>
      <c r="I75" s="302">
        <f t="shared" si="63"/>
        <v>0.27164716619662727</v>
      </c>
      <c r="J75" s="302">
        <f t="shared" si="63"/>
        <v>0.26837899635611501</v>
      </c>
      <c r="K75" s="302">
        <f t="shared" si="63"/>
        <v>0.24914357881442892</v>
      </c>
      <c r="L75" s="232">
        <f>L74/L8</f>
        <v>0.25439060790797213</v>
      </c>
      <c r="M75" s="301"/>
      <c r="N75" s="302">
        <f t="shared" ref="N75:Q75" si="64">N74/N8</f>
        <v>0.20709317117621054</v>
      </c>
      <c r="O75" s="302">
        <f t="shared" si="64"/>
        <v>0.29653405465126237</v>
      </c>
      <c r="P75" s="302">
        <f t="shared" si="64"/>
        <v>0.31260875286961348</v>
      </c>
      <c r="Q75" s="302">
        <f t="shared" si="64"/>
        <v>0.28170323208840775</v>
      </c>
      <c r="R75" s="232">
        <f>R74/R8</f>
        <v>0.27682184715046465</v>
      </c>
      <c r="S75" s="301"/>
      <c r="T75" s="302">
        <f t="shared" ref="T75:X75" si="65">T74/T8</f>
        <v>0.27279473006738852</v>
      </c>
      <c r="U75" s="302">
        <f t="shared" si="65"/>
        <v>0.32216031940329243</v>
      </c>
      <c r="V75" s="302">
        <f t="shared" si="65"/>
        <v>0.32458118807260966</v>
      </c>
      <c r="W75" s="302">
        <f t="shared" si="65"/>
        <v>0.30337549169066308</v>
      </c>
      <c r="X75" s="232">
        <f t="shared" si="65"/>
        <v>0.30805775696867166</v>
      </c>
      <c r="Y75" s="301"/>
      <c r="Z75" s="302">
        <f t="shared" ref="Z75:AD75" si="66">Z74/Z8</f>
        <v>0.27249171849737469</v>
      </c>
      <c r="AA75" s="302">
        <f t="shared" si="66"/>
        <v>0.29217457742321185</v>
      </c>
      <c r="AB75" s="302">
        <f t="shared" si="66"/>
        <v>0.32710556531472457</v>
      </c>
      <c r="AC75" s="302">
        <f t="shared" si="66"/>
        <v>0.30555046208541531</v>
      </c>
      <c r="AD75" s="232">
        <f t="shared" si="66"/>
        <v>0.30024262861971657</v>
      </c>
      <c r="AE75" s="301"/>
      <c r="AF75" s="302">
        <f t="shared" ref="AF75:AJ75" si="67">AF74/AF8</f>
        <v>0.27327765469485527</v>
      </c>
      <c r="AG75" s="302">
        <f t="shared" si="67"/>
        <v>0.28810402075948166</v>
      </c>
      <c r="AH75" s="302">
        <f t="shared" si="67"/>
        <v>0.33983700215082963</v>
      </c>
      <c r="AI75" s="302">
        <f t="shared" si="67"/>
        <v>0.31809627626162101</v>
      </c>
      <c r="AJ75" s="303">
        <f t="shared" si="67"/>
        <v>0.30628156300619025</v>
      </c>
      <c r="AK75" s="301"/>
      <c r="AL75" s="302">
        <f t="shared" ref="AL75:AP75" si="68">AL74/AL8</f>
        <v>0.2787226022414907</v>
      </c>
      <c r="AM75" s="302">
        <f t="shared" si="68"/>
        <v>0.29352006077887038</v>
      </c>
      <c r="AN75" s="302">
        <f t="shared" si="68"/>
        <v>0.34522923863779509</v>
      </c>
      <c r="AO75" s="302">
        <f t="shared" si="68"/>
        <v>0.32346185718801929</v>
      </c>
      <c r="AP75" s="303">
        <f t="shared" si="68"/>
        <v>0.31168414250760779</v>
      </c>
      <c r="AT75" s="304"/>
      <c r="BA75" s="305"/>
      <c r="BB75" s="305"/>
      <c r="BC75" s="305"/>
    </row>
    <row r="76" spans="1:55" x14ac:dyDescent="0.3">
      <c r="B76" s="306" t="s">
        <v>1774</v>
      </c>
      <c r="C76" s="132"/>
      <c r="D76" s="307"/>
      <c r="E76" s="308"/>
      <c r="F76" s="307"/>
      <c r="G76" s="308"/>
      <c r="H76" s="309">
        <f>H66-(H59*(1-H65))</f>
        <v>6.6044435509810215</v>
      </c>
      <c r="I76" s="309">
        <f>I66-(I59*(1-I65))</f>
        <v>12.695530985033864</v>
      </c>
      <c r="J76" s="309">
        <f>J66-(J59*(1-J65))</f>
        <v>12.856337729680982</v>
      </c>
      <c r="K76" s="309">
        <f>K66-(K59*(1-K65))</f>
        <v>11.880704882062529</v>
      </c>
      <c r="L76" s="307">
        <f>+SUM(H76:K76)</f>
        <v>44.037017147758398</v>
      </c>
      <c r="M76" s="308"/>
      <c r="N76" s="309">
        <f>N66-(N59*(1-N65))</f>
        <v>2.844995300519416</v>
      </c>
      <c r="O76" s="309">
        <f>O66-(O59*(1-O65))</f>
        <v>11.822639240506325</v>
      </c>
      <c r="P76" s="309">
        <f>P66-(P59*(1-P65))</f>
        <v>21.90547411208102</v>
      </c>
      <c r="Q76" s="309">
        <f>Q66-(Q59*(1-Q65))</f>
        <v>24.343756422852334</v>
      </c>
      <c r="R76" s="307">
        <f>+SUM(N76:Q76)</f>
        <v>60.916865075959095</v>
      </c>
      <c r="S76" s="308"/>
      <c r="T76" s="309">
        <f>T66-(T59*(1-T65))</f>
        <v>20.08543573111071</v>
      </c>
      <c r="U76" s="309">
        <f>U66-(U59*(1-U65))</f>
        <v>31.278339726205711</v>
      </c>
      <c r="V76" s="309">
        <f>V66-(V59*(1-V65))</f>
        <v>41.150641246493564</v>
      </c>
      <c r="W76" s="309">
        <f>W66-(W59*(1-W65))</f>
        <v>42.823409605472328</v>
      </c>
      <c r="X76" s="307">
        <f>+SUM(T76:W76)</f>
        <v>135.33782630928232</v>
      </c>
      <c r="Y76" s="308"/>
      <c r="Z76" s="309">
        <f>Z66-(Z59*(1-Z65))</f>
        <v>32.104412939440031</v>
      </c>
      <c r="AA76" s="309">
        <f>AA66-(AA59*(1-AA65))</f>
        <v>36.548759585594489</v>
      </c>
      <c r="AB76" s="309">
        <f>AB66-(AB59*(1-AB65))</f>
        <v>43.719824068947709</v>
      </c>
      <c r="AC76" s="309">
        <f>AC66-(AC59*(1-AC65))</f>
        <v>42.029073589886359</v>
      </c>
      <c r="AD76" s="307">
        <f>+SUM(Z76:AC76)</f>
        <v>154.4020701838686</v>
      </c>
      <c r="AE76" s="308"/>
      <c r="AF76" s="309">
        <f>AF66-(AF59*(1-AF65))</f>
        <v>35.193195622603774</v>
      </c>
      <c r="AG76" s="309">
        <f>AG66-(AG59*(1-AG65))</f>
        <v>39.008540625000002</v>
      </c>
      <c r="AH76" s="309">
        <f>AH66-(AH59*(1-AH65))</f>
        <v>49.290221421749401</v>
      </c>
      <c r="AI76" s="309">
        <f>AI66-(AI59*(1-AI65))</f>
        <v>47.864100842051613</v>
      </c>
      <c r="AJ76" s="310">
        <f>+SUM(AF76:AI76)</f>
        <v>171.3560585114048</v>
      </c>
      <c r="AK76" s="308"/>
      <c r="AL76" s="309">
        <f>AL66-(AL59*(1-AL65))</f>
        <v>39.515819538412082</v>
      </c>
      <c r="AM76" s="309">
        <f>AM66-(AM59*(1-AM65))</f>
        <v>43.748826620999999</v>
      </c>
      <c r="AN76" s="309">
        <f>AN66-(AN59*(1-AN65))</f>
        <v>54.958066426490369</v>
      </c>
      <c r="AO76" s="309">
        <f>AO66-(AO59*(1-AO65))</f>
        <v>53.55169708461176</v>
      </c>
      <c r="AP76" s="310">
        <f>+SUM(AL76:AO76)</f>
        <v>191.77440967051422</v>
      </c>
      <c r="AR76" s="297"/>
      <c r="AT76" s="304"/>
    </row>
    <row r="77" spans="1:55" ht="14.5" thickBot="1" x14ac:dyDescent="0.35">
      <c r="B77" s="311" t="s">
        <v>1775</v>
      </c>
      <c r="C77" s="248"/>
      <c r="D77" s="312"/>
      <c r="E77" s="313"/>
      <c r="F77" s="312"/>
      <c r="G77" s="313"/>
      <c r="H77" s="314">
        <f>H76/H71</f>
        <v>4.8788481784846335E-2</v>
      </c>
      <c r="I77" s="314">
        <f t="shared" ref="I77:L77" si="69">I76/I71</f>
        <v>9.3784688661662063E-2</v>
      </c>
      <c r="J77" s="314">
        <f t="shared" si="69"/>
        <v>9.4972603566458397E-2</v>
      </c>
      <c r="K77" s="314">
        <f t="shared" si="69"/>
        <v>8.7765388447228518E-2</v>
      </c>
      <c r="L77" s="315">
        <f t="shared" si="69"/>
        <v>0.32531116246019531</v>
      </c>
      <c r="M77" s="313"/>
      <c r="N77" s="314">
        <f>N76/N71</f>
        <v>2.1884579234764737E-2</v>
      </c>
      <c r="O77" s="314">
        <f t="shared" ref="O77:R77" si="70">O76/O71</f>
        <v>9.0943378773125569E-2</v>
      </c>
      <c r="P77" s="314">
        <f t="shared" si="70"/>
        <v>0.16850364701600784</v>
      </c>
      <c r="Q77" s="314">
        <f t="shared" si="70"/>
        <v>0.18725966479117179</v>
      </c>
      <c r="R77" s="315">
        <f t="shared" si="70"/>
        <v>0.46859126981506993</v>
      </c>
      <c r="S77" s="313"/>
      <c r="T77" s="314">
        <f>T76/T71</f>
        <v>0.15450335177777469</v>
      </c>
      <c r="U77" s="314">
        <f t="shared" ref="U77:X77" si="71">U76/U71</f>
        <v>0.23105999713867614</v>
      </c>
      <c r="V77" s="314">
        <f t="shared" si="71"/>
        <v>0.27001658864529476</v>
      </c>
      <c r="W77" s="314">
        <f t="shared" si="71"/>
        <v>0.28120638417603339</v>
      </c>
      <c r="X77" s="315">
        <f t="shared" si="71"/>
        <v>0.9496492385312546</v>
      </c>
      <c r="Y77" s="313"/>
      <c r="Z77" s="314">
        <f>Z76/Z71</f>
        <v>0.21072966557703138</v>
      </c>
      <c r="AA77" s="314">
        <f t="shared" ref="AA77:AD77" si="72">AA76/AA71</f>
        <v>0.23988366780198711</v>
      </c>
      <c r="AB77" s="314">
        <f t="shared" si="72"/>
        <v>0.28648007208520065</v>
      </c>
      <c r="AC77" s="314">
        <f t="shared" si="72"/>
        <v>0.27495078736825052</v>
      </c>
      <c r="AD77" s="315">
        <f t="shared" si="72"/>
        <v>1.0121741559679975</v>
      </c>
      <c r="AE77" s="313"/>
      <c r="AF77" s="314">
        <f>AF76/AF71</f>
        <v>0.22985510530544651</v>
      </c>
      <c r="AG77" s="314">
        <f t="shared" ref="AG77:AJ77" si="73">AG76/AG71</f>
        <v>0.25435870891661372</v>
      </c>
      <c r="AH77" s="314">
        <f t="shared" si="73"/>
        <v>0.32087825736839604</v>
      </c>
      <c r="AI77" s="314">
        <f t="shared" si="73"/>
        <v>0.31108794983276467</v>
      </c>
      <c r="AJ77" s="316">
        <f t="shared" si="73"/>
        <v>1.1164326661235406</v>
      </c>
      <c r="AK77" s="313"/>
      <c r="AL77" s="314">
        <f>AL76/AL71</f>
        <v>0.25682912809188385</v>
      </c>
      <c r="AM77" s="314">
        <f t="shared" ref="AM77:AP77" si="74">AM76/AM71</f>
        <v>0.28434113545822559</v>
      </c>
      <c r="AN77" s="314">
        <f t="shared" si="74"/>
        <v>0.35719447165231566</v>
      </c>
      <c r="AO77" s="314">
        <f t="shared" si="74"/>
        <v>0.34805391437502747</v>
      </c>
      <c r="AP77" s="316">
        <f t="shared" si="74"/>
        <v>1.2464186495774525</v>
      </c>
    </row>
    <row r="78" spans="1:55" x14ac:dyDescent="0.3">
      <c r="B78" s="317"/>
      <c r="C78" s="163"/>
      <c r="D78" s="318"/>
      <c r="E78" s="319"/>
      <c r="F78" s="318"/>
      <c r="G78" s="319"/>
      <c r="H78" s="320"/>
      <c r="I78" s="320"/>
      <c r="J78" s="320"/>
      <c r="K78" s="320"/>
      <c r="L78" s="318"/>
      <c r="M78" s="319"/>
      <c r="N78" s="320"/>
      <c r="O78" s="320"/>
      <c r="P78" s="320"/>
      <c r="Q78" s="320"/>
      <c r="R78" s="318"/>
      <c r="S78" s="319"/>
      <c r="T78" s="320"/>
      <c r="U78" s="320"/>
      <c r="V78" s="320"/>
      <c r="W78" s="320"/>
      <c r="X78" s="318"/>
      <c r="Y78" s="319"/>
      <c r="Z78" s="320"/>
      <c r="AA78" s="320"/>
      <c r="AB78" s="320"/>
      <c r="AC78" s="320"/>
      <c r="AD78" s="318"/>
      <c r="AE78" s="319"/>
      <c r="AF78" s="320"/>
      <c r="AG78" s="320"/>
      <c r="AH78" s="320"/>
      <c r="AI78" s="320"/>
      <c r="AJ78" s="318"/>
      <c r="AK78" s="319"/>
      <c r="AL78" s="320"/>
      <c r="AM78" s="320"/>
      <c r="AN78" s="320"/>
      <c r="AO78" s="320"/>
      <c r="AP78" s="318"/>
    </row>
    <row r="79" spans="1:55" ht="18" x14ac:dyDescent="0.4">
      <c r="A79" s="139" t="s">
        <v>466</v>
      </c>
      <c r="B79" s="321"/>
      <c r="D79" s="192"/>
      <c r="E79" s="193"/>
      <c r="F79" s="192"/>
      <c r="G79" s="193"/>
      <c r="H79" s="193"/>
      <c r="I79" s="193"/>
      <c r="J79" s="193"/>
      <c r="K79" s="193"/>
      <c r="L79" s="192"/>
      <c r="M79" s="193"/>
      <c r="N79" s="193"/>
      <c r="O79" s="193"/>
      <c r="P79" s="193"/>
      <c r="Q79" s="193"/>
      <c r="R79" s="192"/>
      <c r="S79" s="193"/>
      <c r="T79" s="193"/>
      <c r="U79" s="193"/>
      <c r="V79" s="193"/>
      <c r="W79" s="193"/>
      <c r="X79" s="192"/>
      <c r="Y79" s="193"/>
      <c r="Z79" s="193"/>
      <c r="AA79" s="193"/>
      <c r="AB79" s="193"/>
      <c r="AC79" s="193"/>
      <c r="AD79" s="192"/>
      <c r="AE79" s="193"/>
      <c r="AF79" s="193"/>
      <c r="AG79" s="193"/>
      <c r="AH79" s="193"/>
      <c r="AI79" s="193"/>
      <c r="AJ79" s="192"/>
      <c r="AK79" s="193"/>
      <c r="AL79" s="193"/>
      <c r="AM79" s="193"/>
      <c r="AN79" s="193"/>
      <c r="AO79" s="193"/>
      <c r="AP79" s="192"/>
    </row>
    <row r="80" spans="1:55" x14ac:dyDescent="0.3">
      <c r="B80" s="189" t="s">
        <v>155</v>
      </c>
      <c r="D80" s="273"/>
      <c r="E80" s="191"/>
      <c r="F80" s="192"/>
      <c r="G80" s="191"/>
      <c r="H80" s="191"/>
      <c r="I80" s="191"/>
      <c r="J80" s="191"/>
      <c r="K80" s="191"/>
      <c r="L80" s="192">
        <v>80.62</v>
      </c>
      <c r="M80" s="191"/>
      <c r="N80" s="191">
        <v>129.66300000000001</v>
      </c>
      <c r="O80" s="191">
        <v>116.887</v>
      </c>
      <c r="P80" s="191">
        <v>123.63800000000001</v>
      </c>
      <c r="Q80" s="191">
        <v>152.81800000000001</v>
      </c>
      <c r="R80" s="273">
        <f>Q80</f>
        <v>152.81800000000001</v>
      </c>
      <c r="S80" s="191"/>
      <c r="T80" s="193">
        <v>113.328</v>
      </c>
      <c r="U80" s="193">
        <v>257.12200000000001</v>
      </c>
      <c r="V80" s="193">
        <v>275.53800000000001</v>
      </c>
      <c r="W80" s="193">
        <v>292.642</v>
      </c>
      <c r="X80" s="273">
        <f>W80</f>
        <v>292.642</v>
      </c>
      <c r="Y80" s="191"/>
      <c r="Z80" s="193">
        <v>307.67099999999999</v>
      </c>
      <c r="AA80" s="193">
        <v>352.25099999999998</v>
      </c>
      <c r="AB80" s="264">
        <f>AB161-AB81</f>
        <v>381.01945555226098</v>
      </c>
      <c r="AC80" s="264">
        <f>AC161-AC81</f>
        <v>411.01909438154223</v>
      </c>
      <c r="AD80" s="273">
        <f>AC80</f>
        <v>411.01909438154223</v>
      </c>
      <c r="AE80" s="191"/>
      <c r="AF80" s="264">
        <f>AF161-AF81</f>
        <v>431.08819362857145</v>
      </c>
      <c r="AG80" s="264">
        <f>AG161-AG81</f>
        <v>444.41948984050998</v>
      </c>
      <c r="AH80" s="264">
        <f>AH161-AH81</f>
        <v>478.65090576518952</v>
      </c>
      <c r="AI80" s="264">
        <f>AI161-AI81</f>
        <v>514.3386408193619</v>
      </c>
      <c r="AJ80" s="273">
        <f>AI80</f>
        <v>514.3386408193619</v>
      </c>
      <c r="AK80" s="191"/>
      <c r="AL80" s="264">
        <f>AL161-AL81</f>
        <v>558.25269503601714</v>
      </c>
      <c r="AM80" s="264">
        <f>AM161-AM81</f>
        <v>595.11512252691068</v>
      </c>
      <c r="AN80" s="264">
        <f>AN161-AN81</f>
        <v>654.58468748923156</v>
      </c>
      <c r="AO80" s="264">
        <f>AO161-AO81</f>
        <v>715.6716907394698</v>
      </c>
      <c r="AP80" s="273">
        <f>AO80</f>
        <v>715.6716907394698</v>
      </c>
      <c r="AR80" s="322"/>
    </row>
    <row r="81" spans="2:48" x14ac:dyDescent="0.3">
      <c r="B81" s="189" t="s">
        <v>467</v>
      </c>
      <c r="D81" s="190"/>
      <c r="E81" s="191"/>
      <c r="F81" s="192"/>
      <c r="G81" s="191"/>
      <c r="H81" s="191"/>
      <c r="I81" s="191"/>
      <c r="J81" s="191"/>
      <c r="K81" s="191"/>
      <c r="L81" s="192">
        <v>0.126</v>
      </c>
      <c r="M81" s="191"/>
      <c r="N81" s="191">
        <v>0.114</v>
      </c>
      <c r="O81" s="191">
        <v>0.123</v>
      </c>
      <c r="P81" s="191">
        <v>0.14399999999999999</v>
      </c>
      <c r="Q81" s="191">
        <v>0.152</v>
      </c>
      <c r="R81" s="190">
        <f t="shared" ref="R81:R86" si="75">Q81</f>
        <v>0.152</v>
      </c>
      <c r="S81" s="191"/>
      <c r="T81" s="193">
        <v>0.156</v>
      </c>
      <c r="U81" s="193">
        <v>0.156</v>
      </c>
      <c r="V81" s="193">
        <v>0.15</v>
      </c>
      <c r="W81" s="193">
        <v>0.14799999999999999</v>
      </c>
      <c r="X81" s="190">
        <f t="shared" ref="X81:X86" si="76">W81</f>
        <v>0.14799999999999999</v>
      </c>
      <c r="Y81" s="191"/>
      <c r="Z81" s="193">
        <v>0.248</v>
      </c>
      <c r="AA81" s="193">
        <v>0.22900000000000001</v>
      </c>
      <c r="AB81" s="272">
        <f t="shared" ref="AB81:AD86" si="77">AA81</f>
        <v>0.22900000000000001</v>
      </c>
      <c r="AC81" s="272">
        <f t="shared" si="77"/>
        <v>0.22900000000000001</v>
      </c>
      <c r="AD81" s="190">
        <f t="shared" si="77"/>
        <v>0.22900000000000001</v>
      </c>
      <c r="AE81" s="191"/>
      <c r="AF81" s="272">
        <f>AD81</f>
        <v>0.22900000000000001</v>
      </c>
      <c r="AG81" s="272">
        <f>AF81</f>
        <v>0.22900000000000001</v>
      </c>
      <c r="AH81" s="272">
        <f t="shared" ref="AH81:AJ85" si="78">AG81</f>
        <v>0.22900000000000001</v>
      </c>
      <c r="AI81" s="272">
        <f t="shared" si="78"/>
        <v>0.22900000000000001</v>
      </c>
      <c r="AJ81" s="190">
        <f t="shared" si="78"/>
        <v>0.22900000000000001</v>
      </c>
      <c r="AK81" s="191"/>
      <c r="AL81" s="272">
        <f>AJ81</f>
        <v>0.22900000000000001</v>
      </c>
      <c r="AM81" s="272">
        <f>AL81</f>
        <v>0.22900000000000001</v>
      </c>
      <c r="AN81" s="272">
        <f t="shared" ref="AN81:AP85" si="79">AM81</f>
        <v>0.22900000000000001</v>
      </c>
      <c r="AO81" s="272">
        <f t="shared" si="79"/>
        <v>0.22900000000000001</v>
      </c>
      <c r="AP81" s="190">
        <f t="shared" si="79"/>
        <v>0.22900000000000001</v>
      </c>
    </row>
    <row r="82" spans="2:48" x14ac:dyDescent="0.3">
      <c r="B82" s="189" t="s">
        <v>525</v>
      </c>
      <c r="D82" s="190"/>
      <c r="E82" s="191"/>
      <c r="F82" s="192"/>
      <c r="G82" s="191"/>
      <c r="H82" s="191"/>
      <c r="I82" s="191"/>
      <c r="J82" s="191"/>
      <c r="K82" s="191"/>
      <c r="L82" s="192">
        <v>92.51</v>
      </c>
      <c r="M82" s="191"/>
      <c r="N82" s="191">
        <v>86.91</v>
      </c>
      <c r="O82" s="191">
        <v>75.42</v>
      </c>
      <c r="P82" s="191">
        <v>103.312</v>
      </c>
      <c r="Q82" s="191">
        <v>111.363</v>
      </c>
      <c r="R82" s="190">
        <f t="shared" si="75"/>
        <v>111.363</v>
      </c>
      <c r="S82" s="191"/>
      <c r="T82" s="193">
        <v>104.694</v>
      </c>
      <c r="U82" s="193">
        <v>128.90600000000001</v>
      </c>
      <c r="V82" s="193">
        <v>147.13800000000001</v>
      </c>
      <c r="W82" s="193">
        <v>155.77199999999999</v>
      </c>
      <c r="X82" s="190">
        <f t="shared" si="76"/>
        <v>155.77199999999999</v>
      </c>
      <c r="Y82" s="191"/>
      <c r="Z82" s="193">
        <v>148.16300000000001</v>
      </c>
      <c r="AA82" s="193">
        <v>144.376</v>
      </c>
      <c r="AB82" s="194">
        <f>AB8*AB192/90</f>
        <v>151.70650747479917</v>
      </c>
      <c r="AC82" s="194">
        <f>AC8*AC192/90</f>
        <v>162.76786682487185</v>
      </c>
      <c r="AD82" s="190">
        <f t="shared" si="77"/>
        <v>162.76786682487185</v>
      </c>
      <c r="AE82" s="191"/>
      <c r="AF82" s="194">
        <f>AF8*AF192/90</f>
        <v>143.09589063042949</v>
      </c>
      <c r="AG82" s="194">
        <f>AG8*AG192/90</f>
        <v>153.03855999999999</v>
      </c>
      <c r="AH82" s="194">
        <f>AH8*AH192/90</f>
        <v>162.32596299803512</v>
      </c>
      <c r="AI82" s="194">
        <f>AI8*AI192/90</f>
        <v>174.16161750261293</v>
      </c>
      <c r="AJ82" s="190">
        <f t="shared" si="78"/>
        <v>174.16161750261293</v>
      </c>
      <c r="AK82" s="191"/>
      <c r="AL82" s="194">
        <f>AL8*AL192/90</f>
        <v>154.54356188086385</v>
      </c>
      <c r="AM82" s="194">
        <f>AM8*AM192/90</f>
        <v>165.28164480000001</v>
      </c>
      <c r="AN82" s="194">
        <f>AN8*AN192/90</f>
        <v>175.31204003787798</v>
      </c>
      <c r="AO82" s="194">
        <f>AO8*AO192/90</f>
        <v>188.09454690282197</v>
      </c>
      <c r="AP82" s="190">
        <f t="shared" si="79"/>
        <v>188.09454690282197</v>
      </c>
    </row>
    <row r="83" spans="2:48" x14ac:dyDescent="0.3">
      <c r="B83" s="189" t="s">
        <v>1776</v>
      </c>
      <c r="D83" s="190"/>
      <c r="E83" s="191"/>
      <c r="F83" s="192"/>
      <c r="G83" s="191"/>
      <c r="H83" s="191"/>
      <c r="I83" s="191"/>
      <c r="J83" s="191"/>
      <c r="K83" s="191"/>
      <c r="L83" s="192">
        <v>1.3260000000000001</v>
      </c>
      <c r="M83" s="191"/>
      <c r="N83" s="191">
        <v>0.72499999999999998</v>
      </c>
      <c r="O83" s="191">
        <v>0.72199999999999998</v>
      </c>
      <c r="P83" s="191">
        <v>0.73899999999999999</v>
      </c>
      <c r="Q83" s="191">
        <v>1.2669999999999999</v>
      </c>
      <c r="R83" s="190">
        <f t="shared" si="75"/>
        <v>1.2669999999999999</v>
      </c>
      <c r="S83" s="191"/>
      <c r="T83" s="193">
        <v>0.84399999999999997</v>
      </c>
      <c r="U83" s="193">
        <v>1.3520000000000001</v>
      </c>
      <c r="V83" s="193">
        <v>0.95799999999999996</v>
      </c>
      <c r="W83" s="193">
        <v>0.94099999999999995</v>
      </c>
      <c r="X83" s="190">
        <f t="shared" si="76"/>
        <v>0.94099999999999995</v>
      </c>
      <c r="Y83" s="191"/>
      <c r="Z83" s="193">
        <v>0.92700000000000005</v>
      </c>
      <c r="AA83" s="193">
        <v>0.90400000000000003</v>
      </c>
      <c r="AB83" s="272">
        <f t="shared" si="77"/>
        <v>0.90400000000000003</v>
      </c>
      <c r="AC83" s="272">
        <f t="shared" si="77"/>
        <v>0.90400000000000003</v>
      </c>
      <c r="AD83" s="190">
        <f t="shared" si="77"/>
        <v>0.90400000000000003</v>
      </c>
      <c r="AE83" s="191"/>
      <c r="AF83" s="272">
        <f>AD83</f>
        <v>0.90400000000000003</v>
      </c>
      <c r="AG83" s="272">
        <f>AF83</f>
        <v>0.90400000000000003</v>
      </c>
      <c r="AH83" s="272">
        <f t="shared" ref="AH83:AI84" si="80">AG83</f>
        <v>0.90400000000000003</v>
      </c>
      <c r="AI83" s="272">
        <f t="shared" si="80"/>
        <v>0.90400000000000003</v>
      </c>
      <c r="AJ83" s="190">
        <f t="shared" si="78"/>
        <v>0.90400000000000003</v>
      </c>
      <c r="AK83" s="191"/>
      <c r="AL83" s="272">
        <f>AJ83</f>
        <v>0.90400000000000003</v>
      </c>
      <c r="AM83" s="272">
        <f>AL83</f>
        <v>0.90400000000000003</v>
      </c>
      <c r="AN83" s="272">
        <f t="shared" ref="AN83:AO84" si="81">AM83</f>
        <v>0.90400000000000003</v>
      </c>
      <c r="AO83" s="272">
        <f t="shared" si="81"/>
        <v>0.90400000000000003</v>
      </c>
      <c r="AP83" s="190">
        <f t="shared" si="79"/>
        <v>0.90400000000000003</v>
      </c>
      <c r="AR83" s="322"/>
    </row>
    <row r="84" spans="2:48" x14ac:dyDescent="0.3">
      <c r="B84" s="189" t="s">
        <v>1777</v>
      </c>
      <c r="D84" s="190"/>
      <c r="E84" s="191"/>
      <c r="F84" s="192"/>
      <c r="G84" s="191"/>
      <c r="H84" s="191"/>
      <c r="I84" s="191"/>
      <c r="J84" s="191"/>
      <c r="K84" s="191"/>
      <c r="L84" s="192">
        <v>3.681</v>
      </c>
      <c r="M84" s="191"/>
      <c r="N84" s="191">
        <v>3.8450000000000002</v>
      </c>
      <c r="O84" s="191">
        <v>3.7869999999999999</v>
      </c>
      <c r="P84" s="191">
        <v>4.3630000000000004</v>
      </c>
      <c r="Q84" s="191">
        <v>3.4790000000000001</v>
      </c>
      <c r="R84" s="190">
        <f t="shared" si="75"/>
        <v>3.4790000000000001</v>
      </c>
      <c r="S84" s="191"/>
      <c r="T84" s="193">
        <v>2.15</v>
      </c>
      <c r="U84" s="193">
        <v>11.337999999999999</v>
      </c>
      <c r="V84" s="193">
        <v>2.4260000000000002</v>
      </c>
      <c r="W84" s="193">
        <v>2.2919999999999998</v>
      </c>
      <c r="X84" s="190">
        <f t="shared" si="76"/>
        <v>2.2919999999999998</v>
      </c>
      <c r="Y84" s="191"/>
      <c r="Z84" s="193">
        <v>1.5720000000000001</v>
      </c>
      <c r="AA84" s="193">
        <v>1.6080000000000001</v>
      </c>
      <c r="AB84" s="272">
        <f t="shared" si="77"/>
        <v>1.6080000000000001</v>
      </c>
      <c r="AC84" s="272">
        <f>AB84</f>
        <v>1.6080000000000001</v>
      </c>
      <c r="AD84" s="190">
        <f>AC84</f>
        <v>1.6080000000000001</v>
      </c>
      <c r="AE84" s="191"/>
      <c r="AF84" s="272">
        <f>AD84</f>
        <v>1.6080000000000001</v>
      </c>
      <c r="AG84" s="272">
        <f>AF84</f>
        <v>1.6080000000000001</v>
      </c>
      <c r="AH84" s="272">
        <f t="shared" si="80"/>
        <v>1.6080000000000001</v>
      </c>
      <c r="AI84" s="272">
        <f t="shared" si="80"/>
        <v>1.6080000000000001</v>
      </c>
      <c r="AJ84" s="190">
        <f t="shared" si="78"/>
        <v>1.6080000000000001</v>
      </c>
      <c r="AK84" s="191"/>
      <c r="AL84" s="272">
        <f>AJ84</f>
        <v>1.6080000000000001</v>
      </c>
      <c r="AM84" s="272">
        <f>AL84</f>
        <v>1.6080000000000001</v>
      </c>
      <c r="AN84" s="272">
        <f t="shared" si="81"/>
        <v>1.6080000000000001</v>
      </c>
      <c r="AO84" s="272">
        <f t="shared" si="81"/>
        <v>1.6080000000000001</v>
      </c>
      <c r="AP84" s="190">
        <f t="shared" si="79"/>
        <v>1.6080000000000001</v>
      </c>
      <c r="AR84" s="322"/>
    </row>
    <row r="85" spans="2:48" x14ac:dyDescent="0.3">
      <c r="B85" s="189" t="s">
        <v>1778</v>
      </c>
      <c r="D85" s="190"/>
      <c r="E85" s="191"/>
      <c r="F85" s="192"/>
      <c r="G85" s="191"/>
      <c r="H85" s="191"/>
      <c r="I85" s="191"/>
      <c r="J85" s="191"/>
      <c r="K85" s="191"/>
      <c r="L85" s="192">
        <v>7.64</v>
      </c>
      <c r="M85" s="191"/>
      <c r="N85" s="191">
        <v>9.2210000000000001</v>
      </c>
      <c r="O85" s="191">
        <v>7.7450000000000001</v>
      </c>
      <c r="P85" s="191">
        <v>12.098000000000001</v>
      </c>
      <c r="Q85" s="191">
        <v>8.6989999999999998</v>
      </c>
      <c r="R85" s="190">
        <f>Q85</f>
        <v>8.6989999999999998</v>
      </c>
      <c r="S85" s="191"/>
      <c r="T85" s="193">
        <v>13.865</v>
      </c>
      <c r="U85" s="193">
        <v>2.2719999999999998</v>
      </c>
      <c r="V85" s="193">
        <v>17.294</v>
      </c>
      <c r="W85" s="193">
        <v>14.365</v>
      </c>
      <c r="X85" s="190">
        <f>W85</f>
        <v>14.365</v>
      </c>
      <c r="Y85" s="191"/>
      <c r="Z85" s="193">
        <v>19.088999999999999</v>
      </c>
      <c r="AA85" s="193">
        <v>23.367999999999999</v>
      </c>
      <c r="AB85" s="264">
        <f>AB8*AB194</f>
        <v>18.991236353974504</v>
      </c>
      <c r="AC85" s="264">
        <f>AC8*AC194</f>
        <v>15.358948071913876</v>
      </c>
      <c r="AD85" s="190">
        <f>AC85</f>
        <v>15.358948071913876</v>
      </c>
      <c r="AE85" s="191"/>
      <c r="AF85" s="264">
        <f>AF8*AF194</f>
        <v>20.083542921829988</v>
      </c>
      <c r="AG85" s="264">
        <f>AG8*AG194</f>
        <v>24.770079999999997</v>
      </c>
      <c r="AH85" s="264">
        <f>AH8*AH194</f>
        <v>20.32062289875272</v>
      </c>
      <c r="AI85" s="264">
        <f>AI8*AI194</f>
        <v>16.434074436947849</v>
      </c>
      <c r="AJ85" s="190">
        <f t="shared" si="78"/>
        <v>16.434074436947849</v>
      </c>
      <c r="AK85" s="191"/>
      <c r="AL85" s="264">
        <f>AL8*AL194</f>
        <v>21.690226355576389</v>
      </c>
      <c r="AM85" s="264">
        <f>AM8*AM194</f>
        <v>26.751686400000001</v>
      </c>
      <c r="AN85" s="264">
        <f>AN8*AN194</f>
        <v>21.946272730652939</v>
      </c>
      <c r="AO85" s="264">
        <f>AO8*AO194</f>
        <v>17.748800391903679</v>
      </c>
      <c r="AP85" s="190">
        <f t="shared" si="79"/>
        <v>17.748800391903679</v>
      </c>
      <c r="AR85" s="322"/>
    </row>
    <row r="86" spans="2:48" x14ac:dyDescent="0.3">
      <c r="B86" s="323" t="s">
        <v>503</v>
      </c>
      <c r="C86" s="324"/>
      <c r="D86" s="325"/>
      <c r="E86" s="326"/>
      <c r="F86" s="327"/>
      <c r="G86" s="326"/>
      <c r="H86" s="326"/>
      <c r="I86" s="326"/>
      <c r="J86" s="326"/>
      <c r="K86" s="326"/>
      <c r="L86" s="327">
        <v>185.90300000000002</v>
      </c>
      <c r="M86" s="326"/>
      <c r="N86" s="328">
        <f>SUM(N80:N85)</f>
        <v>230.47800000000001</v>
      </c>
      <c r="O86" s="328">
        <f>SUM(O80:O85)</f>
        <v>204.68400000000003</v>
      </c>
      <c r="P86" s="328">
        <f>SUM(P80:P85)</f>
        <v>244.29400000000001</v>
      </c>
      <c r="Q86" s="328">
        <f>SUM(Q80:Q85)</f>
        <v>277.77799999999996</v>
      </c>
      <c r="R86" s="325">
        <f t="shared" si="75"/>
        <v>277.77799999999996</v>
      </c>
      <c r="S86" s="326"/>
      <c r="T86" s="328">
        <f>SUM(T80:T85)</f>
        <v>235.03700000000001</v>
      </c>
      <c r="U86" s="328">
        <f>SUM(U80:U85)</f>
        <v>401.14600000000002</v>
      </c>
      <c r="V86" s="328">
        <f>SUM(V80:V85)</f>
        <v>443.50400000000002</v>
      </c>
      <c r="W86" s="328">
        <f>SUM(W80:W85)</f>
        <v>466.15999999999997</v>
      </c>
      <c r="X86" s="325">
        <f t="shared" si="76"/>
        <v>466.15999999999997</v>
      </c>
      <c r="Y86" s="326"/>
      <c r="Z86" s="328">
        <f>SUM(Z80:Z85)</f>
        <v>477.67</v>
      </c>
      <c r="AA86" s="329">
        <f>SUM(AA80:AA85)</f>
        <v>522.73599999999999</v>
      </c>
      <c r="AB86" s="328">
        <f>SUM(AB80:AB85)</f>
        <v>554.45819938103455</v>
      </c>
      <c r="AC86" s="328">
        <f>SUM(AC80:AC85)</f>
        <v>591.88690927832795</v>
      </c>
      <c r="AD86" s="325">
        <f t="shared" si="77"/>
        <v>591.88690927832795</v>
      </c>
      <c r="AE86" s="326"/>
      <c r="AF86" s="328">
        <f>SUM(AF80:AF85)</f>
        <v>597.0086271808309</v>
      </c>
      <c r="AG86" s="328">
        <f>SUM(AG80:AG85)</f>
        <v>624.96912984050994</v>
      </c>
      <c r="AH86" s="328">
        <f>SUM(AH80:AH85)</f>
        <v>664.03849166197733</v>
      </c>
      <c r="AI86" s="328">
        <f>SUM(AI80:AI85)</f>
        <v>707.67533275892265</v>
      </c>
      <c r="AJ86" s="325">
        <f>SUM(AJ80:AJ85)</f>
        <v>707.67533275892265</v>
      </c>
      <c r="AK86" s="326"/>
      <c r="AL86" s="328">
        <f>SUM(AL80:AL85)</f>
        <v>737.22748327245745</v>
      </c>
      <c r="AM86" s="328">
        <f>SUM(AM80:AM85)</f>
        <v>789.88945372691069</v>
      </c>
      <c r="AN86" s="328">
        <f>SUM(AN80:AN85)</f>
        <v>854.58400025776245</v>
      </c>
      <c r="AO86" s="328">
        <f>SUM(AO80:AO85)</f>
        <v>924.25603803419551</v>
      </c>
      <c r="AP86" s="325">
        <f>SUM(AP80:AP85)</f>
        <v>924.25603803419551</v>
      </c>
    </row>
    <row r="87" spans="2:48" ht="5.15" customHeight="1" x14ac:dyDescent="0.3">
      <c r="B87" s="189"/>
      <c r="D87" s="192"/>
      <c r="E87" s="191"/>
      <c r="F87" s="192"/>
      <c r="G87" s="191"/>
      <c r="H87" s="191"/>
      <c r="I87" s="191"/>
      <c r="J87" s="191"/>
      <c r="K87" s="191"/>
      <c r="L87" s="192"/>
      <c r="M87" s="191"/>
      <c r="N87" s="191"/>
      <c r="O87" s="191"/>
      <c r="P87" s="191"/>
      <c r="Q87" s="191"/>
      <c r="R87" s="192"/>
      <c r="S87" s="191"/>
      <c r="T87" s="193"/>
      <c r="U87" s="193"/>
      <c r="V87" s="191"/>
      <c r="W87" s="191"/>
      <c r="X87" s="192"/>
      <c r="Y87" s="191"/>
      <c r="Z87" s="193"/>
      <c r="AA87" s="191"/>
      <c r="AB87" s="191"/>
      <c r="AC87" s="191"/>
      <c r="AD87" s="192"/>
      <c r="AE87" s="191"/>
      <c r="AF87" s="191"/>
      <c r="AG87" s="191"/>
      <c r="AH87" s="191"/>
      <c r="AI87" s="191"/>
      <c r="AJ87" s="192"/>
      <c r="AK87" s="191"/>
      <c r="AL87" s="191"/>
      <c r="AM87" s="191"/>
      <c r="AN87" s="191"/>
      <c r="AO87" s="191"/>
      <c r="AP87" s="192"/>
    </row>
    <row r="88" spans="2:48" x14ac:dyDescent="0.3">
      <c r="B88" s="189" t="s">
        <v>1779</v>
      </c>
      <c r="D88" s="190"/>
      <c r="E88" s="191"/>
      <c r="F88" s="192"/>
      <c r="G88" s="191"/>
      <c r="H88" s="191"/>
      <c r="I88" s="191"/>
      <c r="J88" s="191"/>
      <c r="K88" s="191"/>
      <c r="L88" s="192">
        <v>29.094000000000001</v>
      </c>
      <c r="M88" s="191"/>
      <c r="N88" s="191">
        <v>228.126</v>
      </c>
      <c r="O88" s="191">
        <v>215.886</v>
      </c>
      <c r="P88" s="191">
        <v>203.393</v>
      </c>
      <c r="Q88" s="191">
        <v>190.28200000000001</v>
      </c>
      <c r="R88" s="190">
        <f t="shared" ref="R88:R93" si="82">Q88</f>
        <v>190.28200000000001</v>
      </c>
      <c r="S88" s="191"/>
      <c r="T88" s="193">
        <v>180.602</v>
      </c>
      <c r="U88" s="193">
        <v>172.239</v>
      </c>
      <c r="V88" s="191">
        <v>161.33000000000001</v>
      </c>
      <c r="W88" s="191">
        <v>154.309</v>
      </c>
      <c r="X88" s="190">
        <f t="shared" ref="X88:X94" si="83">W88</f>
        <v>154.309</v>
      </c>
      <c r="Y88" s="191"/>
      <c r="Z88" s="193">
        <v>146.392</v>
      </c>
      <c r="AA88" s="193">
        <v>136.536</v>
      </c>
      <c r="AB88" s="264">
        <f>AB189</f>
        <v>127.918776398085</v>
      </c>
      <c r="AC88" s="264">
        <f>AC189</f>
        <v>118.48021394252406</v>
      </c>
      <c r="AD88" s="190">
        <f t="shared" ref="AD88:AD94" si="84">AC88</f>
        <v>118.48021394252406</v>
      </c>
      <c r="AE88" s="191"/>
      <c r="AF88" s="264">
        <f>AF189</f>
        <v>115.01387566252409</v>
      </c>
      <c r="AG88" s="264">
        <f t="shared" ref="AG88:AI88" si="85">AG189</f>
        <v>108.99371898252409</v>
      </c>
      <c r="AH88" s="264">
        <f t="shared" si="85"/>
        <v>101.70289496794408</v>
      </c>
      <c r="AI88" s="264">
        <f t="shared" si="85"/>
        <v>92.79276149026407</v>
      </c>
      <c r="AJ88" s="190">
        <f t="shared" ref="AJ88:AJ94" si="86">AI88</f>
        <v>92.79276149026407</v>
      </c>
      <c r="AK88" s="191"/>
      <c r="AL88" s="264">
        <f>AL189</f>
        <v>87.645474991864063</v>
      </c>
      <c r="AM88" s="264">
        <f t="shared" ref="AM88:AO88" si="87">AM189</f>
        <v>81.104000941464051</v>
      </c>
      <c r="AN88" s="264">
        <f t="shared" si="87"/>
        <v>73.26022253305166</v>
      </c>
      <c r="AO88" s="264">
        <f t="shared" si="87"/>
        <v>63.75681716062126</v>
      </c>
      <c r="AP88" s="190">
        <f t="shared" ref="AP88:AP94" si="88">AO88</f>
        <v>63.75681716062126</v>
      </c>
      <c r="AR88" s="322"/>
    </row>
    <row r="89" spans="2:48" x14ac:dyDescent="0.3">
      <c r="B89" s="189" t="s">
        <v>1780</v>
      </c>
      <c r="D89" s="190"/>
      <c r="E89" s="191"/>
      <c r="F89" s="192"/>
      <c r="G89" s="191"/>
      <c r="H89" s="191"/>
      <c r="I89" s="191"/>
      <c r="J89" s="191"/>
      <c r="K89" s="191"/>
      <c r="L89" s="192">
        <v>261.58999999999997</v>
      </c>
      <c r="M89" s="191"/>
      <c r="N89" s="191">
        <v>762.76</v>
      </c>
      <c r="O89" s="191">
        <v>763.99</v>
      </c>
      <c r="P89" s="191">
        <v>767.90200000000004</v>
      </c>
      <c r="Q89" s="191">
        <v>770.08900000000006</v>
      </c>
      <c r="R89" s="190">
        <f t="shared" si="82"/>
        <v>770.08900000000006</v>
      </c>
      <c r="S89" s="191"/>
      <c r="T89" s="193">
        <v>775.09299999999996</v>
      </c>
      <c r="U89" s="193">
        <v>774.56200000000001</v>
      </c>
      <c r="V89" s="193">
        <v>772.66899999999998</v>
      </c>
      <c r="W89" s="193">
        <v>793.89200000000005</v>
      </c>
      <c r="X89" s="190">
        <f t="shared" si="83"/>
        <v>793.89200000000005</v>
      </c>
      <c r="Y89" s="191"/>
      <c r="Z89" s="193">
        <v>802.67499999999995</v>
      </c>
      <c r="AA89" s="193">
        <v>796.55600000000004</v>
      </c>
      <c r="AB89" s="191">
        <f>AA89</f>
        <v>796.55600000000004</v>
      </c>
      <c r="AC89" s="191">
        <f>AB89</f>
        <v>796.55600000000004</v>
      </c>
      <c r="AD89" s="190">
        <f t="shared" si="84"/>
        <v>796.55600000000004</v>
      </c>
      <c r="AE89" s="191"/>
      <c r="AF89" s="191">
        <f>AD89</f>
        <v>796.55600000000004</v>
      </c>
      <c r="AG89" s="191">
        <f>AF89</f>
        <v>796.55600000000004</v>
      </c>
      <c r="AH89" s="191">
        <f>AG89</f>
        <v>796.55600000000004</v>
      </c>
      <c r="AI89" s="191">
        <f>AH89</f>
        <v>796.55600000000004</v>
      </c>
      <c r="AJ89" s="190">
        <f t="shared" si="86"/>
        <v>796.55600000000004</v>
      </c>
      <c r="AK89" s="191"/>
      <c r="AL89" s="191">
        <f>AJ89</f>
        <v>796.55600000000004</v>
      </c>
      <c r="AM89" s="191">
        <f>AL89</f>
        <v>796.55600000000004</v>
      </c>
      <c r="AN89" s="191">
        <f>AM89</f>
        <v>796.55600000000004</v>
      </c>
      <c r="AO89" s="191">
        <f>AN89</f>
        <v>796.55600000000004</v>
      </c>
      <c r="AP89" s="190">
        <f t="shared" si="88"/>
        <v>796.55600000000004</v>
      </c>
      <c r="AR89" s="322"/>
    </row>
    <row r="90" spans="2:48" x14ac:dyDescent="0.3">
      <c r="B90" s="189" t="s">
        <v>1781</v>
      </c>
      <c r="D90" s="190"/>
      <c r="E90" s="191"/>
      <c r="F90" s="192"/>
      <c r="G90" s="191"/>
      <c r="H90" s="191"/>
      <c r="I90" s="191"/>
      <c r="J90" s="191"/>
      <c r="K90" s="191"/>
      <c r="L90" s="192">
        <v>13.224</v>
      </c>
      <c r="M90" s="191"/>
      <c r="N90" s="191">
        <v>93.132000000000005</v>
      </c>
      <c r="O90" s="191">
        <v>91.179000000000002</v>
      </c>
      <c r="P90" s="191">
        <v>89.533000000000001</v>
      </c>
      <c r="Q90" s="191">
        <v>87.701999999999998</v>
      </c>
      <c r="R90" s="190">
        <f t="shared" si="82"/>
        <v>87.701999999999998</v>
      </c>
      <c r="S90" s="191"/>
      <c r="T90" s="193">
        <v>85.876999999999995</v>
      </c>
      <c r="U90" s="193">
        <v>83.828000000000003</v>
      </c>
      <c r="V90" s="193">
        <v>81.691000000000003</v>
      </c>
      <c r="W90" s="193">
        <v>79.584999999999994</v>
      </c>
      <c r="X90" s="190">
        <f t="shared" si="83"/>
        <v>79.584999999999994</v>
      </c>
      <c r="Y90" s="191"/>
      <c r="Z90" s="193">
        <v>77.641000000000005</v>
      </c>
      <c r="AA90" s="193">
        <v>75.234999999999999</v>
      </c>
      <c r="AB90" s="264">
        <f>AA90-(AB$178*(1/5))</f>
        <v>71.588949999999997</v>
      </c>
      <c r="AC90" s="264">
        <f>AB90-(AC$178*(1/5))</f>
        <v>67.942899999999995</v>
      </c>
      <c r="AD90" s="190">
        <f t="shared" si="84"/>
        <v>67.942899999999995</v>
      </c>
      <c r="AE90" s="191"/>
      <c r="AF90" s="264">
        <f>AC90-(AF$178*(1/5))</f>
        <v>64.959299999999999</v>
      </c>
      <c r="AG90" s="264">
        <f>AF90-(AG$178*(1/5))</f>
        <v>61.975699999999996</v>
      </c>
      <c r="AH90" s="264">
        <f>AG90-(AH$178*(1/5))</f>
        <v>58.992099999999994</v>
      </c>
      <c r="AI90" s="264">
        <f>AH90-(AI$178*(1/5))</f>
        <v>56.008499999999991</v>
      </c>
      <c r="AJ90" s="190">
        <f t="shared" si="86"/>
        <v>56.008499999999991</v>
      </c>
      <c r="AK90" s="191"/>
      <c r="AL90" s="264">
        <f>AI90-(AL$178*(1/5))</f>
        <v>53.024899999999988</v>
      </c>
      <c r="AM90" s="264">
        <f>AL90-(AM$178*(1/5))</f>
        <v>50.041299999999985</v>
      </c>
      <c r="AN90" s="264">
        <f>AM90-(AN$178*(1/5))</f>
        <v>47.057699999999983</v>
      </c>
      <c r="AO90" s="264">
        <f>AN90-(AO$178*(1/5))</f>
        <v>44.07409999999998</v>
      </c>
      <c r="AP90" s="190">
        <f t="shared" si="88"/>
        <v>44.07409999999998</v>
      </c>
      <c r="AQ90" s="330"/>
      <c r="AR90" s="330"/>
      <c r="AT90" s="330"/>
      <c r="AU90" s="330"/>
      <c r="AV90" s="330"/>
    </row>
    <row r="91" spans="2:48" x14ac:dyDescent="0.3">
      <c r="B91" s="189" t="s">
        <v>475</v>
      </c>
      <c r="D91" s="190"/>
      <c r="E91" s="191"/>
      <c r="F91" s="192"/>
      <c r="G91" s="191"/>
      <c r="H91" s="191"/>
      <c r="I91" s="191"/>
      <c r="J91" s="191"/>
      <c r="K91" s="191"/>
      <c r="L91" s="192">
        <v>52.569000000000003</v>
      </c>
      <c r="M91" s="191"/>
      <c r="N91" s="191">
        <v>485.49299999999999</v>
      </c>
      <c r="O91" s="191">
        <v>468.18599999999998</v>
      </c>
      <c r="P91" s="191">
        <v>452.41699999999997</v>
      </c>
      <c r="Q91" s="191">
        <v>435.661</v>
      </c>
      <c r="R91" s="190">
        <f t="shared" si="82"/>
        <v>435.661</v>
      </c>
      <c r="S91" s="191"/>
      <c r="T91" s="193">
        <v>423.11700000000002</v>
      </c>
      <c r="U91" s="193">
        <v>406.41500000000002</v>
      </c>
      <c r="V91" s="193">
        <v>389.21600000000001</v>
      </c>
      <c r="W91" s="193">
        <v>384.76600000000002</v>
      </c>
      <c r="X91" s="190">
        <f t="shared" si="83"/>
        <v>384.76600000000002</v>
      </c>
      <c r="Y91" s="191"/>
      <c r="Z91" s="193">
        <v>375.428</v>
      </c>
      <c r="AA91" s="193">
        <v>357.697</v>
      </c>
      <c r="AB91" s="264">
        <f>AA91-(AB$178*(4/5))</f>
        <v>343.11279999999999</v>
      </c>
      <c r="AC91" s="264">
        <f>AB91-(AC$178*(4/5))</f>
        <v>328.52859999999998</v>
      </c>
      <c r="AD91" s="190">
        <f t="shared" si="84"/>
        <v>328.52859999999998</v>
      </c>
      <c r="AE91" s="191"/>
      <c r="AF91" s="264">
        <f>AC91-(AF$178*(4/5))</f>
        <v>316.5942</v>
      </c>
      <c r="AG91" s="264">
        <f>AF91-(AG$178*(4/5))</f>
        <v>304.65980000000002</v>
      </c>
      <c r="AH91" s="264">
        <f>AG91-(AH$178*(4/5))</f>
        <v>292.72540000000004</v>
      </c>
      <c r="AI91" s="264">
        <f>AH91-(AI$178*(4/5))</f>
        <v>280.79100000000005</v>
      </c>
      <c r="AJ91" s="190">
        <f t="shared" si="86"/>
        <v>280.79100000000005</v>
      </c>
      <c r="AK91" s="191"/>
      <c r="AL91" s="264">
        <f>AI91-(AL$178*(4/5))</f>
        <v>268.85660000000007</v>
      </c>
      <c r="AM91" s="264">
        <f>AL91-(AM$178*(4/5))</f>
        <v>256.92220000000009</v>
      </c>
      <c r="AN91" s="264">
        <f>AM91-(AN$178*(4/5))</f>
        <v>244.98780000000008</v>
      </c>
      <c r="AO91" s="264">
        <f>AN91-(AO$178*(4/5))</f>
        <v>233.05340000000007</v>
      </c>
      <c r="AP91" s="190">
        <f t="shared" si="88"/>
        <v>233.05340000000007</v>
      </c>
      <c r="AR91" s="322"/>
    </row>
    <row r="92" spans="2:48" x14ac:dyDescent="0.3">
      <c r="B92" s="189" t="s">
        <v>1782</v>
      </c>
      <c r="D92" s="190"/>
      <c r="E92" s="191"/>
      <c r="F92" s="192"/>
      <c r="G92" s="191"/>
      <c r="H92" s="191"/>
      <c r="I92" s="191"/>
      <c r="J92" s="191"/>
      <c r="K92" s="191"/>
      <c r="L92" s="192">
        <v>0.98499999999999999</v>
      </c>
      <c r="M92" s="191"/>
      <c r="N92" s="191">
        <v>19.277999999999999</v>
      </c>
      <c r="O92" s="191">
        <v>15.734999999999999</v>
      </c>
      <c r="P92" s="191">
        <v>11.032999999999999</v>
      </c>
      <c r="Q92" s="191">
        <v>0.80700000000000005</v>
      </c>
      <c r="R92" s="190">
        <f t="shared" si="82"/>
        <v>0.80700000000000005</v>
      </c>
      <c r="S92" s="191"/>
      <c r="T92" s="193">
        <v>0.95299999999999996</v>
      </c>
      <c r="U92" s="193">
        <v>1.5920000000000001</v>
      </c>
      <c r="V92" s="193">
        <v>1.4419999999999999</v>
      </c>
      <c r="W92" s="193">
        <v>1.413</v>
      </c>
      <c r="X92" s="190">
        <f t="shared" si="83"/>
        <v>1.413</v>
      </c>
      <c r="Y92" s="191"/>
      <c r="Z92" s="193">
        <v>1.6040000000000001</v>
      </c>
      <c r="AA92" s="193">
        <v>1.7190000000000001</v>
      </c>
      <c r="AB92" s="193">
        <f t="shared" ref="AB92:AB93" si="89">AA92</f>
        <v>1.7190000000000001</v>
      </c>
      <c r="AC92" s="193">
        <f>AB92</f>
        <v>1.7190000000000001</v>
      </c>
      <c r="AD92" s="190">
        <f t="shared" si="84"/>
        <v>1.7190000000000001</v>
      </c>
      <c r="AE92" s="191"/>
      <c r="AF92" s="191">
        <f>AD92</f>
        <v>1.7190000000000001</v>
      </c>
      <c r="AG92" s="191">
        <f t="shared" ref="AG92:AI93" si="90">AF92</f>
        <v>1.7190000000000001</v>
      </c>
      <c r="AH92" s="191">
        <f t="shared" si="90"/>
        <v>1.7190000000000001</v>
      </c>
      <c r="AI92" s="191">
        <f t="shared" si="90"/>
        <v>1.7190000000000001</v>
      </c>
      <c r="AJ92" s="190">
        <f t="shared" si="86"/>
        <v>1.7190000000000001</v>
      </c>
      <c r="AK92" s="191"/>
      <c r="AL92" s="191">
        <f>AJ92</f>
        <v>1.7190000000000001</v>
      </c>
      <c r="AM92" s="191">
        <f t="shared" ref="AM92:AO93" si="91">AL92</f>
        <v>1.7190000000000001</v>
      </c>
      <c r="AN92" s="191">
        <f t="shared" si="91"/>
        <v>1.7190000000000001</v>
      </c>
      <c r="AO92" s="191">
        <f t="shared" si="91"/>
        <v>1.7190000000000001</v>
      </c>
      <c r="AP92" s="190">
        <f t="shared" si="88"/>
        <v>1.7190000000000001</v>
      </c>
      <c r="AR92" s="322"/>
    </row>
    <row r="93" spans="2:48" x14ac:dyDescent="0.3">
      <c r="B93" s="189" t="s">
        <v>363</v>
      </c>
      <c r="D93" s="190"/>
      <c r="E93" s="191"/>
      <c r="F93" s="192"/>
      <c r="G93" s="191"/>
      <c r="H93" s="191"/>
      <c r="I93" s="191"/>
      <c r="J93" s="191"/>
      <c r="K93" s="191"/>
      <c r="L93" s="192">
        <v>1.3680000000000001</v>
      </c>
      <c r="M93" s="191"/>
      <c r="N93" s="191">
        <v>1.6719999999999999</v>
      </c>
      <c r="O93" s="191">
        <v>1.673</v>
      </c>
      <c r="P93" s="191">
        <v>1.7430000000000001</v>
      </c>
      <c r="Q93" s="191">
        <v>1.3720000000000001</v>
      </c>
      <c r="R93" s="190">
        <f t="shared" si="82"/>
        <v>1.3720000000000001</v>
      </c>
      <c r="S93" s="191"/>
      <c r="T93" s="193">
        <v>2.37</v>
      </c>
      <c r="U93" s="193">
        <v>2.3969999999999998</v>
      </c>
      <c r="V93" s="193">
        <v>6.8410000000000002</v>
      </c>
      <c r="W93" s="193">
        <v>6.4560000000000004</v>
      </c>
      <c r="X93" s="190">
        <f t="shared" si="83"/>
        <v>6.4560000000000004</v>
      </c>
      <c r="Y93" s="191"/>
      <c r="Z93" s="193">
        <v>21.920999999999999</v>
      </c>
      <c r="AA93" s="193">
        <v>20.698</v>
      </c>
      <c r="AB93" s="193">
        <f t="shared" si="89"/>
        <v>20.698</v>
      </c>
      <c r="AC93" s="193">
        <f>AB93</f>
        <v>20.698</v>
      </c>
      <c r="AD93" s="190">
        <f t="shared" si="84"/>
        <v>20.698</v>
      </c>
      <c r="AE93" s="191"/>
      <c r="AF93" s="191">
        <f>AD93</f>
        <v>20.698</v>
      </c>
      <c r="AG93" s="191">
        <f t="shared" si="90"/>
        <v>20.698</v>
      </c>
      <c r="AH93" s="191">
        <f t="shared" si="90"/>
        <v>20.698</v>
      </c>
      <c r="AI93" s="191">
        <f t="shared" si="90"/>
        <v>20.698</v>
      </c>
      <c r="AJ93" s="190">
        <f t="shared" si="86"/>
        <v>20.698</v>
      </c>
      <c r="AK93" s="191"/>
      <c r="AL93" s="191">
        <f>AJ93</f>
        <v>20.698</v>
      </c>
      <c r="AM93" s="191">
        <f t="shared" si="91"/>
        <v>20.698</v>
      </c>
      <c r="AN93" s="191">
        <f t="shared" si="91"/>
        <v>20.698</v>
      </c>
      <c r="AO93" s="191">
        <f t="shared" si="91"/>
        <v>20.698</v>
      </c>
      <c r="AP93" s="190">
        <f t="shared" si="88"/>
        <v>20.698</v>
      </c>
      <c r="AR93" s="322"/>
    </row>
    <row r="94" spans="2:48" ht="14.5" thickBot="1" x14ac:dyDescent="0.35">
      <c r="B94" s="281" t="s">
        <v>160</v>
      </c>
      <c r="C94" s="281"/>
      <c r="D94" s="282"/>
      <c r="E94" s="283"/>
      <c r="F94" s="331"/>
      <c r="G94" s="283"/>
      <c r="H94" s="283"/>
      <c r="I94" s="283"/>
      <c r="J94" s="283"/>
      <c r="K94" s="283"/>
      <c r="L94" s="332">
        <f t="shared" ref="L94:U94" si="92">L86+SUM(L88:L93)</f>
        <v>544.73299999999995</v>
      </c>
      <c r="M94" s="333">
        <f t="shared" si="92"/>
        <v>0</v>
      </c>
      <c r="N94" s="333">
        <f t="shared" si="92"/>
        <v>1820.9390000000001</v>
      </c>
      <c r="O94" s="333">
        <f t="shared" si="92"/>
        <v>1761.3329999999999</v>
      </c>
      <c r="P94" s="333">
        <f t="shared" si="92"/>
        <v>1770.3149999999998</v>
      </c>
      <c r="Q94" s="333">
        <f t="shared" si="92"/>
        <v>1763.6910000000003</v>
      </c>
      <c r="R94" s="332">
        <f t="shared" si="92"/>
        <v>1763.6910000000003</v>
      </c>
      <c r="S94" s="333"/>
      <c r="T94" s="333">
        <f t="shared" si="92"/>
        <v>1703.0489999999998</v>
      </c>
      <c r="U94" s="333">
        <f t="shared" si="92"/>
        <v>1842.1790000000001</v>
      </c>
      <c r="V94" s="284">
        <f>V86+SUM(V88:V93)</f>
        <v>1856.6929999999998</v>
      </c>
      <c r="W94" s="284">
        <f>W86+SUM(W88:W93)</f>
        <v>1886.5810000000001</v>
      </c>
      <c r="X94" s="282">
        <f t="shared" si="83"/>
        <v>1886.5810000000001</v>
      </c>
      <c r="Y94" s="283"/>
      <c r="Z94" s="333">
        <f t="shared" ref="Z94" si="93">Z86+SUM(Z88:Z93)</f>
        <v>1903.3310000000001</v>
      </c>
      <c r="AA94" s="333">
        <f>AA86+SUM(AA88:AA93)</f>
        <v>1911.1770000000001</v>
      </c>
      <c r="AB94" s="284">
        <f>AB86+SUM(AB88:AB93)</f>
        <v>1916.0517257791198</v>
      </c>
      <c r="AC94" s="284">
        <f>AC86+SUM(AC88:AC93)</f>
        <v>1925.8116232208522</v>
      </c>
      <c r="AD94" s="282">
        <f t="shared" si="84"/>
        <v>1925.8116232208522</v>
      </c>
      <c r="AE94" s="283"/>
      <c r="AF94" s="284">
        <f>AF86+SUM(AF88:AF93)</f>
        <v>1912.5490028433553</v>
      </c>
      <c r="AG94" s="284">
        <f>AG86+SUM(AG88:AG93)</f>
        <v>1919.571348823034</v>
      </c>
      <c r="AH94" s="284">
        <f>AH86+SUM(AH88:AH93)</f>
        <v>1936.4318866299216</v>
      </c>
      <c r="AI94" s="284">
        <f>AI86+SUM(AI88:AI93)</f>
        <v>1956.2405942491871</v>
      </c>
      <c r="AJ94" s="282">
        <f t="shared" si="86"/>
        <v>1956.2405942491871</v>
      </c>
      <c r="AK94" s="283"/>
      <c r="AL94" s="284">
        <f>AL86+SUM(AL88:AL93)</f>
        <v>1965.7274582643217</v>
      </c>
      <c r="AM94" s="284">
        <f>AM86+SUM(AM88:AM93)</f>
        <v>1996.9299546683749</v>
      </c>
      <c r="AN94" s="284">
        <f>AN86+SUM(AN88:AN93)</f>
        <v>2038.8627227908144</v>
      </c>
      <c r="AO94" s="284">
        <f>AO86+SUM(AO88:AO93)</f>
        <v>2084.1133551948169</v>
      </c>
      <c r="AP94" s="282">
        <f t="shared" si="88"/>
        <v>2084.1133551948169</v>
      </c>
    </row>
    <row r="95" spans="2:48" x14ac:dyDescent="0.3">
      <c r="B95" s="189"/>
      <c r="D95" s="192"/>
      <c r="E95" s="191"/>
      <c r="F95" s="192"/>
      <c r="G95" s="191"/>
      <c r="H95" s="191"/>
      <c r="I95" s="191"/>
      <c r="J95" s="191"/>
      <c r="K95" s="191"/>
      <c r="L95" s="192"/>
      <c r="M95" s="191"/>
      <c r="N95" s="191"/>
      <c r="O95" s="191"/>
      <c r="P95" s="191"/>
      <c r="Q95" s="191"/>
      <c r="R95" s="192"/>
      <c r="S95" s="191"/>
      <c r="T95" s="193"/>
      <c r="U95" s="193"/>
      <c r="V95" s="191"/>
      <c r="W95" s="191"/>
      <c r="X95" s="192"/>
      <c r="Y95" s="191"/>
      <c r="Z95" s="193"/>
      <c r="AA95" s="191"/>
      <c r="AB95" s="191"/>
      <c r="AC95" s="191"/>
      <c r="AD95" s="192"/>
      <c r="AE95" s="191"/>
      <c r="AF95" s="191"/>
      <c r="AG95" s="191"/>
      <c r="AH95" s="191"/>
      <c r="AI95" s="191"/>
      <c r="AJ95" s="192"/>
      <c r="AK95" s="191"/>
      <c r="AL95" s="191"/>
      <c r="AM95" s="191"/>
      <c r="AN95" s="191"/>
      <c r="AO95" s="191"/>
      <c r="AP95" s="192"/>
    </row>
    <row r="96" spans="2:48" x14ac:dyDescent="0.3">
      <c r="B96" s="189" t="s">
        <v>481</v>
      </c>
      <c r="D96" s="190"/>
      <c r="E96" s="191"/>
      <c r="F96" s="192"/>
      <c r="G96" s="191"/>
      <c r="H96" s="191"/>
      <c r="I96" s="191"/>
      <c r="J96" s="191"/>
      <c r="K96" s="191"/>
      <c r="L96" s="192">
        <v>16.757999999999999</v>
      </c>
      <c r="M96" s="191"/>
      <c r="N96" s="191">
        <v>20.395</v>
      </c>
      <c r="O96" s="191">
        <v>9.407</v>
      </c>
      <c r="P96" s="191">
        <v>15.545</v>
      </c>
      <c r="Q96" s="191">
        <v>18.939</v>
      </c>
      <c r="R96" s="190">
        <f t="shared" ref="R96:R105" si="94">Q96</f>
        <v>18.939</v>
      </c>
      <c r="S96" s="191"/>
      <c r="T96" s="193">
        <v>23.334</v>
      </c>
      <c r="U96" s="193">
        <v>22.244</v>
      </c>
      <c r="V96" s="193">
        <v>26.172999999999998</v>
      </c>
      <c r="W96" s="193">
        <v>30.053999999999998</v>
      </c>
      <c r="X96" s="190">
        <f t="shared" ref="X96:X105" si="95">W96</f>
        <v>30.053999999999998</v>
      </c>
      <c r="Y96" s="191"/>
      <c r="Z96" s="193">
        <v>20.709</v>
      </c>
      <c r="AA96" s="193">
        <v>24.75</v>
      </c>
      <c r="AB96" s="194">
        <f>AB195*AB8</f>
        <v>26.006649720183965</v>
      </c>
      <c r="AC96" s="194">
        <f>AC195*AC8</f>
        <v>27.902869617634366</v>
      </c>
      <c r="AD96" s="190">
        <f t="shared" ref="AD96:AD105" si="96">AC96</f>
        <v>27.902869617634366</v>
      </c>
      <c r="AE96" s="191"/>
      <c r="AF96" s="194">
        <f>AF195*AF8</f>
        <v>24.530554199473116</v>
      </c>
      <c r="AG96" s="194">
        <f>AG195*AG8</f>
        <v>26.234999999999999</v>
      </c>
      <c r="AH96" s="194">
        <f>AH195*AH8</f>
        <v>27.827115200596847</v>
      </c>
      <c r="AI96" s="194">
        <f>AI195*AI8</f>
        <v>29.856070490868774</v>
      </c>
      <c r="AJ96" s="190">
        <f t="shared" ref="AJ96:AJ97" si="97">AI96</f>
        <v>29.856070490868774</v>
      </c>
      <c r="AK96" s="191"/>
      <c r="AL96" s="194">
        <f>AL195*AL8</f>
        <v>26.492998535430964</v>
      </c>
      <c r="AM96" s="194">
        <f>AM195*AM8</f>
        <v>28.333800000000004</v>
      </c>
      <c r="AN96" s="194">
        <f>AN195*AN8</f>
        <v>30.053284416644598</v>
      </c>
      <c r="AO96" s="194">
        <f>AO195*AO8</f>
        <v>32.244556130138278</v>
      </c>
      <c r="AP96" s="190">
        <f t="shared" ref="AP96:AP97" si="98">AO96</f>
        <v>32.244556130138278</v>
      </c>
      <c r="AR96" s="322"/>
    </row>
    <row r="97" spans="2:44" x14ac:dyDescent="0.3">
      <c r="B97" s="189" t="s">
        <v>480</v>
      </c>
      <c r="D97" s="190"/>
      <c r="E97" s="191"/>
      <c r="F97" s="192"/>
      <c r="G97" s="191"/>
      <c r="H97" s="191"/>
      <c r="I97" s="191"/>
      <c r="J97" s="191"/>
      <c r="K97" s="191"/>
      <c r="L97" s="192">
        <v>36.341999999999999</v>
      </c>
      <c r="M97" s="191"/>
      <c r="N97" s="191">
        <v>32.826000000000001</v>
      </c>
      <c r="O97" s="191">
        <v>31.062000000000001</v>
      </c>
      <c r="P97" s="191">
        <v>39.197000000000003</v>
      </c>
      <c r="Q97" s="191">
        <v>44.116999999999997</v>
      </c>
      <c r="R97" s="190">
        <f t="shared" si="94"/>
        <v>44.116999999999997</v>
      </c>
      <c r="S97" s="191"/>
      <c r="T97" s="193">
        <v>36.008000000000003</v>
      </c>
      <c r="U97" s="193">
        <v>47.314</v>
      </c>
      <c r="V97" s="193">
        <v>46.078000000000003</v>
      </c>
      <c r="W97" s="193">
        <v>53.976999999999997</v>
      </c>
      <c r="X97" s="190">
        <f t="shared" si="95"/>
        <v>53.976999999999997</v>
      </c>
      <c r="Y97" s="191"/>
      <c r="Z97" s="193">
        <v>51.45</v>
      </c>
      <c r="AA97" s="193">
        <v>49.533999999999999</v>
      </c>
      <c r="AB97" s="194">
        <f>AB193*AB$16/90</f>
        <v>49.915798774223738</v>
      </c>
      <c r="AC97" s="194">
        <f>AC193*AC$16/90</f>
        <v>54.065265615214493</v>
      </c>
      <c r="AD97" s="190">
        <f t="shared" si="96"/>
        <v>54.065265615214493</v>
      </c>
      <c r="AE97" s="191"/>
      <c r="AF97" s="194">
        <f>AF193*AF$16/90</f>
        <v>47.382745672446184</v>
      </c>
      <c r="AG97" s="194">
        <f>AG193*AG$16/90</f>
        <v>49.639727776595585</v>
      </c>
      <c r="AH97" s="194">
        <f>AH193*AH$16/90</f>
        <v>51.646243460069599</v>
      </c>
      <c r="AI97" s="194">
        <f>AI193*AI$16/90</f>
        <v>57.276408235668185</v>
      </c>
      <c r="AJ97" s="190">
        <f t="shared" si="97"/>
        <v>57.276408235668185</v>
      </c>
      <c r="AK97" s="191"/>
      <c r="AL97" s="194">
        <f>AL193*AL$16/90</f>
        <v>51.173365326241885</v>
      </c>
      <c r="AM97" s="194">
        <f>AM193*AM$16/90</f>
        <v>53.610905998723226</v>
      </c>
      <c r="AN97" s="194">
        <f>AN193*AN$16/90</f>
        <v>55.777942936875178</v>
      </c>
      <c r="AO97" s="194">
        <f>AO193*AO$16/90</f>
        <v>61.858520894521646</v>
      </c>
      <c r="AP97" s="190">
        <f t="shared" si="98"/>
        <v>61.858520894521646</v>
      </c>
      <c r="AR97" s="322"/>
    </row>
    <row r="98" spans="2:44" hidden="1" outlineLevel="1" x14ac:dyDescent="0.3">
      <c r="B98" s="334" t="s">
        <v>827</v>
      </c>
      <c r="C98" s="335"/>
      <c r="D98" s="336"/>
      <c r="E98" s="191"/>
      <c r="F98" s="192"/>
      <c r="G98" s="191"/>
      <c r="H98" s="191"/>
      <c r="I98" s="191"/>
      <c r="J98" s="191"/>
      <c r="K98" s="191"/>
      <c r="L98" s="192">
        <v>9.99</v>
      </c>
      <c r="M98" s="191"/>
      <c r="N98" s="191">
        <v>10.968999999999999</v>
      </c>
      <c r="O98" s="191">
        <v>13.766999999999999</v>
      </c>
      <c r="P98" s="191">
        <v>13.202</v>
      </c>
      <c r="Q98" s="191">
        <v>15.28</v>
      </c>
      <c r="R98" s="336">
        <f t="shared" si="94"/>
        <v>15.28</v>
      </c>
      <c r="S98" s="191"/>
      <c r="T98" s="193"/>
      <c r="U98" s="193"/>
      <c r="V98" s="191"/>
      <c r="W98" s="191"/>
      <c r="X98" s="336">
        <f t="shared" si="95"/>
        <v>0</v>
      </c>
      <c r="Y98" s="191"/>
      <c r="Z98" s="193"/>
      <c r="AA98" s="191"/>
      <c r="AB98" s="191"/>
      <c r="AC98" s="191"/>
      <c r="AD98" s="336"/>
      <c r="AE98" s="191"/>
      <c r="AF98" s="191"/>
      <c r="AG98" s="191"/>
      <c r="AH98" s="191"/>
      <c r="AI98" s="191"/>
      <c r="AJ98" s="273"/>
      <c r="AK98" s="191"/>
      <c r="AL98" s="191"/>
      <c r="AM98" s="191"/>
      <c r="AN98" s="191"/>
      <c r="AO98" s="191"/>
      <c r="AP98" s="273"/>
    </row>
    <row r="99" spans="2:44" hidden="1" outlineLevel="1" x14ac:dyDescent="0.3">
      <c r="B99" s="334" t="s">
        <v>1783</v>
      </c>
      <c r="C99" s="335"/>
      <c r="D99" s="336"/>
      <c r="E99" s="191"/>
      <c r="F99" s="192"/>
      <c r="G99" s="191"/>
      <c r="H99" s="191"/>
      <c r="I99" s="191"/>
      <c r="J99" s="191"/>
      <c r="K99" s="191"/>
      <c r="L99" s="192">
        <v>9.9600000000000009</v>
      </c>
      <c r="M99" s="191"/>
      <c r="N99" s="191">
        <v>7.6310000000000002</v>
      </c>
      <c r="O99" s="191">
        <v>8.1259999999999994</v>
      </c>
      <c r="P99" s="191">
        <v>7.7990000000000004</v>
      </c>
      <c r="Q99" s="191">
        <v>8.1489999999999991</v>
      </c>
      <c r="R99" s="336">
        <f t="shared" si="94"/>
        <v>8.1489999999999991</v>
      </c>
      <c r="S99" s="191"/>
      <c r="T99" s="193"/>
      <c r="U99" s="193"/>
      <c r="V99" s="191"/>
      <c r="W99" s="191"/>
      <c r="X99" s="336">
        <f t="shared" si="95"/>
        <v>0</v>
      </c>
      <c r="Y99" s="191"/>
      <c r="Z99" s="193"/>
      <c r="AA99" s="191"/>
      <c r="AB99" s="191"/>
      <c r="AC99" s="191"/>
      <c r="AD99" s="336"/>
      <c r="AE99" s="191"/>
      <c r="AF99" s="191"/>
      <c r="AG99" s="191"/>
      <c r="AH99" s="191"/>
      <c r="AI99" s="191"/>
      <c r="AJ99" s="273"/>
      <c r="AK99" s="191"/>
      <c r="AL99" s="191"/>
      <c r="AM99" s="191"/>
      <c r="AN99" s="191"/>
      <c r="AO99" s="191"/>
      <c r="AP99" s="273"/>
    </row>
    <row r="100" spans="2:44" hidden="1" outlineLevel="1" x14ac:dyDescent="0.3">
      <c r="B100" s="334" t="s">
        <v>1784</v>
      </c>
      <c r="C100" s="335"/>
      <c r="D100" s="336"/>
      <c r="E100" s="191"/>
      <c r="F100" s="192"/>
      <c r="G100" s="191"/>
      <c r="H100" s="191"/>
      <c r="I100" s="191"/>
      <c r="J100" s="191"/>
      <c r="K100" s="191"/>
      <c r="L100" s="192">
        <v>0.125</v>
      </c>
      <c r="M100" s="191"/>
      <c r="N100" s="191">
        <v>0.185</v>
      </c>
      <c r="O100" s="191">
        <v>0.124</v>
      </c>
      <c r="P100" s="191">
        <v>0.10199999999999999</v>
      </c>
      <c r="Q100" s="191">
        <v>9.8000000000000004E-2</v>
      </c>
      <c r="R100" s="336">
        <f t="shared" si="94"/>
        <v>9.8000000000000004E-2</v>
      </c>
      <c r="S100" s="191"/>
      <c r="T100" s="193"/>
      <c r="U100" s="193"/>
      <c r="V100" s="191"/>
      <c r="W100" s="191"/>
      <c r="X100" s="336">
        <f t="shared" si="95"/>
        <v>0</v>
      </c>
      <c r="Y100" s="191"/>
      <c r="Z100" s="193"/>
      <c r="AA100" s="191"/>
      <c r="AB100" s="191"/>
      <c r="AC100" s="191"/>
      <c r="AD100" s="336"/>
      <c r="AE100" s="191"/>
      <c r="AF100" s="191"/>
      <c r="AG100" s="191"/>
      <c r="AH100" s="191"/>
      <c r="AI100" s="191"/>
      <c r="AJ100" s="273"/>
      <c r="AK100" s="191"/>
      <c r="AL100" s="191"/>
      <c r="AM100" s="191"/>
      <c r="AN100" s="191"/>
      <c r="AO100" s="191"/>
      <c r="AP100" s="273"/>
    </row>
    <row r="101" spans="2:44" hidden="1" outlineLevel="1" x14ac:dyDescent="0.3">
      <c r="B101" s="334" t="s">
        <v>1785</v>
      </c>
      <c r="C101" s="335"/>
      <c r="D101" s="336"/>
      <c r="E101" s="191"/>
      <c r="F101" s="192"/>
      <c r="G101" s="191"/>
      <c r="H101" s="191"/>
      <c r="I101" s="191"/>
      <c r="J101" s="191"/>
      <c r="K101" s="191"/>
      <c r="L101" s="192">
        <v>2.69</v>
      </c>
      <c r="M101" s="191"/>
      <c r="N101" s="191">
        <v>2.4380000000000002</v>
      </c>
      <c r="O101" s="191">
        <v>2.1629999999999998</v>
      </c>
      <c r="P101" s="191">
        <v>1.835</v>
      </c>
      <c r="Q101" s="191">
        <v>1.6739999999999999</v>
      </c>
      <c r="R101" s="336">
        <f t="shared" si="94"/>
        <v>1.6739999999999999</v>
      </c>
      <c r="S101" s="191"/>
      <c r="T101" s="193"/>
      <c r="U101" s="193"/>
      <c r="V101" s="191"/>
      <c r="W101" s="191"/>
      <c r="X101" s="336">
        <f t="shared" si="95"/>
        <v>0</v>
      </c>
      <c r="Y101" s="191"/>
      <c r="Z101" s="193"/>
      <c r="AA101" s="191"/>
      <c r="AB101" s="191"/>
      <c r="AC101" s="191"/>
      <c r="AD101" s="336"/>
      <c r="AE101" s="191"/>
      <c r="AF101" s="191"/>
      <c r="AG101" s="191"/>
      <c r="AH101" s="191"/>
      <c r="AI101" s="191"/>
      <c r="AJ101" s="273"/>
      <c r="AK101" s="191"/>
      <c r="AL101" s="191"/>
      <c r="AM101" s="191"/>
      <c r="AN101" s="191"/>
      <c r="AO101" s="191"/>
      <c r="AP101" s="273"/>
    </row>
    <row r="102" spans="2:44" collapsed="1" x14ac:dyDescent="0.3">
      <c r="B102" s="189" t="s">
        <v>482</v>
      </c>
      <c r="D102" s="190"/>
      <c r="E102" s="191"/>
      <c r="F102" s="192"/>
      <c r="G102" s="191"/>
      <c r="H102" s="191"/>
      <c r="I102" s="191"/>
      <c r="J102" s="191"/>
      <c r="K102" s="191"/>
      <c r="L102" s="192">
        <v>22.763999999999999</v>
      </c>
      <c r="M102" s="191"/>
      <c r="N102" s="191">
        <v>21.222999999999999</v>
      </c>
      <c r="O102" s="191">
        <v>24.18</v>
      </c>
      <c r="P102" s="191">
        <v>22.938000000000002</v>
      </c>
      <c r="Q102" s="191">
        <v>25.199999999999996</v>
      </c>
      <c r="R102" s="190">
        <f>SUM(R98:R101)</f>
        <v>25.200999999999997</v>
      </c>
      <c r="S102" s="191"/>
      <c r="T102" s="193">
        <v>25.893000000000001</v>
      </c>
      <c r="U102" s="193">
        <v>27.346</v>
      </c>
      <c r="V102" s="193">
        <v>23.966000000000001</v>
      </c>
      <c r="W102" s="193">
        <v>21.829000000000001</v>
      </c>
      <c r="X102" s="190">
        <f>W102</f>
        <v>21.829000000000001</v>
      </c>
      <c r="Y102" s="191"/>
      <c r="Z102" s="193">
        <v>17.984999999999999</v>
      </c>
      <c r="AA102" s="193">
        <v>17.779</v>
      </c>
      <c r="AB102" s="194">
        <f>AB196*AB8</f>
        <v>18.681706075763664</v>
      </c>
      <c r="AC102" s="194">
        <f>AC196*AC8</f>
        <v>20.043843189168538</v>
      </c>
      <c r="AD102" s="190">
        <f>AC102</f>
        <v>20.043843189168538</v>
      </c>
      <c r="AE102" s="191"/>
      <c r="AF102" s="194">
        <f>AF196*AF8</f>
        <v>17.621362549997272</v>
      </c>
      <c r="AG102" s="194">
        <f>AG196*AG8</f>
        <v>18.845739999999999</v>
      </c>
      <c r="AH102" s="194">
        <f>AH196*AH8</f>
        <v>19.989425501067121</v>
      </c>
      <c r="AI102" s="194">
        <f>AI196*AI8</f>
        <v>21.446912212410339</v>
      </c>
      <c r="AJ102" s="190">
        <f>AI102</f>
        <v>21.446912212410339</v>
      </c>
      <c r="AK102" s="191"/>
      <c r="AL102" s="194">
        <f>AL196*AL8</f>
        <v>19.031071553997055</v>
      </c>
      <c r="AM102" s="194">
        <f>AM196*AM8</f>
        <v>20.353399200000002</v>
      </c>
      <c r="AN102" s="194">
        <f>AN196*AN8</f>
        <v>21.588579541152495</v>
      </c>
      <c r="AO102" s="194">
        <f>AO196*AO8</f>
        <v>23.162665189403171</v>
      </c>
      <c r="AP102" s="190">
        <f>AO102</f>
        <v>23.162665189403171</v>
      </c>
      <c r="AR102" s="322"/>
    </row>
    <row r="103" spans="2:44" x14ac:dyDescent="0.3">
      <c r="B103" s="189" t="s">
        <v>1786</v>
      </c>
      <c r="D103" s="190"/>
      <c r="E103" s="191"/>
      <c r="F103" s="192"/>
      <c r="G103" s="191"/>
      <c r="H103" s="191"/>
      <c r="I103" s="191"/>
      <c r="J103" s="191"/>
      <c r="K103" s="191"/>
      <c r="L103" s="192">
        <v>0.69099999999999995</v>
      </c>
      <c r="M103" s="191"/>
      <c r="N103" s="191">
        <v>0.998</v>
      </c>
      <c r="O103" s="191">
        <v>0.68600000000000005</v>
      </c>
      <c r="P103" s="191">
        <v>0.622</v>
      </c>
      <c r="Q103" s="191">
        <v>0.43099999999999999</v>
      </c>
      <c r="R103" s="190">
        <f t="shared" si="94"/>
        <v>0.43099999999999999</v>
      </c>
      <c r="S103" s="191"/>
      <c r="T103" s="193">
        <v>0.46200000000000002</v>
      </c>
      <c r="U103" s="193">
        <v>0.54</v>
      </c>
      <c r="V103" s="193">
        <v>0.504</v>
      </c>
      <c r="W103" s="193">
        <v>0.873</v>
      </c>
      <c r="X103" s="190">
        <f t="shared" ref="X103" si="99">W103</f>
        <v>0.873</v>
      </c>
      <c r="Y103" s="191"/>
      <c r="Z103" s="193">
        <v>0.72499999999999998</v>
      </c>
      <c r="AA103" s="193">
        <v>0.69699999999999995</v>
      </c>
      <c r="AB103" s="191">
        <f t="shared" ref="AB103:AD105" si="100">AA103</f>
        <v>0.69699999999999995</v>
      </c>
      <c r="AC103" s="191">
        <f t="shared" si="100"/>
        <v>0.69699999999999995</v>
      </c>
      <c r="AD103" s="190">
        <f t="shared" si="100"/>
        <v>0.69699999999999995</v>
      </c>
      <c r="AE103" s="191"/>
      <c r="AF103" s="191">
        <f>AD103</f>
        <v>0.69699999999999995</v>
      </c>
      <c r="AG103" s="191">
        <f>AF103</f>
        <v>0.69699999999999995</v>
      </c>
      <c r="AH103" s="191">
        <f t="shared" ref="AH103:AJ105" si="101">AG103</f>
        <v>0.69699999999999995</v>
      </c>
      <c r="AI103" s="191">
        <f t="shared" si="101"/>
        <v>0.69699999999999995</v>
      </c>
      <c r="AJ103" s="190">
        <f t="shared" si="101"/>
        <v>0.69699999999999995</v>
      </c>
      <c r="AK103" s="191"/>
      <c r="AL103" s="191">
        <f>AJ103</f>
        <v>0.69699999999999995</v>
      </c>
      <c r="AM103" s="191">
        <f>AL103</f>
        <v>0.69699999999999995</v>
      </c>
      <c r="AN103" s="191">
        <f t="shared" ref="AN103:AP105" si="102">AM103</f>
        <v>0.69699999999999995</v>
      </c>
      <c r="AO103" s="191">
        <f t="shared" si="102"/>
        <v>0.69699999999999995</v>
      </c>
      <c r="AP103" s="190">
        <f t="shared" si="102"/>
        <v>0.69699999999999995</v>
      </c>
      <c r="AR103" s="322"/>
    </row>
    <row r="104" spans="2:44" x14ac:dyDescent="0.3">
      <c r="B104" s="189" t="s">
        <v>1787</v>
      </c>
      <c r="D104" s="190"/>
      <c r="E104" s="191"/>
      <c r="F104" s="192"/>
      <c r="G104" s="191"/>
      <c r="H104" s="191"/>
      <c r="I104" s="191"/>
      <c r="J104" s="191"/>
      <c r="K104" s="191"/>
      <c r="L104" s="192">
        <v>1.8779999999999999</v>
      </c>
      <c r="M104" s="191"/>
      <c r="N104" s="191">
        <v>1.28</v>
      </c>
      <c r="O104" s="191">
        <v>1.9179999999999999</v>
      </c>
      <c r="P104" s="191">
        <v>2.5609999999999999</v>
      </c>
      <c r="Q104" s="191">
        <v>2.4510000000000001</v>
      </c>
      <c r="R104" s="190">
        <f t="shared" si="94"/>
        <v>2.4510000000000001</v>
      </c>
      <c r="S104" s="191"/>
      <c r="T104" s="193">
        <v>2.742</v>
      </c>
      <c r="U104" s="193">
        <v>1.9219999999999999</v>
      </c>
      <c r="V104" s="193">
        <v>2.5779999999999998</v>
      </c>
      <c r="W104" s="193">
        <v>2.573</v>
      </c>
      <c r="X104" s="190">
        <f t="shared" si="95"/>
        <v>2.573</v>
      </c>
      <c r="Y104" s="191"/>
      <c r="Z104" s="193">
        <f>6.253+3.3</f>
        <v>9.5530000000000008</v>
      </c>
      <c r="AA104" s="193">
        <f>6.07+2.608</f>
        <v>8.6780000000000008</v>
      </c>
      <c r="AB104" s="191">
        <f t="shared" si="100"/>
        <v>8.6780000000000008</v>
      </c>
      <c r="AC104" s="191">
        <f t="shared" si="100"/>
        <v>8.6780000000000008</v>
      </c>
      <c r="AD104" s="190">
        <f t="shared" si="96"/>
        <v>8.6780000000000008</v>
      </c>
      <c r="AE104" s="191"/>
      <c r="AF104" s="191">
        <f>AD104</f>
        <v>8.6780000000000008</v>
      </c>
      <c r="AG104" s="191">
        <f>AF104</f>
        <v>8.6780000000000008</v>
      </c>
      <c r="AH104" s="191">
        <f t="shared" si="101"/>
        <v>8.6780000000000008</v>
      </c>
      <c r="AI104" s="191">
        <f t="shared" si="101"/>
        <v>8.6780000000000008</v>
      </c>
      <c r="AJ104" s="190">
        <f t="shared" si="101"/>
        <v>8.6780000000000008</v>
      </c>
      <c r="AK104" s="191"/>
      <c r="AL104" s="191">
        <f>AJ104</f>
        <v>8.6780000000000008</v>
      </c>
      <c r="AM104" s="191">
        <f>AL104</f>
        <v>8.6780000000000008</v>
      </c>
      <c r="AN104" s="191">
        <f t="shared" si="102"/>
        <v>8.6780000000000008</v>
      </c>
      <c r="AO104" s="191">
        <f t="shared" si="102"/>
        <v>8.6780000000000008</v>
      </c>
      <c r="AP104" s="190">
        <f t="shared" si="102"/>
        <v>8.6780000000000008</v>
      </c>
    </row>
    <row r="105" spans="2:44" x14ac:dyDescent="0.3">
      <c r="B105" s="189" t="s">
        <v>1788</v>
      </c>
      <c r="D105" s="190"/>
      <c r="E105" s="191"/>
      <c r="F105" s="192"/>
      <c r="G105" s="191"/>
      <c r="H105" s="191"/>
      <c r="I105" s="191"/>
      <c r="J105" s="191"/>
      <c r="K105" s="191"/>
      <c r="L105" s="192">
        <v>0</v>
      </c>
      <c r="M105" s="191"/>
      <c r="N105" s="191">
        <v>6.7</v>
      </c>
      <c r="O105" s="191">
        <v>6.7</v>
      </c>
      <c r="P105" s="191">
        <v>6.7</v>
      </c>
      <c r="Q105" s="191">
        <v>6.7</v>
      </c>
      <c r="R105" s="190">
        <f t="shared" si="94"/>
        <v>6.7</v>
      </c>
      <c r="S105" s="191"/>
      <c r="T105" s="193">
        <v>7.7050000000000001</v>
      </c>
      <c r="U105" s="193">
        <v>0</v>
      </c>
      <c r="V105" s="264">
        <f>U105</f>
        <v>0</v>
      </c>
      <c r="W105" s="264">
        <v>0</v>
      </c>
      <c r="X105" s="190">
        <f t="shared" si="95"/>
        <v>0</v>
      </c>
      <c r="Y105" s="191"/>
      <c r="Z105" s="193">
        <v>0</v>
      </c>
      <c r="AA105" s="193">
        <f>Z105</f>
        <v>0</v>
      </c>
      <c r="AB105" s="264">
        <f t="shared" si="100"/>
        <v>0</v>
      </c>
      <c r="AC105" s="264">
        <f t="shared" si="100"/>
        <v>0</v>
      </c>
      <c r="AD105" s="190">
        <f t="shared" si="96"/>
        <v>0</v>
      </c>
      <c r="AE105" s="191"/>
      <c r="AF105" s="264">
        <f>AD105</f>
        <v>0</v>
      </c>
      <c r="AG105" s="264">
        <f>AF105</f>
        <v>0</v>
      </c>
      <c r="AH105" s="264">
        <f t="shared" si="101"/>
        <v>0</v>
      </c>
      <c r="AI105" s="264">
        <f t="shared" si="101"/>
        <v>0</v>
      </c>
      <c r="AJ105" s="190">
        <f t="shared" si="101"/>
        <v>0</v>
      </c>
      <c r="AK105" s="191"/>
      <c r="AL105" s="264">
        <f>AJ105</f>
        <v>0</v>
      </c>
      <c r="AM105" s="264">
        <f>AL105</f>
        <v>0</v>
      </c>
      <c r="AN105" s="264">
        <f t="shared" si="102"/>
        <v>0</v>
      </c>
      <c r="AO105" s="264">
        <f t="shared" si="102"/>
        <v>0</v>
      </c>
      <c r="AP105" s="190">
        <f t="shared" si="102"/>
        <v>0</v>
      </c>
      <c r="AR105" s="322"/>
    </row>
    <row r="106" spans="2:44" x14ac:dyDescent="0.3">
      <c r="B106" s="323" t="s">
        <v>505</v>
      </c>
      <c r="C106" s="324"/>
      <c r="D106" s="325"/>
      <c r="E106" s="326"/>
      <c r="F106" s="327"/>
      <c r="G106" s="326"/>
      <c r="H106" s="326"/>
      <c r="I106" s="326"/>
      <c r="J106" s="326"/>
      <c r="K106" s="326"/>
      <c r="L106" s="337">
        <f t="shared" ref="L106:R106" si="103">SUM(L102:L105,L96:L97)</f>
        <v>78.432999999999993</v>
      </c>
      <c r="M106" s="338">
        <f t="shared" si="103"/>
        <v>0</v>
      </c>
      <c r="N106" s="338">
        <f t="shared" si="103"/>
        <v>83.421999999999997</v>
      </c>
      <c r="O106" s="338">
        <f t="shared" si="103"/>
        <v>73.953000000000003</v>
      </c>
      <c r="P106" s="338">
        <f t="shared" si="103"/>
        <v>87.563000000000017</v>
      </c>
      <c r="Q106" s="338">
        <f t="shared" si="103"/>
        <v>97.837999999999994</v>
      </c>
      <c r="R106" s="337">
        <f t="shared" si="103"/>
        <v>97.838999999999999</v>
      </c>
      <c r="S106" s="338"/>
      <c r="T106" s="338">
        <f>SUM(T102:T105,T96:T97)</f>
        <v>96.144000000000005</v>
      </c>
      <c r="U106" s="338">
        <f>SUM(U102:U105,U96:U97)</f>
        <v>99.366</v>
      </c>
      <c r="V106" s="328">
        <f>SUM(V102:V105,V96:V97)</f>
        <v>99.299000000000007</v>
      </c>
      <c r="W106" s="328">
        <f>SUM(W102:W105,W96:W97)</f>
        <v>109.306</v>
      </c>
      <c r="X106" s="325">
        <f>SUM(X102:X105,X96:X97)</f>
        <v>109.306</v>
      </c>
      <c r="Y106" s="326"/>
      <c r="Z106" s="338">
        <f>SUM(Z102:Z105,Z96:Z97)</f>
        <v>100.422</v>
      </c>
      <c r="AA106" s="338">
        <f>SUM(AA102:AA105,AA96:AA97)</f>
        <v>101.43799999999999</v>
      </c>
      <c r="AB106" s="328">
        <f>SUM(AB102:AB105,AB96:AB97)</f>
        <v>103.97915457017137</v>
      </c>
      <c r="AC106" s="328">
        <f>SUM(AC102:AC105,AC96:AC97)</f>
        <v>111.38697842201739</v>
      </c>
      <c r="AD106" s="325">
        <f>SUM(AD102:AD105,AD96:AD97)</f>
        <v>111.38697842201739</v>
      </c>
      <c r="AE106" s="326"/>
      <c r="AF106" s="328">
        <f>SUM(AF102:AF105,AF96:AF97)</f>
        <v>98.909662421916579</v>
      </c>
      <c r="AG106" s="328">
        <f>SUM(AG102:AG105,AG96:AG97)</f>
        <v>104.09546777659558</v>
      </c>
      <c r="AH106" s="328">
        <f>SUM(AH102:AH105,AH96:AH97)</f>
        <v>108.83778416173357</v>
      </c>
      <c r="AI106" s="328">
        <f>SUM(AI102:AI105,AI96:AI97)</f>
        <v>117.9543909389473</v>
      </c>
      <c r="AJ106" s="325">
        <f>SUM(AJ102:AJ105,AJ96:AJ97)</f>
        <v>117.9543909389473</v>
      </c>
      <c r="AK106" s="326"/>
      <c r="AL106" s="328">
        <f>SUM(AL102:AL105,AL96:AL97)</f>
        <v>106.0724354156699</v>
      </c>
      <c r="AM106" s="328">
        <f>SUM(AM102:AM105,AM96:AM97)</f>
        <v>111.67310519872323</v>
      </c>
      <c r="AN106" s="328">
        <f>SUM(AN102:AN105,AN96:AN97)</f>
        <v>116.79480689467226</v>
      </c>
      <c r="AO106" s="328">
        <f>SUM(AO102:AO105,AO96:AO97)</f>
        <v>126.6407422140631</v>
      </c>
      <c r="AP106" s="325">
        <f>SUM(AP102:AP105,AP96:AP97)</f>
        <v>126.6407422140631</v>
      </c>
    </row>
    <row r="107" spans="2:44" ht="5.15" customHeight="1" x14ac:dyDescent="0.3">
      <c r="B107" s="189"/>
      <c r="D107" s="192"/>
      <c r="E107" s="191"/>
      <c r="F107" s="192"/>
      <c r="G107" s="191"/>
      <c r="H107" s="191"/>
      <c r="I107" s="191"/>
      <c r="J107" s="191"/>
      <c r="K107" s="191"/>
      <c r="L107" s="192"/>
      <c r="M107" s="191"/>
      <c r="N107" s="191"/>
      <c r="O107" s="191"/>
      <c r="P107" s="191"/>
      <c r="Q107" s="191"/>
      <c r="R107" s="192"/>
      <c r="S107" s="191"/>
      <c r="T107" s="193"/>
      <c r="U107" s="193"/>
      <c r="V107" s="191"/>
      <c r="W107" s="191"/>
      <c r="X107" s="192"/>
      <c r="Y107" s="191"/>
      <c r="Z107" s="193"/>
      <c r="AA107" s="191"/>
      <c r="AB107" s="191"/>
      <c r="AC107" s="191"/>
      <c r="AD107" s="192"/>
      <c r="AE107" s="191"/>
      <c r="AF107" s="191"/>
      <c r="AG107" s="191"/>
      <c r="AH107" s="191"/>
      <c r="AI107" s="191"/>
      <c r="AJ107" s="192"/>
      <c r="AK107" s="191"/>
      <c r="AL107" s="191"/>
      <c r="AM107" s="191"/>
      <c r="AN107" s="191"/>
      <c r="AO107" s="191"/>
      <c r="AP107" s="192"/>
    </row>
    <row r="108" spans="2:44" hidden="1" outlineLevel="1" x14ac:dyDescent="0.3">
      <c r="B108" s="339" t="s">
        <v>201</v>
      </c>
      <c r="C108" s="340"/>
      <c r="D108" s="341"/>
      <c r="E108" s="191"/>
      <c r="F108" s="192"/>
      <c r="G108" s="191"/>
      <c r="H108" s="191"/>
      <c r="I108" s="191"/>
      <c r="J108" s="191"/>
      <c r="K108" s="191"/>
      <c r="L108" s="192">
        <v>551.94000000000005</v>
      </c>
      <c r="M108" s="191"/>
      <c r="N108" s="191">
        <v>834.97500000000002</v>
      </c>
      <c r="O108" s="191">
        <v>808.3</v>
      </c>
      <c r="P108" s="191">
        <v>806.625</v>
      </c>
      <c r="Q108" s="191">
        <v>804.95</v>
      </c>
      <c r="R108" s="341">
        <f>Q108</f>
        <v>804.95</v>
      </c>
      <c r="S108" s="191"/>
      <c r="T108" s="193">
        <v>757.01900000000001</v>
      </c>
      <c r="U108" s="193">
        <v>757.01900000000001</v>
      </c>
      <c r="V108" s="342">
        <f>V110-V109</f>
        <v>568.32470093194365</v>
      </c>
      <c r="W108" s="342">
        <f>W110-W109</f>
        <v>564.72400000000005</v>
      </c>
      <c r="X108" s="341">
        <f>W108</f>
        <v>564.72400000000005</v>
      </c>
      <c r="Y108" s="191"/>
      <c r="Z108" s="193"/>
      <c r="AA108" s="342"/>
      <c r="AB108" s="342"/>
      <c r="AC108" s="342"/>
      <c r="AD108" s="341">
        <f>AC108</f>
        <v>0</v>
      </c>
      <c r="AE108" s="191"/>
      <c r="AF108" s="342"/>
      <c r="AG108" s="342"/>
      <c r="AH108" s="342"/>
      <c r="AI108" s="342"/>
      <c r="AJ108" s="341"/>
      <c r="AK108" s="191"/>
      <c r="AL108" s="342"/>
      <c r="AM108" s="342"/>
      <c r="AN108" s="342"/>
      <c r="AO108" s="342"/>
      <c r="AP108" s="341"/>
    </row>
    <row r="109" spans="2:44" hidden="1" outlineLevel="1" x14ac:dyDescent="0.3">
      <c r="B109" s="339" t="s">
        <v>1789</v>
      </c>
      <c r="C109" s="340"/>
      <c r="D109" s="341"/>
      <c r="E109" s="191"/>
      <c r="F109" s="192"/>
      <c r="G109" s="191"/>
      <c r="H109" s="191"/>
      <c r="I109" s="191"/>
      <c r="J109" s="191"/>
      <c r="K109" s="191"/>
      <c r="L109" s="192">
        <v>-11.101000000000001</v>
      </c>
      <c r="M109" s="191"/>
      <c r="N109" s="191">
        <v>-29.009</v>
      </c>
      <c r="O109" s="191">
        <v>-28.131</v>
      </c>
      <c r="P109" s="191">
        <v>-27.242999999999999</v>
      </c>
      <c r="Q109" s="191">
        <v>-26.344999999999999</v>
      </c>
      <c r="R109" s="341">
        <f>Q109</f>
        <v>-26.344999999999999</v>
      </c>
      <c r="S109" s="191"/>
      <c r="T109" s="193">
        <v>-15.111000000000001</v>
      </c>
      <c r="U109" s="193">
        <v>-15.111000000000001</v>
      </c>
      <c r="V109" s="191">
        <v>-13.919700931943627</v>
      </c>
      <c r="W109" s="191">
        <v>-9.8789999999999996</v>
      </c>
      <c r="X109" s="341">
        <f>W109</f>
        <v>-9.8789999999999996</v>
      </c>
      <c r="Y109" s="191"/>
      <c r="Z109" s="193"/>
      <c r="AA109" s="191"/>
      <c r="AB109" s="191"/>
      <c r="AC109" s="191"/>
      <c r="AD109" s="341"/>
      <c r="AE109" s="191"/>
      <c r="AF109" s="191"/>
      <c r="AG109" s="191"/>
      <c r="AH109" s="191"/>
      <c r="AI109" s="191"/>
      <c r="AJ109" s="273"/>
      <c r="AK109" s="191"/>
      <c r="AL109" s="191"/>
      <c r="AM109" s="191"/>
      <c r="AN109" s="191"/>
      <c r="AO109" s="191"/>
      <c r="AP109" s="273"/>
    </row>
    <row r="110" spans="2:44" collapsed="1" x14ac:dyDescent="0.3">
      <c r="B110" s="189" t="s">
        <v>1790</v>
      </c>
      <c r="D110" s="190"/>
      <c r="E110" s="191"/>
      <c r="F110" s="192"/>
      <c r="G110" s="191"/>
      <c r="H110" s="191"/>
      <c r="I110" s="191"/>
      <c r="J110" s="191"/>
      <c r="K110" s="191"/>
      <c r="L110" s="192">
        <v>540.83900000000006</v>
      </c>
      <c r="M110" s="191"/>
      <c r="N110" s="191">
        <v>805.96600000000001</v>
      </c>
      <c r="O110" s="191">
        <v>780.16899999999998</v>
      </c>
      <c r="P110" s="191">
        <v>779.38199999999995</v>
      </c>
      <c r="Q110" s="191">
        <v>778.60500000000002</v>
      </c>
      <c r="R110" s="190">
        <f>SUM(R108:R109)</f>
        <v>778.60500000000002</v>
      </c>
      <c r="S110" s="191"/>
      <c r="T110" s="193">
        <v>741.90800000000002</v>
      </c>
      <c r="U110" s="193">
        <v>553.96799999999996</v>
      </c>
      <c r="V110" s="193">
        <v>554.40499999999997</v>
      </c>
      <c r="W110" s="193">
        <v>554.84500000000003</v>
      </c>
      <c r="X110" s="190">
        <f t="shared" ref="X110" si="104">SUM(X108:X109)</f>
        <v>554.84500000000003</v>
      </c>
      <c r="Y110" s="191"/>
      <c r="Z110" s="193">
        <v>555.29</v>
      </c>
      <c r="AA110" s="193">
        <v>555.73900000000003</v>
      </c>
      <c r="AB110" s="194">
        <f>+SUM(AB147:AB148,AA110)</f>
        <v>535.73900000000003</v>
      </c>
      <c r="AC110" s="194">
        <f>+SUM(AC147:AC148,AB110)</f>
        <v>515.73900000000003</v>
      </c>
      <c r="AD110" s="190">
        <f>AC110</f>
        <v>515.73900000000003</v>
      </c>
      <c r="AE110" s="191"/>
      <c r="AF110" s="194">
        <f>+SUM(AF147:AF148,AD110)</f>
        <v>495.73900000000003</v>
      </c>
      <c r="AG110" s="194">
        <f>+SUM(AG147:AG148,AF110)</f>
        <v>475.73900000000003</v>
      </c>
      <c r="AH110" s="194">
        <f>+SUM(AH147:AH148,AG110)</f>
        <v>455.73900000000003</v>
      </c>
      <c r="AI110" s="194">
        <f>+SUM(AI147:AI148,AH110)</f>
        <v>435.73900000000003</v>
      </c>
      <c r="AJ110" s="190">
        <f>AI110</f>
        <v>435.73900000000003</v>
      </c>
      <c r="AK110" s="191"/>
      <c r="AL110" s="194">
        <f>+SUM(AL147:AL148,AJ110)</f>
        <v>435.73900000000003</v>
      </c>
      <c r="AM110" s="194">
        <f>+SUM(AM147:AM148,AL110)</f>
        <v>435.73900000000003</v>
      </c>
      <c r="AN110" s="194">
        <f>+SUM(AN147:AN148,AM110)</f>
        <v>435.73900000000003</v>
      </c>
      <c r="AO110" s="194">
        <f>+SUM(AO147:AO148,AN110)</f>
        <v>435.73900000000003</v>
      </c>
      <c r="AP110" s="190">
        <f>AO110</f>
        <v>435.73900000000003</v>
      </c>
    </row>
    <row r="111" spans="2:44" x14ac:dyDescent="0.3">
      <c r="B111" s="189" t="s">
        <v>521</v>
      </c>
      <c r="D111" s="190"/>
      <c r="E111" s="191"/>
      <c r="F111" s="192"/>
      <c r="G111" s="191"/>
      <c r="H111" s="191"/>
      <c r="I111" s="191"/>
      <c r="J111" s="191"/>
      <c r="K111" s="191"/>
      <c r="L111" s="192">
        <v>12.82</v>
      </c>
      <c r="M111" s="191"/>
      <c r="N111" s="191">
        <v>116.616</v>
      </c>
      <c r="O111" s="191">
        <v>107.827</v>
      </c>
      <c r="P111" s="191">
        <v>99.513000000000005</v>
      </c>
      <c r="Q111" s="191">
        <v>86.77</v>
      </c>
      <c r="R111" s="190">
        <f>Q111</f>
        <v>86.77</v>
      </c>
      <c r="S111" s="191"/>
      <c r="T111" s="193">
        <v>80.968999999999994</v>
      </c>
      <c r="U111" s="193">
        <v>81.744</v>
      </c>
      <c r="V111" s="193">
        <v>82.162999999999997</v>
      </c>
      <c r="W111" s="193">
        <v>84.653000000000006</v>
      </c>
      <c r="X111" s="190">
        <f>W111</f>
        <v>84.653000000000006</v>
      </c>
      <c r="Y111" s="191"/>
      <c r="Z111" s="193">
        <v>86.49</v>
      </c>
      <c r="AA111" s="193">
        <v>87.757000000000005</v>
      </c>
      <c r="AB111" s="191">
        <f t="shared" ref="AB111:AC112" si="105">AA111</f>
        <v>87.757000000000005</v>
      </c>
      <c r="AC111" s="191">
        <f t="shared" si="105"/>
        <v>87.757000000000005</v>
      </c>
      <c r="AD111" s="190">
        <f>AC111</f>
        <v>87.757000000000005</v>
      </c>
      <c r="AE111" s="191"/>
      <c r="AF111" s="191">
        <f>AD111</f>
        <v>87.757000000000005</v>
      </c>
      <c r="AG111" s="191">
        <f>AF111</f>
        <v>87.757000000000005</v>
      </c>
      <c r="AH111" s="191">
        <f>AG111</f>
        <v>87.757000000000005</v>
      </c>
      <c r="AI111" s="191">
        <f>AH111</f>
        <v>87.757000000000005</v>
      </c>
      <c r="AJ111" s="190">
        <f t="shared" ref="AG111:AJ112" si="106">AI111</f>
        <v>87.757000000000005</v>
      </c>
      <c r="AK111" s="191"/>
      <c r="AL111" s="191">
        <f>AJ111</f>
        <v>87.757000000000005</v>
      </c>
      <c r="AM111" s="191">
        <f>AL111</f>
        <v>87.757000000000005</v>
      </c>
      <c r="AN111" s="191">
        <f>AM111</f>
        <v>87.757000000000005</v>
      </c>
      <c r="AO111" s="191">
        <f>AN111</f>
        <v>87.757000000000005</v>
      </c>
      <c r="AP111" s="190">
        <f t="shared" ref="AP111:AP112" si="107">AO111</f>
        <v>87.757000000000005</v>
      </c>
    </row>
    <row r="112" spans="2:44" x14ac:dyDescent="0.3">
      <c r="B112" s="189" t="s">
        <v>530</v>
      </c>
      <c r="D112" s="190"/>
      <c r="E112" s="191"/>
      <c r="F112" s="192"/>
      <c r="G112" s="191"/>
      <c r="H112" s="191"/>
      <c r="I112" s="191"/>
      <c r="J112" s="191"/>
      <c r="K112" s="191"/>
      <c r="L112" s="192">
        <v>6.8579999999999997</v>
      </c>
      <c r="M112" s="191"/>
      <c r="N112" s="191">
        <v>5.9779999999999998</v>
      </c>
      <c r="O112" s="191">
        <v>5.7880000000000003</v>
      </c>
      <c r="P112" s="191">
        <v>6.1740000000000004</v>
      </c>
      <c r="Q112" s="191">
        <v>6.2080000000000002</v>
      </c>
      <c r="R112" s="190">
        <f>Q112</f>
        <v>6.2080000000000002</v>
      </c>
      <c r="S112" s="191"/>
      <c r="T112" s="193">
        <v>5.8250000000000002</v>
      </c>
      <c r="U112" s="193">
        <v>7.306</v>
      </c>
      <c r="V112" s="193">
        <v>6.6070000000000002</v>
      </c>
      <c r="W112" s="193">
        <v>5.5389999999999997</v>
      </c>
      <c r="X112" s="190">
        <f>W112</f>
        <v>5.5389999999999997</v>
      </c>
      <c r="Y112" s="191"/>
      <c r="Z112" s="193">
        <f>11.583+3.406</f>
        <v>14.989000000000001</v>
      </c>
      <c r="AA112" s="193">
        <f>11.514+3.104</f>
        <v>14.617999999999999</v>
      </c>
      <c r="AB112" s="191">
        <f t="shared" si="105"/>
        <v>14.617999999999999</v>
      </c>
      <c r="AC112" s="191">
        <f t="shared" si="105"/>
        <v>14.617999999999999</v>
      </c>
      <c r="AD112" s="190">
        <f>AC112</f>
        <v>14.617999999999999</v>
      </c>
      <c r="AE112" s="191"/>
      <c r="AF112" s="191">
        <f>AD112</f>
        <v>14.617999999999999</v>
      </c>
      <c r="AG112" s="191">
        <f t="shared" si="106"/>
        <v>14.617999999999999</v>
      </c>
      <c r="AH112" s="191">
        <f t="shared" si="106"/>
        <v>14.617999999999999</v>
      </c>
      <c r="AI112" s="191">
        <f t="shared" si="106"/>
        <v>14.617999999999999</v>
      </c>
      <c r="AJ112" s="190">
        <f t="shared" si="106"/>
        <v>14.617999999999999</v>
      </c>
      <c r="AK112" s="191"/>
      <c r="AL112" s="191">
        <f>AJ112</f>
        <v>14.617999999999999</v>
      </c>
      <c r="AM112" s="191">
        <f t="shared" ref="AM112:AO112" si="108">AL112</f>
        <v>14.617999999999999</v>
      </c>
      <c r="AN112" s="191">
        <f t="shared" si="108"/>
        <v>14.617999999999999</v>
      </c>
      <c r="AO112" s="191">
        <f t="shared" si="108"/>
        <v>14.617999999999999</v>
      </c>
      <c r="AP112" s="190">
        <f t="shared" si="107"/>
        <v>14.617999999999999</v>
      </c>
    </row>
    <row r="113" spans="1:47" x14ac:dyDescent="0.3">
      <c r="B113" s="323" t="s">
        <v>165</v>
      </c>
      <c r="C113" s="324"/>
      <c r="D113" s="325"/>
      <c r="E113" s="326"/>
      <c r="F113" s="327"/>
      <c r="G113" s="326"/>
      <c r="H113" s="326"/>
      <c r="I113" s="326"/>
      <c r="J113" s="326"/>
      <c r="K113" s="326"/>
      <c r="L113" s="337">
        <f t="shared" ref="L113:U113" si="109">L106+SUM(L110:L112)</f>
        <v>638.95000000000005</v>
      </c>
      <c r="M113" s="338">
        <f t="shared" si="109"/>
        <v>0</v>
      </c>
      <c r="N113" s="338">
        <f t="shared" si="109"/>
        <v>1011.982</v>
      </c>
      <c r="O113" s="338">
        <f t="shared" si="109"/>
        <v>967.73699999999997</v>
      </c>
      <c r="P113" s="338">
        <f t="shared" si="109"/>
        <v>972.63199999999995</v>
      </c>
      <c r="Q113" s="338">
        <f t="shared" si="109"/>
        <v>969.42099999999994</v>
      </c>
      <c r="R113" s="337">
        <f t="shared" si="109"/>
        <v>969.42200000000003</v>
      </c>
      <c r="S113" s="338"/>
      <c r="T113" s="338">
        <f t="shared" si="109"/>
        <v>924.846</v>
      </c>
      <c r="U113" s="338">
        <f t="shared" si="109"/>
        <v>742.38400000000001</v>
      </c>
      <c r="V113" s="328">
        <f>V106+SUM(V110:V112)</f>
        <v>742.47399999999993</v>
      </c>
      <c r="W113" s="328">
        <f t="shared" ref="W113:AJ113" si="110">W106+SUM(W110:W112)</f>
        <v>754.34300000000007</v>
      </c>
      <c r="X113" s="325">
        <f t="shared" si="110"/>
        <v>754.34300000000007</v>
      </c>
      <c r="Y113" s="326"/>
      <c r="Z113" s="338">
        <f t="shared" ref="Z113" si="111">Z106+SUM(Z110:Z112)</f>
        <v>757.19100000000003</v>
      </c>
      <c r="AA113" s="328">
        <f t="shared" si="110"/>
        <v>759.55200000000013</v>
      </c>
      <c r="AB113" s="328">
        <f t="shared" si="110"/>
        <v>742.09315457017146</v>
      </c>
      <c r="AC113" s="328">
        <f t="shared" si="110"/>
        <v>729.50097842201751</v>
      </c>
      <c r="AD113" s="325">
        <f t="shared" si="110"/>
        <v>729.50097842201751</v>
      </c>
      <c r="AE113" s="326"/>
      <c r="AF113" s="328">
        <f t="shared" si="110"/>
        <v>697.0236624219167</v>
      </c>
      <c r="AG113" s="328">
        <f t="shared" si="110"/>
        <v>682.20946777659572</v>
      </c>
      <c r="AH113" s="328">
        <f t="shared" si="110"/>
        <v>666.95178416173371</v>
      </c>
      <c r="AI113" s="328">
        <f t="shared" si="110"/>
        <v>656.06839093894746</v>
      </c>
      <c r="AJ113" s="325">
        <f t="shared" si="110"/>
        <v>656.06839093894746</v>
      </c>
      <c r="AK113" s="326"/>
      <c r="AL113" s="328">
        <f t="shared" ref="AL113:AP113" si="112">AL106+SUM(AL110:AL112)</f>
        <v>644.18643541567008</v>
      </c>
      <c r="AM113" s="328">
        <f t="shared" si="112"/>
        <v>649.78710519872334</v>
      </c>
      <c r="AN113" s="328">
        <f t="shared" si="112"/>
        <v>654.90880689467235</v>
      </c>
      <c r="AO113" s="328">
        <f t="shared" si="112"/>
        <v>664.7547422140633</v>
      </c>
      <c r="AP113" s="325">
        <f t="shared" si="112"/>
        <v>664.7547422140633</v>
      </c>
    </row>
    <row r="114" spans="1:47" x14ac:dyDescent="0.3">
      <c r="B114" s="189"/>
      <c r="D114" s="192"/>
      <c r="E114" s="191"/>
      <c r="F114" s="192"/>
      <c r="G114" s="191"/>
      <c r="H114" s="191"/>
      <c r="I114" s="191"/>
      <c r="J114" s="191"/>
      <c r="K114" s="191"/>
      <c r="L114" s="192"/>
      <c r="M114" s="191"/>
      <c r="N114" s="191"/>
      <c r="O114" s="191"/>
      <c r="P114" s="191"/>
      <c r="Q114" s="191"/>
      <c r="R114" s="192"/>
      <c r="S114" s="191"/>
      <c r="T114" s="193"/>
      <c r="U114" s="193"/>
      <c r="V114" s="191"/>
      <c r="W114" s="191"/>
      <c r="X114" s="192"/>
      <c r="Y114" s="191"/>
      <c r="Z114" s="193"/>
      <c r="AA114" s="191"/>
      <c r="AB114" s="191"/>
      <c r="AC114" s="191"/>
      <c r="AD114" s="192"/>
      <c r="AE114" s="191"/>
      <c r="AF114" s="191"/>
      <c r="AG114" s="191"/>
      <c r="AH114" s="191"/>
      <c r="AI114" s="191"/>
      <c r="AJ114" s="192"/>
      <c r="AK114" s="191"/>
      <c r="AL114" s="191"/>
      <c r="AM114" s="191"/>
      <c r="AN114" s="191"/>
      <c r="AO114" s="191"/>
      <c r="AP114" s="192"/>
    </row>
    <row r="115" spans="1:47" x14ac:dyDescent="0.3">
      <c r="B115" s="189" t="s">
        <v>74</v>
      </c>
      <c r="D115" s="190"/>
      <c r="E115" s="191"/>
      <c r="F115" s="192"/>
      <c r="G115" s="191"/>
      <c r="H115" s="191"/>
      <c r="I115" s="191"/>
      <c r="J115" s="191"/>
      <c r="K115" s="191"/>
      <c r="L115" s="192">
        <v>-94.216999999999999</v>
      </c>
      <c r="M115" s="191"/>
      <c r="N115" s="191">
        <v>808.95699999999999</v>
      </c>
      <c r="O115" s="191">
        <v>793.59699999999998</v>
      </c>
      <c r="P115" s="191">
        <v>797.68399999999997</v>
      </c>
      <c r="Q115" s="191">
        <v>794.27</v>
      </c>
      <c r="R115" s="190">
        <f>Q115</f>
        <v>794.27</v>
      </c>
      <c r="S115" s="191"/>
      <c r="T115" s="193">
        <v>778.20299999999997</v>
      </c>
      <c r="U115" s="193">
        <v>1099.7950000000001</v>
      </c>
      <c r="V115" s="193">
        <v>1114.2190000000001</v>
      </c>
      <c r="W115" s="193">
        <v>1132.2380000000001</v>
      </c>
      <c r="X115" s="190">
        <f>W115</f>
        <v>1132.2380000000001</v>
      </c>
      <c r="Y115" s="191"/>
      <c r="Z115" s="193">
        <v>1146.1400000000001</v>
      </c>
      <c r="AA115" s="193">
        <v>1151.625</v>
      </c>
      <c r="AB115" s="194">
        <f>AB94-AB113</f>
        <v>1173.9585712089483</v>
      </c>
      <c r="AC115" s="194">
        <f>AC94-AC113</f>
        <v>1196.3106447988348</v>
      </c>
      <c r="AD115" s="190">
        <f>AC115</f>
        <v>1196.3106447988348</v>
      </c>
      <c r="AE115" s="191"/>
      <c r="AF115" s="194">
        <f>AF94-AF113</f>
        <v>1215.5253404214386</v>
      </c>
      <c r="AG115" s="194">
        <f>AG94-AG113</f>
        <v>1237.3618810464382</v>
      </c>
      <c r="AH115" s="194">
        <f>AH94-AH113</f>
        <v>1269.4801024681879</v>
      </c>
      <c r="AI115" s="194">
        <f>AI94-AI113</f>
        <v>1300.1722033102396</v>
      </c>
      <c r="AJ115" s="190">
        <f>AI115</f>
        <v>1300.1722033102396</v>
      </c>
      <c r="AK115" s="191"/>
      <c r="AL115" s="194">
        <f>AL94-AL113</f>
        <v>1321.5410228486517</v>
      </c>
      <c r="AM115" s="194">
        <f>AM94-AM113</f>
        <v>1347.1428494696515</v>
      </c>
      <c r="AN115" s="194">
        <f>AN94-AN113</f>
        <v>1383.953915896142</v>
      </c>
      <c r="AO115" s="194">
        <f>AO94-AO113</f>
        <v>1419.3586129807536</v>
      </c>
      <c r="AP115" s="190">
        <f>AO115</f>
        <v>1419.3586129807536</v>
      </c>
    </row>
    <row r="116" spans="1:47" ht="14.5" thickBot="1" x14ac:dyDescent="0.35">
      <c r="B116" s="281" t="s">
        <v>1791</v>
      </c>
      <c r="C116" s="281"/>
      <c r="D116" s="282"/>
      <c r="E116" s="283"/>
      <c r="F116" s="331"/>
      <c r="G116" s="283"/>
      <c r="H116" s="283"/>
      <c r="I116" s="283"/>
      <c r="J116" s="283"/>
      <c r="K116" s="283"/>
      <c r="L116" s="332">
        <f t="shared" ref="L116:AC116" si="113">L113+L115</f>
        <v>544.73300000000006</v>
      </c>
      <c r="M116" s="333">
        <f t="shared" si="113"/>
        <v>0</v>
      </c>
      <c r="N116" s="333">
        <f t="shared" si="113"/>
        <v>1820.9389999999999</v>
      </c>
      <c r="O116" s="333">
        <f t="shared" si="113"/>
        <v>1761.3339999999998</v>
      </c>
      <c r="P116" s="333">
        <f t="shared" si="113"/>
        <v>1770.3159999999998</v>
      </c>
      <c r="Q116" s="333">
        <f t="shared" si="113"/>
        <v>1763.6909999999998</v>
      </c>
      <c r="R116" s="332">
        <f t="shared" si="113"/>
        <v>1763.692</v>
      </c>
      <c r="S116" s="333"/>
      <c r="T116" s="333">
        <f t="shared" si="113"/>
        <v>1703.049</v>
      </c>
      <c r="U116" s="333">
        <f t="shared" si="113"/>
        <v>1842.1790000000001</v>
      </c>
      <c r="V116" s="284">
        <f t="shared" si="113"/>
        <v>1856.693</v>
      </c>
      <c r="W116" s="284">
        <f t="shared" si="113"/>
        <v>1886.5810000000001</v>
      </c>
      <c r="X116" s="282">
        <f>W116</f>
        <v>1886.5810000000001</v>
      </c>
      <c r="Y116" s="283"/>
      <c r="Z116" s="333">
        <f t="shared" ref="Z116" si="114">Z113+Z115</f>
        <v>1903.3310000000001</v>
      </c>
      <c r="AA116" s="284">
        <f t="shared" si="113"/>
        <v>1911.1770000000001</v>
      </c>
      <c r="AB116" s="284">
        <f t="shared" si="113"/>
        <v>1916.0517257791198</v>
      </c>
      <c r="AC116" s="284">
        <f t="shared" si="113"/>
        <v>1925.8116232208522</v>
      </c>
      <c r="AD116" s="282">
        <f>AC116</f>
        <v>1925.8116232208522</v>
      </c>
      <c r="AE116" s="283"/>
      <c r="AF116" s="284">
        <f t="shared" ref="AF116:AI116" si="115">AF113+AF115</f>
        <v>1912.5490028433553</v>
      </c>
      <c r="AG116" s="284">
        <f t="shared" si="115"/>
        <v>1919.571348823034</v>
      </c>
      <c r="AH116" s="284">
        <f t="shared" si="115"/>
        <v>1936.4318866299216</v>
      </c>
      <c r="AI116" s="284">
        <f t="shared" si="115"/>
        <v>1956.2405942491871</v>
      </c>
      <c r="AJ116" s="282">
        <f>AI116</f>
        <v>1956.2405942491871</v>
      </c>
      <c r="AK116" s="283"/>
      <c r="AL116" s="284">
        <f t="shared" ref="AL116:AO116" si="116">AL113+AL115</f>
        <v>1965.7274582643217</v>
      </c>
      <c r="AM116" s="284">
        <f t="shared" si="116"/>
        <v>1996.9299546683749</v>
      </c>
      <c r="AN116" s="284">
        <f t="shared" si="116"/>
        <v>2038.8627227908144</v>
      </c>
      <c r="AO116" s="284">
        <f t="shared" si="116"/>
        <v>2084.1133551948169</v>
      </c>
      <c r="AP116" s="282">
        <f>AO116</f>
        <v>2084.1133551948169</v>
      </c>
    </row>
    <row r="117" spans="1:47" ht="14.5" x14ac:dyDescent="0.35">
      <c r="A117" s="335"/>
      <c r="B117" s="343" t="s">
        <v>1792</v>
      </c>
      <c r="C117" s="344"/>
      <c r="D117" s="345"/>
      <c r="E117" s="346"/>
      <c r="F117" s="345"/>
      <c r="G117" s="346"/>
      <c r="H117" s="347"/>
      <c r="I117" s="347"/>
      <c r="J117" s="347"/>
      <c r="K117" s="347"/>
      <c r="L117" s="345" t="str">
        <f>IF(ROUND(L116,1)=ROUND(L94,1),"-",L116-L94)</f>
        <v>-</v>
      </c>
      <c r="M117" s="346"/>
      <c r="N117" s="346" t="str">
        <f>IF(ROUND(N116,1)=ROUND(N94,1),"-",N116-N94)</f>
        <v>-</v>
      </c>
      <c r="O117" s="346" t="str">
        <f>IF(ROUND(O116,1)=ROUND(O94,1),"-",O116-O94)</f>
        <v>-</v>
      </c>
      <c r="P117" s="346" t="str">
        <f>IF(ROUND(P116,1)=ROUND(P94,1),"-",P116-P94)</f>
        <v>-</v>
      </c>
      <c r="Q117" s="346" t="str">
        <f>IF(ROUND(Q116,1)=ROUND(Q94,1),"-",Q116-Q94)</f>
        <v>-</v>
      </c>
      <c r="R117" s="345" t="str">
        <f>IF(ROUND(R116,1)=ROUND(R94,1),"-",R116-R94)</f>
        <v>-</v>
      </c>
      <c r="S117" s="346"/>
      <c r="T117" s="348" t="str">
        <f>IF(ROUND(T116,1)=ROUND(T94,1),"-",T116-T94)</f>
        <v>-</v>
      </c>
      <c r="U117" s="348" t="str">
        <f>IF(ROUND(U116,1)=ROUND(U94,1),"-",U116-U94)</f>
        <v>-</v>
      </c>
      <c r="V117" s="349" t="str">
        <f>IF(ROUND(V116,1)=ROUND(V94,1),"-",V116-V94)</f>
        <v>-</v>
      </c>
      <c r="W117" s="349" t="str">
        <f>IF(ROUND(W116,1)=ROUND(W94,1),"-",W116-W94)</f>
        <v>-</v>
      </c>
      <c r="X117" s="350" t="str">
        <f>IF(ROUND(X116,1)=ROUND(X94,1),"-",X116-X94)</f>
        <v>-</v>
      </c>
      <c r="Y117" s="346"/>
      <c r="Z117" s="349" t="str">
        <f>IF(ROUND(Z116,1)=ROUND(Z94,1),"-",Z116-Z94)</f>
        <v>-</v>
      </c>
      <c r="AA117" s="349" t="str">
        <f>IF(ROUND(AA116,1)=ROUND(AA94,1),"-",AA116-AA94)</f>
        <v>-</v>
      </c>
      <c r="AB117" s="349" t="str">
        <f>IF(ROUND(AB116,1)=ROUND(AB94,1),"-",AB116-AB94)</f>
        <v>-</v>
      </c>
      <c r="AC117" s="349" t="str">
        <f>IF(ROUND(AC116,1)=ROUND(AC94,1),"-",AC116-AC94)</f>
        <v>-</v>
      </c>
      <c r="AD117" s="350" t="str">
        <f>IF(ROUND(AD116,1)=ROUND(AD94,1),"-",AD116-AD94)</f>
        <v>-</v>
      </c>
      <c r="AE117" s="346"/>
      <c r="AF117" s="349" t="str">
        <f>IF(ROUND(AF116,1)=ROUND(AF94,1),"-",AF116-AF94)</f>
        <v>-</v>
      </c>
      <c r="AG117" s="349" t="str">
        <f>IF(ROUND(AG116,1)=ROUND(AG94,1),"-",AG116-AG94)</f>
        <v>-</v>
      </c>
      <c r="AH117" s="349" t="str">
        <f>IF(ROUND(AH116,1)=ROUND(AH94,1),"-",AH116-AH94)</f>
        <v>-</v>
      </c>
      <c r="AI117" s="349" t="str">
        <f>IF(ROUND(AI116,1)=ROUND(AI94,1),"-",AI116-AI94)</f>
        <v>-</v>
      </c>
      <c r="AJ117" s="350" t="str">
        <f>IF(ROUND(AJ116,1)=ROUND(AJ94,1),"-",AJ116-AJ94)</f>
        <v>-</v>
      </c>
      <c r="AK117" s="346"/>
      <c r="AL117" s="349" t="str">
        <f>IF(ROUND(AL116,1)=ROUND(AL94,1),"-",AL116-AL94)</f>
        <v>-</v>
      </c>
      <c r="AM117" s="349" t="str">
        <f>IF(ROUND(AM116,1)=ROUND(AM94,1),"-",AM116-AM94)</f>
        <v>-</v>
      </c>
      <c r="AN117" s="349" t="str">
        <f>IF(ROUND(AN116,1)=ROUND(AN94,1),"-",AN116-AN94)</f>
        <v>-</v>
      </c>
      <c r="AO117" s="349" t="str">
        <f>IF(ROUND(AO116,1)=ROUND(AO94,1),"-",AO116-AO94)</f>
        <v>-</v>
      </c>
      <c r="AP117" s="350" t="str">
        <f>IF(ROUND(AP116,1)=ROUND(AP94,1),"-",AP116-AP94)</f>
        <v>-</v>
      </c>
    </row>
    <row r="118" spans="1:47" x14ac:dyDescent="0.3">
      <c r="B118" s="189"/>
      <c r="D118" s="192"/>
      <c r="E118" s="191"/>
      <c r="F118" s="183"/>
      <c r="G118" s="191"/>
      <c r="H118" s="191"/>
      <c r="I118" s="191"/>
      <c r="J118" s="191"/>
      <c r="K118" s="191"/>
      <c r="L118" s="183"/>
      <c r="M118" s="191"/>
      <c r="N118" s="191"/>
      <c r="O118" s="191"/>
      <c r="P118" s="191"/>
      <c r="Q118" s="191"/>
      <c r="R118" s="192"/>
      <c r="S118" s="191"/>
      <c r="T118" s="193"/>
      <c r="U118" s="191"/>
      <c r="V118" s="191"/>
      <c r="W118" s="191"/>
      <c r="X118" s="192"/>
      <c r="Y118" s="191"/>
      <c r="Z118" s="191"/>
      <c r="AA118" s="191"/>
      <c r="AB118" s="191"/>
      <c r="AC118" s="191"/>
      <c r="AD118" s="192"/>
      <c r="AE118" s="191"/>
      <c r="AF118" s="191"/>
      <c r="AG118" s="191"/>
      <c r="AH118" s="191"/>
      <c r="AI118" s="191"/>
      <c r="AJ118" s="192"/>
      <c r="AK118" s="191"/>
      <c r="AL118" s="191"/>
      <c r="AM118" s="191"/>
      <c r="AN118" s="191"/>
      <c r="AO118" s="191"/>
      <c r="AP118" s="192"/>
      <c r="AR118" s="351" t="s">
        <v>1793</v>
      </c>
      <c r="AS118" s="352"/>
      <c r="AT118" s="352"/>
    </row>
    <row r="119" spans="1:47" ht="18" x14ac:dyDescent="0.4">
      <c r="A119" s="139" t="s">
        <v>517</v>
      </c>
      <c r="D119" s="192"/>
      <c r="E119" s="193"/>
      <c r="F119" s="192"/>
      <c r="G119" s="193"/>
      <c r="H119" s="193"/>
      <c r="I119" s="193"/>
      <c r="J119" s="193"/>
      <c r="K119" s="193"/>
      <c r="L119" s="192"/>
      <c r="M119" s="193"/>
      <c r="N119" s="193"/>
      <c r="O119" s="193"/>
      <c r="P119" s="193"/>
      <c r="Q119" s="193"/>
      <c r="R119" s="192"/>
      <c r="S119" s="193"/>
      <c r="T119" s="193"/>
      <c r="U119" s="193"/>
      <c r="V119" s="193"/>
      <c r="W119" s="193"/>
      <c r="X119" s="192"/>
      <c r="Y119" s="193"/>
      <c r="Z119" s="193"/>
      <c r="AA119" s="193"/>
      <c r="AB119" s="193"/>
      <c r="AC119" s="193"/>
      <c r="AD119" s="192"/>
      <c r="AE119" s="193"/>
      <c r="AF119" s="193"/>
      <c r="AG119" s="193"/>
      <c r="AH119" s="193"/>
      <c r="AI119" s="193"/>
      <c r="AJ119" s="192"/>
      <c r="AK119" s="193"/>
      <c r="AL119" s="193"/>
      <c r="AM119" s="193"/>
      <c r="AN119" s="193"/>
      <c r="AO119" s="193"/>
      <c r="AP119" s="192"/>
      <c r="AR119" s="324" t="s">
        <v>95</v>
      </c>
      <c r="AS119" s="324" t="s">
        <v>96</v>
      </c>
      <c r="AT119" s="324" t="s">
        <v>99</v>
      </c>
    </row>
    <row r="120" spans="1:47" x14ac:dyDescent="0.3">
      <c r="B120" s="353" t="s">
        <v>1794</v>
      </c>
      <c r="D120" s="354"/>
      <c r="E120" s="355"/>
      <c r="F120" s="354"/>
      <c r="G120" s="355"/>
      <c r="H120" s="355"/>
      <c r="I120" s="355"/>
      <c r="J120" s="355"/>
      <c r="K120" s="355"/>
      <c r="L120" s="354">
        <v>34.25</v>
      </c>
      <c r="M120" s="355"/>
      <c r="N120" s="355">
        <v>-58.344000000000001</v>
      </c>
      <c r="O120" s="355">
        <v>-16.366</v>
      </c>
      <c r="P120" s="355">
        <v>-3.452</v>
      </c>
      <c r="Q120" s="355">
        <v>-5.86</v>
      </c>
      <c r="R120" s="354">
        <v>-84.022000000000006</v>
      </c>
      <c r="S120" s="355"/>
      <c r="T120" s="319">
        <v>-19.388999999999999</v>
      </c>
      <c r="U120" s="319">
        <f t="shared" ref="U120:U129" si="117">AR120-T120</f>
        <v>3.7699999999999996</v>
      </c>
      <c r="V120" s="319">
        <f t="shared" ref="V120:V129" si="118">AS120-U120-T120</f>
        <v>16.285</v>
      </c>
      <c r="W120" s="356">
        <f>X120-SUM(T120:V120)</f>
        <v>15.384999999999998</v>
      </c>
      <c r="X120" s="354">
        <v>16.050999999999998</v>
      </c>
      <c r="Y120" s="355"/>
      <c r="Z120" s="319">
        <v>13.013</v>
      </c>
      <c r="AA120" s="357">
        <f>AT120-Z120</f>
        <v>14.235999999999999</v>
      </c>
      <c r="AB120" s="357">
        <f>AB53</f>
        <v>21.369824068947704</v>
      </c>
      <c r="AC120" s="357">
        <f>AC53</f>
        <v>20.424073589886355</v>
      </c>
      <c r="AD120" s="318">
        <f>AD53</f>
        <v>69.042897658834079</v>
      </c>
      <c r="AE120" s="355"/>
      <c r="AF120" s="357">
        <f>AF53</f>
        <v>16.593195622603773</v>
      </c>
      <c r="AG120" s="357">
        <f>AG53</f>
        <v>20.408540625000001</v>
      </c>
      <c r="AH120" s="357">
        <f>AH53</f>
        <v>30.690221421749396</v>
      </c>
      <c r="AI120" s="357">
        <f>AI53</f>
        <v>29.264100842051619</v>
      </c>
      <c r="AJ120" s="318">
        <f>AJ53</f>
        <v>96.956058511404791</v>
      </c>
      <c r="AK120" s="355"/>
      <c r="AL120" s="357">
        <f>AL53</f>
        <v>19.940819538412079</v>
      </c>
      <c r="AM120" s="357">
        <f>AM53</f>
        <v>24.173826621</v>
      </c>
      <c r="AN120" s="357">
        <f>AN53</f>
        <v>35.383066426490366</v>
      </c>
      <c r="AO120" s="357">
        <f>AO53</f>
        <v>33.976697084611757</v>
      </c>
      <c r="AP120" s="318">
        <f>AP53</f>
        <v>113.47440967051419</v>
      </c>
      <c r="AR120" s="358">
        <v>-15.619</v>
      </c>
      <c r="AS120" s="358">
        <v>0.66600000000000004</v>
      </c>
      <c r="AT120" s="358">
        <v>27.248999999999999</v>
      </c>
    </row>
    <row r="121" spans="1:47" x14ac:dyDescent="0.3">
      <c r="B121" s="189" t="s">
        <v>343</v>
      </c>
      <c r="D121" s="192"/>
      <c r="E121" s="191"/>
      <c r="F121" s="192"/>
      <c r="G121" s="191"/>
      <c r="H121" s="191"/>
      <c r="I121" s="191"/>
      <c r="J121" s="191"/>
      <c r="K121" s="191"/>
      <c r="L121" s="192">
        <v>25.952999999999999</v>
      </c>
      <c r="M121" s="191"/>
      <c r="N121" s="191">
        <v>26.591999999999999</v>
      </c>
      <c r="O121" s="191">
        <v>36.572000000000003</v>
      </c>
      <c r="P121" s="191">
        <v>36.756</v>
      </c>
      <c r="Q121" s="191">
        <v>37.241999999999997</v>
      </c>
      <c r="R121" s="192">
        <v>137.16200000000001</v>
      </c>
      <c r="S121" s="191"/>
      <c r="T121" s="193">
        <v>34.762999999999998</v>
      </c>
      <c r="U121" s="308">
        <f t="shared" si="117"/>
        <v>35.917999999999999</v>
      </c>
      <c r="V121" s="308">
        <f t="shared" si="118"/>
        <v>35.811999999999991</v>
      </c>
      <c r="W121" s="264">
        <f t="shared" ref="W121:W138" si="119">X121-SUM(T121:V121)</f>
        <v>36.322000000000003</v>
      </c>
      <c r="X121" s="192">
        <v>142.815</v>
      </c>
      <c r="Y121" s="191"/>
      <c r="Z121" s="193">
        <v>34.033999999999999</v>
      </c>
      <c r="AA121" s="194">
        <f t="shared" ref="AA121:AA138" si="120">AT121-Z121</f>
        <v>34.407000000000004</v>
      </c>
      <c r="AB121" s="194">
        <f>AB39</f>
        <v>35.094996577823011</v>
      </c>
      <c r="AC121" s="194">
        <f>AC39</f>
        <v>36.517686137533147</v>
      </c>
      <c r="AD121" s="190">
        <f t="shared" ref="AD121:AD129" si="121">+SUM(Z121:AC121)</f>
        <v>140.05368271535616</v>
      </c>
      <c r="AE121" s="191"/>
      <c r="AF121" s="194">
        <f>AF39</f>
        <v>26.969471100000003</v>
      </c>
      <c r="AG121" s="194">
        <f>AG39</f>
        <v>28.843379100000003</v>
      </c>
      <c r="AH121" s="194">
        <f>AH39</f>
        <v>30.593788183350007</v>
      </c>
      <c r="AI121" s="194">
        <f>AI39</f>
        <v>32.82446958660001</v>
      </c>
      <c r="AJ121" s="190">
        <f t="shared" ref="AJ121" si="122">+SUM(AF121:AI121)</f>
        <v>119.23110796995002</v>
      </c>
      <c r="AK121" s="191"/>
      <c r="AL121" s="194">
        <f>AL39</f>
        <v>28.048249944000005</v>
      </c>
      <c r="AM121" s="194">
        <f>AM39</f>
        <v>29.997114264000004</v>
      </c>
      <c r="AN121" s="194">
        <f>AN39</f>
        <v>31.817539710684009</v>
      </c>
      <c r="AO121" s="194">
        <f>AO39</f>
        <v>34.137448370064014</v>
      </c>
      <c r="AP121" s="190">
        <f t="shared" ref="AP121:AP129" si="123">+SUM(AL121:AO121)</f>
        <v>124.00035228874805</v>
      </c>
      <c r="AR121" s="358">
        <v>70.680999999999997</v>
      </c>
      <c r="AS121" s="358">
        <v>106.49299999999999</v>
      </c>
      <c r="AT121" s="358">
        <v>68.441000000000003</v>
      </c>
      <c r="AU121" s="322"/>
    </row>
    <row r="122" spans="1:47" x14ac:dyDescent="0.3">
      <c r="B122" s="189" t="s">
        <v>348</v>
      </c>
      <c r="D122" s="192"/>
      <c r="E122" s="191"/>
      <c r="F122" s="192"/>
      <c r="G122" s="191"/>
      <c r="H122" s="191"/>
      <c r="I122" s="191"/>
      <c r="J122" s="191"/>
      <c r="K122" s="191"/>
      <c r="L122" s="192">
        <v>0</v>
      </c>
      <c r="M122" s="191"/>
      <c r="N122" s="191">
        <v>10.532999999999999</v>
      </c>
      <c r="O122" s="191">
        <v>0</v>
      </c>
      <c r="P122" s="191">
        <v>0</v>
      </c>
      <c r="Q122" s="191">
        <v>0</v>
      </c>
      <c r="R122" s="192">
        <v>10.532999999999999</v>
      </c>
      <c r="S122" s="191"/>
      <c r="T122" s="193">
        <v>13.938000000000001</v>
      </c>
      <c r="U122" s="308">
        <f t="shared" si="117"/>
        <v>0</v>
      </c>
      <c r="V122" s="308">
        <f t="shared" si="118"/>
        <v>0</v>
      </c>
      <c r="W122" s="264">
        <f t="shared" si="119"/>
        <v>0</v>
      </c>
      <c r="X122" s="192">
        <v>13.938000000000001</v>
      </c>
      <c r="Y122" s="191"/>
      <c r="Z122" s="193">
        <v>0</v>
      </c>
      <c r="AA122" s="191">
        <f t="shared" si="120"/>
        <v>0</v>
      </c>
      <c r="AB122" s="191">
        <v>0</v>
      </c>
      <c r="AC122" s="191">
        <v>0</v>
      </c>
      <c r="AD122" s="190">
        <f t="shared" si="121"/>
        <v>0</v>
      </c>
      <c r="AE122" s="191"/>
      <c r="AF122" s="191">
        <v>0</v>
      </c>
      <c r="AG122" s="191">
        <v>0</v>
      </c>
      <c r="AH122" s="191">
        <v>0</v>
      </c>
      <c r="AI122" s="191">
        <v>0</v>
      </c>
      <c r="AJ122" s="190">
        <f t="shared" ref="AJ122:AJ129" si="124">+SUM(AF122:AI122)</f>
        <v>0</v>
      </c>
      <c r="AK122" s="191"/>
      <c r="AL122" s="191">
        <v>0</v>
      </c>
      <c r="AM122" s="191">
        <v>0</v>
      </c>
      <c r="AN122" s="191">
        <v>0</v>
      </c>
      <c r="AO122" s="191">
        <v>0</v>
      </c>
      <c r="AP122" s="190">
        <f t="shared" si="123"/>
        <v>0</v>
      </c>
      <c r="AR122" s="358">
        <v>13.938000000000001</v>
      </c>
      <c r="AS122" s="358">
        <v>13.938000000000001</v>
      </c>
      <c r="AT122" s="358">
        <v>0</v>
      </c>
    </row>
    <row r="123" spans="1:47" x14ac:dyDescent="0.3">
      <c r="B123" s="189" t="s">
        <v>519</v>
      </c>
      <c r="D123" s="192"/>
      <c r="E123" s="191"/>
      <c r="F123" s="192"/>
      <c r="G123" s="191"/>
      <c r="H123" s="191"/>
      <c r="I123" s="191"/>
      <c r="J123" s="191"/>
      <c r="K123" s="191"/>
      <c r="L123" s="192">
        <v>3.1739999999999999</v>
      </c>
      <c r="M123" s="191"/>
      <c r="N123" s="191">
        <v>1.147</v>
      </c>
      <c r="O123" s="191">
        <v>0.878</v>
      </c>
      <c r="P123" s="191">
        <v>0.88800000000000001</v>
      </c>
      <c r="Q123" s="191">
        <v>0.89800000000000002</v>
      </c>
      <c r="R123" s="192">
        <v>3.8109999999999999</v>
      </c>
      <c r="S123" s="191"/>
      <c r="T123" s="193">
        <v>0.70399999999999996</v>
      </c>
      <c r="U123" s="308">
        <f t="shared" si="117"/>
        <v>4.3550000000000004</v>
      </c>
      <c r="V123" s="308">
        <f t="shared" si="118"/>
        <v>0.43700000000000006</v>
      </c>
      <c r="W123" s="264">
        <f t="shared" si="119"/>
        <v>0.4399999999999995</v>
      </c>
      <c r="X123" s="192">
        <v>5.9359999999999999</v>
      </c>
      <c r="Y123" s="191"/>
      <c r="Z123" s="193">
        <v>0.44500000000000001</v>
      </c>
      <c r="AA123" s="264">
        <f t="shared" si="120"/>
        <v>0.44900000000000001</v>
      </c>
      <c r="AB123" s="264">
        <f>AA123</f>
        <v>0.44900000000000001</v>
      </c>
      <c r="AC123" s="264">
        <f>AB123</f>
        <v>0.44900000000000001</v>
      </c>
      <c r="AD123" s="273">
        <f t="shared" si="121"/>
        <v>1.792</v>
      </c>
      <c r="AE123" s="264"/>
      <c r="AF123" s="264">
        <f>AC123</f>
        <v>0.44900000000000001</v>
      </c>
      <c r="AG123" s="264">
        <f>AF123</f>
        <v>0.44900000000000001</v>
      </c>
      <c r="AH123" s="264">
        <f>AG123</f>
        <v>0.44900000000000001</v>
      </c>
      <c r="AI123" s="264">
        <f>AH123</f>
        <v>0.44900000000000001</v>
      </c>
      <c r="AJ123" s="273">
        <f t="shared" si="124"/>
        <v>1.796</v>
      </c>
      <c r="AK123" s="264"/>
      <c r="AL123" s="264">
        <f>AI123</f>
        <v>0.44900000000000001</v>
      </c>
      <c r="AM123" s="264">
        <f>AL123</f>
        <v>0.44900000000000001</v>
      </c>
      <c r="AN123" s="264">
        <f>AM123</f>
        <v>0.44900000000000001</v>
      </c>
      <c r="AO123" s="264">
        <f>AN123</f>
        <v>0.44900000000000001</v>
      </c>
      <c r="AP123" s="273">
        <f t="shared" si="123"/>
        <v>1.796</v>
      </c>
      <c r="AR123" s="358">
        <v>5.0590000000000002</v>
      </c>
      <c r="AS123" s="358">
        <v>5.4960000000000004</v>
      </c>
      <c r="AT123" s="358">
        <v>0.89400000000000002</v>
      </c>
    </row>
    <row r="124" spans="1:47" x14ac:dyDescent="0.3">
      <c r="B124" s="189" t="s">
        <v>1795</v>
      </c>
      <c r="D124" s="192"/>
      <c r="E124" s="191"/>
      <c r="F124" s="192"/>
      <c r="G124" s="191"/>
      <c r="H124" s="191"/>
      <c r="I124" s="191"/>
      <c r="J124" s="191"/>
      <c r="K124" s="191"/>
      <c r="L124" s="192">
        <v>8.7999999999999995E-2</v>
      </c>
      <c r="M124" s="191"/>
      <c r="N124" s="191">
        <v>0.35</v>
      </c>
      <c r="O124" s="191">
        <v>-0.192</v>
      </c>
      <c r="P124" s="191">
        <v>0.11</v>
      </c>
      <c r="Q124" s="191">
        <v>0.184</v>
      </c>
      <c r="R124" s="192">
        <v>0.45200000000000001</v>
      </c>
      <c r="S124" s="191"/>
      <c r="T124" s="193">
        <v>-0.17299999999999999</v>
      </c>
      <c r="U124" s="308">
        <f t="shared" si="117"/>
        <v>-0.19400000000000001</v>
      </c>
      <c r="V124" s="308">
        <f t="shared" si="118"/>
        <v>0.20399999999999999</v>
      </c>
      <c r="W124" s="264">
        <f t="shared" si="119"/>
        <v>0.14600000000000002</v>
      </c>
      <c r="X124" s="192">
        <v>-1.7000000000000001E-2</v>
      </c>
      <c r="Y124" s="191"/>
      <c r="Z124" s="193">
        <v>-0.184</v>
      </c>
      <c r="AA124" s="191">
        <f t="shared" si="120"/>
        <v>6.4000000000000001E-2</v>
      </c>
      <c r="AB124" s="191">
        <v>0</v>
      </c>
      <c r="AC124" s="191">
        <v>0</v>
      </c>
      <c r="AD124" s="190">
        <f t="shared" si="121"/>
        <v>-0.12</v>
      </c>
      <c r="AE124" s="191"/>
      <c r="AF124" s="191">
        <v>0</v>
      </c>
      <c r="AG124" s="191">
        <v>0</v>
      </c>
      <c r="AH124" s="191">
        <v>0</v>
      </c>
      <c r="AI124" s="191">
        <v>0</v>
      </c>
      <c r="AJ124" s="190">
        <f t="shared" si="124"/>
        <v>0</v>
      </c>
      <c r="AK124" s="191"/>
      <c r="AL124" s="191">
        <v>0</v>
      </c>
      <c r="AM124" s="191">
        <v>0</v>
      </c>
      <c r="AN124" s="191">
        <v>0</v>
      </c>
      <c r="AO124" s="191">
        <v>0</v>
      </c>
      <c r="AP124" s="190">
        <f t="shared" si="123"/>
        <v>0</v>
      </c>
      <c r="AR124" s="358">
        <v>-0.36699999999999999</v>
      </c>
      <c r="AS124" s="358">
        <v>-0.16300000000000001</v>
      </c>
      <c r="AT124" s="358">
        <v>-0.12</v>
      </c>
    </row>
    <row r="125" spans="1:47" x14ac:dyDescent="0.3">
      <c r="B125" s="189" t="s">
        <v>521</v>
      </c>
      <c r="D125" s="192"/>
      <c r="E125" s="191"/>
      <c r="F125" s="192"/>
      <c r="G125" s="191"/>
      <c r="H125" s="191"/>
      <c r="I125" s="191"/>
      <c r="J125" s="191"/>
      <c r="K125" s="191"/>
      <c r="L125" s="192">
        <v>2.085</v>
      </c>
      <c r="M125" s="191"/>
      <c r="N125" s="191">
        <v>-6.05</v>
      </c>
      <c r="O125" s="191">
        <v>-4.1779999999999999</v>
      </c>
      <c r="P125" s="191">
        <v>-3.1509999999999998</v>
      </c>
      <c r="Q125" s="191">
        <v>-4.3650000000000002</v>
      </c>
      <c r="R125" s="192">
        <v>-17.744</v>
      </c>
      <c r="S125" s="191"/>
      <c r="T125" s="193">
        <v>-6.3040000000000003</v>
      </c>
      <c r="U125" s="308">
        <f t="shared" si="117"/>
        <v>0.32900000000000063</v>
      </c>
      <c r="V125" s="308">
        <f t="shared" si="118"/>
        <v>1.5099999999999998</v>
      </c>
      <c r="W125" s="264">
        <f t="shared" si="119"/>
        <v>1.5409999999999999</v>
      </c>
      <c r="X125" s="192">
        <v>-2.9239999999999999</v>
      </c>
      <c r="Y125" s="191"/>
      <c r="Z125" s="193">
        <v>1.698</v>
      </c>
      <c r="AA125" s="194">
        <f t="shared" si="120"/>
        <v>2.0750000000000002</v>
      </c>
      <c r="AB125" s="194">
        <f>AB111-AA111+AA92-AB92</f>
        <v>0</v>
      </c>
      <c r="AC125" s="194">
        <f>AC111-AB111+AB92-AC92</f>
        <v>0</v>
      </c>
      <c r="AD125" s="190">
        <f t="shared" si="121"/>
        <v>3.7730000000000001</v>
      </c>
      <c r="AE125" s="191"/>
      <c r="AF125" s="194">
        <f>AF111-AD111+AD92-AF92</f>
        <v>0</v>
      </c>
      <c r="AG125" s="194">
        <f>AG111-AF111+AF92-AG92</f>
        <v>0</v>
      </c>
      <c r="AH125" s="194">
        <f>AH111-AG111+AG92-AH92</f>
        <v>0</v>
      </c>
      <c r="AI125" s="194">
        <f>AI111-AH111+AH92-AI92</f>
        <v>0</v>
      </c>
      <c r="AJ125" s="190">
        <f t="shared" si="124"/>
        <v>0</v>
      </c>
      <c r="AK125" s="191"/>
      <c r="AL125" s="194">
        <f>AL111-AJ111+AJ92-AL92</f>
        <v>0</v>
      </c>
      <c r="AM125" s="194">
        <f>AM111-AL111+AL92-AM92</f>
        <v>0</v>
      </c>
      <c r="AN125" s="194">
        <f>AN111-AM111+AM92-AN92</f>
        <v>0</v>
      </c>
      <c r="AO125" s="194">
        <f>AO111-AN111+AN92-AO92</f>
        <v>0</v>
      </c>
      <c r="AP125" s="190">
        <f t="shared" si="123"/>
        <v>0</v>
      </c>
      <c r="AR125" s="358">
        <v>-5.9749999999999996</v>
      </c>
      <c r="AS125" s="358">
        <v>-4.4649999999999999</v>
      </c>
      <c r="AT125" s="358">
        <v>3.7730000000000001</v>
      </c>
      <c r="AU125" s="322"/>
    </row>
    <row r="126" spans="1:47" x14ac:dyDescent="0.3">
      <c r="B126" s="189" t="s">
        <v>361</v>
      </c>
      <c r="D126" s="192"/>
      <c r="E126" s="191"/>
      <c r="F126" s="192"/>
      <c r="G126" s="191"/>
      <c r="H126" s="191"/>
      <c r="I126" s="191"/>
      <c r="J126" s="191"/>
      <c r="K126" s="191"/>
      <c r="L126" s="192">
        <v>1.216</v>
      </c>
      <c r="M126" s="191"/>
      <c r="N126" s="191">
        <v>4.2569999999999997</v>
      </c>
      <c r="O126" s="191">
        <v>0.52</v>
      </c>
      <c r="P126" s="191">
        <v>0.53</v>
      </c>
      <c r="Q126" s="191">
        <v>0.54500000000000004</v>
      </c>
      <c r="R126" s="192">
        <v>5.8520000000000003</v>
      </c>
      <c r="S126" s="191"/>
      <c r="T126" s="193">
        <v>0.56200000000000006</v>
      </c>
      <c r="U126" s="308">
        <f t="shared" si="117"/>
        <v>2.6639999999999997</v>
      </c>
      <c r="V126" s="308">
        <f t="shared" si="118"/>
        <v>1.3430000000000002</v>
      </c>
      <c r="W126" s="264">
        <f t="shared" si="119"/>
        <v>4.9609999999999994</v>
      </c>
      <c r="X126" s="192">
        <v>9.5299999999999994</v>
      </c>
      <c r="Y126" s="191"/>
      <c r="Z126" s="193">
        <v>1.859</v>
      </c>
      <c r="AA126" s="264">
        <f t="shared" si="120"/>
        <v>1.9430000000000001</v>
      </c>
      <c r="AB126" s="264">
        <f>AB43</f>
        <v>1.7</v>
      </c>
      <c r="AC126" s="264">
        <f>AC43</f>
        <v>1.7</v>
      </c>
      <c r="AD126" s="190">
        <f t="shared" si="121"/>
        <v>7.202</v>
      </c>
      <c r="AE126" s="191"/>
      <c r="AF126" s="264">
        <f>AF43</f>
        <v>1.2</v>
      </c>
      <c r="AG126" s="264">
        <f>AG43</f>
        <v>1.2</v>
      </c>
      <c r="AH126" s="264">
        <f>AH43</f>
        <v>1.2</v>
      </c>
      <c r="AI126" s="264">
        <f>AI43</f>
        <v>1.2</v>
      </c>
      <c r="AJ126" s="190">
        <f t="shared" si="124"/>
        <v>4.8</v>
      </c>
      <c r="AK126" s="191"/>
      <c r="AL126" s="264">
        <f>AL43</f>
        <v>1.2</v>
      </c>
      <c r="AM126" s="264">
        <f>AM43</f>
        <v>1.2</v>
      </c>
      <c r="AN126" s="264">
        <f>AN43</f>
        <v>1.2</v>
      </c>
      <c r="AO126" s="264">
        <f>AO43</f>
        <v>1.2</v>
      </c>
      <c r="AP126" s="190">
        <f t="shared" si="123"/>
        <v>4.8</v>
      </c>
      <c r="AR126" s="358">
        <v>3.226</v>
      </c>
      <c r="AS126" s="358">
        <v>4.569</v>
      </c>
      <c r="AT126" s="358">
        <v>3.802</v>
      </c>
      <c r="AU126" s="322"/>
    </row>
    <row r="127" spans="1:47" x14ac:dyDescent="0.3">
      <c r="B127" s="189" t="s">
        <v>1796</v>
      </c>
      <c r="D127" s="192"/>
      <c r="E127" s="191"/>
      <c r="F127" s="192"/>
      <c r="G127" s="191"/>
      <c r="H127" s="191"/>
      <c r="I127" s="191"/>
      <c r="J127" s="191"/>
      <c r="K127" s="191"/>
      <c r="L127" s="192">
        <v>-0.11</v>
      </c>
      <c r="M127" s="191"/>
      <c r="N127" s="191">
        <v>-0.45600000000000002</v>
      </c>
      <c r="O127" s="191">
        <v>8.8999999999999996E-2</v>
      </c>
      <c r="P127" s="191">
        <v>0.247</v>
      </c>
      <c r="Q127" s="191">
        <v>7.0000000000000001E-3</v>
      </c>
      <c r="R127" s="192">
        <v>-0.113</v>
      </c>
      <c r="S127" s="191"/>
      <c r="T127" s="193">
        <v>-9.6000000000000002E-2</v>
      </c>
      <c r="U127" s="308">
        <f t="shared" si="117"/>
        <v>-0.223</v>
      </c>
      <c r="V127" s="308">
        <f t="shared" si="118"/>
        <v>3.7999999999999978E-2</v>
      </c>
      <c r="W127" s="264">
        <f t="shared" si="119"/>
        <v>-0.29399999999999993</v>
      </c>
      <c r="X127" s="192">
        <v>-0.57499999999999996</v>
      </c>
      <c r="Y127" s="191"/>
      <c r="Z127" s="193">
        <v>-0.41099999999999998</v>
      </c>
      <c r="AA127" s="191">
        <f t="shared" si="120"/>
        <v>0.44799999999999995</v>
      </c>
      <c r="AB127" s="191">
        <v>0</v>
      </c>
      <c r="AC127" s="191">
        <v>0</v>
      </c>
      <c r="AD127" s="190">
        <f t="shared" si="121"/>
        <v>3.6999999999999977E-2</v>
      </c>
      <c r="AE127" s="191"/>
      <c r="AF127" s="191">
        <v>0</v>
      </c>
      <c r="AG127" s="191">
        <v>0</v>
      </c>
      <c r="AH127" s="191">
        <v>0</v>
      </c>
      <c r="AI127" s="191">
        <v>0</v>
      </c>
      <c r="AJ127" s="190">
        <f t="shared" si="124"/>
        <v>0</v>
      </c>
      <c r="AK127" s="191"/>
      <c r="AL127" s="191">
        <v>0</v>
      </c>
      <c r="AM127" s="191">
        <v>0</v>
      </c>
      <c r="AN127" s="191">
        <v>0</v>
      </c>
      <c r="AO127" s="191">
        <v>0</v>
      </c>
      <c r="AP127" s="190">
        <f t="shared" si="123"/>
        <v>0</v>
      </c>
      <c r="AR127" s="358">
        <v>-0.31900000000000001</v>
      </c>
      <c r="AS127" s="358">
        <v>-0.28100000000000003</v>
      </c>
      <c r="AT127" s="358">
        <v>3.6999999999999998E-2</v>
      </c>
    </row>
    <row r="128" spans="1:47" x14ac:dyDescent="0.3">
      <c r="B128" s="189" t="s">
        <v>1797</v>
      </c>
      <c r="D128" s="192"/>
      <c r="E128" s="191"/>
      <c r="F128" s="192"/>
      <c r="G128" s="191"/>
      <c r="H128" s="191"/>
      <c r="I128" s="191"/>
      <c r="J128" s="191"/>
      <c r="K128" s="191"/>
      <c r="L128" s="192">
        <v>-2.3E-2</v>
      </c>
      <c r="M128" s="191"/>
      <c r="N128" s="191">
        <v>8.9999999999999993E-3</v>
      </c>
      <c r="O128" s="191">
        <v>6.2E-2</v>
      </c>
      <c r="P128" s="191">
        <v>-2.1999999999999999E-2</v>
      </c>
      <c r="Q128" s="191">
        <v>-2.1999999999999999E-2</v>
      </c>
      <c r="R128" s="192">
        <v>2.7E-2</v>
      </c>
      <c r="S128" s="191"/>
      <c r="T128" s="193">
        <v>1E-3</v>
      </c>
      <c r="U128" s="308">
        <f t="shared" si="117"/>
        <v>0.08</v>
      </c>
      <c r="V128" s="308">
        <f t="shared" si="118"/>
        <v>-1E-3</v>
      </c>
      <c r="W128" s="264">
        <f t="shared" si="119"/>
        <v>-4.0000000000000036E-3</v>
      </c>
      <c r="X128" s="192">
        <v>7.5999999999999998E-2</v>
      </c>
      <c r="Y128" s="191"/>
      <c r="Z128" s="193">
        <v>0.16300000000000001</v>
      </c>
      <c r="AA128" s="191">
        <f t="shared" si="120"/>
        <v>-1.0000000000000009E-3</v>
      </c>
      <c r="AB128" s="191">
        <v>0</v>
      </c>
      <c r="AC128" s="191">
        <v>0</v>
      </c>
      <c r="AD128" s="190">
        <f t="shared" si="121"/>
        <v>0.16200000000000001</v>
      </c>
      <c r="AE128" s="191"/>
      <c r="AF128" s="191">
        <v>0</v>
      </c>
      <c r="AG128" s="191">
        <v>0</v>
      </c>
      <c r="AH128" s="191">
        <v>0</v>
      </c>
      <c r="AI128" s="191">
        <v>0</v>
      </c>
      <c r="AJ128" s="190">
        <f t="shared" si="124"/>
        <v>0</v>
      </c>
      <c r="AK128" s="191"/>
      <c r="AL128" s="191">
        <v>0</v>
      </c>
      <c r="AM128" s="191">
        <v>0</v>
      </c>
      <c r="AN128" s="191">
        <v>0</v>
      </c>
      <c r="AO128" s="191">
        <v>0</v>
      </c>
      <c r="AP128" s="190">
        <f t="shared" si="123"/>
        <v>0</v>
      </c>
      <c r="AR128" s="358">
        <v>8.1000000000000003E-2</v>
      </c>
      <c r="AS128" s="358">
        <v>0.08</v>
      </c>
      <c r="AT128" s="358">
        <v>0.16200000000000001</v>
      </c>
    </row>
    <row r="129" spans="2:48" x14ac:dyDescent="0.3">
      <c r="B129" s="189" t="s">
        <v>524</v>
      </c>
      <c r="D129" s="192"/>
      <c r="E129" s="191"/>
      <c r="F129" s="192"/>
      <c r="G129" s="191"/>
      <c r="H129" s="191"/>
      <c r="I129" s="191"/>
      <c r="J129" s="191"/>
      <c r="K129" s="191"/>
      <c r="L129" s="192">
        <v>0</v>
      </c>
      <c r="M129" s="191"/>
      <c r="N129" s="191">
        <v>3.9769999999999999</v>
      </c>
      <c r="O129" s="191">
        <v>1.179</v>
      </c>
      <c r="P129" s="191">
        <v>-0.74399999999999999</v>
      </c>
      <c r="Q129" s="191">
        <v>-0.79600000000000004</v>
      </c>
      <c r="R129" s="192">
        <v>3.6160000000000001</v>
      </c>
      <c r="S129" s="191"/>
      <c r="T129" s="193">
        <v>-1.032</v>
      </c>
      <c r="U129" s="308">
        <f t="shared" si="117"/>
        <v>7.900000000000007E-2</v>
      </c>
      <c r="V129" s="308">
        <f t="shared" si="118"/>
        <v>0.10799999999999998</v>
      </c>
      <c r="W129" s="264">
        <f t="shared" si="119"/>
        <v>-1.4389999999999998</v>
      </c>
      <c r="X129" s="192">
        <v>-2.2839999999999998</v>
      </c>
      <c r="Y129" s="191"/>
      <c r="Z129" s="193">
        <v>-5.26</v>
      </c>
      <c r="AA129" s="191">
        <f t="shared" si="120"/>
        <v>-2.1180000000000003</v>
      </c>
      <c r="AB129" s="191">
        <v>0</v>
      </c>
      <c r="AC129" s="191">
        <v>0</v>
      </c>
      <c r="AD129" s="190">
        <f t="shared" si="121"/>
        <v>-7.3780000000000001</v>
      </c>
      <c r="AE129" s="191"/>
      <c r="AF129" s="191">
        <v>0</v>
      </c>
      <c r="AG129" s="191">
        <v>0</v>
      </c>
      <c r="AH129" s="191">
        <v>0</v>
      </c>
      <c r="AI129" s="191">
        <v>0</v>
      </c>
      <c r="AJ129" s="190">
        <f t="shared" si="124"/>
        <v>0</v>
      </c>
      <c r="AK129" s="191"/>
      <c r="AL129" s="191">
        <v>0</v>
      </c>
      <c r="AM129" s="191">
        <v>0</v>
      </c>
      <c r="AN129" s="191">
        <v>0</v>
      </c>
      <c r="AO129" s="191">
        <v>0</v>
      </c>
      <c r="AP129" s="190">
        <f t="shared" si="123"/>
        <v>0</v>
      </c>
      <c r="AR129" s="358">
        <v>-0.95299999999999996</v>
      </c>
      <c r="AS129" s="358">
        <v>-0.84499999999999997</v>
      </c>
      <c r="AT129" s="358">
        <v>-7.3780000000000001</v>
      </c>
      <c r="AU129" s="322"/>
    </row>
    <row r="130" spans="2:48" x14ac:dyDescent="0.3">
      <c r="B130" s="353" t="s">
        <v>1798</v>
      </c>
      <c r="D130" s="192"/>
      <c r="E130" s="191"/>
      <c r="F130" s="192"/>
      <c r="G130" s="191"/>
      <c r="H130" s="191"/>
      <c r="I130" s="191"/>
      <c r="J130" s="191"/>
      <c r="K130" s="191"/>
      <c r="L130" s="192"/>
      <c r="M130" s="191"/>
      <c r="N130" s="191"/>
      <c r="O130" s="191"/>
      <c r="P130" s="191"/>
      <c r="Q130" s="191"/>
      <c r="R130" s="192"/>
      <c r="S130" s="191"/>
      <c r="T130" s="193"/>
      <c r="U130" s="193"/>
      <c r="V130" s="193"/>
      <c r="W130" s="191"/>
      <c r="X130" s="192"/>
      <c r="Y130" s="191"/>
      <c r="Z130" s="193"/>
      <c r="AA130" s="191"/>
      <c r="AB130" s="191"/>
      <c r="AC130" s="191"/>
      <c r="AD130" s="192"/>
      <c r="AE130" s="191"/>
      <c r="AF130" s="191"/>
      <c r="AG130" s="191"/>
      <c r="AH130" s="191"/>
      <c r="AI130" s="191"/>
      <c r="AJ130" s="192"/>
      <c r="AK130" s="191"/>
      <c r="AL130" s="191"/>
      <c r="AM130" s="191"/>
      <c r="AN130" s="191"/>
      <c r="AO130" s="191"/>
      <c r="AP130" s="192"/>
      <c r="AR130" s="358"/>
      <c r="AS130" s="358"/>
      <c r="AT130" s="358"/>
    </row>
    <row r="131" spans="2:48" x14ac:dyDescent="0.3">
      <c r="B131" s="359" t="s">
        <v>1799</v>
      </c>
      <c r="D131" s="192"/>
      <c r="E131" s="191"/>
      <c r="F131" s="192"/>
      <c r="G131" s="191"/>
      <c r="H131" s="191"/>
      <c r="I131" s="191"/>
      <c r="J131" s="191"/>
      <c r="K131" s="191"/>
      <c r="L131" s="192">
        <v>-10.964</v>
      </c>
      <c r="M131" s="191"/>
      <c r="N131" s="191">
        <v>4.6020000000000003</v>
      </c>
      <c r="O131" s="191">
        <v>11.84</v>
      </c>
      <c r="P131" s="191">
        <v>-27.721</v>
      </c>
      <c r="Q131" s="191">
        <v>-7.8780000000000001</v>
      </c>
      <c r="R131" s="192">
        <v>-19.157</v>
      </c>
      <c r="S131" s="191"/>
      <c r="T131" s="193">
        <v>6.9630000000000001</v>
      </c>
      <c r="U131" s="308">
        <f t="shared" ref="U131:U138" si="125">AR131-T131</f>
        <v>-23.858000000000001</v>
      </c>
      <c r="V131" s="308">
        <f t="shared" ref="V131:V138" si="126">AS131-U131-T131</f>
        <v>-18.919999999999998</v>
      </c>
      <c r="W131" s="264">
        <f t="shared" si="119"/>
        <v>-5.027000000000001</v>
      </c>
      <c r="X131" s="192">
        <v>-40.841999999999999</v>
      </c>
      <c r="Y131" s="191"/>
      <c r="Z131" s="193">
        <v>8.8620000000000001</v>
      </c>
      <c r="AA131" s="191">
        <f t="shared" si="120"/>
        <v>2.3369999999999997</v>
      </c>
      <c r="AB131" s="194">
        <f>AA82-AB82</f>
        <v>-7.3305074747991625</v>
      </c>
      <c r="AC131" s="194">
        <f>AB82-AC82</f>
        <v>-11.061359350072678</v>
      </c>
      <c r="AD131" s="190">
        <f t="shared" ref="AD131:AD138" si="127">+SUM(Z131:AC131)</f>
        <v>-7.1928668248718406</v>
      </c>
      <c r="AE131" s="191"/>
      <c r="AF131" s="194">
        <f>AD82-AF82</f>
        <v>19.671976194442351</v>
      </c>
      <c r="AG131" s="194">
        <f>AF82-AG82</f>
        <v>-9.9426693695704955</v>
      </c>
      <c r="AH131" s="194">
        <f>AG82-AH82</f>
        <v>-9.2874029980351338</v>
      </c>
      <c r="AI131" s="194">
        <f>AH82-AI82</f>
        <v>-11.835654504577803</v>
      </c>
      <c r="AJ131" s="190">
        <f t="shared" ref="AJ131:AJ138" si="128">+SUM(AF131:AI131)</f>
        <v>-11.393750677741082</v>
      </c>
      <c r="AK131" s="191"/>
      <c r="AL131" s="194">
        <f>AJ82-AL82</f>
        <v>19.618055621749079</v>
      </c>
      <c r="AM131" s="194">
        <f>AL82-AM82</f>
        <v>-10.738082919136161</v>
      </c>
      <c r="AN131" s="194">
        <f>AM82-AN82</f>
        <v>-10.030395237877968</v>
      </c>
      <c r="AO131" s="194">
        <f>AN82-AO82</f>
        <v>-12.782506864943997</v>
      </c>
      <c r="AP131" s="190">
        <f t="shared" ref="AP131:AP133" si="129">+SUM(AL131:AO131)</f>
        <v>-13.932929400209048</v>
      </c>
      <c r="AR131" s="358">
        <v>-16.895</v>
      </c>
      <c r="AS131" s="358">
        <v>-35.814999999999998</v>
      </c>
      <c r="AT131" s="358">
        <v>11.199</v>
      </c>
      <c r="AU131" s="322"/>
    </row>
    <row r="132" spans="2:48" x14ac:dyDescent="0.3">
      <c r="B132" s="359" t="s">
        <v>470</v>
      </c>
      <c r="D132" s="192"/>
      <c r="E132" s="191"/>
      <c r="F132" s="192"/>
      <c r="G132" s="191"/>
      <c r="H132" s="191"/>
      <c r="I132" s="191"/>
      <c r="J132" s="191"/>
      <c r="K132" s="191"/>
      <c r="L132" s="192">
        <v>9.9009999999999998</v>
      </c>
      <c r="M132" s="191"/>
      <c r="N132" s="191">
        <v>-1.621</v>
      </c>
      <c r="O132" s="191">
        <v>1.4850000000000001</v>
      </c>
      <c r="P132" s="191">
        <v>-4.3250000000000002</v>
      </c>
      <c r="Q132" s="191">
        <v>3.4180000000000001</v>
      </c>
      <c r="R132" s="192">
        <v>-1.0430000000000001</v>
      </c>
      <c r="S132" s="191"/>
      <c r="T132" s="193">
        <v>-5.1760000000000002</v>
      </c>
      <c r="U132" s="308">
        <f t="shared" si="125"/>
        <v>2.5220000000000002</v>
      </c>
      <c r="V132" s="308">
        <f t="shared" si="126"/>
        <v>-5.9649999999999999</v>
      </c>
      <c r="W132" s="264">
        <f t="shared" si="119"/>
        <v>3.1890000000000001</v>
      </c>
      <c r="X132" s="192">
        <v>-5.43</v>
      </c>
      <c r="Y132" s="191"/>
      <c r="Z132" s="193">
        <v>1.151</v>
      </c>
      <c r="AA132" s="191">
        <f t="shared" si="120"/>
        <v>-1.113</v>
      </c>
      <c r="AB132" s="194">
        <f>AA85-AB85</f>
        <v>4.3767636460254948</v>
      </c>
      <c r="AC132" s="194">
        <f>AB85-AC85</f>
        <v>3.6322882820606281</v>
      </c>
      <c r="AD132" s="190">
        <f t="shared" si="127"/>
        <v>8.0470519280861232</v>
      </c>
      <c r="AE132" s="191"/>
      <c r="AF132" s="194">
        <f>AD85-AF85</f>
        <v>-4.7245948499161123</v>
      </c>
      <c r="AG132" s="194">
        <f>AF85-AG85</f>
        <v>-4.6865370781700086</v>
      </c>
      <c r="AH132" s="194">
        <f>AG85-AH85</f>
        <v>4.4494571012472761</v>
      </c>
      <c r="AI132" s="194">
        <f>AH85-AI85</f>
        <v>3.8865484618048711</v>
      </c>
      <c r="AJ132" s="190">
        <f t="shared" si="128"/>
        <v>-1.0751263650339737</v>
      </c>
      <c r="AK132" s="191"/>
      <c r="AL132" s="194">
        <f>AJ85-AL85</f>
        <v>-5.2561519186285395</v>
      </c>
      <c r="AM132" s="194">
        <f>AL85-AM85</f>
        <v>-5.0614600444236117</v>
      </c>
      <c r="AN132" s="194">
        <f>AM85-AN85</f>
        <v>4.805413669347061</v>
      </c>
      <c r="AO132" s="194">
        <f>AN85-AO85</f>
        <v>4.197472338749261</v>
      </c>
      <c r="AP132" s="190">
        <f t="shared" si="129"/>
        <v>-1.3147259549558292</v>
      </c>
      <c r="AR132" s="358">
        <v>-2.6539999999999999</v>
      </c>
      <c r="AS132" s="358">
        <v>-8.6189999999999998</v>
      </c>
      <c r="AT132" s="358">
        <v>3.7999999999999999E-2</v>
      </c>
    </row>
    <row r="133" spans="2:48" x14ac:dyDescent="0.3">
      <c r="B133" s="359" t="s">
        <v>477</v>
      </c>
      <c r="D133" s="192"/>
      <c r="E133" s="191"/>
      <c r="F133" s="192"/>
      <c r="G133" s="191"/>
      <c r="H133" s="191"/>
      <c r="I133" s="191"/>
      <c r="J133" s="191"/>
      <c r="K133" s="191"/>
      <c r="L133" s="192">
        <v>0.42399999999999999</v>
      </c>
      <c r="M133" s="191"/>
      <c r="N133" s="191">
        <v>-0.35499999999999998</v>
      </c>
      <c r="O133" s="191">
        <v>6.0000000000000001E-3</v>
      </c>
      <c r="P133" s="191">
        <v>-3.7999999999999999E-2</v>
      </c>
      <c r="Q133" s="191">
        <v>0.38</v>
      </c>
      <c r="R133" s="192">
        <v>-7.0000000000000001E-3</v>
      </c>
      <c r="S133" s="191"/>
      <c r="T133" s="193">
        <v>-0.98499999999999999</v>
      </c>
      <c r="U133" s="308">
        <f t="shared" si="125"/>
        <v>-4.7000000000000042E-2</v>
      </c>
      <c r="V133" s="308">
        <f t="shared" si="126"/>
        <v>-4.4450000000000003</v>
      </c>
      <c r="W133" s="264">
        <f t="shared" si="119"/>
        <v>0.40500000000000025</v>
      </c>
      <c r="X133" s="192">
        <v>-5.0720000000000001</v>
      </c>
      <c r="Y133" s="191"/>
      <c r="Z133" s="193">
        <v>0</v>
      </c>
      <c r="AA133" s="191">
        <v>0</v>
      </c>
      <c r="AB133" s="191">
        <v>0</v>
      </c>
      <c r="AC133" s="191">
        <v>0</v>
      </c>
      <c r="AD133" s="190">
        <f t="shared" si="127"/>
        <v>0</v>
      </c>
      <c r="AE133" s="191"/>
      <c r="AF133" s="191">
        <v>0</v>
      </c>
      <c r="AG133" s="191">
        <v>0</v>
      </c>
      <c r="AH133" s="191">
        <v>0</v>
      </c>
      <c r="AI133" s="191">
        <v>0</v>
      </c>
      <c r="AJ133" s="190">
        <f t="shared" si="128"/>
        <v>0</v>
      </c>
      <c r="AK133" s="191"/>
      <c r="AL133" s="191">
        <v>0</v>
      </c>
      <c r="AM133" s="191">
        <v>0</v>
      </c>
      <c r="AN133" s="191">
        <v>0</v>
      </c>
      <c r="AO133" s="191">
        <v>0</v>
      </c>
      <c r="AP133" s="190">
        <f t="shared" si="129"/>
        <v>0</v>
      </c>
      <c r="AR133" s="358">
        <v>-1.032</v>
      </c>
      <c r="AS133" s="358">
        <v>-5.4770000000000003</v>
      </c>
      <c r="AU133" s="322"/>
    </row>
    <row r="134" spans="2:48" x14ac:dyDescent="0.3">
      <c r="B134" s="359" t="s">
        <v>527</v>
      </c>
      <c r="D134" s="192"/>
      <c r="E134" s="191"/>
      <c r="F134" s="192"/>
      <c r="G134" s="191"/>
      <c r="H134" s="191"/>
      <c r="I134" s="191"/>
      <c r="J134" s="191"/>
      <c r="K134" s="191"/>
      <c r="L134" s="192">
        <v>-7.335</v>
      </c>
      <c r="M134" s="191"/>
      <c r="N134" s="191">
        <v>4.3499999999999996</v>
      </c>
      <c r="O134" s="191">
        <v>-11.585000000000001</v>
      </c>
      <c r="P134" s="191">
        <v>5.4809999999999999</v>
      </c>
      <c r="Q134" s="191">
        <v>6.7359999999999998</v>
      </c>
      <c r="R134" s="192">
        <v>4.9820000000000002</v>
      </c>
      <c r="S134" s="191"/>
      <c r="T134" s="193">
        <v>5.5789999999999997</v>
      </c>
      <c r="U134" s="308">
        <f t="shared" si="125"/>
        <v>-2.9889999999999999</v>
      </c>
      <c r="V134" s="308">
        <f t="shared" si="126"/>
        <v>3.3080000000000007</v>
      </c>
      <c r="W134" s="264">
        <f t="shared" si="119"/>
        <v>1.6179999999999994</v>
      </c>
      <c r="X134" s="192">
        <v>7.516</v>
      </c>
      <c r="Y134" s="191"/>
      <c r="Z134" s="193">
        <v>-13.215</v>
      </c>
      <c r="AA134" s="191">
        <f t="shared" si="120"/>
        <v>4.4350000000000005</v>
      </c>
      <c r="AB134" s="194">
        <f>AB96-AA96+AB102-AA102</f>
        <v>2.1593557959476293</v>
      </c>
      <c r="AC134" s="194">
        <f>AC96-AB96+AC102-AB102</f>
        <v>3.2583570108552742</v>
      </c>
      <c r="AD134" s="190">
        <f>SUM(Z134:AC134)</f>
        <v>-3.3622871931970959</v>
      </c>
      <c r="AE134" s="191"/>
      <c r="AF134" s="194">
        <f>AF96-AD96+AF102-AD102</f>
        <v>-5.7947960573325155</v>
      </c>
      <c r="AG134" s="194">
        <f>AG96-AF96+AG102-AF102</f>
        <v>2.9288232505296108</v>
      </c>
      <c r="AH134" s="194">
        <f>AH96-AG96+AH102-AG102</f>
        <v>2.7358007016639689</v>
      </c>
      <c r="AI134" s="194">
        <f>AI96-AH96+AI102-AH102</f>
        <v>3.4864420016151456</v>
      </c>
      <c r="AJ134" s="190">
        <f>SUM(AF134:AI134)</f>
        <v>3.3562698964762099</v>
      </c>
      <c r="AK134" s="191"/>
      <c r="AL134" s="194">
        <f>AL96-AJ96+AL102-AJ102</f>
        <v>-5.7789126138510944</v>
      </c>
      <c r="AM134" s="194">
        <f>AM96-AL96+AM102-AL102</f>
        <v>3.1631291105719868</v>
      </c>
      <c r="AN134" s="194">
        <f>AN96-AM96+AN102-AM102</f>
        <v>2.9546647577970866</v>
      </c>
      <c r="AO134" s="194">
        <f>AO96-AN96+AO102-AN102</f>
        <v>3.765357361744357</v>
      </c>
      <c r="AP134" s="190">
        <f>SUM(AL134:AO134)</f>
        <v>4.1042386162623359</v>
      </c>
      <c r="AR134" s="358">
        <v>2.59</v>
      </c>
      <c r="AS134" s="358">
        <v>5.8979999999999997</v>
      </c>
      <c r="AT134" s="358">
        <v>-8.7799999999999994</v>
      </c>
      <c r="AU134" s="322"/>
    </row>
    <row r="135" spans="2:48" x14ac:dyDescent="0.3">
      <c r="B135" s="359" t="s">
        <v>480</v>
      </c>
      <c r="D135" s="192"/>
      <c r="E135" s="191"/>
      <c r="F135" s="192"/>
      <c r="G135" s="191"/>
      <c r="H135" s="191"/>
      <c r="I135" s="191"/>
      <c r="J135" s="191"/>
      <c r="K135" s="191"/>
      <c r="L135" s="192">
        <v>12.76</v>
      </c>
      <c r="M135" s="191"/>
      <c r="N135" s="191">
        <v>-3.4369999999999998</v>
      </c>
      <c r="O135" s="191">
        <v>-1.7829999999999999</v>
      </c>
      <c r="P135" s="191">
        <v>8.0250000000000004</v>
      </c>
      <c r="Q135" s="191">
        <v>4.8540000000000001</v>
      </c>
      <c r="R135" s="192">
        <v>7.6589999999999998</v>
      </c>
      <c r="S135" s="191"/>
      <c r="T135" s="193">
        <v>-8.0869999999999997</v>
      </c>
      <c r="U135" s="308">
        <f t="shared" si="125"/>
        <v>10.866999999999999</v>
      </c>
      <c r="V135" s="308">
        <f t="shared" si="126"/>
        <v>-1.2329999999999988</v>
      </c>
      <c r="W135" s="264">
        <f t="shared" si="119"/>
        <v>6.9939999999999998</v>
      </c>
      <c r="X135" s="192">
        <v>8.5410000000000004</v>
      </c>
      <c r="Y135" s="191"/>
      <c r="Z135" s="193">
        <v>-1.329</v>
      </c>
      <c r="AA135" s="191">
        <f t="shared" si="120"/>
        <v>-1.4190000000000003</v>
      </c>
      <c r="AB135" s="194">
        <f>AB97-AA97</f>
        <v>0.3817987742237392</v>
      </c>
      <c r="AC135" s="194">
        <f>AC97-AB97</f>
        <v>4.1494668409907547</v>
      </c>
      <c r="AD135" s="190">
        <f t="shared" si="127"/>
        <v>1.7832656152144937</v>
      </c>
      <c r="AE135" s="191"/>
      <c r="AF135" s="194">
        <f>AF97-AD97</f>
        <v>-6.6825199427683089</v>
      </c>
      <c r="AG135" s="194">
        <f>AG97-AF97</f>
        <v>2.2569821041494009</v>
      </c>
      <c r="AH135" s="194">
        <f>AH97-AG97</f>
        <v>2.0065156834740137</v>
      </c>
      <c r="AI135" s="194">
        <f>AI97-AH97</f>
        <v>5.6301647755985869</v>
      </c>
      <c r="AJ135" s="190">
        <f t="shared" si="128"/>
        <v>3.2111426204536926</v>
      </c>
      <c r="AK135" s="191"/>
      <c r="AL135" s="194">
        <f>AL97-AJ97</f>
        <v>-6.1030429094262999</v>
      </c>
      <c r="AM135" s="194">
        <f>AM97-AL97</f>
        <v>2.4375406724813402</v>
      </c>
      <c r="AN135" s="194">
        <f>AN97-AM97</f>
        <v>2.1670369381519521</v>
      </c>
      <c r="AO135" s="194">
        <f>AO97-AN97</f>
        <v>6.0805779576464687</v>
      </c>
      <c r="AP135" s="190">
        <f t="shared" ref="AP135:AP138" si="130">+SUM(AL135:AO135)</f>
        <v>4.5821126588534611</v>
      </c>
      <c r="AR135" s="358">
        <v>2.78</v>
      </c>
      <c r="AS135" s="358">
        <v>1.5469999999999999</v>
      </c>
      <c r="AT135" s="358">
        <v>-2.7480000000000002</v>
      </c>
    </row>
    <row r="136" spans="2:48" x14ac:dyDescent="0.3">
      <c r="B136" s="359" t="s">
        <v>1786</v>
      </c>
      <c r="D136" s="192"/>
      <c r="E136" s="191"/>
      <c r="F136" s="192"/>
      <c r="G136" s="191"/>
      <c r="H136" s="191"/>
      <c r="I136" s="191"/>
      <c r="J136" s="191"/>
      <c r="K136" s="191"/>
      <c r="L136" s="192">
        <v>-1.2999999999999999E-2</v>
      </c>
      <c r="M136" s="191"/>
      <c r="N136" s="191">
        <v>0.307</v>
      </c>
      <c r="O136" s="191">
        <v>-0.312</v>
      </c>
      <c r="P136" s="191">
        <v>-6.4000000000000001E-2</v>
      </c>
      <c r="Q136" s="191">
        <v>-0.191</v>
      </c>
      <c r="R136" s="192">
        <v>-0.26</v>
      </c>
      <c r="S136" s="191"/>
      <c r="T136" s="193">
        <v>3.1E-2</v>
      </c>
      <c r="U136" s="308">
        <f t="shared" si="125"/>
        <v>7.4999999999999997E-2</v>
      </c>
      <c r="V136" s="308">
        <f t="shared" si="126"/>
        <v>-3.3000000000000002E-2</v>
      </c>
      <c r="W136" s="264">
        <f t="shared" si="119"/>
        <v>0.12300000000000001</v>
      </c>
      <c r="X136" s="192">
        <v>0.19600000000000001</v>
      </c>
      <c r="Y136" s="191"/>
      <c r="Z136" s="193">
        <v>-0.254</v>
      </c>
      <c r="AA136" s="191">
        <f t="shared" si="120"/>
        <v>-1.8000000000000016E-2</v>
      </c>
      <c r="AB136" s="194">
        <f>AB103-AA103</f>
        <v>0</v>
      </c>
      <c r="AC136" s="194">
        <f>AC103-AB103</f>
        <v>0</v>
      </c>
      <c r="AD136" s="190">
        <f t="shared" si="127"/>
        <v>-0.27200000000000002</v>
      </c>
      <c r="AE136" s="191"/>
      <c r="AF136" s="194">
        <f>AF103-AD103</f>
        <v>0</v>
      </c>
      <c r="AG136" s="194">
        <f>AG103-AF103</f>
        <v>0</v>
      </c>
      <c r="AH136" s="194">
        <f>AH103-AG103</f>
        <v>0</v>
      </c>
      <c r="AI136" s="194">
        <f>AI103-AH103</f>
        <v>0</v>
      </c>
      <c r="AJ136" s="190">
        <f t="shared" si="128"/>
        <v>0</v>
      </c>
      <c r="AK136" s="191"/>
      <c r="AL136" s="194">
        <f>AL103-AJ103</f>
        <v>0</v>
      </c>
      <c r="AM136" s="194">
        <f>AM103-AL103</f>
        <v>0</v>
      </c>
      <c r="AN136" s="194">
        <f>AN103-AM103</f>
        <v>0</v>
      </c>
      <c r="AO136" s="194">
        <f>AO103-AN103</f>
        <v>0</v>
      </c>
      <c r="AP136" s="190">
        <f t="shared" si="130"/>
        <v>0</v>
      </c>
      <c r="AR136" s="358">
        <v>0.106</v>
      </c>
      <c r="AS136" s="358">
        <v>7.2999999999999995E-2</v>
      </c>
      <c r="AT136" s="358">
        <v>-0.27200000000000002</v>
      </c>
    </row>
    <row r="137" spans="2:48" x14ac:dyDescent="0.3">
      <c r="B137" s="359" t="s">
        <v>530</v>
      </c>
      <c r="D137" s="192"/>
      <c r="E137" s="191"/>
      <c r="F137" s="192"/>
      <c r="G137" s="191"/>
      <c r="H137" s="191"/>
      <c r="I137" s="191"/>
      <c r="J137" s="191"/>
      <c r="K137" s="191"/>
      <c r="L137" s="192">
        <v>0.83599999999999997</v>
      </c>
      <c r="M137" s="191"/>
      <c r="N137" s="191">
        <v>-2.44</v>
      </c>
      <c r="O137" s="191">
        <v>2.8180000000000001</v>
      </c>
      <c r="P137" s="191">
        <v>1.546</v>
      </c>
      <c r="Q137" s="191">
        <v>-0.33100000000000002</v>
      </c>
      <c r="R137" s="192">
        <v>1.593</v>
      </c>
      <c r="S137" s="191"/>
      <c r="T137" s="193">
        <v>0.36299999999999999</v>
      </c>
      <c r="U137" s="308">
        <f t="shared" si="125"/>
        <v>0.18200000000000005</v>
      </c>
      <c r="V137" s="308">
        <f t="shared" si="126"/>
        <v>-3.6000000000000032E-2</v>
      </c>
      <c r="W137" s="264">
        <f t="shared" si="119"/>
        <v>-0.59599999999999997</v>
      </c>
      <c r="X137" s="192">
        <v>-8.6999999999999994E-2</v>
      </c>
      <c r="Y137" s="191"/>
      <c r="Z137" s="193">
        <f>-0.405-0.026</f>
        <v>-0.43100000000000005</v>
      </c>
      <c r="AA137" s="191">
        <f t="shared" si="120"/>
        <v>0.39200000000000013</v>
      </c>
      <c r="AB137" s="191">
        <v>0</v>
      </c>
      <c r="AC137" s="191">
        <v>0</v>
      </c>
      <c r="AD137" s="190">
        <f t="shared" si="127"/>
        <v>-3.8999999999999924E-2</v>
      </c>
      <c r="AE137" s="191"/>
      <c r="AF137" s="191">
        <v>0</v>
      </c>
      <c r="AG137" s="191">
        <v>0</v>
      </c>
      <c r="AH137" s="191">
        <v>0</v>
      </c>
      <c r="AI137" s="191">
        <v>0</v>
      </c>
      <c r="AJ137" s="190">
        <f t="shared" si="128"/>
        <v>0</v>
      </c>
      <c r="AK137" s="191"/>
      <c r="AL137" s="191">
        <v>0</v>
      </c>
      <c r="AM137" s="191">
        <v>0</v>
      </c>
      <c r="AN137" s="191">
        <v>0</v>
      </c>
      <c r="AO137" s="191">
        <v>0</v>
      </c>
      <c r="AP137" s="190">
        <f t="shared" si="130"/>
        <v>0</v>
      </c>
      <c r="AR137" s="358">
        <v>0.54500000000000004</v>
      </c>
      <c r="AS137" s="358">
        <v>0.50900000000000001</v>
      </c>
      <c r="AT137" s="358">
        <f>-0.596+0.557</f>
        <v>-3.8999999999999924E-2</v>
      </c>
    </row>
    <row r="138" spans="2:48" x14ac:dyDescent="0.3">
      <c r="B138" s="359" t="s">
        <v>1800</v>
      </c>
      <c r="D138" s="192"/>
      <c r="E138" s="191"/>
      <c r="F138" s="192"/>
      <c r="G138" s="191"/>
      <c r="H138" s="191"/>
      <c r="I138" s="191"/>
      <c r="J138" s="191"/>
      <c r="K138" s="191"/>
      <c r="L138" s="192">
        <v>-0.65900000000000003</v>
      </c>
      <c r="M138" s="191"/>
      <c r="N138" s="191">
        <v>-0.93899999999999995</v>
      </c>
      <c r="O138" s="191">
        <v>0.67800000000000005</v>
      </c>
      <c r="P138" s="191">
        <v>0.151</v>
      </c>
      <c r="Q138" s="191">
        <v>0.40400000000000003</v>
      </c>
      <c r="R138" s="192">
        <v>0.29399999999999998</v>
      </c>
      <c r="S138" s="191"/>
      <c r="T138" s="193">
        <v>2.0510000000000002</v>
      </c>
      <c r="U138" s="308">
        <f t="shared" si="125"/>
        <v>-1.145</v>
      </c>
      <c r="V138" s="308">
        <f t="shared" si="126"/>
        <v>-0.65000000000000013</v>
      </c>
      <c r="W138" s="264">
        <f t="shared" si="119"/>
        <v>1.0529999999999999</v>
      </c>
      <c r="X138" s="192">
        <v>1.3089999999999999</v>
      </c>
      <c r="Y138" s="191"/>
      <c r="Z138" s="193">
        <v>1.4419999999999999</v>
      </c>
      <c r="AA138" s="191">
        <f t="shared" si="120"/>
        <v>-1.288</v>
      </c>
      <c r="AB138" s="194">
        <v>0</v>
      </c>
      <c r="AC138" s="194">
        <v>0</v>
      </c>
      <c r="AD138" s="190">
        <f t="shared" si="127"/>
        <v>0.15399999999999991</v>
      </c>
      <c r="AE138" s="191"/>
      <c r="AF138" s="194">
        <v>0</v>
      </c>
      <c r="AG138" s="194">
        <v>0</v>
      </c>
      <c r="AH138" s="194">
        <v>0</v>
      </c>
      <c r="AI138" s="194">
        <v>0</v>
      </c>
      <c r="AJ138" s="190">
        <f t="shared" si="128"/>
        <v>0</v>
      </c>
      <c r="AK138" s="191"/>
      <c r="AL138" s="194">
        <v>0</v>
      </c>
      <c r="AM138" s="194">
        <v>0</v>
      </c>
      <c r="AN138" s="194">
        <v>0</v>
      </c>
      <c r="AO138" s="194">
        <v>0</v>
      </c>
      <c r="AP138" s="190">
        <f t="shared" si="130"/>
        <v>0</v>
      </c>
      <c r="AR138" s="358">
        <v>0.90600000000000003</v>
      </c>
      <c r="AS138" s="358">
        <v>0.25600000000000001</v>
      </c>
      <c r="AT138" s="358">
        <v>0.154</v>
      </c>
    </row>
    <row r="139" spans="2:48" x14ac:dyDescent="0.3">
      <c r="B139" s="323" t="s">
        <v>1801</v>
      </c>
      <c r="C139" s="324"/>
      <c r="D139" s="325"/>
      <c r="E139" s="326"/>
      <c r="F139" s="325"/>
      <c r="G139" s="326"/>
      <c r="H139" s="326">
        <v>16.776</v>
      </c>
      <c r="I139" s="326">
        <v>17.143999999999998</v>
      </c>
      <c r="J139" s="326">
        <v>13.055</v>
      </c>
      <c r="K139" s="326">
        <v>24.608000000000001</v>
      </c>
      <c r="L139" s="337">
        <f t="shared" ref="L139:T139" si="131">SUM(L131:L138,L121:L129,L120)</f>
        <v>71.582999999999998</v>
      </c>
      <c r="M139" s="338">
        <f t="shared" si="131"/>
        <v>0</v>
      </c>
      <c r="N139" s="338">
        <f t="shared" si="131"/>
        <v>-17.518000000000008</v>
      </c>
      <c r="O139" s="338">
        <f t="shared" si="131"/>
        <v>21.711000000000006</v>
      </c>
      <c r="P139" s="338">
        <f t="shared" si="131"/>
        <v>14.217000000000008</v>
      </c>
      <c r="Q139" s="338">
        <f t="shared" si="131"/>
        <v>35.225000000000001</v>
      </c>
      <c r="R139" s="337">
        <f t="shared" si="131"/>
        <v>53.635000000000005</v>
      </c>
      <c r="S139" s="326">
        <f t="shared" si="131"/>
        <v>0</v>
      </c>
      <c r="T139" s="328">
        <f t="shared" si="131"/>
        <v>23.71299999999999</v>
      </c>
      <c r="U139" s="328">
        <f>SUM(U131:U138,U121:U129,U120)</f>
        <v>32.385000000000005</v>
      </c>
      <c r="V139" s="328">
        <f>SUM(V131:V138,V121:V129,V120)</f>
        <v>27.761999999999993</v>
      </c>
      <c r="W139" s="328">
        <f>SUM(W131:W138,W121:W129,W120)</f>
        <v>64.817000000000007</v>
      </c>
      <c r="X139" s="337">
        <f>SUM(X131:X138,X121:X129,X120)</f>
        <v>148.67699999999999</v>
      </c>
      <c r="Y139" s="326"/>
      <c r="Z139" s="328">
        <f>SUM(Z131:Z138,Z121:Z129,Z120)</f>
        <v>41.582999999999991</v>
      </c>
      <c r="AA139" s="328">
        <f>SUM(AA131:AA138,AA121:AA129,AA120)</f>
        <v>54.829000000000001</v>
      </c>
      <c r="AB139" s="328">
        <f>SUM(AB131:AB138,AB121:AB129,AB120)</f>
        <v>58.201231388168424</v>
      </c>
      <c r="AC139" s="328">
        <f>SUM(AC131:AC138,AC121:AC129,AC120)</f>
        <v>59.069512511253485</v>
      </c>
      <c r="AD139" s="325">
        <f>+SUM(Z139:AC139)</f>
        <v>213.68274389942189</v>
      </c>
      <c r="AE139" s="326"/>
      <c r="AF139" s="328">
        <f>SUM(AF131:AF138,AF121:AF129,AF120)</f>
        <v>47.681732067029188</v>
      </c>
      <c r="AG139" s="328">
        <f>SUM(AG131:AG138,AG121:AG129,AG120)</f>
        <v>41.457518631938512</v>
      </c>
      <c r="AH139" s="328">
        <f>SUM(AH131:AH138,AH121:AH129,AH120)</f>
        <v>62.837380093449525</v>
      </c>
      <c r="AI139" s="328">
        <f>SUM(AI131:AI138,AI121:AI129,AI120)</f>
        <v>64.90507116309243</v>
      </c>
      <c r="AJ139" s="325">
        <f>+SUM(AF139:AI139)</f>
        <v>216.88170195550964</v>
      </c>
      <c r="AK139" s="326"/>
      <c r="AL139" s="328">
        <f>SUM(AL131:AL138,AL121:AL129,AL120)</f>
        <v>52.118017662255234</v>
      </c>
      <c r="AM139" s="328">
        <f>SUM(AM131:AM138,AM121:AM129,AM120)</f>
        <v>45.621067704493555</v>
      </c>
      <c r="AN139" s="328">
        <f>SUM(AN131:AN138,AN121:AN129,AN120)</f>
        <v>68.746326264592511</v>
      </c>
      <c r="AO139" s="328">
        <f>SUM(AO131:AO138,AO121:AO129,AO120)</f>
        <v>71.024046247871865</v>
      </c>
      <c r="AP139" s="325">
        <f>+SUM(AL139:AO139)</f>
        <v>237.50945787921316</v>
      </c>
      <c r="AR139" s="328">
        <f>SUM(AR131:AR138,AR121:AR129,AR120)</f>
        <v>56.097999999999999</v>
      </c>
      <c r="AS139" s="328">
        <f>SUM(AS131:AS138,AS121:AS129,AS120)</f>
        <v>83.859999999999971</v>
      </c>
      <c r="AT139" s="328">
        <f>SUM(AT131:AT138,AT121:AT129,AT120)</f>
        <v>96.41200000000002</v>
      </c>
    </row>
    <row r="140" spans="2:48" x14ac:dyDescent="0.3">
      <c r="B140" s="189"/>
      <c r="D140" s="192"/>
      <c r="E140" s="191"/>
      <c r="F140" s="192"/>
      <c r="G140" s="191"/>
      <c r="H140" s="191"/>
      <c r="I140" s="191"/>
      <c r="J140" s="191"/>
      <c r="K140" s="191"/>
      <c r="L140" s="192"/>
      <c r="M140" s="191"/>
      <c r="N140" s="191"/>
      <c r="O140" s="191"/>
      <c r="P140" s="191"/>
      <c r="Q140" s="191"/>
      <c r="R140" s="192"/>
      <c r="S140" s="191"/>
      <c r="T140" s="193"/>
      <c r="U140" s="193"/>
      <c r="V140" s="191"/>
      <c r="W140" s="191"/>
      <c r="X140" s="192"/>
      <c r="Y140" s="191"/>
      <c r="Z140" s="193"/>
      <c r="AA140" s="191"/>
      <c r="AB140" s="191"/>
      <c r="AC140" s="191"/>
      <c r="AD140" s="192"/>
      <c r="AE140" s="191"/>
      <c r="AF140" s="191"/>
      <c r="AG140" s="191"/>
      <c r="AH140" s="191"/>
      <c r="AI140" s="191"/>
      <c r="AJ140" s="192"/>
      <c r="AK140" s="191"/>
      <c r="AL140" s="191"/>
      <c r="AM140" s="191"/>
      <c r="AN140" s="191"/>
      <c r="AO140" s="191"/>
      <c r="AP140" s="192"/>
      <c r="AR140" s="360"/>
      <c r="AS140" s="360"/>
      <c r="AT140" s="360"/>
    </row>
    <row r="141" spans="2:48" x14ac:dyDescent="0.3">
      <c r="B141" s="361" t="s">
        <v>533</v>
      </c>
      <c r="D141" s="192"/>
      <c r="E141" s="191"/>
      <c r="F141" s="192"/>
      <c r="G141" s="191"/>
      <c r="H141" s="191"/>
      <c r="I141" s="191"/>
      <c r="J141" s="191"/>
      <c r="K141" s="191"/>
      <c r="L141" s="192">
        <v>-1.1200000000000001</v>
      </c>
      <c r="M141" s="191"/>
      <c r="N141" s="191">
        <v>0.54300000000000004</v>
      </c>
      <c r="O141" s="191">
        <v>0</v>
      </c>
      <c r="P141" s="191">
        <v>2E-3</v>
      </c>
      <c r="Q141" s="191">
        <v>-0.45100000000000001</v>
      </c>
      <c r="R141" s="192">
        <v>9.4E-2</v>
      </c>
      <c r="S141" s="191"/>
      <c r="T141" s="193">
        <v>0.44</v>
      </c>
      <c r="U141" s="308">
        <f>AR141-T141</f>
        <v>-0.53200000000000003</v>
      </c>
      <c r="V141" s="308">
        <f>AS141-U141-T141</f>
        <v>0.39699999999999996</v>
      </c>
      <c r="W141" s="264">
        <f t="shared" ref="W141:W144" si="132">X141-SUM(T141:V141)</f>
        <v>0</v>
      </c>
      <c r="X141" s="192">
        <v>0.30499999999999999</v>
      </c>
      <c r="Y141" s="191"/>
      <c r="Z141" s="193">
        <v>0</v>
      </c>
      <c r="AA141" s="191">
        <f t="shared" ref="AA141:AA144" si="133">AT141-Z141</f>
        <v>0</v>
      </c>
      <c r="AB141" s="194">
        <f>AA83-AB83</f>
        <v>0</v>
      </c>
      <c r="AC141" s="194">
        <f>AB83-AC83</f>
        <v>0</v>
      </c>
      <c r="AD141" s="190">
        <f>+SUM(Z141:AC141)</f>
        <v>0</v>
      </c>
      <c r="AE141" s="191"/>
      <c r="AF141" s="194">
        <f>AD83-AF83</f>
        <v>0</v>
      </c>
      <c r="AG141" s="194">
        <f>AF83-AG83</f>
        <v>0</v>
      </c>
      <c r="AH141" s="194">
        <f>AG83-AH83</f>
        <v>0</v>
      </c>
      <c r="AI141" s="194">
        <f>AH83-AI83</f>
        <v>0</v>
      </c>
      <c r="AJ141" s="190">
        <f>+SUM(AF141:AI141)</f>
        <v>0</v>
      </c>
      <c r="AK141" s="191"/>
      <c r="AL141" s="194">
        <f>AJ83-AL83</f>
        <v>0</v>
      </c>
      <c r="AM141" s="194">
        <f>AL83-AM83</f>
        <v>0</v>
      </c>
      <c r="AN141" s="194">
        <f>AM83-AN83</f>
        <v>0</v>
      </c>
      <c r="AO141" s="194">
        <f>AN83-AO83</f>
        <v>0</v>
      </c>
      <c r="AP141" s="190">
        <f>+SUM(AL141:AO141)</f>
        <v>0</v>
      </c>
      <c r="AR141" s="358">
        <v>-9.1999999999999998E-2</v>
      </c>
      <c r="AS141" s="358">
        <v>0.30499999999999999</v>
      </c>
      <c r="AT141" s="358">
        <v>0</v>
      </c>
    </row>
    <row r="142" spans="2:48" x14ac:dyDescent="0.3">
      <c r="B142" s="361" t="s">
        <v>855</v>
      </c>
      <c r="D142" s="192"/>
      <c r="E142" s="191"/>
      <c r="F142" s="192"/>
      <c r="G142" s="191"/>
      <c r="H142" s="191"/>
      <c r="I142" s="191"/>
      <c r="J142" s="191"/>
      <c r="K142" s="191"/>
      <c r="L142" s="192">
        <v>-6.5439999999999996</v>
      </c>
      <c r="M142" s="191"/>
      <c r="N142" s="191">
        <v>-1.7769999999999999</v>
      </c>
      <c r="O142" s="191">
        <v>-1.8979999999999999</v>
      </c>
      <c r="P142" s="191">
        <v>-1.359</v>
      </c>
      <c r="Q142" s="191">
        <v>-1.2210000000000001</v>
      </c>
      <c r="R142" s="192">
        <v>-6.2549999999999999</v>
      </c>
      <c r="S142" s="191"/>
      <c r="T142" s="193">
        <v>-3.536</v>
      </c>
      <c r="U142" s="308">
        <f>AR142-T142</f>
        <v>-0.30500000000000016</v>
      </c>
      <c r="V142" s="308">
        <f>AS142-U142-T142</f>
        <v>-1.9020000000000006</v>
      </c>
      <c r="W142" s="264">
        <f t="shared" si="132"/>
        <v>-1.5699999999999994</v>
      </c>
      <c r="X142" s="192">
        <v>-7.3129999999999997</v>
      </c>
      <c r="Y142" s="191"/>
      <c r="Z142" s="193">
        <v>-2.9089999999999998</v>
      </c>
      <c r="AA142" s="191">
        <f>AT142-Z142</f>
        <v>-2.2560000000000002</v>
      </c>
      <c r="AB142" s="264">
        <f>-AB173*AB8</f>
        <v>-2.3705455260094963</v>
      </c>
      <c r="AC142" s="264">
        <f>-AC173*AC8</f>
        <v>-2.5433888427225511</v>
      </c>
      <c r="AD142" s="190">
        <f>+SUM(Z142:AC142)</f>
        <v>-10.078934368732048</v>
      </c>
      <c r="AE142" s="191"/>
      <c r="AF142" s="264">
        <f>-AF173*AF8</f>
        <v>-1.3984170200000001</v>
      </c>
      <c r="AG142" s="264">
        <f>-AG173*AG8</f>
        <v>-1.49558262</v>
      </c>
      <c r="AH142" s="264">
        <f>-AH173*AH8</f>
        <v>-1.5863445724700003</v>
      </c>
      <c r="AI142" s="264">
        <f>-AI173*AI8</f>
        <v>-1.7020095341200003</v>
      </c>
      <c r="AJ142" s="190">
        <f>+SUM(AF142:AI142)</f>
        <v>-6.1823537465900005</v>
      </c>
      <c r="AK142" s="191"/>
      <c r="AL142" s="264">
        <f>-AL173*AL8</f>
        <v>-1.5102903816000002</v>
      </c>
      <c r="AM142" s="264">
        <f>-AM173*AM8</f>
        <v>-1.6152292296000001</v>
      </c>
      <c r="AN142" s="264">
        <f>-AN173*AN8</f>
        <v>-1.7132521382676005</v>
      </c>
      <c r="AO142" s="264">
        <f>-AO173*AO8</f>
        <v>-1.8381702968496005</v>
      </c>
      <c r="AP142" s="190">
        <f>+SUM(AL142:AO142)</f>
        <v>-6.676942046317202</v>
      </c>
      <c r="AR142" s="358">
        <v>-3.8410000000000002</v>
      </c>
      <c r="AS142" s="358">
        <v>-5.7430000000000003</v>
      </c>
      <c r="AT142" s="358">
        <v>-5.165</v>
      </c>
      <c r="AU142" s="358"/>
    </row>
    <row r="143" spans="2:48" x14ac:dyDescent="0.3">
      <c r="B143" s="361" t="s">
        <v>537</v>
      </c>
      <c r="D143" s="192"/>
      <c r="E143" s="191"/>
      <c r="F143" s="192"/>
      <c r="G143" s="191"/>
      <c r="H143" s="191"/>
      <c r="I143" s="191"/>
      <c r="J143" s="191"/>
      <c r="K143" s="191"/>
      <c r="L143" s="192">
        <v>-10.125</v>
      </c>
      <c r="M143" s="191"/>
      <c r="N143" s="191">
        <v>-2.67</v>
      </c>
      <c r="O143" s="191">
        <v>-2.7240000000000002</v>
      </c>
      <c r="P143" s="191">
        <v>-2.9580000000000002</v>
      </c>
      <c r="Q143" s="191">
        <v>-3.0990000000000002</v>
      </c>
      <c r="R143" s="192">
        <v>-11.451000000000001</v>
      </c>
      <c r="S143" s="191"/>
      <c r="T143" s="193">
        <v>-1.4430000000000001</v>
      </c>
      <c r="U143" s="308">
        <f>AR143-T143</f>
        <v>-6.0389999999999997</v>
      </c>
      <c r="V143" s="308">
        <f>AS143-U143-T143</f>
        <v>-4.484</v>
      </c>
      <c r="W143" s="264">
        <f t="shared" si="132"/>
        <v>-4.5190000000000001</v>
      </c>
      <c r="X143" s="192">
        <v>-16.484999999999999</v>
      </c>
      <c r="Y143" s="191"/>
      <c r="Z143" s="193">
        <v>-4.6429999999999998</v>
      </c>
      <c r="AA143" s="191">
        <f t="shared" si="133"/>
        <v>-5.5930000000000009</v>
      </c>
      <c r="AB143" s="264">
        <f>-AB174*AB8</f>
        <v>-5.8769774498985425</v>
      </c>
      <c r="AC143" s="264">
        <f>-AC174*AC8</f>
        <v>-6.3054848392496572</v>
      </c>
      <c r="AD143" s="190">
        <f>+SUM(Z143:AC143)</f>
        <v>-22.418462289148202</v>
      </c>
      <c r="AE143" s="191"/>
      <c r="AF143" s="264">
        <f>-AF174*AF8</f>
        <v>-5.9932157999999998</v>
      </c>
      <c r="AG143" s="264">
        <f>-AG174*AG8</f>
        <v>-6.4096397999999999</v>
      </c>
      <c r="AH143" s="264">
        <f>-AH174*AH8</f>
        <v>-6.7986195963000009</v>
      </c>
      <c r="AI143" s="264">
        <f>-AI174*AI8</f>
        <v>-7.2943265748000004</v>
      </c>
      <c r="AJ143" s="190">
        <f>+SUM(AF143:AI143)</f>
        <v>-26.495801771099998</v>
      </c>
      <c r="AK143" s="191"/>
      <c r="AL143" s="264">
        <f>-AL174*AL8</f>
        <v>-6.4726730640000003</v>
      </c>
      <c r="AM143" s="264">
        <f>-AM174*AM8</f>
        <v>-6.9224109840000008</v>
      </c>
      <c r="AN143" s="264">
        <f>-AN174*AN8</f>
        <v>-7.3425091640040012</v>
      </c>
      <c r="AO143" s="264">
        <f>-AO174*AO8</f>
        <v>-7.8778727007840024</v>
      </c>
      <c r="AP143" s="190">
        <f>+SUM(AL143:AO143)</f>
        <v>-28.615465912788004</v>
      </c>
      <c r="AR143" s="358">
        <v>-7.4820000000000002</v>
      </c>
      <c r="AS143" s="358">
        <v>-11.965999999999999</v>
      </c>
      <c r="AT143" s="358">
        <v>-10.236000000000001</v>
      </c>
      <c r="AU143" s="358"/>
      <c r="AV143" s="358"/>
    </row>
    <row r="144" spans="2:48" x14ac:dyDescent="0.3">
      <c r="B144" s="361" t="s">
        <v>1802</v>
      </c>
      <c r="D144" s="192"/>
      <c r="E144" s="191"/>
      <c r="F144" s="192"/>
      <c r="G144" s="191"/>
      <c r="H144" s="191"/>
      <c r="I144" s="191"/>
      <c r="J144" s="191"/>
      <c r="K144" s="191"/>
      <c r="L144" s="192">
        <v>0</v>
      </c>
      <c r="M144" s="191"/>
      <c r="N144" s="191">
        <v>0</v>
      </c>
      <c r="O144" s="191">
        <v>0</v>
      </c>
      <c r="P144" s="191">
        <v>0</v>
      </c>
      <c r="Q144" s="191">
        <v>0</v>
      </c>
      <c r="R144" s="192">
        <v>0</v>
      </c>
      <c r="S144" s="191"/>
      <c r="T144" s="308">
        <v>-7.5880000000000001</v>
      </c>
      <c r="U144" s="308">
        <f>AR144-T144</f>
        <v>0</v>
      </c>
      <c r="V144" s="308">
        <f>AS144-U144-T144</f>
        <v>0</v>
      </c>
      <c r="W144" s="264">
        <f t="shared" si="132"/>
        <v>-41.345999999999997</v>
      </c>
      <c r="X144" s="192">
        <v>-48.933999999999997</v>
      </c>
      <c r="Y144" s="191"/>
      <c r="Z144" s="308">
        <v>-18.920000000000002</v>
      </c>
      <c r="AA144" s="191">
        <f t="shared" si="133"/>
        <v>-0.12399999999999878</v>
      </c>
      <c r="AB144" s="191">
        <v>0</v>
      </c>
      <c r="AC144" s="191">
        <v>0</v>
      </c>
      <c r="AD144" s="190">
        <f>+SUM(Z144:AC144)</f>
        <v>-19.044</v>
      </c>
      <c r="AE144" s="191"/>
      <c r="AF144" s="191">
        <v>0</v>
      </c>
      <c r="AG144" s="191">
        <v>0</v>
      </c>
      <c r="AH144" s="191">
        <v>0</v>
      </c>
      <c r="AI144" s="191">
        <v>0</v>
      </c>
      <c r="AJ144" s="190">
        <f>+SUM(AF144:AI144)</f>
        <v>0</v>
      </c>
      <c r="AK144" s="191"/>
      <c r="AL144" s="191">
        <v>0</v>
      </c>
      <c r="AM144" s="191">
        <v>0</v>
      </c>
      <c r="AN144" s="191">
        <v>0</v>
      </c>
      <c r="AO144" s="191">
        <v>0</v>
      </c>
      <c r="AP144" s="190">
        <f>+SUM(AL144:AO144)</f>
        <v>0</v>
      </c>
      <c r="AR144" s="358">
        <v>-7.5880000000000001</v>
      </c>
      <c r="AS144" s="358">
        <v>-7.5880000000000001</v>
      </c>
      <c r="AT144" s="358">
        <v>-19.044</v>
      </c>
      <c r="AU144" s="358"/>
      <c r="AV144" s="358"/>
    </row>
    <row r="145" spans="2:46" x14ac:dyDescent="0.3">
      <c r="B145" s="323" t="s">
        <v>1803</v>
      </c>
      <c r="C145" s="324"/>
      <c r="D145" s="327"/>
      <c r="E145" s="326"/>
      <c r="F145" s="327"/>
      <c r="G145" s="326"/>
      <c r="H145" s="326"/>
      <c r="I145" s="326"/>
      <c r="J145" s="326"/>
      <c r="K145" s="326"/>
      <c r="L145" s="337">
        <f t="shared" ref="L145:R145" si="134">SUM(L141:L144)</f>
        <v>-17.789000000000001</v>
      </c>
      <c r="M145" s="338">
        <f t="shared" si="134"/>
        <v>0</v>
      </c>
      <c r="N145" s="338">
        <f t="shared" si="134"/>
        <v>-3.9039999999999999</v>
      </c>
      <c r="O145" s="338">
        <f t="shared" si="134"/>
        <v>-4.6219999999999999</v>
      </c>
      <c r="P145" s="338">
        <f t="shared" si="134"/>
        <v>-4.3150000000000004</v>
      </c>
      <c r="Q145" s="338">
        <f t="shared" si="134"/>
        <v>-4.7710000000000008</v>
      </c>
      <c r="R145" s="337">
        <f t="shared" si="134"/>
        <v>-17.612000000000002</v>
      </c>
      <c r="S145" s="326"/>
      <c r="T145" s="328">
        <f>SUM(T141:T144)</f>
        <v>-12.126999999999999</v>
      </c>
      <c r="U145" s="328">
        <f>SUM(U141:U144)</f>
        <v>-6.8759999999999994</v>
      </c>
      <c r="V145" s="328">
        <f>SUM(V141:V144)</f>
        <v>-5.9890000000000008</v>
      </c>
      <c r="W145" s="328">
        <f>SUM(W141:W144)</f>
        <v>-47.434999999999995</v>
      </c>
      <c r="X145" s="362">
        <f>SUM(X141:X144)</f>
        <v>-72.426999999999992</v>
      </c>
      <c r="Y145" s="326"/>
      <c r="Z145" s="328">
        <f>SUM(Z141:Z144)</f>
        <v>-26.472000000000001</v>
      </c>
      <c r="AA145" s="328">
        <f>SUM(AA141:AA144)</f>
        <v>-7.9729999999999999</v>
      </c>
      <c r="AB145" s="328">
        <f>SUM(AB141:AB144)</f>
        <v>-8.2475229759080388</v>
      </c>
      <c r="AC145" s="328">
        <f>SUM(AC141:AC144)</f>
        <v>-8.8488736819722078</v>
      </c>
      <c r="AD145" s="325">
        <f>+SUM(Z145:AC145)</f>
        <v>-51.541396657880249</v>
      </c>
      <c r="AE145" s="326"/>
      <c r="AF145" s="328">
        <f>SUM(AF141:AF144)</f>
        <v>-7.3916328199999999</v>
      </c>
      <c r="AG145" s="328">
        <f>SUM(AG141:AG144)</f>
        <v>-7.9052224199999994</v>
      </c>
      <c r="AH145" s="328">
        <f>SUM(AH141:AH144)</f>
        <v>-8.3849641687700007</v>
      </c>
      <c r="AI145" s="328">
        <f>SUM(AI141:AI144)</f>
        <v>-8.9963361089200014</v>
      </c>
      <c r="AJ145" s="325">
        <f>+SUM(AF145:AI145)</f>
        <v>-32.678155517690001</v>
      </c>
      <c r="AK145" s="326"/>
      <c r="AL145" s="328">
        <f>SUM(AL141:AL144)</f>
        <v>-7.9829634456000003</v>
      </c>
      <c r="AM145" s="328">
        <f>SUM(AM141:AM144)</f>
        <v>-8.5376402136000014</v>
      </c>
      <c r="AN145" s="328">
        <f>SUM(AN141:AN144)</f>
        <v>-9.0557613022716019</v>
      </c>
      <c r="AO145" s="328">
        <f>SUM(AO141:AO144)</f>
        <v>-9.7160429976336022</v>
      </c>
      <c r="AP145" s="325">
        <f>+SUM(AL145:AO145)</f>
        <v>-35.292407959105205</v>
      </c>
      <c r="AR145" s="328">
        <f>SUM(AR141:AR144)</f>
        <v>-19.003</v>
      </c>
      <c r="AS145" s="328">
        <f>SUM(AS141:AS144)</f>
        <v>-24.992000000000001</v>
      </c>
      <c r="AT145" s="328">
        <f>SUM(AT141:AT144)</f>
        <v>-34.445</v>
      </c>
    </row>
    <row r="146" spans="2:46" x14ac:dyDescent="0.3">
      <c r="B146" s="189"/>
      <c r="D146" s="192"/>
      <c r="E146" s="191"/>
      <c r="F146" s="192"/>
      <c r="G146" s="191"/>
      <c r="H146" s="191"/>
      <c r="I146" s="191"/>
      <c r="J146" s="191"/>
      <c r="K146" s="191"/>
      <c r="L146" s="192"/>
      <c r="M146" s="191"/>
      <c r="N146" s="191"/>
      <c r="O146" s="191"/>
      <c r="P146" s="191"/>
      <c r="Q146" s="191"/>
      <c r="R146" s="192"/>
      <c r="S146" s="191"/>
      <c r="T146" s="193"/>
      <c r="U146" s="193"/>
      <c r="V146" s="191"/>
      <c r="W146" s="191"/>
      <c r="X146" s="192"/>
      <c r="Y146" s="191"/>
      <c r="Z146" s="193"/>
      <c r="AA146" s="191"/>
      <c r="AB146" s="191"/>
      <c r="AC146" s="191"/>
      <c r="AD146" s="192"/>
      <c r="AE146" s="191"/>
      <c r="AF146" s="191"/>
      <c r="AG146" s="191"/>
      <c r="AH146" s="191"/>
      <c r="AI146" s="191"/>
      <c r="AJ146" s="192"/>
      <c r="AK146" s="191"/>
      <c r="AL146" s="191"/>
      <c r="AM146" s="191"/>
      <c r="AN146" s="191"/>
      <c r="AO146" s="191"/>
      <c r="AP146" s="192"/>
      <c r="AR146" s="360"/>
      <c r="AS146" s="360"/>
      <c r="AT146" s="360"/>
    </row>
    <row r="147" spans="2:46" x14ac:dyDescent="0.3">
      <c r="B147" s="361" t="s">
        <v>1804</v>
      </c>
      <c r="D147" s="192"/>
      <c r="E147" s="191"/>
      <c r="F147" s="192"/>
      <c r="G147" s="191"/>
      <c r="H147" s="191"/>
      <c r="I147" s="191"/>
      <c r="J147" s="191"/>
      <c r="K147" s="191"/>
      <c r="L147" s="192">
        <v>0</v>
      </c>
      <c r="M147" s="191"/>
      <c r="N147" s="191">
        <v>-35.396999999999998</v>
      </c>
      <c r="O147" s="191">
        <v>0</v>
      </c>
      <c r="P147" s="191">
        <v>0</v>
      </c>
      <c r="Q147" s="191">
        <v>0</v>
      </c>
      <c r="R147" s="192">
        <v>-35.396999999999998</v>
      </c>
      <c r="S147" s="191"/>
      <c r="T147" s="193">
        <v>-1.9259999999999999</v>
      </c>
      <c r="U147" s="308">
        <f t="shared" ref="U147:U153" si="135">AR147-T147</f>
        <v>1.9259999999999999</v>
      </c>
      <c r="V147" s="308">
        <f t="shared" ref="V147:V153" si="136">AS147-U147-T147</f>
        <v>0</v>
      </c>
      <c r="W147" s="264">
        <f t="shared" ref="W147:W155" si="137">X147-SUM(T147:V147)</f>
        <v>0</v>
      </c>
      <c r="X147" s="190">
        <v>0</v>
      </c>
      <c r="Y147" s="191"/>
      <c r="Z147" s="193"/>
      <c r="AA147" s="191"/>
      <c r="AB147" s="191"/>
      <c r="AC147" s="191"/>
      <c r="AD147" s="190">
        <f t="shared" ref="AD147:AD155" si="138">+SUM(Z147:AC147)</f>
        <v>0</v>
      </c>
      <c r="AE147" s="191"/>
      <c r="AF147" s="191"/>
      <c r="AG147" s="191"/>
      <c r="AH147" s="191"/>
      <c r="AI147" s="191"/>
      <c r="AJ147" s="190">
        <f t="shared" ref="AJ147" si="139">+SUM(AF147:AI147)</f>
        <v>0</v>
      </c>
      <c r="AK147" s="191"/>
      <c r="AL147" s="191"/>
      <c r="AM147" s="191"/>
      <c r="AN147" s="191"/>
      <c r="AO147" s="191"/>
      <c r="AP147" s="190">
        <f t="shared" ref="AP147" si="140">+SUM(AL147:AO147)</f>
        <v>0</v>
      </c>
      <c r="AR147" s="363">
        <v>0</v>
      </c>
      <c r="AS147" s="363"/>
      <c r="AT147" s="363"/>
    </row>
    <row r="148" spans="2:46" x14ac:dyDescent="0.3">
      <c r="B148" s="361" t="s">
        <v>1805</v>
      </c>
      <c r="D148" s="192"/>
      <c r="E148" s="191"/>
      <c r="F148" s="192"/>
      <c r="G148" s="191"/>
      <c r="H148" s="191"/>
      <c r="I148" s="191"/>
      <c r="J148" s="191"/>
      <c r="K148" s="191"/>
      <c r="L148" s="192">
        <v>0</v>
      </c>
      <c r="M148" s="191"/>
      <c r="N148" s="191">
        <v>0</v>
      </c>
      <c r="O148" s="191">
        <v>-25</v>
      </c>
      <c r="P148" s="191">
        <v>-1.675</v>
      </c>
      <c r="Q148" s="191">
        <v>-1.675</v>
      </c>
      <c r="R148" s="192">
        <v>-28.35</v>
      </c>
      <c r="S148" s="191"/>
      <c r="T148" s="193">
        <v>-48.377000000000002</v>
      </c>
      <c r="U148" s="308">
        <f t="shared" si="135"/>
        <v>-462.08199999999999</v>
      </c>
      <c r="V148" s="308">
        <f t="shared" si="136"/>
        <v>0</v>
      </c>
      <c r="W148" s="264">
        <f t="shared" si="137"/>
        <v>0</v>
      </c>
      <c r="X148" s="192">
        <f>-363.875-146.584</f>
        <v>-510.459</v>
      </c>
      <c r="Y148" s="191"/>
      <c r="Z148" s="193"/>
      <c r="AA148" s="191"/>
      <c r="AB148" s="191">
        <v>-20</v>
      </c>
      <c r="AC148" s="191">
        <v>-20</v>
      </c>
      <c r="AD148" s="190">
        <f>SUM(Z148:AC148)</f>
        <v>-40</v>
      </c>
      <c r="AE148" s="191"/>
      <c r="AF148" s="191">
        <v>-20</v>
      </c>
      <c r="AG148" s="191">
        <v>-20</v>
      </c>
      <c r="AH148" s="191">
        <v>-20</v>
      </c>
      <c r="AI148" s="191">
        <v>-20</v>
      </c>
      <c r="AJ148" s="190">
        <f>SUM(AF148:AI148)</f>
        <v>-80</v>
      </c>
      <c r="AK148" s="191"/>
      <c r="AL148" s="191">
        <v>0</v>
      </c>
      <c r="AM148" s="191">
        <v>0</v>
      </c>
      <c r="AN148" s="191">
        <v>0</v>
      </c>
      <c r="AO148" s="191">
        <v>0</v>
      </c>
      <c r="AP148" s="190">
        <f>SUM(AL148:AO148)</f>
        <v>0</v>
      </c>
      <c r="AR148" s="363">
        <f>-363.875-146.584</f>
        <v>-510.459</v>
      </c>
      <c r="AS148" s="363">
        <f>-363.875-146.584</f>
        <v>-510.459</v>
      </c>
      <c r="AT148" s="363"/>
    </row>
    <row r="149" spans="2:46" x14ac:dyDescent="0.3">
      <c r="B149" s="361" t="s">
        <v>1569</v>
      </c>
      <c r="D149" s="192"/>
      <c r="E149" s="191"/>
      <c r="F149" s="192"/>
      <c r="G149" s="191"/>
      <c r="H149" s="191"/>
      <c r="I149" s="191"/>
      <c r="J149" s="191"/>
      <c r="K149" s="191"/>
      <c r="L149" s="192">
        <v>-3.1760000000000002</v>
      </c>
      <c r="M149" s="191"/>
      <c r="N149" s="191">
        <v>-0.76100000000000001</v>
      </c>
      <c r="O149" s="191">
        <v>-0.49</v>
      </c>
      <c r="P149" s="191">
        <v>-0.93100000000000005</v>
      </c>
      <c r="Q149" s="191">
        <v>-0.53</v>
      </c>
      <c r="R149" s="192">
        <v>-2.7120000000000002</v>
      </c>
      <c r="S149" s="191"/>
      <c r="T149" s="193">
        <v>-0.45900000000000002</v>
      </c>
      <c r="U149" s="308">
        <f t="shared" si="135"/>
        <v>-0.46600000000000003</v>
      </c>
      <c r="V149" s="308">
        <f t="shared" si="136"/>
        <v>-0.36100000000000004</v>
      </c>
      <c r="W149" s="264">
        <f t="shared" si="137"/>
        <v>-0.36599999999999988</v>
      </c>
      <c r="X149" s="192">
        <v>-1.6519999999999999</v>
      </c>
      <c r="Y149" s="191"/>
      <c r="Z149" s="193">
        <v>-0.23799999999999999</v>
      </c>
      <c r="AA149" s="191">
        <f t="shared" ref="AA149:AA155" si="141">AT149-Z149</f>
        <v>-0.22100000000000003</v>
      </c>
      <c r="AB149" s="191">
        <f>AA149</f>
        <v>-0.22100000000000003</v>
      </c>
      <c r="AC149" s="191">
        <f>AB149</f>
        <v>-0.22100000000000003</v>
      </c>
      <c r="AD149" s="190">
        <f t="shared" si="138"/>
        <v>-0.90100000000000002</v>
      </c>
      <c r="AE149" s="191"/>
      <c r="AF149" s="191">
        <f>AC149</f>
        <v>-0.22100000000000003</v>
      </c>
      <c r="AG149" s="191">
        <f>AF149</f>
        <v>-0.22100000000000003</v>
      </c>
      <c r="AH149" s="191">
        <f>AG149</f>
        <v>-0.22100000000000003</v>
      </c>
      <c r="AI149" s="191">
        <f>AH149</f>
        <v>-0.22100000000000003</v>
      </c>
      <c r="AJ149" s="190">
        <f t="shared" ref="AJ149" si="142">+SUM(AF149:AI149)</f>
        <v>-0.88400000000000012</v>
      </c>
      <c r="AK149" s="191"/>
      <c r="AL149" s="191">
        <f>AI149</f>
        <v>-0.22100000000000003</v>
      </c>
      <c r="AM149" s="191">
        <f>AL149</f>
        <v>-0.22100000000000003</v>
      </c>
      <c r="AN149" s="191">
        <f>AM149</f>
        <v>-0.22100000000000003</v>
      </c>
      <c r="AO149" s="191">
        <f>AN149</f>
        <v>-0.22100000000000003</v>
      </c>
      <c r="AP149" s="190">
        <f t="shared" ref="AP149" si="143">+SUM(AL149:AO149)</f>
        <v>-0.88400000000000012</v>
      </c>
      <c r="AR149" s="363">
        <v>-0.92500000000000004</v>
      </c>
      <c r="AS149" s="363">
        <v>-1.286</v>
      </c>
      <c r="AT149" s="363">
        <v>-0.45900000000000002</v>
      </c>
    </row>
    <row r="150" spans="2:46" x14ac:dyDescent="0.3">
      <c r="B150" s="361" t="s">
        <v>543</v>
      </c>
      <c r="D150" s="192"/>
      <c r="E150" s="191"/>
      <c r="F150" s="192"/>
      <c r="G150" s="191"/>
      <c r="H150" s="191"/>
      <c r="I150" s="191"/>
      <c r="J150" s="191"/>
      <c r="K150" s="191"/>
      <c r="L150" s="192">
        <v>0</v>
      </c>
      <c r="M150" s="191"/>
      <c r="N150" s="191">
        <v>100.566</v>
      </c>
      <c r="O150" s="191">
        <v>0</v>
      </c>
      <c r="P150" s="191">
        <v>0</v>
      </c>
      <c r="Q150" s="191">
        <v>0</v>
      </c>
      <c r="R150" s="192">
        <v>100.566</v>
      </c>
      <c r="S150" s="191"/>
      <c r="T150" s="193">
        <v>0</v>
      </c>
      <c r="U150" s="308">
        <f t="shared" si="135"/>
        <v>0.24099999999999999</v>
      </c>
      <c r="V150" s="308">
        <f t="shared" si="136"/>
        <v>0</v>
      </c>
      <c r="W150" s="264">
        <f t="shared" si="137"/>
        <v>0</v>
      </c>
      <c r="X150" s="192">
        <v>0.24099999999999999</v>
      </c>
      <c r="Y150" s="191"/>
      <c r="Z150" s="193"/>
      <c r="AA150" s="191"/>
      <c r="AB150" s="191"/>
      <c r="AC150" s="191"/>
      <c r="AD150" s="190">
        <f t="shared" si="138"/>
        <v>0</v>
      </c>
      <c r="AE150" s="191"/>
      <c r="AF150" s="191"/>
      <c r="AG150" s="191"/>
      <c r="AH150" s="191"/>
      <c r="AI150" s="191"/>
      <c r="AJ150" s="190">
        <f t="shared" ref="AJ150:AJ155" si="144">+SUM(AF150:AI150)</f>
        <v>0</v>
      </c>
      <c r="AK150" s="191"/>
      <c r="AL150" s="191"/>
      <c r="AM150" s="191"/>
      <c r="AN150" s="191"/>
      <c r="AO150" s="191"/>
      <c r="AP150" s="190">
        <f t="shared" ref="AP150:AP155" si="145">+SUM(AL150:AO150)</f>
        <v>0</v>
      </c>
      <c r="AR150" s="363">
        <v>0.24099999999999999</v>
      </c>
      <c r="AS150" s="363">
        <v>0.24099999999999999</v>
      </c>
      <c r="AT150" s="363"/>
    </row>
    <row r="151" spans="2:46" x14ac:dyDescent="0.3">
      <c r="B151" s="361" t="s">
        <v>1806</v>
      </c>
      <c r="D151" s="192"/>
      <c r="E151" s="191"/>
      <c r="F151" s="192"/>
      <c r="G151" s="191"/>
      <c r="H151" s="191"/>
      <c r="I151" s="191"/>
      <c r="J151" s="191"/>
      <c r="K151" s="191"/>
      <c r="L151" s="192">
        <v>0</v>
      </c>
      <c r="M151" s="191"/>
      <c r="N151" s="191">
        <v>-18.773</v>
      </c>
      <c r="O151" s="191">
        <v>-3.3050000000000002</v>
      </c>
      <c r="P151" s="191">
        <v>0</v>
      </c>
      <c r="Q151" s="191">
        <v>-1.7470000000000001</v>
      </c>
      <c r="R151" s="192">
        <v>-23.824999999999999</v>
      </c>
      <c r="S151" s="191"/>
      <c r="T151" s="193">
        <v>0</v>
      </c>
      <c r="U151" s="308">
        <f t="shared" si="135"/>
        <v>0</v>
      </c>
      <c r="V151" s="308">
        <f t="shared" si="136"/>
        <v>0</v>
      </c>
      <c r="W151" s="264">
        <f t="shared" si="137"/>
        <v>0</v>
      </c>
      <c r="X151" s="192">
        <v>0</v>
      </c>
      <c r="Y151" s="191"/>
      <c r="Z151" s="193"/>
      <c r="AA151" s="191"/>
      <c r="AB151" s="191"/>
      <c r="AC151" s="191"/>
      <c r="AD151" s="190">
        <f t="shared" si="138"/>
        <v>0</v>
      </c>
      <c r="AE151" s="191"/>
      <c r="AF151" s="191"/>
      <c r="AG151" s="191"/>
      <c r="AH151" s="191"/>
      <c r="AI151" s="191"/>
      <c r="AJ151" s="190">
        <f t="shared" si="144"/>
        <v>0</v>
      </c>
      <c r="AK151" s="191"/>
      <c r="AL151" s="191"/>
      <c r="AM151" s="191"/>
      <c r="AN151" s="191"/>
      <c r="AO151" s="191"/>
      <c r="AP151" s="190">
        <f t="shared" si="145"/>
        <v>0</v>
      </c>
      <c r="AR151" s="363"/>
      <c r="AS151" s="363"/>
      <c r="AT151" s="363"/>
    </row>
    <row r="152" spans="2:46" x14ac:dyDescent="0.3">
      <c r="B152" s="361" t="s">
        <v>1807</v>
      </c>
      <c r="D152" s="192"/>
      <c r="E152" s="191"/>
      <c r="F152" s="192"/>
      <c r="G152" s="191"/>
      <c r="H152" s="191"/>
      <c r="I152" s="191"/>
      <c r="J152" s="191"/>
      <c r="K152" s="191"/>
      <c r="L152" s="192">
        <v>0</v>
      </c>
      <c r="M152" s="191"/>
      <c r="N152" s="191">
        <v>25</v>
      </c>
      <c r="O152" s="191">
        <v>0</v>
      </c>
      <c r="P152" s="191">
        <v>0</v>
      </c>
      <c r="Q152" s="191">
        <v>0</v>
      </c>
      <c r="R152" s="192">
        <v>25</v>
      </c>
      <c r="S152" s="191"/>
      <c r="T152" s="193">
        <v>0</v>
      </c>
      <c r="U152" s="308">
        <f t="shared" si="135"/>
        <v>261.41300000000001</v>
      </c>
      <c r="V152" s="308">
        <f t="shared" si="136"/>
        <v>0</v>
      </c>
      <c r="W152" s="264">
        <f t="shared" si="137"/>
        <v>0</v>
      </c>
      <c r="X152" s="192">
        <v>261.41300000000001</v>
      </c>
      <c r="Y152" s="191"/>
      <c r="Z152" s="193"/>
      <c r="AA152" s="191"/>
      <c r="AB152" s="191"/>
      <c r="AC152" s="191"/>
      <c r="AD152" s="190">
        <f t="shared" si="138"/>
        <v>0</v>
      </c>
      <c r="AE152" s="191"/>
      <c r="AF152" s="191"/>
      <c r="AG152" s="191"/>
      <c r="AH152" s="191"/>
      <c r="AI152" s="191"/>
      <c r="AJ152" s="190">
        <f t="shared" si="144"/>
        <v>0</v>
      </c>
      <c r="AK152" s="191"/>
      <c r="AL152" s="191"/>
      <c r="AM152" s="191"/>
      <c r="AN152" s="191"/>
      <c r="AO152" s="191"/>
      <c r="AP152" s="190">
        <f t="shared" si="145"/>
        <v>0</v>
      </c>
      <c r="AR152" s="363">
        <v>261.41300000000001</v>
      </c>
      <c r="AS152" s="363">
        <v>261.41300000000001</v>
      </c>
      <c r="AT152" s="363"/>
    </row>
    <row r="153" spans="2:46" x14ac:dyDescent="0.3">
      <c r="B153" s="361" t="s">
        <v>1808</v>
      </c>
      <c r="D153" s="192"/>
      <c r="E153" s="191"/>
      <c r="F153" s="192"/>
      <c r="G153" s="191"/>
      <c r="H153" s="191"/>
      <c r="I153" s="191"/>
      <c r="J153" s="191"/>
      <c r="K153" s="191"/>
      <c r="L153" s="192">
        <v>0</v>
      </c>
      <c r="M153" s="191"/>
      <c r="N153" s="191">
        <v>0</v>
      </c>
      <c r="O153" s="191">
        <v>0</v>
      </c>
      <c r="P153" s="191">
        <v>0</v>
      </c>
      <c r="Q153" s="191">
        <v>0</v>
      </c>
      <c r="R153" s="192">
        <v>0</v>
      </c>
      <c r="S153" s="191"/>
      <c r="T153" s="193">
        <v>0</v>
      </c>
      <c r="U153" s="308">
        <f t="shared" si="135"/>
        <v>320.55900000000003</v>
      </c>
      <c r="V153" s="308">
        <f t="shared" si="136"/>
        <v>0</v>
      </c>
      <c r="W153" s="264">
        <f t="shared" si="137"/>
        <v>0</v>
      </c>
      <c r="X153" s="192">
        <v>320.55900000000003</v>
      </c>
      <c r="Y153" s="191"/>
      <c r="Z153" s="193"/>
      <c r="AA153" s="191">
        <f t="shared" si="141"/>
        <v>0.29000000000000004</v>
      </c>
      <c r="AB153" s="191"/>
      <c r="AC153" s="191"/>
      <c r="AD153" s="190">
        <f t="shared" si="138"/>
        <v>0.29000000000000004</v>
      </c>
      <c r="AE153" s="191"/>
      <c r="AF153" s="191"/>
      <c r="AG153" s="191"/>
      <c r="AH153" s="191"/>
      <c r="AI153" s="191"/>
      <c r="AJ153" s="190">
        <f t="shared" si="144"/>
        <v>0</v>
      </c>
      <c r="AK153" s="191"/>
      <c r="AL153" s="191"/>
      <c r="AM153" s="191"/>
      <c r="AN153" s="191"/>
      <c r="AO153" s="191"/>
      <c r="AP153" s="190">
        <f t="shared" si="145"/>
        <v>0</v>
      </c>
      <c r="AR153" s="363">
        <v>320.55900000000003</v>
      </c>
      <c r="AS153" s="363">
        <v>320.55900000000003</v>
      </c>
      <c r="AT153" s="363">
        <f>1.27-0.98</f>
        <v>0.29000000000000004</v>
      </c>
    </row>
    <row r="154" spans="2:46" x14ac:dyDescent="0.3">
      <c r="B154" s="361" t="s">
        <v>1809</v>
      </c>
      <c r="D154" s="192"/>
      <c r="E154" s="191"/>
      <c r="F154" s="192"/>
      <c r="G154" s="191"/>
      <c r="H154" s="191"/>
      <c r="I154" s="191"/>
      <c r="J154" s="191"/>
      <c r="K154" s="191"/>
      <c r="L154" s="192"/>
      <c r="M154" s="191"/>
      <c r="N154" s="191"/>
      <c r="O154" s="191"/>
      <c r="P154" s="191"/>
      <c r="Q154" s="191"/>
      <c r="R154" s="192"/>
      <c r="S154" s="191"/>
      <c r="T154" s="193"/>
      <c r="U154" s="308"/>
      <c r="V154" s="308"/>
      <c r="W154" s="264"/>
      <c r="X154" s="192"/>
      <c r="Y154" s="191"/>
      <c r="Z154" s="193"/>
      <c r="AA154" s="191"/>
      <c r="AB154" s="191"/>
      <c r="AC154" s="191"/>
      <c r="AD154" s="190"/>
      <c r="AE154" s="191"/>
      <c r="AF154" s="191"/>
      <c r="AG154" s="191"/>
      <c r="AH154" s="191"/>
      <c r="AI154" s="191"/>
      <c r="AJ154" s="190"/>
      <c r="AK154" s="191"/>
      <c r="AL154" s="191"/>
      <c r="AM154" s="191"/>
      <c r="AN154" s="191"/>
      <c r="AO154" s="191"/>
      <c r="AP154" s="190"/>
      <c r="AR154" s="363"/>
      <c r="AS154" s="363"/>
      <c r="AT154" s="363"/>
    </row>
    <row r="155" spans="2:46" x14ac:dyDescent="0.3">
      <c r="B155" s="361" t="s">
        <v>363</v>
      </c>
      <c r="D155" s="192"/>
      <c r="E155" s="191"/>
      <c r="F155" s="192"/>
      <c r="G155" s="191"/>
      <c r="H155" s="191"/>
      <c r="I155" s="191"/>
      <c r="J155" s="191"/>
      <c r="K155" s="191"/>
      <c r="L155" s="192"/>
      <c r="M155" s="191"/>
      <c r="N155" s="191"/>
      <c r="O155" s="191"/>
      <c r="P155" s="191"/>
      <c r="Q155" s="191"/>
      <c r="R155" s="192"/>
      <c r="S155" s="191"/>
      <c r="T155" s="193"/>
      <c r="U155" s="308">
        <f>AR155-T155</f>
        <v>-2.96</v>
      </c>
      <c r="V155" s="308">
        <f>AS155-U155-T155</f>
        <v>-3.1359999999999992</v>
      </c>
      <c r="W155" s="264">
        <f t="shared" si="137"/>
        <v>-0.15799999999999947</v>
      </c>
      <c r="X155" s="192">
        <f>-4.034-0.313-1.257-0.705+0.387-0.332</f>
        <v>-6.2539999999999987</v>
      </c>
      <c r="Y155" s="191"/>
      <c r="Z155" s="193">
        <f>-0.349+0.547</f>
        <v>0.19800000000000006</v>
      </c>
      <c r="AA155" s="191">
        <f t="shared" si="141"/>
        <v>-0.72400000000000009</v>
      </c>
      <c r="AB155" s="191"/>
      <c r="AC155" s="191"/>
      <c r="AD155" s="190">
        <f t="shared" si="138"/>
        <v>-0.52600000000000002</v>
      </c>
      <c r="AE155" s="191"/>
      <c r="AF155" s="191"/>
      <c r="AG155" s="191"/>
      <c r="AH155" s="191"/>
      <c r="AI155" s="191"/>
      <c r="AJ155" s="190">
        <f t="shared" si="144"/>
        <v>0</v>
      </c>
      <c r="AK155" s="191"/>
      <c r="AL155" s="191"/>
      <c r="AM155" s="191"/>
      <c r="AN155" s="191"/>
      <c r="AO155" s="191"/>
      <c r="AP155" s="190">
        <f t="shared" si="145"/>
        <v>0</v>
      </c>
      <c r="AR155" s="363">
        <f>-1.028-0.313-1.257-0.362</f>
        <v>-2.96</v>
      </c>
      <c r="AS155" s="363">
        <f>-3.848-0.313-1.257-0.533+0.187-0.332</f>
        <v>-6.0959999999999992</v>
      </c>
      <c r="AT155" s="363">
        <v>-0.52600000000000002</v>
      </c>
    </row>
    <row r="156" spans="2:46" x14ac:dyDescent="0.3">
      <c r="B156" s="323" t="s">
        <v>1810</v>
      </c>
      <c r="C156" s="324"/>
      <c r="D156" s="327"/>
      <c r="E156" s="326"/>
      <c r="F156" s="327"/>
      <c r="G156" s="326"/>
      <c r="H156" s="326"/>
      <c r="I156" s="326"/>
      <c r="J156" s="326"/>
      <c r="K156" s="326"/>
      <c r="L156" s="337">
        <f t="shared" ref="L156:R156" si="146">SUM(L147:L155)</f>
        <v>-3.1760000000000002</v>
      </c>
      <c r="M156" s="338">
        <f t="shared" si="146"/>
        <v>0</v>
      </c>
      <c r="N156" s="338">
        <f t="shared" si="146"/>
        <v>70.635000000000005</v>
      </c>
      <c r="O156" s="338">
        <f t="shared" si="146"/>
        <v>-28.794999999999998</v>
      </c>
      <c r="P156" s="338">
        <f t="shared" si="146"/>
        <v>-2.6059999999999999</v>
      </c>
      <c r="Q156" s="338">
        <f t="shared" si="146"/>
        <v>-3.952</v>
      </c>
      <c r="R156" s="337">
        <f t="shared" si="146"/>
        <v>35.281999999999996</v>
      </c>
      <c r="S156" s="326"/>
      <c r="T156" s="328">
        <f t="shared" ref="T156:AP156" si="147">SUM(T147:T155)</f>
        <v>-50.762000000000008</v>
      </c>
      <c r="U156" s="328">
        <f t="shared" si="147"/>
        <v>118.63100000000001</v>
      </c>
      <c r="V156" s="328">
        <f t="shared" si="147"/>
        <v>-3.4969999999999994</v>
      </c>
      <c r="W156" s="328">
        <f t="shared" si="147"/>
        <v>-0.52399999999999936</v>
      </c>
      <c r="X156" s="325">
        <f t="shared" si="147"/>
        <v>63.848000000000035</v>
      </c>
      <c r="Y156" s="326">
        <f t="shared" si="147"/>
        <v>0</v>
      </c>
      <c r="Z156" s="328">
        <f t="shared" si="147"/>
        <v>-3.9999999999999925E-2</v>
      </c>
      <c r="AA156" s="328">
        <f t="shared" si="147"/>
        <v>-0.65500000000000003</v>
      </c>
      <c r="AB156" s="328">
        <f t="shared" si="147"/>
        <v>-20.221</v>
      </c>
      <c r="AC156" s="328">
        <f t="shared" si="147"/>
        <v>-20.221</v>
      </c>
      <c r="AD156" s="325">
        <f t="shared" si="147"/>
        <v>-41.137000000000008</v>
      </c>
      <c r="AE156" s="326">
        <f t="shared" si="147"/>
        <v>0</v>
      </c>
      <c r="AF156" s="328">
        <f t="shared" si="147"/>
        <v>-20.221</v>
      </c>
      <c r="AG156" s="328">
        <f t="shared" si="147"/>
        <v>-20.221</v>
      </c>
      <c r="AH156" s="328">
        <f t="shared" si="147"/>
        <v>-20.221</v>
      </c>
      <c r="AI156" s="328">
        <f t="shared" si="147"/>
        <v>-20.221</v>
      </c>
      <c r="AJ156" s="325">
        <f t="shared" si="147"/>
        <v>-80.884</v>
      </c>
      <c r="AK156" s="326">
        <f t="shared" si="147"/>
        <v>0</v>
      </c>
      <c r="AL156" s="328">
        <f t="shared" si="147"/>
        <v>-0.22100000000000003</v>
      </c>
      <c r="AM156" s="328">
        <f t="shared" si="147"/>
        <v>-0.22100000000000003</v>
      </c>
      <c r="AN156" s="328">
        <f t="shared" si="147"/>
        <v>-0.22100000000000003</v>
      </c>
      <c r="AO156" s="328">
        <f t="shared" si="147"/>
        <v>-0.22100000000000003</v>
      </c>
      <c r="AP156" s="325">
        <f t="shared" si="147"/>
        <v>-0.88400000000000012</v>
      </c>
      <c r="AR156" s="328">
        <f>SUM(AR147:AR155)</f>
        <v>67.869000000000014</v>
      </c>
      <c r="AS156" s="364">
        <f>SUM(AS147:AS155)</f>
        <v>64.372000000000014</v>
      </c>
      <c r="AT156" s="364">
        <f>SUM(AT147:AT155)</f>
        <v>-0.69500000000000006</v>
      </c>
    </row>
    <row r="157" spans="2:46" x14ac:dyDescent="0.3">
      <c r="B157" s="189"/>
      <c r="D157" s="192"/>
      <c r="E157" s="191"/>
      <c r="F157" s="192"/>
      <c r="G157" s="191"/>
      <c r="H157" s="191"/>
      <c r="I157" s="191"/>
      <c r="J157" s="191"/>
      <c r="K157" s="191"/>
      <c r="L157" s="192"/>
      <c r="M157" s="191"/>
      <c r="N157" s="191"/>
      <c r="O157" s="191"/>
      <c r="P157" s="191"/>
      <c r="Q157" s="191"/>
      <c r="R157" s="192"/>
      <c r="S157" s="191"/>
      <c r="T157" s="193"/>
      <c r="U157" s="193"/>
      <c r="V157" s="191"/>
      <c r="W157" s="191"/>
      <c r="X157" s="192"/>
      <c r="Y157" s="191"/>
      <c r="Z157" s="191"/>
      <c r="AA157" s="191"/>
      <c r="AB157" s="191"/>
      <c r="AC157" s="191"/>
      <c r="AD157" s="192"/>
      <c r="AE157" s="191"/>
      <c r="AF157" s="191"/>
      <c r="AG157" s="191"/>
      <c r="AH157" s="191"/>
      <c r="AI157" s="191"/>
      <c r="AJ157" s="192"/>
      <c r="AK157" s="191"/>
      <c r="AL157" s="191"/>
      <c r="AM157" s="191"/>
      <c r="AN157" s="191"/>
      <c r="AO157" s="191"/>
      <c r="AP157" s="192"/>
      <c r="AR157" s="360"/>
      <c r="AS157" s="360"/>
      <c r="AT157" s="360"/>
    </row>
    <row r="158" spans="2:46" x14ac:dyDescent="0.3">
      <c r="B158" s="361" t="s">
        <v>1811</v>
      </c>
      <c r="D158" s="192"/>
      <c r="E158" s="191"/>
      <c r="F158" s="192"/>
      <c r="G158" s="191"/>
      <c r="H158" s="191"/>
      <c r="I158" s="191"/>
      <c r="J158" s="191"/>
      <c r="K158" s="191"/>
      <c r="L158" s="192">
        <v>-0.13</v>
      </c>
      <c r="M158" s="191"/>
      <c r="N158" s="191">
        <v>-0.182</v>
      </c>
      <c r="O158" s="191">
        <v>-1.0609999999999999</v>
      </c>
      <c r="P158" s="191">
        <v>-0.52400000000000002</v>
      </c>
      <c r="Q158" s="191">
        <v>2.6859999999999999</v>
      </c>
      <c r="R158" s="190">
        <f>+SUM(N158:Q158)</f>
        <v>0.91900000000000004</v>
      </c>
      <c r="S158" s="191"/>
      <c r="T158" s="193">
        <v>-0.31</v>
      </c>
      <c r="U158" s="308">
        <f>AR158-T158</f>
        <v>-0.34600000000000003</v>
      </c>
      <c r="V158" s="308">
        <f>AS158-U158-T158</f>
        <v>0.13400000000000001</v>
      </c>
      <c r="W158" s="365">
        <f t="shared" ref="W158" si="148">X158-SUM(T158:V158)</f>
        <v>0.24099999999999999</v>
      </c>
      <c r="X158" s="190">
        <v>-0.28100000000000003</v>
      </c>
      <c r="Y158" s="191"/>
      <c r="Z158" s="193">
        <v>5.8000000000000003E-2</v>
      </c>
      <c r="AA158" s="191">
        <f>-2.546-Z158</f>
        <v>-2.6039999999999996</v>
      </c>
      <c r="AB158" s="191">
        <v>0</v>
      </c>
      <c r="AC158" s="191">
        <v>0</v>
      </c>
      <c r="AD158" s="190">
        <f>+SUM(Z158:AC158)</f>
        <v>-2.5459999999999998</v>
      </c>
      <c r="AE158" s="191"/>
      <c r="AF158" s="191">
        <v>0</v>
      </c>
      <c r="AG158" s="191">
        <v>0</v>
      </c>
      <c r="AH158" s="191">
        <v>0</v>
      </c>
      <c r="AI158" s="191">
        <v>0</v>
      </c>
      <c r="AJ158" s="190">
        <f>+SUM(AF158:AI158)</f>
        <v>0</v>
      </c>
      <c r="AK158" s="191"/>
      <c r="AL158" s="191">
        <v>0</v>
      </c>
      <c r="AM158" s="191">
        <v>0</v>
      </c>
      <c r="AN158" s="191">
        <v>0</v>
      </c>
      <c r="AO158" s="191">
        <v>0</v>
      </c>
      <c r="AP158" s="190">
        <f>+SUM(AL158:AO158)</f>
        <v>0</v>
      </c>
      <c r="AR158" s="360">
        <v>-0.65600000000000003</v>
      </c>
      <c r="AS158" s="360">
        <v>-0.52200000000000002</v>
      </c>
      <c r="AT158" s="191">
        <f>-2.546-AS158</f>
        <v>-2.024</v>
      </c>
    </row>
    <row r="159" spans="2:46" x14ac:dyDescent="0.3">
      <c r="B159" s="361" t="s">
        <v>1812</v>
      </c>
      <c r="D159" s="366"/>
      <c r="E159" s="367"/>
      <c r="F159" s="366"/>
      <c r="G159" s="367"/>
      <c r="H159" s="367"/>
      <c r="I159" s="367"/>
      <c r="J159" s="367"/>
      <c r="K159" s="367"/>
      <c r="L159" s="366">
        <v>30.257999999999999</v>
      </c>
      <c r="M159" s="367"/>
      <c r="N159" s="367">
        <v>80.746018120000699</v>
      </c>
      <c r="O159" s="367">
        <v>129.8167471400007</v>
      </c>
      <c r="P159" s="367">
        <v>117.0407471400007</v>
      </c>
      <c r="Q159" s="367">
        <v>123.78474714000072</v>
      </c>
      <c r="R159" s="307">
        <f>N159</f>
        <v>80.746018120000699</v>
      </c>
      <c r="S159" s="367"/>
      <c r="T159" s="309">
        <f>R161</f>
        <v>152.97274714000071</v>
      </c>
      <c r="U159" s="309">
        <f>T161</f>
        <v>113.48674714000069</v>
      </c>
      <c r="V159" s="309">
        <f>U161</f>
        <v>257.2807471400007</v>
      </c>
      <c r="W159" s="309">
        <f t="shared" ref="W159:AC159" si="149">V161</f>
        <v>275.69074714000067</v>
      </c>
      <c r="X159" s="307">
        <f>T159</f>
        <v>152.97274714000071</v>
      </c>
      <c r="Y159" s="367"/>
      <c r="Z159" s="309">
        <f>X161</f>
        <v>292.78974714000066</v>
      </c>
      <c r="AA159" s="309">
        <f t="shared" si="149"/>
        <v>307.91874714000062</v>
      </c>
      <c r="AB159" s="309">
        <f t="shared" si="149"/>
        <v>351.5157471400006</v>
      </c>
      <c r="AC159" s="309">
        <f t="shared" si="149"/>
        <v>381.24845555226096</v>
      </c>
      <c r="AD159" s="307">
        <f>X161</f>
        <v>292.78974714000066</v>
      </c>
      <c r="AE159" s="367"/>
      <c r="AF159" s="309">
        <f>AD161</f>
        <v>411.24809438154222</v>
      </c>
      <c r="AG159" s="309">
        <f t="shared" ref="AG159:AI159" si="150">AF161</f>
        <v>431.31719362857143</v>
      </c>
      <c r="AH159" s="309">
        <f t="shared" si="150"/>
        <v>444.64848984050997</v>
      </c>
      <c r="AI159" s="309">
        <f t="shared" si="150"/>
        <v>478.87990576518951</v>
      </c>
      <c r="AJ159" s="307">
        <f>AD161</f>
        <v>411.24809438154222</v>
      </c>
      <c r="AK159" s="367"/>
      <c r="AL159" s="309">
        <f>AJ161</f>
        <v>514.56764081936194</v>
      </c>
      <c r="AM159" s="309">
        <f t="shared" ref="AM159:AO159" si="151">AL161</f>
        <v>558.48169503601719</v>
      </c>
      <c r="AN159" s="309">
        <f t="shared" si="151"/>
        <v>595.34412252691072</v>
      </c>
      <c r="AO159" s="309">
        <f t="shared" si="151"/>
        <v>654.8136874892316</v>
      </c>
      <c r="AP159" s="307">
        <f>AJ161</f>
        <v>514.56764081936194</v>
      </c>
    </row>
    <row r="160" spans="2:46" x14ac:dyDescent="0.3">
      <c r="B160" s="361" t="s">
        <v>1813</v>
      </c>
      <c r="D160" s="366"/>
      <c r="E160" s="367"/>
      <c r="F160" s="366"/>
      <c r="G160" s="367"/>
      <c r="H160" s="367"/>
      <c r="I160" s="367"/>
      <c r="J160" s="367"/>
      <c r="K160" s="367"/>
      <c r="L160" s="366">
        <v>50.488</v>
      </c>
      <c r="M160" s="367"/>
      <c r="N160" s="367">
        <v>49.030999999999999</v>
      </c>
      <c r="O160" s="367">
        <v>-12.766999999999989</v>
      </c>
      <c r="P160" s="367">
        <v>6.7720000000000073</v>
      </c>
      <c r="Q160" s="367">
        <v>29.188000000000002</v>
      </c>
      <c r="R160" s="307">
        <f>+SUM(N160:Q160)</f>
        <v>72.224000000000018</v>
      </c>
      <c r="S160" s="367"/>
      <c r="T160" s="308">
        <v>-39.486000000000018</v>
      </c>
      <c r="U160" s="309">
        <f>SUM(U156,U145,U139)+U158</f>
        <v>143.79400000000001</v>
      </c>
      <c r="V160" s="309">
        <f>SUM(V156,V145,V139)+V158</f>
        <v>18.409999999999993</v>
      </c>
      <c r="W160" s="309">
        <f>SUM(W156,W145,W139)+W158</f>
        <v>17.099000000000011</v>
      </c>
      <c r="X160" s="307">
        <f>+SUM(T160:W160)</f>
        <v>139.81700000000001</v>
      </c>
      <c r="Y160" s="367"/>
      <c r="Z160" s="309">
        <f>SUM(Z156,Z145,Z139)+Z158</f>
        <v>15.128999999999991</v>
      </c>
      <c r="AA160" s="309">
        <f>SUM(AA156,AA145,AA139)+AA158</f>
        <v>43.597000000000001</v>
      </c>
      <c r="AB160" s="309">
        <f>SUM(AB156,AB145,AB139)+AB158</f>
        <v>29.732708412260386</v>
      </c>
      <c r="AC160" s="309">
        <f>SUM(AC156,AC145,AC139)+AC158</f>
        <v>29.999638829281277</v>
      </c>
      <c r="AD160" s="307">
        <f>+SUM(Z160:AC160)</f>
        <v>118.45834724154166</v>
      </c>
      <c r="AE160" s="367"/>
      <c r="AF160" s="309">
        <f>SUM(AF156,AF145,AF139)+AF158</f>
        <v>20.069099247029186</v>
      </c>
      <c r="AG160" s="309">
        <f>SUM(AG156,AG145,AG139)+AG158</f>
        <v>13.331296211938515</v>
      </c>
      <c r="AH160" s="309">
        <f>SUM(AH156,AH145,AH139)+AH158</f>
        <v>34.231415924679524</v>
      </c>
      <c r="AI160" s="309">
        <f>SUM(AI156,AI145,AI139)+AI158</f>
        <v>35.687735054172428</v>
      </c>
      <c r="AJ160" s="307">
        <f>+SUM(AF160:AI160)</f>
        <v>103.31954643781967</v>
      </c>
      <c r="AK160" s="367"/>
      <c r="AL160" s="309">
        <f>SUM(AL156,AL145,AL139)+AL158</f>
        <v>43.914054216655231</v>
      </c>
      <c r="AM160" s="309">
        <f>SUM(AM156,AM145,AM139)+AM158</f>
        <v>36.862427490893552</v>
      </c>
      <c r="AN160" s="309">
        <f>SUM(AN156,AN145,AN139)+AN158</f>
        <v>59.469564962320909</v>
      </c>
      <c r="AO160" s="309">
        <f>SUM(AO156,AO145,AO139)+AO158</f>
        <v>61.087003250238261</v>
      </c>
      <c r="AP160" s="307">
        <f>+SUM(AL160:AO160)</f>
        <v>201.33304992010795</v>
      </c>
      <c r="AR160" s="309">
        <f>SUM(AR156,AR145,AR139)+AR158</f>
        <v>104.30800000000001</v>
      </c>
      <c r="AS160" s="309">
        <f>SUM(AS156,AS145,AS139)+AS158</f>
        <v>122.71799999999998</v>
      </c>
      <c r="AT160" s="309">
        <f>SUM(AT156,AT145,AT139)+AT158</f>
        <v>59.248000000000019</v>
      </c>
    </row>
    <row r="161" spans="2:70" x14ac:dyDescent="0.3">
      <c r="B161" s="361" t="s">
        <v>1814</v>
      </c>
      <c r="D161" s="366"/>
      <c r="E161" s="367"/>
      <c r="F161" s="366"/>
      <c r="G161" s="367"/>
      <c r="H161" s="367"/>
      <c r="I161" s="367"/>
      <c r="J161" s="367"/>
      <c r="K161" s="367"/>
      <c r="L161" s="307">
        <f>L159+L160</f>
        <v>80.745999999999995</v>
      </c>
      <c r="M161" s="367"/>
      <c r="N161" s="309">
        <f>N160+N159</f>
        <v>129.77701812000069</v>
      </c>
      <c r="O161" s="309">
        <f>O160+O159</f>
        <v>117.0497471400007</v>
      </c>
      <c r="P161" s="309">
        <f>P160+P159</f>
        <v>123.81274714000071</v>
      </c>
      <c r="Q161" s="309">
        <f>Q160+Q159</f>
        <v>152.97274714000071</v>
      </c>
      <c r="R161" s="307">
        <f>Q161</f>
        <v>152.97274714000071</v>
      </c>
      <c r="S161" s="367"/>
      <c r="T161" s="309">
        <f>T160+T159</f>
        <v>113.48674714000069</v>
      </c>
      <c r="U161" s="309">
        <f>U160+U159</f>
        <v>257.2807471400007</v>
      </c>
      <c r="V161" s="309">
        <f>V160+V159</f>
        <v>275.69074714000067</v>
      </c>
      <c r="W161" s="309">
        <f>W160+W159</f>
        <v>292.78974714000066</v>
      </c>
      <c r="X161" s="307">
        <f>W161</f>
        <v>292.78974714000066</v>
      </c>
      <c r="Y161" s="367"/>
      <c r="Z161" s="309">
        <f>Z160+Z159</f>
        <v>307.91874714000062</v>
      </c>
      <c r="AA161" s="309">
        <f>AA160+AA159</f>
        <v>351.5157471400006</v>
      </c>
      <c r="AB161" s="309">
        <f>AB160+AB159</f>
        <v>381.24845555226096</v>
      </c>
      <c r="AC161" s="309">
        <f>AC160+AC159</f>
        <v>411.24809438154222</v>
      </c>
      <c r="AD161" s="307">
        <f>AC161</f>
        <v>411.24809438154222</v>
      </c>
      <c r="AE161" s="367"/>
      <c r="AF161" s="309">
        <f>AF160+AF159</f>
        <v>431.31719362857143</v>
      </c>
      <c r="AG161" s="309">
        <f>AG160+AG159</f>
        <v>444.64848984050997</v>
      </c>
      <c r="AH161" s="309">
        <f>AH160+AH159</f>
        <v>478.87990576518951</v>
      </c>
      <c r="AI161" s="309">
        <f>AI160+AI159</f>
        <v>514.56764081936194</v>
      </c>
      <c r="AJ161" s="307">
        <f>AI161</f>
        <v>514.56764081936194</v>
      </c>
      <c r="AK161" s="367"/>
      <c r="AL161" s="309">
        <f>AL160+AL159</f>
        <v>558.48169503601719</v>
      </c>
      <c r="AM161" s="309">
        <f>AM160+AM159</f>
        <v>595.34412252691072</v>
      </c>
      <c r="AN161" s="309">
        <f>AN160+AN159</f>
        <v>654.8136874892316</v>
      </c>
      <c r="AO161" s="309">
        <f>AO160+AO159</f>
        <v>715.90069073946984</v>
      </c>
      <c r="AP161" s="307">
        <f>AO161</f>
        <v>715.90069073946984</v>
      </c>
    </row>
    <row r="162" spans="2:70" s="324" customFormat="1" ht="14.5" thickBot="1" x14ac:dyDescent="0.35">
      <c r="B162" s="368" t="s">
        <v>1815</v>
      </c>
      <c r="C162" s="369"/>
      <c r="D162" s="370"/>
      <c r="E162" s="371"/>
      <c r="F162" s="370"/>
      <c r="G162" s="371"/>
      <c r="H162" s="371"/>
      <c r="I162" s="371"/>
      <c r="J162" s="371"/>
      <c r="K162" s="371"/>
      <c r="L162" s="370">
        <f>L139+L142+L143</f>
        <v>54.914000000000001</v>
      </c>
      <c r="M162" s="371"/>
      <c r="N162" s="372">
        <v>-21.965000000000011</v>
      </c>
      <c r="O162" s="372">
        <v>17.089000000000006</v>
      </c>
      <c r="P162" s="372">
        <v>9.9000000000000075</v>
      </c>
      <c r="Q162" s="372">
        <v>30.905000000000005</v>
      </c>
      <c r="R162" s="370">
        <f>SUM(N162:Q162)</f>
        <v>35.929000000000009</v>
      </c>
      <c r="S162" s="371"/>
      <c r="T162" s="373">
        <v>18.733999999999988</v>
      </c>
      <c r="U162" s="373">
        <f>U139+U142+U143</f>
        <v>26.041000000000004</v>
      </c>
      <c r="V162" s="373">
        <f>V139+V142+V143</f>
        <v>21.375999999999991</v>
      </c>
      <c r="W162" s="373">
        <f>W139+W142+W143</f>
        <v>58.728000000000009</v>
      </c>
      <c r="X162" s="370">
        <f>SUM(T162:W162)</f>
        <v>124.87899999999999</v>
      </c>
      <c r="Y162" s="371"/>
      <c r="Z162" s="373">
        <f>Z139+Z142+Z143</f>
        <v>34.030999999999992</v>
      </c>
      <c r="AA162" s="373">
        <f>AA139+AA142+AA143</f>
        <v>46.98</v>
      </c>
      <c r="AB162" s="373">
        <f>AB139+AB142+AB143</f>
        <v>49.95370841226039</v>
      </c>
      <c r="AC162" s="373">
        <f>AC139+AC142+AC143</f>
        <v>50.220638829281278</v>
      </c>
      <c r="AD162" s="370">
        <f>SUM(Z162:AC162)</f>
        <v>181.18534724154168</v>
      </c>
      <c r="AE162" s="371"/>
      <c r="AF162" s="373">
        <f>AF139+AF142+AF143</f>
        <v>40.29009924702919</v>
      </c>
      <c r="AG162" s="373">
        <f>AG139+AG142+AG143</f>
        <v>33.552296211938511</v>
      </c>
      <c r="AH162" s="373">
        <f>AH139+AH142+AH143</f>
        <v>54.452415924679528</v>
      </c>
      <c r="AI162" s="373">
        <f>AI139+AI142+AI143</f>
        <v>55.908735054172425</v>
      </c>
      <c r="AJ162" s="370">
        <f>SUM(AF162:AI162)</f>
        <v>184.20354643781968</v>
      </c>
      <c r="AK162" s="371"/>
      <c r="AL162" s="373">
        <f>AL139+AL142+AL143</f>
        <v>44.135054216655234</v>
      </c>
      <c r="AM162" s="373">
        <f>AM139+AM142+AM143</f>
        <v>37.083427490893556</v>
      </c>
      <c r="AN162" s="373">
        <f>AN139+AN142+AN143</f>
        <v>59.690564962320906</v>
      </c>
      <c r="AO162" s="373">
        <f>AO139+AO142+AO143</f>
        <v>61.308003250238265</v>
      </c>
      <c r="AP162" s="370">
        <f>SUM(AL162:AO162)</f>
        <v>202.21704992010797</v>
      </c>
      <c r="AZ162" s="118"/>
      <c r="BA162" s="119"/>
      <c r="BB162" s="119"/>
      <c r="BC162" s="119"/>
    </row>
    <row r="163" spans="2:70" s="132" customFormat="1" ht="14.5" thickTop="1" x14ac:dyDescent="0.3">
      <c r="B163" s="153" t="s">
        <v>1745</v>
      </c>
      <c r="D163" s="154"/>
      <c r="E163" s="155"/>
      <c r="F163" s="162"/>
      <c r="G163" s="155"/>
      <c r="H163" s="155"/>
      <c r="I163" s="155"/>
      <c r="J163" s="155"/>
      <c r="K163" s="155"/>
      <c r="L163" s="162"/>
      <c r="M163" s="155"/>
      <c r="N163" s="157"/>
      <c r="O163" s="157"/>
      <c r="P163" s="157"/>
      <c r="Q163" s="157"/>
      <c r="R163" s="277" t="s">
        <v>1764</v>
      </c>
      <c r="S163" s="155"/>
      <c r="T163" s="157">
        <f>T162/N162-1</f>
        <v>-1.8529023446391979</v>
      </c>
      <c r="U163" s="157">
        <f>U162/O162-1</f>
        <v>0.5238457487272512</v>
      </c>
      <c r="V163" s="157">
        <f>V162/P162-1</f>
        <v>1.1591919191919167</v>
      </c>
      <c r="W163" s="157">
        <f>W162/Q162-1</f>
        <v>0.90027503640187678</v>
      </c>
      <c r="X163" s="154">
        <f>+X162/R162-1</f>
        <v>2.4757159954354409</v>
      </c>
      <c r="Y163" s="155"/>
      <c r="Z163" s="157">
        <f>Z162/T162-1</f>
        <v>0.81653677805060387</v>
      </c>
      <c r="AA163" s="157">
        <f>AA162/U162-1</f>
        <v>0.80407818440152035</v>
      </c>
      <c r="AB163" s="157">
        <f>AB162/V162-1</f>
        <v>1.3369062692861347</v>
      </c>
      <c r="AC163" s="157">
        <f>AC162/W162-1</f>
        <v>-0.14486039318074395</v>
      </c>
      <c r="AD163" s="154">
        <f>+AD162/X162-1</f>
        <v>0.45088723677753428</v>
      </c>
      <c r="AE163" s="155"/>
      <c r="AF163" s="157">
        <f>AF162/Z162-1</f>
        <v>0.18392345940551857</v>
      </c>
      <c r="AG163" s="157">
        <f>AG162/AA162-1</f>
        <v>-0.28581744972459533</v>
      </c>
      <c r="AH163" s="157">
        <f>AH162/AB162-1</f>
        <v>9.0057528367903927E-2</v>
      </c>
      <c r="AI163" s="157">
        <f>AI162/AC162-1</f>
        <v>0.11326212404878233</v>
      </c>
      <c r="AJ163" s="154">
        <f>+AJ162/AD162-1</f>
        <v>1.6658075513437565E-2</v>
      </c>
      <c r="AK163" s="155"/>
      <c r="AL163" s="157">
        <f>AL162/AF162-1</f>
        <v>9.543175721786179E-2</v>
      </c>
      <c r="AM163" s="157">
        <f>AM162/AG162-1</f>
        <v>0.10524261161293058</v>
      </c>
      <c r="AN163" s="157">
        <f>AN162/AH162-1</f>
        <v>9.6196816040025945E-2</v>
      </c>
      <c r="AO163" s="157">
        <f>AO162/AI162-1</f>
        <v>9.6572891352920909E-2</v>
      </c>
      <c r="AP163" s="154">
        <f>+AP162/AJ162-1</f>
        <v>9.7791295719537041E-2</v>
      </c>
      <c r="AQ163" s="158"/>
      <c r="AR163" s="158"/>
      <c r="AS163" s="161"/>
      <c r="AT163" s="161"/>
      <c r="AU163" s="161"/>
      <c r="AV163" s="161"/>
      <c r="AW163" s="161"/>
      <c r="AX163" s="161"/>
      <c r="AY163" s="161"/>
      <c r="AZ163" s="118"/>
      <c r="BA163" s="119"/>
      <c r="BB163" s="119"/>
      <c r="BC163" s="119"/>
      <c r="BD163" s="160"/>
      <c r="BE163" s="160"/>
      <c r="BF163" s="158"/>
      <c r="BG163" s="158"/>
      <c r="BH163" s="158"/>
      <c r="BI163" s="161"/>
      <c r="BJ163" s="161"/>
      <c r="BK163" s="161"/>
      <c r="BL163" s="161"/>
      <c r="BM163" s="161"/>
      <c r="BN163" s="161"/>
      <c r="BO163" s="161"/>
      <c r="BP163" s="161"/>
      <c r="BQ163" s="161"/>
      <c r="BR163" s="161"/>
    </row>
    <row r="164" spans="2:70" s="132" customFormat="1" x14ac:dyDescent="0.3">
      <c r="B164" s="361" t="s">
        <v>1816</v>
      </c>
      <c r="D164" s="154"/>
      <c r="E164" s="155"/>
      <c r="F164" s="162"/>
      <c r="G164" s="155"/>
      <c r="H164" s="155"/>
      <c r="I164" s="155"/>
      <c r="J164" s="155"/>
      <c r="K164" s="155"/>
      <c r="L164" s="154">
        <f>L162/L74</f>
        <v>0.44806906174269934</v>
      </c>
      <c r="M164" s="155"/>
      <c r="N164" s="157">
        <f>N162/N74</f>
        <v>-0.95691382765531108</v>
      </c>
      <c r="O164" s="157">
        <f>O162/O74</f>
        <v>0.54888546283805517</v>
      </c>
      <c r="P164" s="157">
        <f>P162/P74</f>
        <v>0.23153561906543829</v>
      </c>
      <c r="Q164" s="157">
        <f>Q162/Q74</f>
        <v>0.70081032461198012</v>
      </c>
      <c r="R164" s="154">
        <f>R162/R74</f>
        <v>0.2549151268295366</v>
      </c>
      <c r="S164" s="155"/>
      <c r="T164" s="157">
        <f>T162/T74</f>
        <v>0.51998445653380676</v>
      </c>
      <c r="U164" s="157">
        <f>U162/U74</f>
        <v>0.46235929121835168</v>
      </c>
      <c r="V164" s="157">
        <f>V162/V74</f>
        <v>0.3414641938627177</v>
      </c>
      <c r="W164" s="157">
        <f>W162/W74</f>
        <v>0.91083642229011907</v>
      </c>
      <c r="X164" s="154">
        <f>X162/X74</f>
        <v>0.56911150810288569</v>
      </c>
      <c r="Y164" s="155"/>
      <c r="Z164" s="157">
        <f>Z162/Z74</f>
        <v>0.65771825051699795</v>
      </c>
      <c r="AA164" s="157">
        <f>AA162/AA74</f>
        <v>0.79774498650048387</v>
      </c>
      <c r="AB164" s="157">
        <f>AB162/AB74</f>
        <v>0.72104785949292982</v>
      </c>
      <c r="AC164" s="157">
        <f>AC162/AC74</f>
        <v>0.72330108597901699</v>
      </c>
      <c r="AD164" s="154">
        <f>AD162/AD74</f>
        <v>0.72664848021694706</v>
      </c>
      <c r="AE164" s="155"/>
      <c r="AF164" s="157">
        <f>AF162/AF74</f>
        <v>0.73799862772867375</v>
      </c>
      <c r="AG164" s="157">
        <f>AG162/AG74</f>
        <v>0.54508039044272016</v>
      </c>
      <c r="AH164" s="157">
        <f>AH162/AH74</f>
        <v>0.70704491324177854</v>
      </c>
      <c r="AI164" s="157">
        <f>AI162/AI74</f>
        <v>0.72286489233541196</v>
      </c>
      <c r="AJ164" s="154">
        <f>AJ162/AJ74</f>
        <v>0.6809595601427304</v>
      </c>
      <c r="AK164" s="155"/>
      <c r="AL164" s="157">
        <f>AL162/AL74</f>
        <v>0.73392056954637686</v>
      </c>
      <c r="AM164" s="157">
        <f>AM162/AM74</f>
        <v>0.54752752146408534</v>
      </c>
      <c r="AN164" s="157">
        <f>AN162/AN74</f>
        <v>0.70643934056027191</v>
      </c>
      <c r="AO164" s="157">
        <f>AO162/AO74</f>
        <v>0.72178257284508907</v>
      </c>
      <c r="AP164" s="154">
        <f>AP162/AP74</f>
        <v>0.68017943381717905</v>
      </c>
      <c r="AQ164" s="158"/>
      <c r="AR164" s="158"/>
      <c r="AS164" s="161"/>
      <c r="AT164" s="161"/>
      <c r="AU164" s="161"/>
      <c r="AV164" s="161"/>
      <c r="AW164" s="161"/>
      <c r="AX164" s="161"/>
      <c r="AY164" s="161"/>
      <c r="AZ164" s="118"/>
      <c r="BA164" s="119"/>
      <c r="BB164" s="119"/>
      <c r="BC164" s="119"/>
      <c r="BD164" s="160"/>
      <c r="BE164" s="160"/>
      <c r="BF164" s="158"/>
      <c r="BG164" s="158"/>
      <c r="BH164" s="158"/>
      <c r="BI164" s="161"/>
      <c r="BJ164" s="161"/>
      <c r="BK164" s="161"/>
      <c r="BL164" s="161"/>
      <c r="BM164" s="161"/>
      <c r="BN164" s="161"/>
      <c r="BO164" s="161"/>
      <c r="BP164" s="161"/>
      <c r="BQ164" s="161"/>
      <c r="BR164" s="161"/>
    </row>
    <row r="166" spans="2:70" x14ac:dyDescent="0.3">
      <c r="B166" s="374" t="s">
        <v>1817</v>
      </c>
    </row>
    <row r="167" spans="2:70" s="132" customFormat="1" x14ac:dyDescent="0.3">
      <c r="B167" s="132" t="s">
        <v>1818</v>
      </c>
      <c r="U167" s="191">
        <v>7.1</v>
      </c>
      <c r="V167" s="191">
        <v>8.84</v>
      </c>
      <c r="W167" s="191">
        <f t="shared" ref="W167" si="152">W171-W170-W169-W168</f>
        <v>7.1999999999999993</v>
      </c>
      <c r="X167" s="320">
        <f>SUM(T167:W167)</f>
        <v>23.14</v>
      </c>
      <c r="Y167" s="191"/>
      <c r="Z167" s="272">
        <f>Z171-Z170-Z169-Z168</f>
        <v>9.791839999999997</v>
      </c>
      <c r="AA167" s="272"/>
      <c r="AB167" s="264"/>
      <c r="AC167" s="264"/>
      <c r="AD167" s="320">
        <f>SUM(Z167:AC167)</f>
        <v>9.791839999999997</v>
      </c>
      <c r="AF167" s="191"/>
      <c r="AJ167" s="320">
        <f>SUM(AF167:AI167)</f>
        <v>0</v>
      </c>
      <c r="AL167" s="191"/>
      <c r="AP167" s="320"/>
      <c r="AZ167" s="375"/>
      <c r="BA167" s="376"/>
      <c r="BB167" s="119"/>
      <c r="BC167" s="119"/>
    </row>
    <row r="168" spans="2:70" s="132" customFormat="1" x14ac:dyDescent="0.3">
      <c r="B168" s="132" t="s">
        <v>1819</v>
      </c>
      <c r="U168" s="191"/>
      <c r="V168" s="191"/>
      <c r="W168" s="264">
        <f>Z168*1/3</f>
        <v>0.16666666666666666</v>
      </c>
      <c r="X168" s="320">
        <f>SUM(T168:W168)</f>
        <v>0.16666666666666666</v>
      </c>
      <c r="Y168" s="191"/>
      <c r="Z168" s="272">
        <f>2/4</f>
        <v>0.5</v>
      </c>
      <c r="AA168" s="272">
        <f>Z168</f>
        <v>0.5</v>
      </c>
      <c r="AB168" s="272">
        <f>AA168</f>
        <v>0.5</v>
      </c>
      <c r="AC168" s="272">
        <f>AB168-W168</f>
        <v>0.33333333333333337</v>
      </c>
      <c r="AD168" s="320">
        <f>SUM(Z168:AC168)</f>
        <v>1.8333333333333335</v>
      </c>
      <c r="AF168" s="191"/>
      <c r="AJ168" s="320"/>
      <c r="AL168" s="191"/>
      <c r="AP168" s="320"/>
      <c r="AZ168" s="375"/>
      <c r="BA168" s="376"/>
      <c r="BB168" s="119"/>
      <c r="BC168" s="119"/>
    </row>
    <row r="169" spans="2:70" s="132" customFormat="1" x14ac:dyDescent="0.3">
      <c r="B169" s="132" t="s">
        <v>1820</v>
      </c>
      <c r="U169" s="191"/>
      <c r="V169" s="191"/>
      <c r="W169" s="264">
        <f>Z169*1/3</f>
        <v>1.0833333333333333</v>
      </c>
      <c r="X169" s="320">
        <f>SUM(T169:W169)</f>
        <v>1.0833333333333333</v>
      </c>
      <c r="Y169" s="191"/>
      <c r="Z169" s="272">
        <f>13/4</f>
        <v>3.25</v>
      </c>
      <c r="AA169" s="272">
        <f>AA171-AA170-AA168</f>
        <v>6.641648</v>
      </c>
      <c r="AB169" s="272">
        <f>AA169</f>
        <v>6.641648</v>
      </c>
      <c r="AC169" s="272">
        <f>AB169-W169</f>
        <v>5.558314666666667</v>
      </c>
      <c r="AD169" s="320">
        <f>SUM(Z169:AC169)</f>
        <v>22.091610666666668</v>
      </c>
      <c r="AF169" s="191"/>
      <c r="AJ169" s="320"/>
      <c r="AL169" s="191"/>
      <c r="AP169" s="320"/>
      <c r="AZ169" s="375"/>
      <c r="BA169" s="376"/>
      <c r="BB169" s="119"/>
      <c r="BC169" s="119"/>
    </row>
    <row r="170" spans="2:70" s="132" customFormat="1" x14ac:dyDescent="0.3">
      <c r="B170" s="132" t="s">
        <v>1821</v>
      </c>
      <c r="U170" s="191"/>
      <c r="V170" s="191"/>
      <c r="W170" s="191"/>
      <c r="X170" s="320">
        <f>SUM(T170:W170)</f>
        <v>0</v>
      </c>
      <c r="Y170" s="191"/>
      <c r="Z170" s="272">
        <v>1.25</v>
      </c>
      <c r="AA170" s="272">
        <v>1.25</v>
      </c>
      <c r="AB170" s="272">
        <f>AA170</f>
        <v>1.25</v>
      </c>
      <c r="AC170" s="272">
        <f>AB170</f>
        <v>1.25</v>
      </c>
      <c r="AD170" s="320">
        <f>SUM(Z170:AC170)</f>
        <v>5</v>
      </c>
      <c r="AF170" s="191"/>
      <c r="AJ170" s="320">
        <f>SUM(AF170:AI170)</f>
        <v>0</v>
      </c>
      <c r="AL170" s="191"/>
      <c r="AP170" s="320"/>
      <c r="AZ170" s="375"/>
      <c r="BA170" s="376"/>
      <c r="BB170" s="119"/>
      <c r="BC170" s="119"/>
    </row>
    <row r="171" spans="2:70" s="132" customFormat="1" x14ac:dyDescent="0.3">
      <c r="B171" s="377" t="s">
        <v>1822</v>
      </c>
      <c r="C171" s="378"/>
      <c r="D171" s="378"/>
      <c r="E171" s="378"/>
      <c r="F171" s="378"/>
      <c r="G171" s="378"/>
      <c r="H171" s="378"/>
      <c r="I171" s="378"/>
      <c r="J171" s="378"/>
      <c r="K171" s="378"/>
      <c r="L171" s="378"/>
      <c r="M171" s="378"/>
      <c r="N171" s="378"/>
      <c r="O171" s="378"/>
      <c r="P171" s="378"/>
      <c r="Q171" s="378"/>
      <c r="R171" s="378"/>
      <c r="S171" s="378"/>
      <c r="T171" s="378"/>
      <c r="U171" s="379">
        <f>SUM(U167:U170)</f>
        <v>7.1</v>
      </c>
      <c r="V171" s="379">
        <f>SUM(V167:V170)</f>
        <v>8.84</v>
      </c>
      <c r="W171" s="379">
        <v>8.4499999999999993</v>
      </c>
      <c r="X171" s="380">
        <f>SUM(T171:W171)</f>
        <v>24.39</v>
      </c>
      <c r="Y171" s="379"/>
      <c r="Z171" s="379">
        <f>(11.2%*T8)</f>
        <v>14.791839999999997</v>
      </c>
      <c r="AA171" s="379">
        <f>(4.8%*U8)</f>
        <v>8.391648</v>
      </c>
      <c r="AB171" s="379">
        <f>SUM(AB168:AB170)</f>
        <v>8.391648</v>
      </c>
      <c r="AC171" s="379">
        <f>SUM(AC168:AC170)</f>
        <v>7.141648</v>
      </c>
      <c r="AD171" s="380">
        <f>SUM(Z171:AC171)</f>
        <v>38.716783999999997</v>
      </c>
      <c r="AE171" s="378"/>
      <c r="AF171" s="381">
        <f>SUM(AF167:AF170)</f>
        <v>0</v>
      </c>
      <c r="AG171" s="381">
        <f t="shared" ref="AG171:AI171" si="153">SUM(AG167:AG170)</f>
        <v>0</v>
      </c>
      <c r="AH171" s="381">
        <f t="shared" si="153"/>
        <v>0</v>
      </c>
      <c r="AI171" s="381">
        <f t="shared" si="153"/>
        <v>0</v>
      </c>
      <c r="AJ171" s="380">
        <f>SUM(AF171:AI171)</f>
        <v>0</v>
      </c>
      <c r="AK171" s="378"/>
      <c r="AL171" s="381"/>
      <c r="AM171" s="381"/>
      <c r="AN171" s="381"/>
      <c r="AO171" s="381"/>
      <c r="AP171" s="380"/>
      <c r="AZ171" s="375"/>
      <c r="BA171" s="376"/>
      <c r="BB171" s="119"/>
      <c r="BC171" s="119"/>
    </row>
    <row r="172" spans="2:70" s="132" customFormat="1" x14ac:dyDescent="0.3">
      <c r="U172" s="191"/>
      <c r="V172" s="191"/>
      <c r="W172" s="191"/>
      <c r="X172" s="320"/>
      <c r="Y172" s="191"/>
      <c r="Z172" s="191"/>
      <c r="AD172" s="320"/>
      <c r="AF172" s="191"/>
      <c r="AL172" s="191"/>
      <c r="AZ172" s="375"/>
      <c r="BA172" s="376"/>
      <c r="BB172" s="119"/>
      <c r="BC172" s="119"/>
    </row>
    <row r="173" spans="2:70" s="132" customFormat="1" ht="12.5" x14ac:dyDescent="0.25">
      <c r="B173" s="132" t="s">
        <v>1823</v>
      </c>
      <c r="D173" s="382"/>
      <c r="N173" s="382">
        <f>-N142/N8</f>
        <v>1.6032263012116674E-2</v>
      </c>
      <c r="O173" s="382">
        <f>-O142/O8</f>
        <v>1.8077395635899537E-2</v>
      </c>
      <c r="P173" s="382">
        <f>-P142/P8</f>
        <v>9.9358083902381968E-3</v>
      </c>
      <c r="Q173" s="382">
        <f>-Q142/Q8</f>
        <v>7.7997240392477518E-3</v>
      </c>
      <c r="R173" s="382">
        <f>-R142/R8</f>
        <v>1.2285084669864128E-2</v>
      </c>
      <c r="S173" s="382"/>
      <c r="T173" s="382">
        <f>-T142/T8</f>
        <v>2.6773680623911562E-2</v>
      </c>
      <c r="U173" s="382">
        <f>-U142/U8</f>
        <v>1.7445917655268678E-3</v>
      </c>
      <c r="V173" s="382">
        <f>-V142/V8</f>
        <v>9.861718178848641E-3</v>
      </c>
      <c r="W173" s="382">
        <f>-W142/W8</f>
        <v>7.3871228803191955E-3</v>
      </c>
      <c r="X173" s="382">
        <f>-X142/X8</f>
        <v>1.026681360952976E-2</v>
      </c>
      <c r="Y173" s="382"/>
      <c r="Z173" s="382">
        <f>-Z142/Z8</f>
        <v>1.5320121549812776E-2</v>
      </c>
      <c r="AA173" s="382">
        <f>-AA142/AA8</f>
        <v>1.119264143361067E-2</v>
      </c>
      <c r="AB173" s="383">
        <f t="shared" ref="AB173:AC174" si="154">AA173</f>
        <v>1.119264143361067E-2</v>
      </c>
      <c r="AC173" s="383">
        <f t="shared" si="154"/>
        <v>1.119264143361067E-2</v>
      </c>
      <c r="AD173" s="382">
        <f>-AD142/AD8</f>
        <v>1.2136354896295736E-2</v>
      </c>
      <c r="AE173" s="382"/>
      <c r="AF173" s="383">
        <v>7.0000000000000001E-3</v>
      </c>
      <c r="AG173" s="383">
        <f>AF173</f>
        <v>7.0000000000000001E-3</v>
      </c>
      <c r="AH173" s="383">
        <f t="shared" ref="AH173:AI174" si="155">AG173</f>
        <v>7.0000000000000001E-3</v>
      </c>
      <c r="AI173" s="383">
        <f t="shared" si="155"/>
        <v>7.0000000000000001E-3</v>
      </c>
      <c r="AJ173" s="382">
        <f>-AJ142/AJ8</f>
        <v>7.0000000000000001E-3</v>
      </c>
      <c r="AK173" s="382"/>
      <c r="AL173" s="383">
        <v>7.0000000000000001E-3</v>
      </c>
      <c r="AM173" s="383">
        <f>AL173</f>
        <v>7.0000000000000001E-3</v>
      </c>
      <c r="AN173" s="383">
        <f t="shared" ref="AN173:AO173" si="156">AM173</f>
        <v>7.0000000000000001E-3</v>
      </c>
      <c r="AO173" s="383">
        <f t="shared" si="156"/>
        <v>7.0000000000000001E-3</v>
      </c>
      <c r="AP173" s="382">
        <f>-AP142/AP8</f>
        <v>7.000000000000001E-3</v>
      </c>
      <c r="AZ173" s="309"/>
      <c r="BA173" s="262"/>
      <c r="BB173" s="262"/>
      <c r="BC173" s="262"/>
    </row>
    <row r="174" spans="2:70" s="132" customFormat="1" ht="12.5" x14ac:dyDescent="0.25">
      <c r="B174" s="132" t="s">
        <v>1824</v>
      </c>
      <c r="D174" s="382"/>
      <c r="N174" s="382">
        <f>-N143/N8</f>
        <v>2.408899394617418E-2</v>
      </c>
      <c r="O174" s="382">
        <f>-O143/O8</f>
        <v>2.5944586781975944E-2</v>
      </c>
      <c r="P174" s="382">
        <f>-P143/P8</f>
        <v>2.1626284928862833E-2</v>
      </c>
      <c r="Q174" s="382">
        <f>-Q143/Q8</f>
        <v>1.9796351185609157E-2</v>
      </c>
      <c r="R174" s="382">
        <f>-R143/R8</f>
        <v>2.2490248529914329E-2</v>
      </c>
      <c r="S174" s="382"/>
      <c r="T174" s="382">
        <f>-T142/T8</f>
        <v>2.6773680623911562E-2</v>
      </c>
      <c r="U174" s="382">
        <f>-U143/U8</f>
        <v>3.454291695743196E-2</v>
      </c>
      <c r="V174" s="382">
        <f>-V143/V8</f>
        <v>2.3249182078841898E-2</v>
      </c>
      <c r="W174" s="382">
        <f>-W143/W8</f>
        <v>2.1262680443415578E-2</v>
      </c>
      <c r="X174" s="382">
        <f>-X143/X8</f>
        <v>2.3143500937111729E-2</v>
      </c>
      <c r="Y174" s="382"/>
      <c r="Z174" s="382">
        <f>-Z143/Z8</f>
        <v>2.4452156877202036E-2</v>
      </c>
      <c r="AA174" s="382">
        <f>-AA143/AA8</f>
        <v>2.7748423554159785E-2</v>
      </c>
      <c r="AB174" s="383">
        <f t="shared" si="154"/>
        <v>2.7748423554159785E-2</v>
      </c>
      <c r="AC174" s="383">
        <f t="shared" si="154"/>
        <v>2.7748423554159785E-2</v>
      </c>
      <c r="AD174" s="382">
        <f>-AD143/AD8</f>
        <v>2.6994760022884558E-2</v>
      </c>
      <c r="AE174" s="382"/>
      <c r="AF174" s="383">
        <v>0.03</v>
      </c>
      <c r="AG174" s="383">
        <f>AF174</f>
        <v>0.03</v>
      </c>
      <c r="AH174" s="383">
        <f t="shared" si="155"/>
        <v>0.03</v>
      </c>
      <c r="AI174" s="383">
        <f t="shared" si="155"/>
        <v>0.03</v>
      </c>
      <c r="AJ174" s="382">
        <f>-AJ143/AJ8</f>
        <v>2.9999999999999995E-2</v>
      </c>
      <c r="AK174" s="382"/>
      <c r="AL174" s="383">
        <v>0.03</v>
      </c>
      <c r="AM174" s="383">
        <v>0.03</v>
      </c>
      <c r="AN174" s="383">
        <v>0.03</v>
      </c>
      <c r="AO174" s="383">
        <v>0.03</v>
      </c>
      <c r="AP174" s="382">
        <f>-AP143/AP8</f>
        <v>0.03</v>
      </c>
      <c r="AZ174" s="309"/>
      <c r="BA174" s="262"/>
      <c r="BB174" s="262"/>
      <c r="BC174" s="262"/>
    </row>
    <row r="175" spans="2:70" s="132" customFormat="1" ht="12.5" x14ac:dyDescent="0.25">
      <c r="B175" s="132" t="s">
        <v>1825</v>
      </c>
      <c r="D175" s="382"/>
      <c r="N175" s="382">
        <f>-SUM(N142:N143)/N8</f>
        <v>4.0121256958290857E-2</v>
      </c>
      <c r="O175" s="382">
        <f>-SUM(O142:O143)/O8</f>
        <v>4.4021982417875478E-2</v>
      </c>
      <c r="P175" s="382">
        <f>-SUM(P142:P143)/P8</f>
        <v>3.156209331910103E-2</v>
      </c>
      <c r="Q175" s="382">
        <f>-SUM(Q142:Q143)/Q8</f>
        <v>2.7596075224856909E-2</v>
      </c>
      <c r="R175" s="382">
        <f>-SUM(R142:R143)/R8</f>
        <v>3.4775333199778456E-2</v>
      </c>
      <c r="T175" s="382">
        <f>-SUM(T142:T142)/T8</f>
        <v>2.6773680623911562E-2</v>
      </c>
      <c r="U175" s="382">
        <f>-SUM(U142:U143)/U8</f>
        <v>3.6287508722958828E-2</v>
      </c>
      <c r="V175" s="382">
        <f>-SUM(V142:V143)/V8</f>
        <v>3.3110900257690541E-2</v>
      </c>
      <c r="W175" s="382">
        <f>-SUM(W142:W143)/W8</f>
        <v>2.8649803323734777E-2</v>
      </c>
      <c r="X175" s="382">
        <f>-SUM(X142:X143)/X8</f>
        <v>3.3410314546641492E-2</v>
      </c>
      <c r="Z175" s="382">
        <f>-SUM(Z142:Z143)/Z8</f>
        <v>3.9772278427014814E-2</v>
      </c>
      <c r="AA175" s="382">
        <f>-SUM(AA142:AA143)/AA8</f>
        <v>3.8941064987770453E-2</v>
      </c>
      <c r="AB175" s="382">
        <f>-SUM(AB142:AB143)/AB8</f>
        <v>3.8941064987770453E-2</v>
      </c>
      <c r="AC175" s="382">
        <f>-SUM(AC142:AC143)/AC8</f>
        <v>3.8941064987770453E-2</v>
      </c>
      <c r="AD175" s="382">
        <f>-SUM(AD142:AD143)/AD8</f>
        <v>3.9131114919180296E-2</v>
      </c>
      <c r="AF175" s="382">
        <f>-SUM(AF142:AF143)/AF8</f>
        <v>3.6999999999999998E-2</v>
      </c>
      <c r="AG175" s="382">
        <f>-SUM(AG142:AG143)/AG8</f>
        <v>3.6999999999999998E-2</v>
      </c>
      <c r="AH175" s="382">
        <f>-SUM(AH142:AH143)/AH8</f>
        <v>3.6999999999999998E-2</v>
      </c>
      <c r="AI175" s="382">
        <f>-SUM(AI142:AI143)/AI8</f>
        <v>3.6999999999999998E-2</v>
      </c>
      <c r="AJ175" s="382">
        <f>-SUM(AJ142:AJ143)/AJ8</f>
        <v>3.6999999999999998E-2</v>
      </c>
      <c r="AL175" s="382">
        <f>-SUM(AL142:AL143)/AL8</f>
        <v>3.6999999999999998E-2</v>
      </c>
      <c r="AM175" s="382">
        <f>-SUM(AM142:AM143)/AM8</f>
        <v>3.6999999999999998E-2</v>
      </c>
      <c r="AN175" s="382">
        <f>-SUM(AN142:AN143)/AN8</f>
        <v>3.6999999999999998E-2</v>
      </c>
      <c r="AO175" s="382">
        <f>-SUM(AO142:AO143)/AO8</f>
        <v>3.6999999999999998E-2</v>
      </c>
      <c r="AP175" s="382">
        <f>-SUM(AP142:AP143)/AP8</f>
        <v>3.6999999999999998E-2</v>
      </c>
      <c r="BA175" s="262"/>
      <c r="BB175" s="262"/>
      <c r="BC175" s="262"/>
    </row>
    <row r="176" spans="2:70" s="132" customFormat="1" ht="12.5" x14ac:dyDescent="0.25">
      <c r="D176" s="382"/>
      <c r="N176" s="382"/>
      <c r="O176" s="382"/>
      <c r="P176" s="382"/>
      <c r="Q176" s="382"/>
      <c r="R176" s="382"/>
      <c r="T176" s="382"/>
      <c r="U176" s="382"/>
      <c r="V176" s="382"/>
      <c r="W176" s="382"/>
      <c r="X176" s="382"/>
      <c r="Z176" s="382"/>
      <c r="AA176" s="382"/>
      <c r="AB176" s="382"/>
      <c r="AC176" s="382"/>
      <c r="AD176" s="382"/>
      <c r="AJ176" s="382"/>
      <c r="AP176" s="382"/>
      <c r="BA176" s="262"/>
      <c r="BB176" s="262"/>
      <c r="BC176" s="262"/>
    </row>
    <row r="177" spans="2:55" s="132" customFormat="1" ht="12.5" x14ac:dyDescent="0.25">
      <c r="B177" s="132" t="s">
        <v>1826</v>
      </c>
      <c r="D177" s="309"/>
      <c r="E177" s="382"/>
      <c r="F177" s="309"/>
      <c r="G177" s="382"/>
      <c r="L177" s="309">
        <f>L58</f>
        <v>11.073999999999998</v>
      </c>
      <c r="M177" s="382"/>
      <c r="N177" s="309">
        <f>N58</f>
        <v>23.638999999999999</v>
      </c>
      <c r="O177" s="309">
        <f>O58</f>
        <v>34.134999999999998</v>
      </c>
      <c r="P177" s="309">
        <f>P58</f>
        <v>34.222999999999999</v>
      </c>
      <c r="Q177" s="309">
        <f>Q58</f>
        <v>34.270000000000003</v>
      </c>
      <c r="R177" s="309">
        <f>R58</f>
        <v>126.267</v>
      </c>
      <c r="S177" s="382"/>
      <c r="T177" s="309">
        <f>T58</f>
        <v>31.512</v>
      </c>
      <c r="U177" s="309">
        <f>U58</f>
        <v>31.786000000000001</v>
      </c>
      <c r="V177" s="309">
        <f>V58</f>
        <v>31.748999999999999</v>
      </c>
      <c r="W177" s="309">
        <f>W58</f>
        <v>31.818000000000001</v>
      </c>
      <c r="X177" s="309">
        <f>X58</f>
        <v>126.86499999999999</v>
      </c>
      <c r="Y177" s="383"/>
      <c r="Z177" s="309">
        <f>Z58</f>
        <v>29.114999999999998</v>
      </c>
      <c r="AA177" s="309">
        <f>AA58</f>
        <v>29.029</v>
      </c>
      <c r="AB177" s="309">
        <f>AB58</f>
        <v>30</v>
      </c>
      <c r="AC177" s="309">
        <f>AC58</f>
        <v>29</v>
      </c>
      <c r="AD177" s="309">
        <f>AD58</f>
        <v>117.14400000000001</v>
      </c>
      <c r="AE177" s="383"/>
      <c r="AF177" s="309">
        <f>AF58</f>
        <v>24.7</v>
      </c>
      <c r="AG177" s="309">
        <f>AG58</f>
        <v>24.7</v>
      </c>
      <c r="AH177" s="309">
        <f>AH58</f>
        <v>24.7</v>
      </c>
      <c r="AI177" s="309">
        <f>AI58</f>
        <v>24.7</v>
      </c>
      <c r="AJ177" s="309">
        <f>AJ58</f>
        <v>98.8</v>
      </c>
      <c r="AK177" s="383"/>
      <c r="AL177" s="309">
        <f>AL58</f>
        <v>26</v>
      </c>
      <c r="AM177" s="309">
        <f>AM58</f>
        <v>26</v>
      </c>
      <c r="AN177" s="309">
        <f>AN58</f>
        <v>26</v>
      </c>
      <c r="AO177" s="309">
        <f>AO58</f>
        <v>26</v>
      </c>
      <c r="AP177" s="309">
        <f>AP58</f>
        <v>104</v>
      </c>
      <c r="BA177" s="262"/>
      <c r="BB177" s="262"/>
      <c r="BC177" s="262"/>
    </row>
    <row r="178" spans="2:55" s="132" customFormat="1" ht="12.5" x14ac:dyDescent="0.25">
      <c r="B178" s="384" t="s">
        <v>1827</v>
      </c>
      <c r="D178" s="308"/>
      <c r="F178" s="308"/>
      <c r="L178" s="308">
        <v>11.073999999999998</v>
      </c>
      <c r="N178" s="385">
        <f>R178/4</f>
        <v>18.375</v>
      </c>
      <c r="O178" s="385">
        <f>N178</f>
        <v>18.375</v>
      </c>
      <c r="P178" s="385">
        <f>O178</f>
        <v>18.375</v>
      </c>
      <c r="Q178" s="385">
        <f>P178</f>
        <v>18.375</v>
      </c>
      <c r="R178" s="308">
        <f>0.8+72.7</f>
        <v>73.5</v>
      </c>
      <c r="T178" s="386">
        <f>$X178/4</f>
        <v>18.230250000000002</v>
      </c>
      <c r="U178" s="386">
        <f>$X178/4</f>
        <v>18.230250000000002</v>
      </c>
      <c r="V178" s="386">
        <f>$X178/4</f>
        <v>18.230250000000002</v>
      </c>
      <c r="W178" s="386">
        <f>$X178/4</f>
        <v>18.230250000000002</v>
      </c>
      <c r="X178" s="308">
        <v>72.921000000000006</v>
      </c>
      <c r="Z178" s="386">
        <f>$X178/4</f>
        <v>18.230250000000002</v>
      </c>
      <c r="AA178" s="385">
        <f>Z178</f>
        <v>18.230250000000002</v>
      </c>
      <c r="AB178" s="385">
        <f>AA178</f>
        <v>18.230250000000002</v>
      </c>
      <c r="AC178" s="385">
        <f>AB178</f>
        <v>18.230250000000002</v>
      </c>
      <c r="AD178" s="387">
        <f>SUM(Z178:AC178)</f>
        <v>72.921000000000006</v>
      </c>
      <c r="AF178" s="385">
        <f>AJ178/4</f>
        <v>14.917999999999999</v>
      </c>
      <c r="AG178" s="385">
        <f>AF178</f>
        <v>14.917999999999999</v>
      </c>
      <c r="AH178" s="385">
        <f>AG178</f>
        <v>14.917999999999999</v>
      </c>
      <c r="AI178" s="385">
        <f>AH178</f>
        <v>14.917999999999999</v>
      </c>
      <c r="AJ178" s="388">
        <v>59.671999999999997</v>
      </c>
      <c r="AL178" s="385">
        <f>AP178/4</f>
        <v>14.917999999999999</v>
      </c>
      <c r="AM178" s="385">
        <f>AL178</f>
        <v>14.917999999999999</v>
      </c>
      <c r="AN178" s="385">
        <f>AM178</f>
        <v>14.917999999999999</v>
      </c>
      <c r="AO178" s="385">
        <f>AN178</f>
        <v>14.917999999999999</v>
      </c>
      <c r="AP178" s="388">
        <v>59.671999999999997</v>
      </c>
      <c r="BA178" s="262"/>
      <c r="BB178" s="262"/>
      <c r="BC178" s="262"/>
    </row>
    <row r="179" spans="2:55" s="132" customFormat="1" ht="12.5" x14ac:dyDescent="0.25">
      <c r="B179" s="384" t="s">
        <v>1828</v>
      </c>
      <c r="D179" s="385"/>
      <c r="F179" s="385"/>
      <c r="L179" s="385">
        <f>L177-L178</f>
        <v>0</v>
      </c>
      <c r="N179" s="385">
        <f>N177-N178</f>
        <v>5.2639999999999993</v>
      </c>
      <c r="O179" s="385">
        <f>O177-O178</f>
        <v>15.759999999999998</v>
      </c>
      <c r="P179" s="385">
        <f>P177-P178</f>
        <v>15.847999999999999</v>
      </c>
      <c r="Q179" s="385">
        <f>Q177-Q178</f>
        <v>15.895000000000003</v>
      </c>
      <c r="R179" s="385">
        <f>SUM(N179:Q179)</f>
        <v>52.767000000000003</v>
      </c>
      <c r="T179" s="385">
        <f>T177-T178</f>
        <v>13.281749999999999</v>
      </c>
      <c r="U179" s="385">
        <f>U177-U178</f>
        <v>13.55575</v>
      </c>
      <c r="V179" s="385">
        <f>V177-V178</f>
        <v>13.518749999999997</v>
      </c>
      <c r="W179" s="385">
        <f>W177-W178</f>
        <v>13.58775</v>
      </c>
      <c r="X179" s="385">
        <f>SUM(T179:W179)</f>
        <v>53.943999999999996</v>
      </c>
      <c r="Z179" s="385">
        <f>Z177-Z178</f>
        <v>10.884749999999997</v>
      </c>
      <c r="AA179" s="385">
        <f>AA177-AA178</f>
        <v>10.798749999999998</v>
      </c>
      <c r="AB179" s="385">
        <f>AB177-AB178</f>
        <v>11.769749999999998</v>
      </c>
      <c r="AC179" s="385">
        <f>AC177-AC178</f>
        <v>10.769749999999998</v>
      </c>
      <c r="AD179" s="385">
        <f>SUM(Z179:AC179)</f>
        <v>44.222999999999999</v>
      </c>
      <c r="AF179" s="385">
        <f>AF177-AF178</f>
        <v>9.782</v>
      </c>
      <c r="AG179" s="385">
        <f>AG177-AG178</f>
        <v>9.782</v>
      </c>
      <c r="AH179" s="385">
        <f>AH177-AH178</f>
        <v>9.782</v>
      </c>
      <c r="AI179" s="385">
        <f>AI177-AI178</f>
        <v>9.782</v>
      </c>
      <c r="AJ179" s="385">
        <f>AJ177-AJ178</f>
        <v>39.128</v>
      </c>
      <c r="AL179" s="385">
        <f>AL177-AL178</f>
        <v>11.082000000000001</v>
      </c>
      <c r="AM179" s="385">
        <f>AM177-AM178</f>
        <v>11.082000000000001</v>
      </c>
      <c r="AN179" s="385">
        <f>AN177-AN178</f>
        <v>11.082000000000001</v>
      </c>
      <c r="AO179" s="385">
        <f>AO177-AO178</f>
        <v>11.082000000000001</v>
      </c>
      <c r="AP179" s="385">
        <f>AP177-AP178</f>
        <v>44.328000000000003</v>
      </c>
      <c r="BA179" s="262"/>
      <c r="BB179" s="262"/>
      <c r="BC179" s="262"/>
    </row>
    <row r="180" spans="2:55" s="132" customFormat="1" ht="12.5" x14ac:dyDescent="0.25">
      <c r="B180" s="132" t="s">
        <v>1829</v>
      </c>
      <c r="D180" s="309"/>
      <c r="E180" s="382"/>
      <c r="F180" s="309"/>
      <c r="G180" s="382"/>
      <c r="L180" s="309">
        <f>L181-L177</f>
        <v>14.879000000000001</v>
      </c>
      <c r="M180" s="382"/>
      <c r="N180" s="309">
        <f>N181-N177</f>
        <v>2.9529999999999994</v>
      </c>
      <c r="O180" s="309">
        <f>O181-O177</f>
        <v>2.4370000000000047</v>
      </c>
      <c r="P180" s="309">
        <f>P181-P177</f>
        <v>2.5330000000000013</v>
      </c>
      <c r="Q180" s="309">
        <f>Q181-Q177</f>
        <v>2.9719999999999942</v>
      </c>
      <c r="R180" s="309">
        <f>R181-R177</f>
        <v>10.89500000000001</v>
      </c>
      <c r="S180" s="382"/>
      <c r="T180" s="309">
        <f>T181-T177</f>
        <v>3.2509999999999977</v>
      </c>
      <c r="U180" s="309">
        <f>U181-U177</f>
        <v>4.1319999999999979</v>
      </c>
      <c r="V180" s="309">
        <f>V181-V177</f>
        <v>4.0629999999999988</v>
      </c>
      <c r="W180" s="309">
        <f>W181-W177</f>
        <v>4.5040000000000013</v>
      </c>
      <c r="X180" s="309">
        <f>X181-X177</f>
        <v>15.950000000000003</v>
      </c>
      <c r="Y180" s="383"/>
      <c r="Z180" s="309">
        <f>Z181-Z177</f>
        <v>4.9190000000000005</v>
      </c>
      <c r="AA180" s="309">
        <f>AA181-AA177</f>
        <v>5.3779999999999966</v>
      </c>
      <c r="AB180" s="309">
        <f>AB181-AB177</f>
        <v>5.0949965778230109</v>
      </c>
      <c r="AC180" s="309">
        <f>AC181-AC177</f>
        <v>7.517686137533147</v>
      </c>
      <c r="AD180" s="309">
        <f>AD181-AD177</f>
        <v>22.909682715356155</v>
      </c>
      <c r="AE180" s="383"/>
      <c r="AF180" s="309">
        <f>AF181-AF177</f>
        <v>2.2694711000000041</v>
      </c>
      <c r="AG180" s="309">
        <f>AG181-AG177</f>
        <v>4.1433791000000042</v>
      </c>
      <c r="AH180" s="309">
        <f>AH181-AH177</f>
        <v>5.8937881833500079</v>
      </c>
      <c r="AI180" s="309">
        <f>AI181-AI177</f>
        <v>8.1244695866000107</v>
      </c>
      <c r="AJ180" s="309">
        <f>AJ181-AJ177</f>
        <v>20.43110796995002</v>
      </c>
      <c r="AK180" s="383"/>
      <c r="AL180" s="309">
        <f>AL181-AL177</f>
        <v>2.0482499440000055</v>
      </c>
      <c r="AM180" s="309">
        <f>AM181-AM177</f>
        <v>3.9971142640000039</v>
      </c>
      <c r="AN180" s="309">
        <f>AN181-AN177</f>
        <v>5.8175397106840094</v>
      </c>
      <c r="AO180" s="309">
        <f>AO181-AO177</f>
        <v>8.1374483700640141</v>
      </c>
      <c r="AP180" s="309">
        <f>AP181-AP177</f>
        <v>20.000352288748047</v>
      </c>
      <c r="BA180" s="262"/>
      <c r="BB180" s="262"/>
      <c r="BC180" s="262"/>
    </row>
    <row r="181" spans="2:55" s="132" customFormat="1" ht="12.5" x14ac:dyDescent="0.25">
      <c r="B181" s="132" t="s">
        <v>1830</v>
      </c>
      <c r="D181" s="309"/>
      <c r="E181" s="382"/>
      <c r="F181" s="309"/>
      <c r="G181" s="382"/>
      <c r="L181" s="309">
        <f>L39</f>
        <v>25.952999999999999</v>
      </c>
      <c r="M181" s="382"/>
      <c r="N181" s="309">
        <f>N39</f>
        <v>26.591999999999999</v>
      </c>
      <c r="O181" s="309">
        <f>O39</f>
        <v>36.572000000000003</v>
      </c>
      <c r="P181" s="309">
        <f>P39</f>
        <v>36.756</v>
      </c>
      <c r="Q181" s="309">
        <f>Q39</f>
        <v>37.241999999999997</v>
      </c>
      <c r="R181" s="309">
        <f>R39</f>
        <v>137.16200000000001</v>
      </c>
      <c r="S181" s="382"/>
      <c r="T181" s="309">
        <f>T39</f>
        <v>34.762999999999998</v>
      </c>
      <c r="U181" s="309">
        <f>U39</f>
        <v>35.917999999999999</v>
      </c>
      <c r="V181" s="309">
        <f>V39</f>
        <v>35.811999999999998</v>
      </c>
      <c r="W181" s="309">
        <f>W39</f>
        <v>36.322000000000003</v>
      </c>
      <c r="X181" s="309">
        <f>X39</f>
        <v>142.815</v>
      </c>
      <c r="Y181" s="383"/>
      <c r="Z181" s="309">
        <f>Z39</f>
        <v>34.033999999999999</v>
      </c>
      <c r="AA181" s="309">
        <f>AA39</f>
        <v>34.406999999999996</v>
      </c>
      <c r="AB181" s="309">
        <f>AB39</f>
        <v>35.094996577823011</v>
      </c>
      <c r="AC181" s="309">
        <f>AC39</f>
        <v>36.517686137533147</v>
      </c>
      <c r="AD181" s="309">
        <f>AD39</f>
        <v>140.05368271535616</v>
      </c>
      <c r="AE181" s="383"/>
      <c r="AF181" s="309">
        <f>AF39</f>
        <v>26.969471100000003</v>
      </c>
      <c r="AG181" s="309">
        <f>AG39</f>
        <v>28.843379100000003</v>
      </c>
      <c r="AH181" s="309">
        <f>AH39</f>
        <v>30.593788183350007</v>
      </c>
      <c r="AI181" s="309">
        <f>AI39</f>
        <v>32.82446958660001</v>
      </c>
      <c r="AJ181" s="309">
        <f>AJ39</f>
        <v>119.23110796995002</v>
      </c>
      <c r="AK181" s="383"/>
      <c r="AL181" s="309">
        <f>AL39</f>
        <v>28.048249944000005</v>
      </c>
      <c r="AM181" s="309">
        <f>AM39</f>
        <v>29.997114264000004</v>
      </c>
      <c r="AN181" s="309">
        <f>AN39</f>
        <v>31.817539710684009</v>
      </c>
      <c r="AO181" s="309">
        <f>AO39</f>
        <v>34.137448370064014</v>
      </c>
      <c r="AP181" s="309">
        <f>AP39</f>
        <v>124.00035228874805</v>
      </c>
      <c r="BA181" s="262"/>
      <c r="BB181" s="262"/>
      <c r="BC181" s="262"/>
    </row>
    <row r="182" spans="2:55" s="132" customFormat="1" ht="12.5" x14ac:dyDescent="0.25">
      <c r="B182" s="132" t="s">
        <v>1831</v>
      </c>
      <c r="D182" s="382"/>
      <c r="E182" s="382"/>
      <c r="F182" s="382"/>
      <c r="G182" s="382"/>
      <c r="L182" s="382">
        <f>L181/L8</f>
        <v>5.3870439444793854E-2</v>
      </c>
      <c r="M182" s="382"/>
      <c r="N182" s="382">
        <f>N39/N8</f>
        <v>0.23991555318976171</v>
      </c>
      <c r="O182" s="382">
        <f>O39/O8</f>
        <v>0.34832798377034663</v>
      </c>
      <c r="P182" s="382">
        <f>P39/P8</f>
        <v>0.26872742692538276</v>
      </c>
      <c r="Q182" s="382">
        <f>Q39/Q8</f>
        <v>0.23790116516762058</v>
      </c>
      <c r="R182" s="382">
        <f>R39/R8</f>
        <v>0.26939197178064006</v>
      </c>
      <c r="S182" s="382"/>
      <c r="T182" s="382">
        <f>T39/T8</f>
        <v>0.26321647611115317</v>
      </c>
      <c r="U182" s="382">
        <f>U39/U8</f>
        <v>0.20544999027604591</v>
      </c>
      <c r="V182" s="382">
        <f>V39/V8</f>
        <v>0.18568236142004593</v>
      </c>
      <c r="W182" s="382">
        <f>V182</f>
        <v>0.18568236142004593</v>
      </c>
      <c r="X182" s="382">
        <f>X39/X8</f>
        <v>0.20049979292287606</v>
      </c>
      <c r="Y182" s="383"/>
      <c r="Z182" s="382">
        <f>Z39/Z8</f>
        <v>0.17923857573954213</v>
      </c>
      <c r="AA182" s="382">
        <f>AA39/AA8</f>
        <v>0.17070266569425629</v>
      </c>
      <c r="AB182" s="383">
        <f>AA182-0.5%</f>
        <v>0.16570266569425629</v>
      </c>
      <c r="AC182" s="383">
        <f>AB182-0.5%</f>
        <v>0.16070266569425629</v>
      </c>
      <c r="AD182" s="382">
        <f>AD39/AD8</f>
        <v>0.16864294733775445</v>
      </c>
      <c r="AE182" s="383"/>
      <c r="AF182" s="383">
        <v>0.13500000000000001</v>
      </c>
      <c r="AG182" s="383">
        <v>0.13500000000000001</v>
      </c>
      <c r="AH182" s="383">
        <v>0.13500000000000001</v>
      </c>
      <c r="AI182" s="383">
        <v>0.13500000000000001</v>
      </c>
      <c r="AJ182" s="382">
        <f>AJ39/AJ8</f>
        <v>0.13500000000000001</v>
      </c>
      <c r="AK182" s="383"/>
      <c r="AL182" s="383">
        <v>0.13</v>
      </c>
      <c r="AM182" s="383">
        <v>0.13</v>
      </c>
      <c r="AN182" s="383">
        <v>0.13</v>
      </c>
      <c r="AO182" s="383">
        <v>0.13</v>
      </c>
      <c r="AP182" s="382">
        <f>AP39/AP8</f>
        <v>0.13000000000000003</v>
      </c>
      <c r="BA182" s="262"/>
      <c r="BB182" s="262"/>
      <c r="BC182" s="262"/>
    </row>
    <row r="183" spans="2:55" s="132" customFormat="1" ht="12.5" x14ac:dyDescent="0.25">
      <c r="D183" s="382"/>
      <c r="E183" s="382"/>
      <c r="F183" s="309"/>
      <c r="G183" s="382"/>
      <c r="L183" s="309"/>
      <c r="M183" s="382"/>
      <c r="N183" s="382"/>
      <c r="O183" s="382"/>
      <c r="P183" s="382"/>
      <c r="Q183" s="382"/>
      <c r="R183" s="382"/>
      <c r="S183" s="382"/>
      <c r="T183" s="382"/>
      <c r="U183" s="382"/>
      <c r="V183" s="383"/>
      <c r="W183" s="383"/>
      <c r="X183" s="382"/>
      <c r="Y183" s="383"/>
      <c r="Z183" s="383"/>
      <c r="AA183" s="383"/>
      <c r="AB183" s="383"/>
      <c r="AC183" s="383"/>
      <c r="AD183" s="382"/>
      <c r="AE183" s="383"/>
      <c r="AF183" s="383"/>
      <c r="AG183" s="383"/>
      <c r="AH183" s="383"/>
      <c r="AI183" s="383"/>
      <c r="AJ183" s="382"/>
      <c r="AK183" s="383"/>
      <c r="AL183" s="383"/>
      <c r="AM183" s="383"/>
      <c r="AN183" s="383"/>
      <c r="AO183" s="383"/>
      <c r="AP183" s="382"/>
      <c r="BA183" s="262"/>
      <c r="BB183" s="262"/>
      <c r="BC183" s="262"/>
    </row>
    <row r="184" spans="2:55" s="132" customFormat="1" ht="12.5" x14ac:dyDescent="0.25">
      <c r="D184" s="382"/>
      <c r="N184" s="382"/>
      <c r="O184" s="382"/>
      <c r="P184" s="382"/>
      <c r="Q184" s="382"/>
      <c r="R184" s="382"/>
      <c r="T184" s="382"/>
      <c r="U184" s="382"/>
      <c r="V184" s="382"/>
      <c r="W184" s="382"/>
      <c r="X184" s="382"/>
      <c r="Z184" s="382"/>
      <c r="AA184" s="382"/>
      <c r="AB184" s="382"/>
      <c r="AC184" s="382"/>
      <c r="AD184" s="382"/>
      <c r="AJ184" s="382"/>
      <c r="AP184" s="382"/>
      <c r="BA184" s="262"/>
      <c r="BB184" s="262"/>
      <c r="BC184" s="262"/>
    </row>
    <row r="185" spans="2:55" s="132" customFormat="1" ht="12.5" x14ac:dyDescent="0.25">
      <c r="B185" s="132" t="s">
        <v>1832</v>
      </c>
      <c r="D185" s="382"/>
      <c r="N185" s="382"/>
      <c r="O185" s="382"/>
      <c r="P185" s="382"/>
      <c r="Q185" s="382"/>
      <c r="R185" s="382"/>
      <c r="T185" s="309"/>
      <c r="U185" s="309"/>
      <c r="V185" s="309"/>
      <c r="W185" s="308">
        <f>V88</f>
        <v>161.33000000000001</v>
      </c>
      <c r="X185" s="308">
        <f>R88</f>
        <v>190.28200000000001</v>
      </c>
      <c r="Y185" s="309"/>
      <c r="Z185" s="387">
        <f>X189</f>
        <v>154.309</v>
      </c>
      <c r="AA185" s="309">
        <f>Z189</f>
        <v>146.392</v>
      </c>
      <c r="AB185" s="309">
        <f>AA189</f>
        <v>136.536</v>
      </c>
      <c r="AC185" s="309">
        <f>AB189</f>
        <v>127.918776398085</v>
      </c>
      <c r="AD185" s="309">
        <f>X189</f>
        <v>154.309</v>
      </c>
      <c r="AE185" s="309"/>
      <c r="AF185" s="309">
        <f>AD189</f>
        <v>119.67371394252409</v>
      </c>
      <c r="AG185" s="309">
        <f>AF189</f>
        <v>115.01387566252409</v>
      </c>
      <c r="AH185" s="309">
        <f>AG189</f>
        <v>108.99371898252409</v>
      </c>
      <c r="AI185" s="309">
        <f>AH189</f>
        <v>101.70289496794408</v>
      </c>
      <c r="AJ185" s="309">
        <f>AD189</f>
        <v>119.67371394252409</v>
      </c>
      <c r="AK185" s="309"/>
      <c r="AL185" s="309">
        <f>AJ189</f>
        <v>92.792761490264056</v>
      </c>
      <c r="AM185" s="309">
        <f>AL189</f>
        <v>87.645474991864063</v>
      </c>
      <c r="AN185" s="309">
        <f>AM189</f>
        <v>81.104000941464051</v>
      </c>
      <c r="AO185" s="309">
        <f>AN189</f>
        <v>73.26022253305166</v>
      </c>
      <c r="AP185" s="309">
        <f>AJ189</f>
        <v>92.792761490264056</v>
      </c>
      <c r="BA185" s="262"/>
      <c r="BB185" s="262"/>
      <c r="BC185" s="262"/>
    </row>
    <row r="186" spans="2:55" s="132" customFormat="1" ht="12.5" x14ac:dyDescent="0.25">
      <c r="B186" s="132" t="s">
        <v>40</v>
      </c>
      <c r="D186" s="382"/>
      <c r="N186" s="382"/>
      <c r="O186" s="382"/>
      <c r="P186" s="382"/>
      <c r="Q186" s="382"/>
      <c r="R186" s="382"/>
      <c r="T186" s="309"/>
      <c r="U186" s="309"/>
      <c r="V186" s="309"/>
      <c r="W186" s="309">
        <f>-(W142+W143)</f>
        <v>6.0889999999999995</v>
      </c>
      <c r="X186" s="309">
        <f>-(X142+X143)</f>
        <v>23.797999999999998</v>
      </c>
      <c r="Y186" s="309"/>
      <c r="Z186" s="309">
        <f>-(Z142+Z143)</f>
        <v>7.5519999999999996</v>
      </c>
      <c r="AA186" s="309">
        <f>-(AA142+AA143)</f>
        <v>7.8490000000000011</v>
      </c>
      <c r="AB186" s="309">
        <f>-(AB142+AB143)</f>
        <v>8.2475229759080388</v>
      </c>
      <c r="AC186" s="309">
        <f>-(AC142+AC143)</f>
        <v>8.8488736819722078</v>
      </c>
      <c r="AD186" s="309">
        <f>SUM(Z186:AC186)</f>
        <v>32.497396657880245</v>
      </c>
      <c r="AE186" s="309"/>
      <c r="AF186" s="309">
        <f>-(AF142+AF143)</f>
        <v>7.3916328199999999</v>
      </c>
      <c r="AG186" s="309">
        <f>-(AG142+AG143)</f>
        <v>7.9052224199999994</v>
      </c>
      <c r="AH186" s="309">
        <f>-(AH142+AH143)</f>
        <v>8.3849641687700007</v>
      </c>
      <c r="AI186" s="309">
        <f>-(AI142+AI143)</f>
        <v>8.9963361089200014</v>
      </c>
      <c r="AJ186" s="309">
        <f>-(AJ142+AJ143)</f>
        <v>32.678155517690001</v>
      </c>
      <c r="AK186" s="309"/>
      <c r="AL186" s="309">
        <f>-(AL142+AL143)</f>
        <v>7.9829634456000003</v>
      </c>
      <c r="AM186" s="309">
        <f>-(AM142+AM143)</f>
        <v>8.5376402136000014</v>
      </c>
      <c r="AN186" s="309">
        <f>-(AN142+AN143)</f>
        <v>9.0557613022716019</v>
      </c>
      <c r="AO186" s="309">
        <f>-(AO142+AO143)</f>
        <v>9.7160429976336022</v>
      </c>
      <c r="AP186" s="309">
        <f>-(AP142+AP143)</f>
        <v>35.292407959105205</v>
      </c>
      <c r="BA186" s="262"/>
      <c r="BB186" s="262"/>
      <c r="BC186" s="262"/>
    </row>
    <row r="187" spans="2:55" s="132" customFormat="1" ht="12.5" x14ac:dyDescent="0.25">
      <c r="B187" s="132" t="s">
        <v>1829</v>
      </c>
      <c r="D187" s="382"/>
      <c r="N187" s="382"/>
      <c r="O187" s="382"/>
      <c r="P187" s="382"/>
      <c r="Q187" s="382"/>
      <c r="R187" s="382"/>
      <c r="T187" s="309"/>
      <c r="U187" s="309"/>
      <c r="V187" s="309"/>
      <c r="W187" s="309">
        <f>W180</f>
        <v>4.5040000000000013</v>
      </c>
      <c r="X187" s="309">
        <f>X180</f>
        <v>15.950000000000003</v>
      </c>
      <c r="Y187" s="309"/>
      <c r="Z187" s="309">
        <f>Z180</f>
        <v>4.9190000000000005</v>
      </c>
      <c r="AA187" s="309">
        <f>AA180</f>
        <v>5.3779999999999966</v>
      </c>
      <c r="AB187" s="309">
        <f>AB180</f>
        <v>5.0949965778230109</v>
      </c>
      <c r="AC187" s="309">
        <f>AC180</f>
        <v>7.517686137533147</v>
      </c>
      <c r="AD187" s="309">
        <f>SUM(Z187:AC187)</f>
        <v>22.909682715356155</v>
      </c>
      <c r="AE187" s="309"/>
      <c r="AF187" s="309">
        <f>AF180</f>
        <v>2.2694711000000041</v>
      </c>
      <c r="AG187" s="309">
        <f>AG180</f>
        <v>4.1433791000000042</v>
      </c>
      <c r="AH187" s="309">
        <f>AH180</f>
        <v>5.8937881833500079</v>
      </c>
      <c r="AI187" s="309">
        <f>AI180</f>
        <v>8.1244695866000107</v>
      </c>
      <c r="AJ187" s="309">
        <f>AJ180</f>
        <v>20.43110796995002</v>
      </c>
      <c r="AK187" s="309"/>
      <c r="AL187" s="309">
        <f>AL180</f>
        <v>2.0482499440000055</v>
      </c>
      <c r="AM187" s="309">
        <f>AM180</f>
        <v>3.9971142640000039</v>
      </c>
      <c r="AN187" s="309">
        <f>AN180</f>
        <v>5.8175397106840094</v>
      </c>
      <c r="AO187" s="309">
        <f>AO180</f>
        <v>8.1374483700640141</v>
      </c>
      <c r="AP187" s="309">
        <f>AP180</f>
        <v>20.000352288748047</v>
      </c>
      <c r="BA187" s="262"/>
      <c r="BB187" s="262"/>
      <c r="BC187" s="262"/>
    </row>
    <row r="188" spans="2:55" s="132" customFormat="1" ht="12.5" x14ac:dyDescent="0.25">
      <c r="B188" s="132" t="s">
        <v>1833</v>
      </c>
      <c r="D188" s="382"/>
      <c r="N188" s="382"/>
      <c r="O188" s="382"/>
      <c r="P188" s="382"/>
      <c r="Q188" s="382"/>
      <c r="R188" s="382"/>
      <c r="T188" s="309"/>
      <c r="U188" s="309"/>
      <c r="V188" s="309"/>
      <c r="W188" s="309">
        <f>W179</f>
        <v>13.58775</v>
      </c>
      <c r="X188" s="309">
        <f>X179</f>
        <v>53.943999999999996</v>
      </c>
      <c r="Y188" s="309"/>
      <c r="Z188" s="309">
        <f>Z179</f>
        <v>10.884749999999997</v>
      </c>
      <c r="AA188" s="309">
        <f>AA179</f>
        <v>10.798749999999998</v>
      </c>
      <c r="AB188" s="309">
        <f>AB179</f>
        <v>11.769749999999998</v>
      </c>
      <c r="AC188" s="309">
        <f>AC179</f>
        <v>10.769749999999998</v>
      </c>
      <c r="AD188" s="309">
        <f>SUM(Z188:AC188)</f>
        <v>44.222999999999999</v>
      </c>
      <c r="AE188" s="309"/>
      <c r="AF188" s="309">
        <f>AF179</f>
        <v>9.782</v>
      </c>
      <c r="AG188" s="309">
        <f>AG179</f>
        <v>9.782</v>
      </c>
      <c r="AH188" s="309">
        <f>AH179</f>
        <v>9.782</v>
      </c>
      <c r="AI188" s="309">
        <f>AI179</f>
        <v>9.782</v>
      </c>
      <c r="AJ188" s="309">
        <f>AJ179</f>
        <v>39.128</v>
      </c>
      <c r="AK188" s="309"/>
      <c r="AL188" s="309">
        <f>AL179</f>
        <v>11.082000000000001</v>
      </c>
      <c r="AM188" s="309">
        <f>AM179</f>
        <v>11.082000000000001</v>
      </c>
      <c r="AN188" s="309">
        <f>AN179</f>
        <v>11.082000000000001</v>
      </c>
      <c r="AO188" s="309">
        <f>AO179</f>
        <v>11.082000000000001</v>
      </c>
      <c r="AP188" s="309">
        <f>AP179</f>
        <v>44.328000000000003</v>
      </c>
      <c r="BA188" s="262"/>
      <c r="BB188" s="262"/>
      <c r="BC188" s="262"/>
    </row>
    <row r="189" spans="2:55" s="132" customFormat="1" ht="12.5" x14ac:dyDescent="0.25">
      <c r="B189" s="132" t="s">
        <v>1834</v>
      </c>
      <c r="D189" s="309"/>
      <c r="N189" s="382"/>
      <c r="O189" s="382"/>
      <c r="P189" s="382"/>
      <c r="Q189" s="382"/>
      <c r="R189" s="308"/>
      <c r="T189" s="309"/>
      <c r="U189" s="309"/>
      <c r="V189" s="309"/>
      <c r="W189" s="309">
        <f>W88</f>
        <v>154.309</v>
      </c>
      <c r="X189" s="309">
        <f>X88</f>
        <v>154.309</v>
      </c>
      <c r="Y189" s="309"/>
      <c r="Z189" s="309">
        <f>Z88</f>
        <v>146.392</v>
      </c>
      <c r="AA189" s="309">
        <f>AA88</f>
        <v>136.536</v>
      </c>
      <c r="AB189" s="309">
        <f>AB185+AB186-AB187-AB188</f>
        <v>127.918776398085</v>
      </c>
      <c r="AC189" s="309">
        <f>AC185+AC186-AC187-AC188</f>
        <v>118.48021394252406</v>
      </c>
      <c r="AD189" s="309">
        <f>AD185+AD186-AD187-AD188</f>
        <v>119.67371394252409</v>
      </c>
      <c r="AE189" s="309"/>
      <c r="AF189" s="309">
        <f>AF185+AF186-AF187-AF188</f>
        <v>115.01387566252409</v>
      </c>
      <c r="AG189" s="309">
        <f>AG185+AG186-AG187-AG188</f>
        <v>108.99371898252409</v>
      </c>
      <c r="AH189" s="309">
        <f>AH185+AH186-AH187-AH188</f>
        <v>101.70289496794408</v>
      </c>
      <c r="AI189" s="309">
        <f>AI185+AI186-AI187-AI188</f>
        <v>92.79276149026407</v>
      </c>
      <c r="AJ189" s="309">
        <f>AJ185+AJ186-AJ187-AJ188</f>
        <v>92.792761490264056</v>
      </c>
      <c r="AK189" s="309"/>
      <c r="AL189" s="309">
        <f>AL185+AL186-AL187-AL188</f>
        <v>87.645474991864063</v>
      </c>
      <c r="AM189" s="309">
        <f>AM185+AM186-AM187-AM188</f>
        <v>81.104000941464051</v>
      </c>
      <c r="AN189" s="309">
        <f>AN185+AN186-AN187-AN188</f>
        <v>73.26022253305166</v>
      </c>
      <c r="AO189" s="309">
        <f>AO185+AO186-AO187-AO188</f>
        <v>63.75681716062126</v>
      </c>
      <c r="AP189" s="309">
        <f>AP185+AP186-AP187-AP188</f>
        <v>63.75681716062121</v>
      </c>
      <c r="BA189" s="262"/>
      <c r="BB189" s="262"/>
      <c r="BC189" s="262"/>
    </row>
    <row r="190" spans="2:55" s="132" customFormat="1" ht="12.5" x14ac:dyDescent="0.25">
      <c r="B190" s="132" t="s">
        <v>1835</v>
      </c>
      <c r="D190" s="382"/>
      <c r="N190" s="382"/>
      <c r="O190" s="382"/>
      <c r="P190" s="382"/>
      <c r="Q190" s="382"/>
      <c r="R190" s="382"/>
      <c r="T190" s="309"/>
      <c r="U190" s="309"/>
      <c r="V190" s="309"/>
      <c r="W190" s="309">
        <f>W189-W88</f>
        <v>0</v>
      </c>
      <c r="X190" s="309">
        <f>X189-X88</f>
        <v>0</v>
      </c>
      <c r="Z190" s="309">
        <f>(Z185+Z186-Z187-Z188)-Z88</f>
        <v>-0.33475000000001387</v>
      </c>
      <c r="AA190" s="309">
        <f>AA189-AA88</f>
        <v>0</v>
      </c>
      <c r="AB190" s="309">
        <f>AB189-AB88</f>
        <v>0</v>
      </c>
      <c r="AC190" s="309">
        <f>AC189-AC88</f>
        <v>0</v>
      </c>
      <c r="AD190" s="309">
        <f>AD189-AD88</f>
        <v>1.1935000000000286</v>
      </c>
      <c r="AF190" s="309">
        <f>AF189-AF88</f>
        <v>0</v>
      </c>
      <c r="AG190" s="309">
        <f>AG189-AG88</f>
        <v>0</v>
      </c>
      <c r="AH190" s="309">
        <f>AH189-AH88</f>
        <v>0</v>
      </c>
      <c r="AI190" s="309">
        <f>AI189-AI88</f>
        <v>0</v>
      </c>
      <c r="AJ190" s="309">
        <f>AJ189-AJ88</f>
        <v>0</v>
      </c>
      <c r="AL190" s="309">
        <f>AL189-AL88</f>
        <v>0</v>
      </c>
      <c r="AM190" s="309">
        <f>AM189-AM88</f>
        <v>0</v>
      </c>
      <c r="AN190" s="309">
        <f>AN189-AN88</f>
        <v>0</v>
      </c>
      <c r="AO190" s="309">
        <f>AO189-AO88</f>
        <v>0</v>
      </c>
      <c r="AP190" s="309">
        <f>AP189-AP88</f>
        <v>0</v>
      </c>
      <c r="BA190" s="262"/>
      <c r="BB190" s="262"/>
      <c r="BC190" s="262"/>
    </row>
    <row r="191" spans="2:55" s="132" customFormat="1" ht="12.5" x14ac:dyDescent="0.25">
      <c r="D191" s="382"/>
      <c r="N191" s="382"/>
      <c r="O191" s="382"/>
      <c r="P191" s="382"/>
      <c r="Q191" s="382"/>
      <c r="R191" s="382"/>
      <c r="T191" s="309"/>
      <c r="U191" s="309"/>
      <c r="V191" s="309"/>
      <c r="W191" s="309"/>
      <c r="X191" s="309"/>
      <c r="Z191" s="309"/>
      <c r="AA191" s="309"/>
      <c r="AB191" s="309"/>
      <c r="AC191" s="309"/>
      <c r="AD191" s="309"/>
      <c r="AF191" s="309"/>
      <c r="AG191" s="309"/>
      <c r="AH191" s="309"/>
      <c r="AI191" s="309"/>
      <c r="AJ191" s="309"/>
      <c r="AL191" s="309"/>
      <c r="AM191" s="309"/>
      <c r="AN191" s="309"/>
      <c r="AO191" s="309"/>
      <c r="AP191" s="309"/>
      <c r="BA191" s="262"/>
      <c r="BB191" s="262"/>
      <c r="BC191" s="262"/>
    </row>
    <row r="192" spans="2:55" x14ac:dyDescent="0.3">
      <c r="B192" s="189" t="s">
        <v>1836</v>
      </c>
      <c r="D192" s="193"/>
      <c r="E192" s="193"/>
      <c r="F192" s="193"/>
      <c r="G192" s="193"/>
      <c r="H192" s="191"/>
      <c r="I192" s="191"/>
      <c r="J192" s="193"/>
      <c r="K192" s="193"/>
      <c r="L192" s="193">
        <v>65.718649906225437</v>
      </c>
      <c r="M192" s="193"/>
      <c r="N192" s="389">
        <f>N82/N8*90</f>
        <v>70.569925748157232</v>
      </c>
      <c r="O192" s="389">
        <f>O82/O8*90</f>
        <v>64.650024287333451</v>
      </c>
      <c r="P192" s="389">
        <f>P82/P8*90</f>
        <v>67.979353404787318</v>
      </c>
      <c r="Q192" s="389">
        <f>Q82/Q8*90</f>
        <v>64.024619276369577</v>
      </c>
      <c r="R192" s="389">
        <f>R82/R8*365</f>
        <v>79.83340011077199</v>
      </c>
      <c r="S192" s="193"/>
      <c r="T192" s="389">
        <f>T82/T8*90</f>
        <v>71.344438555311584</v>
      </c>
      <c r="U192" s="389">
        <f>U82/U8*90</f>
        <v>66.360495578460871</v>
      </c>
      <c r="V192" s="389">
        <f>V82/V8*90</f>
        <v>68.660890665588212</v>
      </c>
      <c r="W192" s="389">
        <f>W82/W8*90</f>
        <v>65.964090113488794</v>
      </c>
      <c r="X192" s="389">
        <f>X82/X8*365</f>
        <v>79.821955790788934</v>
      </c>
      <c r="Y192" s="193"/>
      <c r="Z192" s="389">
        <f>Z82/Z8*90</f>
        <v>70.226457623458913</v>
      </c>
      <c r="AA192" s="389">
        <f>AA82/AA8*90</f>
        <v>64.466042537990973</v>
      </c>
      <c r="AB192" s="193">
        <f t="shared" ref="AB192:AC192" si="157">AA192</f>
        <v>64.466042537990973</v>
      </c>
      <c r="AC192" s="193">
        <f t="shared" si="157"/>
        <v>64.466042537990973</v>
      </c>
      <c r="AD192" s="389">
        <f>AD82/AD8*365</f>
        <v>71.537735211790761</v>
      </c>
      <c r="AE192" s="193"/>
      <c r="AF192" s="193">
        <f>AC192</f>
        <v>64.466042537990973</v>
      </c>
      <c r="AG192" s="193">
        <f>AF192</f>
        <v>64.466042537990973</v>
      </c>
      <c r="AH192" s="193">
        <f t="shared" ref="AH192:AI193" si="158">AG192</f>
        <v>64.466042537990973</v>
      </c>
      <c r="AI192" s="193">
        <f t="shared" si="158"/>
        <v>64.466042537990973</v>
      </c>
      <c r="AJ192" s="389">
        <f>AJ82/AJ8*365</f>
        <v>71.976297533057718</v>
      </c>
      <c r="AK192" s="193"/>
      <c r="AL192" s="193">
        <f>AI192</f>
        <v>64.466042537990973</v>
      </c>
      <c r="AM192" s="193">
        <f>AL192</f>
        <v>64.466042537990973</v>
      </c>
      <c r="AN192" s="193">
        <f t="shared" ref="AN192:AO193" si="159">AM192</f>
        <v>64.466042537990973</v>
      </c>
      <c r="AO192" s="193">
        <f t="shared" si="159"/>
        <v>64.466042537990973</v>
      </c>
      <c r="AP192" s="389">
        <f>AP82/AP8*365</f>
        <v>71.976297533057718</v>
      </c>
      <c r="AZ192" s="132"/>
      <c r="BA192" s="262"/>
      <c r="BB192" s="262"/>
      <c r="BC192" s="262"/>
    </row>
    <row r="193" spans="2:55" x14ac:dyDescent="0.3">
      <c r="B193" s="189" t="s">
        <v>511</v>
      </c>
      <c r="D193" s="193"/>
      <c r="E193" s="193"/>
      <c r="F193" s="193"/>
      <c r="G193" s="193"/>
      <c r="H193" s="191"/>
      <c r="I193" s="191"/>
      <c r="J193" s="193"/>
      <c r="K193" s="193"/>
      <c r="L193" s="193">
        <v>77.132939555634451</v>
      </c>
      <c r="M193" s="193"/>
      <c r="N193" s="389">
        <f>N97/N16*90</f>
        <v>51.386975579211025</v>
      </c>
      <c r="O193" s="389">
        <f>O97/O16*90</f>
        <v>54.274675778519835</v>
      </c>
      <c r="P193" s="389">
        <f>P97/P16*90</f>
        <v>52.864143139723076</v>
      </c>
      <c r="Q193" s="389">
        <f>Q97/Q16*90</f>
        <v>48.421688069366702</v>
      </c>
      <c r="R193" s="389">
        <f>R97/R16*365</f>
        <v>62.478727820867491</v>
      </c>
      <c r="S193" s="193"/>
      <c r="T193" s="389">
        <f>T97/T16*90</f>
        <v>49.398960413395734</v>
      </c>
      <c r="U193" s="389">
        <f>U97/U16*90</f>
        <v>50.175095442333976</v>
      </c>
      <c r="V193" s="389">
        <f>V97/V16*90</f>
        <v>44.046478529171232</v>
      </c>
      <c r="W193" s="389">
        <f>W97/W16*90</f>
        <v>45.313974964087826</v>
      </c>
      <c r="X193" s="389">
        <f>X97/X8*365</f>
        <v>27.659333562639073</v>
      </c>
      <c r="Y193" s="193"/>
      <c r="Z193" s="389">
        <f>Z97/Z16*90</f>
        <v>48.018790637865422</v>
      </c>
      <c r="AA193" s="389">
        <f>AA97/AA16*90</f>
        <v>44.450803653332265</v>
      </c>
      <c r="AB193" s="193">
        <f>AA193-1</f>
        <v>43.450803653332265</v>
      </c>
      <c r="AC193" s="193">
        <f>AB193-1</f>
        <v>42.450803653332265</v>
      </c>
      <c r="AD193" s="389">
        <f>AD97/AD8*365</f>
        <v>23.762102011804103</v>
      </c>
      <c r="AE193" s="193"/>
      <c r="AF193" s="193">
        <f>AC193</f>
        <v>42.450803653332265</v>
      </c>
      <c r="AG193" s="193">
        <f>AF193</f>
        <v>42.450803653332265</v>
      </c>
      <c r="AH193" s="193">
        <f t="shared" si="158"/>
        <v>42.450803653332265</v>
      </c>
      <c r="AI193" s="193">
        <f t="shared" si="158"/>
        <v>42.450803653332265</v>
      </c>
      <c r="AJ193" s="389">
        <f>AJ97/AJ8*365</f>
        <v>23.670794173311357</v>
      </c>
      <c r="AK193" s="193"/>
      <c r="AL193" s="193">
        <f>AI193</f>
        <v>42.450803653332265</v>
      </c>
      <c r="AM193" s="193">
        <f>AL193</f>
        <v>42.450803653332265</v>
      </c>
      <c r="AN193" s="193">
        <f t="shared" si="159"/>
        <v>42.450803653332265</v>
      </c>
      <c r="AO193" s="193">
        <f t="shared" si="159"/>
        <v>42.450803653332265</v>
      </c>
      <c r="AP193" s="389">
        <f>AP97/AP8*365</f>
        <v>23.670794173311357</v>
      </c>
      <c r="AZ193" s="132"/>
      <c r="BA193" s="262"/>
      <c r="BB193" s="262"/>
      <c r="BC193" s="262"/>
    </row>
    <row r="194" spans="2:55" x14ac:dyDescent="0.3">
      <c r="B194" s="189" t="s">
        <v>1837</v>
      </c>
      <c r="D194" s="193"/>
      <c r="E194" s="193"/>
      <c r="F194" s="193"/>
      <c r="G194" s="193"/>
      <c r="H194" s="191"/>
      <c r="I194" s="191"/>
      <c r="J194" s="193"/>
      <c r="K194" s="193"/>
      <c r="L194" s="390">
        <f>L85/L8</f>
        <v>1.5858288342705085E-2</v>
      </c>
      <c r="M194" s="193"/>
      <c r="N194" s="390">
        <f>N85/N8</f>
        <v>8.3192739017854733E-2</v>
      </c>
      <c r="O194" s="390">
        <f>O85/O8</f>
        <v>7.3766822550074773E-2</v>
      </c>
      <c r="P194" s="390">
        <f>P85/P8</f>
        <v>8.8449896913246298E-2</v>
      </c>
      <c r="Q194" s="390">
        <f>Q85/Q8</f>
        <v>5.5569041291905145E-2</v>
      </c>
      <c r="R194" s="390">
        <f>R85/R8</f>
        <v>1.7085204083636778E-2</v>
      </c>
      <c r="S194" s="193"/>
      <c r="T194" s="390">
        <f>T85/T8</f>
        <v>0.10498220640569396</v>
      </c>
      <c r="U194" s="390">
        <f>U85/U8</f>
        <v>1.2995778659924724E-2</v>
      </c>
      <c r="V194" s="390">
        <f>V85/V8</f>
        <v>8.9668009560992815E-2</v>
      </c>
      <c r="W194" s="390">
        <f>W85/W8</f>
        <v>6.7589821768016103E-2</v>
      </c>
      <c r="X194" s="390">
        <f>X85/X8</f>
        <v>2.0167206003130728E-2</v>
      </c>
      <c r="Y194" s="193"/>
      <c r="Z194" s="390">
        <f>Z85/Z8</f>
        <v>0.10053138544667449</v>
      </c>
      <c r="AA194" s="390">
        <f>AA85/AA8</f>
        <v>0.11593512633892468</v>
      </c>
      <c r="AB194" s="391">
        <f t="shared" ref="AB194:AC194" si="160">V194</f>
        <v>8.9668009560992815E-2</v>
      </c>
      <c r="AC194" s="391">
        <f t="shared" si="160"/>
        <v>6.7589821768016103E-2</v>
      </c>
      <c r="AD194" s="390">
        <f>AD85/AD8</f>
        <v>1.8494181806838539E-2</v>
      </c>
      <c r="AE194" s="193"/>
      <c r="AF194" s="391">
        <f>Z194</f>
        <v>0.10053138544667449</v>
      </c>
      <c r="AG194" s="391">
        <f t="shared" ref="AG194:AI194" si="161">AA194</f>
        <v>0.11593512633892468</v>
      </c>
      <c r="AH194" s="391">
        <f t="shared" si="161"/>
        <v>8.9668009560992815E-2</v>
      </c>
      <c r="AI194" s="391">
        <f t="shared" si="161"/>
        <v>6.7589821768016103E-2</v>
      </c>
      <c r="AJ194" s="390">
        <f>AJ85/AJ8</f>
        <v>1.8607560449300838E-2</v>
      </c>
      <c r="AK194" s="193"/>
      <c r="AL194" s="391">
        <f>AF194</f>
        <v>0.10053138544667449</v>
      </c>
      <c r="AM194" s="391">
        <f t="shared" ref="AM194:AO194" si="162">AG194</f>
        <v>0.11593512633892468</v>
      </c>
      <c r="AN194" s="391">
        <f t="shared" si="162"/>
        <v>8.9668009560992815E-2</v>
      </c>
      <c r="AO194" s="391">
        <f t="shared" si="162"/>
        <v>6.7589821768016103E-2</v>
      </c>
      <c r="AP194" s="390">
        <f>AP85/AP8</f>
        <v>1.8607560449300838E-2</v>
      </c>
      <c r="AZ194" s="132"/>
      <c r="BA194" s="262"/>
      <c r="BB194" s="262"/>
      <c r="BC194" s="262"/>
    </row>
    <row r="195" spans="2:55" x14ac:dyDescent="0.3">
      <c r="B195" s="189" t="s">
        <v>1838</v>
      </c>
      <c r="D195" s="193"/>
      <c r="E195" s="193"/>
      <c r="F195" s="193"/>
      <c r="G195" s="193"/>
      <c r="H195" s="191"/>
      <c r="I195" s="191"/>
      <c r="J195" s="193"/>
      <c r="K195" s="193"/>
      <c r="L195" s="390">
        <f>L96/L$8</f>
        <v>3.4784449744378505E-2</v>
      </c>
      <c r="M195" s="193"/>
      <c r="N195" s="390">
        <f>N96/N$8</f>
        <v>0.18400562978734922</v>
      </c>
      <c r="O195" s="390">
        <f>O96/O$8</f>
        <v>8.9596449287095328E-2</v>
      </c>
      <c r="P195" s="390">
        <f>P96/P$8</f>
        <v>0.11365131819444649</v>
      </c>
      <c r="Q195" s="390">
        <f>Q96/Q$8</f>
        <v>0.12098196034341782</v>
      </c>
      <c r="R195" s="390">
        <f>R96/R$8</f>
        <v>3.7196997372111386E-2</v>
      </c>
      <c r="S195" s="193"/>
      <c r="T195" s="390">
        <f>T96/T$8</f>
        <v>0.17667903384568789</v>
      </c>
      <c r="U195" s="390">
        <f>U96/U$8</f>
        <v>0.127235079450425</v>
      </c>
      <c r="V195" s="390">
        <f>V96/V$8</f>
        <v>0.1357049158228209</v>
      </c>
      <c r="W195" s="390">
        <f>W96/W$8</f>
        <v>0.14140929365930777</v>
      </c>
      <c r="X195" s="390">
        <f>X96/X$8</f>
        <v>4.2193192427294871E-2</v>
      </c>
      <c r="Y195" s="193"/>
      <c r="Z195" s="390">
        <f>Z96/Z$8</f>
        <v>0.10906304474907969</v>
      </c>
      <c r="AA195" s="390">
        <f>AA96/AA$8</f>
        <v>0.12279161147245747</v>
      </c>
      <c r="AB195" s="391">
        <f t="shared" ref="AB195:AC196" si="163">AA195</f>
        <v>0.12279161147245747</v>
      </c>
      <c r="AC195" s="391">
        <f t="shared" si="163"/>
        <v>0.12279161147245747</v>
      </c>
      <c r="AD195" s="390">
        <f>AD96/AD$8</f>
        <v>3.3598703584700483E-2</v>
      </c>
      <c r="AE195" s="193"/>
      <c r="AF195" s="391">
        <f>AC195</f>
        <v>0.12279161147245747</v>
      </c>
      <c r="AG195" s="391">
        <f t="shared" ref="AG195:AI196" si="164">AF195</f>
        <v>0.12279161147245747</v>
      </c>
      <c r="AH195" s="391">
        <f t="shared" si="164"/>
        <v>0.12279161147245747</v>
      </c>
      <c r="AI195" s="391">
        <f t="shared" si="164"/>
        <v>0.12279161147245747</v>
      </c>
      <c r="AJ195" s="390">
        <f>AJ96/AJ$8</f>
        <v>3.3804680547656361E-2</v>
      </c>
      <c r="AK195" s="193"/>
      <c r="AL195" s="391">
        <f>AI195</f>
        <v>0.12279161147245747</v>
      </c>
      <c r="AM195" s="391">
        <f t="shared" ref="AM195:AO196" si="165">AL195</f>
        <v>0.12279161147245747</v>
      </c>
      <c r="AN195" s="391">
        <f t="shared" si="165"/>
        <v>0.12279161147245747</v>
      </c>
      <c r="AO195" s="391">
        <f t="shared" si="165"/>
        <v>0.12279161147245747</v>
      </c>
      <c r="AP195" s="390">
        <f>AP96/AP$8</f>
        <v>3.3804680547656361E-2</v>
      </c>
      <c r="AZ195" s="132"/>
      <c r="BA195" s="262"/>
      <c r="BB195" s="262"/>
      <c r="BC195" s="262"/>
    </row>
    <row r="196" spans="2:55" x14ac:dyDescent="0.3">
      <c r="B196" s="189" t="s">
        <v>1839</v>
      </c>
      <c r="D196" s="193"/>
      <c r="E196" s="193"/>
      <c r="F196" s="193"/>
      <c r="G196" s="193"/>
      <c r="H196" s="191"/>
      <c r="I196" s="191"/>
      <c r="J196" s="193"/>
      <c r="K196" s="193"/>
      <c r="L196" s="390">
        <f>L102/L$8</f>
        <v>4.7251057046248497E-2</v>
      </c>
      <c r="M196" s="193"/>
      <c r="N196" s="390">
        <f>N102/N$8</f>
        <v>0.19147592453919648</v>
      </c>
      <c r="O196" s="390">
        <f>O102/O$8</f>
        <v>0.23030106769022698</v>
      </c>
      <c r="P196" s="390">
        <f>P102/P$8</f>
        <v>0.1677024082820337</v>
      </c>
      <c r="Q196" s="390">
        <f>Q102/Q$8</f>
        <v>0.16097710547833194</v>
      </c>
      <c r="R196" s="390">
        <f>R102/R$8</f>
        <v>4.9495830338168803E-2</v>
      </c>
      <c r="S196" s="193"/>
      <c r="T196" s="390">
        <f>T102/T$8</f>
        <v>0.19605512228363747</v>
      </c>
      <c r="U196" s="390">
        <f>U102/U$8</f>
        <v>0.15641838170523836</v>
      </c>
      <c r="V196" s="390">
        <f>V102/V$8</f>
        <v>0.12426179698963535</v>
      </c>
      <c r="W196" s="390">
        <f>W102/W$8</f>
        <v>0.10270923907929158</v>
      </c>
      <c r="X196" s="390">
        <f>X102/X$8</f>
        <v>3.0646010431071399E-2</v>
      </c>
      <c r="Y196" s="193"/>
      <c r="Z196" s="390">
        <f>Z102/Z$8</f>
        <v>9.4717217625776146E-2</v>
      </c>
      <c r="AA196" s="390">
        <f>AA102/AA$8</f>
        <v>8.8206547893689743E-2</v>
      </c>
      <c r="AB196" s="391">
        <f t="shared" si="163"/>
        <v>8.8206547893689743E-2</v>
      </c>
      <c r="AC196" s="391">
        <f t="shared" si="163"/>
        <v>8.8206547893689743E-2</v>
      </c>
      <c r="AD196" s="390">
        <f>AD97/AD$8</f>
        <v>6.5101649347408502E-2</v>
      </c>
      <c r="AE196" s="193"/>
      <c r="AF196" s="391">
        <f>AC196</f>
        <v>8.8206547893689743E-2</v>
      </c>
      <c r="AG196" s="391">
        <f t="shared" si="164"/>
        <v>8.8206547893689743E-2</v>
      </c>
      <c r="AH196" s="391">
        <f t="shared" si="164"/>
        <v>8.8206547893689743E-2</v>
      </c>
      <c r="AI196" s="391">
        <f t="shared" si="164"/>
        <v>8.8206547893689743E-2</v>
      </c>
      <c r="AJ196" s="390">
        <f>AJ97/AJ$8</f>
        <v>6.4851490885784541E-2</v>
      </c>
      <c r="AK196" s="193"/>
      <c r="AL196" s="391">
        <f>AI196</f>
        <v>8.8206547893689743E-2</v>
      </c>
      <c r="AM196" s="391">
        <f t="shared" si="165"/>
        <v>8.8206547893689743E-2</v>
      </c>
      <c r="AN196" s="391">
        <f t="shared" si="165"/>
        <v>8.8206547893689743E-2</v>
      </c>
      <c r="AO196" s="391">
        <f t="shared" si="165"/>
        <v>8.8206547893689743E-2</v>
      </c>
      <c r="AP196" s="390">
        <f>AP97/AP$8</f>
        <v>6.4851490885784541E-2</v>
      </c>
      <c r="AZ196" s="132"/>
      <c r="BA196" s="262"/>
      <c r="BB196" s="262"/>
      <c r="BC196" s="262"/>
    </row>
    <row r="197" spans="2:55" s="132" customFormat="1" x14ac:dyDescent="0.3">
      <c r="AZ197" s="118"/>
      <c r="BA197" s="119"/>
      <c r="BB197" s="119"/>
      <c r="BC197" s="119"/>
    </row>
    <row r="198" spans="2:55" s="132" customFormat="1" ht="12.5" x14ac:dyDescent="0.25">
      <c r="B198" s="132" t="s">
        <v>299</v>
      </c>
      <c r="D198" s="309"/>
      <c r="E198" s="309"/>
      <c r="F198" s="309"/>
      <c r="G198" s="309"/>
      <c r="L198" s="309">
        <f>L110+L105</f>
        <v>540.83900000000006</v>
      </c>
      <c r="M198" s="309"/>
      <c r="N198" s="309">
        <f>N110+N105</f>
        <v>812.66600000000005</v>
      </c>
      <c r="O198" s="309">
        <f>O110+O105</f>
        <v>786.86900000000003</v>
      </c>
      <c r="P198" s="309">
        <f>P110+P105</f>
        <v>786.08199999999999</v>
      </c>
      <c r="Q198" s="309">
        <f>Q110+Q105</f>
        <v>785.30500000000006</v>
      </c>
      <c r="R198" s="309">
        <f>R110+R105</f>
        <v>785.30500000000006</v>
      </c>
      <c r="S198" s="309"/>
      <c r="T198" s="309">
        <f>T110+T105</f>
        <v>749.61300000000006</v>
      </c>
      <c r="U198" s="309">
        <f>U110+U105</f>
        <v>553.96799999999996</v>
      </c>
      <c r="V198" s="309">
        <f>V110+V105</f>
        <v>554.40499999999997</v>
      </c>
      <c r="W198" s="309">
        <f>W110+W105</f>
        <v>554.84500000000003</v>
      </c>
      <c r="X198" s="309">
        <f>X110+X105</f>
        <v>554.84500000000003</v>
      </c>
      <c r="Y198" s="309"/>
      <c r="Z198" s="309">
        <f>Z110+Z105</f>
        <v>555.29</v>
      </c>
      <c r="AA198" s="309">
        <f>AA110+AA105</f>
        <v>555.73900000000003</v>
      </c>
      <c r="AB198" s="309">
        <f>AB110+AB105</f>
        <v>535.73900000000003</v>
      </c>
      <c r="AC198" s="309">
        <f>AC110+AC105</f>
        <v>515.73900000000003</v>
      </c>
      <c r="AD198" s="309">
        <f>AD110+AD105</f>
        <v>515.73900000000003</v>
      </c>
      <c r="AE198" s="309"/>
      <c r="AF198" s="309">
        <f>AF110+AF105</f>
        <v>495.73900000000003</v>
      </c>
      <c r="AG198" s="309">
        <f>AG110+AG105</f>
        <v>475.73900000000003</v>
      </c>
      <c r="AH198" s="309">
        <f>AH110+AH105</f>
        <v>455.73900000000003</v>
      </c>
      <c r="AI198" s="309">
        <f>AI110+AI105</f>
        <v>435.73900000000003</v>
      </c>
      <c r="AJ198" s="309">
        <f>AJ110+AJ105</f>
        <v>435.73900000000003</v>
      </c>
      <c r="AK198" s="309"/>
      <c r="AL198" s="309">
        <f>AL110+AL105</f>
        <v>435.73900000000003</v>
      </c>
      <c r="AM198" s="309">
        <f>AM110+AM105</f>
        <v>435.73900000000003</v>
      </c>
      <c r="AN198" s="309">
        <f>AN110+AN105</f>
        <v>435.73900000000003</v>
      </c>
      <c r="AO198" s="309">
        <f>AO110+AO105</f>
        <v>435.73900000000003</v>
      </c>
      <c r="AP198" s="309">
        <f>AP110+AP105</f>
        <v>435.73900000000003</v>
      </c>
      <c r="BA198" s="262"/>
      <c r="BB198" s="262"/>
      <c r="BC198" s="262"/>
    </row>
    <row r="199" spans="2:55" s="132" customFormat="1" ht="12.5" x14ac:dyDescent="0.25">
      <c r="B199" s="132" t="s">
        <v>208</v>
      </c>
      <c r="D199" s="309"/>
      <c r="E199" s="309"/>
      <c r="F199" s="309"/>
      <c r="G199" s="309"/>
      <c r="L199" s="309">
        <f>L80</f>
        <v>80.62</v>
      </c>
      <c r="M199" s="309"/>
      <c r="N199" s="309">
        <f>N80</f>
        <v>129.66300000000001</v>
      </c>
      <c r="O199" s="309">
        <f>O80</f>
        <v>116.887</v>
      </c>
      <c r="P199" s="309">
        <f>P80</f>
        <v>123.63800000000001</v>
      </c>
      <c r="Q199" s="309">
        <f>Q80</f>
        <v>152.81800000000001</v>
      </c>
      <c r="R199" s="309">
        <f>R80</f>
        <v>152.81800000000001</v>
      </c>
      <c r="S199" s="309"/>
      <c r="T199" s="309">
        <f>T80</f>
        <v>113.328</v>
      </c>
      <c r="U199" s="309">
        <f>U80</f>
        <v>257.12200000000001</v>
      </c>
      <c r="V199" s="309">
        <f>V80</f>
        <v>275.53800000000001</v>
      </c>
      <c r="W199" s="309">
        <f>W80</f>
        <v>292.642</v>
      </c>
      <c r="X199" s="309">
        <f>X80</f>
        <v>292.642</v>
      </c>
      <c r="Y199" s="309"/>
      <c r="Z199" s="309">
        <f>Z80</f>
        <v>307.67099999999999</v>
      </c>
      <c r="AA199" s="309">
        <f>AA80</f>
        <v>352.25099999999998</v>
      </c>
      <c r="AB199" s="309">
        <f>AB80</f>
        <v>381.01945555226098</v>
      </c>
      <c r="AC199" s="309">
        <f>AC80</f>
        <v>411.01909438154223</v>
      </c>
      <c r="AD199" s="309">
        <f>AD80</f>
        <v>411.01909438154223</v>
      </c>
      <c r="AE199" s="309"/>
      <c r="AF199" s="309">
        <f>AF80</f>
        <v>431.08819362857145</v>
      </c>
      <c r="AG199" s="309">
        <f>AG80</f>
        <v>444.41948984050998</v>
      </c>
      <c r="AH199" s="309">
        <f>AH80</f>
        <v>478.65090576518952</v>
      </c>
      <c r="AI199" s="309">
        <f>AI80</f>
        <v>514.3386408193619</v>
      </c>
      <c r="AJ199" s="309">
        <f>AJ80</f>
        <v>514.3386408193619</v>
      </c>
      <c r="AK199" s="309"/>
      <c r="AL199" s="309">
        <f>AL80</f>
        <v>558.25269503601714</v>
      </c>
      <c r="AM199" s="309">
        <f>AM80</f>
        <v>595.11512252691068</v>
      </c>
      <c r="AN199" s="309">
        <f>AN80</f>
        <v>654.58468748923156</v>
      </c>
      <c r="AO199" s="309">
        <f>AO80</f>
        <v>715.6716907394698</v>
      </c>
      <c r="AP199" s="309">
        <f>AP80</f>
        <v>715.6716907394698</v>
      </c>
      <c r="BA199" s="262"/>
      <c r="BB199" s="262"/>
      <c r="BC199" s="262"/>
    </row>
    <row r="200" spans="2:55" s="132" customFormat="1" ht="12.5" x14ac:dyDescent="0.25">
      <c r="B200" s="132" t="s">
        <v>52</v>
      </c>
      <c r="D200" s="309"/>
      <c r="E200" s="309"/>
      <c r="F200" s="309"/>
      <c r="G200" s="309"/>
      <c r="L200" s="309">
        <f>L198-L199</f>
        <v>460.21900000000005</v>
      </c>
      <c r="M200" s="309"/>
      <c r="N200" s="309">
        <f>N198-N199</f>
        <v>683.00300000000004</v>
      </c>
      <c r="O200" s="309">
        <f>O198-O199</f>
        <v>669.98199999999997</v>
      </c>
      <c r="P200" s="309">
        <f>P198-P199</f>
        <v>662.44399999999996</v>
      </c>
      <c r="Q200" s="309">
        <f>Q198-Q199</f>
        <v>632.48700000000008</v>
      </c>
      <c r="R200" s="309">
        <f>R198-R199</f>
        <v>632.48700000000008</v>
      </c>
      <c r="S200" s="309"/>
      <c r="T200" s="309">
        <f>T198-T199</f>
        <v>636.28500000000008</v>
      </c>
      <c r="U200" s="309">
        <f>U198-U199</f>
        <v>296.84599999999995</v>
      </c>
      <c r="V200" s="309">
        <f>V198-V199</f>
        <v>278.86699999999996</v>
      </c>
      <c r="W200" s="309">
        <f>W198-W199</f>
        <v>262.20300000000003</v>
      </c>
      <c r="X200" s="309">
        <f>X198-X199</f>
        <v>262.20300000000003</v>
      </c>
      <c r="Y200" s="309"/>
      <c r="Z200" s="309">
        <f>Z198-Z199</f>
        <v>247.61899999999997</v>
      </c>
      <c r="AA200" s="309">
        <f>AA198-AA199</f>
        <v>203.48800000000006</v>
      </c>
      <c r="AB200" s="309">
        <f>AB198-AB199</f>
        <v>154.71954444773905</v>
      </c>
      <c r="AC200" s="309">
        <f>AC198-AC199</f>
        <v>104.7199056184578</v>
      </c>
      <c r="AD200" s="309">
        <f>AD198-AD199</f>
        <v>104.7199056184578</v>
      </c>
      <c r="AE200" s="309"/>
      <c r="AF200" s="309">
        <f>AF198-AF199</f>
        <v>64.650806371428587</v>
      </c>
      <c r="AG200" s="309">
        <f>AG198-AG199</f>
        <v>31.319510159490051</v>
      </c>
      <c r="AH200" s="309">
        <f>AH198-AH199</f>
        <v>-22.911905765189488</v>
      </c>
      <c r="AI200" s="309">
        <f>AI198-AI199</f>
        <v>-78.599640819361866</v>
      </c>
      <c r="AJ200" s="309">
        <f>AJ198-AJ199</f>
        <v>-78.599640819361866</v>
      </c>
      <c r="AK200" s="309"/>
      <c r="AL200" s="309">
        <f>AL198-AL199</f>
        <v>-122.51369503601711</v>
      </c>
      <c r="AM200" s="309">
        <f>AM198-AM199</f>
        <v>-159.37612252691065</v>
      </c>
      <c r="AN200" s="309">
        <f>AN198-AN199</f>
        <v>-218.84568748923152</v>
      </c>
      <c r="AO200" s="309">
        <f>AO198-AO199</f>
        <v>-279.93269073946976</v>
      </c>
      <c r="AP200" s="309">
        <f>AP198-AP199</f>
        <v>-279.93269073946976</v>
      </c>
      <c r="BA200" s="262"/>
      <c r="BB200" s="262"/>
      <c r="BC200" s="262"/>
    </row>
    <row r="201" spans="2:55" s="132" customFormat="1" ht="12.5" x14ac:dyDescent="0.25">
      <c r="B201" s="132" t="s">
        <v>1840</v>
      </c>
      <c r="D201" s="309"/>
      <c r="E201" s="309"/>
      <c r="F201" s="309"/>
      <c r="G201" s="309"/>
      <c r="L201" s="309">
        <f>L33</f>
        <v>123.773</v>
      </c>
      <c r="M201" s="309"/>
      <c r="N201" s="309">
        <f>SUM(I33,J33,K33,N33)</f>
        <v>125.89200000000001</v>
      </c>
      <c r="O201" s="309">
        <f>SUM(J33,K33,N33,O33)</f>
        <v>124.184</v>
      </c>
      <c r="P201" s="309">
        <f>SUM(K33,N33,O33,P33)</f>
        <v>133.98199999999997</v>
      </c>
      <c r="Q201" s="309">
        <f>SUM(N33,O33,P33,Q33)</f>
        <v>146.79695076404769</v>
      </c>
      <c r="R201" s="309">
        <f>R33</f>
        <v>146.79695076404769</v>
      </c>
      <c r="S201" s="309"/>
      <c r="T201" s="309">
        <f>SUM(O33,P33,Q33,T33)</f>
        <v>156.17595076404768</v>
      </c>
      <c r="U201" s="309">
        <f>SUM(P33,Q33,T33,U33)</f>
        <v>180.84395076404769</v>
      </c>
      <c r="V201" s="309">
        <f>SUM(Q33,T33,U33,V33)</f>
        <v>201.49895076404772</v>
      </c>
      <c r="W201" s="309">
        <f>SUM(T33,U33,V33,W33)</f>
        <v>226.29399999999998</v>
      </c>
      <c r="X201" s="309">
        <f>X33</f>
        <v>226.29399999999998</v>
      </c>
      <c r="Y201" s="309"/>
      <c r="Z201" s="309">
        <f>SUM(U33,V33,W33,Z33)</f>
        <v>243.304</v>
      </c>
      <c r="AA201" s="309">
        <f>SUM(V33,W33,Z33,AA33)</f>
        <v>247.816</v>
      </c>
      <c r="AB201" s="309">
        <f>SUM(W33,Z33,AA33,AB33)</f>
        <v>254.8513241871488</v>
      </c>
      <c r="AC201" s="309">
        <f>SUM(Z33,AA33,AB33,AC33)</f>
        <v>256.545874203724</v>
      </c>
      <c r="AD201" s="309">
        <f>AD33</f>
        <v>256.545874203724</v>
      </c>
      <c r="AE201" s="309"/>
      <c r="AF201" s="309">
        <f>SUM(AA33,AB33,AC33,AF33)</f>
        <v>258.73960613386237</v>
      </c>
      <c r="AG201" s="309">
        <f>SUM(AB33,AC33,AF33,AG33)</f>
        <v>260.6603727338624</v>
      </c>
      <c r="AH201" s="309">
        <f>SUM(AC33,AF33,AG33,AH33)</f>
        <v>267.89513195906284</v>
      </c>
      <c r="AI201" s="309">
        <f>SUM(AF33,AG33,AH33,AI33)</f>
        <v>275.3058526518231</v>
      </c>
      <c r="AJ201" s="309">
        <f>AJ33</f>
        <v>275.3058526518231</v>
      </c>
      <c r="AK201" s="309"/>
      <c r="AL201" s="309">
        <f>SUM(AG33,AH33,AI33,AL33)</f>
        <v>280.84813005023415</v>
      </c>
      <c r="AM201" s="309">
        <f>SUM(AH33,AI33,AL33,AM33)</f>
        <v>287.02224654223414</v>
      </c>
      <c r="AN201" s="309">
        <f>SUM(AI33,AL33,AM33,AN33)</f>
        <v>294.50312474255611</v>
      </c>
      <c r="AO201" s="309">
        <f>SUM(AL33,AM33,AN33,AO33)</f>
        <v>302.09956518276698</v>
      </c>
      <c r="AP201" s="309">
        <f>AP33</f>
        <v>302.09956518276698</v>
      </c>
      <c r="BA201" s="262"/>
      <c r="BB201" s="262"/>
      <c r="BC201" s="262"/>
    </row>
    <row r="202" spans="2:55" s="163" customFormat="1" ht="13" x14ac:dyDescent="0.3">
      <c r="B202" s="163" t="s">
        <v>1841</v>
      </c>
      <c r="D202" s="320"/>
      <c r="E202" s="320"/>
      <c r="F202" s="320"/>
      <c r="G202" s="320"/>
      <c r="L202" s="392">
        <f>L200/L201</f>
        <v>3.7182503453903522</v>
      </c>
      <c r="M202" s="320"/>
      <c r="N202" s="392">
        <f>N200/N201</f>
        <v>5.4253089950115969</v>
      </c>
      <c r="O202" s="392">
        <f>O200/O201</f>
        <v>5.3950750499259161</v>
      </c>
      <c r="P202" s="392">
        <f>P200/P201</f>
        <v>4.9442760967891219</v>
      </c>
      <c r="Q202" s="392">
        <f>Q200/Q201</f>
        <v>4.3085840455679518</v>
      </c>
      <c r="R202" s="392">
        <f>R200/R201</f>
        <v>4.3085840455679518</v>
      </c>
      <c r="S202" s="320"/>
      <c r="T202" s="392">
        <f>T200/T201</f>
        <v>4.074154803522255</v>
      </c>
      <c r="U202" s="392">
        <f>U200/U201</f>
        <v>1.6414483246238269</v>
      </c>
      <c r="V202" s="392">
        <f>V200/V201</f>
        <v>1.38396254145536</v>
      </c>
      <c r="W202" s="392">
        <f>W200/W201</f>
        <v>1.158682952265637</v>
      </c>
      <c r="X202" s="392">
        <f>X200/X201</f>
        <v>1.158682952265637</v>
      </c>
      <c r="Y202" s="320"/>
      <c r="Z202" s="392">
        <f>Z200/Z201</f>
        <v>1.0177350146319006</v>
      </c>
      <c r="AA202" s="392">
        <f>AA200/AA201</f>
        <v>0.82112535106692086</v>
      </c>
      <c r="AB202" s="392">
        <f>AB200/AB201</f>
        <v>0.6070972750140452</v>
      </c>
      <c r="AC202" s="392">
        <f>AC200/AC201</f>
        <v>0.40819173546832932</v>
      </c>
      <c r="AD202" s="392">
        <f>AD200/AD201</f>
        <v>0.40819173546832932</v>
      </c>
      <c r="AE202" s="320"/>
      <c r="AF202" s="392">
        <f>AF200/AF201</f>
        <v>0.24986822596452679</v>
      </c>
      <c r="AG202" s="392">
        <f>AG200/AG201</f>
        <v>0.12015447469442421</v>
      </c>
      <c r="AH202" s="392">
        <f>AH200/AH201</f>
        <v>-8.5525651763954658E-2</v>
      </c>
      <c r="AI202" s="392">
        <f>AI200/AI201</f>
        <v>-0.28549934577223152</v>
      </c>
      <c r="AJ202" s="392">
        <f>AJ200/AJ201</f>
        <v>-0.28549934577223152</v>
      </c>
      <c r="AK202" s="320"/>
      <c r="AL202" s="392">
        <f>AL200/AL201</f>
        <v>-0.43622756190010448</v>
      </c>
      <c r="AM202" s="392">
        <f>AM200/AM201</f>
        <v>-0.5552744585025019</v>
      </c>
      <c r="AN202" s="392">
        <f>AN200/AN201</f>
        <v>-0.74310141082726522</v>
      </c>
      <c r="AO202" s="392">
        <f>AO200/AO201</f>
        <v>-0.92662394455984565</v>
      </c>
      <c r="AP202" s="392">
        <f>AP200/AP201</f>
        <v>-0.92662394455984565</v>
      </c>
      <c r="AZ202" s="132"/>
      <c r="BA202" s="262"/>
      <c r="BB202" s="262"/>
      <c r="BC202" s="262"/>
    </row>
    <row r="203" spans="2:55" s="132" customFormat="1" ht="12.5" x14ac:dyDescent="0.25">
      <c r="B203" s="132" t="s">
        <v>1842</v>
      </c>
      <c r="D203" s="309"/>
      <c r="E203" s="309"/>
      <c r="F203" s="309"/>
      <c r="G203" s="309"/>
      <c r="L203" s="309">
        <f>SUM(L147,L148,L152)</f>
        <v>0</v>
      </c>
      <c r="M203" s="309"/>
      <c r="N203" s="309">
        <f>SUM(N147,N148,N152)</f>
        <v>-10.396999999999998</v>
      </c>
      <c r="O203" s="309">
        <f>SUM(O147,O148,O152)</f>
        <v>-25</v>
      </c>
      <c r="P203" s="309">
        <f>SUM(P147,P148,P152)</f>
        <v>-1.675</v>
      </c>
      <c r="Q203" s="309">
        <f>SUM(Q147,Q148,Q152)</f>
        <v>-1.675</v>
      </c>
      <c r="R203" s="309">
        <f>SUM(R147,R148,R152)</f>
        <v>-38.747</v>
      </c>
      <c r="S203" s="309"/>
      <c r="T203" s="309">
        <f>SUM(T147,T148,T152)</f>
        <v>-50.303000000000004</v>
      </c>
      <c r="U203" s="309">
        <f>SUM(U147,U148,U152)</f>
        <v>-198.74299999999999</v>
      </c>
      <c r="V203" s="309">
        <f>SUM(V147,V148,V152)</f>
        <v>0</v>
      </c>
      <c r="W203" s="309">
        <f>SUM(W147,W148,W152)</f>
        <v>0</v>
      </c>
      <c r="X203" s="309">
        <f>SUM(X147,X148,X152)</f>
        <v>-249.04599999999999</v>
      </c>
      <c r="Y203" s="309"/>
      <c r="Z203" s="309">
        <f>SUM(Z147,Z148,Z152)</f>
        <v>0</v>
      </c>
      <c r="AA203" s="309">
        <f>SUM(AA147,AA148,AA152)</f>
        <v>0</v>
      </c>
      <c r="AB203" s="309">
        <f>SUM(AB147,AB148,AB152)</f>
        <v>-20</v>
      </c>
      <c r="AC203" s="309">
        <f>SUM(AC147,AC148,AC152)</f>
        <v>-20</v>
      </c>
      <c r="AD203" s="309">
        <f>SUM(AD147,AD148,AD152)</f>
        <v>-40</v>
      </c>
      <c r="AE203" s="309"/>
      <c r="AF203" s="309">
        <f>SUM(AF147,AF148,AF152)</f>
        <v>-20</v>
      </c>
      <c r="AG203" s="309">
        <f>SUM(AG147,AG148,AG152)</f>
        <v>-20</v>
      </c>
      <c r="AH203" s="309">
        <f>SUM(AH147,AH148,AH152)</f>
        <v>-20</v>
      </c>
      <c r="AI203" s="309">
        <f>SUM(AI147,AI148,AI152)</f>
        <v>-20</v>
      </c>
      <c r="AJ203" s="309">
        <f>SUM(AJ147,AJ148,AJ152)</f>
        <v>-80</v>
      </c>
      <c r="AK203" s="309"/>
      <c r="AL203" s="309">
        <f>SUM(AL147,AL148,AL152)</f>
        <v>0</v>
      </c>
      <c r="AM203" s="309">
        <f>SUM(AM147,AM148,AM152)</f>
        <v>0</v>
      </c>
      <c r="AN203" s="309">
        <f>SUM(AN147,AN148,AN152)</f>
        <v>0</v>
      </c>
      <c r="AO203" s="309">
        <f>SUM(AO147,AO148,AO152)</f>
        <v>0</v>
      </c>
      <c r="AP203" s="309">
        <f>SUM(AP147,AP148,AP152)</f>
        <v>0</v>
      </c>
      <c r="BA203" s="262"/>
      <c r="BB203" s="262"/>
      <c r="BC203" s="262"/>
    </row>
    <row r="204" spans="2:55" s="132" customFormat="1" ht="12.5" hidden="1" outlineLevel="1" x14ac:dyDescent="0.25">
      <c r="B204" s="132" t="s">
        <v>1843</v>
      </c>
      <c r="D204" s="382"/>
      <c r="E204" s="382"/>
      <c r="F204" s="382"/>
      <c r="G204" s="382"/>
      <c r="L204" s="382">
        <f>L47/L198/4</f>
        <v>2.3583265999678277E-2</v>
      </c>
      <c r="M204" s="382"/>
      <c r="N204" s="382">
        <f>N47/N198</f>
        <v>2.1407318627824957E-2</v>
      </c>
      <c r="O204" s="382">
        <f>O47/O198</f>
        <v>1.7556924977346927E-2</v>
      </c>
      <c r="P204" s="382">
        <f>P47/P198</f>
        <v>1.4892848328800301E-2</v>
      </c>
      <c r="Q204" s="382">
        <f>Q47/Q198</f>
        <v>1.210867115324619E-2</v>
      </c>
      <c r="R204" s="382">
        <f>R47/R198/4</f>
        <v>1.6690330508528532E-2</v>
      </c>
      <c r="S204" s="382"/>
      <c r="T204" s="382">
        <f>T47/T198</f>
        <v>9.0900237856067056E-3</v>
      </c>
      <c r="U204" s="382">
        <f>U47/U198</f>
        <v>1.8894593189498314E-2</v>
      </c>
      <c r="V204" s="382">
        <f>V47/V198</f>
        <v>8.5388840288236935E-3</v>
      </c>
      <c r="W204" s="382">
        <f>W47/W198</f>
        <v>5.5997620957204267E-3</v>
      </c>
      <c r="X204" s="382">
        <f>X47/X198/4</f>
        <v>1.1319377483801782E-2</v>
      </c>
      <c r="Y204" s="382"/>
      <c r="Z204" s="382">
        <f>Z47/Z198</f>
        <v>0</v>
      </c>
      <c r="AA204" s="382">
        <f>AA47/AA198</f>
        <v>5.599750962232271E-3</v>
      </c>
      <c r="AB204" s="382">
        <f>AB47/AB198</f>
        <v>1.026619305296049E-2</v>
      </c>
      <c r="AC204" s="382">
        <f>AC47/AC198</f>
        <v>1.0664308884920473E-2</v>
      </c>
      <c r="AD204" s="382">
        <f>AD47/AD198/4</f>
        <v>6.840669408363532E-3</v>
      </c>
      <c r="AE204" s="382"/>
      <c r="AF204" s="382">
        <f>AF47/AF198</f>
        <v>1.1094547735804525E-2</v>
      </c>
      <c r="AG204" s="382">
        <f>AG47/AG198</f>
        <v>1.156096094707392E-2</v>
      </c>
      <c r="AH204" s="382">
        <f>AH47/AH198</f>
        <v>1.2068311028900313E-2</v>
      </c>
      <c r="AI204" s="382">
        <f>AI47/AI198</f>
        <v>1.2622234869956556E-2</v>
      </c>
      <c r="AJ204" s="382">
        <f>AJ47/AJ198/4</f>
        <v>1.2622234869956556E-2</v>
      </c>
      <c r="AK204" s="382"/>
      <c r="AL204" s="382">
        <f>AL47/AL198</f>
        <v>1.2622234869956556E-2</v>
      </c>
      <c r="AM204" s="382">
        <f>AM47/AM198</f>
        <v>1.2622234869956556E-2</v>
      </c>
      <c r="AN204" s="382">
        <f>AN47/AN198</f>
        <v>1.2622234869956556E-2</v>
      </c>
      <c r="AO204" s="382">
        <f>AO47/AO198</f>
        <v>1.2622234869956556E-2</v>
      </c>
      <c r="AP204" s="382">
        <f>AP47/AP198/4</f>
        <v>1.2622234869956556E-2</v>
      </c>
      <c r="BA204" s="262"/>
      <c r="BB204" s="262"/>
      <c r="BC204" s="262"/>
    </row>
    <row r="205" spans="2:55" s="132" customFormat="1" ht="13" collapsed="1" x14ac:dyDescent="0.3">
      <c r="B205" s="132" t="s">
        <v>1844</v>
      </c>
      <c r="L205" s="392">
        <f>L198/L201</f>
        <v>4.3696040331897912</v>
      </c>
      <c r="N205" s="392">
        <f>N198/N201</f>
        <v>6.4552632415085949</v>
      </c>
      <c r="O205" s="392">
        <f t="shared" ref="O205:R205" si="166">O198/O201</f>
        <v>6.3363154673709978</v>
      </c>
      <c r="P205" s="392">
        <f t="shared" si="166"/>
        <v>5.8670716961979981</v>
      </c>
      <c r="Q205" s="392">
        <f t="shared" si="166"/>
        <v>5.3496002193005401</v>
      </c>
      <c r="R205" s="392">
        <f t="shared" si="166"/>
        <v>5.3496002193005401</v>
      </c>
      <c r="T205" s="392">
        <f>T198/T201</f>
        <v>4.7997978967486707</v>
      </c>
      <c r="U205" s="392">
        <f t="shared" ref="U205:X205" si="167">U198/U201</f>
        <v>3.0632376568834085</v>
      </c>
      <c r="V205" s="392">
        <f t="shared" si="167"/>
        <v>2.7514039050714461</v>
      </c>
      <c r="W205" s="392">
        <f t="shared" si="167"/>
        <v>2.4518767620882573</v>
      </c>
      <c r="X205" s="392">
        <f t="shared" si="167"/>
        <v>2.4518767620882573</v>
      </c>
      <c r="Z205" s="392">
        <f>Z198/Z201</f>
        <v>2.2822888238582184</v>
      </c>
      <c r="AA205" s="392">
        <f t="shared" ref="AA205:AD205" si="168">AA198/AA201</f>
        <v>2.2425468896277883</v>
      </c>
      <c r="AB205" s="392">
        <f t="shared" si="168"/>
        <v>2.1021629050143087</v>
      </c>
      <c r="AC205" s="392">
        <f t="shared" si="168"/>
        <v>2.0103188234882694</v>
      </c>
      <c r="AD205" s="392">
        <f t="shared" si="168"/>
        <v>2.0103188234882694</v>
      </c>
      <c r="AF205" s="392">
        <f>AF198/AF201</f>
        <v>1.915976480784789</v>
      </c>
      <c r="AG205" s="392">
        <f t="shared" ref="AG205:AJ205" si="169">AG198/AG201</f>
        <v>1.825129746460294</v>
      </c>
      <c r="AH205" s="392">
        <f t="shared" si="169"/>
        <v>1.7011843278646874</v>
      </c>
      <c r="AI205" s="392">
        <f t="shared" si="169"/>
        <v>1.5827451389167353</v>
      </c>
      <c r="AJ205" s="392">
        <f t="shared" si="169"/>
        <v>1.5827451389167353</v>
      </c>
      <c r="AL205" s="392">
        <f>AL198/AL201</f>
        <v>1.5515111313793017</v>
      </c>
      <c r="AM205" s="392">
        <f t="shared" ref="AM205:AP205" si="170">AM198/AM201</f>
        <v>1.5181366784260146</v>
      </c>
      <c r="AN205" s="392">
        <f t="shared" si="170"/>
        <v>1.4795734353613639</v>
      </c>
      <c r="AO205" s="392">
        <f t="shared" si="170"/>
        <v>1.4423688419954614</v>
      </c>
      <c r="AP205" s="392">
        <f t="shared" si="170"/>
        <v>1.4423688419954614</v>
      </c>
      <c r="AZ205" s="163"/>
      <c r="BA205" s="393"/>
      <c r="BB205" s="393"/>
      <c r="BC205" s="393"/>
    </row>
    <row r="206" spans="2:55" customFormat="1" ht="14.5" x14ac:dyDescent="0.35"/>
    <row r="207" spans="2:55" customFormat="1" ht="14.5" x14ac:dyDescent="0.35"/>
    <row r="208" spans="2:55" customFormat="1" ht="14.5" x14ac:dyDescent="0.35"/>
    <row r="209" customFormat="1" ht="14.5" x14ac:dyDescent="0.35"/>
    <row r="210" customFormat="1" ht="14.5" x14ac:dyDescent="0.35"/>
    <row r="211" customFormat="1" ht="14.5" x14ac:dyDescent="0.35"/>
    <row r="212" customFormat="1" ht="14.5" x14ac:dyDescent="0.35"/>
    <row r="213" customFormat="1" ht="14.5" x14ac:dyDescent="0.35"/>
    <row r="214" customFormat="1" ht="14.5" x14ac:dyDescent="0.35"/>
    <row r="215" customFormat="1" ht="14.5" x14ac:dyDescent="0.35"/>
    <row r="216" customFormat="1" ht="14.5" x14ac:dyDescent="0.35"/>
    <row r="217" customFormat="1" ht="14.5" x14ac:dyDescent="0.35"/>
    <row r="218" customFormat="1" ht="14.5" x14ac:dyDescent="0.35"/>
    <row r="219" customFormat="1" ht="14.5" x14ac:dyDescent="0.35"/>
    <row r="220" customFormat="1" ht="14.5" x14ac:dyDescent="0.35"/>
    <row r="221" customFormat="1" ht="14.5" x14ac:dyDescent="0.35"/>
    <row r="222" customFormat="1" ht="14.5" x14ac:dyDescent="0.35"/>
    <row r="223" customFormat="1" ht="14.5" x14ac:dyDescent="0.35"/>
    <row r="224" customFormat="1" ht="14.5" x14ac:dyDescent="0.35"/>
    <row r="225" customFormat="1" ht="14.5" x14ac:dyDescent="0.35"/>
    <row r="226" customFormat="1" ht="14.5" x14ac:dyDescent="0.35"/>
    <row r="227" customFormat="1" ht="14.5" x14ac:dyDescent="0.35"/>
    <row r="228" customFormat="1" ht="14.5" x14ac:dyDescent="0.35"/>
    <row r="229" customFormat="1" ht="14.5" x14ac:dyDescent="0.35"/>
    <row r="230" customFormat="1" ht="14.5" x14ac:dyDescent="0.35"/>
    <row r="231" customFormat="1" ht="14.5" x14ac:dyDescent="0.35"/>
    <row r="232" customFormat="1" ht="14.5" x14ac:dyDescent="0.35"/>
    <row r="233" customFormat="1" ht="14.5" x14ac:dyDescent="0.35"/>
    <row r="234" customFormat="1" ht="14.5" x14ac:dyDescent="0.35"/>
    <row r="235" customFormat="1" ht="14.5" x14ac:dyDescent="0.35"/>
    <row r="236" customFormat="1" ht="14.5" x14ac:dyDescent="0.35"/>
    <row r="237" customFormat="1" ht="14.5" x14ac:dyDescent="0.35"/>
    <row r="238" customFormat="1" ht="14.5" x14ac:dyDescent="0.35"/>
    <row r="239" customFormat="1" ht="14.5" x14ac:dyDescent="0.35"/>
    <row r="240" customFormat="1" ht="14.5" x14ac:dyDescent="0.35"/>
    <row r="241" customFormat="1" ht="14.5" x14ac:dyDescent="0.35"/>
    <row r="242" customFormat="1" ht="14.5" x14ac:dyDescent="0.35"/>
    <row r="243" customFormat="1" ht="14.5" x14ac:dyDescent="0.35"/>
    <row r="244" customFormat="1" ht="14.5" x14ac:dyDescent="0.35"/>
    <row r="245" customFormat="1" ht="14.5" x14ac:dyDescent="0.35"/>
    <row r="246" customFormat="1" ht="14.5" x14ac:dyDescent="0.35"/>
    <row r="247" customFormat="1" ht="14.5" x14ac:dyDescent="0.35"/>
    <row r="248" customFormat="1" ht="14.5" x14ac:dyDescent="0.35"/>
    <row r="249" customFormat="1" ht="14.5" x14ac:dyDescent="0.35"/>
    <row r="250" customFormat="1" ht="14.5" x14ac:dyDescent="0.35"/>
    <row r="251" customFormat="1" ht="14.5" x14ac:dyDescent="0.35"/>
    <row r="252" customFormat="1" ht="14.5" x14ac:dyDescent="0.35"/>
    <row r="253" customFormat="1" ht="14.5" x14ac:dyDescent="0.35"/>
    <row r="254" customFormat="1" ht="14.5" x14ac:dyDescent="0.35"/>
    <row r="255" customFormat="1" ht="14.5" x14ac:dyDescent="0.35"/>
    <row r="256" customFormat="1" ht="14.5" x14ac:dyDescent="0.35"/>
    <row r="257" customFormat="1" ht="14.5" x14ac:dyDescent="0.35"/>
    <row r="258" customFormat="1" ht="14.5" x14ac:dyDescent="0.35"/>
    <row r="259" customFormat="1" ht="14.5" x14ac:dyDescent="0.35"/>
    <row r="260" customFormat="1" ht="14.5" x14ac:dyDescent="0.35"/>
    <row r="261" customFormat="1" ht="14.5" x14ac:dyDescent="0.35"/>
    <row r="262" customFormat="1" ht="14.5" x14ac:dyDescent="0.35"/>
    <row r="263" customFormat="1" ht="14.5" x14ac:dyDescent="0.35"/>
    <row r="264" customFormat="1" ht="14.5" x14ac:dyDescent="0.35"/>
    <row r="265" customFormat="1" ht="14.5" x14ac:dyDescent="0.35"/>
    <row r="266" customFormat="1" ht="14.5" x14ac:dyDescent="0.35"/>
    <row r="267" customFormat="1" ht="14.5" x14ac:dyDescent="0.35"/>
    <row r="268" customFormat="1" ht="14.5" x14ac:dyDescent="0.35"/>
    <row r="269" customFormat="1" ht="14.5" x14ac:dyDescent="0.35"/>
    <row r="270" customFormat="1" ht="14.5" x14ac:dyDescent="0.35"/>
    <row r="271" customFormat="1" ht="14.5" x14ac:dyDescent="0.35"/>
    <row r="272" customFormat="1" ht="14.5" x14ac:dyDescent="0.35"/>
    <row r="273" customFormat="1" ht="14.5" x14ac:dyDescent="0.35"/>
    <row r="274" customFormat="1" ht="14.5" x14ac:dyDescent="0.35"/>
    <row r="275" customFormat="1" ht="14.5" x14ac:dyDescent="0.35"/>
    <row r="276" customFormat="1" ht="14.5" x14ac:dyDescent="0.35"/>
    <row r="277" customFormat="1" ht="14.5" x14ac:dyDescent="0.35"/>
    <row r="278" customFormat="1" ht="14.5" x14ac:dyDescent="0.35"/>
    <row r="279" customFormat="1" ht="14.5" x14ac:dyDescent="0.35"/>
    <row r="280" customFormat="1" ht="14.5" x14ac:dyDescent="0.35"/>
    <row r="281" customFormat="1" ht="14.5" x14ac:dyDescent="0.35"/>
    <row r="282" customFormat="1" ht="14.5" x14ac:dyDescent="0.35"/>
    <row r="283" customFormat="1" ht="14.5" x14ac:dyDescent="0.35"/>
    <row r="284" customFormat="1" ht="14.5" x14ac:dyDescent="0.35"/>
    <row r="285" customFormat="1" ht="14.5" x14ac:dyDescent="0.35"/>
    <row r="286" customFormat="1" ht="14.5" x14ac:dyDescent="0.35"/>
    <row r="287" customFormat="1" ht="14.5" x14ac:dyDescent="0.35"/>
    <row r="288" customFormat="1" ht="14.5" x14ac:dyDescent="0.35"/>
    <row r="289" customFormat="1" ht="14.5" x14ac:dyDescent="0.35"/>
    <row r="290" customFormat="1" ht="14.5" x14ac:dyDescent="0.35"/>
    <row r="291" customFormat="1" ht="14.5" x14ac:dyDescent="0.35"/>
    <row r="292" customFormat="1" ht="14.5" x14ac:dyDescent="0.35"/>
    <row r="293" customFormat="1" ht="14.5" x14ac:dyDescent="0.35"/>
    <row r="294" customFormat="1" ht="14.5" x14ac:dyDescent="0.35"/>
    <row r="295" customFormat="1" ht="14.5" x14ac:dyDescent="0.35"/>
    <row r="296" customFormat="1" ht="14.5" x14ac:dyDescent="0.35"/>
    <row r="297" customFormat="1" ht="14.5" x14ac:dyDescent="0.35"/>
    <row r="298" customFormat="1" ht="14.5" x14ac:dyDescent="0.35"/>
    <row r="299" customFormat="1" ht="14.5" x14ac:dyDescent="0.35"/>
    <row r="300" customFormat="1" ht="14.5" x14ac:dyDescent="0.35"/>
    <row r="301" customFormat="1" ht="14.5" x14ac:dyDescent="0.35"/>
    <row r="302" customFormat="1" ht="14.5" x14ac:dyDescent="0.35"/>
    <row r="303" customFormat="1" ht="14.5" x14ac:dyDescent="0.35"/>
    <row r="304" customFormat="1" ht="14.5" x14ac:dyDescent="0.35"/>
    <row r="305" customFormat="1" ht="14.5" x14ac:dyDescent="0.35"/>
    <row r="306" customFormat="1" ht="14.5" x14ac:dyDescent="0.35"/>
    <row r="307" customFormat="1" ht="14.5" x14ac:dyDescent="0.35"/>
    <row r="308" customFormat="1" ht="14.5" x14ac:dyDescent="0.35"/>
    <row r="309" customFormat="1" ht="14.5" x14ac:dyDescent="0.35"/>
    <row r="310" customFormat="1" ht="14.5" x14ac:dyDescent="0.35"/>
    <row r="311" customFormat="1" ht="14.5" x14ac:dyDescent="0.35"/>
    <row r="312" customFormat="1" ht="14.5" x14ac:dyDescent="0.35"/>
    <row r="313" customFormat="1" ht="14.5" x14ac:dyDescent="0.35"/>
    <row r="314" customFormat="1" ht="14.5" x14ac:dyDescent="0.35"/>
    <row r="315" customFormat="1" ht="14.5" x14ac:dyDescent="0.35"/>
    <row r="316" customFormat="1" ht="14.5" x14ac:dyDescent="0.35"/>
    <row r="317" customFormat="1" ht="14.5" x14ac:dyDescent="0.35"/>
    <row r="318" customFormat="1" ht="14.5" x14ac:dyDescent="0.35"/>
    <row r="319" customFormat="1" ht="14.5" x14ac:dyDescent="0.35"/>
    <row r="320" customFormat="1" ht="14.5" x14ac:dyDescent="0.35"/>
    <row r="321" customFormat="1" ht="14.5" x14ac:dyDescent="0.35"/>
    <row r="322" customFormat="1" ht="14.5" x14ac:dyDescent="0.35"/>
    <row r="323" customFormat="1" ht="14.5" x14ac:dyDescent="0.35"/>
    <row r="324" customFormat="1" ht="14.5" x14ac:dyDescent="0.35"/>
    <row r="325" customFormat="1" ht="14.5" x14ac:dyDescent="0.35"/>
    <row r="326" customFormat="1" ht="14.5" x14ac:dyDescent="0.35"/>
    <row r="327" customFormat="1" ht="14.5" x14ac:dyDescent="0.35"/>
    <row r="328" customFormat="1" ht="14.5" x14ac:dyDescent="0.35"/>
    <row r="329" customFormat="1" ht="14.5" x14ac:dyDescent="0.35"/>
    <row r="330" customFormat="1" ht="14.5" x14ac:dyDescent="0.35"/>
    <row r="331" customFormat="1" ht="14.5" x14ac:dyDescent="0.35"/>
    <row r="332" customFormat="1" ht="14.5" x14ac:dyDescent="0.35"/>
    <row r="333" customFormat="1" ht="14.5" x14ac:dyDescent="0.35"/>
    <row r="334" customFormat="1" ht="14.5" x14ac:dyDescent="0.35"/>
    <row r="335" customFormat="1" ht="14.5" x14ac:dyDescent="0.35"/>
    <row r="336" customFormat="1" ht="14.5" x14ac:dyDescent="0.35"/>
    <row r="337" customFormat="1" ht="14.5" x14ac:dyDescent="0.35"/>
    <row r="338" customFormat="1" ht="14.5" x14ac:dyDescent="0.35"/>
    <row r="339" customFormat="1" ht="14.5" x14ac:dyDescent="0.35"/>
    <row r="340" customFormat="1" ht="14.5" x14ac:dyDescent="0.35"/>
    <row r="341" customFormat="1" ht="14.5" x14ac:dyDescent="0.35"/>
    <row r="342" customFormat="1" ht="14.5" x14ac:dyDescent="0.35"/>
    <row r="343" customFormat="1" ht="14.5" x14ac:dyDescent="0.35"/>
    <row r="344" customFormat="1" ht="14.5" x14ac:dyDescent="0.35"/>
    <row r="345" customFormat="1" ht="14.5" x14ac:dyDescent="0.35"/>
    <row r="346" customFormat="1" ht="14.5" x14ac:dyDescent="0.35"/>
    <row r="347" customFormat="1" ht="14.5" x14ac:dyDescent="0.35"/>
    <row r="348" customFormat="1" ht="14.5" x14ac:dyDescent="0.35"/>
    <row r="349" customFormat="1" ht="14.5" x14ac:dyDescent="0.35"/>
    <row r="350" customFormat="1" ht="14.5" x14ac:dyDescent="0.35"/>
    <row r="351" customFormat="1" ht="14.5" x14ac:dyDescent="0.35"/>
    <row r="352" customFormat="1" ht="14.5" x14ac:dyDescent="0.35"/>
    <row r="353" customFormat="1" ht="14.5" x14ac:dyDescent="0.35"/>
    <row r="354" customFormat="1" ht="14.5" x14ac:dyDescent="0.35"/>
    <row r="355" customFormat="1" ht="14.5" x14ac:dyDescent="0.35"/>
    <row r="356" customFormat="1" ht="14.5" x14ac:dyDescent="0.35"/>
    <row r="357" customFormat="1" ht="14.5" x14ac:dyDescent="0.35"/>
    <row r="358" customFormat="1" ht="14.5" x14ac:dyDescent="0.35"/>
    <row r="359" customFormat="1" ht="14.5" x14ac:dyDescent="0.35"/>
    <row r="360" customFormat="1" 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7D09FF7-84CD-4719-90A9-34D2C19D60C4}">
  <ds:schemaRefs>
    <ds:schemaRef ds:uri="http://schemas.microsoft.com/office/2006/metadata/properties"/>
    <ds:schemaRef ds:uri="http://schemas.microsoft.com/office/infopath/2007/PartnerControls"/>
    <ds:schemaRef ds:uri="684023ab-f3fa-4f75-8c85-aad38775666c"/>
    <ds:schemaRef ds:uri="700f816a-2d70-48f7-98b4-aa062cbdb163"/>
  </ds:schemaRefs>
</ds:datastoreItem>
</file>

<file path=customXml/itemProps2.xml><?xml version="1.0" encoding="utf-8"?>
<ds:datastoreItem xmlns:ds="http://schemas.openxmlformats.org/officeDocument/2006/customXml" ds:itemID="{73472A60-7C3A-44FE-9B78-E17ABEAE24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0f816a-2d70-48f7-98b4-aa062cbdb163"/>
    <ds:schemaRef ds:uri="684023ab-f3fa-4f75-8c85-aad3877566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2CD9898-145E-4B91-BA4A-5F247EF6890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1159</vt:i4>
      </vt:variant>
    </vt:vector>
  </HeadingPairs>
  <TitlesOfParts>
    <vt:vector size="1190" baseType="lpstr">
      <vt:lpstr>PF FA STER Simple</vt:lpstr>
      <vt:lpstr>PF Combined Historical Fin</vt:lpstr>
      <vt:lpstr>PF Basic Historical Fin</vt:lpstr>
      <vt:lpstr>PF interest</vt:lpstr>
      <vt:lpstr>Separater Page  1</vt:lpstr>
      <vt:lpstr>FA Base</vt:lpstr>
      <vt:lpstr>FA - Historical Financials</vt:lpstr>
      <vt:lpstr>FA - Detailed Disclosure</vt:lpstr>
      <vt:lpstr>Separater Page  2</vt:lpstr>
      <vt:lpstr>STER - Historical Financials</vt:lpstr>
      <vt:lpstr>STER - Detailed Disclosure (mm)</vt:lpstr>
      <vt:lpstr>Separater Page  3</vt:lpstr>
      <vt:lpstr>Peer benchmarking</vt:lpstr>
      <vt:lpstr>Guidance Commentary</vt:lpstr>
      <vt:lpstr>PF STER Capitalization</vt:lpstr>
      <vt:lpstr>Upside</vt:lpstr>
      <vt:lpstr>Risk</vt:lpstr>
      <vt:lpstr>STER Detailed Disclosure</vt:lpstr>
      <vt:lpstr>STER Canalyst</vt:lpstr>
      <vt:lpstr>Rates</vt:lpstr>
      <vt:lpstr>Super Risk</vt:lpstr>
      <vt:lpstr>Simple Model (Risk)</vt:lpstr>
      <vt:lpstr>Simple Model (Super Risk)</vt:lpstr>
      <vt:lpstr>Silverlake return</vt:lpstr>
      <vt:lpstr>Recession Historicals</vt:lpstr>
      <vt:lpstr>Macro Build</vt:lpstr>
      <vt:lpstr>Shares Outstanding</vt:lpstr>
      <vt:lpstr>BLS Hires</vt:lpstr>
      <vt:lpstr>BLS Hires vs. FA</vt:lpstr>
      <vt:lpstr>Daloopa</vt:lpstr>
      <vt:lpstr>JPM</vt:lpstr>
      <vt:lpstr>HP.MRFX</vt:lpstr>
      <vt:lpstr>HP.ReportCurrency</vt:lpstr>
      <vt:lpstr>HP.Ticker</vt:lpstr>
      <vt:lpstr>HP.TradeCurrency</vt:lpstr>
      <vt:lpstr>HP.TradeCurrency.HardCoded</vt:lpstr>
      <vt:lpstr>MO.ApplyTradeCurrencyScaling</vt:lpstr>
      <vt:lpstr>MO.CFY</vt:lpstr>
      <vt:lpstr>MO.CompanyName</vt:lpstr>
      <vt:lpstr>MO.DataSourceIndex</vt:lpstr>
      <vt:lpstr>MO.DataSourceName</vt:lpstr>
      <vt:lpstr>MO.FirstForecastedFiscalYear</vt:lpstr>
      <vt:lpstr>MO.KPI.1</vt:lpstr>
      <vt:lpstr>MO.KPI.2</vt:lpstr>
      <vt:lpstr>MO.KPI.3</vt:lpstr>
      <vt:lpstr>MO.KPI.4</vt:lpstr>
      <vt:lpstr>MO.KPI.5</vt:lpstr>
      <vt:lpstr>MO.KPI.Count</vt:lpstr>
      <vt:lpstr>MO.LastPrice</vt:lpstr>
      <vt:lpstr>MO.LastPriceDate</vt:lpstr>
      <vt:lpstr>MO.LastPriceFormula</vt:lpstr>
      <vt:lpstr>MO.LastPriceHardcoded</vt:lpstr>
      <vt:lpstr>MO.MRFP</vt:lpstr>
      <vt:lpstr>MO.MRFPColumnNumber</vt:lpstr>
      <vt:lpstr>MO.MRFX.Hardcoded</vt:lpstr>
      <vt:lpstr>MO.RealTime</vt:lpstr>
      <vt:lpstr>MO.RealTimeStockPriceToggle</vt:lpstr>
      <vt:lpstr>MO.ReportCurrency</vt:lpstr>
      <vt:lpstr>MO.ReportFX</vt:lpstr>
      <vt:lpstr>MO.Ticker</vt:lpstr>
      <vt:lpstr>MO.Ticker.Bloomberg</vt:lpstr>
      <vt:lpstr>MO.Ticker.Canalyst</vt:lpstr>
      <vt:lpstr>MO.Ticker.CapIQ</vt:lpstr>
      <vt:lpstr>MO.Ticker.FactSet</vt:lpstr>
      <vt:lpstr>MO.Ticker.Thomson</vt:lpstr>
      <vt:lpstr>MO.TradingCurrency</vt:lpstr>
      <vt:lpstr>MO.ValuationToggle</vt:lpstr>
      <vt:lpstr>MO_AN_DA</vt:lpstr>
      <vt:lpstr>MO_AN_EBITDA_Adj</vt:lpstr>
      <vt:lpstr>MO_AN_EBT_Adj</vt:lpstr>
      <vt:lpstr>MO_AN_NI_NONGAAP_Diluted</vt:lpstr>
      <vt:lpstr>MO_BS_AE</vt:lpstr>
      <vt:lpstr>MO_BS_AP</vt:lpstr>
      <vt:lpstr>MO_BS_AR</vt:lpstr>
      <vt:lpstr>MO_BS_CA</vt:lpstr>
      <vt:lpstr>MO_BS_Cash</vt:lpstr>
      <vt:lpstr>MO_BS_CL</vt:lpstr>
      <vt:lpstr>MO_BS_CommonStock</vt:lpstr>
      <vt:lpstr>MO_BS_ContributedSurplus</vt:lpstr>
      <vt:lpstr>MO_BS_Goodwill</vt:lpstr>
      <vt:lpstr>MO_BS_Intangibles</vt:lpstr>
      <vt:lpstr>MO_BS_NCA</vt:lpstr>
      <vt:lpstr>MO_BS_NCI</vt:lpstr>
      <vt:lpstr>MO_BS_NCL</vt:lpstr>
      <vt:lpstr>MO_BS_OCI</vt:lpstr>
      <vt:lpstr>MO_BS_OL_Current</vt:lpstr>
      <vt:lpstr>MO_BS_OL_NonCurrent</vt:lpstr>
      <vt:lpstr>MO_BS_PPE</vt:lpstr>
      <vt:lpstr>MO_BS_PrepaidExpenses</vt:lpstr>
      <vt:lpstr>MO_BS_RetainedEarnings</vt:lpstr>
      <vt:lpstr>MO_BS_ROU</vt:lpstr>
      <vt:lpstr>MO_BS_SE</vt:lpstr>
      <vt:lpstr>MO_BS_TA</vt:lpstr>
      <vt:lpstr>MO_BS_TaxAssets_Deferred_NonCurrent</vt:lpstr>
      <vt:lpstr>MO_BS_TaxLiabilities_Deferred_NonCurrent</vt:lpstr>
      <vt:lpstr>MO_BS_TL</vt:lpstr>
      <vt:lpstr>MO_BS_TLSE</vt:lpstr>
      <vt:lpstr>MO_BS_TreasuryStock</vt:lpstr>
      <vt:lpstr>MO_BSS_Cash</vt:lpstr>
      <vt:lpstr>MO_BSS_Debt</vt:lpstr>
      <vt:lpstr>MO_BSS_Debt_LT</vt:lpstr>
      <vt:lpstr>MO_BSS_Debt_Net</vt:lpstr>
      <vt:lpstr>MO_BSS_Debt_ST</vt:lpstr>
      <vt:lpstr>MO_BSS_Debt_ToCF</vt:lpstr>
      <vt:lpstr>MO_BSS_Debt_ToEBITDA</vt:lpstr>
      <vt:lpstr>MO_BSS_IE</vt:lpstr>
      <vt:lpstr>MO_BSS_IE_Net</vt:lpstr>
      <vt:lpstr>MO_BSS_II</vt:lpstr>
      <vt:lpstr>MO_BSS_InterestRate_Cash</vt:lpstr>
      <vt:lpstr>MO_BSS_InterestRate_Debt</vt:lpstr>
      <vt:lpstr>MO_BSS_NetInterestCoverage</vt:lpstr>
      <vt:lpstr>MO_BSS_NetInterestRate_Debt</vt:lpstr>
      <vt:lpstr>MO_BSS_OL</vt:lpstr>
      <vt:lpstr>MO_CCFS_Balance_Begin</vt:lpstr>
      <vt:lpstr>MO_CCFS_Balance_End</vt:lpstr>
      <vt:lpstr>MO_CCFS_CFF</vt:lpstr>
      <vt:lpstr>MO_CCFS_CFI</vt:lpstr>
      <vt:lpstr>MO_CCFS_CFO</vt:lpstr>
      <vt:lpstr>MO_CCFS_CFO_BeforeWC</vt:lpstr>
      <vt:lpstr>MO_CCFS_FX</vt:lpstr>
      <vt:lpstr>MO_CCFS_NetChange</vt:lpstr>
      <vt:lpstr>MO_CCFS_Sup_CashInterest</vt:lpstr>
      <vt:lpstr>MO_CCFS_Sup_CashTax</vt:lpstr>
      <vt:lpstr>MO_CFS_Balance_Begin</vt:lpstr>
      <vt:lpstr>MO_CFS_Balance_End</vt:lpstr>
      <vt:lpstr>MO_CFS_Buyback</vt:lpstr>
      <vt:lpstr>MO_CFS_CFF</vt:lpstr>
      <vt:lpstr>MO_CFS_CFI</vt:lpstr>
      <vt:lpstr>MO_CFS_CFO</vt:lpstr>
      <vt:lpstr>MO_CFS_CFO_BeforeWC</vt:lpstr>
      <vt:lpstr>MO_CFS_DA</vt:lpstr>
      <vt:lpstr>MO_CFS_DeferredTax</vt:lpstr>
      <vt:lpstr>MO_CFS_Dividend</vt:lpstr>
      <vt:lpstr>MO_CFS_FX</vt:lpstr>
      <vt:lpstr>MO_CFS_Impairment</vt:lpstr>
      <vt:lpstr>MO_CFS_NetChange</vt:lpstr>
      <vt:lpstr>MO_CFS_NewEquityIssued</vt:lpstr>
      <vt:lpstr>MO_CFS_NI</vt:lpstr>
      <vt:lpstr>MO_CFS_SBC</vt:lpstr>
      <vt:lpstr>MO_CFS_Sup_CashInterest</vt:lpstr>
      <vt:lpstr>MO_CFS_Sup_CashTax</vt:lpstr>
      <vt:lpstr>MO_CFS_WC_AE</vt:lpstr>
      <vt:lpstr>MO_CFS_WC_AP</vt:lpstr>
      <vt:lpstr>MO_CFS_WC_AR</vt:lpstr>
      <vt:lpstr>MO_CFS_WC_PrepaidExpenses</vt:lpstr>
      <vt:lpstr>MO_CFSum_Acquisition</vt:lpstr>
      <vt:lpstr>MO_CFSum_Capex</vt:lpstr>
      <vt:lpstr>MO_CFSum_CFO</vt:lpstr>
      <vt:lpstr>MO_CFSum_CFO_BeforeWC</vt:lpstr>
      <vt:lpstr>MO_CFSum_CFOPS</vt:lpstr>
      <vt:lpstr>MO_CFSum_CFOPS_BeforeWC</vt:lpstr>
      <vt:lpstr>MO_CFSum_CFPS</vt:lpstr>
      <vt:lpstr>MO_CFSum_ChangeInWC</vt:lpstr>
      <vt:lpstr>MO_CFSum_Divestiture</vt:lpstr>
      <vt:lpstr>MO_CFSum_Dividend</vt:lpstr>
      <vt:lpstr>MO_CFSum_DPS</vt:lpstr>
      <vt:lpstr>MO_CFSum_FCF_PostDivPostAD</vt:lpstr>
      <vt:lpstr>MO_CFSum_FCF_PostDivPostADPostDebtPostBuyback</vt:lpstr>
      <vt:lpstr>MO_CFSum_FCF_PostDivPreAD</vt:lpstr>
      <vt:lpstr>MO_CFSum_FCF_PostWCPostDivPostAD</vt:lpstr>
      <vt:lpstr>MO_CFSum_FCF_PostWCPostDivPostADPostDebtPostBuyback</vt:lpstr>
      <vt:lpstr>MO_CFSum_FCF_PostWCPostDivPreAD</vt:lpstr>
      <vt:lpstr>MO_CFSum_FCF_PostWCPreDiv</vt:lpstr>
      <vt:lpstr>MO_CFSum_FCF_PreDiv</vt:lpstr>
      <vt:lpstr>MO_CFSum_NetDebtIssuance</vt:lpstr>
      <vt:lpstr>MO_CFSum_NetShares</vt:lpstr>
      <vt:lpstr>MO_CFSum_NetShares_Price</vt:lpstr>
      <vt:lpstr>MO_Checks_Bottom</vt:lpstr>
      <vt:lpstr>MO_Checks_BS</vt:lpstr>
      <vt:lpstr>MO_Checks_CF</vt:lpstr>
      <vt:lpstr>MO_Checks_IS</vt:lpstr>
      <vt:lpstr>MO_Common_Column_A</vt:lpstr>
      <vt:lpstr>MO_Common_Column_B</vt:lpstr>
      <vt:lpstr>MO_Common_ColumnHeader</vt:lpstr>
      <vt:lpstr>MO_Common_CompanySubtitle</vt:lpstr>
      <vt:lpstr>MO_Common_CompanyTitle</vt:lpstr>
      <vt:lpstr>MO_Common_FPDays</vt:lpstr>
      <vt:lpstr>MO_Common_QEndDate</vt:lpstr>
      <vt:lpstr>MO_Common_QEndDate_LWD</vt:lpstr>
      <vt:lpstr>MO_DAF_A</vt:lpstr>
      <vt:lpstr>MO_DAF_A_Percentage</vt:lpstr>
      <vt:lpstr>MO_DAF_Capex</vt:lpstr>
      <vt:lpstr>MO_DAF_D</vt:lpstr>
      <vt:lpstr>MO_DAF_D_Percentage</vt:lpstr>
      <vt:lpstr>MO_DAF_DA</vt:lpstr>
      <vt:lpstr>MO_DAF_Intangibles_BoP</vt:lpstr>
      <vt:lpstr>MO_DAF_Intangibles_Capex</vt:lpstr>
      <vt:lpstr>MO_DAF_Intangibles_Capex_Percent</vt:lpstr>
      <vt:lpstr>MO_DAF_Intangibles_EoP</vt:lpstr>
      <vt:lpstr>MO_DAF_Intangibles_Life</vt:lpstr>
      <vt:lpstr>MO_DAF_Intangibles_Other</vt:lpstr>
      <vt:lpstr>MO_DAF_PPE_BoP</vt:lpstr>
      <vt:lpstr>MO_DAF_PPE_Capex</vt:lpstr>
      <vt:lpstr>MO_DAF_PPE_EoP</vt:lpstr>
      <vt:lpstr>MO_DAF_PPE_Life</vt:lpstr>
      <vt:lpstr>MO_DAF_PPE_Other</vt:lpstr>
      <vt:lpstr>MO_GA_TotalRevenue</vt:lpstr>
      <vt:lpstr>MO_IS_COGS</vt:lpstr>
      <vt:lpstr>MO_IS_DA</vt:lpstr>
      <vt:lpstr>MO_IS_EBIT</vt:lpstr>
      <vt:lpstr>MO_IS_EBT</vt:lpstr>
      <vt:lpstr>MO_IS_FirstRow</vt:lpstr>
      <vt:lpstr>MO_IS_GP</vt:lpstr>
      <vt:lpstr>MO_IS_IE_Net</vt:lpstr>
      <vt:lpstr>MO_IS_Impairment</vt:lpstr>
      <vt:lpstr>MO_IS_NI_ContinOp</vt:lpstr>
      <vt:lpstr>MO_IS_RD</vt:lpstr>
      <vt:lpstr>MO_IS_REV</vt:lpstr>
      <vt:lpstr>MO_IS_SGA</vt:lpstr>
      <vt:lpstr>MO_IS_Tax</vt:lpstr>
      <vt:lpstr>MO_MA_COGS</vt:lpstr>
      <vt:lpstr>MO_MA_EBITDA</vt:lpstr>
      <vt:lpstr>MO_MA_EBITDA_Adj</vt:lpstr>
      <vt:lpstr>MO_MA_GM</vt:lpstr>
      <vt:lpstr>MO_MA_RD</vt:lpstr>
      <vt:lpstr>MO_MA_SGA</vt:lpstr>
      <vt:lpstr>MO_ProdServ_SegRev_1.1</vt:lpstr>
      <vt:lpstr>MO_ProdServ_SegRev_1.2</vt:lpstr>
      <vt:lpstr>MO_RIS_Adjustments_Dilution_GAAP</vt:lpstr>
      <vt:lpstr>MO_RIS_Adjustments_Dilution_NONGAAP</vt:lpstr>
      <vt:lpstr>MO_RIS_Adjustments_NONGAAP</vt:lpstr>
      <vt:lpstr>MO_RIS_COGS</vt:lpstr>
      <vt:lpstr>MO_RIS_DA</vt:lpstr>
      <vt:lpstr>MO_RIS_DAintangibles</vt:lpstr>
      <vt:lpstr>MO_RIS_DisCont</vt:lpstr>
      <vt:lpstr>MO_RIS_Dividend_Prefs</vt:lpstr>
      <vt:lpstr>MO_RIS_EBIT</vt:lpstr>
      <vt:lpstr>MO_RIS_EBITDA</vt:lpstr>
      <vt:lpstr>MO_RIS_EBITDA_Adj</vt:lpstr>
      <vt:lpstr>MO_RIS_EBT</vt:lpstr>
      <vt:lpstr>MO_RIS_EI</vt:lpstr>
      <vt:lpstr>MO_RIS_EPS_WAB</vt:lpstr>
      <vt:lpstr>MO_RIS_EPS_WAD</vt:lpstr>
      <vt:lpstr>MO_RIS_EPS_WAD_Adj</vt:lpstr>
      <vt:lpstr>MO_RIS_GP</vt:lpstr>
      <vt:lpstr>MO_RIS_IE</vt:lpstr>
      <vt:lpstr>MO_RIS_II</vt:lpstr>
      <vt:lpstr>MO_RIS_NCI</vt:lpstr>
      <vt:lpstr>MO_RIS_NI_ContinOp</vt:lpstr>
      <vt:lpstr>MO_RIS_NI_GAAP_Basic</vt:lpstr>
      <vt:lpstr>MO_RIS_NI_GAAP_Diluted</vt:lpstr>
      <vt:lpstr>MO_RIS_NI_NONGAAP_Diluted</vt:lpstr>
      <vt:lpstr>MO_RIS_OI</vt:lpstr>
      <vt:lpstr>MO_RIS_OTI</vt:lpstr>
      <vt:lpstr>MO_RIS_RD</vt:lpstr>
      <vt:lpstr>MO_RIS_REV</vt:lpstr>
      <vt:lpstr>MO_RIS_SBC</vt:lpstr>
      <vt:lpstr>MO_RIS_SGA</vt:lpstr>
      <vt:lpstr>MO_RIS_ShareCount_WAB</vt:lpstr>
      <vt:lpstr>MO_RIS_ShareCount_WAD</vt:lpstr>
      <vt:lpstr>MO_RIS_ShareCount_WAD_Adj</vt:lpstr>
      <vt:lpstr>MO_RIS_Tax_Current</vt:lpstr>
      <vt:lpstr>MO_RIS_Tax_Deferred</vt:lpstr>
      <vt:lpstr>MO_RIS_TaxRate_Current</vt:lpstr>
      <vt:lpstr>MO_RIS_TaxRate_Deferred</vt:lpstr>
      <vt:lpstr>MO_SCA_Date_CoverPage</vt:lpstr>
      <vt:lpstr>MO_SCA_Date_LastWorkingDay</vt:lpstr>
      <vt:lpstr>MO_SCA_ESPPObligations_EoP</vt:lpstr>
      <vt:lpstr>MO_SCA_Other_EoP</vt:lpstr>
      <vt:lpstr>MO_SCA_Ratio_DilutedOverBasic</vt:lpstr>
      <vt:lpstr>MO_SCA_ShareCount_CoverPage</vt:lpstr>
      <vt:lpstr>MO_SCA_ShareCount_CoverPage_Class1</vt:lpstr>
      <vt:lpstr>MO_SCA_ShareCount_CoverPage_Dilutive</vt:lpstr>
      <vt:lpstr>MO_SCA_ShareCount_CoverPage_Ticker1</vt:lpstr>
      <vt:lpstr>MO_SCA_ShareCount_DilutiveShares</vt:lpstr>
      <vt:lpstr>MO_SCA_ShareCount_EoP</vt:lpstr>
      <vt:lpstr>MO_SCA_ShareCount_EoP_Class1</vt:lpstr>
      <vt:lpstr>MO_SCA_ShareCount_EoP_Diluted</vt:lpstr>
      <vt:lpstr>MO_SCA_ShareCount_EoP_Economic</vt:lpstr>
      <vt:lpstr>MO_SCA_ShareCount_EoP_Growth_Dilutive_QoQ</vt:lpstr>
      <vt:lpstr>MO_SCA_ShareCount_EoP_Growth_Dilutive_YoY</vt:lpstr>
      <vt:lpstr>MO_SCA_ShareCount_EoP_Growth_NetIssuance_QoQ</vt:lpstr>
      <vt:lpstr>MO_SCA_ShareCount_EoP_Growth_NetIssuance_YoY</vt:lpstr>
      <vt:lpstr>MO_SCA_ShareCount_EoP_Growth_QoQ</vt:lpstr>
      <vt:lpstr>MO_SCA_ShareCount_EoP_Growth_YoY</vt:lpstr>
      <vt:lpstr>MO_SCA_ShareCount_EoP_Ticker1</vt:lpstr>
      <vt:lpstr>MO_SCA_ShareCount_FullyDiluted</vt:lpstr>
      <vt:lpstr>MO_SCA_ShareCount_PotentialDilution</vt:lpstr>
      <vt:lpstr>MO_SCA_StockOptions_Dilution</vt:lpstr>
      <vt:lpstr>MO_SCA_StockOptions_EoP</vt:lpstr>
      <vt:lpstr>MO_SCA_StockOptions_Exercisable_EoP</vt:lpstr>
      <vt:lpstr>MO_SCA_StockOptions_Price_EoP</vt:lpstr>
      <vt:lpstr>MO_SCA_StockOptions_Price_Exercisable_EoP</vt:lpstr>
      <vt:lpstr>MO_SCA_StockPrice_EoP</vt:lpstr>
      <vt:lpstr>MO_SCA_UnvestedRSU_EoP</vt:lpstr>
      <vt:lpstr>MO_SCA_UnvestedRSU_Price_EoP</vt:lpstr>
      <vt:lpstr>MO_Section_AdjustedNumbers</vt:lpstr>
      <vt:lpstr>MO_Section_BalanceSheet</vt:lpstr>
      <vt:lpstr>MO_Section_BalanceSheetSummary</vt:lpstr>
      <vt:lpstr>MO_Section_CashFlowStatement</vt:lpstr>
      <vt:lpstr>MO_Section_CashFlowSummary</vt:lpstr>
      <vt:lpstr>MO_Section_CumulativeCashFlowStatement</vt:lpstr>
      <vt:lpstr>MO_Section_DAForecasting</vt:lpstr>
      <vt:lpstr>MO_Section_GrowthAnalysis</vt:lpstr>
      <vt:lpstr>MO_Section_IncomeStatement</vt:lpstr>
      <vt:lpstr>MO_Section_KeyMetricsDescriptionMDA</vt:lpstr>
      <vt:lpstr>MO_Section_KeyMetricsSplitofTotalAddressableMarketandIndsutryMetricsS</vt:lpstr>
      <vt:lpstr>MO_Section_LastRow</vt:lpstr>
      <vt:lpstr>MO_Section_MarginAnalysis</vt:lpstr>
      <vt:lpstr>MO_Section_ModelChecks</vt:lpstr>
      <vt:lpstr>MO_Section_OperatingStatsDescriptionPR</vt:lpstr>
      <vt:lpstr>MO_Section_RevisedIncomeStatement</vt:lpstr>
      <vt:lpstr>MO_Section_SegmentedResultsGeographicBreakdownFS</vt:lpstr>
      <vt:lpstr>MO_Section_SegmentedResultsRevenueBreakdownFS</vt:lpstr>
      <vt:lpstr>MO_Section_ShareCountAnalysis</vt:lpstr>
      <vt:lpstr>MO_Section_Tables</vt:lpstr>
      <vt:lpstr>MO_Section_Valuation</vt:lpstr>
      <vt:lpstr>MO_Section_WorkingCapitalForecasting</vt:lpstr>
      <vt:lpstr>MO_Section_YYCostGranularityS</vt:lpstr>
      <vt:lpstr>MO_SNA_ConsensusEstimatePeriodNumber</vt:lpstr>
      <vt:lpstr>MO_SNA_ConsensusEstimatePeriodType</vt:lpstr>
      <vt:lpstr>MO_SNA_FPStartDate</vt:lpstr>
      <vt:lpstr>MO_SNA_Guidance_ApplicablePeriod_FY</vt:lpstr>
      <vt:lpstr>MO_SNA_Guidance_ApplicablePeriod_Q</vt:lpstr>
      <vt:lpstr>MO_SNA_Guidance_IsLatest_FY</vt:lpstr>
      <vt:lpstr>MO_SNA_Guidance_ReportDate_FY</vt:lpstr>
      <vt:lpstr>MO_SNA_Guidance_ReportDate_Q</vt:lpstr>
      <vt:lpstr>MO_SNA_IsHistoricalPeriod</vt:lpstr>
      <vt:lpstr>MO_SNA_LastDataRow</vt:lpstr>
      <vt:lpstr>MO_SPT_FXAverage</vt:lpstr>
      <vt:lpstr>MO_SPT_FXAverage_Sources</vt:lpstr>
      <vt:lpstr>MO_SPT_FXAverage_Sources_Bloomberg</vt:lpstr>
      <vt:lpstr>MO_SPT_FXAverage_Sources_CapIQ</vt:lpstr>
      <vt:lpstr>MO_SPT_FXAverage_Sources_FactSet</vt:lpstr>
      <vt:lpstr>MO_SPT_FXAverage_Sources_RealTimeOff</vt:lpstr>
      <vt:lpstr>MO_SPT_FXAverage_Sources_Thomson</vt:lpstr>
      <vt:lpstr>MO_SPT_FXEoP</vt:lpstr>
      <vt:lpstr>MO_SPT_StockAverage</vt:lpstr>
      <vt:lpstr>MO_SPT_StockAverage_Sources</vt:lpstr>
      <vt:lpstr>MO_SPT_StockAverage_Sources_Bloomberg</vt:lpstr>
      <vt:lpstr>MO_SPT_StockAverage_Sources_CapIQ</vt:lpstr>
      <vt:lpstr>MO_SPT_StockAverage_Sources_FactSet</vt:lpstr>
      <vt:lpstr>MO_SPT_StockAverage_Sources_RealTimeOff</vt:lpstr>
      <vt:lpstr>MO_SPT_StockAverage_Sources_Thomson</vt:lpstr>
      <vt:lpstr>MO_SPT_StockEoP</vt:lpstr>
      <vt:lpstr>MO_SPT_StockHigh</vt:lpstr>
      <vt:lpstr>MO_SPT_StockHigh_Sources</vt:lpstr>
      <vt:lpstr>MO_SPT_StockHigh_Sources_Bloomberg</vt:lpstr>
      <vt:lpstr>MO_SPT_StockHigh_Sources_CapIQ</vt:lpstr>
      <vt:lpstr>MO_SPT_StockHigh_Sources_FactSet</vt:lpstr>
      <vt:lpstr>MO_SPT_StockHigh_Sources_RealTimeOff</vt:lpstr>
      <vt:lpstr>MO_SPT_StockHigh_Sources_Thomson</vt:lpstr>
      <vt:lpstr>MO_SPT_StockLow</vt:lpstr>
      <vt:lpstr>MO_SPT_StockLow_Sources</vt:lpstr>
      <vt:lpstr>MO_SPT_StockLow_Sources_Bloomberg</vt:lpstr>
      <vt:lpstr>MO_SPT_StockLow_Sources_CapIQ</vt:lpstr>
      <vt:lpstr>MO_SPT_StockLow_Sources_FactSet</vt:lpstr>
      <vt:lpstr>MO_SPT_StockLow_Sources_RealTimeOff</vt:lpstr>
      <vt:lpstr>MO_SPT_StockLow_Sources_Thomson</vt:lpstr>
      <vt:lpstr>MO_SubSection_BS_CA</vt:lpstr>
      <vt:lpstr>MO_SubSection_BS_CL</vt:lpstr>
      <vt:lpstr>MO_SubSection_BS_NCA</vt:lpstr>
      <vt:lpstr>MO_SubSection_BS_NCL</vt:lpstr>
      <vt:lpstr>MO_SubSection_BS_SE</vt:lpstr>
      <vt:lpstr>MO_SubSection_CCFS_CFF</vt:lpstr>
      <vt:lpstr>MO_SubSection_CCFS_CFI</vt:lpstr>
      <vt:lpstr>MO_SubSection_CCFS_CFO</vt:lpstr>
      <vt:lpstr>MO_SubSection_CFS_CFF</vt:lpstr>
      <vt:lpstr>MO_SubSection_CFS_CFI</vt:lpstr>
      <vt:lpstr>MO_SubSection_CFS_CFO</vt:lpstr>
      <vt:lpstr>MO_VA_EV</vt:lpstr>
      <vt:lpstr>MO_VA_EV_ToEBITDA</vt:lpstr>
      <vt:lpstr>MO_VA_EVCalc_NCI</vt:lpstr>
      <vt:lpstr>MO_VA_EVCalc_Other</vt:lpstr>
      <vt:lpstr>MO_VA_EVCalc_Prefs</vt:lpstr>
      <vt:lpstr>MO_VA_FCFYield_ToEV</vt:lpstr>
      <vt:lpstr>MO_VA_FCFYield_ToMktCap</vt:lpstr>
      <vt:lpstr>MO_VA_FX_Average</vt:lpstr>
      <vt:lpstr>MO_VA_FX_EoP</vt:lpstr>
      <vt:lpstr>MO_VA_MarketCap</vt:lpstr>
      <vt:lpstr>MO_VA_P_ToCF</vt:lpstr>
      <vt:lpstr>MO_VA_P_ToE</vt:lpstr>
      <vt:lpstr>MO_VA_StockPrice</vt:lpstr>
      <vt:lpstr>MO_VA_StockPrice_Avg</vt:lpstr>
      <vt:lpstr>MO_VA_StockPrice_EoP</vt:lpstr>
      <vt:lpstr>MO_VA_StockPrice_High</vt:lpstr>
      <vt:lpstr>MO_VA_StockPrice_Low</vt:lpstr>
      <vt:lpstr>MO_VA_StockPrice_TradingCurrency</vt:lpstr>
      <vt:lpstr>MO_WCF_AP_Margin</vt:lpstr>
      <vt:lpstr>MO_WCF_AP_Margin_Change</vt:lpstr>
      <vt:lpstr>MO_WCF_AR_Margin</vt:lpstr>
      <vt:lpstr>MO_WCF_AR_Margin_Change</vt:lpstr>
      <vt:lpstr>'BLS Hires vs. FA'!Print_Area</vt:lpstr>
      <vt:lpstr>'FA - Detailed Disclosure'!Print_Area</vt:lpstr>
      <vt:lpstr>'FA - Historical Financials'!Print_Area</vt:lpstr>
      <vt:lpstr>'FA Base'!Print_Area</vt:lpstr>
      <vt:lpstr>'Peer benchmarking'!Print_Area</vt:lpstr>
      <vt:lpstr>'PF Basic Historical Fin'!Print_Area</vt:lpstr>
      <vt:lpstr>'PF Combined Historical Fin'!Print_Area</vt:lpstr>
      <vt:lpstr>'PF FA STER Simple'!Print_Area</vt:lpstr>
      <vt:lpstr>'PF interest'!Print_Area</vt:lpstr>
      <vt:lpstr>'PF STER Capitalization'!Print_Area</vt:lpstr>
      <vt:lpstr>Rates!Print_Area</vt:lpstr>
      <vt:lpstr>'Recession Historicals'!Print_Area</vt:lpstr>
      <vt:lpstr>Risk!Print_Area</vt:lpstr>
      <vt:lpstr>'Shares Outstanding'!Print_Area</vt:lpstr>
      <vt:lpstr>'Simple Model (Risk)'!Print_Area</vt:lpstr>
      <vt:lpstr>'Simple Model (Super Risk)'!Print_Area</vt:lpstr>
      <vt:lpstr>'STER - Detailed Disclosure (mm)'!Print_Area</vt:lpstr>
      <vt:lpstr>'STER - Historical Financials'!Print_Area</vt:lpstr>
      <vt:lpstr>'STER Canalyst'!Print_Area</vt:lpstr>
      <vt:lpstr>'STER Detailed Disclosure'!Print_Area</vt:lpstr>
      <vt:lpstr>'Super Risk'!Print_Area</vt:lpstr>
      <vt:lpstr>Upside!Print_Area</vt:lpstr>
      <vt:lpstr>'BLS Hires vs. FA'!Print_Titles</vt:lpstr>
      <vt:lpstr>'FA - Detailed Disclosure'!Print_Titles</vt:lpstr>
      <vt:lpstr>'FA - Historical Financials'!Print_Titles</vt:lpstr>
      <vt:lpstr>'FA Base'!Print_Titles</vt:lpstr>
      <vt:lpstr>'PF STER Capitalization'!Print_Titles</vt:lpstr>
      <vt:lpstr>'STER - Detailed Disclosure (mm)'!Print_Titles</vt:lpstr>
      <vt:lpstr>'STER - Historical Financials'!Print_Titles</vt:lpstr>
      <vt:lpstr>'STER Canalyst'!Print_Titles</vt:lpstr>
      <vt:lpstr>'STER Detailed Disclosure'!Print_Titles</vt:lpstr>
      <vt:lpstr>tb_ConsensusEstimate</vt:lpstr>
      <vt:lpstr>tb_EntireModel</vt:lpstr>
      <vt:lpstr>tb_Guidance_FY</vt:lpstr>
      <vt:lpstr>tb_Guidance_Q</vt:lpstr>
      <vt:lpstr>tb_KeyOutputs</vt:lpstr>
      <vt:lpstr>tb_KPIs</vt:lpstr>
      <vt:lpstr>tb_StockPrice</vt:lpstr>
      <vt:lpstr>tb_Tickers</vt:lpstr>
      <vt:lpstr>tb_ValuationToggle</vt:lpstr>
      <vt:lpstr>z_G2JL860106_MO_AN_AdjustedEBITDA</vt:lpstr>
      <vt:lpstr>z_G2JL860106_MO_AN_AdjustedNetIncome_1</vt:lpstr>
      <vt:lpstr>z_G2JL860106_MO_AN_AdjustedNetIncomebeforeincometaxeffect</vt:lpstr>
      <vt:lpstr>z_G2JL860106_MO_AN_Amortizationofacquiredintangibleassets</vt:lpstr>
      <vt:lpstr>z_G2JL860106_MO_AN_Amortizationofintangibleassets</vt:lpstr>
      <vt:lpstr>z_G2JL860106_MO_AN_Benefitfromprovisionforincometaxes</vt:lpstr>
      <vt:lpstr>z_G2JL860106_MO_AN_Currentincometaxprovision</vt:lpstr>
      <vt:lpstr>z_G2JL860106_MO_AN_Deferredincometaxprovision</vt:lpstr>
      <vt:lpstr>z_G2JL860106_MO_AN_Depreciation_1</vt:lpstr>
      <vt:lpstr>z_G2JL860106_MO_AN_Depreciationamortization</vt:lpstr>
      <vt:lpstr>z_G2JL860106_MO_AN_Incometaxeffect</vt:lpstr>
      <vt:lpstr>z_G2JL860106_MO_AN_Interestexpense</vt:lpstr>
      <vt:lpstr>z_G2JL860106_MO_AN_Lossgainoninterestswap</vt:lpstr>
      <vt:lpstr>z_G2JL860106_MO_AN_Lossgainoninterestswap_1</vt:lpstr>
      <vt:lpstr>z_G2JL860106_MO_AN_Lossincomebeforeincometaxes</vt:lpstr>
      <vt:lpstr>z_G2JL860106_MO_AN_Lossonextinguishmentofdebt</vt:lpstr>
      <vt:lpstr>z_G2JL860106_MO_AN_Lossonextinguishmentofdebt_1</vt:lpstr>
      <vt:lpstr>z_G2JL860106_MO_AN_Netlossincome</vt:lpstr>
      <vt:lpstr>z_G2JL860106_MO_AN_Netlossincome_1</vt:lpstr>
      <vt:lpstr>z_G2JL860106_MO_AN_Other</vt:lpstr>
      <vt:lpstr>z_G2JL860106_MO_AN_Other_1</vt:lpstr>
      <vt:lpstr>z_G2JL860106_MO_AN_Provisionforbenefitfromincometaxes</vt:lpstr>
      <vt:lpstr>z_G2JL860106_MO_AN_Restructuring</vt:lpstr>
      <vt:lpstr>z_G2JL860106_MO_AN_Restructuring_1</vt:lpstr>
      <vt:lpstr>z_G2JL860106_MO_AN_Settlementsimpactingcomparability</vt:lpstr>
      <vt:lpstr>z_G2JL860106_MO_AN_Settlementsimpactingcomparability_1</vt:lpstr>
      <vt:lpstr>z_G2JL860106_MO_AN_Stockbasedcompensation</vt:lpstr>
      <vt:lpstr>z_G2JL860106_MO_AN_Stockbasedcompensation_1</vt:lpstr>
      <vt:lpstr>z_G2JL860106_MO_AN_Technologytransformation</vt:lpstr>
      <vt:lpstr>z_G2JL860106_MO_AN_Technologytransformation_1</vt:lpstr>
      <vt:lpstr>z_G2JL860106_MO_AN_TotalDepreciationAmortization</vt:lpstr>
      <vt:lpstr>z_G2JL860106_MO_AN_Totaltax</vt:lpstr>
      <vt:lpstr>z_G2JL860106_MO_AN_Transactionexpenses</vt:lpstr>
      <vt:lpstr>z_G2JL860106_MO_AN_Transactionexpenses_1</vt:lpstr>
      <vt:lpstr>z_G2JL860106_MO_BlankRow_AN</vt:lpstr>
      <vt:lpstr>z_G2JL860106_MO_BlankRow_AN_1</vt:lpstr>
      <vt:lpstr>z_G2JL860106_MO_BlankRow_AN_2</vt:lpstr>
      <vt:lpstr>z_G2JL860106_MO_BlankRow_AN_3</vt:lpstr>
      <vt:lpstr>z_G2JL860106_MO_BlankRow_BS_3</vt:lpstr>
      <vt:lpstr>z_G2JL860106_MO_BlankRow_BS_4</vt:lpstr>
      <vt:lpstr>z_G2JL860106_MO_BlankRow_BS_5</vt:lpstr>
      <vt:lpstr>z_G2JL860106_MO_BlankRow_BS_6</vt:lpstr>
      <vt:lpstr>z_G2JL860106_MO_BlankRow_BSS</vt:lpstr>
      <vt:lpstr>z_G2JL860106_MO_BlankRow_BSS_1</vt:lpstr>
      <vt:lpstr>z_G2JL860106_MO_BlankRow_BSS_2</vt:lpstr>
      <vt:lpstr>z_G2JL860106_MO_BlankRow_CCFS</vt:lpstr>
      <vt:lpstr>z_G2JL860106_MO_BlankRow_CCFS_1</vt:lpstr>
      <vt:lpstr>z_G2JL860106_MO_BlankRow_CCFS_2</vt:lpstr>
      <vt:lpstr>z_G2JL860106_MO_BlankRow_CCFS_3</vt:lpstr>
      <vt:lpstr>z_G2JL860106_MO_BlankRow_CCFS_4</vt:lpstr>
      <vt:lpstr>z_G2JL860106_MO_BlankRow_CCFS_5</vt:lpstr>
      <vt:lpstr>z_G2JL860106_MO_BlankRow_CFS_3</vt:lpstr>
      <vt:lpstr>z_G2JL860106_MO_BlankRow_CFS_4</vt:lpstr>
      <vt:lpstr>z_G2JL860106_MO_BlankRow_CFS_5</vt:lpstr>
      <vt:lpstr>z_G2JL860106_MO_BlankRow_CFS_6</vt:lpstr>
      <vt:lpstr>z_G2JL860106_MO_BlankRow_CFS_7</vt:lpstr>
      <vt:lpstr>z_G2JL860106_MO_BlankRow_CFS_8</vt:lpstr>
      <vt:lpstr>z_G2JL860106_MO_BlankRow_CFS_9</vt:lpstr>
      <vt:lpstr>z_G2JL860106_MO_BlankRow_CFSum</vt:lpstr>
      <vt:lpstr>z_G2JL860106_MO_BlankRow_CFSum_1</vt:lpstr>
      <vt:lpstr>z_G2JL860106_MO_BlankRow_CFSum_2</vt:lpstr>
      <vt:lpstr>z_G2JL860106_MO_BlankRow_DAF</vt:lpstr>
      <vt:lpstr>z_G2JL860106_MO_BlankRow_DAF_1</vt:lpstr>
      <vt:lpstr>z_G2JL860106_MO_BlankRow_DAF_2</vt:lpstr>
      <vt:lpstr>z_G2JL860106_MO_BlankRow_DAF_3</vt:lpstr>
      <vt:lpstr>z_G2JL860106_MO_BlankRow_GA_1</vt:lpstr>
      <vt:lpstr>z_G2JL860106_MO_BlankRow_GA_2</vt:lpstr>
      <vt:lpstr>z_G2JL860106_MO_BlankRow_IS</vt:lpstr>
      <vt:lpstr>z_G2JL860106_MO_BlankRow_IS_1</vt:lpstr>
      <vt:lpstr>z_G2JL860106_MO_BlankRow_MA</vt:lpstr>
      <vt:lpstr>z_G2JL860106_MO_BlankRow_MA_1</vt:lpstr>
      <vt:lpstr>z_G2JL860106_MO_BlankRow_MA_2</vt:lpstr>
      <vt:lpstr>z_G2JL860106_MO_BlankRow_MA_3</vt:lpstr>
      <vt:lpstr>z_G2JL860106_MO_BlankRow_MA_4</vt:lpstr>
      <vt:lpstr>z_G2JL860106_MO_BlankRow_MA_5</vt:lpstr>
      <vt:lpstr>z_G2JL860106_MO_BlankRow_OS</vt:lpstr>
      <vt:lpstr>z_G2JL860106_MO_BlankRow_OS_1</vt:lpstr>
      <vt:lpstr>z_G2JL860106_MO_BlankRow_OS_10</vt:lpstr>
      <vt:lpstr>z_G2JL860106_MO_BlankRow_OS_11</vt:lpstr>
      <vt:lpstr>z_G2JL860106_MO_BlankRow_OS_12</vt:lpstr>
      <vt:lpstr>z_G2JL860106_MO_BlankRow_OS_13</vt:lpstr>
      <vt:lpstr>z_G2JL860106_MO_BlankRow_OS_14</vt:lpstr>
      <vt:lpstr>z_G2JL860106_MO_BlankRow_OS_15</vt:lpstr>
      <vt:lpstr>z_G2JL860106_MO_BlankRow_OS_16</vt:lpstr>
      <vt:lpstr>z_G2JL860106_MO_BlankRow_OS_17</vt:lpstr>
      <vt:lpstr>z_G2JL860106_MO_BlankRow_OS_18</vt:lpstr>
      <vt:lpstr>z_G2JL860106_MO_BlankRow_OS_19</vt:lpstr>
      <vt:lpstr>z_G2JL860106_MO_BlankRow_OS_20</vt:lpstr>
      <vt:lpstr>z_G2JL860106_MO_BlankRow_OS_21</vt:lpstr>
      <vt:lpstr>z_G2JL860106_MO_BlankRow_OS_22</vt:lpstr>
      <vt:lpstr>z_G2JL860106_MO_BlankRow_OS_23</vt:lpstr>
      <vt:lpstr>z_G2JL860106_MO_BlankRow_OS_24</vt:lpstr>
      <vt:lpstr>z_G2JL860106_MO_BlankRow_OS_25</vt:lpstr>
      <vt:lpstr>z_G2JL860106_MO_BlankRow_OS_26</vt:lpstr>
      <vt:lpstr>z_G2JL860106_MO_BlankRow_OS_27</vt:lpstr>
      <vt:lpstr>z_G2JL860106_MO_BlankRow_OS_28</vt:lpstr>
      <vt:lpstr>z_G2JL860106_MO_BlankRow_OS_29</vt:lpstr>
      <vt:lpstr>z_G2JL860106_MO_BlankRow_OS_3</vt:lpstr>
      <vt:lpstr>z_G2JL860106_MO_BlankRow_OS_30</vt:lpstr>
      <vt:lpstr>z_G2JL860106_MO_BlankRow_OS_31</vt:lpstr>
      <vt:lpstr>z_G2JL860106_MO_BlankRow_OS_32</vt:lpstr>
      <vt:lpstr>z_G2JL860106_MO_BlankRow_OS_33</vt:lpstr>
      <vt:lpstr>z_G2JL860106_MO_BlankRow_OS_34</vt:lpstr>
      <vt:lpstr>z_G2JL860106_MO_BlankRow_OS_35</vt:lpstr>
      <vt:lpstr>z_G2JL860106_MO_BlankRow_OS_36</vt:lpstr>
      <vt:lpstr>z_G2JL860106_MO_BlankRow_OS_37</vt:lpstr>
      <vt:lpstr>z_G2JL860106_MO_BlankRow_OS_38</vt:lpstr>
      <vt:lpstr>z_G2JL860106_MO_BlankRow_OS_39</vt:lpstr>
      <vt:lpstr>z_G2JL860106_MO_BlankRow_OS_40</vt:lpstr>
      <vt:lpstr>z_G2JL860106_MO_BlankRow_OS_41</vt:lpstr>
      <vt:lpstr>z_G2JL860106_MO_BlankRow_OS_42</vt:lpstr>
      <vt:lpstr>z_G2JL860106_MO_BlankRow_OS_43</vt:lpstr>
      <vt:lpstr>z_G2JL860106_MO_BlankRow_OS_44</vt:lpstr>
      <vt:lpstr>z_G2JL860106_MO_BlankRow_OS_5</vt:lpstr>
      <vt:lpstr>z_G2JL860106_MO_BlankRow_OS_6</vt:lpstr>
      <vt:lpstr>z_G2JL860106_MO_BlankRow_OS_7</vt:lpstr>
      <vt:lpstr>z_G2JL860106_MO_BlankRow_OS_8</vt:lpstr>
      <vt:lpstr>z_G2JL860106_MO_BlankRow_OS_9</vt:lpstr>
      <vt:lpstr>z_G2JL860106_MO_BlankRow_RIS</vt:lpstr>
      <vt:lpstr>z_G2JL860106_MO_BlankRow_RIS_1</vt:lpstr>
      <vt:lpstr>z_G2JL860106_MO_BlankRow_RIS_2</vt:lpstr>
      <vt:lpstr>z_G2JL860106_MO_BlankRow_RIS_3</vt:lpstr>
      <vt:lpstr>z_G2JL860106_MO_BlankRow_RIS_4</vt:lpstr>
      <vt:lpstr>z_G2JL860106_MO_BlankRow_RIS_5</vt:lpstr>
      <vt:lpstr>z_G2JL860106_MO_BlankRow_RIS_6</vt:lpstr>
      <vt:lpstr>z_G2JL860106_MO_BlankRow_RIS_7</vt:lpstr>
      <vt:lpstr>z_G2JL860106_MO_BlankRow_RIS_8</vt:lpstr>
      <vt:lpstr>z_G2JL860106_MO_BlankRow_SNA</vt:lpstr>
      <vt:lpstr>z_G2JL860106_MO_BlankRow_SNA_1</vt:lpstr>
      <vt:lpstr>z_G2JL860106_MO_BlankRow_SNA_10</vt:lpstr>
      <vt:lpstr>z_G2JL860106_MO_BlankRow_SNA_11</vt:lpstr>
      <vt:lpstr>z_G2JL860106_MO_BlankRow_SNA_12</vt:lpstr>
      <vt:lpstr>z_G2JL860106_MO_BlankRow_SNA_13</vt:lpstr>
      <vt:lpstr>z_G2JL860106_MO_BlankRow_SNA_14</vt:lpstr>
      <vt:lpstr>z_G2JL860106_MO_BlankRow_SNA_15</vt:lpstr>
      <vt:lpstr>z_G2JL860106_MO_BlankRow_SNA_16</vt:lpstr>
      <vt:lpstr>z_G2JL860106_MO_BlankRow_SNA_17</vt:lpstr>
      <vt:lpstr>z_G2JL860106_MO_BlankRow_SNA_18</vt:lpstr>
      <vt:lpstr>z_G2JL860106_MO_BlankRow_SNA_19</vt:lpstr>
      <vt:lpstr>z_G2JL860106_MO_BlankRow_SNA_2</vt:lpstr>
      <vt:lpstr>z_G2JL860106_MO_BlankRow_SNA_20</vt:lpstr>
      <vt:lpstr>z_G2JL860106_MO_BlankRow_SNA_21</vt:lpstr>
      <vt:lpstr>z_G2JL860106_MO_BlankRow_SNA_22</vt:lpstr>
      <vt:lpstr>z_G2JL860106_MO_BlankRow_SNA_3</vt:lpstr>
      <vt:lpstr>z_G2JL860106_MO_BlankRow_SNA_4</vt:lpstr>
      <vt:lpstr>z_G2JL860106_MO_BlankRow_SNA_5</vt:lpstr>
      <vt:lpstr>z_G2JL860106_MO_BlankRow_SNA_6</vt:lpstr>
      <vt:lpstr>z_G2JL860106_MO_BlankRow_SNA_7</vt:lpstr>
      <vt:lpstr>z_G2JL860106_MO_BlankRow_SNA_8</vt:lpstr>
      <vt:lpstr>z_G2JL860106_MO_BlankRow_SNA_9</vt:lpstr>
      <vt:lpstr>z_G2JL860106_MO_BS_Accountspayable</vt:lpstr>
      <vt:lpstr>z_G2JL860106_MO_BS_Accountsreceivable</vt:lpstr>
      <vt:lpstr>z_G2JL860106_MO_BS_Accruedexpenses</vt:lpstr>
      <vt:lpstr>z_G2JL860106_MO_BS_Accumulateddeficit</vt:lpstr>
      <vt:lpstr>z_G2JL860106_MO_BS_Accumulatedothercomprehensivelossincome</vt:lpstr>
      <vt:lpstr>z_G2JL860106_MO_BS_Additionalpaidincapital</vt:lpstr>
      <vt:lpstr>z_G2JL860106_MO_BS_Cashandcashequivalents</vt:lpstr>
      <vt:lpstr>z_G2JL860106_MO_BS_Commonstock</vt:lpstr>
      <vt:lpstr>z_G2JL860106_MO_BS_Commonstockheldintreasury</vt:lpstr>
      <vt:lpstr>z_G2JL860106_MO_BS_Currentportionoflongtermdebt</vt:lpstr>
      <vt:lpstr>z_G2JL860106_MO_BS_Deferredincometaxes</vt:lpstr>
      <vt:lpstr>z_G2JL860106_MO_BS_Deferredincometaxes_1</vt:lpstr>
      <vt:lpstr>z_G2JL860106_MO_BS_Goodwill</vt:lpstr>
      <vt:lpstr>z_G2JL860106_MO_BS_Incometaxespayable</vt:lpstr>
      <vt:lpstr>z_G2JL860106_MO_BS_Insurancereceivable</vt:lpstr>
      <vt:lpstr>z_G2JL860106_MO_BS_Intangibleassets</vt:lpstr>
      <vt:lpstr>z_G2JL860106_MO_BS_Litigationsettlementobligation</vt:lpstr>
      <vt:lpstr>z_G2JL860106_MO_BS_Longtermdebt</vt:lpstr>
      <vt:lpstr>z_G2JL860106_MO_BS_Longtermoperatingleasesliability</vt:lpstr>
      <vt:lpstr>z_G2JL860106_MO_BS_NCI</vt:lpstr>
      <vt:lpstr>z_G2JL860106_MO_BS_Operatingleasesliability</vt:lpstr>
      <vt:lpstr>z_G2JL860106_MO_BS_Operatingleasesrightofuseasset</vt:lpstr>
      <vt:lpstr>z_G2JL860106_MO_BS_Operatingleasesrightofuseasset_1</vt:lpstr>
      <vt:lpstr>z_G2JL860106_MO_BS_Othercurrentassets</vt:lpstr>
      <vt:lpstr>z_G2JL860106_MO_BS_Othercurrentliabilities</vt:lpstr>
      <vt:lpstr>z_G2JL860106_MO_BS_Otherliabilities</vt:lpstr>
      <vt:lpstr>z_G2JL860106_MO_BS_Othernoncurrentassets</vt:lpstr>
      <vt:lpstr>z_G2JL860106_MO_BS_Prepaidexpenses</vt:lpstr>
      <vt:lpstr>z_G2JL860106_MO_BS_Propertyandequipment</vt:lpstr>
      <vt:lpstr>z_G2JL860106_MO_BS_TotalAssets</vt:lpstr>
      <vt:lpstr>z_G2JL860106_MO_BS_TotalCurrentAssets</vt:lpstr>
      <vt:lpstr>z_G2JL860106_MO_BS_TotalCurrentLiabilities</vt:lpstr>
      <vt:lpstr>z_G2JL860106_MO_BS_TotalLiabilities</vt:lpstr>
      <vt:lpstr>z_G2JL860106_MO_BS_TotalLiabilitiesSE</vt:lpstr>
      <vt:lpstr>z_G2JL860106_MO_BS_TotalNonCurrentAssets</vt:lpstr>
      <vt:lpstr>z_G2JL860106_MO_BS_TotalNonCurrentliabilities</vt:lpstr>
      <vt:lpstr>z_G2JL860106_MO_BS_TotalSE</vt:lpstr>
      <vt:lpstr>z_G2JL860106_MO_BSS_Cash</vt:lpstr>
      <vt:lpstr>z_G2JL860106_MO_BSS_Debt</vt:lpstr>
      <vt:lpstr>z_G2JL860106_MO_BSS_EBITDANetInterestExpense</vt:lpstr>
      <vt:lpstr>z_G2JL860106_MO_BSS_EffectiveInterestRateonCash</vt:lpstr>
      <vt:lpstr>z_G2JL860106_MO_BSS_EffectiveInterestRateonDebt</vt:lpstr>
      <vt:lpstr>z_G2JL860106_MO_BSS_EffectiveNetInterestRateonDebt</vt:lpstr>
      <vt:lpstr>z_G2JL860106_MO_BSS_InterestExpense</vt:lpstr>
      <vt:lpstr>z_G2JL860106_MO_BSS_InterestIncome</vt:lpstr>
      <vt:lpstr>z_G2JL860106_MO_BSS_LTDebt</vt:lpstr>
      <vt:lpstr>z_G2JL860106_MO_BSS_NetDebt</vt:lpstr>
      <vt:lpstr>z_G2JL860106_MO_BSS_NetDebtCashFlow</vt:lpstr>
      <vt:lpstr>z_G2JL860106_MO_BSS_NetDebtEBITDA</vt:lpstr>
      <vt:lpstr>z_G2JL860106_MO_BSS_NetInterestExpenseIncome</vt:lpstr>
      <vt:lpstr>z_G2JL860106_MO_BSS_OperatingLeaseLiabilities</vt:lpstr>
      <vt:lpstr>z_G2JL860106_MO_BSS_STDebt</vt:lpstr>
      <vt:lpstr>z_G2JL860106_MO_CCFS_Accountspayable</vt:lpstr>
      <vt:lpstr>z_G2JL860106_MO_CCFS_Accountsreceivable</vt:lpstr>
      <vt:lpstr>z_G2JL860106_MO_CCFS_Accruedexpenses</vt:lpstr>
      <vt:lpstr>z_G2JL860106_MO_CCFS_Acquisitions</vt:lpstr>
      <vt:lpstr>z_G2JL860106_MO_CCFS_Amortizationofdebtdiscount</vt:lpstr>
      <vt:lpstr>z_G2JL860106_MO_CCFS_Amortizationoffinancingfees</vt:lpstr>
      <vt:lpstr>z_G2JL860106_MO_CCFS_BeginningCashBalance</vt:lpstr>
      <vt:lpstr>z_G2JL860106_MO_CCFS_Borrowingsonrevolvingcreditfacility</vt:lpstr>
      <vt:lpstr>z_G2JL860106_MO_CCFS_Capitalcontributionfromcertainstockholders</vt:lpstr>
      <vt:lpstr>z_G2JL860106_MO_CCFS_Cashpaidduringtheperiodforincometaxes</vt:lpstr>
      <vt:lpstr>z_G2JL860106_MO_CCFS_Cashpaidduringtheperiodforinterest</vt:lpstr>
      <vt:lpstr>z_G2JL860106_MO_CCFS_CashpaidfortaxwithholdingonRSAvestings</vt:lpstr>
      <vt:lpstr>z_G2JL860106_MO_CCFS_Cashpaidforwithholdingonexerciseofemployeestockoptions</vt:lpstr>
      <vt:lpstr>z_G2JL860106_MO_CCFS_CFObeforeWC</vt:lpstr>
      <vt:lpstr>z_G2JL860106_MO_CCFS_Changeinfairvalueofcontingentconsideration</vt:lpstr>
      <vt:lpstr>z_G2JL860106_MO_CCFS_Changesinfairvalueofderivatives</vt:lpstr>
      <vt:lpstr>z_G2JL860106_MO_CCFS_Deferredincometaxes</vt:lpstr>
      <vt:lpstr>z_G2JL860106_MO_CCFS_Deferredrent</vt:lpstr>
      <vt:lpstr>z_G2JL860106_MO_CCFS_Depreciationandamortization</vt:lpstr>
      <vt:lpstr>z_G2JL860106_MO_CCFS_Dividendspaid</vt:lpstr>
      <vt:lpstr>z_G2JL860106_MO_CCFS_EndingCashBalance</vt:lpstr>
      <vt:lpstr>z_G2JL860106_MO_CCFS_Excesspaymentoncontingentconsiderationforacquisition</vt:lpstr>
      <vt:lpstr>z_G2JL860106_MO_CCFS_FX</vt:lpstr>
      <vt:lpstr>z_G2JL860106_MO_CCFS_Gainondispositionofpropertyandequipment</vt:lpstr>
      <vt:lpstr>z_G2JL860106_MO_CCFS_Impairmentsoflonglivedassets</vt:lpstr>
      <vt:lpstr>z_G2JL860106_MO_CCFS_Insurancereceivable</vt:lpstr>
      <vt:lpstr>z_G2JL860106_MO_CCFS_Interestrateswapsettlements</vt:lpstr>
      <vt:lpstr>z_G2JL860106_MO_CCFS_Investmentinminorityinterest</vt:lpstr>
      <vt:lpstr>z_G2JL860106_MO_CCFS_Issuanceofcommonstock</vt:lpstr>
      <vt:lpstr>z_G2JL860106_MO_CCFS_Litigationsettlementobligation</vt:lpstr>
      <vt:lpstr>z_G2JL860106_MO_CCFS_Lossonextinguishmentofdebt</vt:lpstr>
      <vt:lpstr>z_G2JL860106_MO_CCFS_NetCFF</vt:lpstr>
      <vt:lpstr>z_G2JL860106_MO_CCFS_NetCFI</vt:lpstr>
      <vt:lpstr>z_G2JL860106_MO_CCFS_NetCFO</vt:lpstr>
      <vt:lpstr>z_G2JL860106_MO_CCFS_NetChangeinCashBalance</vt:lpstr>
      <vt:lpstr>z_G2JL860106_MO_CCFS_Netloss</vt:lpstr>
      <vt:lpstr>z_G2JL860106_MO_CCFS_NoncashimpactofleaseaccountingunderASC842</vt:lpstr>
      <vt:lpstr>z_G2JL860106_MO_CCFS_Otherassets</vt:lpstr>
      <vt:lpstr>z_G2JL860106_MO_CCFS_Otherliabilities</vt:lpstr>
      <vt:lpstr>z_G2JL860106_MO_CCFS_Paymentofcontingentconsiderationforacquisition</vt:lpstr>
      <vt:lpstr>z_G2JL860106_MO_CCFS_Paymentsofdebtissuancecosts</vt:lpstr>
      <vt:lpstr>z_G2JL860106_MO_CCFS_PaymentsofIPOissuancecosts</vt:lpstr>
      <vt:lpstr>z_G2JL860106_MO_CCFS_Paymentsoflongtermdebt</vt:lpstr>
      <vt:lpstr>z_G2JL860106_MO_CCFS_Paymentsonequipmentcapitalleaseobligations</vt:lpstr>
      <vt:lpstr>z_G2JL860106_MO_CCFS_Prepaidexpenses</vt:lpstr>
      <vt:lpstr>z_G2JL860106_MO_CCFS_Proceedsfromdispositionofpropertyandequipment</vt:lpstr>
      <vt:lpstr>z_G2JL860106_MO_CCFS_Proceedsfromemployeestockpurchaseplan</vt:lpstr>
      <vt:lpstr>z_G2JL860106_MO_CCFS_Proceedsfromexerciseofemployeestockoptions</vt:lpstr>
      <vt:lpstr>z_G2JL860106_MO_CCFS_ProceedsfromissuanceofcommonstockinIPOnetofunderwritingdiscountsandcommissions</vt:lpstr>
      <vt:lpstr>z_G2JL860106_MO_CCFS_Provisionforbaddebts</vt:lpstr>
      <vt:lpstr>z_G2JL860106_MO_CCFS_Purchasesofintangibleassetsandcapitalizedsoftware</vt:lpstr>
      <vt:lpstr>z_G2JL860106_MO_CCFS_Purchasesofpropertyandequipment</vt:lpstr>
      <vt:lpstr>z_G2JL860106_MO_CCFS_Repaymentoftermloanborrowings</vt:lpstr>
      <vt:lpstr>z_G2JL860106_MO_CCFS_Repaymentsofrevolvingcreditfacility</vt:lpstr>
      <vt:lpstr>z_G2JL860106_MO_CCFS_Repurchaseofcommonstock</vt:lpstr>
      <vt:lpstr>z_G2JL860106_MO_CCFS_Stockbasedcompensation</vt:lpstr>
      <vt:lpstr>z_G2JL860106_MO_CCFS_Unrealizedtranslationlossgainoninvestmentinforeignsubsidiaries</vt:lpstr>
      <vt:lpstr>z_G2JL860106_MO_CFS_Accountspayable</vt:lpstr>
      <vt:lpstr>z_G2JL860106_MO_CFS_Accountsreceivable</vt:lpstr>
      <vt:lpstr>z_G2JL860106_MO_CFS_Accruedexpenses</vt:lpstr>
      <vt:lpstr>z_G2JL860106_MO_CFS_Acquisitions</vt:lpstr>
      <vt:lpstr>z_G2JL860106_MO_CFS_Amortizationofdebtdiscount</vt:lpstr>
      <vt:lpstr>z_G2JL860106_MO_CFS_Amortizationoffinancingfees</vt:lpstr>
      <vt:lpstr>z_G2JL860106_MO_CFS_BeginningCashBalance</vt:lpstr>
      <vt:lpstr>z_G2JL860106_MO_CFS_Borrowingsonrevolvingcreditfacility</vt:lpstr>
      <vt:lpstr>z_G2JL860106_MO_CFS_Capitalcontributionfromcertainstockholders</vt:lpstr>
      <vt:lpstr>z_G2JL860106_MO_CFS_Cashpaidduringtheperiodforincometaxes</vt:lpstr>
      <vt:lpstr>z_G2JL860106_MO_CFS_Cashpaidduringtheperiodforinterest</vt:lpstr>
      <vt:lpstr>z_G2JL860106_MO_CFS_CashpaidfortaxwithholdingonRSAvestings</vt:lpstr>
      <vt:lpstr>z_G2JL860106_MO_CFS_Cashpaidforwithholdingonexerciseofemployeestockoptions</vt:lpstr>
      <vt:lpstr>z_G2JL860106_MO_CFS_CFObeforeWC</vt:lpstr>
      <vt:lpstr>z_G2JL860106_MO_CFS_Changeinfairvalueofcontingentconsideration</vt:lpstr>
      <vt:lpstr>z_G2JL860106_MO_CFS_Changesinfairvalueofderivatives</vt:lpstr>
      <vt:lpstr>z_G2JL860106_MO_CFS_Deferredincometaxes</vt:lpstr>
      <vt:lpstr>z_G2JL860106_MO_CFS_Deferredrent</vt:lpstr>
      <vt:lpstr>z_G2JL860106_MO_CFS_Depreciationandamortization</vt:lpstr>
      <vt:lpstr>z_G2JL860106_MO_CFS_Dividendspaid</vt:lpstr>
      <vt:lpstr>z_G2JL860106_MO_CFS_EndingCashBalance</vt:lpstr>
      <vt:lpstr>z_G2JL860106_MO_CFS_Excesspaymentoncontingentconsiderationforacquisition</vt:lpstr>
      <vt:lpstr>z_G2JL860106_MO_CFS_FX</vt:lpstr>
      <vt:lpstr>z_G2JL860106_MO_CFS_Gainondispositionofpropertyandequipment</vt:lpstr>
      <vt:lpstr>z_G2JL860106_MO_CFS_Impairmentsoflonglivedassets</vt:lpstr>
      <vt:lpstr>z_G2JL860106_MO_CFS_Insurancereceivable</vt:lpstr>
      <vt:lpstr>z_G2JL860106_MO_CFS_Interestrateswapsettlements</vt:lpstr>
      <vt:lpstr>z_G2JL860106_MO_CFS_Investmentinminorityinterest</vt:lpstr>
      <vt:lpstr>z_G2JL860106_MO_CFS_Issuanceofcommonstock</vt:lpstr>
      <vt:lpstr>z_G2JL860106_MO_CFS_Litigationsettlementobligation</vt:lpstr>
      <vt:lpstr>z_G2JL860106_MO_CFS_Lossonextinguishmentofdebt</vt:lpstr>
      <vt:lpstr>z_G2JL860106_MO_CFS_NetCFF</vt:lpstr>
      <vt:lpstr>z_G2JL860106_MO_CFS_NetCFI</vt:lpstr>
      <vt:lpstr>z_G2JL860106_MO_CFS_NetCFO</vt:lpstr>
      <vt:lpstr>z_G2JL860106_MO_CFS_NetChangeinCashBalance</vt:lpstr>
      <vt:lpstr>z_G2JL860106_MO_CFS_Netloss</vt:lpstr>
      <vt:lpstr>z_G2JL860106_MO_CFS_NoncashimpactofleaseaccountingunderASC842</vt:lpstr>
      <vt:lpstr>z_G2JL860106_MO_CFS_Otherassets</vt:lpstr>
      <vt:lpstr>z_G2JL860106_MO_CFS_Otherliabilities</vt:lpstr>
      <vt:lpstr>z_G2JL860106_MO_CFS_Paymentofcontingentconsiderationforacquisition</vt:lpstr>
      <vt:lpstr>z_G2JL860106_MO_CFS_Paymentsofdebtissuancecosts</vt:lpstr>
      <vt:lpstr>z_G2JL860106_MO_CFS_PaymentsofIPOissuancecosts</vt:lpstr>
      <vt:lpstr>z_G2JL860106_MO_CFS_Paymentsoflongtermdebt</vt:lpstr>
      <vt:lpstr>z_G2JL860106_MO_CFS_Paymentsonequipmentcapitalleaseobligations</vt:lpstr>
      <vt:lpstr>z_G2JL860106_MO_CFS_Prepaidexpenses</vt:lpstr>
      <vt:lpstr>z_G2JL860106_MO_CFS_Proceedsfromdispositionofpropertyandequipment</vt:lpstr>
      <vt:lpstr>z_G2JL860106_MO_CFS_Proceedsfromemployeestockpurchaseplan</vt:lpstr>
      <vt:lpstr>z_G2JL860106_MO_CFS_Proceedsfromexerciseofemployeestockoptions</vt:lpstr>
      <vt:lpstr>z_G2JL860106_MO_CFS_ProceedsfromissuanceofcommonstockinIPOnetofunderwritingdiscountsandcommissions</vt:lpstr>
      <vt:lpstr>z_G2JL860106_MO_CFS_Provisionforbaddebts</vt:lpstr>
      <vt:lpstr>z_G2JL860106_MO_CFS_Purchasesofintangibleassetsandcapitalizedsoftware</vt:lpstr>
      <vt:lpstr>z_G2JL860106_MO_CFS_Purchasesofpropertyandequipment</vt:lpstr>
      <vt:lpstr>z_G2JL860106_MO_CFS_Repaymentoftermloanborrowings</vt:lpstr>
      <vt:lpstr>z_G2JL860106_MO_CFS_Repaymentsofrevolvingcreditfacility</vt:lpstr>
      <vt:lpstr>z_G2JL860106_MO_CFS_Repurchaseofcommonstock</vt:lpstr>
      <vt:lpstr>z_G2JL860106_MO_CFS_Stockbasedcompensation</vt:lpstr>
      <vt:lpstr>z_G2JL860106_MO_CFS_Unrealizedtranslationlossgainoninvestmentinforeignsubsidiaries</vt:lpstr>
      <vt:lpstr>z_G2JL860106_MO_CFSum_Acquisitions</vt:lpstr>
      <vt:lpstr>z_G2JL860106_MO_CFSum_Capex</vt:lpstr>
      <vt:lpstr>z_G2JL860106_MO_CFSum_CashFlowPerDilutedShare_1</vt:lpstr>
      <vt:lpstr>z_G2JL860106_MO_CFSum_CashFlowPerDilutedSharebeforeWC</vt:lpstr>
      <vt:lpstr>z_G2JL860106_MO_CFSum_ChangeinWorkingCapital</vt:lpstr>
      <vt:lpstr>z_G2JL860106_MO_CFSum_ConsensusEstimatesCapex</vt:lpstr>
      <vt:lpstr>z_G2JL860106_MO_CFSum_ConsensusEstimatesCashFlowPerDilutedShare</vt:lpstr>
      <vt:lpstr>z_G2JL860106_MO_CFSum_Divestiture</vt:lpstr>
      <vt:lpstr>z_G2JL860106_MO_CFSum_DividendPaid</vt:lpstr>
      <vt:lpstr>z_G2JL860106_MO_CFSum_DividendPerShare</vt:lpstr>
      <vt:lpstr>z_G2JL860106_MO_CFSum_EstimatedSharePriceforIssuanceBuybacks</vt:lpstr>
      <vt:lpstr>z_G2JL860106_MO_CFSum_FCF</vt:lpstr>
      <vt:lpstr>z_G2JL860106_MO_CFSum_FCF_1</vt:lpstr>
      <vt:lpstr>z_G2JL860106_MO_CFSum_FCF_2</vt:lpstr>
      <vt:lpstr>z_G2JL860106_MO_CFSum_FCFincludingWC</vt:lpstr>
      <vt:lpstr>z_G2JL860106_MO_CFSum_FCFincludingWCPostDiv</vt:lpstr>
      <vt:lpstr>z_G2JL860106_MO_CFSum_FCFincludingWCPostDiv_1</vt:lpstr>
      <vt:lpstr>z_G2JL860106_MO_CFSum_FCFincludingWCPostDivDebtBuyback</vt:lpstr>
      <vt:lpstr>z_G2JL860106_MO_CFSum_FCFPostDivDebtBuyback</vt:lpstr>
      <vt:lpstr>z_G2JL860106_MO_CFSum_NetDebtIssuanceRepayment</vt:lpstr>
      <vt:lpstr>z_G2JL860106_MO_CFSum_NetShareIssuanceBuybacks</vt:lpstr>
      <vt:lpstr>z_G2JL860106_MO_CFSum_OperatingCashFlowafterWC</vt:lpstr>
      <vt:lpstr>z_G2JL860106_MO_CFSum_OperatingCashFlowbeforeWC</vt:lpstr>
      <vt:lpstr>z_G2JL860106_MO_Checks_CFS_CFCheck</vt:lpstr>
      <vt:lpstr>z_G2JL860106_MO_Checks_IS_ISCheck</vt:lpstr>
      <vt:lpstr>z_G2JL860106_MO_Checks_SNA_AdjustedNumbersFYSumofQs</vt:lpstr>
      <vt:lpstr>z_G2JL860106_MO_Checks_SNA_BalanceSheetisnotRepeated</vt:lpstr>
      <vt:lpstr>z_G2JL860106_MO_Checks_SNA_BSCheck</vt:lpstr>
      <vt:lpstr>z_G2JL860106_MO_Checks_SNA_CapexisUpdated</vt:lpstr>
      <vt:lpstr>z_G2JL860106_MO_Checks_SNA_CashFlowisnotRepeated</vt:lpstr>
      <vt:lpstr>z_G2JL860106_MO_Checks_SNA_CashFlowSummarySignsareCorrect</vt:lpstr>
      <vt:lpstr>z_G2JL860106_MO_Checks_SNA_CFFsubtotalFYSumofQs</vt:lpstr>
      <vt:lpstr>z_G2JL860106_MO_Checks_SNA_CFIsubtotalFYSumofQs</vt:lpstr>
      <vt:lpstr>z_G2JL860106_MO_Checks_SNA_CFOBeforeWCsubtotalFYSumofQs</vt:lpstr>
      <vt:lpstr>z_G2JL860106_MO_Checks_SNA_CFOsubtotalFYSumofQs</vt:lpstr>
      <vt:lpstr>z_G2JL860106_MO_Checks_SNA_CFSummaryFYSumofQs</vt:lpstr>
      <vt:lpstr>z_G2JL860106_MO_Checks_SNA_EndingCFEndingCumulativeCF</vt:lpstr>
      <vt:lpstr>z_G2JL860106_MO_Checks_SNA_IncomeStatementisnotRepeated</vt:lpstr>
      <vt:lpstr>z_G2JL860106_MO_Checks_SNA_Marginaddsupto100</vt:lpstr>
      <vt:lpstr>z_G2JL860106_MO_Checks_SNA_MarginisUpdated</vt:lpstr>
      <vt:lpstr>z_G2JL860106_MO_Checks_SNA_NetIncomeonReportedISNIonRevised</vt:lpstr>
      <vt:lpstr>z_G2JL860106_MO_Checks_SNA_NetIncomeonRevisedISNIonCFstatement</vt:lpstr>
      <vt:lpstr>z_G2JL860106_MO_Checks_SNA_RISAdjustedNIFYSumofQs</vt:lpstr>
      <vt:lpstr>z_G2JL860106_MO_Checks_SNA_RISNIFYSumofQs</vt:lpstr>
      <vt:lpstr>z_G2JL860106_MO_Checks_SNA_SegmentedRevenueRevenue</vt:lpstr>
      <vt:lpstr>z_G2JL860106_MO_DAF_AmortizationaspercentageofIntangiblesBoP</vt:lpstr>
      <vt:lpstr>z_G2JL860106_MO_DAF_Amortizationofintangibles</vt:lpstr>
      <vt:lpstr>z_G2JL860106_MO_DAF_Capexofintangibles</vt:lpstr>
      <vt:lpstr>z_G2JL860106_MO_DAF_CapexofPPE</vt:lpstr>
      <vt:lpstr>z_G2JL860106_MO_DAF_DepreciationaspercentageofPPEBoP</vt:lpstr>
      <vt:lpstr>z_G2JL860106_MO_DAF_Depreciationoffixedassets</vt:lpstr>
      <vt:lpstr>z_G2JL860106_MO_DAF_Impliedlifeoffixedassets</vt:lpstr>
      <vt:lpstr>z_G2JL860106_MO_DAF_Impliedlifeofintangibles</vt:lpstr>
      <vt:lpstr>z_G2JL860106_MO_DAF_IntangiblesBoP</vt:lpstr>
      <vt:lpstr>z_G2JL860106_MO_DAF_IntangiblesEoP</vt:lpstr>
      <vt:lpstr>z_G2JL860106_MO_DAF_Othernetadditionstointangibles</vt:lpstr>
      <vt:lpstr>z_G2JL860106_MO_DAF_OthernetadditionstoPPE</vt:lpstr>
      <vt:lpstr>z_G2JL860106_MO_DAF_Percentageofcapexallocatedtointangibleassets</vt:lpstr>
      <vt:lpstr>z_G2JL860106_MO_DAF_PPEBoP</vt:lpstr>
      <vt:lpstr>z_G2JL860106_MO_DAF_PPEEoP</vt:lpstr>
      <vt:lpstr>z_G2JL860106_MO_DAF_TotalCapex</vt:lpstr>
      <vt:lpstr>z_G2JL860106_MO_DAF_TotalDA</vt:lpstr>
      <vt:lpstr>z_G2JL860106_MO_GA_APACgrowth</vt:lpstr>
      <vt:lpstr>z_G2JL860106_MO_GA_Basegrowth</vt:lpstr>
      <vt:lpstr>z_G2JL860106_MO_GA_Newcustomergrowth</vt:lpstr>
      <vt:lpstr>z_G2JL860106_MO_GA_Otherservicesrevenuegrowth</vt:lpstr>
      <vt:lpstr>z_G2JL860106_MO_GA_Screeningservicesrevenuegrowth</vt:lpstr>
      <vt:lpstr>z_G2JL860106_MO_GA_TotalRevenueGrowth</vt:lpstr>
      <vt:lpstr>z_G2JL860106_MO_Header_HeaderRow</vt:lpstr>
      <vt:lpstr>z_G2JL860106_MO_Header_HeaderRow_1</vt:lpstr>
      <vt:lpstr>z_G2JL860106_MO_Header_HeaderRow_2</vt:lpstr>
      <vt:lpstr>z_G2JL860106_MO_Header_HeaderRow_3</vt:lpstr>
      <vt:lpstr>z_G2JL860106_MO_Header_HeaderRow_4</vt:lpstr>
      <vt:lpstr>z_G2JL860106_MO_IS_Costofrevenues</vt:lpstr>
      <vt:lpstr>z_G2JL860106_MO_IS_Depreciationandamortization</vt:lpstr>
      <vt:lpstr>z_G2JL860106_MO_IS_GrossProfit</vt:lpstr>
      <vt:lpstr>z_G2JL860106_MO_IS_Impairmentsoflonglivedassets</vt:lpstr>
      <vt:lpstr>z_G2JL860106_MO_IS_Incometaxbenefit</vt:lpstr>
      <vt:lpstr>z_G2JL860106_MO_IS_Interestexpense</vt:lpstr>
      <vt:lpstr>z_G2JL860106_MO_IS_LossBeforeIncomeTaxes</vt:lpstr>
      <vt:lpstr>z_G2JL860106_MO_IS_Lossonextinguishmentofdebt</vt:lpstr>
      <vt:lpstr>z_G2JL860106_MO_IS_Lossoninterestrateswap</vt:lpstr>
      <vt:lpstr>z_G2JL860106_MO_IS_Netlossincome</vt:lpstr>
      <vt:lpstr>z_G2JL860106_MO_IS_Operatingloss</vt:lpstr>
      <vt:lpstr>z_G2JL860106_MO_IS_Otherincome</vt:lpstr>
      <vt:lpstr>z_G2JL860106_MO_IS_Productandtechnologyexpense</vt:lpstr>
      <vt:lpstr>z_G2JL860106_MO_IS_Revenues</vt:lpstr>
      <vt:lpstr>z_G2JL860106_MO_IS_Selling</vt:lpstr>
      <vt:lpstr>z_G2JL860106_MO_MA_AdjustedEBITDAMargin</vt:lpstr>
      <vt:lpstr>z_G2JL860106_MO_MA_AverageFXRate</vt:lpstr>
      <vt:lpstr>z_G2JL860106_MO_MA_COGSMargin</vt:lpstr>
      <vt:lpstr>z_G2JL860106_MO_MA_ConsensusEstimatesAdjustedEBITDAMargin</vt:lpstr>
      <vt:lpstr>z_G2JL860106_MO_MA_ConsensusEstimatesGrossMargin</vt:lpstr>
      <vt:lpstr>z_G2JL860106_MO_MA_EBITDAMargin</vt:lpstr>
      <vt:lpstr>z_G2JL860106_MO_MA_EnterpriseValueAvg</vt:lpstr>
      <vt:lpstr>z_G2JL860106_MO_MA_EnterpriseValueComponents</vt:lpstr>
      <vt:lpstr>z_G2JL860106_MO_MA_EoPFXRate</vt:lpstr>
      <vt:lpstr>z_G2JL860106_MO_MA_EVEBITDAAvg</vt:lpstr>
      <vt:lpstr>z_G2JL860106_MO_MA_FCFYieldtoAvgEnterpriseValue</vt:lpstr>
      <vt:lpstr>z_G2JL860106_MO_MA_FCFYieldtoAvgMarketCap</vt:lpstr>
      <vt:lpstr>z_G2JL860106_MO_MA_GrossMargin</vt:lpstr>
      <vt:lpstr>z_G2JL860106_MO_MA_MarketCapAvg</vt:lpstr>
      <vt:lpstr>z_G2JL860106_MO_MA_NoncontrollingInterest</vt:lpstr>
      <vt:lpstr>z_G2JL860106_MO_MA_OtherEVComponents</vt:lpstr>
      <vt:lpstr>z_G2JL860106_MO_MA_PCFAvg</vt:lpstr>
      <vt:lpstr>z_G2JL860106_MO_MA_PEAvg</vt:lpstr>
      <vt:lpstr>z_G2JL860106_MO_MA_PreferredShares</vt:lpstr>
      <vt:lpstr>z_G2JL860106_MO_MA_RDMargin</vt:lpstr>
      <vt:lpstr>z_G2JL860106_MO_MA_SGAMarginadjforSBC</vt:lpstr>
      <vt:lpstr>z_G2JL860106_MO_MA_StockAverage</vt:lpstr>
      <vt:lpstr>z_G2JL860106_MO_MA_StockEoP</vt:lpstr>
      <vt:lpstr>z_G2JL860106_MO_MA_StockHigh</vt:lpstr>
      <vt:lpstr>z_G2JL860106_MO_MA_StockLow</vt:lpstr>
      <vt:lpstr>z_G2JL860106_MO_MA_StockPriceReportingCurAvg</vt:lpstr>
      <vt:lpstr>z_G2JL860106_MO_MA_StockPriceTradingCurAvg</vt:lpstr>
      <vt:lpstr>z_G2JL860106_MO_OS_Accountspayable</vt:lpstr>
      <vt:lpstr>z_G2JL860106_MO_OS_AccountspayableYYChange</vt:lpstr>
      <vt:lpstr>z_G2JL860106_MO_OS_Accountsreceivablenet</vt:lpstr>
      <vt:lpstr>z_G2JL860106_MO_OS_AccountsreceivablenetYYChange</vt:lpstr>
      <vt:lpstr>z_G2JL860106_MO_OS_Accruedexpenses</vt:lpstr>
      <vt:lpstr>z_G2JL860106_MO_OS_AccruedexpensesYYChange</vt:lpstr>
      <vt:lpstr>z_G2JL860106_MO_OS_Allothercountriesrevenue</vt:lpstr>
      <vt:lpstr>z_G2JL860106_MO_OS_AsiaPacific</vt:lpstr>
      <vt:lpstr>z_G2JL860106_MO_OS_AverageClients</vt:lpstr>
      <vt:lpstr>z_G2JL860106_MO_OS_BoP2021OmnibusIncentivePlanWeightedAverageExercisePrice</vt:lpstr>
      <vt:lpstr>z_G2JL860106_MO_OS_BoPPerformanceBasedVestingStockPlanWeightedAverageExercisePrice</vt:lpstr>
      <vt:lpstr>z_G2JL860106_MO_OS_BoPServiceBasedVestingStockPlanWeightedAverageExercisePrice</vt:lpstr>
      <vt:lpstr>z_G2JL860106_MO_OS_BoPTotal2021OmnibusIncentivePlanOptionsOutstanding</vt:lpstr>
      <vt:lpstr>z_G2JL860106_MO_OS_BoPTotalPerformanceBasedVestingStockPlanOptionsOutstanding</vt:lpstr>
      <vt:lpstr>z_G2JL860106_MO_OS_BoPTotalServiceBasedVestingStockPlanOptionsOutstanding</vt:lpstr>
      <vt:lpstr>z_G2JL860106_MO_OS_CanalystCoverPageFullyDilutedSharesOutstanding</vt:lpstr>
      <vt:lpstr>z_G2JL860106_MO_OS_CanalystEoPFullyDilutedSharesOutstanding</vt:lpstr>
      <vt:lpstr>z_G2JL860106_MO_OS_ClientsBoP</vt:lpstr>
      <vt:lpstr>z_G2JL860106_MO_OS_ClientsEoP</vt:lpstr>
      <vt:lpstr>z_G2JL860106_MO_OS_COGSChangeduetochangeinbusinessmixandincreasedcloudexpenses</vt:lpstr>
      <vt:lpstr>z_G2JL860106_MO_OS_COGSChangeduetoCOVID19</vt:lpstr>
      <vt:lpstr>z_G2JL860106_MO_OS_COGSChangeduetofacilitiescosts</vt:lpstr>
      <vt:lpstr>z_G2JL860106_MO_OS_COGSChangeduetoincreasedvolume</vt:lpstr>
      <vt:lpstr>z_G2JL860106_MO_OS_COGSChangeduetoother</vt:lpstr>
      <vt:lpstr>z_G2JL860106_MO_OS_COGSChangeduetoSBC</vt:lpstr>
      <vt:lpstr>z_G2JL860106_MO_OS_COGSChangeduetotheEBIplatformmigration</vt:lpstr>
      <vt:lpstr>z_G2JL860106_MO_OS_CommonstockoutstandingEoP</vt:lpstr>
      <vt:lpstr>z_G2JL860106_MO_OS_CommonstockoutstandingexclunvestedrestrictedstockEoP</vt:lpstr>
      <vt:lpstr>z_G2JL860106_MO_OS_Contingentvertical</vt:lpstr>
      <vt:lpstr>z_G2JL860106_MO_OS_Coverpagecommonstockoutstanding</vt:lpstr>
      <vt:lpstr>z_G2JL860106_MO_OS_CumulativeBoP2021OmnibusIncentivePlanWeightedAverageExercisePrice</vt:lpstr>
      <vt:lpstr>z_G2JL860106_MO_OS_CumulativeBoPPerformanceBasedVestingStockPlanWeightedAverageExercisePrice</vt:lpstr>
      <vt:lpstr>z_G2JL860106_MO_OS_CumulativeBoPServiceBasedVestingStockPlanWeightedAverageExercisePrice</vt:lpstr>
      <vt:lpstr>z_G2JL860106_MO_OS_CumulativeBoPTotal2021OmnibusIncentivePlanOptionsOutstanding</vt:lpstr>
      <vt:lpstr>z_G2JL860106_MO_OS_CumulativeBoPTotalPerformanceBasedVestingStockPlanOptionsOutstanding</vt:lpstr>
      <vt:lpstr>z_G2JL860106_MO_OS_CumulativeBoPTotalServiceBasedVestingStockPlanOptionsOutstanding</vt:lpstr>
      <vt:lpstr>z_G2JL860106_MO_OS_CumulativeEoPTotal2021OmnibusIncentivePlanOptionsOutstanding</vt:lpstr>
      <vt:lpstr>z_G2JL860106_MO_OS_CumulativeEoPTotalPerformanceBasedVestingStockPlanOptionsOutstanding</vt:lpstr>
      <vt:lpstr>z_G2JL860106_MO_OS_CumulativeEoPTotalServiceBasedVestingStockPlanOptionsOutstanding</vt:lpstr>
      <vt:lpstr>z_G2JL860106_MO_OS_CumulativeEoPWeightedAverageExercisePrice</vt:lpstr>
      <vt:lpstr>z_G2JL860106_MO_OS_CumulativeEoPWeightedAverageExercisePrice_1</vt:lpstr>
      <vt:lpstr>z_G2JL860106_MO_OS_CumulativeEoPWeightedAverageExercisePrice_2</vt:lpstr>
      <vt:lpstr>z_G2JL860106_MO_OS_CumulativeExercised2021OmnibusIncentivePlanAverageExercisePrice</vt:lpstr>
      <vt:lpstr>z_G2JL860106_MO_OS_CumulativeExercised2021OmnibusIncentivePlanOptions</vt:lpstr>
      <vt:lpstr>z_G2JL860106_MO_OS_CumulativeExercisedPerformanceBasedVestingStockPlanAverageExercisePrice</vt:lpstr>
      <vt:lpstr>z_G2JL860106_MO_OS_CumulativeExercisedPerformanceBasedVestingStockPlanOptions</vt:lpstr>
      <vt:lpstr>z_G2JL860106_MO_OS_CumulativeExercisedServiceBasedVestingStockPlanAverageExercisePrice</vt:lpstr>
      <vt:lpstr>z_G2JL860106_MO_OS_CumulativeExercisedServiceBasedVestingStockPlanOptions</vt:lpstr>
      <vt:lpstr>z_G2JL860106_MO_OS_CumulativeForfeitedandCanceled2021OmnibusIncentivePlanAverageExercisePrice</vt:lpstr>
      <vt:lpstr>z_G2JL860106_MO_OS_CumulativeForfeitedandCanceled2021OmnibusIncentivePlanOptions</vt:lpstr>
      <vt:lpstr>z_G2JL860106_MO_OS_CumulativeForfeitedandCanceledPerformanceBasedVestingStockPlanAverageExercisePrice</vt:lpstr>
      <vt:lpstr>z_G2JL860106_MO_OS_CumulativeForfeitedandCanceledPerformanceBasedVestingStockPlanOptions</vt:lpstr>
      <vt:lpstr>z_G2JL860106_MO_OS_CumulativeForfeitedandCanceledServiceBasedVestingStockPlanAverageExercisePrice</vt:lpstr>
      <vt:lpstr>z_G2JL860106_MO_OS_CumulativeForfeitedandCanceledServiceBasedVestingStockPlanOptions</vt:lpstr>
      <vt:lpstr>z_G2JL860106_MO_OS_CumulativeGranted2021OmnibusIncentivePlanAverageExercisePrice</vt:lpstr>
      <vt:lpstr>z_G2JL860106_MO_OS_CumulativeGranted2021OmnibusIncentivePlanOptions</vt:lpstr>
      <vt:lpstr>z_G2JL860106_MO_OS_CumulativeGrantedPerformanceBasedVestingStockPlanAverageExercisePrice</vt:lpstr>
      <vt:lpstr>z_G2JL860106_MO_OS_CumulativeGrantedPerformanceBasedVestingStockPlanOptions</vt:lpstr>
      <vt:lpstr>z_G2JL860106_MO_OS_CumulativeGrantedServiceBasedVestingStockPlanAverageExercisePrice</vt:lpstr>
      <vt:lpstr>z_G2JL860106_MO_OS_CumulativeGrantedServiceBasedVestingStockPlanOptions</vt:lpstr>
      <vt:lpstr>z_G2JL860106_MO_OS_CurrentCOGS</vt:lpstr>
      <vt:lpstr>z_G2JL860106_MO_OS_CurrentDA</vt:lpstr>
      <vt:lpstr>z_G2JL860106_MO_OS_CurrentRD</vt:lpstr>
      <vt:lpstr>z_G2JL860106_MO_OS_CurrentSM</vt:lpstr>
      <vt:lpstr>z_G2JL860106_MO_OS_DAChangeduetoamortizationofintangibleassetacquired</vt:lpstr>
      <vt:lpstr>z_G2JL860106_MO_OS_DAChangeduetofixedassetdepreciation</vt:lpstr>
      <vt:lpstr>z_G2JL860106_MO_OS_DAChangeduetointangibleassetamortization</vt:lpstr>
      <vt:lpstr>z_G2JL860106_MO_OS_DAChangeduetoother</vt:lpstr>
      <vt:lpstr>z_G2JL860106_MO_OS_Dateofcoverpagesharecount</vt:lpstr>
      <vt:lpstr>z_G2JL860106_MO_OS_Dilutedsharecounttobasicsharecountratio</vt:lpstr>
      <vt:lpstr>z_G2JL860106_MO_OS_DilutiveShares</vt:lpstr>
      <vt:lpstr>z_G2JL860106_MO_OS_DilutiveSharesfromExercisedOptionsTreasuryMethod</vt:lpstr>
      <vt:lpstr>z_G2JL860106_MO_OS_EndofPeriodStockPrice</vt:lpstr>
      <vt:lpstr>z_G2JL860106_MO_OS_EoP2021OmnibusIncentivePlanWeightedAverageExercisableOptionExercisePrice</vt:lpstr>
      <vt:lpstr>z_G2JL860106_MO_OS_EoP2021OmnibusIncentivePlanWeightedAverageExercisePrice</vt:lpstr>
      <vt:lpstr>z_G2JL860106_MO_OS_EoP2021WeightedAverageExercisePrice</vt:lpstr>
      <vt:lpstr>z_G2JL860106_MO_OS_EoPESPPObligations</vt:lpstr>
      <vt:lpstr>z_G2JL860106_MO_OS_EoPOthers</vt:lpstr>
      <vt:lpstr>z_G2JL860106_MO_OS_EoPPerformanceBasedVestingStockPlanWeightedAverageExercisableOptionExercisePrice</vt:lpstr>
      <vt:lpstr>z_G2JL860106_MO_OS_EoPPerformanceBasedVestingStockPlanWeightedAverageExercisePrice</vt:lpstr>
      <vt:lpstr>z_G2JL860106_MO_OS_EoPPotentiallyDilutiveSecurities</vt:lpstr>
      <vt:lpstr>z_G2JL860106_MO_OS_EoPRestrcitedStockPrice</vt:lpstr>
      <vt:lpstr>z_G2JL860106_MO_OS_EoPRestrictedStock</vt:lpstr>
      <vt:lpstr>z_G2JL860106_MO_OS_EoPServiceBasedVestingStockPlanWeightedAverageExercisableOptionExercisePrice</vt:lpstr>
      <vt:lpstr>z_G2JL860106_MO_OS_EoPServiceBasedVestingStockPlanWeightedAverageExercisePrice</vt:lpstr>
      <vt:lpstr>z_G2JL860106_MO_OS_EoPTotal2021OmnibusIncentivePlanOptionsExercisable</vt:lpstr>
      <vt:lpstr>z_G2JL860106_MO_OS_EoPTotal2021OmnibusIncentivePlanOptionsOutstanding</vt:lpstr>
      <vt:lpstr>z_G2JL860106_MO_OS_EoPTotalDilutedCommonStockOutstanding</vt:lpstr>
      <vt:lpstr>z_G2JL860106_MO_OS_EoPTotalPerformanceBasedVestingStockPlanOptionsExercisable</vt:lpstr>
      <vt:lpstr>z_G2JL860106_MO_OS_EoPTotalPerformanceBasedVestingStockPlanOptionsOutstanding</vt:lpstr>
      <vt:lpstr>z_G2JL860106_MO_OS_EoPTotalServiceBasedVestingStockPlanOptionsExercisable</vt:lpstr>
      <vt:lpstr>z_G2JL860106_MO_OS_EoPTotalServiceBasedVestingStockPlanOptionsOutstanding</vt:lpstr>
      <vt:lpstr>z_G2JL860106_MO_OS_EoPTotalStockOptionsExercisable</vt:lpstr>
      <vt:lpstr>z_G2JL860106_MO_OS_EoPTotalStockOptionsOutstanding</vt:lpstr>
      <vt:lpstr>z_G2JL860106_MO_OS_EoPUnvestedRSUPrice</vt:lpstr>
      <vt:lpstr>z_G2JL860106_MO_OS_EoPUnvestedRSUs</vt:lpstr>
      <vt:lpstr>z_G2JL860106_MO_OS_EoPWeightedAverageExercisableOptionExercisePrice</vt:lpstr>
      <vt:lpstr>z_G2JL860106_MO_OS_Europe</vt:lpstr>
      <vt:lpstr>z_G2JL860106_MO_OS_Exercised2021OmnibusIncentivePlanAverageExercisePrice</vt:lpstr>
      <vt:lpstr>z_G2JL860106_MO_OS_Exercised2021OmnibusIncentivePlanOptions</vt:lpstr>
      <vt:lpstr>z_G2JL860106_MO_OS_ExercisedPerformanceBasedVestingStockPlanAverageExercisePrice</vt:lpstr>
      <vt:lpstr>z_G2JL860106_MO_OS_ExercisedPerformanceBasedVestingStockPlanOptions</vt:lpstr>
      <vt:lpstr>z_G2JL860106_MO_OS_ExercisedServiceBasedVestingStockPlanAverageExercisePrice</vt:lpstr>
      <vt:lpstr>z_G2JL860106_MO_OS_ExercisedServiceBasedVestingStockPlanOptions</vt:lpstr>
      <vt:lpstr>z_G2JL860106_MO_OS_FinancialBusinessServicesvertcial</vt:lpstr>
      <vt:lpstr>z_G2JL860106_MO_OS_ForfeitedandCanceled2021OmnibusIncentivePlanAverageExercisePrice</vt:lpstr>
      <vt:lpstr>z_G2JL860106_MO_OS_ForfeitedandCanceled2021OmnibusIncentivePlanOptions</vt:lpstr>
      <vt:lpstr>z_G2JL860106_MO_OS_ForfeitedandCanceledPerformanceBasedVestingStockPlanAverageExercisePrice</vt:lpstr>
      <vt:lpstr>z_G2JL860106_MO_OS_ForfeitedandCanceledPerformanceBasedVestingStockPlanOptions</vt:lpstr>
      <vt:lpstr>z_G2JL860106_MO_OS_ForfeitedandCanceledServiceBasedVestingStockPlanAverageExercisePrice</vt:lpstr>
      <vt:lpstr>z_G2JL860106_MO_OS_ForfeitedandCanceledServiceBasedVestingStockPlanOptions</vt:lpstr>
      <vt:lpstr>z_G2JL860106_MO_OS_GigConsumerandVolunteersvertical</vt:lpstr>
      <vt:lpstr>z_G2JL860106_MO_OS_Granted2021OmnibusIncentivePlanAverageExercisePrice</vt:lpstr>
      <vt:lpstr>z_G2JL860106_MO_OS_Granted2021OmnibusIncentivePlanOptions</vt:lpstr>
      <vt:lpstr>z_G2JL860106_MO_OS_GrantedPerformanceBasedVestingStockPlanAverageExercisePrice</vt:lpstr>
      <vt:lpstr>z_G2JL860106_MO_OS_GrantedPerformanceBasedVestingStockPlanOptions</vt:lpstr>
      <vt:lpstr>z_G2JL860106_MO_OS_GrantedServiceBasedVestingStockPlanAverageExercisePrice</vt:lpstr>
      <vt:lpstr>z_G2JL860106_MO_OS_GrantedServiceBasedVestingStockPlanOptions</vt:lpstr>
      <vt:lpstr>z_G2JL860106_MO_OS_Grossretentionrate</vt:lpstr>
      <vt:lpstr>z_G2JL860106_MO_OS_Healthcarevertcial</vt:lpstr>
      <vt:lpstr>z_G2JL860106_MO_OS_Identityverification</vt:lpstr>
      <vt:lpstr>z_G2JL860106_MO_OS_Increasedecreaseinclients</vt:lpstr>
      <vt:lpstr>z_G2JL860106_MO_OS_IndustrialsGovernmentandEducationvertical</vt:lpstr>
      <vt:lpstr>z_G2JL860106_MO_OS_LastWorkingDay</vt:lpstr>
      <vt:lpstr>z_G2JL860106_MO_OS_LatinAmerica</vt:lpstr>
      <vt:lpstr>z_G2JL860106_MO_OS_MiddleEastAfrica</vt:lpstr>
      <vt:lpstr>z_G2JL860106_MO_OS_NorthAmerica</vt:lpstr>
      <vt:lpstr>z_G2JL860106_MO_OS_Numberofsearches</vt:lpstr>
      <vt:lpstr>z_G2JL860106_MO_OS_Otherservices</vt:lpstr>
      <vt:lpstr>z_G2JL860106_MO_OS_PostHireBackgroundScreening</vt:lpstr>
      <vt:lpstr>z_G2JL860106_MO_OS_PreHireBackgroundScreening</vt:lpstr>
      <vt:lpstr>z_G2JL860106_MO_OS_Prepaidexpenses</vt:lpstr>
      <vt:lpstr>z_G2JL860106_MO_OS_PrepaidexpensesYYChange</vt:lpstr>
      <vt:lpstr>z_G2JL860106_MO_OS_PreviousCOGS</vt:lpstr>
      <vt:lpstr>z_G2JL860106_MO_OS_PreviousDA</vt:lpstr>
      <vt:lpstr>z_G2JL860106_MO_OS_PreviousRD</vt:lpstr>
      <vt:lpstr>z_G2JL860106_MO_OS_PreviousSM</vt:lpstr>
      <vt:lpstr>z_G2JL860106_MO_OS_QQbasicshareexpansionEoP</vt:lpstr>
      <vt:lpstr>z_G2JL860106_MO_OS_QQbasicshareexpansionfromdilutivesecurities</vt:lpstr>
      <vt:lpstr>z_G2JL860106_MO_OS_QQbasicshareexpansionfromshareissuancebuyback</vt:lpstr>
      <vt:lpstr>z_G2JL860106_MO_OS_RDChangeduetochangeinplatformandproductinitiativesdevelopments</vt:lpstr>
      <vt:lpstr>z_G2JL860106_MO_OS_RDChangeduetomaintainingcorporateinformationtechnologyinfrastructure</vt:lpstr>
      <vt:lpstr>z_G2JL860106_MO_OS_RDChangeduetomaintainingproductionsystems</vt:lpstr>
      <vt:lpstr>z_G2JL860106_MO_OS_RDChangeduetoother</vt:lpstr>
      <vt:lpstr>z_G2JL860106_MO_OS_RDChangeduetopersonnelrelatedcosts</vt:lpstr>
      <vt:lpstr>z_G2JL860106_MO_OS_RDChangeduetoSBC</vt:lpstr>
      <vt:lpstr>z_G2JL860106_MO_OS_Retailvertical</vt:lpstr>
      <vt:lpstr>z_G2JL860106_MO_OS_Revenueperclient</vt:lpstr>
      <vt:lpstr>z_G2JL860106_MO_OS_Screeningservices</vt:lpstr>
      <vt:lpstr>z_G2JL860106_MO_OS_SMChangeduecontractualcompensationpaymenttoaformerexecutive</vt:lpstr>
      <vt:lpstr>z_G2JL860106_MO_OS_SMChangedueinvestormanagementfees</vt:lpstr>
      <vt:lpstr>z_G2JL860106_MO_OS_SMChangeduetobonusexpenses</vt:lpstr>
      <vt:lpstr>z_G2JL860106_MO_OS_SMChangeduetocostsrelatedtotheIPO</vt:lpstr>
      <vt:lpstr>z_G2JL860106_MO_OS_SMChangeduetocostsrelatedtotransactions</vt:lpstr>
      <vt:lpstr>z_G2JL860106_MO_OS_SMChangeduetolegalsettlements</vt:lpstr>
      <vt:lpstr>z_G2JL860106_MO_OS_SMChangeduetoother</vt:lpstr>
      <vt:lpstr>z_G2JL860106_MO_OS_SMChangeduetopayrollandrelatedtaxesandbenefitsexpense</vt:lpstr>
      <vt:lpstr>z_G2JL860106_MO_OS_SMChangeduetoprofessionalfees</vt:lpstr>
      <vt:lpstr>z_G2JL860106_MO_OS_SMChangeduetoreassessingfairvalueofcontingentconsideration</vt:lpstr>
      <vt:lpstr>z_G2JL860106_MO_OS_SMChangeduetorentandfacilitiesexpenses</vt:lpstr>
      <vt:lpstr>z_G2JL860106_MO_OS_SMChangeduetorestructuringrelatedcharges</vt:lpstr>
      <vt:lpstr>z_G2JL860106_MO_OS_SMChangeduetoSBC</vt:lpstr>
      <vt:lpstr>z_G2JL860106_MO_OS_SMChangeduetoseveranceexpenses</vt:lpstr>
      <vt:lpstr>z_G2JL860106_MO_OS_SMChangeduetostrategyrefresh</vt:lpstr>
      <vt:lpstr>z_G2JL860106_MO_OS_TechnologyMediaEntertainmentandHospitalityvertical</vt:lpstr>
      <vt:lpstr>z_G2JL860106_MO_OS_TotalRevenue</vt:lpstr>
      <vt:lpstr>z_G2JL860106_MO_OS_TotalRevenue_1</vt:lpstr>
      <vt:lpstr>z_G2JL860106_MO_OS_TotalTAM</vt:lpstr>
      <vt:lpstr>z_G2JL860106_MO_OS_UnitedStatesrevenue</vt:lpstr>
      <vt:lpstr>z_G2JL860106_MO_OS_UnvestedrestrictedstockEoP</vt:lpstr>
      <vt:lpstr>z_G2JL860106_MO_OS_USGigWorkers</vt:lpstr>
      <vt:lpstr>z_G2JL860106_MO_OS_USVoluntaryTunover</vt:lpstr>
      <vt:lpstr>z_G2JL860106_MO_OS_YoYgrowthinpaidenterprisecustomers</vt:lpstr>
      <vt:lpstr>z_G2JL860106_MO_OS_YoYgrowthinquarterlyrevenueperclient</vt:lpstr>
      <vt:lpstr>z_G2JL860106_MO_OS_YYbasicshareexpansionEoP</vt:lpstr>
      <vt:lpstr>z_G2JL860106_MO_OS_YYbasicshareexpansionfromdilutivesecurities</vt:lpstr>
      <vt:lpstr>z_G2JL860106_MO_OS_YYbasicshareexpansionfromshareissuancebuyback</vt:lpstr>
      <vt:lpstr>z_G2JL860106_MO_RIS_AdjustedEarningsPerShareWAD</vt:lpstr>
      <vt:lpstr>z_G2JL860106_MO_RIS_AdjustedEBITDA</vt:lpstr>
      <vt:lpstr>z_G2JL860106_MO_RIS_AdjustedNetIncome</vt:lpstr>
      <vt:lpstr>z_G2JL860106_MO_RIS_AdjustedSharesOutstandingWAD</vt:lpstr>
      <vt:lpstr>z_G2JL860106_MO_RIS_AdjustmentsforConvertibleSecurities</vt:lpstr>
      <vt:lpstr>z_G2JL860106_MO_RIS_AmortizationofIntangibles</vt:lpstr>
      <vt:lpstr>z_G2JL860106_MO_RIS_COGS</vt:lpstr>
      <vt:lpstr>z_G2JL860106_MO_RIS_ConsensusEstimatesAdjustedEarningsPerShareWAD</vt:lpstr>
      <vt:lpstr>z_G2JL860106_MO_RIS_ConsensusEstimatesAdjustedEBITDA</vt:lpstr>
      <vt:lpstr>z_G2JL860106_MO_RIS_ConsensusEstimatesNetRevenue</vt:lpstr>
      <vt:lpstr>z_G2JL860106_MO_RIS_Currenttax</vt:lpstr>
      <vt:lpstr>z_G2JL860106_MO_RIS_Currenttaxrate</vt:lpstr>
      <vt:lpstr>z_G2JL860106_MO_RIS_DA</vt:lpstr>
      <vt:lpstr>z_G2JL860106_MO_RIS_Deferredtax</vt:lpstr>
      <vt:lpstr>z_G2JL860106_MO_RIS_Deferredtaxrate</vt:lpstr>
      <vt:lpstr>z_G2JL860106_MO_RIS_DilutedNetIncometoCommonShareholders</vt:lpstr>
      <vt:lpstr>z_G2JL860106_MO_RIS_DiscontinuedOperations</vt:lpstr>
      <vt:lpstr>z_G2JL860106_MO_RIS_EarningsPerShareWAB</vt:lpstr>
      <vt:lpstr>z_G2JL860106_MO_RIS_EarningsPerShareWAD</vt:lpstr>
      <vt:lpstr>z_G2JL860106_MO_RIS_EarningstoPreferredandOtherSecurities</vt:lpstr>
      <vt:lpstr>z_G2JL860106_MO_RIS_EBIT_1</vt:lpstr>
      <vt:lpstr>z_G2JL860106_MO_RIS_EBITDA</vt:lpstr>
      <vt:lpstr>z_G2JL860106_MO_RIS_EBT</vt:lpstr>
      <vt:lpstr>z_G2JL860106_MO_RIS_GrossProfit</vt:lpstr>
      <vt:lpstr>z_G2JL860106_MO_RIS_Incomefromequitymethodinvestments</vt:lpstr>
      <vt:lpstr>z_G2JL860106_MO_RIS_Interestexpense</vt:lpstr>
      <vt:lpstr>z_G2JL860106_MO_RIS_Interestincome</vt:lpstr>
      <vt:lpstr>z_G2JL860106_MO_RIS_NetIncomefromContinuedOperation</vt:lpstr>
      <vt:lpstr>z_G2JL860106_MO_RIS_NetIncometoCommonShareholders</vt:lpstr>
      <vt:lpstr>z_G2JL860106_MO_RIS_NetIncometoNCI</vt:lpstr>
      <vt:lpstr>z_G2JL860106_MO_RIS_NetRevenue</vt:lpstr>
      <vt:lpstr>z_G2JL860106_MO_RIS_NonGAAPAdjustments</vt:lpstr>
      <vt:lpstr>z_G2JL860106_MO_RIS_NonGAAPAdjustmentsforDilutiveSecurities</vt:lpstr>
      <vt:lpstr>z_G2JL860106_MO_RIS_Onetimeitem</vt:lpstr>
      <vt:lpstr>z_G2JL860106_MO_RIS_Otheritems</vt:lpstr>
      <vt:lpstr>z_G2JL860106_MO_RIS_RD</vt:lpstr>
      <vt:lpstr>z_G2JL860106_MO_RIS_SBC</vt:lpstr>
      <vt:lpstr>z_G2JL860106_MO_RIS_SGAadjforSBC</vt:lpstr>
      <vt:lpstr>z_G2JL860106_MO_RIS_SharesOutstandingWAB</vt:lpstr>
      <vt:lpstr>z_G2JL860106_MO_RIS_SharesOutstandingWAD</vt:lpstr>
      <vt:lpstr>z_G2JL860106_MO_Section_AN_AdjustedNumbersAsReported</vt:lpstr>
      <vt:lpstr>z_G2JL860106_MO_Section_BS_BalanceSheet</vt:lpstr>
      <vt:lpstr>z_G2JL860106_MO_Section_BSS_BalanceSheetSummary</vt:lpstr>
      <vt:lpstr>z_G2JL860106_MO_Section_CCFS_CumulativeCashFlowStatement</vt:lpstr>
      <vt:lpstr>z_G2JL860106_MO_Section_CFS_CashFlowStatement</vt:lpstr>
      <vt:lpstr>z_G2JL860106_MO_Section_CFSum_CashFlowSummary</vt:lpstr>
      <vt:lpstr>z_G2JL860106_MO_Section_DAF_DAForecasting</vt:lpstr>
      <vt:lpstr>z_G2JL860106_MO_Section_GA_GrowthAnalysis</vt:lpstr>
      <vt:lpstr>z_G2JL860106_MO_Section_IS_IncomeStatementAsReported</vt:lpstr>
      <vt:lpstr>z_G2JL860106_MO_Section_MA_MarginAnalysis</vt:lpstr>
      <vt:lpstr>z_G2JL860106_MO_Section_MA_Valuation</vt:lpstr>
      <vt:lpstr>z_G2JL860106_MO_Section_OS_KeyMetricsSplitofTotalAddressableMarketandIndsutryMetricsS1</vt:lpstr>
      <vt:lpstr>z_G2JL860106_MO_Section_OS_KeyMetricsSplitofUSrevenuebyverticalS1</vt:lpstr>
      <vt:lpstr>z_G2JL860106_MO_Section_OS_OperatingStatsRetentionrateClientsandSearchesS1</vt:lpstr>
      <vt:lpstr>z_G2JL860106_MO_Section_OS_SegmentedResultsGeographicBreakdownS1</vt:lpstr>
      <vt:lpstr>z_G2JL860106_MO_Section_OS_SegmentedResultsRevenueBreakdownS1</vt:lpstr>
      <vt:lpstr>z_G2JL860106_MO_Section_OS_ShareCountAnalysis</vt:lpstr>
      <vt:lpstr>z_G2JL860106_MO_Section_OS_WorkingCapitalForecasting</vt:lpstr>
      <vt:lpstr>z_G2JL860106_MO_Section_OS_YYCostGranularityS1</vt:lpstr>
      <vt:lpstr>z_G2JL860106_MO_Section_RIS_RevisedIncomeStatement</vt:lpstr>
      <vt:lpstr>z_G2JL860106_MO_Section_SNA_Canalyst</vt:lpstr>
      <vt:lpstr>z_G2JL860106_MO_Section_SNA_ModelChecks</vt:lpstr>
      <vt:lpstr>z_G2JL860106_MO_Section_SNA_OtherTables</vt:lpstr>
      <vt:lpstr>z_G2JL860106_MO_SubSection_BS_CurrentAssets</vt:lpstr>
      <vt:lpstr>z_G2JL860106_MO_SubSection_BS_CurrentLiabilities</vt:lpstr>
      <vt:lpstr>z_G2JL860106_MO_SubSection_BS_NonCurrentAssets</vt:lpstr>
      <vt:lpstr>z_G2JL860106_MO_SubSection_BS_NonCurrentLiabilities</vt:lpstr>
      <vt:lpstr>z_G2JL860106_MO_SubSection_BS_ShareholdersEquity</vt:lpstr>
      <vt:lpstr>z_G2JL860106_MO_SubSection_CCFS_CFF</vt:lpstr>
      <vt:lpstr>z_G2JL860106_MO_SubSection_CCFS_CFI</vt:lpstr>
      <vt:lpstr>z_G2JL860106_MO_SubSection_CCFS_CFO</vt:lpstr>
      <vt:lpstr>z_G2JL860106_MO_SubSection_CFS_CFF</vt:lpstr>
      <vt:lpstr>z_G2JL860106_MO_SubSection_CFS_CFI</vt:lpstr>
      <vt:lpstr>z_G2JL860106_MO_SubSection_CFS_CFO</vt:lpstr>
      <vt:lpstr>z_G2JL860106_MO_Unstructured_SNA_AdjustedEarningsPerShareWAD</vt:lpstr>
      <vt:lpstr>z_G2JL860106_MO_Unstructured_SNA_AdjustedEBITDA</vt:lpstr>
      <vt:lpstr>z_G2JL860106_MO_Unstructured_SNA_AnnualGuidanceTable</vt:lpstr>
      <vt:lpstr>z_G2JL860106_MO_Unstructured_SNA_ApplicablePeriod</vt:lpstr>
      <vt:lpstr>z_G2JL860106_MO_Unstructured_SNA_ApplicablePeriod_1</vt:lpstr>
      <vt:lpstr>z_G2JL860106_MO_Unstructured_SNA_ApplyTradeCurrencyScaling</vt:lpstr>
      <vt:lpstr>z_G2JL860106_MO_Unstructured_SNA_Avg</vt:lpstr>
      <vt:lpstr>z_G2JL860106_MO_Unstructured_SNA_Bloomberg</vt:lpstr>
      <vt:lpstr>z_G2JL860106_MO_Unstructured_SNA_Bloomberg_1</vt:lpstr>
      <vt:lpstr>z_G2JL860106_MO_Unstructured_SNA_Bloomberg_2</vt:lpstr>
      <vt:lpstr>z_G2JL860106_MO_Unstructured_SNA_Bloomberg_3</vt:lpstr>
      <vt:lpstr>z_G2JL860106_MO_Unstructured_SNA_CapitalIQ</vt:lpstr>
      <vt:lpstr>z_G2JL860106_MO_Unstructured_SNA_CapitalIQ_1</vt:lpstr>
      <vt:lpstr>z_G2JL860106_MO_Unstructured_SNA_CapitalIQ_2</vt:lpstr>
      <vt:lpstr>z_G2JL860106_MO_Unstructured_SNA_CapitalIQ_3</vt:lpstr>
      <vt:lpstr>z_G2JL860106_MO_Unstructured_SNA_ConsensusEstimatesAdjustedEarningsPerShareWAD</vt:lpstr>
      <vt:lpstr>z_G2JL860106_MO_Unstructured_SNA_ConsensusEstimatesAdjustedEBITDA</vt:lpstr>
      <vt:lpstr>z_G2JL860106_MO_Unstructured_SNA_ConsensusEstimatesCapex</vt:lpstr>
      <vt:lpstr>z_G2JL860106_MO_Unstructured_SNA_ConsensusEstimatesCashFlowPerDilutedShare</vt:lpstr>
      <vt:lpstr>z_G2JL860106_MO_Unstructured_SNA_ConsensusEstimatesGrossMargin</vt:lpstr>
      <vt:lpstr>z_G2JL860106_MO_Unstructured_SNA_ConsensusEstimatesNetRevenue</vt:lpstr>
      <vt:lpstr>z_G2JL860106_MO_Unstructured_SNA_ConsensusEstimateTable</vt:lpstr>
      <vt:lpstr>z_G2JL860106_MO_Unstructured_SNA_CurrentFiscalYear</vt:lpstr>
      <vt:lpstr>z_G2JL860106_MO_Unstructured_SNA_DataSourceIndex</vt:lpstr>
      <vt:lpstr>z_G2JL860106_MO_Unstructured_SNA_EoP</vt:lpstr>
      <vt:lpstr>z_G2JL860106_MO_Unstructured_SNA_EVEBITDAAvg</vt:lpstr>
      <vt:lpstr>z_G2JL860106_MO_Unstructured_SNA_FactSet</vt:lpstr>
      <vt:lpstr>z_G2JL860106_MO_Unstructured_SNA_FactSet_1</vt:lpstr>
      <vt:lpstr>z_G2JL860106_MO_Unstructured_SNA_FactSet_2</vt:lpstr>
      <vt:lpstr>z_G2JL860106_MO_Unstructured_SNA_FactSet_3</vt:lpstr>
      <vt:lpstr>z_G2JL860106_MO_Unstructured_SNA_FirstForecastFiscalYear</vt:lpstr>
      <vt:lpstr>z_G2JL860106_MO_Unstructured_SNA_FiscalPeriodStartDate</vt:lpstr>
      <vt:lpstr>z_G2JL860106_MO_Unstructured_SNA_FXAverageRealTimeOffSource</vt:lpstr>
      <vt:lpstr>z_G2JL860106_MO_Unstructured_SNA_FXEoP</vt:lpstr>
      <vt:lpstr>z_G2JL860106_MO_Unstructured_SNA_FYorFQ</vt:lpstr>
      <vt:lpstr>z_G2JL860106_MO_Unstructured_SNA_GeneralTable</vt:lpstr>
      <vt:lpstr>z_G2JL860106_MO_Unstructured_SNA_High</vt:lpstr>
      <vt:lpstr>z_G2JL860106_MO_Unstructured_SNA_IsHistoricalPeriod</vt:lpstr>
      <vt:lpstr>z_G2JL860106_MO_Unstructured_SNA_IsLatest</vt:lpstr>
      <vt:lpstr>z_G2JL860106_MO_Unstructured_SNA_KeyOutputs</vt:lpstr>
      <vt:lpstr>z_G2JL860106_MO_Unstructured_SNA_KPICount</vt:lpstr>
      <vt:lpstr>z_G2JL860106_MO_Unstructured_SNA_KPIData</vt:lpstr>
      <vt:lpstr>z_G2JL860106_MO_Unstructured_SNA_LastPrice</vt:lpstr>
      <vt:lpstr>z_G2JL860106_MO_Unstructured_SNA_LastPriceDate</vt:lpstr>
      <vt:lpstr>z_G2JL860106_MO_Unstructured_SNA_LastPriceFormula</vt:lpstr>
      <vt:lpstr>z_G2JL860106_MO_Unstructured_SNA_LastWorkingDayInPeriod</vt:lpstr>
      <vt:lpstr>z_G2JL860106_MO_Unstructured_SNA_Low</vt:lpstr>
      <vt:lpstr>z_G2JL860106_MO_Unstructured_SNA_ModelSheetCurrencyHardcoded</vt:lpstr>
      <vt:lpstr>z_G2JL860106_MO_Unstructured_SNA_MOMAEBITDAAdj</vt:lpstr>
      <vt:lpstr>z_G2JL860106_MO_Unstructured_SNA_MORISEBITDAAdj</vt:lpstr>
      <vt:lpstr>z_G2JL860106_MO_Unstructured_SNA_MORISEPSWADAdj</vt:lpstr>
      <vt:lpstr>z_G2JL860106_MO_Unstructured_SNA_MORISNINONGAAPDiluted</vt:lpstr>
      <vt:lpstr>z_G2JL860106_MO_Unstructured_SNA_MORISREV</vt:lpstr>
      <vt:lpstr>z_G2JL860106_MO_Unstructured_SNA_MostRecentFiscalPeriodMRFP</vt:lpstr>
      <vt:lpstr>z_G2JL860106_MO_Unstructured_SNA_MostRecentFX</vt:lpstr>
      <vt:lpstr>z_G2JL860106_MO_Unstructured_SNA_MostRecentFXHardcoded</vt:lpstr>
      <vt:lpstr>z_G2JL860106_MO_Unstructured_SNA_MRFPColumnNumber</vt:lpstr>
      <vt:lpstr>z_G2JL860106_MO_Unstructured_SNA_NASDAQSTER</vt:lpstr>
      <vt:lpstr>z_G2JL860106_MO_Unstructured_SNA_NetRevenue</vt:lpstr>
      <vt:lpstr>z_G2JL860106_MO_Unstructured_SNA_PEAvg</vt:lpstr>
      <vt:lpstr>z_G2JL860106_MO_Unstructured_SNA_Period</vt:lpstr>
      <vt:lpstr>z_G2JL860106_MO_Unstructured_SNA_QuarterlyGuidanceTable</vt:lpstr>
      <vt:lpstr>z_G2JL860106_MO_Unstructured_SNA_RealTimeOffSource</vt:lpstr>
      <vt:lpstr>z_G2JL860106_MO_Unstructured_SNA_RealTimeOffSource_1</vt:lpstr>
      <vt:lpstr>z_G2JL860106_MO_Unstructured_SNA_RealTimeOffSource_2</vt:lpstr>
      <vt:lpstr>z_G2JL860106_MO_Unstructured_SNA_RealTimeOffSource_3</vt:lpstr>
      <vt:lpstr>z_G2JL860106_MO_Unstructured_SNA_RealTimeStockPrice</vt:lpstr>
      <vt:lpstr>z_G2JL860106_MO_Unstructured_SNA_Refinitiv</vt:lpstr>
      <vt:lpstr>z_G2JL860106_MO_Unstructured_SNA_Refinitiv_1</vt:lpstr>
      <vt:lpstr>z_G2JL860106_MO_Unstructured_SNA_Refinitiv_2</vt:lpstr>
      <vt:lpstr>z_G2JL860106_MO_Unstructured_SNA_Refinitiv_3</vt:lpstr>
      <vt:lpstr>z_G2JL860106_MO_Unstructured_SNA_ReportingDate</vt:lpstr>
      <vt:lpstr>z_G2JL860106_MO_Unstructured_SNA_ReportingDate_1</vt:lpstr>
      <vt:lpstr>z_G2JL860106_MO_Unstructured_SNA_STEROQ</vt:lpstr>
      <vt:lpstr>z_G2JL860106_MO_Unstructured_SNA_STERUS</vt:lpstr>
      <vt:lpstr>z_G2JL860106_MO_Unstructured_SNA_STERUS_1</vt:lpstr>
      <vt:lpstr>z_G2JL860106_MO_Unstructured_SNA_STERUS_2</vt:lpstr>
      <vt:lpstr>z_G2JL860106_MO_Unstructured_SNA_StockAverageRealTimeOffSource</vt:lpstr>
      <vt:lpstr>z_G2JL860106_MO_Unstructured_SNA_StockHighRealTimeOffSource</vt:lpstr>
      <vt:lpstr>z_G2JL860106_MO_Unstructured_SNA_StockLowRealTimeOffSource</vt:lpstr>
      <vt:lpstr>z_G2JL860106_MO_Unstructured_SNA_StockPriceEoP</vt:lpstr>
      <vt:lpstr>z_G2JL860106_MO_Unstructured_SNA_StockPriceTable</vt:lpstr>
      <vt:lpstr>z_G2JL860106_MO_Unstructured_SNA_TickerSymbol</vt:lpstr>
      <vt:lpstr>z_G2JL860106_MO_Unstructured_SNA_TradeCurrency</vt:lpstr>
      <vt:lpstr>z_G2JL860106_MO_Unstructured_SNA_TradeCurrencyHardcoded</vt:lpstr>
      <vt:lpstr>z_G2JL860106_MO_Unstructured_SNA_ValuationToggleTable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Katherine Du</dc:creator>
  <cp:keywords/>
  <dc:description/>
  <cp:lastModifiedBy>Dan Berring</cp:lastModifiedBy>
  <cp:revision/>
  <dcterms:created xsi:type="dcterms:W3CDTF">2021-12-09T20:54:51Z</dcterms:created>
  <dcterms:modified xsi:type="dcterms:W3CDTF">2025-05-20T20:38:19Z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0x01010097B54F80F9326D4AB5846AC1C3383526</vt:lpwstr>
  </property>
  <property fmtid="{D5CDD505-2E9C-101B-9397-08002B2CF9AE}" pid="3" name="MediaServiceImageTags">
    <vt:lpwstr/>
  </property>
  <property fmtid="{D5CDD505-2E9C-101B-9397-08002B2CF9AE}" pid="4" name="{A44787D4-0540-4523-9961-78E4036D8C6D}">
    <vt:lpwstr>{D50D1911-8C83-4E31-8E2A-0D5D4B1CD9B5}</vt:lpwstr>
  </property>
</Properties>
</file>